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updateLinks="always" codeName="ThisWorkbook"/>
  <bookViews>
    <workbookView xWindow="-96" yWindow="-252" windowWidth="19416" windowHeight="8112" tabRatio="718" firstSheet="1" activeTab="1"/>
  </bookViews>
  <sheets>
    <sheet name="Frågor &amp; Svar" sheetId="32" r:id="rId1"/>
    <sheet name="Instruktion" sheetId="29" r:id="rId2"/>
    <sheet name="fx" sheetId="33" state="hidden" r:id="rId3"/>
    <sheet name="ARBETSBLAD" sheetId="15" r:id="rId4"/>
    <sheet name="Resultatbudget_Helår" sheetId="17" r:id="rId5"/>
    <sheet name="Resultatbudget_Månad" sheetId="26" r:id="rId6"/>
    <sheet name="Kapitalbehov_Finansiering" sheetId="22" r:id="rId7"/>
    <sheet name="Likviditetsbudget" sheetId="31" r:id="rId8"/>
  </sheets>
  <definedNames>
    <definedName name="Före" localSheetId="3">#REF!</definedName>
    <definedName name="Före" localSheetId="2">#REF!</definedName>
    <definedName name="Före" localSheetId="1">#REF!</definedName>
    <definedName name="Före" localSheetId="6">#REF!</definedName>
    <definedName name="Före" localSheetId="7">#REF!</definedName>
    <definedName name="Före" localSheetId="4">#REF!</definedName>
    <definedName name="Före" localSheetId="5">#REF!</definedName>
    <definedName name="Före">#REF!</definedName>
    <definedName name="Förre" localSheetId="2">#REF!</definedName>
    <definedName name="Förre" localSheetId="1">#REF!</definedName>
    <definedName name="Förre" localSheetId="6">#REF!</definedName>
    <definedName name="Förre" localSheetId="7">#REF!</definedName>
    <definedName name="Förre" localSheetId="5">#REF!</definedName>
    <definedName name="Förre">#REF!</definedName>
    <definedName name="Inget" localSheetId="2">#REF!</definedName>
    <definedName name="Inget" localSheetId="1">#REF!</definedName>
    <definedName name="Inget" localSheetId="6">#REF!</definedName>
    <definedName name="Inget" localSheetId="7">#REF!</definedName>
    <definedName name="Inget" localSheetId="5">#REF!</definedName>
    <definedName name="Inget">#REF!</definedName>
    <definedName name="Ingkomomssats" localSheetId="3">#REF!</definedName>
    <definedName name="Ingkomomssats" localSheetId="2">#REF!</definedName>
    <definedName name="Ingkomomssats" localSheetId="1">#REF!</definedName>
    <definedName name="Ingkomomssats" localSheetId="6">#REF!</definedName>
    <definedName name="Ingkomomssats" localSheetId="7">#REF!</definedName>
    <definedName name="Ingkomomssats" localSheetId="4">#REF!</definedName>
    <definedName name="Ingkomomssats" localSheetId="5">#REF!</definedName>
    <definedName name="Ingkomomssats">#REF!</definedName>
    <definedName name="_xlnm.Print_Area" localSheetId="3">ARBETSBLAD!$B$2:$AF$419</definedName>
    <definedName name="_xlnm.Print_Area" localSheetId="0">'Frågor &amp; Svar'!$A$1:$Z$199</definedName>
    <definedName name="_xlnm.Print_Area" localSheetId="2">fx!#REF!</definedName>
    <definedName name="_xlnm.Print_Area" localSheetId="6">Kapitalbehov_Finansiering!$B$1:$J$64</definedName>
    <definedName name="_xlnm.Print_Area" localSheetId="7">Likviditetsbudget!$B$2:$AF$39</definedName>
    <definedName name="_xlnm.Print_Area" localSheetId="4">Resultatbudget_Helår!$B$1:$M$103</definedName>
    <definedName name="_xlnm.Print_Area" localSheetId="5">Resultatbudget_Månad!$B$2:$AA$45</definedName>
    <definedName name="_xlnm.Print_Titles" localSheetId="3">ARBETSBLAD!$B:$G,ARBETSBLAD!$2:$9</definedName>
    <definedName name="_xlnm.Print_Titles" localSheetId="2">fx!$B:$G,fx!#REF!</definedName>
    <definedName name="_xlnm.Print_Titles" localSheetId="7">Likviditetsbudget!$B:$H</definedName>
    <definedName name="_xlnm.Print_Titles" localSheetId="4">Resultatbudget_Helår!$B:$D</definedName>
    <definedName name="_xlnm.Print_Titles" localSheetId="5">Resultatbudget_Månad!$B:$C</definedName>
    <definedName name="Resultatbudget1">"Etikett 1"</definedName>
    <definedName name="Sedan" localSheetId="2">#REF!</definedName>
    <definedName name="Sedan" localSheetId="1">#REF!</definedName>
    <definedName name="Sedan" localSheetId="6">#REF!</definedName>
    <definedName name="Sedan" localSheetId="7">#REF!</definedName>
    <definedName name="Sedan" localSheetId="5">#REF!</definedName>
    <definedName name="Sedan">#REF!</definedName>
    <definedName name="Utgkomomssats" localSheetId="3">#REF!</definedName>
    <definedName name="Utgkomomssats" localSheetId="2">#REF!</definedName>
    <definedName name="Utgkomomssats" localSheetId="1">#REF!</definedName>
    <definedName name="Utgkomomssats" localSheetId="6">#REF!</definedName>
    <definedName name="Utgkomomssats" localSheetId="7">#REF!</definedName>
    <definedName name="Utgkomomssats" localSheetId="4">#REF!</definedName>
    <definedName name="Utgkomomssats" localSheetId="5">#REF!</definedName>
    <definedName name="Utgkomomssats">#REF!</definedName>
    <definedName name="XXXXXXXXXXXXXXXXXXXXXXXXX" localSheetId="2">#REF!</definedName>
    <definedName name="XXXXXXXXXXXXXXXXXXXXXXXXX" localSheetId="1">#REF!</definedName>
    <definedName name="XXXXXXXXXXXXXXXXXXXXXXXXX" localSheetId="6">#REF!</definedName>
    <definedName name="XXXXXXXXXXXXXXXXXXXXXXXXX" localSheetId="7">#REF!</definedName>
    <definedName name="XXXXXXXXXXXXXXXXXXXXXXXXX" localSheetId="5">#REF!</definedName>
    <definedName name="XXXXXXXXXXXXXXXXXXXXXXXXX">#REF!</definedName>
  </definedNames>
  <calcPr calcId="145621"/>
</workbook>
</file>

<file path=xl/calcChain.xml><?xml version="1.0" encoding="utf-8"?>
<calcChain xmlns="http://schemas.openxmlformats.org/spreadsheetml/2006/main">
  <c r="W293" i="15" l="1"/>
  <c r="AR467" i="29" l="1"/>
  <c r="J73" i="17" l="1"/>
  <c r="F73" i="17"/>
  <c r="AF349" i="33" l="1"/>
  <c r="AE349" i="33"/>
  <c r="AD349" i="33"/>
  <c r="AC349" i="33"/>
  <c r="AB349" i="33"/>
  <c r="AA349" i="33"/>
  <c r="Z349" i="33"/>
  <c r="Y349" i="33"/>
  <c r="X349" i="33"/>
  <c r="W349" i="33"/>
  <c r="V349" i="33"/>
  <c r="U349" i="33"/>
  <c r="AF406" i="33" l="1"/>
  <c r="AE406" i="33"/>
  <c r="AD406" i="33"/>
  <c r="AC406" i="33"/>
  <c r="AB406" i="33"/>
  <c r="AA406" i="33"/>
  <c r="Z406" i="33"/>
  <c r="Y406" i="33"/>
  <c r="X406" i="33"/>
  <c r="W406" i="33"/>
  <c r="V406" i="33"/>
  <c r="U406" i="33"/>
  <c r="AU462" i="29" l="1"/>
  <c r="AR462" i="29"/>
  <c r="AS462" i="29"/>
  <c r="AT462" i="29"/>
  <c r="AQ462" i="29"/>
  <c r="U350" i="33" l="1"/>
  <c r="V350" i="33"/>
  <c r="W350" i="33"/>
  <c r="X350" i="33"/>
  <c r="Y350" i="33"/>
  <c r="Z350" i="33"/>
  <c r="AA350" i="33"/>
  <c r="AB350" i="33"/>
  <c r="AC350" i="33"/>
  <c r="AD350" i="33"/>
  <c r="AE350" i="33"/>
  <c r="AF350" i="33"/>
  <c r="E207" i="15" l="1"/>
  <c r="B38" i="33" l="1"/>
  <c r="B39" i="33"/>
  <c r="B40" i="33"/>
  <c r="B41" i="33"/>
  <c r="B42" i="33"/>
  <c r="B43" i="33"/>
  <c r="B44" i="33"/>
  <c r="B45" i="33"/>
  <c r="B32" i="26"/>
  <c r="B33" i="26"/>
  <c r="B34" i="26"/>
  <c r="B35" i="26"/>
  <c r="B36" i="26"/>
  <c r="B37" i="26"/>
  <c r="B38" i="26"/>
  <c r="B39" i="26"/>
  <c r="V332" i="33" l="1"/>
  <c r="W332" i="33"/>
  <c r="X332" i="33"/>
  <c r="Y332" i="33"/>
  <c r="Z332" i="33"/>
  <c r="AA332" i="33"/>
  <c r="AB332" i="33"/>
  <c r="AC332" i="33"/>
  <c r="AD332" i="33"/>
  <c r="AE332" i="33"/>
  <c r="AF332" i="33"/>
  <c r="V333" i="33" l="1"/>
  <c r="V388" i="33" s="1"/>
  <c r="W333" i="33"/>
  <c r="W388" i="33" s="1"/>
  <c r="X333" i="33"/>
  <c r="X388" i="33" s="1"/>
  <c r="Y333" i="33"/>
  <c r="Y388" i="33" s="1"/>
  <c r="Z333" i="33"/>
  <c r="Z388" i="33" s="1"/>
  <c r="AA333" i="33"/>
  <c r="AA388" i="33" s="1"/>
  <c r="AB333" i="33"/>
  <c r="AB388" i="33" s="1"/>
  <c r="AC333" i="33"/>
  <c r="AC388" i="33" s="1"/>
  <c r="AD333" i="33"/>
  <c r="AD388" i="33" s="1"/>
  <c r="AE333" i="33"/>
  <c r="AE388" i="33" s="1"/>
  <c r="AF333" i="33"/>
  <c r="AF388" i="33" s="1"/>
  <c r="G202" i="33" l="1"/>
  <c r="G203" i="33"/>
  <c r="G204" i="33"/>
  <c r="G201" i="33"/>
  <c r="I72" i="33"/>
  <c r="J72" i="33" s="1"/>
  <c r="K72" i="33"/>
  <c r="L72" i="33" s="1"/>
  <c r="I73" i="33"/>
  <c r="J73" i="33" s="1"/>
  <c r="K73" i="33"/>
  <c r="L73" i="33" s="1"/>
  <c r="I74" i="33"/>
  <c r="J74" i="33" s="1"/>
  <c r="K74" i="33"/>
  <c r="L74" i="33" s="1"/>
  <c r="I75" i="33"/>
  <c r="J75" i="33" s="1"/>
  <c r="K75" i="33"/>
  <c r="L75" i="33" s="1"/>
  <c r="I76" i="33"/>
  <c r="J76" i="33" s="1"/>
  <c r="K76" i="33"/>
  <c r="L76" i="33" s="1"/>
  <c r="I77" i="33"/>
  <c r="J77" i="33" s="1"/>
  <c r="K77" i="33"/>
  <c r="L77" i="33" s="1"/>
  <c r="I78" i="33"/>
  <c r="J78" i="33" s="1"/>
  <c r="K78" i="33"/>
  <c r="L78" i="33" s="1"/>
  <c r="I79" i="33"/>
  <c r="J79" i="33" s="1"/>
  <c r="K79" i="33"/>
  <c r="L79" i="33" s="1"/>
  <c r="B37" i="17"/>
  <c r="B38" i="17"/>
  <c r="B39" i="17"/>
  <c r="B40" i="17"/>
  <c r="B41" i="17"/>
  <c r="B42" i="17"/>
  <c r="B43" i="17"/>
  <c r="B44" i="17"/>
  <c r="U134" i="15"/>
  <c r="V134" i="15"/>
  <c r="W134" i="15"/>
  <c r="X134" i="15"/>
  <c r="Y134" i="15"/>
  <c r="Z134" i="15"/>
  <c r="AA134" i="15"/>
  <c r="AB134" i="15"/>
  <c r="AC134" i="15"/>
  <c r="AD134" i="15"/>
  <c r="AE134" i="15"/>
  <c r="AF134" i="15"/>
  <c r="M78" i="33" l="1"/>
  <c r="M75" i="33"/>
  <c r="M76" i="33"/>
  <c r="M73" i="33"/>
  <c r="M72" i="33"/>
  <c r="M79" i="33"/>
  <c r="M74" i="33"/>
  <c r="M77" i="33"/>
  <c r="C24" i="22" l="1"/>
  <c r="C10" i="22"/>
  <c r="C17" i="22"/>
  <c r="C18" i="22"/>
  <c r="C19" i="22"/>
  <c r="C20" i="22"/>
  <c r="C21" i="22"/>
  <c r="C22" i="22"/>
  <c r="C23" i="22"/>
  <c r="AF52" i="31" l="1"/>
  <c r="AF16" i="31" s="1"/>
  <c r="AE52" i="31"/>
  <c r="AE16" i="31" s="1"/>
  <c r="AD52" i="31"/>
  <c r="AD16" i="31" s="1"/>
  <c r="AC52" i="31"/>
  <c r="AC16" i="31" s="1"/>
  <c r="AB52" i="31"/>
  <c r="AB16" i="31" s="1"/>
  <c r="AA52" i="31"/>
  <c r="AA34" i="31" s="1"/>
  <c r="Z52" i="31"/>
  <c r="Z34" i="31" s="1"/>
  <c r="Y52" i="31"/>
  <c r="Y16" i="31" s="1"/>
  <c r="X52" i="31"/>
  <c r="X16" i="31" s="1"/>
  <c r="W52" i="31"/>
  <c r="W34" i="31" s="1"/>
  <c r="V52" i="31"/>
  <c r="U52" i="31"/>
  <c r="AF34" i="31"/>
  <c r="AE34" i="31"/>
  <c r="B32" i="31"/>
  <c r="B31" i="31"/>
  <c r="B30" i="31"/>
  <c r="B29" i="31"/>
  <c r="F28" i="31"/>
  <c r="B28" i="31"/>
  <c r="B27" i="31"/>
  <c r="B26" i="31"/>
  <c r="B25" i="31"/>
  <c r="B24" i="31"/>
  <c r="B23" i="31"/>
  <c r="B22" i="31"/>
  <c r="B21" i="31"/>
  <c r="B20" i="31"/>
  <c r="B19" i="31"/>
  <c r="B18" i="31"/>
  <c r="B17" i="31"/>
  <c r="AA16" i="31"/>
  <c r="B14" i="31"/>
  <c r="B13" i="31"/>
  <c r="B12" i="31"/>
  <c r="B11" i="31"/>
  <c r="B10" i="31"/>
  <c r="B9" i="31"/>
  <c r="B7" i="31"/>
  <c r="B4" i="31"/>
  <c r="AF2" i="31"/>
  <c r="AE2" i="31"/>
  <c r="AD2" i="31"/>
  <c r="AC2" i="31"/>
  <c r="AB2" i="31"/>
  <c r="AA2" i="31"/>
  <c r="Z2" i="31"/>
  <c r="Y2" i="31"/>
  <c r="X2" i="31"/>
  <c r="W2" i="31"/>
  <c r="V2" i="31"/>
  <c r="U2" i="31"/>
  <c r="T2" i="31"/>
  <c r="S2" i="31"/>
  <c r="R2" i="31"/>
  <c r="Q2" i="31"/>
  <c r="P2" i="31"/>
  <c r="O2" i="31"/>
  <c r="N2" i="31"/>
  <c r="M2" i="31"/>
  <c r="L2" i="31"/>
  <c r="K2" i="31"/>
  <c r="J2" i="31"/>
  <c r="I2" i="31"/>
  <c r="O1" i="31"/>
  <c r="C25" i="22"/>
  <c r="C16" i="22"/>
  <c r="C15" i="22"/>
  <c r="C14" i="22"/>
  <c r="C13" i="22"/>
  <c r="C12" i="22"/>
  <c r="C11" i="22"/>
  <c r="C2" i="22"/>
  <c r="L1" i="22"/>
  <c r="AB48" i="26"/>
  <c r="AA48" i="26"/>
  <c r="Z48" i="26"/>
  <c r="Y48" i="26"/>
  <c r="X48" i="26"/>
  <c r="W48" i="26"/>
  <c r="V48" i="26"/>
  <c r="U48" i="26"/>
  <c r="T48" i="26"/>
  <c r="S48" i="26"/>
  <c r="R48" i="26"/>
  <c r="Q48" i="26"/>
  <c r="P48" i="26"/>
  <c r="O48" i="26"/>
  <c r="N48" i="26"/>
  <c r="M48" i="26"/>
  <c r="L48" i="26"/>
  <c r="K48" i="26"/>
  <c r="J48" i="26"/>
  <c r="I48" i="26"/>
  <c r="H48" i="26"/>
  <c r="G48" i="26"/>
  <c r="F48" i="26"/>
  <c r="E48" i="26"/>
  <c r="D48" i="26"/>
  <c r="B31" i="26"/>
  <c r="B30" i="26"/>
  <c r="B29" i="26"/>
  <c r="B28" i="26"/>
  <c r="B27" i="26"/>
  <c r="B26" i="26"/>
  <c r="B25" i="26"/>
  <c r="B24" i="26"/>
  <c r="B23" i="26"/>
  <c r="B22" i="26"/>
  <c r="B21" i="26"/>
  <c r="B20" i="26"/>
  <c r="AI15" i="26"/>
  <c r="AI12" i="26"/>
  <c r="B4" i="26"/>
  <c r="AA2" i="26"/>
  <c r="Z2" i="26"/>
  <c r="Y2" i="26"/>
  <c r="X2" i="26"/>
  <c r="W2" i="26"/>
  <c r="V2" i="26"/>
  <c r="U2" i="26"/>
  <c r="T2" i="26"/>
  <c r="S2" i="26"/>
  <c r="R2" i="26"/>
  <c r="Q2" i="26"/>
  <c r="P2" i="26"/>
  <c r="O2" i="26"/>
  <c r="N2" i="26"/>
  <c r="M2" i="26"/>
  <c r="L2" i="26"/>
  <c r="K2" i="26"/>
  <c r="J2" i="26"/>
  <c r="I2" i="26"/>
  <c r="H2" i="26"/>
  <c r="G2" i="26"/>
  <c r="F2" i="26"/>
  <c r="E2" i="26"/>
  <c r="D2" i="26"/>
  <c r="K1" i="26"/>
  <c r="B36" i="17"/>
  <c r="B35" i="17"/>
  <c r="B34" i="17"/>
  <c r="B33" i="17"/>
  <c r="B32" i="17"/>
  <c r="B31" i="17"/>
  <c r="B30" i="17"/>
  <c r="B29" i="17"/>
  <c r="B28" i="17"/>
  <c r="B27" i="17"/>
  <c r="B26" i="17"/>
  <c r="B25" i="17"/>
  <c r="B2" i="17"/>
  <c r="N1" i="17"/>
  <c r="G433" i="15"/>
  <c r="G432" i="15"/>
  <c r="G431" i="15"/>
  <c r="C428" i="15"/>
  <c r="C426" i="15" s="1"/>
  <c r="C423" i="15"/>
  <c r="C422" i="15"/>
  <c r="E440" i="15" s="1"/>
  <c r="G318" i="15"/>
  <c r="G58" i="15" s="1"/>
  <c r="G317" i="15"/>
  <c r="G67" i="33" s="1"/>
  <c r="O65" i="33" s="1"/>
  <c r="G105" i="33" s="1"/>
  <c r="G316" i="15"/>
  <c r="G66" i="33" s="1"/>
  <c r="O64" i="33" s="1"/>
  <c r="AF287" i="15"/>
  <c r="AE287" i="15"/>
  <c r="AD287" i="15"/>
  <c r="AC287" i="15"/>
  <c r="AB287" i="15"/>
  <c r="AA287" i="15"/>
  <c r="Z287" i="15"/>
  <c r="Y287" i="15"/>
  <c r="X287" i="15"/>
  <c r="W287" i="15"/>
  <c r="V287" i="15"/>
  <c r="U287" i="15"/>
  <c r="AF273" i="15"/>
  <c r="AE273" i="15"/>
  <c r="AD273" i="15"/>
  <c r="AC273" i="15"/>
  <c r="AB273" i="15"/>
  <c r="AA273" i="15"/>
  <c r="Z273" i="15"/>
  <c r="Y273" i="15"/>
  <c r="X273" i="15"/>
  <c r="W273" i="15"/>
  <c r="V273" i="15"/>
  <c r="U273" i="15"/>
  <c r="AF259" i="15"/>
  <c r="AE259" i="15"/>
  <c r="AD259" i="15"/>
  <c r="AC259" i="15"/>
  <c r="AB259" i="15"/>
  <c r="AA259" i="15"/>
  <c r="Z259" i="15"/>
  <c r="Y259" i="15"/>
  <c r="X259" i="15"/>
  <c r="W259" i="15"/>
  <c r="V259" i="15"/>
  <c r="U259" i="15"/>
  <c r="AF254" i="15"/>
  <c r="AE254" i="15"/>
  <c r="AD254" i="15"/>
  <c r="AC254" i="15"/>
  <c r="AB254" i="15"/>
  <c r="AA254" i="15"/>
  <c r="Z254" i="15"/>
  <c r="Y254" i="15"/>
  <c r="X254" i="15"/>
  <c r="W254" i="15"/>
  <c r="V254" i="15"/>
  <c r="U254" i="15"/>
  <c r="AF241" i="15"/>
  <c r="AF135" i="15" s="1"/>
  <c r="AE241" i="15"/>
  <c r="AE135" i="15" s="1"/>
  <c r="AD241" i="15"/>
  <c r="AD135" i="15" s="1"/>
  <c r="AC241" i="15"/>
  <c r="AC135" i="15" s="1"/>
  <c r="AB241" i="15"/>
  <c r="AB135" i="15" s="1"/>
  <c r="AA241" i="15"/>
  <c r="AA135" i="15" s="1"/>
  <c r="Z241" i="15"/>
  <c r="Z135" i="15" s="1"/>
  <c r="Y241" i="15"/>
  <c r="Y135" i="15" s="1"/>
  <c r="X241" i="15"/>
  <c r="X135" i="15" s="1"/>
  <c r="W241" i="15"/>
  <c r="W135" i="15" s="1"/>
  <c r="V241" i="15"/>
  <c r="V135" i="15" s="1"/>
  <c r="U241" i="15"/>
  <c r="U135" i="15" s="1"/>
  <c r="E209" i="15"/>
  <c r="F41" i="22" s="1"/>
  <c r="F46" i="22" s="1"/>
  <c r="H41" i="22" s="1"/>
  <c r="AF198" i="15"/>
  <c r="AF403" i="33" s="1"/>
  <c r="AE198" i="15"/>
  <c r="AE403" i="33" s="1"/>
  <c r="AD198" i="15"/>
  <c r="AD403" i="33" s="1"/>
  <c r="AC198" i="15"/>
  <c r="AC403" i="33" s="1"/>
  <c r="AB198" i="15"/>
  <c r="AB403" i="33" s="1"/>
  <c r="AA198" i="15"/>
  <c r="AA403" i="33" s="1"/>
  <c r="Z198" i="15"/>
  <c r="Z403" i="33" s="1"/>
  <c r="Y198" i="15"/>
  <c r="Y403" i="33" s="1"/>
  <c r="X198" i="15"/>
  <c r="X403" i="33" s="1"/>
  <c r="W198" i="15"/>
  <c r="W403" i="33" s="1"/>
  <c r="V198" i="15"/>
  <c r="V403" i="33" s="1"/>
  <c r="U198" i="15"/>
  <c r="U403" i="33" s="1"/>
  <c r="AG168" i="15"/>
  <c r="AF111" i="15"/>
  <c r="AF402" i="33" s="1"/>
  <c r="AE111" i="15"/>
  <c r="AE402" i="33" s="1"/>
  <c r="AD111" i="15"/>
  <c r="AD402" i="33" s="1"/>
  <c r="AC111" i="15"/>
  <c r="AC402" i="33" s="1"/>
  <c r="AB111" i="15"/>
  <c r="AB402" i="33" s="1"/>
  <c r="AA111" i="15"/>
  <c r="AA402" i="33" s="1"/>
  <c r="Z111" i="15"/>
  <c r="Z402" i="33" s="1"/>
  <c r="Y111" i="15"/>
  <c r="Y402" i="33" s="1"/>
  <c r="X111" i="15"/>
  <c r="X402" i="33" s="1"/>
  <c r="W111" i="15"/>
  <c r="W402" i="33" s="1"/>
  <c r="V111" i="15"/>
  <c r="V402" i="33" s="1"/>
  <c r="U111" i="15"/>
  <c r="U402" i="33" s="1"/>
  <c r="AF106" i="15"/>
  <c r="AE106" i="15"/>
  <c r="AD106" i="15"/>
  <c r="AC106" i="15"/>
  <c r="AB106" i="15"/>
  <c r="AA106" i="15"/>
  <c r="Z106" i="15"/>
  <c r="Y106" i="15"/>
  <c r="X106" i="15"/>
  <c r="W106" i="15"/>
  <c r="V106" i="15"/>
  <c r="U106" i="15"/>
  <c r="AF105" i="15"/>
  <c r="AF404" i="33" s="1"/>
  <c r="AF28" i="31" s="1"/>
  <c r="AE105" i="15"/>
  <c r="AE404" i="33" s="1"/>
  <c r="AD105" i="15"/>
  <c r="AD404" i="33" s="1"/>
  <c r="AC105" i="15"/>
  <c r="AB105" i="15"/>
  <c r="AB404" i="33" s="1"/>
  <c r="AA105" i="15"/>
  <c r="AA404" i="33" s="1"/>
  <c r="Z105" i="15"/>
  <c r="Z404" i="33" s="1"/>
  <c r="Y105" i="15"/>
  <c r="X105" i="15"/>
  <c r="X404" i="33" s="1"/>
  <c r="W105" i="15"/>
  <c r="W404" i="33" s="1"/>
  <c r="V105" i="15"/>
  <c r="V404" i="33" s="1"/>
  <c r="U105" i="15"/>
  <c r="U404" i="33" s="1"/>
  <c r="AF103" i="15"/>
  <c r="AE103" i="15"/>
  <c r="AE377" i="33" s="1"/>
  <c r="AD103" i="15"/>
  <c r="AD377" i="33" s="1"/>
  <c r="AC103" i="15"/>
  <c r="AC377" i="33" s="1"/>
  <c r="AB103" i="15"/>
  <c r="AB377" i="33" s="1"/>
  <c r="AA103" i="15"/>
  <c r="AA377" i="33" s="1"/>
  <c r="Z103" i="15"/>
  <c r="Z377" i="33" s="1"/>
  <c r="Y103" i="15"/>
  <c r="Y377" i="33" s="1"/>
  <c r="X103" i="15"/>
  <c r="W103" i="15"/>
  <c r="W377" i="33" s="1"/>
  <c r="V103" i="15"/>
  <c r="V377" i="33" s="1"/>
  <c r="U103" i="15"/>
  <c r="U377" i="33" s="1"/>
  <c r="H102" i="15"/>
  <c r="H100" i="15"/>
  <c r="AF98" i="15"/>
  <c r="AE98" i="15"/>
  <c r="AE99" i="15" s="1"/>
  <c r="AE379" i="33" s="1"/>
  <c r="AD98" i="15"/>
  <c r="AD99" i="15" s="1"/>
  <c r="AC98" i="15"/>
  <c r="AC99" i="15" s="1"/>
  <c r="AC379" i="33" s="1"/>
  <c r="AB98" i="15"/>
  <c r="AA98" i="15"/>
  <c r="AA99" i="15" s="1"/>
  <c r="AA379" i="33" s="1"/>
  <c r="Z98" i="15"/>
  <c r="Z99" i="15" s="1"/>
  <c r="Y98" i="15"/>
  <c r="Y99" i="15" s="1"/>
  <c r="Y379" i="33" s="1"/>
  <c r="X98" i="15"/>
  <c r="W98" i="15"/>
  <c r="W99" i="15" s="1"/>
  <c r="V98" i="15"/>
  <c r="V99" i="15" s="1"/>
  <c r="V379" i="33" s="1"/>
  <c r="U98" i="15"/>
  <c r="U99" i="15" s="1"/>
  <c r="U379" i="33" s="1"/>
  <c r="H97" i="15"/>
  <c r="H96" i="15"/>
  <c r="H95" i="15"/>
  <c r="H94" i="15"/>
  <c r="H93" i="15"/>
  <c r="H92" i="15"/>
  <c r="H91" i="15"/>
  <c r="H90" i="15"/>
  <c r="H89" i="15"/>
  <c r="H88" i="15"/>
  <c r="I77" i="15"/>
  <c r="M64" i="15"/>
  <c r="M63" i="15"/>
  <c r="AU40" i="15"/>
  <c r="AT40" i="15"/>
  <c r="AS40" i="15"/>
  <c r="BO14" i="15"/>
  <c r="BN14" i="15"/>
  <c r="BM14" i="15"/>
  <c r="BL14" i="15"/>
  <c r="BK14" i="15"/>
  <c r="BJ14" i="15"/>
  <c r="BI14" i="15"/>
  <c r="BH14" i="15"/>
  <c r="BG14" i="15"/>
  <c r="BF14" i="15"/>
  <c r="BE14" i="15"/>
  <c r="BD14" i="15"/>
  <c r="BC14" i="15"/>
  <c r="I9" i="15"/>
  <c r="BO6" i="15"/>
  <c r="BN6" i="15"/>
  <c r="BM6" i="15"/>
  <c r="BL6" i="15"/>
  <c r="BK6" i="15"/>
  <c r="BJ6" i="15"/>
  <c r="BI6" i="15"/>
  <c r="BH6" i="15"/>
  <c r="BG6" i="15"/>
  <c r="BF6" i="15"/>
  <c r="BE6" i="15"/>
  <c r="BD6" i="15"/>
  <c r="BC6" i="15"/>
  <c r="BB6" i="15"/>
  <c r="BA6" i="15"/>
  <c r="AZ6" i="15"/>
  <c r="AY6" i="15"/>
  <c r="AX6" i="15"/>
  <c r="AW6" i="15"/>
  <c r="AV6" i="15"/>
  <c r="AU6" i="15"/>
  <c r="AT6" i="15"/>
  <c r="AS6" i="15"/>
  <c r="AR6" i="15"/>
  <c r="AJ4" i="15"/>
  <c r="H3" i="22" s="1"/>
  <c r="AF474" i="33"/>
  <c r="AE474" i="33"/>
  <c r="AD474" i="33"/>
  <c r="AC474" i="33"/>
  <c r="AB474" i="33"/>
  <c r="AA474" i="33"/>
  <c r="Z474" i="33"/>
  <c r="Y474" i="33"/>
  <c r="X474" i="33"/>
  <c r="W474" i="33"/>
  <c r="V474" i="33"/>
  <c r="U474" i="33"/>
  <c r="AF473" i="33"/>
  <c r="AE473" i="33"/>
  <c r="AD473" i="33"/>
  <c r="AC473" i="33"/>
  <c r="AB473" i="33"/>
  <c r="AA473" i="33"/>
  <c r="Z473" i="33"/>
  <c r="Y473" i="33"/>
  <c r="X473" i="33"/>
  <c r="W473" i="33"/>
  <c r="V473" i="33"/>
  <c r="U473" i="33"/>
  <c r="V460" i="33"/>
  <c r="AF438" i="33"/>
  <c r="AE438" i="33"/>
  <c r="AD438" i="33"/>
  <c r="AC438" i="33"/>
  <c r="AB438" i="33"/>
  <c r="AA438" i="33"/>
  <c r="Z438" i="33"/>
  <c r="Y438" i="33"/>
  <c r="X438" i="33"/>
  <c r="W438" i="33"/>
  <c r="V438" i="33"/>
  <c r="B429" i="33"/>
  <c r="C426" i="33" s="1"/>
  <c r="AF30" i="31"/>
  <c r="AF405" i="33"/>
  <c r="AF29" i="31" s="1"/>
  <c r="AE405" i="33"/>
  <c r="AD405" i="33"/>
  <c r="AC405" i="33"/>
  <c r="AB405" i="33"/>
  <c r="AA405" i="33"/>
  <c r="Z405" i="33"/>
  <c r="Y405" i="33"/>
  <c r="X405" i="33"/>
  <c r="W405" i="33"/>
  <c r="V405" i="33"/>
  <c r="U405" i="33"/>
  <c r="AF401" i="33"/>
  <c r="AF25" i="31" s="1"/>
  <c r="AE401" i="33"/>
  <c r="AD401" i="33"/>
  <c r="AC401" i="33"/>
  <c r="AB401" i="33"/>
  <c r="AA401" i="33"/>
  <c r="Z401" i="33"/>
  <c r="Y401" i="33"/>
  <c r="X401" i="33"/>
  <c r="W401" i="33"/>
  <c r="V401" i="33"/>
  <c r="U401" i="33"/>
  <c r="AF397" i="33"/>
  <c r="AF21" i="31" s="1"/>
  <c r="AE397" i="33"/>
  <c r="AD397" i="33"/>
  <c r="AC397" i="33"/>
  <c r="AB397" i="33"/>
  <c r="AA397" i="33"/>
  <c r="Z397" i="33"/>
  <c r="Y397" i="33"/>
  <c r="X397" i="33"/>
  <c r="W397" i="33"/>
  <c r="V397" i="33"/>
  <c r="U397" i="33"/>
  <c r="AF396" i="33"/>
  <c r="AF20" i="31" s="1"/>
  <c r="AE396" i="33"/>
  <c r="AD396" i="33"/>
  <c r="AC396" i="33"/>
  <c r="AB396" i="33"/>
  <c r="AA396" i="33"/>
  <c r="Z396" i="33"/>
  <c r="Y396" i="33"/>
  <c r="X396" i="33"/>
  <c r="W396" i="33"/>
  <c r="V396" i="33"/>
  <c r="U396" i="33"/>
  <c r="AF387" i="33"/>
  <c r="AF11" i="31" s="1"/>
  <c r="AE387" i="33"/>
  <c r="AD387" i="33"/>
  <c r="AC387" i="33"/>
  <c r="AB387" i="33"/>
  <c r="AA387" i="33"/>
  <c r="Z387" i="33"/>
  <c r="Y387" i="33"/>
  <c r="X387" i="33"/>
  <c r="W387" i="33"/>
  <c r="V387" i="33"/>
  <c r="U387" i="33"/>
  <c r="AF386" i="33"/>
  <c r="AF10" i="31" s="1"/>
  <c r="AE386" i="33"/>
  <c r="AD386" i="33"/>
  <c r="AC386" i="33"/>
  <c r="AB386" i="33"/>
  <c r="AA386" i="33"/>
  <c r="Z386" i="33"/>
  <c r="Y386" i="33"/>
  <c r="X386" i="33"/>
  <c r="W386" i="33"/>
  <c r="V386" i="33"/>
  <c r="U386" i="33"/>
  <c r="AF385" i="33"/>
  <c r="AF9" i="31" s="1"/>
  <c r="AE385" i="33"/>
  <c r="AD385" i="33"/>
  <c r="AC385" i="33"/>
  <c r="AB385" i="33"/>
  <c r="AA385" i="33"/>
  <c r="Z385" i="33"/>
  <c r="Y385" i="33"/>
  <c r="X385" i="33"/>
  <c r="W385" i="33"/>
  <c r="V385" i="33"/>
  <c r="U385" i="33"/>
  <c r="AF384" i="33"/>
  <c r="AF8" i="31" s="1"/>
  <c r="AE384" i="33"/>
  <c r="AD384" i="33"/>
  <c r="AC384" i="33"/>
  <c r="AB384" i="33"/>
  <c r="AA384" i="33"/>
  <c r="Z384" i="33"/>
  <c r="Y384" i="33"/>
  <c r="X384" i="33"/>
  <c r="W384" i="33"/>
  <c r="V384" i="33"/>
  <c r="U384" i="33"/>
  <c r="U382" i="33"/>
  <c r="AF381" i="33"/>
  <c r="AE381" i="33"/>
  <c r="AD381" i="33"/>
  <c r="AC381" i="33"/>
  <c r="AB381" i="33"/>
  <c r="AA381" i="33"/>
  <c r="Z381" i="33"/>
  <c r="Y381" i="33"/>
  <c r="X381" i="33"/>
  <c r="W381" i="33"/>
  <c r="V381" i="33"/>
  <c r="U381" i="33"/>
  <c r="AF376" i="33"/>
  <c r="AE376" i="33"/>
  <c r="AD376" i="33"/>
  <c r="AC376" i="33"/>
  <c r="AB376" i="33"/>
  <c r="AA376" i="33"/>
  <c r="Z376" i="33"/>
  <c r="Y376" i="33"/>
  <c r="X376" i="33"/>
  <c r="W376" i="33"/>
  <c r="V376" i="33"/>
  <c r="U376" i="33"/>
  <c r="J362" i="33"/>
  <c r="J364" i="33" s="1"/>
  <c r="I362" i="33"/>
  <c r="I364" i="33" s="1"/>
  <c r="H346" i="33"/>
  <c r="G327" i="33"/>
  <c r="C268" i="33"/>
  <c r="C267" i="33"/>
  <c r="C266" i="33"/>
  <c r="C265" i="33"/>
  <c r="G254" i="33"/>
  <c r="AD254" i="33" s="1"/>
  <c r="C254" i="33"/>
  <c r="G253" i="33"/>
  <c r="AF253" i="33" s="1"/>
  <c r="C253" i="33"/>
  <c r="G252" i="33"/>
  <c r="AD252" i="33" s="1"/>
  <c r="C252" i="33"/>
  <c r="G236" i="33"/>
  <c r="AC236" i="33" s="1"/>
  <c r="C236" i="33"/>
  <c r="G235" i="33"/>
  <c r="C235" i="33"/>
  <c r="G234" i="33"/>
  <c r="C234" i="33"/>
  <c r="G233" i="33"/>
  <c r="C233" i="33"/>
  <c r="C222" i="33"/>
  <c r="C221" i="33"/>
  <c r="C220" i="33"/>
  <c r="C204" i="33"/>
  <c r="C203" i="33"/>
  <c r="C202" i="33"/>
  <c r="C201" i="33"/>
  <c r="G183" i="33"/>
  <c r="AD183" i="33" s="1"/>
  <c r="C183" i="33"/>
  <c r="G182" i="33"/>
  <c r="AD182" i="33" s="1"/>
  <c r="C182" i="33"/>
  <c r="G181" i="33"/>
  <c r="AD181" i="33" s="1"/>
  <c r="C181" i="33"/>
  <c r="G165" i="33"/>
  <c r="AF165" i="33" s="1"/>
  <c r="C165" i="33"/>
  <c r="G164" i="33"/>
  <c r="C164" i="33"/>
  <c r="G163" i="33"/>
  <c r="C163" i="33"/>
  <c r="G162" i="33"/>
  <c r="C162" i="33"/>
  <c r="G116" i="33"/>
  <c r="C116" i="33"/>
  <c r="G115" i="33"/>
  <c r="C115" i="33"/>
  <c r="G114" i="33"/>
  <c r="C114" i="33"/>
  <c r="G98" i="33"/>
  <c r="C98" i="33"/>
  <c r="G97" i="33"/>
  <c r="C97" i="33"/>
  <c r="G96" i="33"/>
  <c r="C96" i="33"/>
  <c r="G95" i="33"/>
  <c r="C95" i="33"/>
  <c r="K94" i="33"/>
  <c r="L94" i="33" s="1"/>
  <c r="J94" i="33"/>
  <c r="Q93" i="33"/>
  <c r="R93" i="33" s="1"/>
  <c r="O93" i="33"/>
  <c r="P93" i="33" s="1"/>
  <c r="K93" i="33"/>
  <c r="L93" i="33" s="1"/>
  <c r="J93" i="33"/>
  <c r="Q92" i="33"/>
  <c r="R92" i="33" s="1"/>
  <c r="O92" i="33"/>
  <c r="P92" i="33" s="1"/>
  <c r="K92" i="33"/>
  <c r="L92" i="33" s="1"/>
  <c r="I92" i="33"/>
  <c r="J92" i="33" s="1"/>
  <c r="Q91" i="33"/>
  <c r="R91" i="33" s="1"/>
  <c r="O91" i="33"/>
  <c r="P91" i="33" s="1"/>
  <c r="K91" i="33"/>
  <c r="L91" i="33" s="1"/>
  <c r="I91" i="33"/>
  <c r="J91" i="33" s="1"/>
  <c r="Q90" i="33"/>
  <c r="R90" i="33" s="1"/>
  <c r="O90" i="33"/>
  <c r="P90" i="33" s="1"/>
  <c r="K90" i="33"/>
  <c r="L90" i="33" s="1"/>
  <c r="I90" i="33"/>
  <c r="J90" i="33" s="1"/>
  <c r="Q89" i="33"/>
  <c r="R89" i="33" s="1"/>
  <c r="O89" i="33"/>
  <c r="P89" i="33" s="1"/>
  <c r="K89" i="33"/>
  <c r="L89" i="33" s="1"/>
  <c r="I89" i="33"/>
  <c r="J89" i="33" s="1"/>
  <c r="Q88" i="33"/>
  <c r="R88" i="33" s="1"/>
  <c r="O88" i="33"/>
  <c r="P88" i="33" s="1"/>
  <c r="K88" i="33"/>
  <c r="L88" i="33" s="1"/>
  <c r="I88" i="33"/>
  <c r="J88" i="33" s="1"/>
  <c r="Q87" i="33"/>
  <c r="R87" i="33" s="1"/>
  <c r="O87" i="33"/>
  <c r="P87" i="33" s="1"/>
  <c r="K87" i="33"/>
  <c r="L87" i="33" s="1"/>
  <c r="I87" i="33"/>
  <c r="J87" i="33" s="1"/>
  <c r="Q86" i="33"/>
  <c r="R86" i="33" s="1"/>
  <c r="O86" i="33"/>
  <c r="P86" i="33" s="1"/>
  <c r="K86" i="33"/>
  <c r="L86" i="33" s="1"/>
  <c r="I86" i="33"/>
  <c r="J86" i="33" s="1"/>
  <c r="Q85" i="33"/>
  <c r="R85" i="33" s="1"/>
  <c r="O85" i="33"/>
  <c r="P85" i="33" s="1"/>
  <c r="K85" i="33"/>
  <c r="L85" i="33" s="1"/>
  <c r="I85" i="33"/>
  <c r="J85" i="33" s="1"/>
  <c r="Q84" i="33"/>
  <c r="R84" i="33" s="1"/>
  <c r="O84" i="33"/>
  <c r="P84" i="33" s="1"/>
  <c r="K84" i="33"/>
  <c r="L84" i="33" s="1"/>
  <c r="I84" i="33"/>
  <c r="J84" i="33" s="1"/>
  <c r="K83" i="33"/>
  <c r="L83" i="33" s="1"/>
  <c r="I83" i="33"/>
  <c r="J83" i="33" s="1"/>
  <c r="Q80" i="33"/>
  <c r="R80" i="33" s="1"/>
  <c r="O80" i="33"/>
  <c r="P80" i="33" s="1"/>
  <c r="K80" i="33"/>
  <c r="L80" i="33" s="1"/>
  <c r="J80" i="33"/>
  <c r="Q79" i="33"/>
  <c r="R79" i="33" s="1"/>
  <c r="O79" i="33"/>
  <c r="P79" i="33" s="1"/>
  <c r="K71" i="33"/>
  <c r="L71" i="33" s="1"/>
  <c r="I71" i="33"/>
  <c r="J71" i="33" s="1"/>
  <c r="Q78" i="33"/>
  <c r="R78" i="33" s="1"/>
  <c r="O78" i="33"/>
  <c r="P78" i="33" s="1"/>
  <c r="K70" i="33"/>
  <c r="L70" i="33" s="1"/>
  <c r="I70" i="33"/>
  <c r="J70" i="33" s="1"/>
  <c r="Q77" i="33"/>
  <c r="R77" i="33" s="1"/>
  <c r="O77" i="33"/>
  <c r="P77" i="33" s="1"/>
  <c r="K69" i="33"/>
  <c r="L69" i="33" s="1"/>
  <c r="I69" i="33"/>
  <c r="J69" i="33" s="1"/>
  <c r="Q76" i="33"/>
  <c r="R76" i="33" s="1"/>
  <c r="O76" i="33"/>
  <c r="P76" i="33" s="1"/>
  <c r="K68" i="33"/>
  <c r="L68" i="33" s="1"/>
  <c r="I68" i="33"/>
  <c r="J68" i="33" s="1"/>
  <c r="Q75" i="33"/>
  <c r="R75" i="33" s="1"/>
  <c r="O75" i="33"/>
  <c r="P75" i="33" s="1"/>
  <c r="K67" i="33"/>
  <c r="L67" i="33" s="1"/>
  <c r="I67" i="33"/>
  <c r="J67" i="33" s="1"/>
  <c r="Q74" i="33"/>
  <c r="R74" i="33" s="1"/>
  <c r="O74" i="33"/>
  <c r="P74" i="33" s="1"/>
  <c r="K66" i="33"/>
  <c r="L66" i="33" s="1"/>
  <c r="I66" i="33"/>
  <c r="J66" i="33" s="1"/>
  <c r="K65" i="33"/>
  <c r="L65" i="33" s="1"/>
  <c r="I65" i="33"/>
  <c r="J65" i="33" s="1"/>
  <c r="K64" i="33"/>
  <c r="L64" i="33" s="1"/>
  <c r="I64" i="33"/>
  <c r="J64" i="33" s="1"/>
  <c r="R71" i="33"/>
  <c r="S71" i="33" s="1"/>
  <c r="K63" i="33"/>
  <c r="L63" i="33" s="1"/>
  <c r="I63" i="33"/>
  <c r="J63" i="33" s="1"/>
  <c r="R70" i="33"/>
  <c r="S70" i="33" s="1"/>
  <c r="K62" i="33"/>
  <c r="L62" i="33" s="1"/>
  <c r="I62" i="33"/>
  <c r="J62" i="33" s="1"/>
  <c r="K61" i="33"/>
  <c r="L61" i="33" s="1"/>
  <c r="I61" i="33"/>
  <c r="J61" i="33" s="1"/>
  <c r="K60" i="33"/>
  <c r="L60" i="33" s="1"/>
  <c r="I60" i="33"/>
  <c r="J60" i="33" s="1"/>
  <c r="R67" i="33"/>
  <c r="S67" i="33" s="1"/>
  <c r="R66" i="33"/>
  <c r="S66" i="33" s="1"/>
  <c r="O63" i="33"/>
  <c r="P63" i="33" s="1"/>
  <c r="C63" i="33"/>
  <c r="C61" i="33" s="1"/>
  <c r="AJ58" i="33"/>
  <c r="AH58" i="33"/>
  <c r="C58" i="33"/>
  <c r="AJ57" i="33"/>
  <c r="AH57" i="33"/>
  <c r="T57" i="33"/>
  <c r="S57" i="33"/>
  <c r="R57" i="33"/>
  <c r="Q57" i="33"/>
  <c r="P57" i="33"/>
  <c r="O57" i="33"/>
  <c r="O349" i="33" s="1"/>
  <c r="C57" i="33"/>
  <c r="AF53" i="33"/>
  <c r="AE53" i="33"/>
  <c r="AD53" i="33"/>
  <c r="AC53" i="33"/>
  <c r="AB53" i="33"/>
  <c r="AA53" i="33"/>
  <c r="Z53" i="33"/>
  <c r="Y53" i="33"/>
  <c r="Y34" i="33" s="1"/>
  <c r="T28" i="26" s="1"/>
  <c r="X53" i="33"/>
  <c r="W53" i="33"/>
  <c r="V53" i="33"/>
  <c r="U53" i="33"/>
  <c r="T53" i="33"/>
  <c r="S53" i="33"/>
  <c r="R53" i="33"/>
  <c r="Q53" i="33"/>
  <c r="P53" i="33"/>
  <c r="O53" i="33"/>
  <c r="N53" i="33"/>
  <c r="M53" i="33"/>
  <c r="L53" i="33"/>
  <c r="K53" i="33"/>
  <c r="J53" i="33"/>
  <c r="I53" i="33"/>
  <c r="B37" i="33"/>
  <c r="B36" i="33"/>
  <c r="B35" i="33"/>
  <c r="B34" i="33"/>
  <c r="B33" i="33"/>
  <c r="B32" i="33"/>
  <c r="B31" i="33"/>
  <c r="B30" i="33"/>
  <c r="B29" i="33"/>
  <c r="B28" i="33"/>
  <c r="B27" i="33"/>
  <c r="B26" i="33"/>
  <c r="B24" i="33"/>
  <c r="AF7" i="33"/>
  <c r="AE7" i="33"/>
  <c r="AD7" i="33"/>
  <c r="AC7" i="33"/>
  <c r="AB7" i="33"/>
  <c r="AA7" i="33"/>
  <c r="Z7" i="33"/>
  <c r="Y7" i="33"/>
  <c r="X7" i="33"/>
  <c r="W7" i="33"/>
  <c r="V7" i="33"/>
  <c r="U7" i="33"/>
  <c r="T7" i="33"/>
  <c r="S7" i="33"/>
  <c r="R7" i="33"/>
  <c r="Q7" i="33"/>
  <c r="P7" i="33"/>
  <c r="O7" i="33"/>
  <c r="N7" i="33"/>
  <c r="M7" i="33"/>
  <c r="L7" i="33"/>
  <c r="K7" i="33"/>
  <c r="J7" i="33"/>
  <c r="I7" i="33"/>
  <c r="C6" i="33"/>
  <c r="V4" i="33"/>
  <c r="T4" i="33"/>
  <c r="P4" i="33"/>
  <c r="N4" i="33"/>
  <c r="L4" i="33"/>
  <c r="C4" i="33"/>
  <c r="AT153" i="29"/>
  <c r="AT152" i="29"/>
  <c r="AR137" i="29"/>
  <c r="AR136" i="29"/>
  <c r="AO136" i="29" s="1"/>
  <c r="AO137" i="29" s="1"/>
  <c r="AN34" i="29"/>
  <c r="AT48" i="29" s="1"/>
  <c r="S57" i="32"/>
  <c r="Q57" i="32"/>
  <c r="O57" i="32"/>
  <c r="S29" i="32"/>
  <c r="AF114" i="33" l="1"/>
  <c r="AB114" i="33"/>
  <c r="X114" i="33"/>
  <c r="Z114" i="33"/>
  <c r="Y114" i="33"/>
  <c r="AE114" i="33"/>
  <c r="AA114" i="33"/>
  <c r="W114" i="33"/>
  <c r="V114" i="33"/>
  <c r="U114" i="33"/>
  <c r="AD114" i="33"/>
  <c r="AC114" i="33"/>
  <c r="AF116" i="33"/>
  <c r="AB116" i="33"/>
  <c r="X116" i="33"/>
  <c r="Y116" i="33"/>
  <c r="Y97" i="33" s="1"/>
  <c r="AE116" i="33"/>
  <c r="AA116" i="33"/>
  <c r="W116" i="33"/>
  <c r="U116" i="33"/>
  <c r="U97" i="33" s="1"/>
  <c r="AD116" i="33"/>
  <c r="Z116" i="33"/>
  <c r="V116" i="33"/>
  <c r="AC116" i="33"/>
  <c r="AC97" i="33" s="1"/>
  <c r="AF115" i="33"/>
  <c r="AB115" i="33"/>
  <c r="X115" i="33"/>
  <c r="Y115" i="33"/>
  <c r="AE115" i="33"/>
  <c r="AA115" i="33"/>
  <c r="W115" i="33"/>
  <c r="U115" i="33"/>
  <c r="AD115" i="33"/>
  <c r="Z115" i="33"/>
  <c r="V115" i="33"/>
  <c r="AC115" i="33"/>
  <c r="O313" i="15"/>
  <c r="S349" i="33"/>
  <c r="S313" i="15"/>
  <c r="Q349" i="33"/>
  <c r="Q313" i="15"/>
  <c r="R349" i="33"/>
  <c r="R313" i="15"/>
  <c r="P349" i="33"/>
  <c r="P313" i="15"/>
  <c r="T349" i="33"/>
  <c r="T313" i="15"/>
  <c r="AE8" i="31"/>
  <c r="AE9" i="31"/>
  <c r="AE10" i="31"/>
  <c r="AE11" i="31"/>
  <c r="AE20" i="31"/>
  <c r="AE21" i="31"/>
  <c r="Q406" i="33"/>
  <c r="Q114" i="33"/>
  <c r="Q115" i="33"/>
  <c r="Q116" i="33"/>
  <c r="Q97" i="33" s="1"/>
  <c r="R406" i="33"/>
  <c r="R115" i="33"/>
  <c r="R116" i="33"/>
  <c r="R97" i="33" s="1"/>
  <c r="R114" i="33"/>
  <c r="O406" i="33"/>
  <c r="O116" i="33"/>
  <c r="O97" i="33" s="1"/>
  <c r="O114" i="33"/>
  <c r="O115" i="33"/>
  <c r="S406" i="33"/>
  <c r="S116" i="33"/>
  <c r="S97" i="33" s="1"/>
  <c r="S115" i="33"/>
  <c r="S114" i="33"/>
  <c r="P406" i="33"/>
  <c r="P116" i="33"/>
  <c r="P114" i="33"/>
  <c r="P115" i="33"/>
  <c r="T406" i="33"/>
  <c r="T114" i="33"/>
  <c r="T115" i="33"/>
  <c r="T116" i="33"/>
  <c r="T97" i="33" s="1"/>
  <c r="X61" i="15"/>
  <c r="AL183" i="15"/>
  <c r="AL177" i="15"/>
  <c r="AL179" i="15"/>
  <c r="AL182" i="15"/>
  <c r="AL176" i="15"/>
  <c r="AL180" i="15"/>
  <c r="P59" i="15"/>
  <c r="P83" i="15" s="1"/>
  <c r="Y404" i="33"/>
  <c r="T59" i="15"/>
  <c r="T83" i="15" s="1"/>
  <c r="Q59" i="15"/>
  <c r="Q83" i="15" s="1"/>
  <c r="O59" i="15"/>
  <c r="O83" i="15" s="1"/>
  <c r="S59" i="15"/>
  <c r="S83" i="15" s="1"/>
  <c r="R59" i="15"/>
  <c r="R83" i="15" s="1"/>
  <c r="V59" i="15"/>
  <c r="V83" i="15" s="1"/>
  <c r="W59" i="15"/>
  <c r="AA59" i="15"/>
  <c r="AA83" i="15" s="1"/>
  <c r="AE59" i="15"/>
  <c r="AE83" i="15" s="1"/>
  <c r="AB59" i="15"/>
  <c r="AB83" i="15" s="1"/>
  <c r="AF59" i="15"/>
  <c r="X59" i="15"/>
  <c r="Y59" i="15"/>
  <c r="Y83" i="15" s="1"/>
  <c r="AC59" i="15"/>
  <c r="AC83" i="15" s="1"/>
  <c r="U59" i="15"/>
  <c r="Z59" i="15"/>
  <c r="Z83" i="15" s="1"/>
  <c r="AD59" i="15"/>
  <c r="AD83" i="15" s="1"/>
  <c r="AD34" i="31"/>
  <c r="AF26" i="31"/>
  <c r="AE27" i="31"/>
  <c r="O169" i="15"/>
  <c r="S291" i="15"/>
  <c r="S169" i="15"/>
  <c r="P291" i="15"/>
  <c r="P169" i="15"/>
  <c r="T291" i="15"/>
  <c r="T169" i="15"/>
  <c r="R291" i="15"/>
  <c r="R169" i="15"/>
  <c r="Q291" i="15"/>
  <c r="Q169" i="15"/>
  <c r="O291" i="15"/>
  <c r="AL297" i="15"/>
  <c r="AL301" i="15"/>
  <c r="AL295" i="15"/>
  <c r="AL304" i="15"/>
  <c r="AL311" i="15"/>
  <c r="AL298" i="15"/>
  <c r="AL302" i="15"/>
  <c r="AL300" i="15"/>
  <c r="AL310" i="15"/>
  <c r="AL299" i="15"/>
  <c r="AL303" i="15"/>
  <c r="AL296" i="15"/>
  <c r="AT51" i="29"/>
  <c r="AG51" i="29" s="1"/>
  <c r="AM50" i="29"/>
  <c r="AT46" i="29"/>
  <c r="AT47" i="29"/>
  <c r="AT50" i="29"/>
  <c r="AT49" i="29"/>
  <c r="S350" i="33"/>
  <c r="O350" i="33"/>
  <c r="P350" i="33"/>
  <c r="T350" i="33"/>
  <c r="R350" i="33"/>
  <c r="Q350" i="33"/>
  <c r="G31" i="15"/>
  <c r="AF27" i="31"/>
  <c r="AB30" i="33"/>
  <c r="W24" i="26" s="1"/>
  <c r="AB38" i="33"/>
  <c r="W32" i="26" s="1"/>
  <c r="AB40" i="33"/>
  <c r="W34" i="26" s="1"/>
  <c r="AB42" i="33"/>
  <c r="W36" i="26" s="1"/>
  <c r="AB44" i="33"/>
  <c r="W38" i="26" s="1"/>
  <c r="AB39" i="33"/>
  <c r="W33" i="26" s="1"/>
  <c r="AB41" i="33"/>
  <c r="W35" i="26" s="1"/>
  <c r="AB43" i="33"/>
  <c r="W37" i="26" s="1"/>
  <c r="AB45" i="33"/>
  <c r="W39" i="26" s="1"/>
  <c r="X33" i="33"/>
  <c r="S27" i="26" s="1"/>
  <c r="X38" i="33"/>
  <c r="S32" i="26" s="1"/>
  <c r="X42" i="33"/>
  <c r="S36" i="26" s="1"/>
  <c r="X37" i="33"/>
  <c r="S31" i="26" s="1"/>
  <c r="X39" i="33"/>
  <c r="S33" i="26" s="1"/>
  <c r="X43" i="33"/>
  <c r="S37" i="26" s="1"/>
  <c r="X40" i="33"/>
  <c r="S34" i="26" s="1"/>
  <c r="X44" i="33"/>
  <c r="S38" i="26" s="1"/>
  <c r="X41" i="33"/>
  <c r="S35" i="26" s="1"/>
  <c r="X45" i="33"/>
  <c r="S39" i="26" s="1"/>
  <c r="AF37" i="33"/>
  <c r="AA31" i="26" s="1"/>
  <c r="AF41" i="33"/>
  <c r="AA35" i="26" s="1"/>
  <c r="AF38" i="33"/>
  <c r="AA32" i="26" s="1"/>
  <c r="AF40" i="33"/>
  <c r="AA34" i="26" s="1"/>
  <c r="AF42" i="33"/>
  <c r="AA36" i="26" s="1"/>
  <c r="AF44" i="33"/>
  <c r="AA38" i="26" s="1"/>
  <c r="AF43" i="33"/>
  <c r="AA37" i="26" s="1"/>
  <c r="AF39" i="33"/>
  <c r="AA33" i="26" s="1"/>
  <c r="AF45" i="33"/>
  <c r="AA39" i="26" s="1"/>
  <c r="Y30" i="33"/>
  <c r="T24" i="26" s="1"/>
  <c r="Y38" i="33"/>
  <c r="T32" i="26" s="1"/>
  <c r="Y39" i="33"/>
  <c r="T33" i="26" s="1"/>
  <c r="Y40" i="33"/>
  <c r="T34" i="26" s="1"/>
  <c r="Y41" i="33"/>
  <c r="T35" i="26" s="1"/>
  <c r="Y42" i="33"/>
  <c r="T36" i="26" s="1"/>
  <c r="Y43" i="33"/>
  <c r="T37" i="26" s="1"/>
  <c r="Y44" i="33"/>
  <c r="T38" i="26" s="1"/>
  <c r="Y45" i="33"/>
  <c r="T39" i="26" s="1"/>
  <c r="AC37" i="33"/>
  <c r="X31" i="26" s="1"/>
  <c r="AC38" i="33"/>
  <c r="X32" i="26" s="1"/>
  <c r="AC39" i="33"/>
  <c r="X33" i="26" s="1"/>
  <c r="AC40" i="33"/>
  <c r="X34" i="26" s="1"/>
  <c r="AC41" i="33"/>
  <c r="X35" i="26" s="1"/>
  <c r="AC42" i="33"/>
  <c r="X36" i="26" s="1"/>
  <c r="AC43" i="33"/>
  <c r="X37" i="26" s="1"/>
  <c r="AC44" i="33"/>
  <c r="X38" i="26" s="1"/>
  <c r="AC45" i="33"/>
  <c r="X39" i="26" s="1"/>
  <c r="V41" i="33"/>
  <c r="Q35" i="26" s="1"/>
  <c r="V45" i="33"/>
  <c r="Q39" i="26" s="1"/>
  <c r="V42" i="33"/>
  <c r="Q36" i="26" s="1"/>
  <c r="V38" i="33"/>
  <c r="Q32" i="26" s="1"/>
  <c r="V39" i="33"/>
  <c r="Q33" i="26" s="1"/>
  <c r="V43" i="33"/>
  <c r="Q37" i="26" s="1"/>
  <c r="V37" i="33"/>
  <c r="Q31" i="26" s="1"/>
  <c r="V40" i="33"/>
  <c r="Q34" i="26" s="1"/>
  <c r="V44" i="33"/>
  <c r="Q38" i="26" s="1"/>
  <c r="Z37" i="33"/>
  <c r="U31" i="26" s="1"/>
  <c r="Z38" i="33"/>
  <c r="U32" i="26" s="1"/>
  <c r="Z39" i="33"/>
  <c r="U33" i="26" s="1"/>
  <c r="Z40" i="33"/>
  <c r="U34" i="26" s="1"/>
  <c r="Z41" i="33"/>
  <c r="U35" i="26" s="1"/>
  <c r="Z42" i="33"/>
  <c r="U36" i="26" s="1"/>
  <c r="Z43" i="33"/>
  <c r="U37" i="26" s="1"/>
  <c r="Z44" i="33"/>
  <c r="U38" i="26" s="1"/>
  <c r="Z45" i="33"/>
  <c r="U39" i="26" s="1"/>
  <c r="AD34" i="33"/>
  <c r="Y28" i="26" s="1"/>
  <c r="AD38" i="33"/>
  <c r="Y32" i="26" s="1"/>
  <c r="AD39" i="33"/>
  <c r="Y33" i="26" s="1"/>
  <c r="AD40" i="33"/>
  <c r="Y34" i="26" s="1"/>
  <c r="AD41" i="33"/>
  <c r="Y35" i="26" s="1"/>
  <c r="AD42" i="33"/>
  <c r="Y36" i="26" s="1"/>
  <c r="AD43" i="33"/>
  <c r="Y37" i="26" s="1"/>
  <c r="AD44" i="33"/>
  <c r="Y38" i="26" s="1"/>
  <c r="AD45" i="33"/>
  <c r="Y39" i="26" s="1"/>
  <c r="W41" i="33"/>
  <c r="R35" i="26" s="1"/>
  <c r="W45" i="33"/>
  <c r="R39" i="26" s="1"/>
  <c r="W38" i="33"/>
  <c r="R32" i="26" s="1"/>
  <c r="W42" i="33"/>
  <c r="R36" i="26" s="1"/>
  <c r="W37" i="33"/>
  <c r="R31" i="26" s="1"/>
  <c r="W39" i="33"/>
  <c r="R33" i="26" s="1"/>
  <c r="W43" i="33"/>
  <c r="R37" i="26" s="1"/>
  <c r="W44" i="33"/>
  <c r="R38" i="26" s="1"/>
  <c r="W40" i="33"/>
  <c r="R34" i="26" s="1"/>
  <c r="AA38" i="33"/>
  <c r="V32" i="26" s="1"/>
  <c r="AA39" i="33"/>
  <c r="V33" i="26" s="1"/>
  <c r="AA40" i="33"/>
  <c r="V34" i="26" s="1"/>
  <c r="AA41" i="33"/>
  <c r="V35" i="26" s="1"/>
  <c r="AA42" i="33"/>
  <c r="V36" i="26" s="1"/>
  <c r="AA43" i="33"/>
  <c r="V37" i="26" s="1"/>
  <c r="AA44" i="33"/>
  <c r="V38" i="26" s="1"/>
  <c r="AA45" i="33"/>
  <c r="V39" i="26" s="1"/>
  <c r="AE38" i="33"/>
  <c r="Z32" i="26" s="1"/>
  <c r="AE39" i="33"/>
  <c r="Z33" i="26" s="1"/>
  <c r="AE40" i="33"/>
  <c r="Z34" i="26" s="1"/>
  <c r="AE41" i="33"/>
  <c r="Z35" i="26" s="1"/>
  <c r="AE42" i="33"/>
  <c r="Z36" i="26" s="1"/>
  <c r="AE43" i="33"/>
  <c r="Z37" i="26" s="1"/>
  <c r="AE44" i="33"/>
  <c r="Z38" i="26" s="1"/>
  <c r="AE45" i="33"/>
  <c r="Z39" i="26" s="1"/>
  <c r="I363" i="33"/>
  <c r="J363" i="33"/>
  <c r="P264" i="15"/>
  <c r="P306" i="15"/>
  <c r="P276" i="15"/>
  <c r="P237" i="15"/>
  <c r="P242" i="15"/>
  <c r="Q237" i="15"/>
  <c r="Q242" i="15"/>
  <c r="Q264" i="15"/>
  <c r="Q306" i="15"/>
  <c r="Q276" i="15"/>
  <c r="T264" i="15"/>
  <c r="T306" i="15"/>
  <c r="T276" i="15"/>
  <c r="T237" i="15"/>
  <c r="T242" i="15"/>
  <c r="R264" i="15"/>
  <c r="R306" i="15"/>
  <c r="R276" i="15"/>
  <c r="R237" i="15"/>
  <c r="R242" i="15"/>
  <c r="O198" i="15"/>
  <c r="O403" i="33" s="1"/>
  <c r="O264" i="15"/>
  <c r="O306" i="15"/>
  <c r="O276" i="15"/>
  <c r="O237" i="15"/>
  <c r="O242" i="15"/>
  <c r="S264" i="15"/>
  <c r="S306" i="15"/>
  <c r="S276" i="15"/>
  <c r="S237" i="15"/>
  <c r="S242" i="15"/>
  <c r="AF12" i="31"/>
  <c r="W16" i="31"/>
  <c r="AB34" i="31"/>
  <c r="Z16" i="31"/>
  <c r="V34" i="31"/>
  <c r="P134" i="15"/>
  <c r="Q332" i="33"/>
  <c r="U332" i="33"/>
  <c r="O134" i="15"/>
  <c r="Q134" i="15"/>
  <c r="R332" i="33"/>
  <c r="S134" i="15"/>
  <c r="T332" i="33"/>
  <c r="AH332" i="33" s="1"/>
  <c r="R134" i="15"/>
  <c r="S332" i="33"/>
  <c r="AC34" i="31"/>
  <c r="J57" i="33"/>
  <c r="AL126" i="15"/>
  <c r="J37" i="17" s="1"/>
  <c r="AL130" i="15"/>
  <c r="J41" i="17" s="1"/>
  <c r="AL127" i="15"/>
  <c r="J38" i="17" s="1"/>
  <c r="AL129" i="15"/>
  <c r="J40" i="17" s="1"/>
  <c r="AL131" i="15"/>
  <c r="J42" i="17" s="1"/>
  <c r="AL133" i="15"/>
  <c r="J44" i="17" s="1"/>
  <c r="AL128" i="15"/>
  <c r="J39" i="17" s="1"/>
  <c r="AL132" i="15"/>
  <c r="J43" i="17" s="1"/>
  <c r="T473" i="33"/>
  <c r="T134" i="15"/>
  <c r="C285" i="33"/>
  <c r="C194" i="33"/>
  <c r="C127" i="33"/>
  <c r="AI16" i="26"/>
  <c r="AE181" i="33"/>
  <c r="AD164" i="33"/>
  <c r="Y236" i="33"/>
  <c r="G68" i="33"/>
  <c r="O66" i="33" s="1"/>
  <c r="G288" i="33" s="1"/>
  <c r="G32" i="15"/>
  <c r="G57" i="15"/>
  <c r="W8" i="31"/>
  <c r="AA8" i="31"/>
  <c r="W9" i="31"/>
  <c r="AA9" i="31"/>
  <c r="W10" i="31"/>
  <c r="AA10" i="31"/>
  <c r="W11" i="31"/>
  <c r="AA11" i="31"/>
  <c r="W20" i="31"/>
  <c r="AA20" i="31"/>
  <c r="W21" i="31"/>
  <c r="AA21" i="31"/>
  <c r="X29" i="31"/>
  <c r="AB29" i="31"/>
  <c r="X30" i="31"/>
  <c r="AB30" i="31"/>
  <c r="V422" i="15"/>
  <c r="X25" i="31"/>
  <c r="AB25" i="31"/>
  <c r="Z422" i="15"/>
  <c r="AC404" i="33"/>
  <c r="Z28" i="31" s="1"/>
  <c r="AC399" i="33"/>
  <c r="W25" i="31"/>
  <c r="AA25" i="31"/>
  <c r="Z26" i="31"/>
  <c r="AD12" i="31"/>
  <c r="V28" i="31"/>
  <c r="V26" i="31"/>
  <c r="W27" i="31"/>
  <c r="AA27" i="31"/>
  <c r="L2" i="33"/>
  <c r="W252" i="33"/>
  <c r="U21" i="31"/>
  <c r="U399" i="33"/>
  <c r="W28" i="31"/>
  <c r="AA28" i="31"/>
  <c r="AE28" i="31"/>
  <c r="W26" i="31"/>
  <c r="AA26" i="31"/>
  <c r="AE26" i="31"/>
  <c r="V16" i="31"/>
  <c r="AD28" i="31"/>
  <c r="AD26" i="31"/>
  <c r="AE252" i="33"/>
  <c r="Y399" i="33"/>
  <c r="AE25" i="31"/>
  <c r="W29" i="31"/>
  <c r="AA29" i="31"/>
  <c r="AE29" i="31"/>
  <c r="W30" i="31"/>
  <c r="AA30" i="31"/>
  <c r="AE30" i="31"/>
  <c r="Z12" i="31"/>
  <c r="X8" i="31"/>
  <c r="X9" i="31"/>
  <c r="AB10" i="31"/>
  <c r="X11" i="31"/>
  <c r="AB20" i="31"/>
  <c r="X21" i="31"/>
  <c r="AA12" i="31"/>
  <c r="X27" i="31"/>
  <c r="AB27" i="31"/>
  <c r="AB8" i="31"/>
  <c r="AB9" i="31"/>
  <c r="X10" i="31"/>
  <c r="AB11" i="31"/>
  <c r="X20" i="31"/>
  <c r="AB21" i="31"/>
  <c r="AB12" i="31"/>
  <c r="AD33" i="33"/>
  <c r="Y27" i="26" s="1"/>
  <c r="X28" i="31"/>
  <c r="AB28" i="31"/>
  <c r="X26" i="31"/>
  <c r="AB26" i="31"/>
  <c r="AE12" i="31"/>
  <c r="X34" i="31"/>
  <c r="Y29" i="33"/>
  <c r="T23" i="26" s="1"/>
  <c r="Y34" i="31"/>
  <c r="AC27" i="33"/>
  <c r="X21" i="26" s="1"/>
  <c r="X12" i="31"/>
  <c r="Y31" i="33"/>
  <c r="T25" i="26" s="1"/>
  <c r="AC26" i="33"/>
  <c r="X20" i="26" s="1"/>
  <c r="Y33" i="33"/>
  <c r="T27" i="26" s="1"/>
  <c r="AC34" i="33"/>
  <c r="X28" i="26" s="1"/>
  <c r="Y36" i="33"/>
  <c r="T30" i="26" s="1"/>
  <c r="Y26" i="33"/>
  <c r="T20" i="26" s="1"/>
  <c r="Y23" i="33"/>
  <c r="T17" i="26" s="1"/>
  <c r="Y28" i="33"/>
  <c r="T22" i="26" s="1"/>
  <c r="AC30" i="33"/>
  <c r="X24" i="26" s="1"/>
  <c r="AC23" i="33"/>
  <c r="X17" i="26" s="1"/>
  <c r="Y27" i="33"/>
  <c r="T21" i="26" s="1"/>
  <c r="Y32" i="33"/>
  <c r="T26" i="26" s="1"/>
  <c r="Y35" i="33"/>
  <c r="T29" i="26" s="1"/>
  <c r="Y37" i="33"/>
  <c r="T31" i="26" s="1"/>
  <c r="Y14" i="33"/>
  <c r="T8" i="26" s="1"/>
  <c r="Z31" i="33"/>
  <c r="U25" i="26" s="1"/>
  <c r="Z28" i="33"/>
  <c r="U22" i="26" s="1"/>
  <c r="Z35" i="33"/>
  <c r="U29" i="26" s="1"/>
  <c r="N57" i="33"/>
  <c r="AB236" i="33"/>
  <c r="AA252" i="33"/>
  <c r="X399" i="33"/>
  <c r="AB399" i="33"/>
  <c r="AF399" i="33"/>
  <c r="AF23" i="31" s="1"/>
  <c r="C424" i="33"/>
  <c r="AD422" i="15"/>
  <c r="E437" i="15"/>
  <c r="AB3" i="26"/>
  <c r="M84" i="33"/>
  <c r="AF97" i="33"/>
  <c r="E219" i="15"/>
  <c r="E220" i="15" s="1"/>
  <c r="C432" i="33" s="1"/>
  <c r="E308" i="15" s="1"/>
  <c r="AJ422" i="15"/>
  <c r="AB14" i="33"/>
  <c r="W8" i="26" s="1"/>
  <c r="E75" i="33"/>
  <c r="M92" i="33"/>
  <c r="V14" i="33"/>
  <c r="Q8" i="26" s="1"/>
  <c r="AC14" i="33"/>
  <c r="X8" i="26" s="1"/>
  <c r="M65" i="33"/>
  <c r="M83" i="33"/>
  <c r="AD104" i="15"/>
  <c r="AD108" i="15" s="1"/>
  <c r="AF23" i="33"/>
  <c r="AA17" i="26" s="1"/>
  <c r="M80" i="33"/>
  <c r="M85" i="33"/>
  <c r="AD235" i="33"/>
  <c r="V25" i="31"/>
  <c r="Z25" i="31"/>
  <c r="AD25" i="31"/>
  <c r="W104" i="15"/>
  <c r="W108" i="15" s="1"/>
  <c r="AE399" i="33"/>
  <c r="AE23" i="31" s="1"/>
  <c r="V27" i="31"/>
  <c r="Z27" i="31"/>
  <c r="AD27" i="31"/>
  <c r="M94" i="33"/>
  <c r="M60" i="33"/>
  <c r="M89" i="33"/>
  <c r="W181" i="33"/>
  <c r="AC12" i="31"/>
  <c r="V8" i="31"/>
  <c r="Z8" i="31"/>
  <c r="AD8" i="31"/>
  <c r="V9" i="31"/>
  <c r="Z9" i="31"/>
  <c r="AD9" i="31"/>
  <c r="V10" i="31"/>
  <c r="Z10" i="31"/>
  <c r="AD10" i="31"/>
  <c r="V11" i="31"/>
  <c r="Z11" i="31"/>
  <c r="AD11" i="31"/>
  <c r="V20" i="31"/>
  <c r="Z20" i="31"/>
  <c r="AD20" i="31"/>
  <c r="V21" i="31"/>
  <c r="Z21" i="31"/>
  <c r="AD21" i="31"/>
  <c r="V29" i="31"/>
  <c r="Z29" i="31"/>
  <c r="AD29" i="31"/>
  <c r="V30" i="31"/>
  <c r="Z30" i="31"/>
  <c r="AD30" i="31"/>
  <c r="AC398" i="33"/>
  <c r="G117" i="33"/>
  <c r="S117" i="33" s="1"/>
  <c r="G100" i="33"/>
  <c r="AC165" i="33"/>
  <c r="V26" i="33"/>
  <c r="Q20" i="26" s="1"/>
  <c r="Z26" i="33"/>
  <c r="U20" i="26" s="1"/>
  <c r="AD26" i="33"/>
  <c r="Y20" i="26" s="1"/>
  <c r="Z14" i="33"/>
  <c r="U8" i="26" s="1"/>
  <c r="AD14" i="33"/>
  <c r="Y8" i="26" s="1"/>
  <c r="V20" i="33"/>
  <c r="Q14" i="26" s="1"/>
  <c r="Z23" i="33"/>
  <c r="U17" i="26" s="1"/>
  <c r="AD27" i="33"/>
  <c r="Y21" i="26" s="1"/>
  <c r="AC28" i="33"/>
  <c r="X22" i="26" s="1"/>
  <c r="AC29" i="33"/>
  <c r="X23" i="26" s="1"/>
  <c r="AC31" i="33"/>
  <c r="X25" i="26" s="1"/>
  <c r="V32" i="33"/>
  <c r="Q26" i="26" s="1"/>
  <c r="AF34" i="33"/>
  <c r="AA28" i="26" s="1"/>
  <c r="AC35" i="33"/>
  <c r="X29" i="26" s="1"/>
  <c r="AC36" i="33"/>
  <c r="X30" i="26" s="1"/>
  <c r="AD37" i="33"/>
  <c r="Y31" i="26" s="1"/>
  <c r="K57" i="33"/>
  <c r="E70" i="33"/>
  <c r="E72" i="33"/>
  <c r="S84" i="33"/>
  <c r="M86" i="33"/>
  <c r="S91" i="33"/>
  <c r="AD162" i="33"/>
  <c r="U165" i="33"/>
  <c r="AD165" i="33"/>
  <c r="AA181" i="33"/>
  <c r="W182" i="33"/>
  <c r="W162" i="33" s="1"/>
  <c r="W254" i="33"/>
  <c r="W235" i="33" s="1"/>
  <c r="X377" i="33"/>
  <c r="U398" i="33"/>
  <c r="V399" i="33"/>
  <c r="V23" i="31" s="1"/>
  <c r="Z399" i="33"/>
  <c r="AD399" i="33"/>
  <c r="C419" i="33"/>
  <c r="C425" i="33"/>
  <c r="W422" i="15"/>
  <c r="AA422" i="15"/>
  <c r="AE422" i="15"/>
  <c r="AK422" i="15"/>
  <c r="E438" i="15"/>
  <c r="V24" i="33"/>
  <c r="Q18" i="26" s="1"/>
  <c r="AD20" i="33"/>
  <c r="Y14" i="26" s="1"/>
  <c r="V27" i="33"/>
  <c r="Q21" i="26" s="1"/>
  <c r="AD29" i="33"/>
  <c r="Y23" i="26" s="1"/>
  <c r="Z30" i="33"/>
  <c r="U24" i="26" s="1"/>
  <c r="V31" i="33"/>
  <c r="Q25" i="26" s="1"/>
  <c r="AD31" i="33"/>
  <c r="Y25" i="26" s="1"/>
  <c r="V34" i="33"/>
  <c r="Q28" i="26" s="1"/>
  <c r="AD36" i="33"/>
  <c r="Y30" i="26" s="1"/>
  <c r="V165" i="33"/>
  <c r="AA182" i="33"/>
  <c r="AA254" i="33"/>
  <c r="AA235" i="33" s="1"/>
  <c r="Y398" i="33"/>
  <c r="W399" i="33"/>
  <c r="AA399" i="33"/>
  <c r="C420" i="33"/>
  <c r="C427" i="33"/>
  <c r="X422" i="15"/>
  <c r="AB422" i="15"/>
  <c r="AF422" i="15"/>
  <c r="AL422" i="15"/>
  <c r="E435" i="15"/>
  <c r="E439" i="15"/>
  <c r="F3" i="17"/>
  <c r="V29" i="33"/>
  <c r="Q23" i="26" s="1"/>
  <c r="AD32" i="33"/>
  <c r="Y26" i="26" s="1"/>
  <c r="Z33" i="33"/>
  <c r="U27" i="26" s="1"/>
  <c r="V36" i="33"/>
  <c r="Q30" i="26" s="1"/>
  <c r="S76" i="33"/>
  <c r="M70" i="33"/>
  <c r="S87" i="33"/>
  <c r="AD163" i="33"/>
  <c r="Y165" i="33"/>
  <c r="AE254" i="33"/>
  <c r="AE235" i="33" s="1"/>
  <c r="AF377" i="33"/>
  <c r="C421" i="33"/>
  <c r="C428" i="33"/>
  <c r="AF398" i="33"/>
  <c r="AF22" i="31" s="1"/>
  <c r="U422" i="15"/>
  <c r="Y422" i="15"/>
  <c r="AC422" i="15"/>
  <c r="AH422" i="15"/>
  <c r="AM422" i="15"/>
  <c r="E436" i="15"/>
  <c r="W183" i="33"/>
  <c r="U253" i="33"/>
  <c r="Z253" i="33"/>
  <c r="AE253" i="33"/>
  <c r="W379" i="33"/>
  <c r="AD379" i="33"/>
  <c r="V398" i="33"/>
  <c r="Z398" i="33"/>
  <c r="AD398" i="33"/>
  <c r="AE104" i="15"/>
  <c r="AE378" i="33" s="1"/>
  <c r="AF400" i="33" s="1"/>
  <c r="AF24" i="31" s="1"/>
  <c r="Y253" i="33"/>
  <c r="AD253" i="33"/>
  <c r="AD233" i="33" s="1"/>
  <c r="AA104" i="15"/>
  <c r="AA378" i="33" s="1"/>
  <c r="AB400" i="33" s="1"/>
  <c r="Y20" i="33"/>
  <c r="T14" i="26" s="1"/>
  <c r="AD18" i="33"/>
  <c r="Y12" i="26" s="1"/>
  <c r="Z20" i="33"/>
  <c r="U14" i="26" s="1"/>
  <c r="V23" i="33"/>
  <c r="Q17" i="26" s="1"/>
  <c r="AD23" i="33"/>
  <c r="Y17" i="26" s="1"/>
  <c r="X26" i="33"/>
  <c r="S20" i="26" s="1"/>
  <c r="Z27" i="33"/>
  <c r="U21" i="26" s="1"/>
  <c r="V28" i="33"/>
  <c r="Q22" i="26" s="1"/>
  <c r="AD28" i="33"/>
  <c r="Y22" i="26" s="1"/>
  <c r="X30" i="33"/>
  <c r="S24" i="26" s="1"/>
  <c r="AD30" i="33"/>
  <c r="Y24" i="26" s="1"/>
  <c r="Z32" i="33"/>
  <c r="U26" i="26" s="1"/>
  <c r="V33" i="33"/>
  <c r="Q27" i="26" s="1"/>
  <c r="AF33" i="33"/>
  <c r="AA27" i="26" s="1"/>
  <c r="Z34" i="33"/>
  <c r="U28" i="26" s="1"/>
  <c r="V35" i="33"/>
  <c r="Q29" i="26" s="1"/>
  <c r="AD35" i="33"/>
  <c r="Y29" i="26" s="1"/>
  <c r="Z36" i="33"/>
  <c r="U30" i="26" s="1"/>
  <c r="AH237" i="33"/>
  <c r="AL287" i="15"/>
  <c r="AL285" i="15"/>
  <c r="AL283" i="15"/>
  <c r="AL279" i="15"/>
  <c r="AL286" i="15"/>
  <c r="AL284" i="15"/>
  <c r="AL282" i="15"/>
  <c r="AL280" i="15"/>
  <c r="AL281" i="15"/>
  <c r="S183" i="33"/>
  <c r="S164" i="33" s="1"/>
  <c r="M62" i="33"/>
  <c r="E71" i="33"/>
  <c r="E74" i="33"/>
  <c r="M67" i="33"/>
  <c r="M71" i="33"/>
  <c r="M90" i="33"/>
  <c r="S92" i="33"/>
  <c r="Z165" i="33"/>
  <c r="AE182" i="33"/>
  <c r="AA183" i="33"/>
  <c r="AA164" i="33" s="1"/>
  <c r="V253" i="33"/>
  <c r="AA253" i="33"/>
  <c r="W398" i="33"/>
  <c r="AA398" i="33"/>
  <c r="AE398" i="33"/>
  <c r="U104" i="15"/>
  <c r="U378" i="33" s="1"/>
  <c r="U214" i="15" s="1"/>
  <c r="Y104" i="15"/>
  <c r="Y378" i="33" s="1"/>
  <c r="Y214" i="15" s="1"/>
  <c r="AC104" i="15"/>
  <c r="AC378" i="33" s="1"/>
  <c r="V104" i="15"/>
  <c r="V378" i="33" s="1"/>
  <c r="W400" i="33" s="1"/>
  <c r="AC20" i="33"/>
  <c r="X14" i="26" s="1"/>
  <c r="M63" i="33"/>
  <c r="M66" i="33"/>
  <c r="M68" i="33"/>
  <c r="S77" i="33"/>
  <c r="S86" i="33"/>
  <c r="M88" i="33"/>
  <c r="M93" i="33"/>
  <c r="AA155" i="33"/>
  <c r="AA370" i="33" s="1"/>
  <c r="AE183" i="33"/>
  <c r="AE164" i="33" s="1"/>
  <c r="W253" i="33"/>
  <c r="AC253" i="33"/>
  <c r="X398" i="33"/>
  <c r="AB398" i="33"/>
  <c r="C417" i="33"/>
  <c r="C423" i="33"/>
  <c r="T427" i="33"/>
  <c r="T7" i="15" s="1"/>
  <c r="AB23" i="33"/>
  <c r="W17" i="26" s="1"/>
  <c r="X29" i="33"/>
  <c r="S23" i="26" s="1"/>
  <c r="AF30" i="33"/>
  <c r="AA24" i="26" s="1"/>
  <c r="AB33" i="33"/>
  <c r="W27" i="26" s="1"/>
  <c r="AB37" i="33"/>
  <c r="W31" i="26" s="1"/>
  <c r="Y28" i="31"/>
  <c r="Y29" i="31"/>
  <c r="AC29" i="31"/>
  <c r="X14" i="33"/>
  <c r="S8" i="26" s="1"/>
  <c r="X23" i="33"/>
  <c r="S17" i="26" s="1"/>
  <c r="Q24" i="33"/>
  <c r="L18" i="26" s="1"/>
  <c r="AF26" i="33"/>
  <c r="AA20" i="26" s="1"/>
  <c r="AC32" i="33"/>
  <c r="X26" i="26" s="1"/>
  <c r="AC33" i="33"/>
  <c r="X27" i="26" s="1"/>
  <c r="AB34" i="33"/>
  <c r="W28" i="26" s="1"/>
  <c r="AF14" i="33"/>
  <c r="AA8" i="26" s="1"/>
  <c r="Z22" i="33"/>
  <c r="U16" i="26" s="1"/>
  <c r="AB26" i="33"/>
  <c r="W20" i="26" s="1"/>
  <c r="AB29" i="33"/>
  <c r="W23" i="26" s="1"/>
  <c r="X34" i="33"/>
  <c r="S28" i="26" s="1"/>
  <c r="S181" i="33"/>
  <c r="S182" i="33"/>
  <c r="W12" i="31"/>
  <c r="Y20" i="31"/>
  <c r="AC20" i="31"/>
  <c r="Y21" i="31"/>
  <c r="AC21" i="31"/>
  <c r="AC27" i="31"/>
  <c r="Y30" i="31"/>
  <c r="AC30" i="31"/>
  <c r="AD22" i="33"/>
  <c r="Y16" i="26" s="1"/>
  <c r="U24" i="33"/>
  <c r="P18" i="26" s="1"/>
  <c r="V18" i="33"/>
  <c r="Q12" i="26" s="1"/>
  <c r="Y24" i="33"/>
  <c r="T18" i="26" s="1"/>
  <c r="Z29" i="33"/>
  <c r="U23" i="26" s="1"/>
  <c r="AF29" i="33"/>
  <c r="AA23" i="26" s="1"/>
  <c r="V30" i="33"/>
  <c r="Q24" i="26" s="1"/>
  <c r="Y25" i="31"/>
  <c r="AC25" i="31"/>
  <c r="Y26" i="31"/>
  <c r="AC26" i="31"/>
  <c r="Y27" i="31"/>
  <c r="Z18" i="33"/>
  <c r="U12" i="26" s="1"/>
  <c r="V22" i="33"/>
  <c r="Q16" i="26" s="1"/>
  <c r="AC24" i="33"/>
  <c r="X18" i="26" s="1"/>
  <c r="Y12" i="31"/>
  <c r="Y8" i="31"/>
  <c r="AC8" i="31"/>
  <c r="Y9" i="31"/>
  <c r="AC9" i="31"/>
  <c r="Y10" i="31"/>
  <c r="AC10" i="31"/>
  <c r="Y11" i="31"/>
  <c r="AC11" i="31"/>
  <c r="AE98" i="33"/>
  <c r="AA98" i="33"/>
  <c r="W98" i="33"/>
  <c r="S98" i="33"/>
  <c r="O98" i="33"/>
  <c r="AD98" i="33"/>
  <c r="Z98" i="33"/>
  <c r="V98" i="33"/>
  <c r="R98" i="33"/>
  <c r="AC98" i="33"/>
  <c r="Y98" i="33"/>
  <c r="U98" i="33"/>
  <c r="Q98" i="33"/>
  <c r="M61" i="33"/>
  <c r="S79" i="33"/>
  <c r="S89" i="33"/>
  <c r="M91" i="33"/>
  <c r="AB97" i="33"/>
  <c r="AB98" i="33"/>
  <c r="W34" i="33"/>
  <c r="R28" i="26" s="1"/>
  <c r="W30" i="33"/>
  <c r="R24" i="26" s="1"/>
  <c r="W26" i="33"/>
  <c r="R20" i="26" s="1"/>
  <c r="W23" i="33"/>
  <c r="R17" i="26" s="1"/>
  <c r="W14" i="33"/>
  <c r="R8" i="26" s="1"/>
  <c r="W36" i="33"/>
  <c r="R30" i="26" s="1"/>
  <c r="W32" i="33"/>
  <c r="R26" i="26" s="1"/>
  <c r="W20" i="33"/>
  <c r="R14" i="26" s="1"/>
  <c r="W35" i="33"/>
  <c r="R29" i="26" s="1"/>
  <c r="W31" i="33"/>
  <c r="R25" i="26" s="1"/>
  <c r="W27" i="33"/>
  <c r="R21" i="26" s="1"/>
  <c r="W28" i="33"/>
  <c r="R22" i="26" s="1"/>
  <c r="AA34" i="33"/>
  <c r="V28" i="26" s="1"/>
  <c r="AA30" i="33"/>
  <c r="V24" i="26" s="1"/>
  <c r="AA26" i="33"/>
  <c r="V20" i="26" s="1"/>
  <c r="AA23" i="33"/>
  <c r="V17" i="26" s="1"/>
  <c r="AA14" i="33"/>
  <c r="V8" i="26" s="1"/>
  <c r="AA35" i="33"/>
  <c r="V29" i="26" s="1"/>
  <c r="AA31" i="33"/>
  <c r="V25" i="26" s="1"/>
  <c r="AA27" i="33"/>
  <c r="V21" i="26" s="1"/>
  <c r="AA36" i="33"/>
  <c r="V30" i="26" s="1"/>
  <c r="AA20" i="33"/>
  <c r="V14" i="26" s="1"/>
  <c r="AA32" i="33"/>
  <c r="V26" i="26" s="1"/>
  <c r="AA28" i="33"/>
  <c r="V22" i="26" s="1"/>
  <c r="AE34" i="33"/>
  <c r="Z28" i="26" s="1"/>
  <c r="AE30" i="33"/>
  <c r="Z24" i="26" s="1"/>
  <c r="AE26" i="33"/>
  <c r="Z20" i="26" s="1"/>
  <c r="AE23" i="33"/>
  <c r="Z17" i="26" s="1"/>
  <c r="AE14" i="33"/>
  <c r="Z8" i="26" s="1"/>
  <c r="AE35" i="33"/>
  <c r="Z29" i="26" s="1"/>
  <c r="AE31" i="33"/>
  <c r="Z25" i="26" s="1"/>
  <c r="AE27" i="33"/>
  <c r="Z21" i="26" s="1"/>
  <c r="AE28" i="33"/>
  <c r="Z22" i="26" s="1"/>
  <c r="AE36" i="33"/>
  <c r="Z30" i="26" s="1"/>
  <c r="AE32" i="33"/>
  <c r="Z26" i="26" s="1"/>
  <c r="AE20" i="33"/>
  <c r="Z14" i="26" s="1"/>
  <c r="S90" i="33"/>
  <c r="AF98" i="33"/>
  <c r="X98" i="33"/>
  <c r="G278" i="33"/>
  <c r="G259" i="33"/>
  <c r="G246" i="33"/>
  <c r="G212" i="33"/>
  <c r="G275" i="33"/>
  <c r="G260" i="33"/>
  <c r="G245" i="33"/>
  <c r="G276" i="33"/>
  <c r="G243" i="33"/>
  <c r="G213" i="33"/>
  <c r="G189" i="33"/>
  <c r="G172" i="33"/>
  <c r="G244" i="33"/>
  <c r="G228" i="33"/>
  <c r="G226" i="33"/>
  <c r="G175" i="33"/>
  <c r="G214" i="33"/>
  <c r="G188" i="33"/>
  <c r="G174" i="33"/>
  <c r="G120" i="33"/>
  <c r="R120" i="33" s="1"/>
  <c r="G108" i="33"/>
  <c r="G277" i="33"/>
  <c r="G258" i="33"/>
  <c r="G211" i="33"/>
  <c r="G187" i="33"/>
  <c r="G107" i="33"/>
  <c r="G173" i="33"/>
  <c r="G122" i="33"/>
  <c r="S122" i="33" s="1"/>
  <c r="G106" i="33"/>
  <c r="M64" i="33"/>
  <c r="P98" i="33"/>
  <c r="W29" i="33"/>
  <c r="R23" i="26" s="1"/>
  <c r="AA29" i="33"/>
  <c r="V23" i="26" s="1"/>
  <c r="AE29" i="33"/>
  <c r="Z23" i="26" s="1"/>
  <c r="W33" i="33"/>
  <c r="R27" i="26" s="1"/>
  <c r="AA33" i="33"/>
  <c r="V27" i="26" s="1"/>
  <c r="AE33" i="33"/>
  <c r="Z27" i="26" s="1"/>
  <c r="AA37" i="33"/>
  <c r="V31" i="26" s="1"/>
  <c r="AE37" i="33"/>
  <c r="Z31" i="26" s="1"/>
  <c r="R273" i="15"/>
  <c r="R269" i="15"/>
  <c r="R421" i="15"/>
  <c r="R287" i="15"/>
  <c r="R241" i="15"/>
  <c r="R135" i="15" s="1"/>
  <c r="R260" i="15"/>
  <c r="R254" i="15"/>
  <c r="R33" i="15" s="1"/>
  <c r="R249" i="15"/>
  <c r="R230" i="15"/>
  <c r="R198" i="15"/>
  <c r="R403" i="33" s="1"/>
  <c r="R157" i="15"/>
  <c r="R111" i="15"/>
  <c r="R402" i="33" s="1"/>
  <c r="R106" i="15"/>
  <c r="R81" i="15"/>
  <c r="R34" i="15"/>
  <c r="R259" i="15"/>
  <c r="R255" i="15"/>
  <c r="R136" i="15"/>
  <c r="R98" i="15"/>
  <c r="R60" i="15"/>
  <c r="BA14" i="15"/>
  <c r="BA9" i="15"/>
  <c r="R187" i="15"/>
  <c r="R112" i="15"/>
  <c r="R109" i="15"/>
  <c r="R105" i="15"/>
  <c r="R103" i="15"/>
  <c r="R161" i="15"/>
  <c r="S448" i="33"/>
  <c r="T457" i="33" s="1"/>
  <c r="S439" i="33"/>
  <c r="S434" i="33"/>
  <c r="R194" i="15"/>
  <c r="R473" i="33"/>
  <c r="S446" i="33"/>
  <c r="S382" i="33" s="1"/>
  <c r="S442" i="33"/>
  <c r="S438" i="33"/>
  <c r="S433" i="33"/>
  <c r="R405" i="33"/>
  <c r="R401" i="33"/>
  <c r="R398" i="33"/>
  <c r="R397" i="33"/>
  <c r="R396" i="33"/>
  <c r="R387" i="33"/>
  <c r="R386" i="33"/>
  <c r="R385" i="33"/>
  <c r="R384" i="33"/>
  <c r="S445" i="33"/>
  <c r="S441" i="33"/>
  <c r="S343" i="33" s="1"/>
  <c r="S437" i="33"/>
  <c r="R474" i="33"/>
  <c r="S444" i="33"/>
  <c r="S436" i="33"/>
  <c r="T450" i="33" s="1"/>
  <c r="R381" i="33"/>
  <c r="R376" i="33"/>
  <c r="S431" i="33"/>
  <c r="R253" i="33"/>
  <c r="R165" i="33"/>
  <c r="R24" i="33"/>
  <c r="M18" i="26" s="1"/>
  <c r="R86" i="15"/>
  <c r="P65" i="33"/>
  <c r="S75" i="33"/>
  <c r="M69" i="33"/>
  <c r="S78" i="33"/>
  <c r="S85" i="33"/>
  <c r="M87" i="33"/>
  <c r="S88" i="33"/>
  <c r="S93" i="33"/>
  <c r="T98" i="33"/>
  <c r="AE97" i="33"/>
  <c r="AA97" i="33"/>
  <c r="W97" i="33"/>
  <c r="AD97" i="33"/>
  <c r="Z97" i="33"/>
  <c r="V97" i="33"/>
  <c r="X97" i="33"/>
  <c r="G121" i="33"/>
  <c r="G227" i="33"/>
  <c r="AA18" i="33"/>
  <c r="V12" i="26" s="1"/>
  <c r="O273" i="15"/>
  <c r="O421" i="15"/>
  <c r="O287" i="15"/>
  <c r="O254" i="15"/>
  <c r="O33" i="15" s="1"/>
  <c r="O259" i="15"/>
  <c r="O241" i="15"/>
  <c r="O135" i="15" s="1"/>
  <c r="O98" i="15"/>
  <c r="AX14" i="15"/>
  <c r="O105" i="15"/>
  <c r="O103" i="15"/>
  <c r="O106" i="15"/>
  <c r="O473" i="33"/>
  <c r="O405" i="33"/>
  <c r="O401" i="33"/>
  <c r="O398" i="33"/>
  <c r="O397" i="33"/>
  <c r="O396" i="33"/>
  <c r="O387" i="33"/>
  <c r="O386" i="33"/>
  <c r="O385" i="33"/>
  <c r="O384" i="33"/>
  <c r="O381" i="33"/>
  <c r="O376" i="33"/>
  <c r="O111" i="15"/>
  <c r="O402" i="33" s="1"/>
  <c r="O474" i="33"/>
  <c r="O253" i="33"/>
  <c r="O254" i="33"/>
  <c r="O235" i="33" s="1"/>
  <c r="O252" i="33"/>
  <c r="S273" i="15"/>
  <c r="S269" i="15"/>
  <c r="S421" i="15"/>
  <c r="S287" i="15"/>
  <c r="S260" i="15"/>
  <c r="S254" i="15"/>
  <c r="S33" i="15" s="1"/>
  <c r="S249" i="15"/>
  <c r="S230" i="15"/>
  <c r="S259" i="15"/>
  <c r="S255" i="15"/>
  <c r="S136" i="15"/>
  <c r="S98" i="15"/>
  <c r="S60" i="15"/>
  <c r="BB14" i="15"/>
  <c r="BB9" i="15"/>
  <c r="S187" i="15"/>
  <c r="S112" i="15"/>
  <c r="S109" i="15"/>
  <c r="S105" i="15"/>
  <c r="S103" i="15"/>
  <c r="S194" i="15"/>
  <c r="S161" i="15"/>
  <c r="S86" i="15"/>
  <c r="S34" i="15"/>
  <c r="S473" i="33"/>
  <c r="T446" i="33"/>
  <c r="T382" i="33" s="1"/>
  <c r="T442" i="33"/>
  <c r="T438" i="33"/>
  <c r="T433" i="33"/>
  <c r="S405" i="33"/>
  <c r="S401" i="33"/>
  <c r="S398" i="33"/>
  <c r="S397" i="33"/>
  <c r="S396" i="33"/>
  <c r="S387" i="33"/>
  <c r="S386" i="33"/>
  <c r="S385" i="33"/>
  <c r="S384" i="33"/>
  <c r="S111" i="15"/>
  <c r="S402" i="33" s="1"/>
  <c r="T445" i="33"/>
  <c r="T441" i="33"/>
  <c r="T343" i="33" s="1"/>
  <c r="T437" i="33"/>
  <c r="S381" i="33"/>
  <c r="S376" i="33"/>
  <c r="S241" i="15"/>
  <c r="S135" i="15" s="1"/>
  <c r="S198" i="15"/>
  <c r="S403" i="33" s="1"/>
  <c r="S81" i="15"/>
  <c r="S474" i="33"/>
  <c r="T444" i="33"/>
  <c r="T436" i="33"/>
  <c r="Y451" i="33" s="1"/>
  <c r="S106" i="15"/>
  <c r="T448" i="33"/>
  <c r="Y458" i="33" s="1"/>
  <c r="T439" i="33"/>
  <c r="T431" i="33"/>
  <c r="S253" i="33"/>
  <c r="T434" i="33"/>
  <c r="S157" i="15"/>
  <c r="S252" i="33"/>
  <c r="AC33" i="15"/>
  <c r="Y33" i="15"/>
  <c r="U33" i="15"/>
  <c r="U83" i="15"/>
  <c r="AF33" i="15"/>
  <c r="AB33" i="15"/>
  <c r="X33" i="15"/>
  <c r="AF83" i="15"/>
  <c r="X83" i="15"/>
  <c r="AE33" i="15"/>
  <c r="AA33" i="15"/>
  <c r="W33" i="15"/>
  <c r="AD33" i="15"/>
  <c r="AL31" i="15"/>
  <c r="AE327" i="33"/>
  <c r="AE324" i="33"/>
  <c r="AH321" i="33"/>
  <c r="AD321" i="33"/>
  <c r="AH320" i="33"/>
  <c r="AL57" i="15"/>
  <c r="Z33" i="15"/>
  <c r="J366" i="33"/>
  <c r="J365" i="33"/>
  <c r="V33" i="15"/>
  <c r="AL32" i="15"/>
  <c r="AL58" i="15"/>
  <c r="AG324" i="33"/>
  <c r="AE321" i="33"/>
  <c r="I366" i="33"/>
  <c r="I365" i="33"/>
  <c r="AD324" i="33"/>
  <c r="AI321" i="33"/>
  <c r="AG321" i="33"/>
  <c r="AI320" i="33"/>
  <c r="W83" i="15"/>
  <c r="W326" i="33"/>
  <c r="AF321" i="33"/>
  <c r="Z223" i="15"/>
  <c r="Z224" i="15" s="1"/>
  <c r="Z465" i="33" s="1"/>
  <c r="AD457" i="33"/>
  <c r="AD227" i="15" s="1"/>
  <c r="AD228" i="15" s="1"/>
  <c r="AD464" i="33" s="1"/>
  <c r="Z457" i="33"/>
  <c r="Z227" i="15" s="1"/>
  <c r="Z228" i="15" s="1"/>
  <c r="Z464" i="33" s="1"/>
  <c r="V457" i="33"/>
  <c r="AF450" i="33"/>
  <c r="AF223" i="15" s="1"/>
  <c r="AF224" i="15" s="1"/>
  <c r="AF465" i="33" s="1"/>
  <c r="AB450" i="33"/>
  <c r="AB223" i="15" s="1"/>
  <c r="AB224" i="15" s="1"/>
  <c r="AB465" i="33" s="1"/>
  <c r="W450" i="33"/>
  <c r="G375" i="33"/>
  <c r="AC457" i="33"/>
  <c r="AC227" i="15" s="1"/>
  <c r="AC228" i="15" s="1"/>
  <c r="AC464" i="33" s="1"/>
  <c r="Y457" i="33"/>
  <c r="AE450" i="33"/>
  <c r="AE223" i="15" s="1"/>
  <c r="AE224" i="15" s="1"/>
  <c r="AE465" i="33" s="1"/>
  <c r="AA450" i="33"/>
  <c r="AA223" i="15" s="1"/>
  <c r="AA224" i="15" s="1"/>
  <c r="AA465" i="33" s="1"/>
  <c r="V450" i="33"/>
  <c r="AF457" i="33"/>
  <c r="AF227" i="15" s="1"/>
  <c r="AF228" i="15" s="1"/>
  <c r="AF464" i="33" s="1"/>
  <c r="AB457" i="33"/>
  <c r="AB227" i="15" s="1"/>
  <c r="AB228" i="15" s="1"/>
  <c r="AB464" i="33" s="1"/>
  <c r="X457" i="33"/>
  <c r="AD450" i="33"/>
  <c r="AD223" i="15" s="1"/>
  <c r="AD224" i="15" s="1"/>
  <c r="AD465" i="33" s="1"/>
  <c r="Y450" i="33"/>
  <c r="X450" i="33"/>
  <c r="AE457" i="33"/>
  <c r="AE227" i="15" s="1"/>
  <c r="AE228" i="15" s="1"/>
  <c r="AE464" i="33" s="1"/>
  <c r="AA457" i="33"/>
  <c r="AA227" i="15" s="1"/>
  <c r="AA228" i="15" s="1"/>
  <c r="AA464" i="33" s="1"/>
  <c r="W457" i="33"/>
  <c r="AC450" i="33"/>
  <c r="AC223" i="15" s="1"/>
  <c r="AC224" i="15" s="1"/>
  <c r="AC465" i="33" s="1"/>
  <c r="G271" i="33"/>
  <c r="G255" i="33"/>
  <c r="G241" i="33"/>
  <c r="G239" i="33"/>
  <c r="G225" i="33"/>
  <c r="G209" i="33"/>
  <c r="G272" i="33"/>
  <c r="G256" i="33"/>
  <c r="G273" i="33"/>
  <c r="G257" i="33"/>
  <c r="G270" i="33"/>
  <c r="G224" i="33"/>
  <c r="G208" i="33"/>
  <c r="G206" i="33"/>
  <c r="G186" i="33"/>
  <c r="G169" i="33"/>
  <c r="G185" i="33"/>
  <c r="G168" i="33"/>
  <c r="G240" i="33"/>
  <c r="G238" i="33"/>
  <c r="G223" i="33"/>
  <c r="G207" i="33"/>
  <c r="G184" i="33"/>
  <c r="G101" i="33"/>
  <c r="G118" i="33"/>
  <c r="O118" i="33" s="1"/>
  <c r="G167" i="33"/>
  <c r="AH171" i="33"/>
  <c r="S254" i="33"/>
  <c r="S235" i="33" s="1"/>
  <c r="Q396" i="33"/>
  <c r="Z104" i="15"/>
  <c r="Z108" i="15" s="1"/>
  <c r="Z379" i="33"/>
  <c r="AE18" i="33"/>
  <c r="Z12" i="26" s="1"/>
  <c r="AA22" i="33"/>
  <c r="V16" i="26" s="1"/>
  <c r="Z24" i="33"/>
  <c r="U18" i="26" s="1"/>
  <c r="X18" i="33"/>
  <c r="S12" i="26" s="1"/>
  <c r="AB18" i="33"/>
  <c r="W12" i="26" s="1"/>
  <c r="AF18" i="33"/>
  <c r="AA12" i="26" s="1"/>
  <c r="X20" i="33"/>
  <c r="S14" i="26" s="1"/>
  <c r="AB20" i="33"/>
  <c r="W14" i="26" s="1"/>
  <c r="AF20" i="33"/>
  <c r="AA14" i="26" s="1"/>
  <c r="X22" i="33"/>
  <c r="S16" i="26" s="1"/>
  <c r="AB22" i="33"/>
  <c r="W16" i="26" s="1"/>
  <c r="AF22" i="33"/>
  <c r="AA16" i="26" s="1"/>
  <c r="O24" i="33"/>
  <c r="J18" i="26" s="1"/>
  <c r="S24" i="33"/>
  <c r="N18" i="26" s="1"/>
  <c r="W24" i="33"/>
  <c r="R18" i="26" s="1"/>
  <c r="AA24" i="33"/>
  <c r="V18" i="26" s="1"/>
  <c r="AE24" i="33"/>
  <c r="Z18" i="26" s="1"/>
  <c r="X28" i="33"/>
  <c r="S22" i="26" s="1"/>
  <c r="AB28" i="33"/>
  <c r="W22" i="26" s="1"/>
  <c r="AF28" i="33"/>
  <c r="AA22" i="26" s="1"/>
  <c r="X32" i="33"/>
  <c r="S26" i="26" s="1"/>
  <c r="AB32" i="33"/>
  <c r="W26" i="26" s="1"/>
  <c r="AF32" i="33"/>
  <c r="AA26" i="26" s="1"/>
  <c r="X36" i="33"/>
  <c r="S30" i="26" s="1"/>
  <c r="AB36" i="33"/>
  <c r="W30" i="26" s="1"/>
  <c r="AF36" i="33"/>
  <c r="AA30" i="26" s="1"/>
  <c r="O269" i="15"/>
  <c r="AL273" i="15"/>
  <c r="AL271" i="15"/>
  <c r="O260" i="15"/>
  <c r="O249" i="15"/>
  <c r="AL241" i="15"/>
  <c r="AL274" i="15"/>
  <c r="AL272" i="15"/>
  <c r="AL258" i="15"/>
  <c r="AL254" i="15"/>
  <c r="AL252" i="15"/>
  <c r="AL239" i="15"/>
  <c r="O230" i="15"/>
  <c r="O255" i="15"/>
  <c r="AL259" i="15"/>
  <c r="AL257" i="15"/>
  <c r="AL198" i="15"/>
  <c r="J43" i="22" s="1"/>
  <c r="AL171" i="15"/>
  <c r="O136" i="15"/>
  <c r="AL125" i="15"/>
  <c r="J36" i="17" s="1"/>
  <c r="AL123" i="15"/>
  <c r="J34" i="17" s="1"/>
  <c r="AL121" i="15"/>
  <c r="J32" i="17" s="1"/>
  <c r="AL119" i="15"/>
  <c r="J30" i="17" s="1"/>
  <c r="AL117" i="15"/>
  <c r="J28" i="17" s="1"/>
  <c r="AL115" i="15"/>
  <c r="J26" i="17" s="1"/>
  <c r="AL111" i="15"/>
  <c r="J44" i="22" s="1"/>
  <c r="AL106" i="15"/>
  <c r="J21" i="17" s="1"/>
  <c r="AL100" i="15"/>
  <c r="AL94" i="15"/>
  <c r="AL90" i="15"/>
  <c r="V82" i="15"/>
  <c r="O60" i="15"/>
  <c r="AL39" i="15"/>
  <c r="AL37" i="15"/>
  <c r="AX9" i="15"/>
  <c r="O187" i="15"/>
  <c r="AL185" i="15"/>
  <c r="AL174" i="15"/>
  <c r="AL167" i="15"/>
  <c r="AL152" i="15"/>
  <c r="J24" i="22" s="1"/>
  <c r="AL150" i="15"/>
  <c r="J22" i="22" s="1"/>
  <c r="AL148" i="15"/>
  <c r="J20" i="22" s="1"/>
  <c r="AL146" i="15"/>
  <c r="J18" i="22" s="1"/>
  <c r="AL144" i="15"/>
  <c r="J16" i="22" s="1"/>
  <c r="AL142" i="15"/>
  <c r="J14" i="22" s="1"/>
  <c r="AL140" i="15"/>
  <c r="J12" i="22" s="1"/>
  <c r="AL134" i="15"/>
  <c r="O112" i="15"/>
  <c r="O109" i="15"/>
  <c r="AL98" i="15"/>
  <c r="J16" i="17" s="1"/>
  <c r="AL95" i="15"/>
  <c r="AL91" i="15"/>
  <c r="I82" i="15"/>
  <c r="AL75" i="15"/>
  <c r="AL73" i="15"/>
  <c r="AL71" i="15"/>
  <c r="AL69" i="15"/>
  <c r="AL67" i="15"/>
  <c r="Y64" i="15"/>
  <c r="AL55" i="15"/>
  <c r="AL53" i="15"/>
  <c r="AL51" i="15"/>
  <c r="AL49" i="15"/>
  <c r="AL47" i="15"/>
  <c r="AL45" i="15"/>
  <c r="AL43" i="15"/>
  <c r="AL41" i="15"/>
  <c r="AL29" i="15"/>
  <c r="AL27" i="15"/>
  <c r="AL25" i="15"/>
  <c r="AL23" i="15"/>
  <c r="AL21" i="15"/>
  <c r="AL19" i="15"/>
  <c r="AL17" i="15"/>
  <c r="AL15" i="15"/>
  <c r="AL13" i="15"/>
  <c r="AL11" i="15"/>
  <c r="AL240" i="15"/>
  <c r="O194" i="15"/>
  <c r="AL192" i="15"/>
  <c r="AL170" i="15"/>
  <c r="AL164" i="15"/>
  <c r="O161" i="15"/>
  <c r="AL124" i="15"/>
  <c r="J35" i="17" s="1"/>
  <c r="AL122" i="15"/>
  <c r="J33" i="17" s="1"/>
  <c r="AL120" i="15"/>
  <c r="J31" i="17" s="1"/>
  <c r="AL118" i="15"/>
  <c r="J29" i="17" s="1"/>
  <c r="AL116" i="15"/>
  <c r="J27" i="17" s="1"/>
  <c r="AL114" i="15"/>
  <c r="AL110" i="15"/>
  <c r="AL107" i="15"/>
  <c r="J22" i="17" s="1"/>
  <c r="AL105" i="15"/>
  <c r="J20" i="17" s="1"/>
  <c r="AL103" i="15"/>
  <c r="J18" i="17" s="1"/>
  <c r="L78" i="17" s="1"/>
  <c r="L80" i="17" s="1"/>
  <c r="AL96" i="15"/>
  <c r="AL92" i="15"/>
  <c r="AL88" i="15"/>
  <c r="O86" i="15"/>
  <c r="AL40" i="15"/>
  <c r="AL38" i="15"/>
  <c r="O157" i="15"/>
  <c r="AL147" i="15"/>
  <c r="J19" i="22" s="1"/>
  <c r="AL139" i="15"/>
  <c r="J11" i="22" s="1"/>
  <c r="AL135" i="15"/>
  <c r="J25" i="17" s="1"/>
  <c r="AJ110" i="15"/>
  <c r="AL68" i="15"/>
  <c r="AL54" i="15"/>
  <c r="AL46" i="15"/>
  <c r="AL26" i="15"/>
  <c r="AL18" i="15"/>
  <c r="AL153" i="15"/>
  <c r="J25" i="22" s="1"/>
  <c r="AL145" i="15"/>
  <c r="J17" i="22" s="1"/>
  <c r="AL93" i="15"/>
  <c r="AL74" i="15"/>
  <c r="AL66" i="15"/>
  <c r="AL52" i="15"/>
  <c r="AL44" i="15"/>
  <c r="O34" i="15"/>
  <c r="AL24" i="15"/>
  <c r="AL16" i="15"/>
  <c r="AL14" i="15"/>
  <c r="AJ473" i="33"/>
  <c r="AL173" i="15"/>
  <c r="AL155" i="15"/>
  <c r="J27" i="22" s="1"/>
  <c r="AL151" i="15"/>
  <c r="J23" i="22" s="1"/>
  <c r="AL143" i="15"/>
  <c r="J15" i="22" s="1"/>
  <c r="AL72" i="15"/>
  <c r="AL50" i="15"/>
  <c r="AL42" i="15"/>
  <c r="AL30" i="15"/>
  <c r="AL22" i="15"/>
  <c r="AL12" i="15"/>
  <c r="L2" i="15"/>
  <c r="AL89" i="15"/>
  <c r="Y63" i="15"/>
  <c r="AL48" i="15"/>
  <c r="AB315" i="33"/>
  <c r="AB371" i="33" s="1"/>
  <c r="AH274" i="33"/>
  <c r="AH210" i="33"/>
  <c r="O81" i="15"/>
  <c r="AL28" i="15"/>
  <c r="M4" i="15"/>
  <c r="AJ279" i="33"/>
  <c r="AJ269" i="33"/>
  <c r="AJ247" i="33"/>
  <c r="AJ242" i="33"/>
  <c r="AJ237" i="33"/>
  <c r="AL149" i="15"/>
  <c r="J21" i="22" s="1"/>
  <c r="AL97" i="15"/>
  <c r="AL70" i="15"/>
  <c r="AL20" i="15"/>
  <c r="AJ332" i="33"/>
  <c r="AD315" i="33"/>
  <c r="AD371" i="33" s="1"/>
  <c r="AH279" i="33"/>
  <c r="AH269" i="33"/>
  <c r="AH247" i="33"/>
  <c r="AL253" i="15"/>
  <c r="AL56" i="15"/>
  <c r="AJ215" i="33"/>
  <c r="AJ176" i="33"/>
  <c r="AJ166" i="33"/>
  <c r="AC155" i="33"/>
  <c r="AC370" i="33" s="1"/>
  <c r="AL141" i="15"/>
  <c r="J13" i="22" s="1"/>
  <c r="AC315" i="33"/>
  <c r="AC371" i="33" s="1"/>
  <c r="AJ274" i="33"/>
  <c r="AH242" i="33"/>
  <c r="AH215" i="33"/>
  <c r="AJ210" i="33"/>
  <c r="AJ205" i="33"/>
  <c r="AH176" i="33"/>
  <c r="AH166" i="33"/>
  <c r="AB155" i="33"/>
  <c r="AB370" i="33" s="1"/>
  <c r="AJ474" i="33"/>
  <c r="AH205" i="33"/>
  <c r="AJ171" i="33"/>
  <c r="L57" i="33"/>
  <c r="P421" i="15"/>
  <c r="P287" i="15"/>
  <c r="P230" i="15"/>
  <c r="P259" i="15"/>
  <c r="P255" i="15"/>
  <c r="P241" i="15"/>
  <c r="P135" i="15" s="1"/>
  <c r="P269" i="15"/>
  <c r="P187" i="15"/>
  <c r="P112" i="15"/>
  <c r="P109" i="15"/>
  <c r="P105" i="15"/>
  <c r="P103" i="15"/>
  <c r="P254" i="15"/>
  <c r="P33" i="15" s="1"/>
  <c r="P249" i="15"/>
  <c r="P194" i="15"/>
  <c r="P161" i="15"/>
  <c r="P86" i="15"/>
  <c r="P260" i="15"/>
  <c r="P198" i="15"/>
  <c r="P403" i="33" s="1"/>
  <c r="P157" i="15"/>
  <c r="P111" i="15"/>
  <c r="P402" i="33" s="1"/>
  <c r="P106" i="15"/>
  <c r="P81" i="15"/>
  <c r="P34" i="15"/>
  <c r="AY9" i="15"/>
  <c r="Q445" i="33"/>
  <c r="Q441" i="33"/>
  <c r="Q343" i="33" s="1"/>
  <c r="Q437" i="33"/>
  <c r="P381" i="33"/>
  <c r="P376" i="33"/>
  <c r="P98" i="15"/>
  <c r="P474" i="33"/>
  <c r="Q444" i="33"/>
  <c r="Q436" i="33"/>
  <c r="R450" i="33" s="1"/>
  <c r="Q431" i="33"/>
  <c r="P273" i="15"/>
  <c r="P136" i="15"/>
  <c r="P60" i="15"/>
  <c r="Q448" i="33"/>
  <c r="R457" i="33" s="1"/>
  <c r="Q439" i="33"/>
  <c r="AY14" i="15"/>
  <c r="P473" i="33"/>
  <c r="Q446" i="33"/>
  <c r="Q382" i="33" s="1"/>
  <c r="Q442" i="33"/>
  <c r="P401" i="33"/>
  <c r="P398" i="33"/>
  <c r="P396" i="33"/>
  <c r="P387" i="33"/>
  <c r="P385" i="33"/>
  <c r="Q438" i="33"/>
  <c r="Q433" i="33"/>
  <c r="P405" i="33"/>
  <c r="P397" i="33"/>
  <c r="P386" i="33"/>
  <c r="P384" i="33"/>
  <c r="Q434" i="33"/>
  <c r="T421" i="15"/>
  <c r="T287" i="15"/>
  <c r="T230" i="15"/>
  <c r="T259" i="15"/>
  <c r="T255" i="15"/>
  <c r="T273" i="15"/>
  <c r="T269" i="15"/>
  <c r="T241" i="15"/>
  <c r="T135" i="15" s="1"/>
  <c r="U26" i="33" s="1"/>
  <c r="P20" i="26" s="1"/>
  <c r="T254" i="15"/>
  <c r="T33" i="15" s="1"/>
  <c r="T249" i="15"/>
  <c r="T187" i="15"/>
  <c r="T112" i="15"/>
  <c r="T109" i="15"/>
  <c r="T105" i="15"/>
  <c r="T22" i="33" s="1"/>
  <c r="O16" i="26" s="1"/>
  <c r="T103" i="15"/>
  <c r="U20" i="33" s="1"/>
  <c r="P14" i="26" s="1"/>
  <c r="T260" i="15"/>
  <c r="T194" i="15"/>
  <c r="T161" i="15"/>
  <c r="T86" i="15"/>
  <c r="T198" i="15"/>
  <c r="T403" i="33" s="1"/>
  <c r="T157" i="15"/>
  <c r="T111" i="15"/>
  <c r="T402" i="33" s="1"/>
  <c r="T26" i="31" s="1"/>
  <c r="T106" i="15"/>
  <c r="T81" i="15"/>
  <c r="T34" i="15"/>
  <c r="T98" i="15"/>
  <c r="T18" i="33" s="1"/>
  <c r="O12" i="26" s="1"/>
  <c r="T381" i="33"/>
  <c r="T376" i="33"/>
  <c r="T136" i="15"/>
  <c r="T60" i="15"/>
  <c r="T474" i="33"/>
  <c r="U438" i="33"/>
  <c r="T405" i="33"/>
  <c r="T397" i="33"/>
  <c r="T386" i="33"/>
  <c r="T384" i="33"/>
  <c r="BC9" i="15"/>
  <c r="U30" i="31"/>
  <c r="T401" i="33"/>
  <c r="T25" i="31" s="1"/>
  <c r="T398" i="33"/>
  <c r="T396" i="33"/>
  <c r="T387" i="33"/>
  <c r="T11" i="31" s="1"/>
  <c r="T385" i="33"/>
  <c r="U9" i="31" s="1"/>
  <c r="T236" i="33"/>
  <c r="P64" i="33"/>
  <c r="E73" i="33"/>
  <c r="S74" i="33"/>
  <c r="G102" i="33"/>
  <c r="G119" i="33"/>
  <c r="Q119" i="33" s="1"/>
  <c r="AD155" i="33"/>
  <c r="AD370" i="33" s="1"/>
  <c r="Q165" i="33"/>
  <c r="G170" i="33"/>
  <c r="Q236" i="33"/>
  <c r="W18" i="33"/>
  <c r="R12" i="26" s="1"/>
  <c r="W22" i="33"/>
  <c r="R16" i="26" s="1"/>
  <c r="AE22" i="33"/>
  <c r="Z16" i="26" s="1"/>
  <c r="AD24" i="33"/>
  <c r="Y18" i="26" s="1"/>
  <c r="I9" i="33"/>
  <c r="Y18" i="33"/>
  <c r="T12" i="26" s="1"/>
  <c r="AC18" i="33"/>
  <c r="X12" i="26" s="1"/>
  <c r="Y22" i="33"/>
  <c r="T16" i="26" s="1"/>
  <c r="AC22" i="33"/>
  <c r="X16" i="26" s="1"/>
  <c r="B18" i="26"/>
  <c r="B22" i="17"/>
  <c r="P24" i="33"/>
  <c r="K18" i="26" s="1"/>
  <c r="T24" i="33"/>
  <c r="O18" i="26" s="1"/>
  <c r="X24" i="33"/>
  <c r="S18" i="26" s="1"/>
  <c r="AB24" i="33"/>
  <c r="W18" i="26" s="1"/>
  <c r="AF24" i="33"/>
  <c r="AA18" i="26" s="1"/>
  <c r="X27" i="33"/>
  <c r="S21" i="26" s="1"/>
  <c r="AB27" i="33"/>
  <c r="W21" i="26" s="1"/>
  <c r="AF27" i="33"/>
  <c r="AA21" i="26" s="1"/>
  <c r="X31" i="33"/>
  <c r="S25" i="26" s="1"/>
  <c r="AB31" i="33"/>
  <c r="W25" i="26" s="1"/>
  <c r="AF31" i="33"/>
  <c r="AA25" i="26" s="1"/>
  <c r="X35" i="33"/>
  <c r="S29" i="26" s="1"/>
  <c r="AB35" i="33"/>
  <c r="W29" i="26" s="1"/>
  <c r="AF35" i="33"/>
  <c r="AA29" i="26" s="1"/>
  <c r="I57" i="33"/>
  <c r="M57" i="33"/>
  <c r="Q421" i="15"/>
  <c r="Q287" i="15"/>
  <c r="Q273" i="15"/>
  <c r="Q269" i="15"/>
  <c r="Q259" i="15"/>
  <c r="Q255" i="15"/>
  <c r="Q241" i="15"/>
  <c r="Q135" i="15" s="1"/>
  <c r="Q260" i="15"/>
  <c r="Q254" i="15"/>
  <c r="Q33" i="15" s="1"/>
  <c r="Q249" i="15"/>
  <c r="Q194" i="15"/>
  <c r="Q161" i="15"/>
  <c r="Q86" i="15"/>
  <c r="Q198" i="15"/>
  <c r="Q403" i="33" s="1"/>
  <c r="Q157" i="15"/>
  <c r="Q111" i="15"/>
  <c r="Q402" i="33" s="1"/>
  <c r="Q106" i="15"/>
  <c r="Q81" i="15"/>
  <c r="Q34" i="15"/>
  <c r="Q136" i="15"/>
  <c r="Q98" i="15"/>
  <c r="Q60" i="15"/>
  <c r="AZ14" i="15"/>
  <c r="AZ9" i="15"/>
  <c r="Q474" i="33"/>
  <c r="R444" i="33"/>
  <c r="R436" i="33"/>
  <c r="S450" i="33" s="1"/>
  <c r="R431" i="33"/>
  <c r="Q230" i="15"/>
  <c r="Q187" i="15"/>
  <c r="Q109" i="15"/>
  <c r="Q103" i="15"/>
  <c r="R448" i="33"/>
  <c r="S457" i="33" s="1"/>
  <c r="R439" i="33"/>
  <c r="R434" i="33"/>
  <c r="Q112" i="15"/>
  <c r="Q473" i="33"/>
  <c r="R446" i="33"/>
  <c r="R382" i="33" s="1"/>
  <c r="R442" i="33"/>
  <c r="R438" i="33"/>
  <c r="R445" i="33"/>
  <c r="R441" i="33"/>
  <c r="R343" i="33" s="1"/>
  <c r="Q105" i="15"/>
  <c r="R437" i="33"/>
  <c r="R433" i="33"/>
  <c r="Q405" i="33"/>
  <c r="Q397" i="33"/>
  <c r="Q386" i="33"/>
  <c r="Q384" i="33"/>
  <c r="Q381" i="33"/>
  <c r="Q376" i="33"/>
  <c r="Q398" i="33"/>
  <c r="Q385" i="33"/>
  <c r="Q401" i="33"/>
  <c r="Q387" i="33"/>
  <c r="Q253" i="33"/>
  <c r="G103" i="33"/>
  <c r="O181" i="33"/>
  <c r="O182" i="33"/>
  <c r="O183" i="33"/>
  <c r="O164" i="33" s="1"/>
  <c r="P181" i="33"/>
  <c r="T181" i="33"/>
  <c r="X181" i="33"/>
  <c r="AB181" i="33"/>
  <c r="AF181" i="33"/>
  <c r="P182" i="33"/>
  <c r="T182" i="33"/>
  <c r="X182" i="33"/>
  <c r="AB182" i="33"/>
  <c r="AF182" i="33"/>
  <c r="P183" i="33"/>
  <c r="P164" i="33" s="1"/>
  <c r="T183" i="33"/>
  <c r="T164" i="33" s="1"/>
  <c r="X183" i="33"/>
  <c r="X164" i="33" s="1"/>
  <c r="AB183" i="33"/>
  <c r="AB164" i="33" s="1"/>
  <c r="AF183" i="33"/>
  <c r="AF164" i="33" s="1"/>
  <c r="O165" i="33"/>
  <c r="S165" i="33"/>
  <c r="W165" i="33"/>
  <c r="AA165" i="33"/>
  <c r="AE165" i="33"/>
  <c r="Q181" i="33"/>
  <c r="U181" i="33"/>
  <c r="Y181" i="33"/>
  <c r="AC181" i="33"/>
  <c r="Q182" i="33"/>
  <c r="U182" i="33"/>
  <c r="Y182" i="33"/>
  <c r="AC182" i="33"/>
  <c r="Q183" i="33"/>
  <c r="Q164" i="33" s="1"/>
  <c r="U183" i="33"/>
  <c r="U164" i="33" s="1"/>
  <c r="Y183" i="33"/>
  <c r="Y164" i="33" s="1"/>
  <c r="AC183" i="33"/>
  <c r="AC164" i="33" s="1"/>
  <c r="U236" i="33"/>
  <c r="P165" i="33"/>
  <c r="T165" i="33"/>
  <c r="X165" i="33"/>
  <c r="AB165" i="33"/>
  <c r="R181" i="33"/>
  <c r="V181" i="33"/>
  <c r="Z181" i="33"/>
  <c r="R182" i="33"/>
  <c r="V182" i="33"/>
  <c r="Z182" i="33"/>
  <c r="R183" i="33"/>
  <c r="R164" i="33" s="1"/>
  <c r="V183" i="33"/>
  <c r="V164" i="33" s="1"/>
  <c r="Z183" i="33"/>
  <c r="Z164" i="33" s="1"/>
  <c r="AE236" i="33"/>
  <c r="AA236" i="33"/>
  <c r="W236" i="33"/>
  <c r="S236" i="33"/>
  <c r="O236" i="33"/>
  <c r="AD236" i="33"/>
  <c r="Z236" i="33"/>
  <c r="V236" i="33"/>
  <c r="R236" i="33"/>
  <c r="P236" i="33"/>
  <c r="X236" i="33"/>
  <c r="AF236" i="33"/>
  <c r="P252" i="33"/>
  <c r="T252" i="33"/>
  <c r="X252" i="33"/>
  <c r="AB252" i="33"/>
  <c r="AF252" i="33"/>
  <c r="P254" i="33"/>
  <c r="P235" i="33" s="1"/>
  <c r="T254" i="33"/>
  <c r="T235" i="33" s="1"/>
  <c r="X254" i="33"/>
  <c r="X235" i="33" s="1"/>
  <c r="AB254" i="33"/>
  <c r="AB235" i="33" s="1"/>
  <c r="AF254" i="33"/>
  <c r="AF235" i="33" s="1"/>
  <c r="L61" i="15"/>
  <c r="Q252" i="33"/>
  <c r="U252" i="33"/>
  <c r="Y252" i="33"/>
  <c r="AC252" i="33"/>
  <c r="Q254" i="33"/>
  <c r="Q235" i="33" s="1"/>
  <c r="U254" i="33"/>
  <c r="U235" i="33" s="1"/>
  <c r="Y254" i="33"/>
  <c r="Y235" i="33" s="1"/>
  <c r="AC254" i="33"/>
  <c r="AC235" i="33" s="1"/>
  <c r="R252" i="33"/>
  <c r="V252" i="33"/>
  <c r="Z252" i="33"/>
  <c r="P253" i="33"/>
  <c r="T253" i="33"/>
  <c r="X253" i="33"/>
  <c r="AB253" i="33"/>
  <c r="R254" i="33"/>
  <c r="R235" i="33" s="1"/>
  <c r="V254" i="33"/>
  <c r="V235" i="33" s="1"/>
  <c r="Z254" i="33"/>
  <c r="Z235" i="33" s="1"/>
  <c r="C418" i="33"/>
  <c r="C422" i="33"/>
  <c r="X99" i="15"/>
  <c r="AB99" i="15"/>
  <c r="AF99" i="15"/>
  <c r="AD19" i="33" s="1"/>
  <c r="Y13" i="26" s="1"/>
  <c r="V138" i="15"/>
  <c r="Z138" i="15"/>
  <c r="AD138" i="15"/>
  <c r="W138" i="15"/>
  <c r="AA138" i="15"/>
  <c r="AE138" i="15"/>
  <c r="X138" i="15"/>
  <c r="AB138" i="15"/>
  <c r="AF138" i="15"/>
  <c r="U138" i="15"/>
  <c r="Y138" i="15"/>
  <c r="AC138" i="15"/>
  <c r="S80" i="33"/>
  <c r="K349" i="33" l="1"/>
  <c r="K313" i="15"/>
  <c r="I349" i="33"/>
  <c r="I313" i="15"/>
  <c r="J349" i="33"/>
  <c r="J313" i="15"/>
  <c r="M349" i="33"/>
  <c r="M313" i="15"/>
  <c r="L349" i="33"/>
  <c r="L313" i="15"/>
  <c r="N349" i="33"/>
  <c r="N313" i="15"/>
  <c r="AE13" i="33"/>
  <c r="Z7" i="26" s="1"/>
  <c r="AF121" i="33"/>
  <c r="AB121" i="33"/>
  <c r="X121" i="33"/>
  <c r="AE121" i="33"/>
  <c r="AA121" i="33"/>
  <c r="W121" i="33"/>
  <c r="AD121" i="33"/>
  <c r="Z121" i="33"/>
  <c r="V121" i="33"/>
  <c r="AC121" i="33"/>
  <c r="Y121" i="33"/>
  <c r="U121" i="33"/>
  <c r="AD23" i="31"/>
  <c r="T120" i="33"/>
  <c r="T122" i="33"/>
  <c r="T107" i="33" s="1"/>
  <c r="P122" i="33"/>
  <c r="S118" i="33"/>
  <c r="S120" i="33"/>
  <c r="O119" i="33"/>
  <c r="O102" i="33" s="1"/>
  <c r="R122" i="33"/>
  <c r="Q121" i="33"/>
  <c r="Q117" i="33"/>
  <c r="Q122" i="33"/>
  <c r="Q107" i="33" s="1"/>
  <c r="T117" i="33"/>
  <c r="P120" i="33"/>
  <c r="O117" i="33"/>
  <c r="O120" i="33"/>
  <c r="R117" i="33"/>
  <c r="AF122" i="33"/>
  <c r="AB122" i="33"/>
  <c r="X122" i="33"/>
  <c r="X107" i="33" s="1"/>
  <c r="AE122" i="33"/>
  <c r="AA122" i="33"/>
  <c r="W122" i="33"/>
  <c r="AD122" i="33"/>
  <c r="AD107" i="33" s="1"/>
  <c r="Z122" i="33"/>
  <c r="V122" i="33"/>
  <c r="AC122" i="33"/>
  <c r="Y122" i="33"/>
  <c r="Y107" i="33" s="1"/>
  <c r="U122" i="33"/>
  <c r="AF120" i="33"/>
  <c r="AB120" i="33"/>
  <c r="X120" i="33"/>
  <c r="AE120" i="33"/>
  <c r="AA120" i="33"/>
  <c r="W120" i="33"/>
  <c r="AD120" i="33"/>
  <c r="Z120" i="33"/>
  <c r="V120" i="33"/>
  <c r="AC120" i="33"/>
  <c r="Y120" i="33"/>
  <c r="U120" i="33"/>
  <c r="T119" i="33"/>
  <c r="T121" i="33"/>
  <c r="P117" i="33"/>
  <c r="S119" i="33"/>
  <c r="O121" i="33"/>
  <c r="R121" i="33"/>
  <c r="R119" i="33"/>
  <c r="R102" i="33" s="1"/>
  <c r="Q120" i="33"/>
  <c r="AF119" i="33"/>
  <c r="AB119" i="33"/>
  <c r="X119" i="33"/>
  <c r="X102" i="33" s="1"/>
  <c r="AE119" i="33"/>
  <c r="AA119" i="33"/>
  <c r="W119" i="33"/>
  <c r="AD119" i="33"/>
  <c r="AD102" i="33" s="1"/>
  <c r="Z119" i="33"/>
  <c r="V119" i="33"/>
  <c r="AC119" i="33"/>
  <c r="Y119" i="33"/>
  <c r="Y102" i="33" s="1"/>
  <c r="U119" i="33"/>
  <c r="AF118" i="33"/>
  <c r="AB118" i="33"/>
  <c r="X118" i="33"/>
  <c r="AE118" i="33"/>
  <c r="AA118" i="33"/>
  <c r="W118" i="33"/>
  <c r="AD118" i="33"/>
  <c r="Z118" i="33"/>
  <c r="V118" i="33"/>
  <c r="AC118" i="33"/>
  <c r="Y118" i="33"/>
  <c r="U118" i="33"/>
  <c r="AF117" i="33"/>
  <c r="AB117" i="33"/>
  <c r="X117" i="33"/>
  <c r="AE117" i="33"/>
  <c r="AA117" i="33"/>
  <c r="W117" i="33"/>
  <c r="AD117" i="33"/>
  <c r="Z117" i="33"/>
  <c r="V117" i="33"/>
  <c r="AC117" i="33"/>
  <c r="Y117" i="33"/>
  <c r="U117" i="33"/>
  <c r="T118" i="33"/>
  <c r="P119" i="33"/>
  <c r="P118" i="33"/>
  <c r="P121" i="33"/>
  <c r="S121" i="33"/>
  <c r="O122" i="33"/>
  <c r="R118" i="33"/>
  <c r="Q118" i="33"/>
  <c r="N119" i="33"/>
  <c r="N115" i="33"/>
  <c r="N114" i="33"/>
  <c r="N120" i="33"/>
  <c r="N116" i="33"/>
  <c r="N118" i="33"/>
  <c r="N121" i="33"/>
  <c r="N117" i="33"/>
  <c r="N122" i="33"/>
  <c r="N107" i="33" s="1"/>
  <c r="M122" i="33"/>
  <c r="M118" i="33"/>
  <c r="M114" i="33"/>
  <c r="M121" i="33"/>
  <c r="M119" i="33"/>
  <c r="M115" i="33"/>
  <c r="M117" i="33"/>
  <c r="M120" i="33"/>
  <c r="M116" i="33"/>
  <c r="L121" i="33"/>
  <c r="L117" i="33"/>
  <c r="L120" i="33"/>
  <c r="L122" i="33"/>
  <c r="L118" i="33"/>
  <c r="L114" i="33"/>
  <c r="L116" i="33"/>
  <c r="L97" i="33" s="1"/>
  <c r="L119" i="33"/>
  <c r="L115" i="33"/>
  <c r="I121" i="33"/>
  <c r="I117" i="33"/>
  <c r="I118" i="33"/>
  <c r="I120" i="33"/>
  <c r="I116" i="33"/>
  <c r="I114" i="33"/>
  <c r="I119" i="33"/>
  <c r="I115" i="33"/>
  <c r="I122" i="33"/>
  <c r="K120" i="33"/>
  <c r="K116" i="33"/>
  <c r="K97" i="33" s="1"/>
  <c r="K121" i="33"/>
  <c r="K117" i="33"/>
  <c r="K115" i="33"/>
  <c r="K122" i="33"/>
  <c r="K107" i="33" s="1"/>
  <c r="K118" i="33"/>
  <c r="K114" i="33"/>
  <c r="K119" i="33"/>
  <c r="J119" i="33"/>
  <c r="J102" i="33" s="1"/>
  <c r="J115" i="33"/>
  <c r="J122" i="33"/>
  <c r="J107" i="33" s="1"/>
  <c r="J120" i="33"/>
  <c r="J116" i="33"/>
  <c r="J97" i="33" s="1"/>
  <c r="J114" i="33"/>
  <c r="J121" i="33"/>
  <c r="J117" i="33"/>
  <c r="J118" i="33"/>
  <c r="T20" i="31"/>
  <c r="T29" i="31"/>
  <c r="T8" i="31"/>
  <c r="T27" i="31"/>
  <c r="N59" i="15"/>
  <c r="N83" i="15" s="1"/>
  <c r="N406" i="33"/>
  <c r="J52" i="22"/>
  <c r="J49" i="22"/>
  <c r="K406" i="33"/>
  <c r="J59" i="15"/>
  <c r="J406" i="33"/>
  <c r="I406" i="33"/>
  <c r="M406" i="33"/>
  <c r="L59" i="15"/>
  <c r="L406" i="33"/>
  <c r="AF172" i="15"/>
  <c r="AB172" i="15"/>
  <c r="X172" i="15"/>
  <c r="AF184" i="15"/>
  <c r="AL184" i="15" s="1"/>
  <c r="AB184" i="15"/>
  <c r="X184" i="15"/>
  <c r="T184" i="15"/>
  <c r="P184" i="15"/>
  <c r="L184" i="15"/>
  <c r="AF181" i="15"/>
  <c r="AL181" i="15" s="1"/>
  <c r="AB181" i="15"/>
  <c r="X181" i="15"/>
  <c r="T181" i="15"/>
  <c r="P181" i="15"/>
  <c r="L181" i="15"/>
  <c r="AE178" i="15"/>
  <c r="AA178" i="15"/>
  <c r="W178" i="15"/>
  <c r="S178" i="15"/>
  <c r="O178" i="15"/>
  <c r="K178" i="15"/>
  <c r="N178" i="15"/>
  <c r="Y172" i="15"/>
  <c r="Y184" i="15"/>
  <c r="M184" i="15"/>
  <c r="Y181" i="15"/>
  <c r="Q181" i="15"/>
  <c r="AJ182" i="15"/>
  <c r="AF178" i="15"/>
  <c r="AL178" i="15" s="1"/>
  <c r="T178" i="15"/>
  <c r="AE172" i="15"/>
  <c r="AA172" i="15"/>
  <c r="W172" i="15"/>
  <c r="AE184" i="15"/>
  <c r="AA184" i="15"/>
  <c r="W184" i="15"/>
  <c r="S184" i="15"/>
  <c r="O184" i="15"/>
  <c r="K184" i="15"/>
  <c r="AE181" i="15"/>
  <c r="AA181" i="15"/>
  <c r="W181" i="15"/>
  <c r="S181" i="15"/>
  <c r="O181" i="15"/>
  <c r="K181" i="15"/>
  <c r="AJ183" i="15"/>
  <c r="AJ180" i="15"/>
  <c r="AJ177" i="15"/>
  <c r="AD178" i="15"/>
  <c r="Z178" i="15"/>
  <c r="V178" i="15"/>
  <c r="R178" i="15"/>
  <c r="J178" i="15"/>
  <c r="U172" i="15"/>
  <c r="U184" i="15"/>
  <c r="I184" i="15"/>
  <c r="U181" i="15"/>
  <c r="I181" i="15"/>
  <c r="AJ176" i="15"/>
  <c r="X178" i="15"/>
  <c r="L178" i="15"/>
  <c r="AD172" i="15"/>
  <c r="Z172" i="15"/>
  <c r="V172" i="15"/>
  <c r="AD184" i="15"/>
  <c r="Z184" i="15"/>
  <c r="V184" i="15"/>
  <c r="R184" i="15"/>
  <c r="N184" i="15"/>
  <c r="J184" i="15"/>
  <c r="AD181" i="15"/>
  <c r="Z181" i="15"/>
  <c r="V181" i="15"/>
  <c r="R181" i="15"/>
  <c r="N181" i="15"/>
  <c r="J181" i="15"/>
  <c r="AC178" i="15"/>
  <c r="Y178" i="15"/>
  <c r="U178" i="15"/>
  <c r="Q178" i="15"/>
  <c r="M178" i="15"/>
  <c r="I178" i="15"/>
  <c r="AC172" i="15"/>
  <c r="AC184" i="15"/>
  <c r="Q184" i="15"/>
  <c r="AC181" i="15"/>
  <c r="M181" i="15"/>
  <c r="AJ179" i="15"/>
  <c r="AB178" i="15"/>
  <c r="P178" i="15"/>
  <c r="AC23" i="31"/>
  <c r="Y19" i="33"/>
  <c r="T13" i="26" s="1"/>
  <c r="W19" i="33"/>
  <c r="R13" i="26" s="1"/>
  <c r="T22" i="31"/>
  <c r="K60" i="15"/>
  <c r="K59" i="15"/>
  <c r="K83" i="15" s="1"/>
  <c r="M60" i="15"/>
  <c r="M59" i="15"/>
  <c r="M83" i="15" s="1"/>
  <c r="V154" i="15"/>
  <c r="V15" i="33"/>
  <c r="Q9" i="26" s="1"/>
  <c r="AC154" i="15"/>
  <c r="AC15" i="33"/>
  <c r="X9" i="26" s="1"/>
  <c r="AB154" i="15"/>
  <c r="AB15" i="33"/>
  <c r="W9" i="26" s="1"/>
  <c r="W154" i="15"/>
  <c r="W15" i="33"/>
  <c r="R9" i="26" s="1"/>
  <c r="AF154" i="15"/>
  <c r="AF15" i="33"/>
  <c r="AA9" i="26" s="1"/>
  <c r="Y154" i="15"/>
  <c r="Y15" i="33"/>
  <c r="T9" i="26" s="1"/>
  <c r="X154" i="15"/>
  <c r="X15" i="33"/>
  <c r="S9" i="26" s="1"/>
  <c r="AD154" i="15"/>
  <c r="AD15" i="33"/>
  <c r="Y9" i="26" s="1"/>
  <c r="AA154" i="15"/>
  <c r="AA15" i="33"/>
  <c r="V9" i="26" s="1"/>
  <c r="U154" i="15"/>
  <c r="AE154" i="15"/>
  <c r="AE15" i="33"/>
  <c r="Z9" i="26" s="1"/>
  <c r="Z154" i="15"/>
  <c r="Z15" i="33"/>
  <c r="U9" i="26" s="1"/>
  <c r="J165" i="15"/>
  <c r="N165" i="15"/>
  <c r="R165" i="15"/>
  <c r="K165" i="15"/>
  <c r="O165" i="15"/>
  <c r="S165" i="15"/>
  <c r="L165" i="15"/>
  <c r="P165" i="15"/>
  <c r="T165" i="15"/>
  <c r="M165" i="15"/>
  <c r="Q165" i="15"/>
  <c r="I165" i="15"/>
  <c r="Z19" i="33"/>
  <c r="U13" i="26" s="1"/>
  <c r="V22" i="31"/>
  <c r="AA19" i="33"/>
  <c r="V13" i="26" s="1"/>
  <c r="V19" i="33"/>
  <c r="Q13" i="26" s="1"/>
  <c r="V13" i="33"/>
  <c r="Q7" i="26" s="1"/>
  <c r="U14" i="33"/>
  <c r="P8" i="26" s="1"/>
  <c r="N291" i="15"/>
  <c r="N169" i="15"/>
  <c r="L291" i="15"/>
  <c r="L169" i="15"/>
  <c r="K291" i="15"/>
  <c r="K169" i="15"/>
  <c r="J291" i="15"/>
  <c r="J169" i="15"/>
  <c r="M291" i="15"/>
  <c r="M169" i="15"/>
  <c r="I291" i="15"/>
  <c r="I169" i="15"/>
  <c r="I350" i="33"/>
  <c r="AJ310" i="15"/>
  <c r="AJ295" i="15"/>
  <c r="AJ299" i="15"/>
  <c r="AJ296" i="15"/>
  <c r="AJ298" i="15"/>
  <c r="AJ300" i="15"/>
  <c r="AJ302" i="15"/>
  <c r="AJ304" i="15"/>
  <c r="AJ297" i="15"/>
  <c r="AJ303" i="15"/>
  <c r="AJ311" i="15"/>
  <c r="AJ301" i="15"/>
  <c r="L350" i="33"/>
  <c r="K350" i="33"/>
  <c r="M350" i="33"/>
  <c r="J350" i="33"/>
  <c r="N350" i="33"/>
  <c r="I345" i="33"/>
  <c r="J86" i="15"/>
  <c r="O199" i="15"/>
  <c r="J111" i="15"/>
  <c r="J402" i="33" s="1"/>
  <c r="AC35" i="26"/>
  <c r="AC34" i="26"/>
  <c r="AC33" i="26"/>
  <c r="AC32" i="26"/>
  <c r="J194" i="15"/>
  <c r="R45" i="33"/>
  <c r="M39" i="26" s="1"/>
  <c r="N45" i="33"/>
  <c r="I39" i="26" s="1"/>
  <c r="U44" i="33"/>
  <c r="P38" i="26" s="1"/>
  <c r="Q44" i="33"/>
  <c r="L38" i="26" s="1"/>
  <c r="M44" i="33"/>
  <c r="H38" i="26" s="1"/>
  <c r="T43" i="33"/>
  <c r="O37" i="26" s="1"/>
  <c r="P43" i="33"/>
  <c r="K37" i="26" s="1"/>
  <c r="L43" i="33"/>
  <c r="G37" i="26" s="1"/>
  <c r="S42" i="33"/>
  <c r="N36" i="26" s="1"/>
  <c r="U45" i="33"/>
  <c r="P39" i="26" s="1"/>
  <c r="Q45" i="33"/>
  <c r="L39" i="26" s="1"/>
  <c r="M45" i="33"/>
  <c r="H39" i="26" s="1"/>
  <c r="T44" i="33"/>
  <c r="O38" i="26" s="1"/>
  <c r="P44" i="33"/>
  <c r="K38" i="26" s="1"/>
  <c r="L44" i="33"/>
  <c r="G38" i="26" s="1"/>
  <c r="S43" i="33"/>
  <c r="N37" i="26" s="1"/>
  <c r="O43" i="33"/>
  <c r="J37" i="26" s="1"/>
  <c r="K43" i="33"/>
  <c r="F37" i="26" s="1"/>
  <c r="R42" i="33"/>
  <c r="M36" i="26" s="1"/>
  <c r="T45" i="33"/>
  <c r="O39" i="26" s="1"/>
  <c r="P45" i="33"/>
  <c r="K39" i="26" s="1"/>
  <c r="L45" i="33"/>
  <c r="G39" i="26" s="1"/>
  <c r="S44" i="33"/>
  <c r="N38" i="26" s="1"/>
  <c r="O44" i="33"/>
  <c r="J38" i="26" s="1"/>
  <c r="K44" i="33"/>
  <c r="F38" i="26" s="1"/>
  <c r="R43" i="33"/>
  <c r="M37" i="26" s="1"/>
  <c r="N43" i="33"/>
  <c r="I37" i="26" s="1"/>
  <c r="U42" i="33"/>
  <c r="P36" i="26" s="1"/>
  <c r="Q42" i="33"/>
  <c r="L36" i="26" s="1"/>
  <c r="O45" i="33"/>
  <c r="J39" i="26" s="1"/>
  <c r="U43" i="33"/>
  <c r="P37" i="26" s="1"/>
  <c r="P42" i="33"/>
  <c r="K36" i="26" s="1"/>
  <c r="L42" i="33"/>
  <c r="G36" i="26" s="1"/>
  <c r="S41" i="33"/>
  <c r="N35" i="26" s="1"/>
  <c r="O41" i="33"/>
  <c r="J35" i="26" s="1"/>
  <c r="K41" i="33"/>
  <c r="F35" i="26" s="1"/>
  <c r="R40" i="33"/>
  <c r="M34" i="26" s="1"/>
  <c r="N40" i="33"/>
  <c r="I34" i="26" s="1"/>
  <c r="U39" i="33"/>
  <c r="P33" i="26" s="1"/>
  <c r="Q39" i="33"/>
  <c r="L33" i="26" s="1"/>
  <c r="M39" i="33"/>
  <c r="H33" i="26" s="1"/>
  <c r="T38" i="33"/>
  <c r="O32" i="26" s="1"/>
  <c r="P38" i="33"/>
  <c r="K32" i="26" s="1"/>
  <c r="L38" i="33"/>
  <c r="G32" i="26" s="1"/>
  <c r="J43" i="33"/>
  <c r="E37" i="26" s="1"/>
  <c r="J39" i="33"/>
  <c r="E33" i="26" s="1"/>
  <c r="N44" i="33"/>
  <c r="I38" i="26" s="1"/>
  <c r="T41" i="33"/>
  <c r="O35" i="26" s="1"/>
  <c r="L41" i="33"/>
  <c r="G35" i="26" s="1"/>
  <c r="K40" i="33"/>
  <c r="F34" i="26" s="1"/>
  <c r="U38" i="33"/>
  <c r="P32" i="26" s="1"/>
  <c r="J44" i="33"/>
  <c r="E38" i="26" s="1"/>
  <c r="K45" i="33"/>
  <c r="F39" i="26" s="1"/>
  <c r="Q43" i="33"/>
  <c r="L37" i="26" s="1"/>
  <c r="O42" i="33"/>
  <c r="J36" i="26" s="1"/>
  <c r="K42" i="33"/>
  <c r="F36" i="26" s="1"/>
  <c r="R41" i="33"/>
  <c r="M35" i="26" s="1"/>
  <c r="N41" i="33"/>
  <c r="I35" i="26" s="1"/>
  <c r="U40" i="33"/>
  <c r="P34" i="26" s="1"/>
  <c r="Q40" i="33"/>
  <c r="L34" i="26" s="1"/>
  <c r="M40" i="33"/>
  <c r="H34" i="26" s="1"/>
  <c r="T39" i="33"/>
  <c r="O33" i="26" s="1"/>
  <c r="P39" i="33"/>
  <c r="K33" i="26" s="1"/>
  <c r="L39" i="33"/>
  <c r="G33" i="26" s="1"/>
  <c r="S38" i="33"/>
  <c r="N32" i="26" s="1"/>
  <c r="O38" i="33"/>
  <c r="J32" i="26" s="1"/>
  <c r="K38" i="33"/>
  <c r="F32" i="26" s="1"/>
  <c r="J42" i="33"/>
  <c r="E36" i="26" s="1"/>
  <c r="J38" i="33"/>
  <c r="E32" i="26" s="1"/>
  <c r="S45" i="33"/>
  <c r="N39" i="26" s="1"/>
  <c r="M42" i="33"/>
  <c r="H36" i="26" s="1"/>
  <c r="S40" i="33"/>
  <c r="N34" i="26" s="1"/>
  <c r="R39" i="33"/>
  <c r="M33" i="26" s="1"/>
  <c r="Q38" i="33"/>
  <c r="L32" i="26" s="1"/>
  <c r="J40" i="33"/>
  <c r="E34" i="26" s="1"/>
  <c r="R44" i="33"/>
  <c r="M38" i="26" s="1"/>
  <c r="M43" i="33"/>
  <c r="H37" i="26" s="1"/>
  <c r="N42" i="33"/>
  <c r="I36" i="26" s="1"/>
  <c r="U41" i="33"/>
  <c r="P35" i="26" s="1"/>
  <c r="Q41" i="33"/>
  <c r="L35" i="26" s="1"/>
  <c r="M41" i="33"/>
  <c r="H35" i="26" s="1"/>
  <c r="T40" i="33"/>
  <c r="O34" i="26" s="1"/>
  <c r="P40" i="33"/>
  <c r="K34" i="26" s="1"/>
  <c r="L40" i="33"/>
  <c r="G34" i="26" s="1"/>
  <c r="S39" i="33"/>
  <c r="N33" i="26" s="1"/>
  <c r="O39" i="33"/>
  <c r="J33" i="26" s="1"/>
  <c r="K39" i="33"/>
  <c r="F33" i="26" s="1"/>
  <c r="R38" i="33"/>
  <c r="M32" i="26" s="1"/>
  <c r="N38" i="33"/>
  <c r="I32" i="26" s="1"/>
  <c r="J45" i="33"/>
  <c r="E39" i="26" s="1"/>
  <c r="J41" i="33"/>
  <c r="E35" i="26" s="1"/>
  <c r="T42" i="33"/>
  <c r="O36" i="26" s="1"/>
  <c r="P41" i="33"/>
  <c r="K35" i="26" s="1"/>
  <c r="O40" i="33"/>
  <c r="J34" i="26" s="1"/>
  <c r="N39" i="33"/>
  <c r="I33" i="26" s="1"/>
  <c r="M38" i="33"/>
  <c r="H32" i="26" s="1"/>
  <c r="AC39" i="26"/>
  <c r="AC38" i="26"/>
  <c r="I28" i="33"/>
  <c r="D22" i="26" s="1"/>
  <c r="I40" i="33"/>
  <c r="D34" i="26" s="1"/>
  <c r="I44" i="33"/>
  <c r="D38" i="26" s="1"/>
  <c r="I43" i="33"/>
  <c r="D37" i="26" s="1"/>
  <c r="I41" i="33"/>
  <c r="D35" i="26" s="1"/>
  <c r="I45" i="33"/>
  <c r="D39" i="26" s="1"/>
  <c r="I30" i="33"/>
  <c r="D24" i="26" s="1"/>
  <c r="I38" i="33"/>
  <c r="D32" i="26" s="1"/>
  <c r="I42" i="33"/>
  <c r="D36" i="26" s="1"/>
  <c r="I39" i="33"/>
  <c r="D33" i="26" s="1"/>
  <c r="AC37" i="26"/>
  <c r="AC36" i="26"/>
  <c r="Y22" i="31"/>
  <c r="J45" i="17"/>
  <c r="AF96" i="33"/>
  <c r="AF76" i="15"/>
  <c r="AF78" i="15" s="1"/>
  <c r="AF80" i="15" s="1"/>
  <c r="Y76" i="15"/>
  <c r="Y84" i="15" s="1"/>
  <c r="AC76" i="15"/>
  <c r="AB76" i="15"/>
  <c r="AB84" i="15" s="1"/>
  <c r="V76" i="15"/>
  <c r="Z76" i="15"/>
  <c r="Z84" i="15" s="1"/>
  <c r="AD76" i="15"/>
  <c r="U76" i="15"/>
  <c r="U84" i="15" s="1"/>
  <c r="W76" i="15"/>
  <c r="W84" i="15" s="1"/>
  <c r="AA76" i="15"/>
  <c r="AA84" i="15" s="1"/>
  <c r="AE76" i="15"/>
  <c r="AE84" i="15" s="1"/>
  <c r="X76" i="15"/>
  <c r="X84" i="15" s="1"/>
  <c r="AL83" i="15"/>
  <c r="N264" i="15"/>
  <c r="N306" i="15"/>
  <c r="N276" i="15"/>
  <c r="N237" i="15"/>
  <c r="N242" i="15"/>
  <c r="K264" i="15"/>
  <c r="K306" i="15"/>
  <c r="K276" i="15"/>
  <c r="K237" i="15"/>
  <c r="K242" i="15"/>
  <c r="L264" i="15"/>
  <c r="L306" i="15"/>
  <c r="L276" i="15"/>
  <c r="L237" i="15"/>
  <c r="L242" i="15"/>
  <c r="J136" i="15"/>
  <c r="J264" i="15"/>
  <c r="J306" i="15"/>
  <c r="J276" i="15"/>
  <c r="J237" i="15"/>
  <c r="J242" i="15"/>
  <c r="I264" i="15"/>
  <c r="I306" i="15"/>
  <c r="I242" i="15"/>
  <c r="I237" i="15"/>
  <c r="I276" i="15"/>
  <c r="M264" i="15"/>
  <c r="M306" i="15"/>
  <c r="M276" i="15"/>
  <c r="M237" i="15"/>
  <c r="M242" i="15"/>
  <c r="U22" i="33"/>
  <c r="AJ22" i="33" s="1"/>
  <c r="T26" i="33"/>
  <c r="O20" i="26" s="1"/>
  <c r="J255" i="15"/>
  <c r="J105" i="15"/>
  <c r="J249" i="15"/>
  <c r="U20" i="31"/>
  <c r="U8" i="31"/>
  <c r="U18" i="33"/>
  <c r="AJ18" i="33" s="1"/>
  <c r="T9" i="31"/>
  <c r="T10" i="31"/>
  <c r="T23" i="33"/>
  <c r="O17" i="26" s="1"/>
  <c r="U23" i="33"/>
  <c r="P17" i="26" s="1"/>
  <c r="J387" i="33"/>
  <c r="AS9" i="15"/>
  <c r="J269" i="15"/>
  <c r="U11" i="31"/>
  <c r="U29" i="31"/>
  <c r="U26" i="31"/>
  <c r="U27" i="31"/>
  <c r="Q25" i="31"/>
  <c r="T30" i="31"/>
  <c r="T21" i="31"/>
  <c r="J24" i="33"/>
  <c r="E18" i="26" s="1"/>
  <c r="J401" i="33"/>
  <c r="U10" i="31"/>
  <c r="U25" i="31"/>
  <c r="J241" i="15"/>
  <c r="J135" i="15" s="1"/>
  <c r="J129" i="33"/>
  <c r="J83" i="15"/>
  <c r="J165" i="33"/>
  <c r="J376" i="33"/>
  <c r="J384" i="33"/>
  <c r="J396" i="33"/>
  <c r="J405" i="33"/>
  <c r="J259" i="15"/>
  <c r="J109" i="15"/>
  <c r="AS14" i="15"/>
  <c r="J34" i="15"/>
  <c r="J157" i="15"/>
  <c r="J254" i="15"/>
  <c r="J33" i="15" s="1"/>
  <c r="J76" i="15" s="1"/>
  <c r="J84" i="15" s="1"/>
  <c r="J273" i="15"/>
  <c r="J236" i="33"/>
  <c r="J182" i="33"/>
  <c r="J253" i="33"/>
  <c r="J381" i="33"/>
  <c r="J385" i="33"/>
  <c r="J397" i="33"/>
  <c r="J198" i="15"/>
  <c r="J403" i="33" s="1"/>
  <c r="J112" i="15"/>
  <c r="J60" i="15"/>
  <c r="J81" i="15"/>
  <c r="J230" i="15"/>
  <c r="J260" i="15"/>
  <c r="J98" i="33"/>
  <c r="J254" i="33"/>
  <c r="J235" i="33" s="1"/>
  <c r="J252" i="33"/>
  <c r="J183" i="33"/>
  <c r="J164" i="33" s="1"/>
  <c r="J181" i="33"/>
  <c r="J474" i="33"/>
  <c r="J161" i="15"/>
  <c r="J386" i="33"/>
  <c r="J398" i="33"/>
  <c r="J473" i="33"/>
  <c r="J103" i="15"/>
  <c r="J399" i="33" s="1"/>
  <c r="J187" i="15"/>
  <c r="J98" i="15"/>
  <c r="J99" i="15" s="1"/>
  <c r="J106" i="15"/>
  <c r="J421" i="15"/>
  <c r="S27" i="31"/>
  <c r="L332" i="33"/>
  <c r="L134" i="15"/>
  <c r="K332" i="33"/>
  <c r="I134" i="15"/>
  <c r="N332" i="33"/>
  <c r="S10" i="31"/>
  <c r="U457" i="33"/>
  <c r="U450" i="33"/>
  <c r="O234" i="33"/>
  <c r="AJ132" i="15"/>
  <c r="AJ126" i="15"/>
  <c r="AJ131" i="15"/>
  <c r="AC28" i="31"/>
  <c r="K448" i="33"/>
  <c r="K134" i="15"/>
  <c r="N136" i="15"/>
  <c r="N134" i="15"/>
  <c r="AJ129" i="15"/>
  <c r="AE162" i="33"/>
  <c r="AJ130" i="15"/>
  <c r="AJ127" i="15"/>
  <c r="M36" i="33"/>
  <c r="H30" i="26" s="1"/>
  <c r="M134" i="15"/>
  <c r="AJ128" i="15"/>
  <c r="AJ133" i="15"/>
  <c r="J287" i="15"/>
  <c r="J138" i="15" s="1"/>
  <c r="J154" i="15" s="1"/>
  <c r="J134" i="15"/>
  <c r="V198" i="33"/>
  <c r="Z198" i="33"/>
  <c r="AD198" i="33"/>
  <c r="S197" i="33"/>
  <c r="W197" i="33"/>
  <c r="AA197" i="33"/>
  <c r="AE197" i="33"/>
  <c r="S196" i="33"/>
  <c r="W196" i="33"/>
  <c r="AA196" i="33"/>
  <c r="AE196" i="33"/>
  <c r="R194" i="33"/>
  <c r="V194" i="33"/>
  <c r="Z194" i="33"/>
  <c r="AD194" i="33"/>
  <c r="Q195" i="33"/>
  <c r="U195" i="33"/>
  <c r="Y195" i="33"/>
  <c r="AC195" i="33"/>
  <c r="O194" i="33"/>
  <c r="O195" i="33"/>
  <c r="T198" i="33"/>
  <c r="AB198" i="33"/>
  <c r="U197" i="33"/>
  <c r="Y197" i="33"/>
  <c r="Q196" i="33"/>
  <c r="Y196" i="33"/>
  <c r="P194" i="33"/>
  <c r="X194" i="33"/>
  <c r="AB194" i="33"/>
  <c r="S195" i="33"/>
  <c r="AA195" i="33"/>
  <c r="Q197" i="33"/>
  <c r="S198" i="33"/>
  <c r="W198" i="33"/>
  <c r="AA198" i="33"/>
  <c r="AE198" i="33"/>
  <c r="T197" i="33"/>
  <c r="X197" i="33"/>
  <c r="AB197" i="33"/>
  <c r="AF197" i="33"/>
  <c r="T196" i="33"/>
  <c r="X196" i="33"/>
  <c r="AB196" i="33"/>
  <c r="AF196" i="33"/>
  <c r="S194" i="33"/>
  <c r="W194" i="33"/>
  <c r="AA194" i="33"/>
  <c r="AE194" i="33"/>
  <c r="R195" i="33"/>
  <c r="V195" i="33"/>
  <c r="Z195" i="33"/>
  <c r="AD195" i="33"/>
  <c r="R198" i="33"/>
  <c r="N194" i="33"/>
  <c r="X198" i="33"/>
  <c r="AF198" i="33"/>
  <c r="AC197" i="33"/>
  <c r="U196" i="33"/>
  <c r="AC196" i="33"/>
  <c r="T194" i="33"/>
  <c r="AF194" i="33"/>
  <c r="W195" i="33"/>
  <c r="AE195" i="33"/>
  <c r="Y198" i="33"/>
  <c r="Z197" i="33"/>
  <c r="Z196" i="33"/>
  <c r="Y194" i="33"/>
  <c r="X195" i="33"/>
  <c r="AB195" i="33"/>
  <c r="U198" i="33"/>
  <c r="V196" i="33"/>
  <c r="P196" i="33"/>
  <c r="AC198" i="33"/>
  <c r="AD197" i="33"/>
  <c r="AD196" i="33"/>
  <c r="AC194" i="33"/>
  <c r="U194" i="33"/>
  <c r="R197" i="33"/>
  <c r="R196" i="33"/>
  <c r="Q194" i="33"/>
  <c r="P195" i="33"/>
  <c r="AF195" i="33"/>
  <c r="V197" i="33"/>
  <c r="T195" i="33"/>
  <c r="AF289" i="33"/>
  <c r="AB289" i="33"/>
  <c r="X289" i="33"/>
  <c r="T289" i="33"/>
  <c r="P289" i="33"/>
  <c r="L289" i="33"/>
  <c r="AE288" i="33"/>
  <c r="AA288" i="33"/>
  <c r="W288" i="33"/>
  <c r="S288" i="33"/>
  <c r="O288" i="33"/>
  <c r="K288" i="33"/>
  <c r="AD287" i="33"/>
  <c r="Z287" i="33"/>
  <c r="V287" i="33"/>
  <c r="R287" i="33"/>
  <c r="N287" i="33"/>
  <c r="J287" i="33"/>
  <c r="AC286" i="33"/>
  <c r="Y286" i="33"/>
  <c r="U286" i="33"/>
  <c r="Q286" i="33"/>
  <c r="M286" i="33"/>
  <c r="AF285" i="33"/>
  <c r="AB285" i="33"/>
  <c r="X285" i="33"/>
  <c r="T285" i="33"/>
  <c r="P285" i="33"/>
  <c r="L285" i="33"/>
  <c r="I288" i="33"/>
  <c r="I284" i="33"/>
  <c r="R289" i="33"/>
  <c r="AC288" i="33"/>
  <c r="U288" i="33"/>
  <c r="Q288" i="33"/>
  <c r="AF287" i="33"/>
  <c r="X287" i="33"/>
  <c r="P287" i="33"/>
  <c r="AE286" i="33"/>
  <c r="W286" i="33"/>
  <c r="S286" i="33"/>
  <c r="K286" i="33"/>
  <c r="Z285" i="33"/>
  <c r="R285" i="33"/>
  <c r="J285" i="33"/>
  <c r="Y289" i="33"/>
  <c r="Q289" i="33"/>
  <c r="AF288" i="33"/>
  <c r="X288" i="33"/>
  <c r="L288" i="33"/>
  <c r="W287" i="33"/>
  <c r="K287" i="33"/>
  <c r="AE289" i="33"/>
  <c r="AA289" i="33"/>
  <c r="W289" i="33"/>
  <c r="S289" i="33"/>
  <c r="O289" i="33"/>
  <c r="K289" i="33"/>
  <c r="AD288" i="33"/>
  <c r="Z288" i="33"/>
  <c r="V288" i="33"/>
  <c r="R288" i="33"/>
  <c r="N288" i="33"/>
  <c r="J288" i="33"/>
  <c r="AC287" i="33"/>
  <c r="Y287" i="33"/>
  <c r="U287" i="33"/>
  <c r="Q287" i="33"/>
  <c r="M287" i="33"/>
  <c r="AF286" i="33"/>
  <c r="AB286" i="33"/>
  <c r="X286" i="33"/>
  <c r="T286" i="33"/>
  <c r="P286" i="33"/>
  <c r="L286" i="33"/>
  <c r="AE285" i="33"/>
  <c r="AA285" i="33"/>
  <c r="W285" i="33"/>
  <c r="S285" i="33"/>
  <c r="O285" i="33"/>
  <c r="K285" i="33"/>
  <c r="I287" i="33"/>
  <c r="AD289" i="33"/>
  <c r="Z289" i="33"/>
  <c r="V289" i="33"/>
  <c r="N289" i="33"/>
  <c r="J289" i="33"/>
  <c r="Y288" i="33"/>
  <c r="M288" i="33"/>
  <c r="AB287" i="33"/>
  <c r="T287" i="33"/>
  <c r="L287" i="33"/>
  <c r="AA286" i="33"/>
  <c r="O286" i="33"/>
  <c r="AD285" i="33"/>
  <c r="V285" i="33"/>
  <c r="N285" i="33"/>
  <c r="I286" i="33"/>
  <c r="AC289" i="33"/>
  <c r="M289" i="33"/>
  <c r="AB288" i="33"/>
  <c r="P288" i="33"/>
  <c r="AA287" i="33"/>
  <c r="O287" i="33"/>
  <c r="Z286" i="33"/>
  <c r="U289" i="33"/>
  <c r="T288" i="33"/>
  <c r="AE287" i="33"/>
  <c r="S287" i="33"/>
  <c r="AD286" i="33"/>
  <c r="V286" i="33"/>
  <c r="AC285" i="33"/>
  <c r="M285" i="33"/>
  <c r="R286" i="33"/>
  <c r="Y285" i="33"/>
  <c r="I289" i="33"/>
  <c r="Q285" i="33"/>
  <c r="N286" i="33"/>
  <c r="U285" i="33"/>
  <c r="I285" i="33"/>
  <c r="J286" i="33"/>
  <c r="J290" i="33"/>
  <c r="N290" i="33"/>
  <c r="R290" i="33"/>
  <c r="V290" i="33"/>
  <c r="Z290" i="33"/>
  <c r="AD290" i="33"/>
  <c r="J284" i="33"/>
  <c r="N284" i="33"/>
  <c r="R284" i="33"/>
  <c r="V284" i="33"/>
  <c r="Z284" i="33"/>
  <c r="AD284" i="33"/>
  <c r="U290" i="33"/>
  <c r="I290" i="33"/>
  <c r="U284" i="33"/>
  <c r="K290" i="33"/>
  <c r="O290" i="33"/>
  <c r="S290" i="33"/>
  <c r="W290" i="33"/>
  <c r="AA290" i="33"/>
  <c r="AE290" i="33"/>
  <c r="K284" i="33"/>
  <c r="O284" i="33"/>
  <c r="S284" i="33"/>
  <c r="W284" i="33"/>
  <c r="AA284" i="33"/>
  <c r="AE284" i="33"/>
  <c r="Q290" i="33"/>
  <c r="Y290" i="33"/>
  <c r="M284" i="33"/>
  <c r="Y284" i="33"/>
  <c r="L290" i="33"/>
  <c r="P290" i="33"/>
  <c r="T290" i="33"/>
  <c r="X290" i="33"/>
  <c r="AB290" i="33"/>
  <c r="AF290" i="33"/>
  <c r="L284" i="33"/>
  <c r="P284" i="33"/>
  <c r="T284" i="33"/>
  <c r="X284" i="33"/>
  <c r="AB284" i="33"/>
  <c r="AF284" i="33"/>
  <c r="M290" i="33"/>
  <c r="AC290" i="33"/>
  <c r="Q284" i="33"/>
  <c r="AC284" i="33"/>
  <c r="T199" i="33"/>
  <c r="X199" i="33"/>
  <c r="AB199" i="33"/>
  <c r="AF199" i="33"/>
  <c r="Z199" i="33"/>
  <c r="AD199" i="33"/>
  <c r="AA199" i="33"/>
  <c r="U199" i="33"/>
  <c r="Y199" i="33"/>
  <c r="AC199" i="33"/>
  <c r="S199" i="33"/>
  <c r="V199" i="33"/>
  <c r="W199" i="33"/>
  <c r="AE199" i="33"/>
  <c r="N193" i="33"/>
  <c r="R193" i="33"/>
  <c r="V193" i="33"/>
  <c r="Z193" i="33"/>
  <c r="AD193" i="33"/>
  <c r="U193" i="33"/>
  <c r="M193" i="33"/>
  <c r="O193" i="33"/>
  <c r="S193" i="33"/>
  <c r="W193" i="33"/>
  <c r="AA193" i="33"/>
  <c r="AE193" i="33"/>
  <c r="Y193" i="33"/>
  <c r="P193" i="33"/>
  <c r="T193" i="33"/>
  <c r="X193" i="33"/>
  <c r="AB193" i="33"/>
  <c r="AF193" i="33"/>
  <c r="Q193" i="33"/>
  <c r="AC193" i="33"/>
  <c r="J221" i="33"/>
  <c r="N221" i="33"/>
  <c r="R221" i="33"/>
  <c r="V221" i="33"/>
  <c r="Z221" i="33"/>
  <c r="AD221" i="33"/>
  <c r="K222" i="33"/>
  <c r="K203" i="33" s="1"/>
  <c r="O222" i="33"/>
  <c r="S222" i="33"/>
  <c r="W222" i="33"/>
  <c r="W203" i="33" s="1"/>
  <c r="AA222" i="33"/>
  <c r="AE222" i="33"/>
  <c r="J220" i="33"/>
  <c r="J201" i="33" s="1"/>
  <c r="N220" i="33"/>
  <c r="R220" i="33"/>
  <c r="V220" i="33"/>
  <c r="Z220" i="33"/>
  <c r="AD220" i="33"/>
  <c r="P221" i="33"/>
  <c r="T221" i="33"/>
  <c r="AB221" i="33"/>
  <c r="M222" i="33"/>
  <c r="M203" i="33" s="1"/>
  <c r="U222" i="33"/>
  <c r="U203" i="33" s="1"/>
  <c r="K221" i="33"/>
  <c r="O221" i="33"/>
  <c r="S221" i="33"/>
  <c r="W221" i="33"/>
  <c r="AA221" i="33"/>
  <c r="AE221" i="33"/>
  <c r="L222" i="33"/>
  <c r="L203" i="33" s="1"/>
  <c r="P222" i="33"/>
  <c r="T222" i="33"/>
  <c r="X222" i="33"/>
  <c r="AB222" i="33"/>
  <c r="AF222" i="33"/>
  <c r="AF203" i="33" s="1"/>
  <c r="AF267" i="33" s="1"/>
  <c r="K220" i="33"/>
  <c r="O220" i="33"/>
  <c r="S220" i="33"/>
  <c r="W220" i="33"/>
  <c r="AA220" i="33"/>
  <c r="AE220" i="33"/>
  <c r="L221" i="33"/>
  <c r="X221" i="33"/>
  <c r="AF221" i="33"/>
  <c r="Q222" i="33"/>
  <c r="Y222" i="33"/>
  <c r="AC222" i="33"/>
  <c r="M221" i="33"/>
  <c r="AC221" i="33"/>
  <c r="V222" i="33"/>
  <c r="I222" i="33"/>
  <c r="I203" i="33" s="1"/>
  <c r="P220" i="33"/>
  <c r="X220" i="33"/>
  <c r="AF220" i="33"/>
  <c r="N222" i="33"/>
  <c r="N203" i="33" s="1"/>
  <c r="T220" i="33"/>
  <c r="Y221" i="33"/>
  <c r="M220" i="33"/>
  <c r="AC220" i="33"/>
  <c r="Q221" i="33"/>
  <c r="J222" i="33"/>
  <c r="Z222" i="33"/>
  <c r="I221" i="33"/>
  <c r="Q220" i="33"/>
  <c r="Y220" i="33"/>
  <c r="U221" i="33"/>
  <c r="AD222" i="33"/>
  <c r="L220" i="33"/>
  <c r="AB220" i="33"/>
  <c r="R222" i="33"/>
  <c r="U220" i="33"/>
  <c r="I220" i="33"/>
  <c r="R204" i="33"/>
  <c r="R268" i="33" s="1"/>
  <c r="K204" i="33"/>
  <c r="AA204" i="33"/>
  <c r="AA268" i="33" s="1"/>
  <c r="I204" i="33"/>
  <c r="X204" i="33"/>
  <c r="X268" i="33" s="1"/>
  <c r="Y204" i="33"/>
  <c r="Y268" i="33" s="1"/>
  <c r="J204" i="33"/>
  <c r="Z204" i="33"/>
  <c r="Z268" i="33" s="1"/>
  <c r="S204" i="33"/>
  <c r="S268" i="33" s="1"/>
  <c r="Q204" i="33"/>
  <c r="Q268" i="33" s="1"/>
  <c r="P204" i="33"/>
  <c r="P268" i="33" s="1"/>
  <c r="AF204" i="33"/>
  <c r="AF268" i="33" s="1"/>
  <c r="N204" i="33"/>
  <c r="AD204" i="33"/>
  <c r="AD268" i="33" s="1"/>
  <c r="W204" i="33"/>
  <c r="W268" i="33" s="1"/>
  <c r="U204" i="33"/>
  <c r="U268" i="33" s="1"/>
  <c r="T204" i="33"/>
  <c r="T268" i="33" s="1"/>
  <c r="V204" i="33"/>
  <c r="V268" i="33" s="1"/>
  <c r="O204" i="33"/>
  <c r="O268" i="33" s="1"/>
  <c r="AE204" i="33"/>
  <c r="AE268" i="33" s="1"/>
  <c r="L204" i="33"/>
  <c r="AB204" i="33"/>
  <c r="AB268" i="33" s="1"/>
  <c r="AC204" i="33"/>
  <c r="AC268" i="33" s="1"/>
  <c r="M204" i="33"/>
  <c r="G198" i="33"/>
  <c r="Q130" i="33"/>
  <c r="G127" i="33"/>
  <c r="G283" i="33"/>
  <c r="G129" i="33"/>
  <c r="G196" i="33"/>
  <c r="G287" i="33"/>
  <c r="N24" i="33"/>
  <c r="I18" i="26" s="1"/>
  <c r="G124" i="33"/>
  <c r="G128" i="33"/>
  <c r="G229" i="33"/>
  <c r="G177" i="33"/>
  <c r="G248" i="33"/>
  <c r="G281" i="33"/>
  <c r="G112" i="33"/>
  <c r="G193" i="33"/>
  <c r="G217" i="33"/>
  <c r="G262" i="33"/>
  <c r="AD262" i="33" s="1"/>
  <c r="G249" i="33"/>
  <c r="AT9" i="15"/>
  <c r="G130" i="33"/>
  <c r="G132" i="33"/>
  <c r="G190" i="33"/>
  <c r="AE190" i="33" s="1"/>
  <c r="G284" i="33"/>
  <c r="G216" i="33"/>
  <c r="G199" i="33"/>
  <c r="G111" i="33"/>
  <c r="G123" i="33"/>
  <c r="K123" i="33" s="1"/>
  <c r="P66" i="33"/>
  <c r="H282" i="33" s="1"/>
  <c r="C282" i="33" s="1"/>
  <c r="G195" i="33"/>
  <c r="G194" i="33"/>
  <c r="G178" i="33"/>
  <c r="G280" i="33"/>
  <c r="G179" i="33"/>
  <c r="G285" i="33"/>
  <c r="G251" i="33"/>
  <c r="AF251" i="33" s="1"/>
  <c r="G197" i="33"/>
  <c r="G250" i="33"/>
  <c r="G290" i="33"/>
  <c r="G192" i="33"/>
  <c r="U192" i="33" s="1"/>
  <c r="G131" i="33"/>
  <c r="G286" i="33"/>
  <c r="G126" i="33"/>
  <c r="G110" i="33"/>
  <c r="G180" i="33"/>
  <c r="Z180" i="33" s="1"/>
  <c r="G125" i="33"/>
  <c r="N125" i="33" s="1"/>
  <c r="G113" i="33"/>
  <c r="AE113" i="33" s="1"/>
  <c r="G218" i="33"/>
  <c r="G230" i="33"/>
  <c r="G191" i="33"/>
  <c r="Z191" i="33" s="1"/>
  <c r="G289" i="33"/>
  <c r="G231" i="33"/>
  <c r="G261" i="33"/>
  <c r="AF261" i="33" s="1"/>
  <c r="G282" i="33"/>
  <c r="G219" i="33"/>
  <c r="G263" i="33"/>
  <c r="W263" i="33" s="1"/>
  <c r="AA233" i="33"/>
  <c r="R8" i="31"/>
  <c r="R20" i="31"/>
  <c r="R29" i="31"/>
  <c r="Q9" i="31"/>
  <c r="Q8" i="31"/>
  <c r="P11" i="31"/>
  <c r="S26" i="33"/>
  <c r="N20" i="26" s="1"/>
  <c r="S11" i="31"/>
  <c r="S25" i="31"/>
  <c r="R9" i="31"/>
  <c r="R21" i="31"/>
  <c r="R30" i="31"/>
  <c r="R23" i="33"/>
  <c r="M17" i="26" s="1"/>
  <c r="S22" i="31"/>
  <c r="S8" i="31"/>
  <c r="S20" i="31"/>
  <c r="S29" i="31"/>
  <c r="S18" i="33"/>
  <c r="N12" i="26" s="1"/>
  <c r="R10" i="31"/>
  <c r="R22" i="31"/>
  <c r="R26" i="31"/>
  <c r="R26" i="33"/>
  <c r="M20" i="26" s="1"/>
  <c r="R27" i="31"/>
  <c r="P21" i="31"/>
  <c r="S23" i="33"/>
  <c r="N17" i="26" s="1"/>
  <c r="S26" i="31"/>
  <c r="S9" i="31"/>
  <c r="S21" i="31"/>
  <c r="S30" i="31"/>
  <c r="R11" i="31"/>
  <c r="R25" i="31"/>
  <c r="N111" i="15"/>
  <c r="N402" i="33" s="1"/>
  <c r="O26" i="31" s="1"/>
  <c r="Z23" i="31"/>
  <c r="V400" i="33"/>
  <c r="K398" i="33"/>
  <c r="X453" i="33"/>
  <c r="K273" i="15"/>
  <c r="Q27" i="31"/>
  <c r="K4" i="15"/>
  <c r="Q10" i="31"/>
  <c r="Q11" i="31"/>
  <c r="Q21" i="31"/>
  <c r="AC19" i="33"/>
  <c r="X13" i="26" s="1"/>
  <c r="AD378" i="33"/>
  <c r="AD214" i="15" s="1"/>
  <c r="AE22" i="31"/>
  <c r="AD22" i="31"/>
  <c r="W378" i="33"/>
  <c r="W214" i="15" s="1"/>
  <c r="AF95" i="33"/>
  <c r="Q29" i="31"/>
  <c r="P8" i="31"/>
  <c r="X163" i="33"/>
  <c r="AC22" i="31"/>
  <c r="AB23" i="31"/>
  <c r="K183" i="33"/>
  <c r="K164" i="33" s="1"/>
  <c r="K34" i="15"/>
  <c r="K473" i="33"/>
  <c r="N474" i="33"/>
  <c r="AA22" i="31"/>
  <c r="Z22" i="31"/>
  <c r="X23" i="31"/>
  <c r="K236" i="33"/>
  <c r="K98" i="33"/>
  <c r="AB22" i="31"/>
  <c r="AA23" i="31"/>
  <c r="K252" i="33"/>
  <c r="AE19" i="33"/>
  <c r="Z13" i="26" s="1"/>
  <c r="K157" i="15"/>
  <c r="K194" i="15"/>
  <c r="K259" i="15"/>
  <c r="N398" i="33"/>
  <c r="O22" i="31" s="1"/>
  <c r="K436" i="33"/>
  <c r="L450" i="33" s="1"/>
  <c r="X22" i="31"/>
  <c r="W22" i="31"/>
  <c r="W23" i="31"/>
  <c r="AA13" i="33"/>
  <c r="V7" i="26" s="1"/>
  <c r="K253" i="33"/>
  <c r="K386" i="33"/>
  <c r="K109" i="15"/>
  <c r="K260" i="15"/>
  <c r="N103" i="15"/>
  <c r="N399" i="33" s="1"/>
  <c r="K431" i="33"/>
  <c r="K433" i="33"/>
  <c r="Y23" i="31"/>
  <c r="AA234" i="33"/>
  <c r="U22" i="31"/>
  <c r="S36" i="33"/>
  <c r="N30" i="26" s="1"/>
  <c r="P32" i="33"/>
  <c r="K26" i="26" s="1"/>
  <c r="P37" i="33"/>
  <c r="K31" i="26" s="1"/>
  <c r="M32" i="33"/>
  <c r="H26" i="26" s="1"/>
  <c r="T34" i="33"/>
  <c r="O28" i="26" s="1"/>
  <c r="Y46" i="33"/>
  <c r="T40" i="26" s="1"/>
  <c r="N187" i="15"/>
  <c r="N254" i="15"/>
  <c r="N33" i="15" s="1"/>
  <c r="O13" i="33" s="1"/>
  <c r="J7" i="26" s="1"/>
  <c r="AE46" i="33"/>
  <c r="Z40" i="26" s="1"/>
  <c r="Q22" i="31"/>
  <c r="Q23" i="33"/>
  <c r="L17" i="26" s="1"/>
  <c r="P30" i="31"/>
  <c r="P27" i="31"/>
  <c r="Q20" i="31"/>
  <c r="N381" i="33"/>
  <c r="N473" i="33"/>
  <c r="AW14" i="15"/>
  <c r="K28" i="33"/>
  <c r="F22" i="26" s="1"/>
  <c r="U30" i="33"/>
  <c r="P24" i="26" s="1"/>
  <c r="U29" i="33"/>
  <c r="AJ29" i="33" s="1"/>
  <c r="K35" i="33"/>
  <c r="F29" i="26" s="1"/>
  <c r="T29" i="33"/>
  <c r="O23" i="26" s="1"/>
  <c r="N29" i="33"/>
  <c r="I23" i="26" s="1"/>
  <c r="S34" i="33"/>
  <c r="N28" i="26" s="1"/>
  <c r="L34" i="33"/>
  <c r="G28" i="26" s="1"/>
  <c r="S29" i="33"/>
  <c r="N23" i="26" s="1"/>
  <c r="T30" i="33"/>
  <c r="O24" i="26" s="1"/>
  <c r="K27" i="33"/>
  <c r="F21" i="26" s="1"/>
  <c r="U37" i="33"/>
  <c r="P31" i="26" s="1"/>
  <c r="N37" i="33"/>
  <c r="I31" i="26" s="1"/>
  <c r="Q18" i="33"/>
  <c r="L12" i="26" s="1"/>
  <c r="Q26" i="33"/>
  <c r="L20" i="26" s="1"/>
  <c r="AD46" i="33"/>
  <c r="Y40" i="26" s="1"/>
  <c r="P28" i="33"/>
  <c r="K22" i="26" s="1"/>
  <c r="U33" i="33"/>
  <c r="AJ33" i="33" s="1"/>
  <c r="M28" i="33"/>
  <c r="H22" i="26" s="1"/>
  <c r="N33" i="33"/>
  <c r="I27" i="26" s="1"/>
  <c r="AC46" i="33"/>
  <c r="X40" i="26" s="1"/>
  <c r="Q22" i="33"/>
  <c r="L16" i="26" s="1"/>
  <c r="Q26" i="31"/>
  <c r="N386" i="33"/>
  <c r="O10" i="31" s="1"/>
  <c r="AF46" i="33"/>
  <c r="AA40" i="26" s="1"/>
  <c r="M35" i="33"/>
  <c r="H29" i="26" s="1"/>
  <c r="P30" i="33"/>
  <c r="K24" i="26" s="1"/>
  <c r="K29" i="33"/>
  <c r="F23" i="26" s="1"/>
  <c r="S32" i="33"/>
  <c r="N26" i="26" s="1"/>
  <c r="U34" i="33"/>
  <c r="P28" i="26" s="1"/>
  <c r="K31" i="33"/>
  <c r="F25" i="26" s="1"/>
  <c r="P36" i="33"/>
  <c r="K30" i="26" s="1"/>
  <c r="T33" i="33"/>
  <c r="O27" i="26" s="1"/>
  <c r="S30" i="33"/>
  <c r="N24" i="26" s="1"/>
  <c r="Q30" i="31"/>
  <c r="K182" i="33"/>
  <c r="K24" i="33"/>
  <c r="F18" i="26" s="1"/>
  <c r="K254" i="33"/>
  <c r="K235" i="33" s="1"/>
  <c r="K376" i="33"/>
  <c r="K387" i="33"/>
  <c r="K401" i="33"/>
  <c r="K81" i="15"/>
  <c r="K198" i="15"/>
  <c r="K403" i="33" s="1"/>
  <c r="K112" i="15"/>
  <c r="AT14" i="15"/>
  <c r="K136" i="15"/>
  <c r="K230" i="15"/>
  <c r="K287" i="15"/>
  <c r="K444" i="33"/>
  <c r="K437" i="33"/>
  <c r="K438" i="33"/>
  <c r="K434" i="33"/>
  <c r="K165" i="33"/>
  <c r="K181" i="33"/>
  <c r="K111" i="15"/>
  <c r="K402" i="33" s="1"/>
  <c r="K381" i="33"/>
  <c r="K384" i="33"/>
  <c r="K396" i="33"/>
  <c r="K405" i="33"/>
  <c r="K86" i="15"/>
  <c r="K103" i="15"/>
  <c r="K399" i="33" s="1"/>
  <c r="K187" i="15"/>
  <c r="K249" i="15"/>
  <c r="K421" i="15"/>
  <c r="K441" i="33"/>
  <c r="K343" i="33" s="1"/>
  <c r="K442" i="33"/>
  <c r="K439" i="33"/>
  <c r="K474" i="33"/>
  <c r="K106" i="15"/>
  <c r="K385" i="33"/>
  <c r="K397" i="33"/>
  <c r="K161" i="15"/>
  <c r="K105" i="15"/>
  <c r="K241" i="15"/>
  <c r="K135" i="15" s="1"/>
  <c r="K98" i="15"/>
  <c r="K99" i="15" s="1"/>
  <c r="K255" i="15"/>
  <c r="K254" i="15"/>
  <c r="K33" i="15" s="1"/>
  <c r="K269" i="15"/>
  <c r="K445" i="33"/>
  <c r="K446" i="33"/>
  <c r="K382" i="33" s="1"/>
  <c r="N32" i="33"/>
  <c r="I26" i="26" s="1"/>
  <c r="N183" i="33"/>
  <c r="N164" i="33" s="1"/>
  <c r="P10" i="31"/>
  <c r="P20" i="31"/>
  <c r="P23" i="33"/>
  <c r="K17" i="26" s="1"/>
  <c r="N253" i="33"/>
  <c r="N198" i="15"/>
  <c r="N403" i="33" s="1"/>
  <c r="O431" i="33"/>
  <c r="N194" i="15"/>
  <c r="N387" i="33"/>
  <c r="N401" i="33"/>
  <c r="O25" i="31" s="1"/>
  <c r="O438" i="33"/>
  <c r="N161" i="15"/>
  <c r="N105" i="15"/>
  <c r="N255" i="15"/>
  <c r="N60" i="15"/>
  <c r="N34" i="15"/>
  <c r="N157" i="15"/>
  <c r="N260" i="15"/>
  <c r="N241" i="15"/>
  <c r="N135" i="15" s="1"/>
  <c r="O46" i="33" s="1"/>
  <c r="J40" i="26" s="1"/>
  <c r="AB46" i="33"/>
  <c r="W40" i="26" s="1"/>
  <c r="P34" i="33"/>
  <c r="K28" i="26" s="1"/>
  <c r="K33" i="33"/>
  <c r="F27" i="26" s="1"/>
  <c r="R28" i="33"/>
  <c r="M22" i="26" s="1"/>
  <c r="AA46" i="33"/>
  <c r="V40" i="26" s="1"/>
  <c r="P29" i="33"/>
  <c r="K23" i="26" s="1"/>
  <c r="P33" i="33"/>
  <c r="K27" i="26" s="1"/>
  <c r="L37" i="33"/>
  <c r="G31" i="26" s="1"/>
  <c r="J27" i="33"/>
  <c r="E21" i="26" s="1"/>
  <c r="N31" i="33"/>
  <c r="I25" i="26" s="1"/>
  <c r="R35" i="33"/>
  <c r="M29" i="26" s="1"/>
  <c r="O27" i="33"/>
  <c r="J21" i="26" s="1"/>
  <c r="T28" i="33"/>
  <c r="O22" i="26" s="1"/>
  <c r="J30" i="33"/>
  <c r="E24" i="26" s="1"/>
  <c r="O31" i="33"/>
  <c r="J25" i="26" s="1"/>
  <c r="T32" i="33"/>
  <c r="O26" i="26" s="1"/>
  <c r="J34" i="33"/>
  <c r="E28" i="26" s="1"/>
  <c r="O35" i="33"/>
  <c r="J29" i="26" s="1"/>
  <c r="T36" i="33"/>
  <c r="O30" i="26" s="1"/>
  <c r="Q30" i="33"/>
  <c r="L24" i="26" s="1"/>
  <c r="M34" i="33"/>
  <c r="H28" i="26" s="1"/>
  <c r="L27" i="33"/>
  <c r="G21" i="26" s="1"/>
  <c r="Q28" i="33"/>
  <c r="L22" i="26" s="1"/>
  <c r="R29" i="33"/>
  <c r="M23" i="26" s="1"/>
  <c r="L31" i="33"/>
  <c r="G25" i="26" s="1"/>
  <c r="Q32" i="33"/>
  <c r="L26" i="26" s="1"/>
  <c r="R33" i="33"/>
  <c r="M27" i="26" s="1"/>
  <c r="L35" i="33"/>
  <c r="G29" i="26" s="1"/>
  <c r="Q36" i="33"/>
  <c r="L30" i="26" s="1"/>
  <c r="R37" i="33"/>
  <c r="M31" i="26" s="1"/>
  <c r="N98" i="33"/>
  <c r="O33" i="33"/>
  <c r="J27" i="26" s="1"/>
  <c r="S37" i="33"/>
  <c r="N31" i="26" s="1"/>
  <c r="N28" i="33"/>
  <c r="I22" i="26" s="1"/>
  <c r="O29" i="33"/>
  <c r="J23" i="26" s="1"/>
  <c r="O37" i="33"/>
  <c r="J31" i="26" s="1"/>
  <c r="U31" i="33"/>
  <c r="P25" i="26" s="1"/>
  <c r="N254" i="33"/>
  <c r="N235" i="33" s="1"/>
  <c r="N182" i="33"/>
  <c r="P22" i="31"/>
  <c r="P18" i="33"/>
  <c r="K12" i="26" s="1"/>
  <c r="P26" i="31"/>
  <c r="P26" i="33"/>
  <c r="K20" i="26" s="1"/>
  <c r="N384" i="33"/>
  <c r="O8" i="31" s="1"/>
  <c r="N396" i="33"/>
  <c r="O20" i="31" s="1"/>
  <c r="N405" i="33"/>
  <c r="N109" i="15"/>
  <c r="N259" i="15"/>
  <c r="N98" i="15"/>
  <c r="O18" i="33" s="1"/>
  <c r="J12" i="26" s="1"/>
  <c r="N81" i="15"/>
  <c r="N230" i="15"/>
  <c r="N287" i="15"/>
  <c r="N138" i="15" s="1"/>
  <c r="N269" i="15"/>
  <c r="X46" i="33"/>
  <c r="S40" i="26" s="1"/>
  <c r="K37" i="33"/>
  <c r="F31" i="26" s="1"/>
  <c r="R32" i="33"/>
  <c r="M26" i="26" s="1"/>
  <c r="M27" i="33"/>
  <c r="H21" i="26" s="1"/>
  <c r="M30" i="33"/>
  <c r="H24" i="26" s="1"/>
  <c r="Q34" i="33"/>
  <c r="L28" i="26" s="1"/>
  <c r="V46" i="33"/>
  <c r="Q40" i="26" s="1"/>
  <c r="O28" i="33"/>
  <c r="J22" i="26" s="1"/>
  <c r="O32" i="33"/>
  <c r="J26" i="26" s="1"/>
  <c r="O36" i="33"/>
  <c r="J30" i="26" s="1"/>
  <c r="S27" i="33"/>
  <c r="N21" i="26" s="1"/>
  <c r="M29" i="33"/>
  <c r="H23" i="26" s="1"/>
  <c r="N30" i="33"/>
  <c r="I24" i="26" s="1"/>
  <c r="S31" i="33"/>
  <c r="N25" i="26" s="1"/>
  <c r="M33" i="33"/>
  <c r="H27" i="26" s="1"/>
  <c r="N34" i="33"/>
  <c r="I28" i="26" s="1"/>
  <c r="S35" i="33"/>
  <c r="N29" i="26" s="1"/>
  <c r="M37" i="33"/>
  <c r="H31" i="26" s="1"/>
  <c r="N27" i="33"/>
  <c r="I21" i="26" s="1"/>
  <c r="R31" i="33"/>
  <c r="M25" i="26" s="1"/>
  <c r="J35" i="33"/>
  <c r="E29" i="26" s="1"/>
  <c r="P27" i="33"/>
  <c r="K21" i="26" s="1"/>
  <c r="U28" i="33"/>
  <c r="P22" i="26" s="1"/>
  <c r="K30" i="33"/>
  <c r="F24" i="26" s="1"/>
  <c r="P31" i="33"/>
  <c r="K25" i="26" s="1"/>
  <c r="U32" i="33"/>
  <c r="P26" i="26" s="1"/>
  <c r="K34" i="33"/>
  <c r="F28" i="26" s="1"/>
  <c r="P35" i="33"/>
  <c r="K29" i="26" s="1"/>
  <c r="U36" i="33"/>
  <c r="AJ36" i="33" s="1"/>
  <c r="J32" i="33"/>
  <c r="E26" i="26" s="1"/>
  <c r="N36" i="33"/>
  <c r="I30" i="26" s="1"/>
  <c r="U27" i="33"/>
  <c r="P21" i="26" s="1"/>
  <c r="J28" i="33"/>
  <c r="E22" i="26" s="1"/>
  <c r="J36" i="33"/>
  <c r="E30" i="26" s="1"/>
  <c r="S33" i="33"/>
  <c r="N27" i="26" s="1"/>
  <c r="N252" i="33"/>
  <c r="N236" i="33"/>
  <c r="N181" i="33"/>
  <c r="P29" i="31"/>
  <c r="P9" i="31"/>
  <c r="P25" i="31"/>
  <c r="N97" i="33"/>
  <c r="N165" i="33"/>
  <c r="N376" i="33"/>
  <c r="N385" i="33"/>
  <c r="N397" i="33"/>
  <c r="N86" i="15"/>
  <c r="N112" i="15"/>
  <c r="AW9" i="15"/>
  <c r="N106" i="15"/>
  <c r="N249" i="15"/>
  <c r="N421" i="15"/>
  <c r="N273" i="15"/>
  <c r="O14" i="33" s="1"/>
  <c r="J8" i="26" s="1"/>
  <c r="R36" i="33"/>
  <c r="M30" i="26" s="1"/>
  <c r="M31" i="33"/>
  <c r="H25" i="26" s="1"/>
  <c r="W46" i="33"/>
  <c r="R40" i="26" s="1"/>
  <c r="R27" i="33"/>
  <c r="M21" i="26" s="1"/>
  <c r="J31" i="33"/>
  <c r="E25" i="26" s="1"/>
  <c r="N35" i="33"/>
  <c r="I29" i="26" s="1"/>
  <c r="Z46" i="33"/>
  <c r="U40" i="26" s="1"/>
  <c r="L29" i="33"/>
  <c r="G23" i="26" s="1"/>
  <c r="L33" i="33"/>
  <c r="G27" i="26" s="1"/>
  <c r="T37" i="33"/>
  <c r="O31" i="26" s="1"/>
  <c r="L28" i="33"/>
  <c r="G22" i="26" s="1"/>
  <c r="Q29" i="33"/>
  <c r="L23" i="26" s="1"/>
  <c r="R30" i="33"/>
  <c r="M24" i="26" s="1"/>
  <c r="L32" i="33"/>
  <c r="G26" i="26" s="1"/>
  <c r="Q33" i="33"/>
  <c r="L27" i="26" s="1"/>
  <c r="R34" i="33"/>
  <c r="M28" i="26" s="1"/>
  <c r="L36" i="33"/>
  <c r="G30" i="26" s="1"/>
  <c r="Q37" i="33"/>
  <c r="L31" i="26" s="1"/>
  <c r="S28" i="33"/>
  <c r="N22" i="26" s="1"/>
  <c r="K32" i="33"/>
  <c r="F26" i="26" s="1"/>
  <c r="K36" i="33"/>
  <c r="F30" i="26" s="1"/>
  <c r="T27" i="33"/>
  <c r="O21" i="26" s="1"/>
  <c r="J29" i="33"/>
  <c r="E23" i="26" s="1"/>
  <c r="O30" i="33"/>
  <c r="J24" i="26" s="1"/>
  <c r="T31" i="33"/>
  <c r="O25" i="26" s="1"/>
  <c r="J33" i="33"/>
  <c r="E27" i="26" s="1"/>
  <c r="O34" i="33"/>
  <c r="J28" i="26" s="1"/>
  <c r="T35" i="33"/>
  <c r="O29" i="26" s="1"/>
  <c r="J37" i="33"/>
  <c r="E31" i="26" s="1"/>
  <c r="U46" i="33"/>
  <c r="P40" i="26" s="1"/>
  <c r="Q31" i="33"/>
  <c r="L25" i="26" s="1"/>
  <c r="U35" i="33"/>
  <c r="P29" i="26" s="1"/>
  <c r="Q27" i="33"/>
  <c r="L21" i="26" s="1"/>
  <c r="Q35" i="33"/>
  <c r="L29" i="26" s="1"/>
  <c r="L30" i="33"/>
  <c r="G24" i="26" s="1"/>
  <c r="C439" i="33"/>
  <c r="C445" i="33"/>
  <c r="B199" i="15"/>
  <c r="C442" i="33"/>
  <c r="AA214" i="15"/>
  <c r="P96" i="33"/>
  <c r="U108" i="15"/>
  <c r="AB233" i="33"/>
  <c r="AA108" i="15"/>
  <c r="Q14" i="33"/>
  <c r="L8" i="26" s="1"/>
  <c r="T46" i="33"/>
  <c r="O40" i="26" s="1"/>
  <c r="AB96" i="33"/>
  <c r="AC18" i="26"/>
  <c r="C434" i="33"/>
  <c r="C431" i="33"/>
  <c r="C207" i="15"/>
  <c r="C446" i="33"/>
  <c r="C443" i="33"/>
  <c r="O443" i="33" s="1"/>
  <c r="C440" i="33"/>
  <c r="C436" i="33"/>
  <c r="B220" i="15"/>
  <c r="C433" i="33"/>
  <c r="C448" i="33"/>
  <c r="Q76" i="15"/>
  <c r="Q78" i="15" s="1"/>
  <c r="Q80" i="15" s="1"/>
  <c r="S76" i="15"/>
  <c r="S84" i="15" s="1"/>
  <c r="C444" i="33"/>
  <c r="C441" i="33"/>
  <c r="C437" i="33"/>
  <c r="C438" i="33"/>
  <c r="L253" i="33"/>
  <c r="M254" i="33"/>
  <c r="M235" i="33" s="1"/>
  <c r="R76" i="15"/>
  <c r="R84" i="15" s="1"/>
  <c r="L181" i="33"/>
  <c r="X95" i="33"/>
  <c r="AE95" i="33"/>
  <c r="AE163" i="33"/>
  <c r="U233" i="33"/>
  <c r="L183" i="33"/>
  <c r="L164" i="33" s="1"/>
  <c r="L10" i="17"/>
  <c r="S163" i="33"/>
  <c r="AA163" i="33"/>
  <c r="AC108" i="15"/>
  <c r="P162" i="33"/>
  <c r="X233" i="33"/>
  <c r="L254" i="33"/>
  <c r="L235" i="33" s="1"/>
  <c r="M183" i="33"/>
  <c r="M164" i="33" s="1"/>
  <c r="AA162" i="33"/>
  <c r="S127" i="33"/>
  <c r="P127" i="33"/>
  <c r="AC28" i="26"/>
  <c r="W234" i="33"/>
  <c r="W95" i="33"/>
  <c r="AE214" i="15"/>
  <c r="Z400" i="33"/>
  <c r="M252" i="33"/>
  <c r="AF234" i="33"/>
  <c r="M182" i="33"/>
  <c r="S162" i="33"/>
  <c r="L182" i="33"/>
  <c r="P128" i="33"/>
  <c r="AC96" i="33"/>
  <c r="AE108" i="15"/>
  <c r="T233" i="33"/>
  <c r="Y233" i="33"/>
  <c r="Y108" i="15"/>
  <c r="L252" i="33"/>
  <c r="L165" i="33"/>
  <c r="M236" i="33"/>
  <c r="M181" i="33"/>
  <c r="Q128" i="33"/>
  <c r="AJ280" i="15"/>
  <c r="I254" i="33"/>
  <c r="I235" i="33" s="1"/>
  <c r="W233" i="33"/>
  <c r="I182" i="33"/>
  <c r="AF163" i="33"/>
  <c r="AC14" i="26"/>
  <c r="I367" i="33"/>
  <c r="I369" i="33" s="1"/>
  <c r="C429" i="33"/>
  <c r="T428" i="33" s="1"/>
  <c r="AB455" i="33" s="1"/>
  <c r="AJ165" i="33"/>
  <c r="AB162" i="33"/>
  <c r="W452" i="33"/>
  <c r="AC40" i="26"/>
  <c r="AB95" i="33"/>
  <c r="T95" i="33"/>
  <c r="AJ283" i="15"/>
  <c r="W163" i="33"/>
  <c r="AL99" i="15"/>
  <c r="J17" i="17" s="1"/>
  <c r="I252" i="33"/>
  <c r="T76" i="15"/>
  <c r="T78" i="15" s="1"/>
  <c r="T80" i="15" s="1"/>
  <c r="AD234" i="33"/>
  <c r="I183" i="33"/>
  <c r="I164" i="33" s="1"/>
  <c r="I181" i="33"/>
  <c r="X162" i="33"/>
  <c r="Y95" i="33"/>
  <c r="AA95" i="33"/>
  <c r="P95" i="33"/>
  <c r="AC233" i="33"/>
  <c r="V214" i="15"/>
  <c r="AE234" i="33"/>
  <c r="AC214" i="15"/>
  <c r="AD400" i="33"/>
  <c r="AD24" i="31" s="1"/>
  <c r="AJ114" i="33"/>
  <c r="U234" i="33"/>
  <c r="P163" i="33"/>
  <c r="O131" i="33"/>
  <c r="K127" i="33"/>
  <c r="T126" i="33"/>
  <c r="T128" i="33"/>
  <c r="P131" i="33"/>
  <c r="P132" i="33"/>
  <c r="P46" i="33"/>
  <c r="K40" i="26" s="1"/>
  <c r="AC21" i="26"/>
  <c r="S129" i="33"/>
  <c r="K129" i="33"/>
  <c r="Z96" i="33"/>
  <c r="N131" i="33"/>
  <c r="V108" i="15"/>
  <c r="AJ282" i="15"/>
  <c r="AJ285" i="15"/>
  <c r="W164" i="33"/>
  <c r="AF162" i="33"/>
  <c r="P130" i="33"/>
  <c r="Q127" i="33"/>
  <c r="O130" i="33"/>
  <c r="T127" i="33"/>
  <c r="T132" i="33"/>
  <c r="AJ23" i="15"/>
  <c r="AJ24" i="15"/>
  <c r="AC8" i="26"/>
  <c r="AC25" i="26"/>
  <c r="S131" i="33"/>
  <c r="S132" i="33"/>
  <c r="R131" i="33"/>
  <c r="AJ115" i="33"/>
  <c r="R95" i="33"/>
  <c r="U95" i="33"/>
  <c r="AD95" i="33"/>
  <c r="N128" i="33"/>
  <c r="P97" i="33"/>
  <c r="AJ98" i="33"/>
  <c r="AJ284" i="15"/>
  <c r="AJ279" i="15"/>
  <c r="AJ182" i="33"/>
  <c r="Q129" i="33"/>
  <c r="Q131" i="33"/>
  <c r="P129" i="33"/>
  <c r="T131" i="33"/>
  <c r="AC24" i="26"/>
  <c r="O127" i="33"/>
  <c r="AL33" i="15"/>
  <c r="O132" i="33"/>
  <c r="AJ286" i="15"/>
  <c r="AJ281" i="15"/>
  <c r="AE233" i="33"/>
  <c r="Z234" i="33"/>
  <c r="Q234" i="33"/>
  <c r="O233" i="33"/>
  <c r="S234" i="33"/>
  <c r="V234" i="33"/>
  <c r="P404" i="33"/>
  <c r="AJ167" i="15"/>
  <c r="AJ125" i="15"/>
  <c r="AB31" i="26" s="1"/>
  <c r="AC466" i="33"/>
  <c r="AC468" i="33" s="1"/>
  <c r="AB466" i="33"/>
  <c r="AB467" i="33" s="1"/>
  <c r="T96" i="33"/>
  <c r="R14" i="33"/>
  <c r="M8" i="26" s="1"/>
  <c r="AJ40" i="15"/>
  <c r="AJ170" i="15"/>
  <c r="AJ116" i="15"/>
  <c r="AB22" i="26" s="1"/>
  <c r="AJ142" i="15"/>
  <c r="H14" i="22" s="1"/>
  <c r="AJ89" i="15"/>
  <c r="AA466" i="33"/>
  <c r="AA468" i="33" s="1"/>
  <c r="O95" i="33"/>
  <c r="Q163" i="33"/>
  <c r="T162" i="33"/>
  <c r="R234" i="33"/>
  <c r="AJ53" i="15"/>
  <c r="AJ52" i="15"/>
  <c r="R163" i="33"/>
  <c r="Q162" i="33"/>
  <c r="O162" i="33"/>
  <c r="AC372" i="33"/>
  <c r="AJ71" i="15"/>
  <c r="AJ150" i="15"/>
  <c r="H22" i="22" s="1"/>
  <c r="L448" i="33"/>
  <c r="Q96" i="33"/>
  <c r="S95" i="33"/>
  <c r="I98" i="33"/>
  <c r="O76" i="15"/>
  <c r="O78" i="15" s="1"/>
  <c r="O80" i="15" s="1"/>
  <c r="P233" i="33"/>
  <c r="R162" i="33"/>
  <c r="T163" i="33"/>
  <c r="W459" i="33"/>
  <c r="AJ38" i="15"/>
  <c r="AJ92" i="15"/>
  <c r="AJ94" i="15"/>
  <c r="AJ72" i="15"/>
  <c r="AJ141" i="15"/>
  <c r="H13" i="22" s="1"/>
  <c r="AD466" i="33"/>
  <c r="AD468" i="33" s="1"/>
  <c r="X460" i="33"/>
  <c r="V458" i="33"/>
  <c r="S233" i="33"/>
  <c r="AJ15" i="15"/>
  <c r="AJ45" i="15"/>
  <c r="AJ174" i="15"/>
  <c r="AJ117" i="15"/>
  <c r="F28" i="17" s="1"/>
  <c r="AJ16" i="15"/>
  <c r="AJ44" i="15"/>
  <c r="AJ97" i="15"/>
  <c r="AJ149" i="15"/>
  <c r="H21" i="22" s="1"/>
  <c r="O404" i="33"/>
  <c r="R96" i="33"/>
  <c r="AJ235" i="33"/>
  <c r="Q13" i="33"/>
  <c r="L7" i="26" s="1"/>
  <c r="S13" i="33"/>
  <c r="N7" i="26" s="1"/>
  <c r="AJ97" i="33"/>
  <c r="T13" i="33"/>
  <c r="O7" i="26" s="1"/>
  <c r="V163" i="33"/>
  <c r="V162" i="33"/>
  <c r="AD170" i="33"/>
  <c r="Z170" i="33"/>
  <c r="V170" i="33"/>
  <c r="R170" i="33"/>
  <c r="N170" i="33"/>
  <c r="J170" i="33"/>
  <c r="AC170" i="33"/>
  <c r="Y170" i="33"/>
  <c r="U170" i="33"/>
  <c r="Q170" i="33"/>
  <c r="M170" i="33"/>
  <c r="I170" i="33"/>
  <c r="AF170" i="33"/>
  <c r="AB170" i="33"/>
  <c r="X170" i="33"/>
  <c r="T170" i="33"/>
  <c r="P170" i="33"/>
  <c r="L170" i="33"/>
  <c r="AA170" i="33"/>
  <c r="K170" i="33"/>
  <c r="W170" i="33"/>
  <c r="S170" i="33"/>
  <c r="AE170" i="33"/>
  <c r="O170" i="33"/>
  <c r="BC7" i="15"/>
  <c r="T8" i="33"/>
  <c r="AC16" i="26"/>
  <c r="AE186" i="33"/>
  <c r="AE169" i="33" s="1"/>
  <c r="AA186" i="33"/>
  <c r="AA169" i="33" s="1"/>
  <c r="W186" i="33"/>
  <c r="W169" i="33" s="1"/>
  <c r="S186" i="33"/>
  <c r="S169" i="33" s="1"/>
  <c r="O186" i="33"/>
  <c r="O169" i="33" s="1"/>
  <c r="K186" i="33"/>
  <c r="K169" i="33" s="1"/>
  <c r="AD186" i="33"/>
  <c r="AD169" i="33" s="1"/>
  <c r="Z186" i="33"/>
  <c r="Z169" i="33" s="1"/>
  <c r="V186" i="33"/>
  <c r="V169" i="33" s="1"/>
  <c r="R186" i="33"/>
  <c r="R169" i="33" s="1"/>
  <c r="N186" i="33"/>
  <c r="N169" i="33" s="1"/>
  <c r="J186" i="33"/>
  <c r="J169" i="33" s="1"/>
  <c r="AC186" i="33"/>
  <c r="AC169" i="33" s="1"/>
  <c r="Y186" i="33"/>
  <c r="Y169" i="33" s="1"/>
  <c r="U186" i="33"/>
  <c r="U169" i="33" s="1"/>
  <c r="Q186" i="33"/>
  <c r="Q169" i="33" s="1"/>
  <c r="M186" i="33"/>
  <c r="M169" i="33" s="1"/>
  <c r="I186" i="33"/>
  <c r="I169" i="33" s="1"/>
  <c r="X186" i="33"/>
  <c r="X169" i="33" s="1"/>
  <c r="T186" i="33"/>
  <c r="T169" i="33" s="1"/>
  <c r="AF186" i="33"/>
  <c r="AF169" i="33" s="1"/>
  <c r="P186" i="33"/>
  <c r="P169" i="33" s="1"/>
  <c r="AB186" i="33"/>
  <c r="AB169" i="33" s="1"/>
  <c r="L186" i="33"/>
  <c r="L169" i="33" s="1"/>
  <c r="P13" i="33"/>
  <c r="K7" i="26" s="1"/>
  <c r="AC13" i="33"/>
  <c r="X7" i="26" s="1"/>
  <c r="S399" i="33"/>
  <c r="S377" i="33"/>
  <c r="S20" i="33"/>
  <c r="N14" i="26" s="1"/>
  <c r="W13" i="33"/>
  <c r="R7" i="26" s="1"/>
  <c r="P234" i="33"/>
  <c r="AF104" i="15"/>
  <c r="AD21" i="33" s="1"/>
  <c r="Y15" i="26" s="1"/>
  <c r="AF379" i="33"/>
  <c r="AF19" i="33"/>
  <c r="AA13" i="26" s="1"/>
  <c r="X104" i="15"/>
  <c r="X379" i="33"/>
  <c r="X19" i="33"/>
  <c r="S13" i="26" s="1"/>
  <c r="AC234" i="33"/>
  <c r="AB234" i="33"/>
  <c r="U163" i="33"/>
  <c r="U162" i="33"/>
  <c r="O163" i="33"/>
  <c r="M421" i="15"/>
  <c r="M287" i="15"/>
  <c r="M273" i="15"/>
  <c r="M269" i="15"/>
  <c r="M259" i="15"/>
  <c r="M255" i="15"/>
  <c r="M241" i="15"/>
  <c r="M135" i="15" s="1"/>
  <c r="M260" i="15"/>
  <c r="M254" i="15"/>
  <c r="M33" i="15" s="1"/>
  <c r="M249" i="15"/>
  <c r="M230" i="15"/>
  <c r="M198" i="15"/>
  <c r="M403" i="33" s="1"/>
  <c r="M194" i="15"/>
  <c r="M161" i="15"/>
  <c r="M86" i="15"/>
  <c r="M157" i="15"/>
  <c r="M111" i="15"/>
  <c r="M402" i="33" s="1"/>
  <c r="M106" i="15"/>
  <c r="M81" i="15"/>
  <c r="M34" i="15"/>
  <c r="M136" i="15"/>
  <c r="M98" i="15"/>
  <c r="AV14" i="15"/>
  <c r="AV9" i="15"/>
  <c r="M105" i="15"/>
  <c r="M474" i="33"/>
  <c r="N444" i="33"/>
  <c r="N436" i="33"/>
  <c r="O450" i="33" s="1"/>
  <c r="N431" i="33"/>
  <c r="N448" i="33"/>
  <c r="O457" i="33" s="1"/>
  <c r="N439" i="33"/>
  <c r="N434" i="33"/>
  <c r="M187" i="15"/>
  <c r="M109" i="15"/>
  <c r="M103" i="15"/>
  <c r="M473" i="33"/>
  <c r="N446" i="33"/>
  <c r="N382" i="33" s="1"/>
  <c r="N442" i="33"/>
  <c r="N438" i="33"/>
  <c r="M112" i="15"/>
  <c r="M381" i="33"/>
  <c r="M376" i="33"/>
  <c r="N445" i="33"/>
  <c r="N441" i="33"/>
  <c r="N343" i="33" s="1"/>
  <c r="M401" i="33"/>
  <c r="M398" i="33"/>
  <c r="M396" i="33"/>
  <c r="M387" i="33"/>
  <c r="M385" i="33"/>
  <c r="N437" i="33"/>
  <c r="N433" i="33"/>
  <c r="M131" i="33"/>
  <c r="M127" i="33"/>
  <c r="M405" i="33"/>
  <c r="M130" i="33"/>
  <c r="M397" i="33"/>
  <c r="M384" i="33"/>
  <c r="M253" i="33"/>
  <c r="M126" i="33"/>
  <c r="M386" i="33"/>
  <c r="M132" i="33"/>
  <c r="M129" i="33"/>
  <c r="M24" i="33"/>
  <c r="H18" i="26" s="1"/>
  <c r="M165" i="33"/>
  <c r="M128" i="33"/>
  <c r="AJ116" i="33"/>
  <c r="H272" i="33"/>
  <c r="C272" i="33" s="1"/>
  <c r="H256" i="33"/>
  <c r="C256" i="33" s="1"/>
  <c r="H224" i="33"/>
  <c r="C224" i="33" s="1"/>
  <c r="Q224" i="33" s="1"/>
  <c r="H208" i="33"/>
  <c r="C208" i="33" s="1"/>
  <c r="H273" i="33"/>
  <c r="C273" i="33" s="1"/>
  <c r="H257" i="33"/>
  <c r="C257" i="33" s="1"/>
  <c r="H270" i="33"/>
  <c r="C270" i="33" s="1"/>
  <c r="H185" i="33"/>
  <c r="C185" i="33" s="1"/>
  <c r="H168" i="33"/>
  <c r="C168" i="33" s="1"/>
  <c r="H240" i="33"/>
  <c r="C240" i="33" s="1"/>
  <c r="H238" i="33"/>
  <c r="C238" i="33" s="1"/>
  <c r="H223" i="33"/>
  <c r="C223" i="33" s="1"/>
  <c r="X223" i="33" s="1"/>
  <c r="H207" i="33"/>
  <c r="C207" i="33" s="1"/>
  <c r="H184" i="33"/>
  <c r="C184" i="33" s="1"/>
  <c r="H167" i="33"/>
  <c r="C167" i="33" s="1"/>
  <c r="H241" i="33"/>
  <c r="C241" i="33" s="1"/>
  <c r="H239" i="33"/>
  <c r="C239" i="33" s="1"/>
  <c r="H225" i="33"/>
  <c r="C225" i="33" s="1"/>
  <c r="J225" i="33" s="1"/>
  <c r="H209" i="33"/>
  <c r="C209" i="33" s="1"/>
  <c r="AD209" i="33" s="1"/>
  <c r="H170" i="33"/>
  <c r="C170" i="33" s="1"/>
  <c r="H186" i="33"/>
  <c r="C186" i="33" s="1"/>
  <c r="H169" i="33"/>
  <c r="C169" i="33" s="1"/>
  <c r="H119" i="33"/>
  <c r="C119" i="33" s="1"/>
  <c r="H102" i="33"/>
  <c r="C102" i="33" s="1"/>
  <c r="H118" i="33"/>
  <c r="C118" i="33" s="1"/>
  <c r="H101" i="33"/>
  <c r="C101" i="33" s="1"/>
  <c r="H271" i="33"/>
  <c r="C271" i="33" s="1"/>
  <c r="H255" i="33"/>
  <c r="C255" i="33" s="1"/>
  <c r="H117" i="33"/>
  <c r="C117" i="33" s="1"/>
  <c r="H100" i="33"/>
  <c r="C100" i="33" s="1"/>
  <c r="H206" i="33"/>
  <c r="C206" i="33" s="1"/>
  <c r="H103" i="33"/>
  <c r="C103" i="33" s="1"/>
  <c r="T377" i="33"/>
  <c r="T399" i="33"/>
  <c r="U23" i="31" s="1"/>
  <c r="T20" i="33"/>
  <c r="O14" i="26" s="1"/>
  <c r="L421" i="15"/>
  <c r="L287" i="15"/>
  <c r="L273" i="15"/>
  <c r="L269" i="15"/>
  <c r="L230" i="15"/>
  <c r="L259" i="15"/>
  <c r="L255" i="15"/>
  <c r="L241" i="15"/>
  <c r="L135" i="15" s="1"/>
  <c r="L187" i="15"/>
  <c r="L112" i="15"/>
  <c r="L109" i="15"/>
  <c r="L105" i="15"/>
  <c r="L103" i="15"/>
  <c r="L198" i="15"/>
  <c r="L403" i="33" s="1"/>
  <c r="L194" i="15"/>
  <c r="L161" i="15"/>
  <c r="L86" i="15"/>
  <c r="L254" i="15"/>
  <c r="L33" i="15" s="1"/>
  <c r="L249" i="15"/>
  <c r="L157" i="15"/>
  <c r="L111" i="15"/>
  <c r="L402" i="33" s="1"/>
  <c r="L106" i="15"/>
  <c r="L81" i="15"/>
  <c r="L34" i="15"/>
  <c r="L260" i="15"/>
  <c r="AU14" i="15"/>
  <c r="L381" i="33"/>
  <c r="L376" i="33"/>
  <c r="AU9" i="15"/>
  <c r="L474" i="33"/>
  <c r="L98" i="15"/>
  <c r="M448" i="33"/>
  <c r="L136" i="15"/>
  <c r="L405" i="33"/>
  <c r="L397" i="33"/>
  <c r="L386" i="33"/>
  <c r="L384" i="33"/>
  <c r="L473" i="33"/>
  <c r="M442" i="33"/>
  <c r="L60" i="15"/>
  <c r="L401" i="33"/>
  <c r="L398" i="33"/>
  <c r="L396" i="33"/>
  <c r="L387" i="33"/>
  <c r="L385" i="33"/>
  <c r="L132" i="33"/>
  <c r="L128" i="33"/>
  <c r="L131" i="33"/>
  <c r="L127" i="33"/>
  <c r="L236" i="33"/>
  <c r="L24" i="33"/>
  <c r="G18" i="26" s="1"/>
  <c r="L126" i="33"/>
  <c r="L130" i="33"/>
  <c r="L129" i="33"/>
  <c r="AJ118" i="15"/>
  <c r="AJ181" i="33"/>
  <c r="AJ88" i="15"/>
  <c r="AJ114" i="15"/>
  <c r="AJ124" i="15"/>
  <c r="AC17" i="26"/>
  <c r="AJ17" i="15"/>
  <c r="AJ25" i="15"/>
  <c r="AJ47" i="15"/>
  <c r="AJ55" i="15"/>
  <c r="AJ73" i="15"/>
  <c r="AJ91" i="15"/>
  <c r="AJ144" i="15"/>
  <c r="H16" i="22" s="1"/>
  <c r="AJ152" i="15"/>
  <c r="H24" i="22" s="1"/>
  <c r="AJ37" i="15"/>
  <c r="AJ119" i="15"/>
  <c r="AJ171" i="15"/>
  <c r="AJ18" i="15"/>
  <c r="AJ26" i="15"/>
  <c r="AJ46" i="15"/>
  <c r="AJ54" i="15"/>
  <c r="AJ66" i="15"/>
  <c r="AJ74" i="15"/>
  <c r="AJ143" i="15"/>
  <c r="H15" i="22" s="1"/>
  <c r="AJ151" i="15"/>
  <c r="H23" i="22" s="1"/>
  <c r="AJ239" i="15"/>
  <c r="AJ258" i="15"/>
  <c r="AJ253" i="15"/>
  <c r="AC20" i="26"/>
  <c r="AC26" i="26"/>
  <c r="AJ26" i="33"/>
  <c r="P22" i="33"/>
  <c r="K16" i="26" s="1"/>
  <c r="AF132" i="33"/>
  <c r="AB132" i="33"/>
  <c r="X132" i="33"/>
  <c r="AC131" i="33"/>
  <c r="Y131" i="33"/>
  <c r="U131" i="33"/>
  <c r="AD130" i="33"/>
  <c r="Z130" i="33"/>
  <c r="V130" i="33"/>
  <c r="AE129" i="33"/>
  <c r="AA129" i="33"/>
  <c r="W129" i="33"/>
  <c r="AF128" i="33"/>
  <c r="AB128" i="33"/>
  <c r="X128" i="33"/>
  <c r="AC127" i="33"/>
  <c r="Y127" i="33"/>
  <c r="U127" i="33"/>
  <c r="AE126" i="33"/>
  <c r="AA126" i="33"/>
  <c r="W126" i="33"/>
  <c r="AE132" i="33"/>
  <c r="AA132" i="33"/>
  <c r="W132" i="33"/>
  <c r="AF131" i="33"/>
  <c r="AB131" i="33"/>
  <c r="X131" i="33"/>
  <c r="AC130" i="33"/>
  <c r="Y130" i="33"/>
  <c r="U130" i="33"/>
  <c r="AD129" i="33"/>
  <c r="Z129" i="33"/>
  <c r="V129" i="33"/>
  <c r="AE128" i="33"/>
  <c r="AA128" i="33"/>
  <c r="W128" i="33"/>
  <c r="AF127" i="33"/>
  <c r="AB127" i="33"/>
  <c r="X127" i="33"/>
  <c r="AD126" i="33"/>
  <c r="Z126" i="33"/>
  <c r="V126" i="33"/>
  <c r="AD132" i="33"/>
  <c r="V132" i="33"/>
  <c r="AE131" i="33"/>
  <c r="W131" i="33"/>
  <c r="AF130" i="33"/>
  <c r="X130" i="33"/>
  <c r="Y129" i="33"/>
  <c r="Z128" i="33"/>
  <c r="AA127" i="33"/>
  <c r="AC126" i="33"/>
  <c r="U126" i="33"/>
  <c r="AC132" i="33"/>
  <c r="U132" i="33"/>
  <c r="AD131" i="33"/>
  <c r="V131" i="33"/>
  <c r="AE130" i="33"/>
  <c r="W130" i="33"/>
  <c r="AF129" i="33"/>
  <c r="X129" i="33"/>
  <c r="Y128" i="33"/>
  <c r="Z127" i="33"/>
  <c r="AB126" i="33"/>
  <c r="Z132" i="33"/>
  <c r="AA131" i="33"/>
  <c r="AB130" i="33"/>
  <c r="T130" i="33"/>
  <c r="AC129" i="33"/>
  <c r="U129" i="33"/>
  <c r="AD128" i="33"/>
  <c r="V128" i="33"/>
  <c r="AE127" i="33"/>
  <c r="W127" i="33"/>
  <c r="Y126" i="33"/>
  <c r="Q126" i="33"/>
  <c r="Y132" i="33"/>
  <c r="K130" i="33"/>
  <c r="AC128" i="33"/>
  <c r="V127" i="33"/>
  <c r="P126" i="33"/>
  <c r="Q132" i="33"/>
  <c r="AB129" i="33"/>
  <c r="U128" i="33"/>
  <c r="N127" i="33"/>
  <c r="AA130" i="33"/>
  <c r="T129" i="33"/>
  <c r="AF126" i="33"/>
  <c r="Z131" i="33"/>
  <c r="S130" i="33"/>
  <c r="AD127" i="33"/>
  <c r="X126" i="33"/>
  <c r="AC257" i="33"/>
  <c r="AC240" i="33" s="1"/>
  <c r="Y257" i="33"/>
  <c r="Y240" i="33" s="1"/>
  <c r="U257" i="33"/>
  <c r="U240" i="33" s="1"/>
  <c r="Q257" i="33"/>
  <c r="Q240" i="33" s="1"/>
  <c r="M257" i="33"/>
  <c r="M240" i="33" s="1"/>
  <c r="I257" i="33"/>
  <c r="I240" i="33" s="1"/>
  <c r="AF257" i="33"/>
  <c r="AF240" i="33" s="1"/>
  <c r="AB257" i="33"/>
  <c r="AB240" i="33" s="1"/>
  <c r="X257" i="33"/>
  <c r="X240" i="33" s="1"/>
  <c r="T257" i="33"/>
  <c r="T240" i="33" s="1"/>
  <c r="P257" i="33"/>
  <c r="P240" i="33" s="1"/>
  <c r="L257" i="33"/>
  <c r="L240" i="33" s="1"/>
  <c r="AE257" i="33"/>
  <c r="AE240" i="33" s="1"/>
  <c r="AA257" i="33"/>
  <c r="AA240" i="33" s="1"/>
  <c r="W257" i="33"/>
  <c r="W240" i="33" s="1"/>
  <c r="S257" i="33"/>
  <c r="S240" i="33" s="1"/>
  <c r="O257" i="33"/>
  <c r="O240" i="33" s="1"/>
  <c r="K257" i="33"/>
  <c r="K240" i="33" s="1"/>
  <c r="AD257" i="33"/>
  <c r="AD240" i="33" s="1"/>
  <c r="N257" i="33"/>
  <c r="N240" i="33" s="1"/>
  <c r="Z257" i="33"/>
  <c r="Z240" i="33" s="1"/>
  <c r="J257" i="33"/>
  <c r="J240" i="33" s="1"/>
  <c r="V257" i="33"/>
  <c r="V240" i="33" s="1"/>
  <c r="R257" i="33"/>
  <c r="R240" i="33" s="1"/>
  <c r="AE255" i="33"/>
  <c r="AA255" i="33"/>
  <c r="W255" i="33"/>
  <c r="S255" i="33"/>
  <c r="O255" i="33"/>
  <c r="K255" i="33"/>
  <c r="AD255" i="33"/>
  <c r="Z255" i="33"/>
  <c r="V255" i="33"/>
  <c r="R255" i="33"/>
  <c r="N255" i="33"/>
  <c r="J255" i="33"/>
  <c r="AC255" i="33"/>
  <c r="Y255" i="33"/>
  <c r="U255" i="33"/>
  <c r="Q255" i="33"/>
  <c r="M255" i="33"/>
  <c r="I255" i="33"/>
  <c r="T255" i="33"/>
  <c r="AF255" i="33"/>
  <c r="P255" i="33"/>
  <c r="AB255" i="33"/>
  <c r="L255" i="33"/>
  <c r="X255" i="33"/>
  <c r="Z466" i="33"/>
  <c r="AJ31" i="15"/>
  <c r="AJ57" i="15"/>
  <c r="S128" i="33"/>
  <c r="S404" i="33"/>
  <c r="S46" i="33"/>
  <c r="N40" i="26" s="1"/>
  <c r="S14" i="33"/>
  <c r="N8" i="26" s="1"/>
  <c r="K128" i="33"/>
  <c r="L444" i="33"/>
  <c r="L433" i="33"/>
  <c r="S22" i="33"/>
  <c r="N16" i="26" s="1"/>
  <c r="H275" i="33"/>
  <c r="C275" i="33" s="1"/>
  <c r="H260" i="33"/>
  <c r="C260" i="33" s="1"/>
  <c r="H245" i="33"/>
  <c r="C245" i="33" s="1"/>
  <c r="H228" i="33"/>
  <c r="C228" i="33" s="1"/>
  <c r="M228" i="33" s="1"/>
  <c r="H211" i="33"/>
  <c r="C211" i="33" s="1"/>
  <c r="H189" i="33"/>
  <c r="C189" i="33" s="1"/>
  <c r="H276" i="33"/>
  <c r="C276" i="33" s="1"/>
  <c r="H244" i="33"/>
  <c r="C244" i="33" s="1"/>
  <c r="H277" i="33"/>
  <c r="C277" i="33" s="1"/>
  <c r="H258" i="33"/>
  <c r="C258" i="33" s="1"/>
  <c r="H259" i="33"/>
  <c r="C259" i="33" s="1"/>
  <c r="H226" i="33"/>
  <c r="C226" i="33" s="1"/>
  <c r="S226" i="33" s="1"/>
  <c r="H175" i="33"/>
  <c r="C175" i="33" s="1"/>
  <c r="H214" i="33"/>
  <c r="C214" i="33" s="1"/>
  <c r="AF214" i="33" s="1"/>
  <c r="H212" i="33"/>
  <c r="C212" i="33" s="1"/>
  <c r="H188" i="33"/>
  <c r="C188" i="33" s="1"/>
  <c r="H174" i="33"/>
  <c r="C174" i="33" s="1"/>
  <c r="H278" i="33"/>
  <c r="C278" i="33" s="1"/>
  <c r="H246" i="33"/>
  <c r="C246" i="33" s="1"/>
  <c r="H227" i="33"/>
  <c r="C227" i="33" s="1"/>
  <c r="L227" i="33" s="1"/>
  <c r="H187" i="33"/>
  <c r="C187" i="33" s="1"/>
  <c r="H173" i="33"/>
  <c r="C173" i="33" s="1"/>
  <c r="H107" i="33"/>
  <c r="C107" i="33" s="1"/>
  <c r="H243" i="33"/>
  <c r="C243" i="33" s="1"/>
  <c r="H172" i="33"/>
  <c r="C172" i="33" s="1"/>
  <c r="H122" i="33"/>
  <c r="C122" i="33" s="1"/>
  <c r="H106" i="33"/>
  <c r="C106" i="33" s="1"/>
  <c r="H213" i="33"/>
  <c r="C213" i="33" s="1"/>
  <c r="H121" i="33"/>
  <c r="C121" i="33" s="1"/>
  <c r="H105" i="33"/>
  <c r="C105" i="33" s="1"/>
  <c r="H108" i="33"/>
  <c r="C108" i="33" s="1"/>
  <c r="H120" i="33"/>
  <c r="C120" i="33" s="1"/>
  <c r="R127" i="33"/>
  <c r="R130" i="33"/>
  <c r="R404" i="33"/>
  <c r="R22" i="33"/>
  <c r="M16" i="26" s="1"/>
  <c r="R46" i="33"/>
  <c r="M40" i="26" s="1"/>
  <c r="N132" i="33"/>
  <c r="AC188" i="33"/>
  <c r="Y188" i="33"/>
  <c r="U188" i="33"/>
  <c r="Q188" i="33"/>
  <c r="M188" i="33"/>
  <c r="I188" i="33"/>
  <c r="AE188" i="33"/>
  <c r="Z188" i="33"/>
  <c r="T188" i="33"/>
  <c r="O188" i="33"/>
  <c r="J188" i="33"/>
  <c r="AD188" i="33"/>
  <c r="X188" i="33"/>
  <c r="S188" i="33"/>
  <c r="N188" i="33"/>
  <c r="AB188" i="33"/>
  <c r="W188" i="33"/>
  <c r="R188" i="33"/>
  <c r="L188" i="33"/>
  <c r="V188" i="33"/>
  <c r="P188" i="33"/>
  <c r="AF188" i="33"/>
  <c r="K188" i="33"/>
  <c r="AA188" i="33"/>
  <c r="AF260" i="33"/>
  <c r="AF245" i="33" s="1"/>
  <c r="AB260" i="33"/>
  <c r="AB245" i="33" s="1"/>
  <c r="X260" i="33"/>
  <c r="X245" i="33" s="1"/>
  <c r="T260" i="33"/>
  <c r="T245" i="33" s="1"/>
  <c r="P260" i="33"/>
  <c r="P245" i="33" s="1"/>
  <c r="L260" i="33"/>
  <c r="L245" i="33" s="1"/>
  <c r="AE260" i="33"/>
  <c r="AE245" i="33" s="1"/>
  <c r="AA260" i="33"/>
  <c r="AA245" i="33" s="1"/>
  <c r="W260" i="33"/>
  <c r="S260" i="33"/>
  <c r="S245" i="33" s="1"/>
  <c r="O260" i="33"/>
  <c r="O245" i="33" s="1"/>
  <c r="K260" i="33"/>
  <c r="K245" i="33" s="1"/>
  <c r="AD260" i="33"/>
  <c r="AD245" i="33" s="1"/>
  <c r="Z260" i="33"/>
  <c r="Z245" i="33" s="1"/>
  <c r="V260" i="33"/>
  <c r="V245" i="33" s="1"/>
  <c r="R260" i="33"/>
  <c r="R245" i="33" s="1"/>
  <c r="N260" i="33"/>
  <c r="N245" i="33" s="1"/>
  <c r="J260" i="33"/>
  <c r="J245" i="33" s="1"/>
  <c r="AC260" i="33"/>
  <c r="AC245" i="33" s="1"/>
  <c r="M260" i="33"/>
  <c r="M245" i="33" s="1"/>
  <c r="Y260" i="33"/>
  <c r="Y245" i="33" s="1"/>
  <c r="I260" i="33"/>
  <c r="I245" i="33" s="1"/>
  <c r="U260" i="33"/>
  <c r="U245" i="33" s="1"/>
  <c r="Q260" i="33"/>
  <c r="Q245" i="33" s="1"/>
  <c r="AE259" i="33"/>
  <c r="AA259" i="33"/>
  <c r="W259" i="33"/>
  <c r="S259" i="33"/>
  <c r="O259" i="33"/>
  <c r="K259" i="33"/>
  <c r="AD259" i="33"/>
  <c r="Z259" i="33"/>
  <c r="V259" i="33"/>
  <c r="R259" i="33"/>
  <c r="N259" i="33"/>
  <c r="J259" i="33"/>
  <c r="AC259" i="33"/>
  <c r="Y259" i="33"/>
  <c r="U259" i="33"/>
  <c r="Q259" i="33"/>
  <c r="M259" i="33"/>
  <c r="I259" i="33"/>
  <c r="X259" i="33"/>
  <c r="T259" i="33"/>
  <c r="AF259" i="33"/>
  <c r="P259" i="33"/>
  <c r="L259" i="33"/>
  <c r="AB259" i="33"/>
  <c r="Y96" i="33"/>
  <c r="AA96" i="33"/>
  <c r="L98" i="33"/>
  <c r="M98" i="33"/>
  <c r="Q95" i="33"/>
  <c r="V95" i="33"/>
  <c r="Y163" i="33"/>
  <c r="Y162" i="33"/>
  <c r="V233" i="33"/>
  <c r="AC31" i="26"/>
  <c r="AC184" i="33"/>
  <c r="Y184" i="33"/>
  <c r="U184" i="33"/>
  <c r="Q184" i="33"/>
  <c r="M184" i="33"/>
  <c r="I184" i="33"/>
  <c r="AF184" i="33"/>
  <c r="AB184" i="33"/>
  <c r="X184" i="33"/>
  <c r="T184" i="33"/>
  <c r="P184" i="33"/>
  <c r="L184" i="33"/>
  <c r="AE184" i="33"/>
  <c r="AA184" i="33"/>
  <c r="W184" i="33"/>
  <c r="S184" i="33"/>
  <c r="O184" i="33"/>
  <c r="K184" i="33"/>
  <c r="R184" i="33"/>
  <c r="AD184" i="33"/>
  <c r="N184" i="33"/>
  <c r="Z184" i="33"/>
  <c r="J184" i="33"/>
  <c r="V184" i="33"/>
  <c r="AE241" i="33"/>
  <c r="AA241" i="33"/>
  <c r="W241" i="33"/>
  <c r="S241" i="33"/>
  <c r="O241" i="33"/>
  <c r="K241" i="33"/>
  <c r="AD241" i="33"/>
  <c r="Z241" i="33"/>
  <c r="V241" i="33"/>
  <c r="R241" i="33"/>
  <c r="N241" i="33"/>
  <c r="J241" i="33"/>
  <c r="AB241" i="33"/>
  <c r="T241" i="33"/>
  <c r="L241" i="33"/>
  <c r="Y241" i="33"/>
  <c r="Q241" i="33"/>
  <c r="I241" i="33"/>
  <c r="AF241" i="33"/>
  <c r="X241" i="33"/>
  <c r="P241" i="33"/>
  <c r="M241" i="33"/>
  <c r="U241" i="33"/>
  <c r="AC241" i="33"/>
  <c r="AF13" i="33"/>
  <c r="AA7" i="26" s="1"/>
  <c r="O138" i="15"/>
  <c r="R99" i="15"/>
  <c r="R18" i="33"/>
  <c r="M12" i="26" s="1"/>
  <c r="AD258" i="33"/>
  <c r="Z258" i="33"/>
  <c r="V258" i="33"/>
  <c r="R258" i="33"/>
  <c r="N258" i="33"/>
  <c r="J258" i="33"/>
  <c r="AC258" i="33"/>
  <c r="Y258" i="33"/>
  <c r="U258" i="33"/>
  <c r="Q258" i="33"/>
  <c r="M258" i="33"/>
  <c r="I258" i="33"/>
  <c r="AF258" i="33"/>
  <c r="AB258" i="33"/>
  <c r="X258" i="33"/>
  <c r="T258" i="33"/>
  <c r="P258" i="33"/>
  <c r="L258" i="33"/>
  <c r="S258" i="33"/>
  <c r="AE258" i="33"/>
  <c r="O258" i="33"/>
  <c r="AA258" i="33"/>
  <c r="K258" i="33"/>
  <c r="W258" i="33"/>
  <c r="AF189" i="33"/>
  <c r="AF174" i="33" s="1"/>
  <c r="AB189" i="33"/>
  <c r="AB174" i="33" s="1"/>
  <c r="X189" i="33"/>
  <c r="X174" i="33" s="1"/>
  <c r="T189" i="33"/>
  <c r="T174" i="33" s="1"/>
  <c r="P189" i="33"/>
  <c r="P174" i="33" s="1"/>
  <c r="L189" i="33"/>
  <c r="L174" i="33" s="1"/>
  <c r="AC189" i="33"/>
  <c r="AC174" i="33" s="1"/>
  <c r="W189" i="33"/>
  <c r="W174" i="33" s="1"/>
  <c r="R189" i="33"/>
  <c r="R174" i="33" s="1"/>
  <c r="M189" i="33"/>
  <c r="M174" i="33" s="1"/>
  <c r="AA189" i="33"/>
  <c r="AA174" i="33" s="1"/>
  <c r="V189" i="33"/>
  <c r="V174" i="33" s="1"/>
  <c r="Q189" i="33"/>
  <c r="Q174" i="33" s="1"/>
  <c r="K189" i="33"/>
  <c r="K174" i="33" s="1"/>
  <c r="AE189" i="33"/>
  <c r="AE174" i="33" s="1"/>
  <c r="Z189" i="33"/>
  <c r="Z174" i="33" s="1"/>
  <c r="U189" i="33"/>
  <c r="U174" i="33" s="1"/>
  <c r="O189" i="33"/>
  <c r="O174" i="33" s="1"/>
  <c r="J189" i="33"/>
  <c r="J174" i="33" s="1"/>
  <c r="N189" i="33"/>
  <c r="N174" i="33" s="1"/>
  <c r="AD189" i="33"/>
  <c r="AD174" i="33" s="1"/>
  <c r="I189" i="33"/>
  <c r="Y189" i="33"/>
  <c r="Y174" i="33" s="1"/>
  <c r="S189" i="33"/>
  <c r="S174" i="33" s="1"/>
  <c r="AE246" i="33"/>
  <c r="AA246" i="33"/>
  <c r="W246" i="33"/>
  <c r="S246" i="33"/>
  <c r="O246" i="33"/>
  <c r="K246" i="33"/>
  <c r="AD246" i="33"/>
  <c r="Z246" i="33"/>
  <c r="V246" i="33"/>
  <c r="R246" i="33"/>
  <c r="N246" i="33"/>
  <c r="J246" i="33"/>
  <c r="AC246" i="33"/>
  <c r="Y246" i="33"/>
  <c r="U246" i="33"/>
  <c r="T246" i="33"/>
  <c r="L246" i="33"/>
  <c r="AF246" i="33"/>
  <c r="Q246" i="33"/>
  <c r="I246" i="33"/>
  <c r="AB246" i="33"/>
  <c r="P246" i="33"/>
  <c r="X246" i="33"/>
  <c r="M246" i="33"/>
  <c r="U96" i="33"/>
  <c r="AD96" i="33"/>
  <c r="W96" i="33"/>
  <c r="AC95" i="33"/>
  <c r="AF233" i="33"/>
  <c r="Y234" i="33"/>
  <c r="P76" i="15"/>
  <c r="P78" i="15" s="1"/>
  <c r="P80" i="15" s="1"/>
  <c r="Z233" i="33"/>
  <c r="X234" i="33"/>
  <c r="AB163" i="33"/>
  <c r="V451" i="33"/>
  <c r="Q99" i="15"/>
  <c r="Q138" i="15"/>
  <c r="I421" i="15"/>
  <c r="I287" i="15"/>
  <c r="I273" i="15"/>
  <c r="I275" i="15" s="1"/>
  <c r="I269" i="15"/>
  <c r="I268" i="15"/>
  <c r="J268" i="15" s="1"/>
  <c r="K268" i="15" s="1"/>
  <c r="L268" i="15" s="1"/>
  <c r="M268" i="15" s="1"/>
  <c r="N268" i="15" s="1"/>
  <c r="O268" i="15" s="1"/>
  <c r="P268" i="15" s="1"/>
  <c r="Q268" i="15" s="1"/>
  <c r="R268" i="15" s="1"/>
  <c r="S268" i="15" s="1"/>
  <c r="T268" i="15" s="1"/>
  <c r="U268" i="15" s="1"/>
  <c r="V268" i="15" s="1"/>
  <c r="W268" i="15" s="1"/>
  <c r="X268" i="15" s="1"/>
  <c r="Y268" i="15" s="1"/>
  <c r="Z268" i="15" s="1"/>
  <c r="AA268" i="15" s="1"/>
  <c r="AB268" i="15" s="1"/>
  <c r="AC268" i="15" s="1"/>
  <c r="AD268" i="15" s="1"/>
  <c r="AE268" i="15" s="1"/>
  <c r="AF268" i="15" s="1"/>
  <c r="I259" i="15"/>
  <c r="I255" i="15"/>
  <c r="E241" i="15"/>
  <c r="I241" i="15"/>
  <c r="I260" i="15"/>
  <c r="I254" i="15"/>
  <c r="I33" i="15" s="1"/>
  <c r="I249" i="15"/>
  <c r="I198" i="15"/>
  <c r="I403" i="33" s="1"/>
  <c r="I194" i="15"/>
  <c r="U175" i="15"/>
  <c r="Q175" i="15"/>
  <c r="I175" i="15"/>
  <c r="S172" i="15"/>
  <c r="O172" i="15"/>
  <c r="K172" i="15"/>
  <c r="AC165" i="15"/>
  <c r="Y165" i="15"/>
  <c r="U165" i="15"/>
  <c r="I161" i="15"/>
  <c r="I86" i="15"/>
  <c r="I230" i="15"/>
  <c r="X175" i="15"/>
  <c r="T175" i="15"/>
  <c r="R172" i="15"/>
  <c r="N172" i="15"/>
  <c r="J172" i="15"/>
  <c r="AJ173" i="15" s="1"/>
  <c r="AF165" i="15"/>
  <c r="AL165" i="15" s="1"/>
  <c r="AB165" i="15"/>
  <c r="X165" i="15"/>
  <c r="I157" i="15"/>
  <c r="I111" i="15"/>
  <c r="I106" i="15"/>
  <c r="I81" i="15"/>
  <c r="I34" i="15"/>
  <c r="AE175" i="15"/>
  <c r="AA175" i="15"/>
  <c r="W175" i="15"/>
  <c r="O175" i="15"/>
  <c r="K175" i="15"/>
  <c r="Q172" i="15"/>
  <c r="M172" i="15"/>
  <c r="I172" i="15"/>
  <c r="AE165" i="15"/>
  <c r="AA165" i="15"/>
  <c r="W165" i="15"/>
  <c r="I136" i="15"/>
  <c r="I98" i="15"/>
  <c r="I60" i="15"/>
  <c r="AR14" i="15"/>
  <c r="AR9" i="15"/>
  <c r="AD175" i="15"/>
  <c r="N175" i="15"/>
  <c r="L172" i="15"/>
  <c r="I112" i="15"/>
  <c r="I474" i="33"/>
  <c r="S443" i="33"/>
  <c r="K443" i="33"/>
  <c r="Z175" i="15"/>
  <c r="J175" i="15"/>
  <c r="AJ185" i="15" s="1"/>
  <c r="AD165" i="15"/>
  <c r="I105" i="15"/>
  <c r="J448" i="33"/>
  <c r="K457" i="33" s="1"/>
  <c r="R443" i="33"/>
  <c r="N443" i="33"/>
  <c r="J443" i="33"/>
  <c r="J439" i="33"/>
  <c r="J434" i="33"/>
  <c r="V175" i="15"/>
  <c r="T172" i="15"/>
  <c r="Z165" i="15"/>
  <c r="I473" i="33"/>
  <c r="J446" i="33"/>
  <c r="J382" i="33" s="1"/>
  <c r="Q443" i="33"/>
  <c r="J442" i="33"/>
  <c r="J438" i="33"/>
  <c r="P172" i="15"/>
  <c r="T443" i="33"/>
  <c r="V165" i="15"/>
  <c r="I103" i="15"/>
  <c r="P443" i="33"/>
  <c r="J433" i="33"/>
  <c r="I405" i="33"/>
  <c r="I397" i="33"/>
  <c r="I386" i="33"/>
  <c r="I384" i="33"/>
  <c r="R175" i="15"/>
  <c r="I109" i="15"/>
  <c r="J445" i="33"/>
  <c r="L443" i="33"/>
  <c r="I381" i="33"/>
  <c r="I376" i="33"/>
  <c r="I187" i="15"/>
  <c r="I396" i="33"/>
  <c r="I131" i="33"/>
  <c r="I127" i="33"/>
  <c r="J437" i="33"/>
  <c r="I398" i="33"/>
  <c r="I385" i="33"/>
  <c r="I130" i="33"/>
  <c r="I401" i="33"/>
  <c r="I387" i="33"/>
  <c r="I129" i="33"/>
  <c r="AC58" i="33"/>
  <c r="Y58" i="33"/>
  <c r="U58" i="33"/>
  <c r="I36" i="33"/>
  <c r="D30" i="26" s="1"/>
  <c r="I32" i="33"/>
  <c r="D26" i="26" s="1"/>
  <c r="I165" i="33"/>
  <c r="I128" i="33"/>
  <c r="AF58" i="33"/>
  <c r="AB58" i="33"/>
  <c r="X58" i="33"/>
  <c r="T58" i="33"/>
  <c r="I37" i="33"/>
  <c r="D31" i="26" s="1"/>
  <c r="I33" i="33"/>
  <c r="D27" i="26" s="1"/>
  <c r="I29" i="33"/>
  <c r="D23" i="26" s="1"/>
  <c r="I34" i="33"/>
  <c r="D28" i="26" s="1"/>
  <c r="I253" i="33"/>
  <c r="I236" i="33"/>
  <c r="I126" i="33"/>
  <c r="AE58" i="33"/>
  <c r="AA58" i="33"/>
  <c r="W58" i="33"/>
  <c r="AD58" i="33"/>
  <c r="Z58" i="33"/>
  <c r="I31" i="33"/>
  <c r="D25" i="26" s="1"/>
  <c r="I27" i="33"/>
  <c r="D21" i="26" s="1"/>
  <c r="I24" i="33"/>
  <c r="D18" i="26" s="1"/>
  <c r="I35" i="33"/>
  <c r="D29" i="26" s="1"/>
  <c r="I132" i="33"/>
  <c r="V58" i="33"/>
  <c r="T404" i="33"/>
  <c r="P14" i="33"/>
  <c r="K8" i="26" s="1"/>
  <c r="P138" i="15"/>
  <c r="AJ164" i="15"/>
  <c r="AJ107" i="15"/>
  <c r="AJ122" i="15"/>
  <c r="AJ11" i="15"/>
  <c r="AJ19" i="15"/>
  <c r="AJ27" i="15"/>
  <c r="AJ41" i="15"/>
  <c r="AJ49" i="15"/>
  <c r="AJ67" i="15"/>
  <c r="AJ75" i="15"/>
  <c r="AJ146" i="15"/>
  <c r="H18" i="22" s="1"/>
  <c r="AJ39" i="15"/>
  <c r="AJ90" i="15"/>
  <c r="AJ121" i="15"/>
  <c r="AL138" i="15"/>
  <c r="AJ12" i="15"/>
  <c r="AJ20" i="15"/>
  <c r="AJ28" i="15"/>
  <c r="AJ48" i="15"/>
  <c r="AJ56" i="15"/>
  <c r="AJ68" i="15"/>
  <c r="AJ93" i="15"/>
  <c r="AJ145" i="15"/>
  <c r="H17" i="22" s="1"/>
  <c r="AJ153" i="15"/>
  <c r="H25" i="22" s="1"/>
  <c r="AJ252" i="15"/>
  <c r="AJ240" i="15"/>
  <c r="AJ257" i="15"/>
  <c r="AJ271" i="15"/>
  <c r="AJ272" i="15"/>
  <c r="AC22" i="26"/>
  <c r="AC27" i="26"/>
  <c r="AF185" i="33"/>
  <c r="AB185" i="33"/>
  <c r="X185" i="33"/>
  <c r="T185" i="33"/>
  <c r="P185" i="33"/>
  <c r="L185" i="33"/>
  <c r="AE185" i="33"/>
  <c r="AA185" i="33"/>
  <c r="W185" i="33"/>
  <c r="S185" i="33"/>
  <c r="O185" i="33"/>
  <c r="K185" i="33"/>
  <c r="AD185" i="33"/>
  <c r="Z185" i="33"/>
  <c r="V185" i="33"/>
  <c r="R185" i="33"/>
  <c r="N185" i="33"/>
  <c r="J185" i="33"/>
  <c r="U185" i="33"/>
  <c r="Q185" i="33"/>
  <c r="AC185" i="33"/>
  <c r="M185" i="33"/>
  <c r="Y185" i="33"/>
  <c r="I185" i="33"/>
  <c r="AE466" i="33"/>
  <c r="AF466" i="33"/>
  <c r="R13" i="33"/>
  <c r="M7" i="26" s="1"/>
  <c r="X13" i="33"/>
  <c r="S7" i="26" s="1"/>
  <c r="AJ32" i="15"/>
  <c r="U13" i="33"/>
  <c r="AJ58" i="15"/>
  <c r="S138" i="15"/>
  <c r="O126" i="33"/>
  <c r="O99" i="15"/>
  <c r="K132" i="33"/>
  <c r="L438" i="33"/>
  <c r="M97" i="33"/>
  <c r="R132" i="33"/>
  <c r="R128" i="33"/>
  <c r="R126" i="33"/>
  <c r="N126" i="33"/>
  <c r="N130" i="33"/>
  <c r="AD187" i="33"/>
  <c r="Z187" i="33"/>
  <c r="V187" i="33"/>
  <c r="AB187" i="33"/>
  <c r="W187" i="33"/>
  <c r="R187" i="33"/>
  <c r="N187" i="33"/>
  <c r="J187" i="33"/>
  <c r="AF187" i="33"/>
  <c r="AA187" i="33"/>
  <c r="U187" i="33"/>
  <c r="Q187" i="33"/>
  <c r="M187" i="33"/>
  <c r="I187" i="33"/>
  <c r="AE187" i="33"/>
  <c r="Y187" i="33"/>
  <c r="T187" i="33"/>
  <c r="P187" i="33"/>
  <c r="L187" i="33"/>
  <c r="AC187" i="33"/>
  <c r="K187" i="33"/>
  <c r="X187" i="33"/>
  <c r="S187" i="33"/>
  <c r="O187" i="33"/>
  <c r="AE108" i="33"/>
  <c r="AA108" i="33"/>
  <c r="W108" i="33"/>
  <c r="S108" i="33"/>
  <c r="O108" i="33"/>
  <c r="K108" i="33"/>
  <c r="AD108" i="33"/>
  <c r="Z108" i="33"/>
  <c r="V108" i="33"/>
  <c r="R108" i="33"/>
  <c r="N108" i="33"/>
  <c r="J108" i="33"/>
  <c r="AC108" i="33"/>
  <c r="Y108" i="33"/>
  <c r="U108" i="33"/>
  <c r="Q108" i="33"/>
  <c r="M108" i="33"/>
  <c r="I108" i="33"/>
  <c r="AB108" i="33"/>
  <c r="L108" i="33"/>
  <c r="X108" i="33"/>
  <c r="AF108" i="33"/>
  <c r="P108" i="33"/>
  <c r="T108" i="33"/>
  <c r="V96" i="33"/>
  <c r="O96" i="33"/>
  <c r="AE96" i="33"/>
  <c r="J132" i="33"/>
  <c r="J127" i="33"/>
  <c r="J128" i="33"/>
  <c r="J130" i="33"/>
  <c r="X96" i="33"/>
  <c r="Z95" i="33"/>
  <c r="AJ24" i="33"/>
  <c r="I8" i="15"/>
  <c r="AR8" i="15" s="1"/>
  <c r="S99" i="15"/>
  <c r="R399" i="33"/>
  <c r="R377" i="33"/>
  <c r="R20" i="33"/>
  <c r="M14" i="26" s="1"/>
  <c r="Q233" i="33"/>
  <c r="AJ236" i="33"/>
  <c r="AB104" i="15"/>
  <c r="Y21" i="33" s="1"/>
  <c r="T15" i="26" s="1"/>
  <c r="AB379" i="33"/>
  <c r="AB19" i="33"/>
  <c r="W13" i="26" s="1"/>
  <c r="T234" i="33"/>
  <c r="Z163" i="33"/>
  <c r="Z162" i="33"/>
  <c r="AC163" i="33"/>
  <c r="AC162" i="33"/>
  <c r="AE103" i="33"/>
  <c r="AA103" i="33"/>
  <c r="W103" i="33"/>
  <c r="S103" i="33"/>
  <c r="O103" i="33"/>
  <c r="K103" i="33"/>
  <c r="AD103" i="33"/>
  <c r="Z103" i="33"/>
  <c r="V103" i="33"/>
  <c r="R103" i="33"/>
  <c r="N103" i="33"/>
  <c r="J103" i="33"/>
  <c r="AC103" i="33"/>
  <c r="Y103" i="33"/>
  <c r="U103" i="33"/>
  <c r="Q103" i="33"/>
  <c r="M103" i="33"/>
  <c r="I103" i="33"/>
  <c r="AF103" i="33"/>
  <c r="P103" i="33"/>
  <c r="AB103" i="33"/>
  <c r="T103" i="33"/>
  <c r="L103" i="33"/>
  <c r="X103" i="33"/>
  <c r="Q404" i="33"/>
  <c r="Q377" i="33"/>
  <c r="Q399" i="33"/>
  <c r="Q20" i="33"/>
  <c r="L14" i="26" s="1"/>
  <c r="Q46" i="33"/>
  <c r="L40" i="26" s="1"/>
  <c r="AF102" i="33"/>
  <c r="T102" i="33"/>
  <c r="P102" i="33"/>
  <c r="AE102" i="33"/>
  <c r="AA102" i="33"/>
  <c r="W102" i="33"/>
  <c r="K102" i="33"/>
  <c r="V102" i="33"/>
  <c r="N102" i="33"/>
  <c r="AC102" i="33"/>
  <c r="M102" i="33"/>
  <c r="T99" i="15"/>
  <c r="U19" i="33" s="1"/>
  <c r="P13" i="26" s="1"/>
  <c r="T14" i="33"/>
  <c r="O8" i="26" s="1"/>
  <c r="T138" i="15"/>
  <c r="T15" i="33" s="1"/>
  <c r="O9" i="26" s="1"/>
  <c r="P99" i="15"/>
  <c r="P377" i="33"/>
  <c r="P399" i="33"/>
  <c r="P20" i="33"/>
  <c r="K14" i="26" s="1"/>
  <c r="AJ183" i="33"/>
  <c r="AD372" i="33"/>
  <c r="I1" i="31"/>
  <c r="D1" i="26"/>
  <c r="AB372" i="33"/>
  <c r="AJ120" i="15"/>
  <c r="AJ96" i="15"/>
  <c r="AJ13" i="15"/>
  <c r="AJ21" i="15"/>
  <c r="AJ29" i="15"/>
  <c r="AJ43" i="15"/>
  <c r="AJ51" i="15"/>
  <c r="AJ69" i="15"/>
  <c r="AJ95" i="15"/>
  <c r="J82" i="17"/>
  <c r="J83" i="17"/>
  <c r="J81" i="17"/>
  <c r="AJ140" i="15"/>
  <c r="H12" i="22" s="1"/>
  <c r="AJ148" i="15"/>
  <c r="H20" i="22" s="1"/>
  <c r="J42" i="22"/>
  <c r="AJ100" i="15"/>
  <c r="AJ115" i="15"/>
  <c r="AJ123" i="15"/>
  <c r="AJ14" i="15"/>
  <c r="AJ22" i="15"/>
  <c r="AJ30" i="15"/>
  <c r="AJ42" i="15"/>
  <c r="AJ50" i="15"/>
  <c r="AL59" i="15"/>
  <c r="AJ70" i="15"/>
  <c r="AJ139" i="15"/>
  <c r="H11" i="22" s="1"/>
  <c r="AJ147" i="15"/>
  <c r="H19" i="22" s="1"/>
  <c r="AJ155" i="15"/>
  <c r="H27" i="22" s="1"/>
  <c r="AC12" i="26"/>
  <c r="AJ274" i="15"/>
  <c r="AC23" i="26"/>
  <c r="AC30" i="26"/>
  <c r="AC29" i="26"/>
  <c r="Z378" i="33"/>
  <c r="K131" i="33"/>
  <c r="AF256" i="33"/>
  <c r="AB256" i="33"/>
  <c r="X256" i="33"/>
  <c r="T256" i="33"/>
  <c r="P256" i="33"/>
  <c r="L256" i="33"/>
  <c r="AE256" i="33"/>
  <c r="AA256" i="33"/>
  <c r="W256" i="33"/>
  <c r="S256" i="33"/>
  <c r="O256" i="33"/>
  <c r="K256" i="33"/>
  <c r="AD256" i="33"/>
  <c r="Z256" i="33"/>
  <c r="V256" i="33"/>
  <c r="R256" i="33"/>
  <c r="N256" i="33"/>
  <c r="J256" i="33"/>
  <c r="Y256" i="33"/>
  <c r="I256" i="33"/>
  <c r="U256" i="33"/>
  <c r="Q256" i="33"/>
  <c r="M256" i="33"/>
  <c r="AC256" i="33"/>
  <c r="J367" i="33"/>
  <c r="Z13" i="33"/>
  <c r="U7" i="26" s="1"/>
  <c r="AD13" i="33"/>
  <c r="Y7" i="26" s="1"/>
  <c r="AB13" i="33"/>
  <c r="W7" i="26" s="1"/>
  <c r="I59" i="15"/>
  <c r="Y13" i="33"/>
  <c r="T7" i="26" s="1"/>
  <c r="S126" i="33"/>
  <c r="O128" i="33"/>
  <c r="O129" i="33"/>
  <c r="O399" i="33"/>
  <c r="O377" i="33"/>
  <c r="K126" i="33"/>
  <c r="L434" i="33"/>
  <c r="L431" i="33"/>
  <c r="L441" i="33"/>
  <c r="L343" i="33" s="1"/>
  <c r="R129" i="33"/>
  <c r="R233" i="33"/>
  <c r="R138" i="15"/>
  <c r="N129" i="33"/>
  <c r="AC107" i="33"/>
  <c r="M107" i="33"/>
  <c r="I107" i="33"/>
  <c r="AF107" i="33"/>
  <c r="AB107" i="33"/>
  <c r="P107" i="33"/>
  <c r="L107" i="33"/>
  <c r="AE107" i="33"/>
  <c r="AA107" i="33"/>
  <c r="W107" i="33"/>
  <c r="S107" i="33"/>
  <c r="O107" i="33"/>
  <c r="Z107" i="33"/>
  <c r="V107" i="33"/>
  <c r="R107" i="33"/>
  <c r="AF175" i="33"/>
  <c r="AB175" i="33"/>
  <c r="X175" i="33"/>
  <c r="T175" i="33"/>
  <c r="P175" i="33"/>
  <c r="L175" i="33"/>
  <c r="AE175" i="33"/>
  <c r="AA175" i="33"/>
  <c r="W175" i="33"/>
  <c r="S175" i="33"/>
  <c r="O175" i="33"/>
  <c r="K175" i="33"/>
  <c r="AD175" i="33"/>
  <c r="Z175" i="33"/>
  <c r="V175" i="33"/>
  <c r="R175" i="33"/>
  <c r="N175" i="33"/>
  <c r="J175" i="33"/>
  <c r="U175" i="33"/>
  <c r="Q175" i="33"/>
  <c r="AC175" i="33"/>
  <c r="M175" i="33"/>
  <c r="I175" i="33"/>
  <c r="Y175" i="33"/>
  <c r="AJ20" i="33"/>
  <c r="S96" i="33"/>
  <c r="J131" i="33"/>
  <c r="J126" i="33"/>
  <c r="I444" i="33" l="1"/>
  <c r="P444" i="33"/>
  <c r="I433" i="33"/>
  <c r="P433" i="33"/>
  <c r="I434" i="33"/>
  <c r="P434" i="33"/>
  <c r="I438" i="33"/>
  <c r="P438" i="33"/>
  <c r="F60" i="22"/>
  <c r="P446" i="33"/>
  <c r="P382" i="33" s="1"/>
  <c r="C186" i="15"/>
  <c r="P439" i="33"/>
  <c r="F35" i="22"/>
  <c r="P437" i="33"/>
  <c r="L436" i="33"/>
  <c r="P436" i="33"/>
  <c r="F55" i="22"/>
  <c r="P442" i="33"/>
  <c r="F59" i="22"/>
  <c r="P445" i="33"/>
  <c r="I441" i="33"/>
  <c r="I343" i="33" s="1"/>
  <c r="P441" i="33"/>
  <c r="P343" i="33" s="1"/>
  <c r="I448" i="33"/>
  <c r="P448" i="33"/>
  <c r="E168" i="15"/>
  <c r="P332" i="33"/>
  <c r="M431" i="33"/>
  <c r="P431" i="33"/>
  <c r="AJ181" i="15"/>
  <c r="S113" i="33"/>
  <c r="S321" i="33" s="1"/>
  <c r="AF124" i="33"/>
  <c r="AB124" i="33"/>
  <c r="X124" i="33"/>
  <c r="AE124" i="33"/>
  <c r="AA124" i="33"/>
  <c r="W124" i="33"/>
  <c r="AD124" i="33"/>
  <c r="Z124" i="33"/>
  <c r="V124" i="33"/>
  <c r="AC124" i="33"/>
  <c r="Y124" i="33"/>
  <c r="U124" i="33"/>
  <c r="Q124" i="33"/>
  <c r="R124" i="33"/>
  <c r="O124" i="33"/>
  <c r="S124" i="33"/>
  <c r="P124" i="33"/>
  <c r="T124" i="33"/>
  <c r="AF123" i="33"/>
  <c r="AB123" i="33"/>
  <c r="X123" i="33"/>
  <c r="AE123" i="33"/>
  <c r="AA123" i="33"/>
  <c r="W123" i="33"/>
  <c r="AD123" i="33"/>
  <c r="Z123" i="33"/>
  <c r="V123" i="33"/>
  <c r="AC123" i="33"/>
  <c r="Y123" i="33"/>
  <c r="U123" i="33"/>
  <c r="Q123" i="33"/>
  <c r="R123" i="33"/>
  <c r="T123" i="33"/>
  <c r="S123" i="33"/>
  <c r="O123" i="33"/>
  <c r="P123" i="33"/>
  <c r="J125" i="33"/>
  <c r="J124" i="33"/>
  <c r="J123" i="33"/>
  <c r="K124" i="33"/>
  <c r="I123" i="33"/>
  <c r="I124" i="33"/>
  <c r="I125" i="33"/>
  <c r="L123" i="33"/>
  <c r="L125" i="33"/>
  <c r="M124" i="33"/>
  <c r="M123" i="33"/>
  <c r="N124" i="33"/>
  <c r="N123" i="33"/>
  <c r="AF125" i="33"/>
  <c r="AF112" i="33" s="1"/>
  <c r="AB125" i="33"/>
  <c r="X125" i="33"/>
  <c r="AE125" i="33"/>
  <c r="AA125" i="33"/>
  <c r="AA112" i="33" s="1"/>
  <c r="W125" i="33"/>
  <c r="AD125" i="33"/>
  <c r="Z125" i="33"/>
  <c r="V125" i="33"/>
  <c r="V112" i="33" s="1"/>
  <c r="AC125" i="33"/>
  <c r="AC112" i="33" s="1"/>
  <c r="Y125" i="33"/>
  <c r="U125" i="33"/>
  <c r="R125" i="33"/>
  <c r="R112" i="33" s="1"/>
  <c r="O125" i="33"/>
  <c r="O112" i="33" s="1"/>
  <c r="T125" i="33"/>
  <c r="T112" i="33" s="1"/>
  <c r="W321" i="33" s="1"/>
  <c r="Q125" i="33"/>
  <c r="S125" i="33"/>
  <c r="S112" i="33" s="1"/>
  <c r="P125" i="33"/>
  <c r="P112" i="33" s="1"/>
  <c r="K125" i="33"/>
  <c r="K112" i="33" s="1"/>
  <c r="L124" i="33"/>
  <c r="M125" i="33"/>
  <c r="M112" i="33" s="1"/>
  <c r="U15" i="33"/>
  <c r="P9" i="26" s="1"/>
  <c r="AJ184" i="15"/>
  <c r="AJ178" i="15"/>
  <c r="H49" i="22"/>
  <c r="H52" i="22"/>
  <c r="L9" i="17"/>
  <c r="I443" i="33"/>
  <c r="I400" i="33" s="1"/>
  <c r="AL154" i="15"/>
  <c r="M441" i="33"/>
  <c r="M343" i="33" s="1"/>
  <c r="M433" i="33"/>
  <c r="M434" i="33"/>
  <c r="N236" i="15" s="1"/>
  <c r="M444" i="33"/>
  <c r="M443" i="33"/>
  <c r="M332" i="33"/>
  <c r="M439" i="33"/>
  <c r="M436" i="33"/>
  <c r="N450" i="33" s="1"/>
  <c r="M438" i="33"/>
  <c r="M446" i="33"/>
  <c r="M382" i="33" s="1"/>
  <c r="M445" i="33"/>
  <c r="M437" i="33"/>
  <c r="V21" i="33"/>
  <c r="Q15" i="26" s="1"/>
  <c r="Z21" i="33"/>
  <c r="U15" i="26" s="1"/>
  <c r="R15" i="33"/>
  <c r="M9" i="26" s="1"/>
  <c r="Q15" i="33"/>
  <c r="L9" i="26" s="1"/>
  <c r="AJ14" i="33"/>
  <c r="P15" i="33"/>
  <c r="K9" i="26" s="1"/>
  <c r="O15" i="33"/>
  <c r="J9" i="26" s="1"/>
  <c r="N15" i="33"/>
  <c r="I9" i="26" s="1"/>
  <c r="N154" i="15"/>
  <c r="S15" i="33"/>
  <c r="N9" i="26" s="1"/>
  <c r="L11" i="31"/>
  <c r="M8" i="31"/>
  <c r="W21" i="33"/>
  <c r="R15" i="26" s="1"/>
  <c r="AA21" i="33"/>
  <c r="V15" i="26" s="1"/>
  <c r="T23" i="31"/>
  <c r="O434" i="33"/>
  <c r="O445" i="33"/>
  <c r="O446" i="33"/>
  <c r="O382" i="33" s="1"/>
  <c r="O441" i="33"/>
  <c r="O343" i="33" s="1"/>
  <c r="O448" i="33"/>
  <c r="O439" i="33"/>
  <c r="O444" i="33"/>
  <c r="O442" i="33"/>
  <c r="O437" i="33"/>
  <c r="O436" i="33"/>
  <c r="O433" i="33"/>
  <c r="O332" i="33"/>
  <c r="J95" i="33"/>
  <c r="F9" i="22"/>
  <c r="F30" i="22" s="1"/>
  <c r="H9" i="22" s="1"/>
  <c r="E293" i="15"/>
  <c r="J345" i="33"/>
  <c r="Y192" i="33"/>
  <c r="Y179" i="33" s="1"/>
  <c r="AD190" i="33"/>
  <c r="T113" i="33"/>
  <c r="U327" i="33" s="1"/>
  <c r="Q113" i="33"/>
  <c r="L190" i="33"/>
  <c r="Z190" i="33"/>
  <c r="J113" i="33"/>
  <c r="M190" i="33"/>
  <c r="S190" i="33"/>
  <c r="I190" i="33"/>
  <c r="P113" i="33"/>
  <c r="Z113" i="33"/>
  <c r="I431" i="33"/>
  <c r="H283" i="33"/>
  <c r="C283" i="33" s="1"/>
  <c r="O261" i="33"/>
  <c r="F37" i="17"/>
  <c r="AB32" i="26"/>
  <c r="Q190" i="33"/>
  <c r="N190" i="33"/>
  <c r="J190" i="33"/>
  <c r="W190" i="33"/>
  <c r="AF113" i="33"/>
  <c r="X113" i="33"/>
  <c r="U113" i="33"/>
  <c r="N113" i="33"/>
  <c r="AD113" i="33"/>
  <c r="W113" i="33"/>
  <c r="F40" i="17"/>
  <c r="AB35" i="26"/>
  <c r="F43" i="17"/>
  <c r="AB38" i="26"/>
  <c r="R190" i="33"/>
  <c r="AF190" i="33"/>
  <c r="V190" i="33"/>
  <c r="X190" i="33"/>
  <c r="T190" i="33"/>
  <c r="P190" i="33"/>
  <c r="K190" i="33"/>
  <c r="AA190" i="33"/>
  <c r="L113" i="33"/>
  <c r="I113" i="33"/>
  <c r="Y113" i="33"/>
  <c r="R113" i="33"/>
  <c r="R321" i="33" s="1"/>
  <c r="K113" i="33"/>
  <c r="AA113" i="33"/>
  <c r="F44" i="17"/>
  <c r="AB39" i="26"/>
  <c r="F38" i="17"/>
  <c r="AB33" i="26"/>
  <c r="AB190" i="33"/>
  <c r="AC190" i="33"/>
  <c r="Y190" i="33"/>
  <c r="U190" i="33"/>
  <c r="O190" i="33"/>
  <c r="AB113" i="33"/>
  <c r="M113" i="33"/>
  <c r="AC113" i="33"/>
  <c r="V113" i="33"/>
  <c r="O113" i="33"/>
  <c r="F39" i="17"/>
  <c r="AB34" i="26"/>
  <c r="F41" i="17"/>
  <c r="AB36" i="26"/>
  <c r="F42" i="17"/>
  <c r="AB37" i="26"/>
  <c r="X192" i="33"/>
  <c r="X179" i="33" s="1"/>
  <c r="P192" i="33"/>
  <c r="P179" i="33" s="1"/>
  <c r="R192" i="33"/>
  <c r="J192" i="33"/>
  <c r="AA192" i="33"/>
  <c r="Q251" i="33"/>
  <c r="AB192" i="33"/>
  <c r="AB179" i="33" s="1"/>
  <c r="T192" i="33"/>
  <c r="T179" i="33" s="1"/>
  <c r="I192" i="33"/>
  <c r="I179" i="33" s="1"/>
  <c r="R263" i="33"/>
  <c r="R250" i="33" s="1"/>
  <c r="T251" i="33"/>
  <c r="N192" i="33"/>
  <c r="N179" i="33" s="1"/>
  <c r="AE192" i="33"/>
  <c r="Q192" i="33"/>
  <c r="Z112" i="33"/>
  <c r="I442" i="33"/>
  <c r="K248" i="15" s="1"/>
  <c r="I439" i="33"/>
  <c r="H179" i="33"/>
  <c r="C179" i="33" s="1"/>
  <c r="I261" i="33"/>
  <c r="H192" i="33"/>
  <c r="C192" i="33" s="1"/>
  <c r="P180" i="33"/>
  <c r="H178" i="33"/>
  <c r="C178" i="33" s="1"/>
  <c r="AD180" i="33"/>
  <c r="U78" i="15"/>
  <c r="U80" i="15" s="1"/>
  <c r="J377" i="33"/>
  <c r="Z455" i="33"/>
  <c r="I27" i="31"/>
  <c r="P16" i="26"/>
  <c r="P12" i="26"/>
  <c r="I11" i="31"/>
  <c r="N29" i="31"/>
  <c r="N11" i="31"/>
  <c r="J404" i="33"/>
  <c r="J233" i="33"/>
  <c r="O20" i="33"/>
  <c r="J14" i="26" s="1"/>
  <c r="AJ23" i="33"/>
  <c r="N9" i="31"/>
  <c r="O9" i="31"/>
  <c r="M10" i="31"/>
  <c r="M30" i="31"/>
  <c r="N23" i="33"/>
  <c r="I17" i="26" s="1"/>
  <c r="N20" i="31"/>
  <c r="N26" i="33"/>
  <c r="I20" i="26" s="1"/>
  <c r="N13" i="33"/>
  <c r="I7" i="26" s="1"/>
  <c r="O11" i="31"/>
  <c r="N22" i="31"/>
  <c r="O26" i="33"/>
  <c r="J20" i="26" s="1"/>
  <c r="L23" i="33"/>
  <c r="G17" i="26" s="1"/>
  <c r="N30" i="31"/>
  <c r="O29" i="31"/>
  <c r="N8" i="31"/>
  <c r="O30" i="31"/>
  <c r="T28" i="31"/>
  <c r="U28" i="31"/>
  <c r="M29" i="31"/>
  <c r="M22" i="31"/>
  <c r="N21" i="31"/>
  <c r="N18" i="33"/>
  <c r="I12" i="26" s="1"/>
  <c r="N22" i="33"/>
  <c r="I16" i="26" s="1"/>
  <c r="N25" i="31"/>
  <c r="N27" i="31"/>
  <c r="O22" i="33"/>
  <c r="J16" i="26" s="1"/>
  <c r="O27" i="31"/>
  <c r="N26" i="31"/>
  <c r="O21" i="31"/>
  <c r="O23" i="33"/>
  <c r="J17" i="26" s="1"/>
  <c r="I29" i="31"/>
  <c r="I20" i="31"/>
  <c r="I21" i="31"/>
  <c r="J96" i="33"/>
  <c r="J163" i="33"/>
  <c r="Q23" i="31"/>
  <c r="M9" i="31"/>
  <c r="J234" i="33"/>
  <c r="M11" i="31"/>
  <c r="R23" i="31"/>
  <c r="M26" i="31"/>
  <c r="J162" i="33"/>
  <c r="J265" i="33" s="1"/>
  <c r="J268" i="33"/>
  <c r="L457" i="33"/>
  <c r="M457" i="33"/>
  <c r="M450" i="33"/>
  <c r="N457" i="33"/>
  <c r="J20" i="33"/>
  <c r="E14" i="26" s="1"/>
  <c r="M26" i="33"/>
  <c r="H20" i="26" s="1"/>
  <c r="J14" i="33"/>
  <c r="E8" i="26" s="1"/>
  <c r="L9" i="31"/>
  <c r="L25" i="31"/>
  <c r="I437" i="33"/>
  <c r="I411" i="33" s="1"/>
  <c r="I332" i="33"/>
  <c r="I333" i="33" s="1"/>
  <c r="I388" i="33" s="1"/>
  <c r="J441" i="33"/>
  <c r="J343" i="33" s="1"/>
  <c r="J436" i="33"/>
  <c r="K450" i="33" s="1"/>
  <c r="J431" i="33"/>
  <c r="J444" i="33"/>
  <c r="J332" i="33"/>
  <c r="L20" i="31"/>
  <c r="L26" i="33"/>
  <c r="G20" i="26" s="1"/>
  <c r="J13" i="33"/>
  <c r="E7" i="26" s="1"/>
  <c r="S23" i="31"/>
  <c r="L22" i="31"/>
  <c r="L8" i="31"/>
  <c r="L26" i="31"/>
  <c r="L27" i="31"/>
  <c r="P201" i="33"/>
  <c r="P265" i="33" s="1"/>
  <c r="O79" i="15"/>
  <c r="W112" i="33"/>
  <c r="S262" i="33"/>
  <c r="AD112" i="33"/>
  <c r="AA16" i="33"/>
  <c r="V10" i="26" s="1"/>
  <c r="I262" i="33"/>
  <c r="R262" i="33"/>
  <c r="AJ30" i="33"/>
  <c r="S191" i="33"/>
  <c r="T262" i="33"/>
  <c r="R179" i="33"/>
  <c r="J179" i="33"/>
  <c r="AA179" i="33"/>
  <c r="N99" i="15"/>
  <c r="N379" i="33" s="1"/>
  <c r="O191" i="33"/>
  <c r="N191" i="33"/>
  <c r="AA78" i="15"/>
  <c r="AA80" i="15" s="1"/>
  <c r="AE78" i="15"/>
  <c r="AE80" i="15" s="1"/>
  <c r="U191" i="33"/>
  <c r="U177" i="33" s="1"/>
  <c r="AD191" i="33"/>
  <c r="AD177" i="33" s="1"/>
  <c r="U112" i="33"/>
  <c r="K262" i="33"/>
  <c r="Y262" i="33"/>
  <c r="AE179" i="33"/>
  <c r="Q179" i="33"/>
  <c r="Q191" i="33"/>
  <c r="L112" i="33"/>
  <c r="N112" i="33"/>
  <c r="M226" i="33"/>
  <c r="N228" i="33"/>
  <c r="I446" i="33"/>
  <c r="I382" i="33" s="1"/>
  <c r="S175" i="15"/>
  <c r="L175" i="15"/>
  <c r="AB175" i="15"/>
  <c r="Y175" i="15"/>
  <c r="T263" i="33"/>
  <c r="T250" i="33" s="1"/>
  <c r="K263" i="33"/>
  <c r="K250" i="33" s="1"/>
  <c r="R251" i="33"/>
  <c r="Y202" i="33"/>
  <c r="Y266" i="33" s="1"/>
  <c r="P175" i="15"/>
  <c r="AF175" i="15"/>
  <c r="AL175" i="15" s="1"/>
  <c r="M175" i="15"/>
  <c r="AC175" i="15"/>
  <c r="I263" i="33"/>
  <c r="I250" i="33" s="1"/>
  <c r="AA263" i="33"/>
  <c r="AA250" i="33" s="1"/>
  <c r="K251" i="33"/>
  <c r="Z155" i="33"/>
  <c r="Z370" i="33" s="1"/>
  <c r="Y263" i="33"/>
  <c r="Y251" i="33"/>
  <c r="AA251" i="33"/>
  <c r="U428" i="33"/>
  <c r="V428" i="33" s="1"/>
  <c r="K14" i="33"/>
  <c r="F8" i="26" s="1"/>
  <c r="U201" i="33"/>
  <c r="U265" i="33" s="1"/>
  <c r="H231" i="33"/>
  <c r="C231" i="33" s="1"/>
  <c r="AE231" i="33" s="1"/>
  <c r="H216" i="33"/>
  <c r="C216" i="33" s="1"/>
  <c r="H191" i="33"/>
  <c r="C191" i="33" s="1"/>
  <c r="H218" i="33"/>
  <c r="C218" i="33" s="1"/>
  <c r="Z261" i="33"/>
  <c r="AE261" i="33"/>
  <c r="Y261" i="33"/>
  <c r="Q180" i="33"/>
  <c r="AE227" i="33"/>
  <c r="X202" i="33"/>
  <c r="X266" i="33" s="1"/>
  <c r="S225" i="33"/>
  <c r="H124" i="33"/>
  <c r="C124" i="33" s="1"/>
  <c r="H125" i="33"/>
  <c r="C125" i="33" s="1"/>
  <c r="H219" i="33"/>
  <c r="C219" i="33" s="1"/>
  <c r="Z219" i="33" s="1"/>
  <c r="H248" i="33"/>
  <c r="C248" i="33" s="1"/>
  <c r="N261" i="33"/>
  <c r="P261" i="33"/>
  <c r="AC261" i="33"/>
  <c r="U180" i="33"/>
  <c r="P455" i="33"/>
  <c r="AF224" i="33"/>
  <c r="W202" i="33"/>
  <c r="W266" i="33" s="1"/>
  <c r="W224" i="33"/>
  <c r="O226" i="33"/>
  <c r="H113" i="33"/>
  <c r="C113" i="33" s="1"/>
  <c r="H229" i="33"/>
  <c r="C229" i="33" s="1"/>
  <c r="AD229" i="33" s="1"/>
  <c r="H230" i="33"/>
  <c r="C230" i="33" s="1"/>
  <c r="W230" i="33" s="1"/>
  <c r="H262" i="33"/>
  <c r="C262" i="33" s="1"/>
  <c r="K261" i="33"/>
  <c r="L180" i="33"/>
  <c r="Z226" i="33"/>
  <c r="T223" i="33"/>
  <c r="L192" i="33"/>
  <c r="L179" i="33" s="1"/>
  <c r="AD192" i="33"/>
  <c r="AD179" i="33" s="1"/>
  <c r="Z192" i="33"/>
  <c r="Z179" i="33" s="1"/>
  <c r="V192" i="33"/>
  <c r="V179" i="33" s="1"/>
  <c r="M192" i="33"/>
  <c r="M179" i="33" s="1"/>
  <c r="AC192" i="33"/>
  <c r="AC179" i="33" s="1"/>
  <c r="X263" i="33"/>
  <c r="X250" i="33" s="1"/>
  <c r="M263" i="33"/>
  <c r="M250" i="33" s="1"/>
  <c r="AC263" i="33"/>
  <c r="AC250" i="33" s="1"/>
  <c r="V263" i="33"/>
  <c r="V250" i="33" s="1"/>
  <c r="O263" i="33"/>
  <c r="O250" i="33" s="1"/>
  <c r="AE263" i="33"/>
  <c r="AE250" i="33" s="1"/>
  <c r="I251" i="33"/>
  <c r="U251" i="33"/>
  <c r="V251" i="33"/>
  <c r="O251" i="33"/>
  <c r="AE251" i="33"/>
  <c r="X251" i="33"/>
  <c r="P209" i="33"/>
  <c r="P273" i="33" s="1"/>
  <c r="T209" i="33"/>
  <c r="T273" i="33" s="1"/>
  <c r="U326" i="33" s="1"/>
  <c r="K227" i="33"/>
  <c r="V226" i="33"/>
  <c r="AE223" i="33"/>
  <c r="S224" i="33"/>
  <c r="U227" i="33"/>
  <c r="Z224" i="33"/>
  <c r="R223" i="33"/>
  <c r="Q228" i="33"/>
  <c r="V225" i="33"/>
  <c r="I233" i="33"/>
  <c r="AF263" i="33"/>
  <c r="AF250" i="33" s="1"/>
  <c r="L263" i="33"/>
  <c r="L250" i="33" s="1"/>
  <c r="Q263" i="33"/>
  <c r="Q250" i="33" s="1"/>
  <c r="J263" i="33"/>
  <c r="J250" i="33" s="1"/>
  <c r="Z263" i="33"/>
  <c r="Z250" i="33" s="1"/>
  <c r="S263" i="33"/>
  <c r="S250" i="33" s="1"/>
  <c r="M251" i="33"/>
  <c r="J251" i="33"/>
  <c r="Z251" i="33"/>
  <c r="S251" i="33"/>
  <c r="L251" i="33"/>
  <c r="AB251" i="33"/>
  <c r="Y209" i="33"/>
  <c r="Y273" i="33" s="1"/>
  <c r="J209" i="33"/>
  <c r="K209" i="33"/>
  <c r="K273" i="33" s="1"/>
  <c r="N209" i="33"/>
  <c r="N273" i="33" s="1"/>
  <c r="AA223" i="33"/>
  <c r="Y226" i="33"/>
  <c r="AB224" i="33"/>
  <c r="AE228" i="33"/>
  <c r="I223" i="33"/>
  <c r="AB226" i="33"/>
  <c r="J224" i="33"/>
  <c r="X227" i="33"/>
  <c r="AC224" i="33"/>
  <c r="W192" i="33"/>
  <c r="W179" i="33" s="1"/>
  <c r="S192" i="33"/>
  <c r="S179" i="33" s="1"/>
  <c r="O192" i="33"/>
  <c r="K192" i="33"/>
  <c r="AF192" i="33"/>
  <c r="AF179" i="33" s="1"/>
  <c r="AF238" i="33"/>
  <c r="P263" i="33"/>
  <c r="P250" i="33" s="1"/>
  <c r="AB263" i="33"/>
  <c r="AB250" i="33" s="1"/>
  <c r="U263" i="33"/>
  <c r="U250" i="33" s="1"/>
  <c r="N263" i="33"/>
  <c r="N250" i="33" s="1"/>
  <c r="AD263" i="33"/>
  <c r="AD250" i="33" s="1"/>
  <c r="AC251" i="33"/>
  <c r="N251" i="33"/>
  <c r="AD251" i="33"/>
  <c r="W251" i="33"/>
  <c r="P251" i="33"/>
  <c r="X214" i="33"/>
  <c r="X278" i="33" s="1"/>
  <c r="U209" i="33"/>
  <c r="Z227" i="33"/>
  <c r="V227" i="33"/>
  <c r="AD228" i="33"/>
  <c r="L226" i="33"/>
  <c r="Q223" i="33"/>
  <c r="AE226" i="33"/>
  <c r="M224" i="33"/>
  <c r="I460" i="33"/>
  <c r="I457" i="33"/>
  <c r="J457" i="33"/>
  <c r="Q261" i="33"/>
  <c r="AB261" i="33"/>
  <c r="L261" i="33"/>
  <c r="S261" i="33"/>
  <c r="V180" i="33"/>
  <c r="AC180" i="33"/>
  <c r="M180" i="33"/>
  <c r="X180" i="33"/>
  <c r="AE180" i="33"/>
  <c r="W180" i="33"/>
  <c r="R180" i="33"/>
  <c r="Y180" i="33"/>
  <c r="I180" i="33"/>
  <c r="T180" i="33"/>
  <c r="O180" i="33"/>
  <c r="S180" i="33"/>
  <c r="N214" i="33"/>
  <c r="N278" i="33" s="1"/>
  <c r="L214" i="33"/>
  <c r="L278" i="33" s="1"/>
  <c r="AB214" i="33"/>
  <c r="AB278" i="33" s="1"/>
  <c r="W214" i="33"/>
  <c r="W278" i="33" s="1"/>
  <c r="AE214" i="33"/>
  <c r="AE278" i="33" s="1"/>
  <c r="I214" i="33"/>
  <c r="I278" i="33" s="1"/>
  <c r="K214" i="33"/>
  <c r="K278" i="33" s="1"/>
  <c r="Q214" i="33"/>
  <c r="Q278" i="33" s="1"/>
  <c r="Z214" i="33"/>
  <c r="Z278" i="33" s="1"/>
  <c r="P214" i="33"/>
  <c r="P278" i="33" s="1"/>
  <c r="O214" i="33"/>
  <c r="O278" i="33" s="1"/>
  <c r="M214" i="33"/>
  <c r="M278" i="33" s="1"/>
  <c r="J214" i="33"/>
  <c r="J278" i="33" s="1"/>
  <c r="R214" i="33"/>
  <c r="R278" i="33" s="1"/>
  <c r="S214" i="33"/>
  <c r="S278" i="33" s="1"/>
  <c r="T214" i="33"/>
  <c r="T278" i="33" s="1"/>
  <c r="Y214" i="33"/>
  <c r="Y278" i="33" s="1"/>
  <c r="U214" i="33"/>
  <c r="AC214" i="33"/>
  <c r="AC278" i="33" s="1"/>
  <c r="AA214" i="33"/>
  <c r="AA278" i="33" s="1"/>
  <c r="O462" i="33"/>
  <c r="H110" i="33"/>
  <c r="C110" i="33" s="1"/>
  <c r="H112" i="33"/>
  <c r="C112" i="33" s="1"/>
  <c r="H180" i="33"/>
  <c r="C180" i="33" s="1"/>
  <c r="H250" i="33"/>
  <c r="C250" i="33" s="1"/>
  <c r="H249" i="33"/>
  <c r="C249" i="33" s="1"/>
  <c r="H217" i="33"/>
  <c r="C217" i="33" s="1"/>
  <c r="H280" i="33"/>
  <c r="C280" i="33" s="1"/>
  <c r="H251" i="33"/>
  <c r="C251" i="33" s="1"/>
  <c r="V261" i="33"/>
  <c r="AD261" i="33"/>
  <c r="W261" i="33"/>
  <c r="T261" i="33"/>
  <c r="M261" i="33"/>
  <c r="K180" i="33"/>
  <c r="AB180" i="33"/>
  <c r="J180" i="33"/>
  <c r="V214" i="33"/>
  <c r="V278" i="33" s="1"/>
  <c r="H111" i="33"/>
  <c r="C111" i="33" s="1"/>
  <c r="H123" i="33"/>
  <c r="C123" i="33" s="1"/>
  <c r="H190" i="33"/>
  <c r="C190" i="33" s="1"/>
  <c r="H177" i="33"/>
  <c r="C177" i="33" s="1"/>
  <c r="H263" i="33"/>
  <c r="C263" i="33" s="1"/>
  <c r="H281" i="33"/>
  <c r="C281" i="33" s="1"/>
  <c r="H261" i="33"/>
  <c r="C261" i="33" s="1"/>
  <c r="J261" i="33"/>
  <c r="R261" i="33"/>
  <c r="AA261" i="33"/>
  <c r="X261" i="33"/>
  <c r="U261" i="33"/>
  <c r="AA180" i="33"/>
  <c r="AF180" i="33"/>
  <c r="N180" i="33"/>
  <c r="AD214" i="33"/>
  <c r="AD278" i="33" s="1"/>
  <c r="X209" i="33"/>
  <c r="X273" i="33" s="1"/>
  <c r="R209" i="33"/>
  <c r="R273" i="33" s="1"/>
  <c r="R326" i="33" s="1"/>
  <c r="AE209" i="33"/>
  <c r="AE273" i="33" s="1"/>
  <c r="AB209" i="33"/>
  <c r="AB273" i="33" s="1"/>
  <c r="V209" i="33"/>
  <c r="V273" i="33" s="1"/>
  <c r="M209" i="33"/>
  <c r="M273" i="33" s="1"/>
  <c r="I225" i="33"/>
  <c r="I208" i="33" s="1"/>
  <c r="R226" i="33"/>
  <c r="AA228" i="33"/>
  <c r="AF225" i="33"/>
  <c r="AF228" i="33"/>
  <c r="W227" i="33"/>
  <c r="N226" i="33"/>
  <c r="L224" i="33"/>
  <c r="T228" i="33"/>
  <c r="T213" i="33" s="1"/>
  <c r="Y225" i="33"/>
  <c r="J227" i="33"/>
  <c r="W223" i="33"/>
  <c r="W228" i="33"/>
  <c r="W213" i="33" s="1"/>
  <c r="N227" i="33"/>
  <c r="AB225" i="33"/>
  <c r="O223" i="33"/>
  <c r="T225" i="33"/>
  <c r="K224" i="33"/>
  <c r="I227" i="33"/>
  <c r="Z228" i="33"/>
  <c r="J228" i="33"/>
  <c r="J213" i="33" s="1"/>
  <c r="Q227" i="33"/>
  <c r="X226" i="33"/>
  <c r="AE225" i="33"/>
  <c r="O225" i="33"/>
  <c r="V224" i="33"/>
  <c r="AC223" i="33"/>
  <c r="M223" i="33"/>
  <c r="O224" i="33"/>
  <c r="J223" i="33"/>
  <c r="I224" i="33"/>
  <c r="AC228" i="33"/>
  <c r="T227" i="33"/>
  <c r="AA226" i="33"/>
  <c r="K226" i="33"/>
  <c r="R225" i="33"/>
  <c r="Y224" i="33"/>
  <c r="AF223" i="33"/>
  <c r="P223" i="33"/>
  <c r="AC209" i="33"/>
  <c r="AC273" i="33" s="1"/>
  <c r="O209" i="33"/>
  <c r="O273" i="33" s="1"/>
  <c r="L209" i="33"/>
  <c r="L273" i="33" s="1"/>
  <c r="I209" i="33"/>
  <c r="I273" i="33" s="1"/>
  <c r="S209" i="33"/>
  <c r="S273" i="33" s="1"/>
  <c r="S326" i="33" s="1"/>
  <c r="AB228" i="33"/>
  <c r="J226" i="33"/>
  <c r="K228" i="33"/>
  <c r="P224" i="33"/>
  <c r="X228" i="33"/>
  <c r="O227" i="33"/>
  <c r="AC225" i="33"/>
  <c r="S223" i="33"/>
  <c r="AA227" i="33"/>
  <c r="T224" i="33"/>
  <c r="I226" i="33"/>
  <c r="Q226" i="33"/>
  <c r="O228" i="33"/>
  <c r="AC226" i="33"/>
  <c r="Q225" i="33"/>
  <c r="L225" i="33"/>
  <c r="Z223" i="33"/>
  <c r="V228" i="33"/>
  <c r="AC227" i="33"/>
  <c r="M227" i="33"/>
  <c r="T226" i="33"/>
  <c r="AA225" i="33"/>
  <c r="K225" i="33"/>
  <c r="R224" i="33"/>
  <c r="Y223" i="33"/>
  <c r="P225" i="33"/>
  <c r="AD223" i="33"/>
  <c r="I228" i="33"/>
  <c r="I213" i="33" s="1"/>
  <c r="Y228" i="33"/>
  <c r="AF227" i="33"/>
  <c r="P227" i="33"/>
  <c r="W226" i="33"/>
  <c r="AD225" i="33"/>
  <c r="N225" i="33"/>
  <c r="U224" i="33"/>
  <c r="AB223" i="33"/>
  <c r="L223" i="33"/>
  <c r="P457" i="33"/>
  <c r="P450" i="33"/>
  <c r="W209" i="33"/>
  <c r="W273" i="33" s="1"/>
  <c r="AF209" i="33"/>
  <c r="AF273" i="33" s="1"/>
  <c r="Z209" i="33"/>
  <c r="Z273" i="33" s="1"/>
  <c r="AA209" i="33"/>
  <c r="AA273" i="33" s="1"/>
  <c r="Q209" i="33"/>
  <c r="Q273" i="33" s="1"/>
  <c r="L228" i="33"/>
  <c r="M225" i="33"/>
  <c r="M208" i="33" s="1"/>
  <c r="M272" i="33" s="1"/>
  <c r="R227" i="33"/>
  <c r="P228" i="33"/>
  <c r="AD226" i="33"/>
  <c r="U225" i="33"/>
  <c r="U208" i="33" s="1"/>
  <c r="S227" i="33"/>
  <c r="K223" i="33"/>
  <c r="S228" i="33"/>
  <c r="X225" i="33"/>
  <c r="AF202" i="33"/>
  <c r="AF266" i="33" s="1"/>
  <c r="AD227" i="33"/>
  <c r="U226" i="33"/>
  <c r="X224" i="33"/>
  <c r="AA224" i="33"/>
  <c r="N223" i="33"/>
  <c r="R228" i="33"/>
  <c r="R213" i="33" s="1"/>
  <c r="Y227" i="33"/>
  <c r="AF226" i="33"/>
  <c r="P226" i="33"/>
  <c r="W225" i="33"/>
  <c r="AD224" i="33"/>
  <c r="N224" i="33"/>
  <c r="U223" i="33"/>
  <c r="AE224" i="33"/>
  <c r="V223" i="33"/>
  <c r="U228" i="33"/>
  <c r="U213" i="33" s="1"/>
  <c r="AB227" i="33"/>
  <c r="Z225" i="33"/>
  <c r="AE172" i="33"/>
  <c r="U172" i="33"/>
  <c r="N95" i="33"/>
  <c r="Q79" i="15"/>
  <c r="Z78" i="15"/>
  <c r="Z80" i="15" s="1"/>
  <c r="X78" i="15"/>
  <c r="X80" i="15" s="1"/>
  <c r="I368" i="33"/>
  <c r="T79" i="15"/>
  <c r="X16" i="33"/>
  <c r="S10" i="26" s="1"/>
  <c r="X79" i="15"/>
  <c r="P79" i="15"/>
  <c r="AF79" i="15"/>
  <c r="AB202" i="33"/>
  <c r="AB266" i="33" s="1"/>
  <c r="Y201" i="33"/>
  <c r="O201" i="33"/>
  <c r="O265" i="33" s="1"/>
  <c r="Q202" i="33"/>
  <c r="Q266" i="33" s="1"/>
  <c r="L202" i="33"/>
  <c r="P202" i="33"/>
  <c r="P266" i="33" s="1"/>
  <c r="Z202" i="33"/>
  <c r="Z266" i="33" s="1"/>
  <c r="AC202" i="33"/>
  <c r="AC266" i="33" s="1"/>
  <c r="AA201" i="33"/>
  <c r="K202" i="33"/>
  <c r="S202" i="33"/>
  <c r="S266" i="33" s="1"/>
  <c r="N201" i="33"/>
  <c r="V202" i="33"/>
  <c r="V266" i="33" s="1"/>
  <c r="X201" i="33"/>
  <c r="K201" i="33"/>
  <c r="AF201" i="33"/>
  <c r="AA203" i="33"/>
  <c r="AA267" i="33" s="1"/>
  <c r="I202" i="33"/>
  <c r="I201" i="33"/>
  <c r="AD203" i="33"/>
  <c r="AD267" i="33" s="1"/>
  <c r="AC203" i="33"/>
  <c r="AC267" i="33" s="1"/>
  <c r="J202" i="33"/>
  <c r="AE202" i="33"/>
  <c r="AE266" i="33" s="1"/>
  <c r="S203" i="33"/>
  <c r="S267" i="33" s="1"/>
  <c r="Z203" i="33"/>
  <c r="Z267" i="33" s="1"/>
  <c r="O202" i="33"/>
  <c r="O266" i="33" s="1"/>
  <c r="AA202" i="33"/>
  <c r="AA266" i="33" s="1"/>
  <c r="Q203" i="33"/>
  <c r="Q267" i="33" s="1"/>
  <c r="V203" i="33"/>
  <c r="V267" i="33" s="1"/>
  <c r="Y203" i="33"/>
  <c r="Y267" i="33" s="1"/>
  <c r="N202" i="33"/>
  <c r="R203" i="33"/>
  <c r="R267" i="33" s="1"/>
  <c r="M202" i="33"/>
  <c r="T203" i="33"/>
  <c r="T267" i="33" s="1"/>
  <c r="P203" i="33"/>
  <c r="P267" i="33" s="1"/>
  <c r="T202" i="33"/>
  <c r="T266" i="33" s="1"/>
  <c r="X203" i="33"/>
  <c r="X267" i="33" s="1"/>
  <c r="J203" i="33"/>
  <c r="J267" i="33" s="1"/>
  <c r="AE203" i="33"/>
  <c r="AE267" i="33" s="1"/>
  <c r="AB203" i="33"/>
  <c r="AB267" i="33" s="1"/>
  <c r="U202" i="33"/>
  <c r="R202" i="33"/>
  <c r="R266" i="33" s="1"/>
  <c r="O203" i="33"/>
  <c r="O267" i="33" s="1"/>
  <c r="AD202" i="33"/>
  <c r="AD266" i="33" s="1"/>
  <c r="AC201" i="33"/>
  <c r="AE201" i="33"/>
  <c r="Z201" i="33"/>
  <c r="AB201" i="33"/>
  <c r="AD201" i="33"/>
  <c r="AD265" i="33" s="1"/>
  <c r="V201" i="33"/>
  <c r="M201" i="33"/>
  <c r="T201" i="33"/>
  <c r="T265" i="33" s="1"/>
  <c r="L201" i="33"/>
  <c r="Q201" i="33"/>
  <c r="Q265" i="33" s="1"/>
  <c r="R201" i="33"/>
  <c r="R265" i="33" s="1"/>
  <c r="S201" i="33"/>
  <c r="S265" i="33" s="1"/>
  <c r="W201" i="33"/>
  <c r="W265" i="33" s="1"/>
  <c r="I436" i="33"/>
  <c r="AA462" i="33"/>
  <c r="I445" i="33"/>
  <c r="Y463" i="33"/>
  <c r="E101" i="15"/>
  <c r="W243" i="33"/>
  <c r="AA262" i="33"/>
  <c r="W262" i="33"/>
  <c r="X262" i="33"/>
  <c r="M262" i="33"/>
  <c r="AC262" i="33"/>
  <c r="V262" i="33"/>
  <c r="U288" i="15"/>
  <c r="U289" i="15" s="1"/>
  <c r="Y191" i="33"/>
  <c r="T191" i="33"/>
  <c r="AA191" i="33"/>
  <c r="W191" i="33"/>
  <c r="X191" i="33"/>
  <c r="R191" i="33"/>
  <c r="AE112" i="33"/>
  <c r="I112" i="33"/>
  <c r="Y112" i="33"/>
  <c r="O262" i="33"/>
  <c r="L262" i="33"/>
  <c r="AB262" i="33"/>
  <c r="Q262" i="33"/>
  <c r="J262" i="33"/>
  <c r="Z262" i="33"/>
  <c r="W250" i="33"/>
  <c r="I191" i="33"/>
  <c r="K191" i="33"/>
  <c r="AF191" i="33"/>
  <c r="AB191" i="33"/>
  <c r="AC191" i="33"/>
  <c r="V191" i="33"/>
  <c r="AB112" i="33"/>
  <c r="AE400" i="33"/>
  <c r="AE24" i="31" s="1"/>
  <c r="AE262" i="33"/>
  <c r="P262" i="33"/>
  <c r="AF262" i="33"/>
  <c r="AF248" i="33" s="1"/>
  <c r="U262" i="33"/>
  <c r="N262" i="33"/>
  <c r="AB78" i="15"/>
  <c r="AF172" i="33"/>
  <c r="Y16" i="33"/>
  <c r="T10" i="26" s="1"/>
  <c r="AE191" i="33"/>
  <c r="AE177" i="33" s="1"/>
  <c r="P191" i="33"/>
  <c r="L191" i="33"/>
  <c r="M191" i="33"/>
  <c r="J191" i="33"/>
  <c r="X112" i="33"/>
  <c r="Q112" i="33"/>
  <c r="J112" i="33"/>
  <c r="S78" i="15"/>
  <c r="AE288" i="15"/>
  <c r="AE289" i="15" s="1"/>
  <c r="O288" i="15"/>
  <c r="O289" i="15" s="1"/>
  <c r="I288" i="15"/>
  <c r="I289" i="15" s="1"/>
  <c r="R288" i="15"/>
  <c r="R289" i="15" s="1"/>
  <c r="J288" i="15"/>
  <c r="J289" i="15" s="1"/>
  <c r="Q288" i="15"/>
  <c r="Q289" i="15" s="1"/>
  <c r="X400" i="33"/>
  <c r="AB288" i="15"/>
  <c r="AB289" i="15" s="1"/>
  <c r="AA288" i="15"/>
  <c r="AA289" i="15" s="1"/>
  <c r="K288" i="15"/>
  <c r="K289" i="15" s="1"/>
  <c r="AD288" i="15"/>
  <c r="AD289" i="15" s="1"/>
  <c r="N288" i="15"/>
  <c r="N289" i="15" s="1"/>
  <c r="AC288" i="15"/>
  <c r="AC289" i="15" s="1"/>
  <c r="M288" i="15"/>
  <c r="M289" i="15" s="1"/>
  <c r="L288" i="15"/>
  <c r="L289" i="15" s="1"/>
  <c r="W288" i="15"/>
  <c r="W289" i="15" s="1"/>
  <c r="X288" i="15"/>
  <c r="X289" i="15" s="1"/>
  <c r="Z288" i="15"/>
  <c r="Z289" i="15" s="1"/>
  <c r="AF288" i="15"/>
  <c r="Y288" i="15"/>
  <c r="Y289" i="15" s="1"/>
  <c r="S288" i="15"/>
  <c r="S289" i="15" s="1"/>
  <c r="P288" i="15"/>
  <c r="P289" i="15" s="1"/>
  <c r="V288" i="15"/>
  <c r="V289" i="15" s="1"/>
  <c r="T288" i="15"/>
  <c r="T289" i="15" s="1"/>
  <c r="AD239" i="33"/>
  <c r="Z16" i="33"/>
  <c r="U10" i="26" s="1"/>
  <c r="J18" i="33"/>
  <c r="E12" i="26" s="1"/>
  <c r="Q28" i="31"/>
  <c r="Q16" i="33"/>
  <c r="L10" i="26" s="1"/>
  <c r="R28" i="31"/>
  <c r="L30" i="31"/>
  <c r="R78" i="15"/>
  <c r="K10" i="31"/>
  <c r="K138" i="15"/>
  <c r="AJ46" i="33"/>
  <c r="T16" i="33"/>
  <c r="O10" i="26" s="1"/>
  <c r="P27" i="26"/>
  <c r="N20" i="33"/>
  <c r="I14" i="26" s="1"/>
  <c r="K22" i="33"/>
  <c r="F16" i="26" s="1"/>
  <c r="N10" i="31"/>
  <c r="N267" i="33"/>
  <c r="AJ37" i="33"/>
  <c r="N377" i="33"/>
  <c r="L10" i="31"/>
  <c r="M21" i="31"/>
  <c r="M25" i="31"/>
  <c r="J22" i="33"/>
  <c r="E16" i="26" s="1"/>
  <c r="M27" i="31"/>
  <c r="K46" i="33"/>
  <c r="F40" i="26" s="1"/>
  <c r="K18" i="33"/>
  <c r="F12" i="26" s="1"/>
  <c r="K404" i="33"/>
  <c r="K163" i="33"/>
  <c r="K233" i="33"/>
  <c r="P30" i="26"/>
  <c r="L21" i="31"/>
  <c r="M23" i="33"/>
  <c r="H17" i="26" s="1"/>
  <c r="K26" i="31"/>
  <c r="T84" i="15"/>
  <c r="S28" i="31"/>
  <c r="L29" i="31"/>
  <c r="M233" i="33"/>
  <c r="M20" i="31"/>
  <c r="S16" i="33"/>
  <c r="N10" i="26" s="1"/>
  <c r="K95" i="33"/>
  <c r="N14" i="33"/>
  <c r="I8" i="26" s="1"/>
  <c r="P23" i="26"/>
  <c r="N46" i="33"/>
  <c r="I40" i="26" s="1"/>
  <c r="K13" i="33"/>
  <c r="F7" i="26" s="1"/>
  <c r="AJ27" i="33"/>
  <c r="K22" i="31"/>
  <c r="AJ34" i="33"/>
  <c r="K162" i="33"/>
  <c r="AA101" i="33"/>
  <c r="W238" i="33"/>
  <c r="AC16" i="33"/>
  <c r="X10" i="26" s="1"/>
  <c r="K76" i="15"/>
  <c r="K84" i="15" s="1"/>
  <c r="W78" i="15"/>
  <c r="L439" i="33"/>
  <c r="R186" i="15"/>
  <c r="N186" i="15"/>
  <c r="K26" i="33"/>
  <c r="F20" i="26" s="1"/>
  <c r="AE106" i="33"/>
  <c r="T238" i="33"/>
  <c r="AC84" i="15"/>
  <c r="L163" i="33"/>
  <c r="AB16" i="33"/>
  <c r="W10" i="26" s="1"/>
  <c r="AC7" i="26"/>
  <c r="L446" i="33"/>
  <c r="L382" i="33" s="1"/>
  <c r="E244" i="15"/>
  <c r="E248" i="15" s="1"/>
  <c r="AC21" i="33"/>
  <c r="X15" i="26" s="1"/>
  <c r="S106" i="33"/>
  <c r="W106" i="33"/>
  <c r="L442" i="33"/>
  <c r="Y78" i="15"/>
  <c r="AJ32" i="33"/>
  <c r="AC173" i="33"/>
  <c r="L437" i="33"/>
  <c r="I30" i="31"/>
  <c r="AE243" i="33"/>
  <c r="P186" i="15"/>
  <c r="I106" i="33"/>
  <c r="Y106" i="33"/>
  <c r="R106" i="33"/>
  <c r="K106" i="33"/>
  <c r="V239" i="33"/>
  <c r="AE238" i="33"/>
  <c r="P23" i="31"/>
  <c r="Q84" i="15"/>
  <c r="V172" i="33"/>
  <c r="M76" i="15"/>
  <c r="M78" i="15" s="1"/>
  <c r="M80" i="15" s="1"/>
  <c r="AC78" i="15"/>
  <c r="K25" i="31"/>
  <c r="K268" i="33"/>
  <c r="I162" i="33"/>
  <c r="K8" i="31"/>
  <c r="N163" i="33"/>
  <c r="AE167" i="33"/>
  <c r="X167" i="33"/>
  <c r="X243" i="33"/>
  <c r="K11" i="31"/>
  <c r="M186" i="15"/>
  <c r="I186" i="15"/>
  <c r="F48" i="22"/>
  <c r="L445" i="33"/>
  <c r="K30" i="31"/>
  <c r="AB24" i="31"/>
  <c r="I22" i="31"/>
  <c r="I8" i="31"/>
  <c r="N162" i="33"/>
  <c r="V16" i="33"/>
  <c r="Q10" i="26" s="1"/>
  <c r="T186" i="15"/>
  <c r="AE21" i="33"/>
  <c r="Z15" i="26" s="1"/>
  <c r="K29" i="31"/>
  <c r="AE16" i="33"/>
  <c r="Z10" i="26" s="1"/>
  <c r="AC167" i="33"/>
  <c r="U243" i="33"/>
  <c r="AD243" i="33"/>
  <c r="J8" i="31"/>
  <c r="S186" i="15"/>
  <c r="S339" i="33" s="1"/>
  <c r="K186" i="15"/>
  <c r="O186" i="15"/>
  <c r="J186" i="15"/>
  <c r="Q186" i="15"/>
  <c r="L186" i="15"/>
  <c r="L243" i="33"/>
  <c r="J9" i="31"/>
  <c r="O23" i="31"/>
  <c r="I25" i="31"/>
  <c r="I9" i="31"/>
  <c r="J27" i="31"/>
  <c r="K21" i="31"/>
  <c r="I23" i="33"/>
  <c r="D17" i="26" s="1"/>
  <c r="J22" i="31"/>
  <c r="L162" i="33"/>
  <c r="J25" i="31"/>
  <c r="K9" i="31"/>
  <c r="K96" i="33"/>
  <c r="J10" i="31"/>
  <c r="J30" i="31"/>
  <c r="J29" i="31"/>
  <c r="K23" i="33"/>
  <c r="F17" i="26" s="1"/>
  <c r="K20" i="31"/>
  <c r="K27" i="31"/>
  <c r="AJ31" i="33"/>
  <c r="AJ259" i="15"/>
  <c r="AJ28" i="33"/>
  <c r="K20" i="33"/>
  <c r="F14" i="26" s="1"/>
  <c r="K234" i="33"/>
  <c r="O238" i="33"/>
  <c r="AA467" i="33"/>
  <c r="K377" i="33"/>
  <c r="AH182" i="33"/>
  <c r="K267" i="33"/>
  <c r="AH181" i="33"/>
  <c r="N96" i="33"/>
  <c r="P238" i="33"/>
  <c r="S172" i="33"/>
  <c r="T106" i="33"/>
  <c r="AH235" i="33"/>
  <c r="N234" i="33"/>
  <c r="N268" i="33"/>
  <c r="N76" i="15"/>
  <c r="N78" i="15" s="1"/>
  <c r="N80" i="15" s="1"/>
  <c r="L233" i="33"/>
  <c r="AH183" i="33"/>
  <c r="N404" i="33"/>
  <c r="I10" i="31"/>
  <c r="AJ35" i="33"/>
  <c r="L234" i="33"/>
  <c r="J11" i="31"/>
  <c r="J78" i="15"/>
  <c r="O167" i="33"/>
  <c r="F36" i="17"/>
  <c r="J20" i="31"/>
  <c r="P28" i="31"/>
  <c r="N233" i="33"/>
  <c r="AH474" i="33"/>
  <c r="O28" i="31"/>
  <c r="J21" i="31"/>
  <c r="J23" i="33"/>
  <c r="E17" i="26" s="1"/>
  <c r="AA167" i="33"/>
  <c r="F58" i="22"/>
  <c r="E262" i="15"/>
  <c r="F61" i="22"/>
  <c r="E226" i="15"/>
  <c r="J458" i="33"/>
  <c r="F50" i="22"/>
  <c r="M463" i="33"/>
  <c r="F32" i="22"/>
  <c r="E85" i="15"/>
  <c r="F57" i="22"/>
  <c r="E232" i="15"/>
  <c r="E236" i="15" s="1"/>
  <c r="F33" i="22"/>
  <c r="K238" i="33"/>
  <c r="AA243" i="33"/>
  <c r="E193" i="15"/>
  <c r="F56" i="22"/>
  <c r="J451" i="33"/>
  <c r="F34" i="22"/>
  <c r="E222" i="15"/>
  <c r="AA106" i="33"/>
  <c r="R172" i="33"/>
  <c r="Y167" i="33"/>
  <c r="AJ233" i="33"/>
  <c r="R16" i="33"/>
  <c r="M10" i="26" s="1"/>
  <c r="K243" i="33"/>
  <c r="Y154" i="33"/>
  <c r="Y370" i="33" s="1"/>
  <c r="M456" i="33"/>
  <c r="AB462" i="33"/>
  <c r="N462" i="33"/>
  <c r="N455" i="33"/>
  <c r="Z462" i="33"/>
  <c r="AD455" i="33"/>
  <c r="M105" i="33"/>
  <c r="AC106" i="33"/>
  <c r="V106" i="33"/>
  <c r="AF173" i="33"/>
  <c r="Z167" i="33"/>
  <c r="AH473" i="33"/>
  <c r="AB244" i="33"/>
  <c r="Z243" i="33"/>
  <c r="AD172" i="33"/>
  <c r="Z239" i="33"/>
  <c r="M14" i="33"/>
  <c r="H8" i="26" s="1"/>
  <c r="Z315" i="33"/>
  <c r="Z371" i="33" s="1"/>
  <c r="Q462" i="33"/>
  <c r="T429" i="33"/>
  <c r="T461" i="33" s="1"/>
  <c r="T227" i="15" s="1"/>
  <c r="T228" i="15" s="1"/>
  <c r="T464" i="33" s="1"/>
  <c r="R462" i="33"/>
  <c r="R455" i="33"/>
  <c r="AD462" i="33"/>
  <c r="P462" i="33"/>
  <c r="I163" i="33"/>
  <c r="M163" i="33"/>
  <c r="AJ117" i="33"/>
  <c r="V84" i="15"/>
  <c r="O173" i="33"/>
  <c r="Y173" i="33"/>
  <c r="P243" i="33"/>
  <c r="L267" i="33"/>
  <c r="S428" i="33"/>
  <c r="R428" i="33" s="1"/>
  <c r="Q455" i="33"/>
  <c r="AC462" i="33"/>
  <c r="AC455" i="33"/>
  <c r="O455" i="33"/>
  <c r="AF167" i="33"/>
  <c r="X106" i="33"/>
  <c r="AH114" i="33"/>
  <c r="V78" i="15"/>
  <c r="AF101" i="33"/>
  <c r="Z173" i="33"/>
  <c r="AC13" i="26"/>
  <c r="AD106" i="33"/>
  <c r="X238" i="33"/>
  <c r="AD101" i="33"/>
  <c r="W101" i="33"/>
  <c r="U101" i="33"/>
  <c r="W16" i="33"/>
  <c r="R10" i="26" s="1"/>
  <c r="M162" i="33"/>
  <c r="W267" i="33"/>
  <c r="M268" i="33"/>
  <c r="AB173" i="33"/>
  <c r="AH165" i="33"/>
  <c r="M95" i="33"/>
  <c r="AB23" i="26"/>
  <c r="U168" i="33"/>
  <c r="AE168" i="33"/>
  <c r="V275" i="15"/>
  <c r="AL76" i="15"/>
  <c r="AC10" i="26" s="1"/>
  <c r="Q101" i="33"/>
  <c r="AE173" i="33"/>
  <c r="V173" i="33"/>
  <c r="S167" i="33"/>
  <c r="AH30" i="33"/>
  <c r="AH33" i="33"/>
  <c r="Y168" i="33"/>
  <c r="U16" i="33"/>
  <c r="P10" i="26" s="1"/>
  <c r="AF106" i="33"/>
  <c r="Z106" i="33"/>
  <c r="AB101" i="33"/>
  <c r="AA173" i="33"/>
  <c r="AD167" i="33"/>
  <c r="W167" i="33"/>
  <c r="P167" i="33"/>
  <c r="X168" i="33"/>
  <c r="O243" i="33"/>
  <c r="W172" i="33"/>
  <c r="X172" i="33"/>
  <c r="AA238" i="33"/>
  <c r="Z101" i="33"/>
  <c r="F27" i="17"/>
  <c r="R167" i="33"/>
  <c r="AH36" i="33"/>
  <c r="AC467" i="33"/>
  <c r="Z168" i="33"/>
  <c r="AA168" i="33"/>
  <c r="Q172" i="33"/>
  <c r="AJ164" i="33"/>
  <c r="W168" i="33"/>
  <c r="Y172" i="33"/>
  <c r="O172" i="33"/>
  <c r="AC172" i="33"/>
  <c r="AB106" i="33"/>
  <c r="AD78" i="15"/>
  <c r="Y101" i="33"/>
  <c r="X173" i="33"/>
  <c r="P101" i="33"/>
  <c r="AH35" i="33"/>
  <c r="AH28" i="33"/>
  <c r="I14" i="33"/>
  <c r="D8" i="26" s="1"/>
  <c r="AB243" i="33"/>
  <c r="Q243" i="33"/>
  <c r="J244" i="33"/>
  <c r="Z244" i="33"/>
  <c r="AC168" i="33"/>
  <c r="AF168" i="33"/>
  <c r="AB172" i="33"/>
  <c r="O106" i="33"/>
  <c r="AB238" i="33"/>
  <c r="AJ198" i="15"/>
  <c r="H43" i="22" s="1"/>
  <c r="K173" i="33"/>
  <c r="M173" i="33"/>
  <c r="W173" i="33"/>
  <c r="AD173" i="33"/>
  <c r="J167" i="33"/>
  <c r="K459" i="33"/>
  <c r="AJ234" i="33"/>
  <c r="V167" i="33"/>
  <c r="AD168" i="33"/>
  <c r="AB167" i="33"/>
  <c r="AH98" i="33"/>
  <c r="I101" i="33"/>
  <c r="AJ287" i="15"/>
  <c r="X244" i="33"/>
  <c r="I243" i="33"/>
  <c r="Y243" i="33"/>
  <c r="AF244" i="33"/>
  <c r="AC244" i="33"/>
  <c r="V243" i="33"/>
  <c r="T244" i="33"/>
  <c r="S243" i="33"/>
  <c r="AD238" i="33"/>
  <c r="W239" i="33"/>
  <c r="L11" i="17"/>
  <c r="AC9" i="26"/>
  <c r="J10" i="22"/>
  <c r="J26" i="22" s="1"/>
  <c r="M172" i="33"/>
  <c r="R101" i="33"/>
  <c r="M167" i="33"/>
  <c r="AH32" i="33"/>
  <c r="T275" i="15"/>
  <c r="K275" i="15"/>
  <c r="N243" i="33"/>
  <c r="L172" i="33"/>
  <c r="N172" i="33"/>
  <c r="J172" i="33"/>
  <c r="L14" i="33"/>
  <c r="G8" i="26" s="1"/>
  <c r="M267" i="33"/>
  <c r="AA455" i="33"/>
  <c r="O168" i="33"/>
  <c r="P106" i="33"/>
  <c r="N167" i="33"/>
  <c r="AH29" i="33"/>
  <c r="AH37" i="33"/>
  <c r="M275" i="15"/>
  <c r="O275" i="15"/>
  <c r="T243" i="33"/>
  <c r="R244" i="33"/>
  <c r="AB468" i="33"/>
  <c r="L96" i="33"/>
  <c r="I100" i="33"/>
  <c r="K101" i="33"/>
  <c r="T101" i="33"/>
  <c r="S154" i="15"/>
  <c r="N101" i="33"/>
  <c r="AJ103" i="15"/>
  <c r="AB14" i="26" s="1"/>
  <c r="P275" i="15"/>
  <c r="AC275" i="15"/>
  <c r="AE275" i="15"/>
  <c r="Q154" i="15"/>
  <c r="O154" i="15"/>
  <c r="I167" i="33"/>
  <c r="M46" i="33"/>
  <c r="H40" i="26" s="1"/>
  <c r="AH169" i="33"/>
  <c r="P154" i="15"/>
  <c r="K168" i="33"/>
  <c r="T168" i="33"/>
  <c r="L95" i="33"/>
  <c r="K172" i="33"/>
  <c r="Q106" i="33"/>
  <c r="J106" i="33"/>
  <c r="R154" i="15"/>
  <c r="J239" i="33"/>
  <c r="S238" i="33"/>
  <c r="S101" i="33"/>
  <c r="L101" i="33"/>
  <c r="J243" i="33"/>
  <c r="Q173" i="33"/>
  <c r="J173" i="33"/>
  <c r="K167" i="33"/>
  <c r="N168" i="33"/>
  <c r="M168" i="33"/>
  <c r="T239" i="33"/>
  <c r="N238" i="33"/>
  <c r="AC374" i="33"/>
  <c r="AC373" i="33"/>
  <c r="L106" i="33"/>
  <c r="N106" i="33"/>
  <c r="T154" i="15"/>
  <c r="O84" i="15"/>
  <c r="L173" i="33"/>
  <c r="N173" i="33"/>
  <c r="AD467" i="33"/>
  <c r="J101" i="33"/>
  <c r="S168" i="33"/>
  <c r="L167" i="33"/>
  <c r="Q168" i="33"/>
  <c r="M244" i="33"/>
  <c r="T172" i="33"/>
  <c r="L268" i="33"/>
  <c r="Q102" i="33"/>
  <c r="R239" i="33"/>
  <c r="AH115" i="33"/>
  <c r="L244" i="33"/>
  <c r="AH108" i="33"/>
  <c r="P173" i="33"/>
  <c r="T167" i="33"/>
  <c r="J168" i="33"/>
  <c r="R168" i="33"/>
  <c r="P168" i="33"/>
  <c r="M101" i="33"/>
  <c r="Y456" i="33"/>
  <c r="AJ174" i="33"/>
  <c r="AF17" i="33"/>
  <c r="AA11" i="26" s="1"/>
  <c r="AH107" i="33"/>
  <c r="J368" i="33"/>
  <c r="J369" i="33"/>
  <c r="AJ240" i="33"/>
  <c r="I209" i="15"/>
  <c r="I99" i="15"/>
  <c r="I18" i="33"/>
  <c r="S173" i="33"/>
  <c r="AB25" i="26"/>
  <c r="F30" i="17"/>
  <c r="AJ98" i="15"/>
  <c r="AB30" i="26"/>
  <c r="F35" i="17"/>
  <c r="L99" i="15"/>
  <c r="L18" i="33"/>
  <c r="G12" i="26" s="1"/>
  <c r="Z102" i="33"/>
  <c r="S102" i="33"/>
  <c r="L102" i="33"/>
  <c r="AB102" i="33"/>
  <c r="AJ163" i="33"/>
  <c r="P172" i="33"/>
  <c r="Z172" i="33"/>
  <c r="H59" i="15"/>
  <c r="H60" i="15" s="1"/>
  <c r="I83" i="15"/>
  <c r="AJ59" i="15"/>
  <c r="I76" i="15"/>
  <c r="L83" i="15"/>
  <c r="L76" i="15"/>
  <c r="L78" i="15" s="1"/>
  <c r="L80" i="15" s="1"/>
  <c r="V101" i="33"/>
  <c r="O101" i="33"/>
  <c r="AE101" i="33"/>
  <c r="X101" i="33"/>
  <c r="AC101" i="33"/>
  <c r="AJ273" i="15"/>
  <c r="F34" i="17"/>
  <c r="AB29" i="26"/>
  <c r="J85" i="17"/>
  <c r="AB26" i="26"/>
  <c r="F31" i="17"/>
  <c r="P104" i="15"/>
  <c r="P379" i="33"/>
  <c r="P19" i="33"/>
  <c r="K13" i="26" s="1"/>
  <c r="AH103" i="33"/>
  <c r="S104" i="15"/>
  <c r="S379" i="33"/>
  <c r="S19" i="33"/>
  <c r="N13" i="26" s="1"/>
  <c r="L105" i="33"/>
  <c r="AH117" i="33"/>
  <c r="M96" i="33"/>
  <c r="M106" i="33"/>
  <c r="O379" i="33"/>
  <c r="O104" i="15"/>
  <c r="P7" i="26"/>
  <c r="AJ13" i="33"/>
  <c r="AB27" i="26"/>
  <c r="F32" i="17"/>
  <c r="H42" i="22"/>
  <c r="AH27" i="33"/>
  <c r="AH34" i="33"/>
  <c r="AH222" i="33"/>
  <c r="H134" i="15"/>
  <c r="H157" i="15" s="1"/>
  <c r="AJ134" i="15"/>
  <c r="I402" i="33"/>
  <c r="I26" i="31" s="1"/>
  <c r="AJ111" i="15"/>
  <c r="H44" i="22" s="1"/>
  <c r="AF275" i="15"/>
  <c r="X275" i="15"/>
  <c r="Q275" i="15"/>
  <c r="J275" i="15"/>
  <c r="Z275" i="15"/>
  <c r="S275" i="15"/>
  <c r="I138" i="15"/>
  <c r="AJ96" i="33"/>
  <c r="AH245" i="33"/>
  <c r="V244" i="33"/>
  <c r="AJ241" i="33"/>
  <c r="AJ184" i="33"/>
  <c r="Q244" i="33"/>
  <c r="K244" i="33"/>
  <c r="AA244" i="33"/>
  <c r="AH121" i="33"/>
  <c r="AB239" i="33"/>
  <c r="I239" i="33"/>
  <c r="I238" i="33"/>
  <c r="Y239" i="33"/>
  <c r="Y238" i="33"/>
  <c r="R238" i="33"/>
  <c r="K239" i="33"/>
  <c r="AA239" i="33"/>
  <c r="L168" i="33"/>
  <c r="AB168" i="33"/>
  <c r="L46" i="33"/>
  <c r="G40" i="26" s="1"/>
  <c r="L377" i="33"/>
  <c r="L399" i="33"/>
  <c r="L20" i="33"/>
  <c r="G14" i="26" s="1"/>
  <c r="L138" i="15"/>
  <c r="M234" i="33"/>
  <c r="AJ170" i="33"/>
  <c r="AJ103" i="33"/>
  <c r="AB378" i="33"/>
  <c r="AB21" i="33"/>
  <c r="W15" i="26" s="1"/>
  <c r="AH187" i="33"/>
  <c r="H58" i="15"/>
  <c r="H57" i="15"/>
  <c r="AH118" i="33"/>
  <c r="AH24" i="33"/>
  <c r="H172" i="15"/>
  <c r="AJ172" i="15"/>
  <c r="I404" i="33"/>
  <c r="I22" i="33"/>
  <c r="AJ105" i="15"/>
  <c r="AJ268" i="33"/>
  <c r="T173" i="33"/>
  <c r="I173" i="33"/>
  <c r="W244" i="33"/>
  <c r="AH116" i="33"/>
  <c r="AJ121" i="33"/>
  <c r="L239" i="33"/>
  <c r="V168" i="33"/>
  <c r="M13" i="33"/>
  <c r="H7" i="26" s="1"/>
  <c r="M138" i="15"/>
  <c r="X378" i="33"/>
  <c r="X21" i="33"/>
  <c r="AL104" i="15"/>
  <c r="X108" i="15"/>
  <c r="AJ95" i="33"/>
  <c r="I95" i="33"/>
  <c r="AH175" i="33"/>
  <c r="AJ175" i="33"/>
  <c r="AJ120" i="33"/>
  <c r="AJ122" i="33"/>
  <c r="AB21" i="26"/>
  <c r="F26" i="17"/>
  <c r="AD373" i="33"/>
  <c r="AD374" i="33"/>
  <c r="AJ119" i="33"/>
  <c r="Z177" i="33"/>
  <c r="AJ222" i="33"/>
  <c r="AC243" i="33"/>
  <c r="M243" i="33"/>
  <c r="P244" i="33"/>
  <c r="M100" i="33"/>
  <c r="AF467" i="33"/>
  <c r="AF468" i="33"/>
  <c r="AH185" i="33"/>
  <c r="Q167" i="33"/>
  <c r="AJ106" i="15"/>
  <c r="AB28" i="26"/>
  <c r="F33" i="17"/>
  <c r="AJ19" i="33"/>
  <c r="AH31" i="33"/>
  <c r="I268" i="33"/>
  <c r="AH236" i="33"/>
  <c r="L460" i="33"/>
  <c r="M458" i="33"/>
  <c r="H33" i="15"/>
  <c r="H34" i="15" s="1"/>
  <c r="I13" i="33"/>
  <c r="AJ33" i="15"/>
  <c r="L275" i="15"/>
  <c r="U275" i="15"/>
  <c r="N275" i="15"/>
  <c r="AD275" i="15"/>
  <c r="W275" i="15"/>
  <c r="I234" i="33"/>
  <c r="U179" i="33"/>
  <c r="AH246" i="33"/>
  <c r="W245" i="33"/>
  <c r="AJ245" i="33" s="1"/>
  <c r="AH189" i="33"/>
  <c r="I174" i="33"/>
  <c r="AH174" i="33" s="1"/>
  <c r="R104" i="15"/>
  <c r="R379" i="33"/>
  <c r="R19" i="33"/>
  <c r="M13" i="26" s="1"/>
  <c r="AH241" i="33"/>
  <c r="AH184" i="33"/>
  <c r="U244" i="33"/>
  <c r="O244" i="33"/>
  <c r="AE244" i="33"/>
  <c r="AJ188" i="33"/>
  <c r="U107" i="33"/>
  <c r="AJ107" i="33" s="1"/>
  <c r="Z468" i="33"/>
  <c r="Z467" i="33"/>
  <c r="P239" i="33"/>
  <c r="M239" i="33"/>
  <c r="M238" i="33"/>
  <c r="AC239" i="33"/>
  <c r="AC238" i="33"/>
  <c r="V238" i="33"/>
  <c r="O239" i="33"/>
  <c r="AE239" i="33"/>
  <c r="AB24" i="26"/>
  <c r="F29" i="17"/>
  <c r="L13" i="33"/>
  <c r="G7" i="26" s="1"/>
  <c r="L404" i="33"/>
  <c r="L22" i="33"/>
  <c r="G16" i="26" s="1"/>
  <c r="U102" i="33"/>
  <c r="AH170" i="33"/>
  <c r="AH240" i="33"/>
  <c r="H32" i="15"/>
  <c r="H31" i="15"/>
  <c r="I267" i="33"/>
  <c r="AH164" i="33"/>
  <c r="P84" i="15"/>
  <c r="P16" i="33"/>
  <c r="K10" i="26" s="1"/>
  <c r="R173" i="33"/>
  <c r="I96" i="33"/>
  <c r="U239" i="33"/>
  <c r="U238" i="33"/>
  <c r="AA100" i="33"/>
  <c r="K100" i="33"/>
  <c r="O100" i="33"/>
  <c r="Z100" i="33"/>
  <c r="J100" i="33"/>
  <c r="Q100" i="33"/>
  <c r="AB100" i="33"/>
  <c r="AD100" i="33"/>
  <c r="U100" i="33"/>
  <c r="P100" i="33"/>
  <c r="AE100" i="33"/>
  <c r="V100" i="33"/>
  <c r="AC100" i="33"/>
  <c r="X100" i="33"/>
  <c r="W100" i="33"/>
  <c r="R100" i="33"/>
  <c r="Y100" i="33"/>
  <c r="T100" i="33"/>
  <c r="S100" i="33"/>
  <c r="N100" i="33"/>
  <c r="AF100" i="33"/>
  <c r="M377" i="33"/>
  <c r="M20" i="33"/>
  <c r="H14" i="26" s="1"/>
  <c r="M399" i="33"/>
  <c r="AH186" i="33"/>
  <c r="AJ221" i="33"/>
  <c r="I97" i="33"/>
  <c r="AH97" i="33" s="1"/>
  <c r="I172" i="33"/>
  <c r="AA172" i="33"/>
  <c r="AH120" i="33"/>
  <c r="AH122" i="33"/>
  <c r="L100" i="33"/>
  <c r="N239" i="33"/>
  <c r="AJ169" i="33"/>
  <c r="L238" i="33"/>
  <c r="Z214" i="15"/>
  <c r="AA400" i="33"/>
  <c r="AA24" i="31" s="1"/>
  <c r="AJ254" i="15"/>
  <c r="B33" i="15" s="1"/>
  <c r="AB373" i="33"/>
  <c r="AB374" i="33"/>
  <c r="AJ220" i="33"/>
  <c r="T104" i="15"/>
  <c r="U21" i="33" s="1"/>
  <c r="P15" i="26" s="1"/>
  <c r="T379" i="33"/>
  <c r="T19" i="33"/>
  <c r="O13" i="26" s="1"/>
  <c r="AH119" i="33"/>
  <c r="S327" i="33"/>
  <c r="S324" i="33"/>
  <c r="J104" i="15"/>
  <c r="J379" i="33"/>
  <c r="AJ204" i="33"/>
  <c r="R243" i="33"/>
  <c r="AJ108" i="33"/>
  <c r="AJ187" i="33"/>
  <c r="U106" i="33"/>
  <c r="AE468" i="33"/>
  <c r="AE467" i="33"/>
  <c r="AJ185" i="33"/>
  <c r="AJ118" i="33"/>
  <c r="U167" i="33"/>
  <c r="F22" i="17"/>
  <c r="AB18" i="26"/>
  <c r="AH220" i="33"/>
  <c r="K236" i="15"/>
  <c r="J236" i="15"/>
  <c r="I236" i="15"/>
  <c r="L236" i="15"/>
  <c r="I377" i="33"/>
  <c r="I399" i="33"/>
  <c r="I20" i="33"/>
  <c r="AH204" i="33"/>
  <c r="AH221" i="33"/>
  <c r="N459" i="33"/>
  <c r="I263" i="15"/>
  <c r="I215" i="15" s="1"/>
  <c r="H165" i="15"/>
  <c r="AJ165" i="15"/>
  <c r="I135" i="15"/>
  <c r="J26" i="33" s="1"/>
  <c r="E20" i="26" s="1"/>
  <c r="AJ241" i="15"/>
  <c r="AB275" i="15"/>
  <c r="Y275" i="15"/>
  <c r="R275" i="15"/>
  <c r="AA275" i="15"/>
  <c r="Q104" i="15"/>
  <c r="Q379" i="33"/>
  <c r="Q19" i="33"/>
  <c r="L13" i="26" s="1"/>
  <c r="AF84" i="15"/>
  <c r="AF16" i="33"/>
  <c r="AA10" i="26" s="1"/>
  <c r="AJ246" i="33"/>
  <c r="AJ189" i="33"/>
  <c r="AF243" i="33"/>
  <c r="N244" i="33"/>
  <c r="AD244" i="33"/>
  <c r="U173" i="33"/>
  <c r="I244" i="33"/>
  <c r="Y244" i="33"/>
  <c r="S244" i="33"/>
  <c r="AH188" i="33"/>
  <c r="AD105" i="33"/>
  <c r="N105" i="33"/>
  <c r="U105" i="33"/>
  <c r="AF105" i="33"/>
  <c r="P105" i="33"/>
  <c r="R105" i="33"/>
  <c r="Y105" i="33"/>
  <c r="I105" i="33"/>
  <c r="T105" i="33"/>
  <c r="AE105" i="33"/>
  <c r="Z105" i="33"/>
  <c r="J105" i="33"/>
  <c r="Q105" i="33"/>
  <c r="AB105" i="33"/>
  <c r="O105" i="33"/>
  <c r="W105" i="33"/>
  <c r="V105" i="33"/>
  <c r="AC105" i="33"/>
  <c r="X105" i="33"/>
  <c r="K105" i="33"/>
  <c r="S105" i="33"/>
  <c r="AA105" i="33"/>
  <c r="AF278" i="33"/>
  <c r="K379" i="33"/>
  <c r="K104" i="15"/>
  <c r="K108" i="15" s="1"/>
  <c r="X239" i="33"/>
  <c r="AF239" i="33"/>
  <c r="Q239" i="33"/>
  <c r="Q238" i="33"/>
  <c r="J238" i="33"/>
  <c r="Z238" i="33"/>
  <c r="S239" i="33"/>
  <c r="I168" i="33"/>
  <c r="AD273" i="33"/>
  <c r="AD320" i="33" s="1"/>
  <c r="I102" i="33"/>
  <c r="M213" i="33"/>
  <c r="M404" i="33"/>
  <c r="M22" i="33"/>
  <c r="H16" i="26" s="1"/>
  <c r="M99" i="15"/>
  <c r="M18" i="33"/>
  <c r="H12" i="26" s="1"/>
  <c r="AJ162" i="33"/>
  <c r="AD84" i="15"/>
  <c r="AD16" i="33"/>
  <c r="Y10" i="26" s="1"/>
  <c r="AF378" i="33"/>
  <c r="AF214" i="15" s="1"/>
  <c r="AL214" i="15" s="1"/>
  <c r="J57" i="22" s="1"/>
  <c r="AF21" i="33"/>
  <c r="AA15" i="26" s="1"/>
  <c r="AF108" i="15"/>
  <c r="V25" i="33" s="1"/>
  <c r="Q19" i="26" s="1"/>
  <c r="AJ186" i="33"/>
  <c r="AB108" i="15"/>
  <c r="E309" i="15" l="1"/>
  <c r="E312" i="15" s="1"/>
  <c r="E294" i="15"/>
  <c r="E305" i="15" s="1"/>
  <c r="R460" i="33"/>
  <c r="Q457" i="33"/>
  <c r="U460" i="33"/>
  <c r="Q450" i="33"/>
  <c r="U453" i="33"/>
  <c r="S451" i="33"/>
  <c r="S454" i="33" s="1"/>
  <c r="S223" i="15" s="1"/>
  <c r="S224" i="15" s="1"/>
  <c r="S465" i="33" s="1"/>
  <c r="AL288" i="15"/>
  <c r="AF289" i="15"/>
  <c r="P339" i="33"/>
  <c r="P210" i="15" s="1"/>
  <c r="L339" i="33"/>
  <c r="L210" i="15" s="1"/>
  <c r="U79" i="15"/>
  <c r="M15" i="33"/>
  <c r="H9" i="26" s="1"/>
  <c r="M339" i="33"/>
  <c r="M210" i="15" s="1"/>
  <c r="Q339" i="33"/>
  <c r="Q210" i="15" s="1"/>
  <c r="W186" i="15"/>
  <c r="W339" i="33" s="1"/>
  <c r="W210" i="15" s="1"/>
  <c r="T339" i="33"/>
  <c r="T210" i="15" s="1"/>
  <c r="R339" i="33"/>
  <c r="R210" i="15" s="1"/>
  <c r="K339" i="33"/>
  <c r="K210" i="15" s="1"/>
  <c r="N339" i="33"/>
  <c r="N210" i="15" s="1"/>
  <c r="J339" i="33"/>
  <c r="J210" i="15" s="1"/>
  <c r="I339" i="33"/>
  <c r="I210" i="15" s="1"/>
  <c r="O339" i="33"/>
  <c r="O210" i="15" s="1"/>
  <c r="M236" i="15"/>
  <c r="AE236" i="15"/>
  <c r="AB25" i="33"/>
  <c r="W19" i="26" s="1"/>
  <c r="K19" i="33"/>
  <c r="F13" i="26" s="1"/>
  <c r="P451" i="33"/>
  <c r="P454" i="33" s="1"/>
  <c r="P223" i="15" s="1"/>
  <c r="P224" i="15" s="1"/>
  <c r="P465" i="33" s="1"/>
  <c r="R453" i="33"/>
  <c r="Q452" i="33"/>
  <c r="T452" i="33"/>
  <c r="AF236" i="15"/>
  <c r="Q236" i="15"/>
  <c r="Q459" i="33"/>
  <c r="Z236" i="15"/>
  <c r="S236" i="15"/>
  <c r="M154" i="15"/>
  <c r="L15" i="33"/>
  <c r="G9" i="26" s="1"/>
  <c r="K154" i="15"/>
  <c r="J15" i="33"/>
  <c r="E9" i="26" s="1"/>
  <c r="L154" i="15"/>
  <c r="K15" i="33"/>
  <c r="F9" i="26" s="1"/>
  <c r="Y177" i="33"/>
  <c r="AD236" i="15"/>
  <c r="W236" i="15"/>
  <c r="T236" i="15"/>
  <c r="Y236" i="15"/>
  <c r="R236" i="15"/>
  <c r="AA236" i="15"/>
  <c r="T459" i="33"/>
  <c r="P236" i="15"/>
  <c r="AB236" i="15"/>
  <c r="U236" i="15"/>
  <c r="O460" i="33"/>
  <c r="P458" i="33"/>
  <c r="P461" i="33" s="1"/>
  <c r="P227" i="15" s="1"/>
  <c r="P228" i="15" s="1"/>
  <c r="P464" i="33" s="1"/>
  <c r="S458" i="33"/>
  <c r="S461" i="33" s="1"/>
  <c r="S227" i="15" s="1"/>
  <c r="S228" i="15" s="1"/>
  <c r="S464" i="33" s="1"/>
  <c r="X236" i="15"/>
  <c r="AC236" i="15"/>
  <c r="V236" i="15"/>
  <c r="O236" i="15"/>
  <c r="AE25" i="33"/>
  <c r="Z19" i="26" s="1"/>
  <c r="W25" i="33"/>
  <c r="R19" i="26" s="1"/>
  <c r="Z25" i="33"/>
  <c r="U19" i="26" s="1"/>
  <c r="AA25" i="33"/>
  <c r="V19" i="26" s="1"/>
  <c r="T321" i="33"/>
  <c r="O16" i="33"/>
  <c r="J10" i="26" s="1"/>
  <c r="M23" i="31"/>
  <c r="R263" i="15"/>
  <c r="R215" i="15" s="1"/>
  <c r="I248" i="33"/>
  <c r="I264" i="33" s="1"/>
  <c r="AA79" i="15"/>
  <c r="J209" i="15"/>
  <c r="M177" i="33"/>
  <c r="K345" i="33"/>
  <c r="K209" i="15" s="1"/>
  <c r="T324" i="33"/>
  <c r="S177" i="33"/>
  <c r="AB177" i="33"/>
  <c r="O248" i="33"/>
  <c r="T454" i="33"/>
  <c r="T223" i="15" s="1"/>
  <c r="T224" i="15" s="1"/>
  <c r="T465" i="33" s="1"/>
  <c r="T466" i="33" s="1"/>
  <c r="P177" i="33"/>
  <c r="W177" i="33"/>
  <c r="R177" i="33"/>
  <c r="T177" i="33"/>
  <c r="P230" i="33"/>
  <c r="AH190" i="33"/>
  <c r="U427" i="33"/>
  <c r="U7" i="15" s="1"/>
  <c r="U8" i="33" s="1"/>
  <c r="V177" i="33"/>
  <c r="K177" i="33"/>
  <c r="Q177" i="33"/>
  <c r="O177" i="33"/>
  <c r="I178" i="33"/>
  <c r="AH113" i="33"/>
  <c r="AJ190" i="33"/>
  <c r="AJ113" i="33"/>
  <c r="R324" i="33"/>
  <c r="X177" i="33"/>
  <c r="K229" i="33"/>
  <c r="R327" i="33"/>
  <c r="AC177" i="33"/>
  <c r="N177" i="33"/>
  <c r="AA177" i="33"/>
  <c r="J178" i="33"/>
  <c r="U231" i="33"/>
  <c r="AE248" i="15"/>
  <c r="J248" i="15"/>
  <c r="Z229" i="33"/>
  <c r="V454" i="33"/>
  <c r="V223" i="15" s="1"/>
  <c r="V224" i="15" s="1"/>
  <c r="V465" i="33" s="1"/>
  <c r="I248" i="15"/>
  <c r="Y229" i="33"/>
  <c r="U461" i="33"/>
  <c r="U227" i="15" s="1"/>
  <c r="U228" i="15" s="1"/>
  <c r="U464" i="33" s="1"/>
  <c r="M461" i="33"/>
  <c r="M227" i="15" s="1"/>
  <c r="M228" i="15" s="1"/>
  <c r="M464" i="33" s="1"/>
  <c r="L229" i="33"/>
  <c r="M229" i="33"/>
  <c r="S229" i="33"/>
  <c r="AE229" i="33"/>
  <c r="AE248" i="33"/>
  <c r="Y178" i="33"/>
  <c r="Z200" i="33" s="1"/>
  <c r="Z393" i="33" s="1"/>
  <c r="X178" i="33"/>
  <c r="W454" i="33"/>
  <c r="W223" i="15" s="1"/>
  <c r="W224" i="15" s="1"/>
  <c r="W465" i="33" s="1"/>
  <c r="AD249" i="33"/>
  <c r="AB248" i="33"/>
  <c r="V249" i="33"/>
  <c r="L13" i="17"/>
  <c r="J14" i="17" s="1"/>
  <c r="V248" i="33"/>
  <c r="U178" i="33"/>
  <c r="J231" i="33"/>
  <c r="J218" i="33" s="1"/>
  <c r="J282" i="33" s="1"/>
  <c r="K231" i="33"/>
  <c r="K218" i="33" s="1"/>
  <c r="AD231" i="33"/>
  <c r="AD218" i="33" s="1"/>
  <c r="AD282" i="33" s="1"/>
  <c r="N231" i="33"/>
  <c r="N218" i="33" s="1"/>
  <c r="N282" i="33" s="1"/>
  <c r="AF231" i="33"/>
  <c r="AF218" i="33" s="1"/>
  <c r="AF282" i="33" s="1"/>
  <c r="U230" i="33"/>
  <c r="W219" i="33"/>
  <c r="W283" i="33" s="1"/>
  <c r="Y230" i="33"/>
  <c r="K219" i="33"/>
  <c r="K283" i="33" s="1"/>
  <c r="AE79" i="15"/>
  <c r="P219" i="33"/>
  <c r="P283" i="33" s="1"/>
  <c r="AE110" i="33"/>
  <c r="O19" i="33"/>
  <c r="J13" i="26" s="1"/>
  <c r="S263" i="15"/>
  <c r="S215" i="15" s="1"/>
  <c r="N28" i="31"/>
  <c r="J46" i="33"/>
  <c r="E40" i="26" s="1"/>
  <c r="N23" i="31"/>
  <c r="J26" i="31"/>
  <c r="AJ288" i="15"/>
  <c r="AJ175" i="15"/>
  <c r="P178" i="33"/>
  <c r="V324" i="33"/>
  <c r="J266" i="33"/>
  <c r="I23" i="31"/>
  <c r="O263" i="15"/>
  <c r="O215" i="15" s="1"/>
  <c r="I28" i="31"/>
  <c r="T263" i="15"/>
  <c r="AE263" i="15" s="1"/>
  <c r="AE215" i="15" s="1"/>
  <c r="Q178" i="33"/>
  <c r="S248" i="33"/>
  <c r="O178" i="33"/>
  <c r="K248" i="33"/>
  <c r="Q248" i="33"/>
  <c r="R249" i="33"/>
  <c r="I78" i="15"/>
  <c r="I80" i="15" s="1"/>
  <c r="H76" i="15"/>
  <c r="H77" i="15" s="1"/>
  <c r="Z248" i="15"/>
  <c r="V327" i="33"/>
  <c r="R110" i="33"/>
  <c r="P263" i="15"/>
  <c r="P215" i="15" s="1"/>
  <c r="Q263" i="15"/>
  <c r="Q215" i="15" s="1"/>
  <c r="K263" i="15"/>
  <c r="K215" i="15" s="1"/>
  <c r="M263" i="15"/>
  <c r="M215" i="15" s="1"/>
  <c r="N263" i="15"/>
  <c r="N215" i="15" s="1"/>
  <c r="N19" i="33"/>
  <c r="I13" i="26" s="1"/>
  <c r="L263" i="15"/>
  <c r="L215" i="15" s="1"/>
  <c r="J263" i="15"/>
  <c r="J215" i="15" s="1"/>
  <c r="O453" i="33"/>
  <c r="N452" i="33"/>
  <c r="S210" i="15"/>
  <c r="N249" i="33"/>
  <c r="S178" i="33"/>
  <c r="L178" i="33"/>
  <c r="P248" i="33"/>
  <c r="M28" i="31"/>
  <c r="AD110" i="33"/>
  <c r="AB110" i="33"/>
  <c r="J110" i="33"/>
  <c r="P249" i="33"/>
  <c r="M110" i="33"/>
  <c r="K249" i="33"/>
  <c r="T249" i="33"/>
  <c r="T248" i="33"/>
  <c r="U229" i="33"/>
  <c r="T229" i="33"/>
  <c r="R229" i="33"/>
  <c r="P229" i="33"/>
  <c r="N229" i="33"/>
  <c r="AD111" i="33"/>
  <c r="Z248" i="33"/>
  <c r="Y248" i="33"/>
  <c r="N104" i="15"/>
  <c r="N108" i="15" s="1"/>
  <c r="R111" i="33"/>
  <c r="O179" i="33"/>
  <c r="X249" i="33"/>
  <c r="W248" i="33"/>
  <c r="W264" i="33" s="1"/>
  <c r="W395" i="33" s="1"/>
  <c r="W229" i="33"/>
  <c r="W216" i="33" s="1"/>
  <c r="AF229" i="33"/>
  <c r="X229" i="33"/>
  <c r="AB229" i="33"/>
  <c r="AA229" i="33"/>
  <c r="Q229" i="33"/>
  <c r="I229" i="33"/>
  <c r="J229" i="33"/>
  <c r="V229" i="33"/>
  <c r="O229" i="33"/>
  <c r="AC229" i="33"/>
  <c r="N111" i="33"/>
  <c r="N178" i="33"/>
  <c r="Z231" i="33"/>
  <c r="Z218" i="33" s="1"/>
  <c r="Z282" i="33" s="1"/>
  <c r="Y231" i="33"/>
  <c r="Y218" i="33" s="1"/>
  <c r="AA231" i="33"/>
  <c r="AA218" i="33" s="1"/>
  <c r="AA282" i="33" s="1"/>
  <c r="X231" i="33"/>
  <c r="X218" i="33" s="1"/>
  <c r="X282" i="33" s="1"/>
  <c r="I231" i="33"/>
  <c r="I218" i="33" s="1"/>
  <c r="I282" i="33" s="1"/>
  <c r="V231" i="33"/>
  <c r="V218" i="33" s="1"/>
  <c r="V282" i="33" s="1"/>
  <c r="P231" i="33"/>
  <c r="K452" i="33"/>
  <c r="L111" i="33"/>
  <c r="AB178" i="33"/>
  <c r="AB231" i="33"/>
  <c r="AB218" i="33" s="1"/>
  <c r="AB282" i="33" s="1"/>
  <c r="O231" i="33"/>
  <c r="O218" i="33" s="1"/>
  <c r="W231" i="33"/>
  <c r="W218" i="33" s="1"/>
  <c r="W282" i="33" s="1"/>
  <c r="Q231" i="33"/>
  <c r="Q218" i="33" s="1"/>
  <c r="Q282" i="33" s="1"/>
  <c r="AC231" i="33"/>
  <c r="AC218" i="33" s="1"/>
  <c r="AC282" i="33" s="1"/>
  <c r="Z372" i="33"/>
  <c r="Z373" i="33" s="1"/>
  <c r="Q110" i="33"/>
  <c r="L231" i="33"/>
  <c r="L218" i="33" s="1"/>
  <c r="R231" i="33"/>
  <c r="R218" i="33" s="1"/>
  <c r="R282" i="33" s="1"/>
  <c r="S231" i="33"/>
  <c r="S218" i="33" s="1"/>
  <c r="S282" i="33" s="1"/>
  <c r="T231" i="33"/>
  <c r="T218" i="33" s="1"/>
  <c r="T282" i="33" s="1"/>
  <c r="M231" i="33"/>
  <c r="M218" i="33" s="1"/>
  <c r="M282" i="33" s="1"/>
  <c r="L110" i="33"/>
  <c r="I110" i="33"/>
  <c r="I136" i="33" s="1"/>
  <c r="Z249" i="33"/>
  <c r="AJ123" i="33"/>
  <c r="AE249" i="33"/>
  <c r="AF264" i="33" s="1"/>
  <c r="AF395" i="33" s="1"/>
  <c r="AF19" i="31" s="1"/>
  <c r="Y249" i="33"/>
  <c r="AA110" i="33"/>
  <c r="AA178" i="33"/>
  <c r="AB200" i="33" s="1"/>
  <c r="AB393" i="33" s="1"/>
  <c r="AF111" i="33"/>
  <c r="AD178" i="33"/>
  <c r="AE200" i="33" s="1"/>
  <c r="AE393" i="33" s="1"/>
  <c r="Y250" i="33"/>
  <c r="AJ250" i="33" s="1"/>
  <c r="N110" i="33"/>
  <c r="AB111" i="33"/>
  <c r="AC178" i="33"/>
  <c r="AD200" i="33" s="1"/>
  <c r="AD393" i="33" s="1"/>
  <c r="L249" i="33"/>
  <c r="J248" i="33"/>
  <c r="K111" i="33"/>
  <c r="W110" i="33"/>
  <c r="AB249" i="33"/>
  <c r="K178" i="33"/>
  <c r="I207" i="33"/>
  <c r="I271" i="33" s="1"/>
  <c r="Z110" i="33"/>
  <c r="AE111" i="33"/>
  <c r="U111" i="33"/>
  <c r="V110" i="33"/>
  <c r="AC249" i="33"/>
  <c r="Z283" i="33"/>
  <c r="J111" i="33"/>
  <c r="X110" i="33"/>
  <c r="T178" i="33"/>
  <c r="U200" i="33" s="1"/>
  <c r="J249" i="33"/>
  <c r="W111" i="33"/>
  <c r="Z111" i="33"/>
  <c r="K179" i="33"/>
  <c r="Z79" i="15"/>
  <c r="AD219" i="33"/>
  <c r="AD283" i="33" s="1"/>
  <c r="AC230" i="33"/>
  <c r="Y219" i="33"/>
  <c r="Y283" i="33" s="1"/>
  <c r="M230" i="33"/>
  <c r="X230" i="33"/>
  <c r="X216" i="33" s="1"/>
  <c r="AA219" i="33"/>
  <c r="AA283" i="33" s="1"/>
  <c r="V219" i="33"/>
  <c r="V283" i="33" s="1"/>
  <c r="L453" i="33"/>
  <c r="X454" i="33"/>
  <c r="X223" i="15" s="1"/>
  <c r="X224" i="15" s="1"/>
  <c r="X465" i="33" s="1"/>
  <c r="Y454" i="33"/>
  <c r="Y223" i="15" s="1"/>
  <c r="Y224" i="15" s="1"/>
  <c r="Y465" i="33" s="1"/>
  <c r="W461" i="33"/>
  <c r="W227" i="15" s="1"/>
  <c r="W228" i="15" s="1"/>
  <c r="W464" i="33" s="1"/>
  <c r="X461" i="33"/>
  <c r="X227" i="15" s="1"/>
  <c r="X228" i="15" s="1"/>
  <c r="X464" i="33" s="1"/>
  <c r="I177" i="33"/>
  <c r="I200" i="33" s="1"/>
  <c r="I249" i="33"/>
  <c r="L79" i="15"/>
  <c r="M451" i="33"/>
  <c r="M454" i="33" s="1"/>
  <c r="M223" i="15" s="1"/>
  <c r="M224" i="15" s="1"/>
  <c r="M465" i="33" s="1"/>
  <c r="AH192" i="33"/>
  <c r="S427" i="33"/>
  <c r="S7" i="15" s="1"/>
  <c r="BB7" i="15" s="1"/>
  <c r="Z178" i="33"/>
  <c r="AC248" i="33"/>
  <c r="AA249" i="33"/>
  <c r="AB264" i="33" s="1"/>
  <c r="AB395" i="33" s="1"/>
  <c r="L207" i="33"/>
  <c r="L271" i="33" s="1"/>
  <c r="N230" i="33"/>
  <c r="Q230" i="33"/>
  <c r="AB230" i="33"/>
  <c r="AA230" i="33"/>
  <c r="J219" i="33"/>
  <c r="J283" i="33" s="1"/>
  <c r="AE219" i="33"/>
  <c r="AE283" i="33" s="1"/>
  <c r="S219" i="33"/>
  <c r="S283" i="33" s="1"/>
  <c r="S323" i="33" s="1"/>
  <c r="I461" i="33"/>
  <c r="I227" i="15" s="1"/>
  <c r="I228" i="15" s="1"/>
  <c r="I464" i="33" s="1"/>
  <c r="I454" i="33"/>
  <c r="K461" i="33"/>
  <c r="K227" i="15" s="1"/>
  <c r="K228" i="15" s="1"/>
  <c r="K464" i="33" s="1"/>
  <c r="L461" i="33"/>
  <c r="L227" i="15" s="1"/>
  <c r="L228" i="15" s="1"/>
  <c r="L464" i="33" s="1"/>
  <c r="AF249" i="33"/>
  <c r="AJ192" i="33"/>
  <c r="L454" i="33"/>
  <c r="L223" i="15" s="1"/>
  <c r="L224" i="15" s="1"/>
  <c r="L465" i="33" s="1"/>
  <c r="V461" i="33"/>
  <c r="V227" i="15" s="1"/>
  <c r="V228" i="15" s="1"/>
  <c r="V464" i="33" s="1"/>
  <c r="K454" i="33"/>
  <c r="K223" i="15" s="1"/>
  <c r="K224" i="15" s="1"/>
  <c r="K465" i="33" s="1"/>
  <c r="AD248" i="33"/>
  <c r="T219" i="33"/>
  <c r="T283" i="33" s="1"/>
  <c r="T323" i="33" s="1"/>
  <c r="AF230" i="33"/>
  <c r="O230" i="33"/>
  <c r="I230" i="33"/>
  <c r="N219" i="33"/>
  <c r="N283" i="33" s="1"/>
  <c r="L219" i="33"/>
  <c r="L283" i="33" s="1"/>
  <c r="K101" i="15"/>
  <c r="K216" i="15" s="1"/>
  <c r="J454" i="33"/>
  <c r="M248" i="33"/>
  <c r="U110" i="33"/>
  <c r="Z230" i="33"/>
  <c r="Q219" i="33"/>
  <c r="Q283" i="33" s="1"/>
  <c r="S230" i="33"/>
  <c r="L230" i="33"/>
  <c r="J230" i="33"/>
  <c r="K230" i="33"/>
  <c r="T230" i="33"/>
  <c r="U219" i="33"/>
  <c r="U283" i="33" s="1"/>
  <c r="AB219" i="33"/>
  <c r="AB283" i="33" s="1"/>
  <c r="AC219" i="33"/>
  <c r="AC283" i="33" s="1"/>
  <c r="O219" i="33"/>
  <c r="O283" i="33" s="1"/>
  <c r="M219" i="33"/>
  <c r="M283" i="33" s="1"/>
  <c r="J461" i="33"/>
  <c r="J227" i="15" s="1"/>
  <c r="J228" i="15" s="1"/>
  <c r="J464" i="33" s="1"/>
  <c r="X248" i="33"/>
  <c r="I211" i="33"/>
  <c r="I275" i="33" s="1"/>
  <c r="AJ124" i="33"/>
  <c r="R230" i="33"/>
  <c r="AE230" i="33"/>
  <c r="V230" i="33"/>
  <c r="AD230" i="33"/>
  <c r="AD216" i="33" s="1"/>
  <c r="U218" i="33"/>
  <c r="U282" i="33" s="1"/>
  <c r="X219" i="33"/>
  <c r="X283" i="33" s="1"/>
  <c r="R219" i="33"/>
  <c r="R283" i="33" s="1"/>
  <c r="I219" i="33"/>
  <c r="I283" i="33" s="1"/>
  <c r="AF219" i="33"/>
  <c r="AF283" i="33" s="1"/>
  <c r="U249" i="33"/>
  <c r="O110" i="33"/>
  <c r="T110" i="33"/>
  <c r="AG266" i="33"/>
  <c r="AH124" i="33"/>
  <c r="L248" i="33"/>
  <c r="P110" i="33"/>
  <c r="Y111" i="33"/>
  <c r="S110" i="33"/>
  <c r="AJ251" i="33"/>
  <c r="AH251" i="33"/>
  <c r="AC111" i="33"/>
  <c r="V178" i="33"/>
  <c r="AF248" i="15"/>
  <c r="J177" i="33"/>
  <c r="Q111" i="33"/>
  <c r="N248" i="33"/>
  <c r="S111" i="33"/>
  <c r="AH191" i="33"/>
  <c r="U248" i="33"/>
  <c r="AF178" i="33"/>
  <c r="AH112" i="33"/>
  <c r="K110" i="33"/>
  <c r="AH180" i="33"/>
  <c r="Y110" i="33"/>
  <c r="O249" i="33"/>
  <c r="T111" i="33"/>
  <c r="W324" i="33" s="1"/>
  <c r="W178" i="33"/>
  <c r="I212" i="33"/>
  <c r="I276" i="33" s="1"/>
  <c r="AH123" i="33"/>
  <c r="AH23" i="33"/>
  <c r="AA248" i="33"/>
  <c r="J101" i="15"/>
  <c r="J216" i="15" s="1"/>
  <c r="AE178" i="33"/>
  <c r="AG268" i="33"/>
  <c r="P111" i="33"/>
  <c r="W249" i="33"/>
  <c r="I111" i="33"/>
  <c r="AG265" i="33"/>
  <c r="AH125" i="33"/>
  <c r="S249" i="33"/>
  <c r="M249" i="33"/>
  <c r="R248" i="33"/>
  <c r="R178" i="33"/>
  <c r="AC110" i="33"/>
  <c r="I453" i="33"/>
  <c r="I450" i="33"/>
  <c r="J450" i="33"/>
  <c r="AG267" i="33"/>
  <c r="Q249" i="33"/>
  <c r="AJ180" i="33"/>
  <c r="M178" i="33"/>
  <c r="V111" i="33"/>
  <c r="AF177" i="33"/>
  <c r="AJ125" i="33"/>
  <c r="AF110" i="33"/>
  <c r="AA111" i="33"/>
  <c r="AH162" i="33"/>
  <c r="AJ112" i="33"/>
  <c r="M84" i="15"/>
  <c r="N16" i="33"/>
  <c r="I10" i="26" s="1"/>
  <c r="N84" i="15"/>
  <c r="AD323" i="33"/>
  <c r="AE320" i="33"/>
  <c r="M16" i="33"/>
  <c r="H10" i="26" s="1"/>
  <c r="AE326" i="33"/>
  <c r="AF320" i="33"/>
  <c r="AE323" i="33"/>
  <c r="M79" i="15"/>
  <c r="J80" i="15"/>
  <c r="J79" i="15"/>
  <c r="N79" i="15"/>
  <c r="W80" i="15"/>
  <c r="W79" i="15"/>
  <c r="AB80" i="15"/>
  <c r="AB17" i="33" s="1"/>
  <c r="W11" i="26" s="1"/>
  <c r="AB79" i="15"/>
  <c r="AD80" i="15"/>
  <c r="AD79" i="15"/>
  <c r="AC80" i="15"/>
  <c r="AC17" i="33" s="1"/>
  <c r="X11" i="26" s="1"/>
  <c r="AC79" i="15"/>
  <c r="Y80" i="15"/>
  <c r="Y79" i="15"/>
  <c r="R80" i="15"/>
  <c r="R79" i="15"/>
  <c r="S80" i="15"/>
  <c r="S79" i="15"/>
  <c r="V80" i="15"/>
  <c r="V79" i="15"/>
  <c r="L266" i="33"/>
  <c r="R208" i="33"/>
  <c r="R272" i="33" s="1"/>
  <c r="P208" i="33"/>
  <c r="P272" i="33" s="1"/>
  <c r="AB208" i="33"/>
  <c r="AB272" i="33" s="1"/>
  <c r="AD208" i="33"/>
  <c r="AD272" i="33" s="1"/>
  <c r="W208" i="33"/>
  <c r="W272" i="33" s="1"/>
  <c r="M206" i="33"/>
  <c r="M270" i="33" s="1"/>
  <c r="M207" i="33"/>
  <c r="M271" i="33" s="1"/>
  <c r="T207" i="33"/>
  <c r="T271" i="33" s="1"/>
  <c r="T206" i="33"/>
  <c r="T270" i="33" s="1"/>
  <c r="S206" i="33"/>
  <c r="S270" i="33" s="1"/>
  <c r="S207" i="33"/>
  <c r="S271" i="33" s="1"/>
  <c r="P206" i="33"/>
  <c r="P270" i="33" s="1"/>
  <c r="P207" i="33"/>
  <c r="P271" i="33" s="1"/>
  <c r="W207" i="33"/>
  <c r="W271" i="33" s="1"/>
  <c r="W206" i="33"/>
  <c r="W270" i="33" s="1"/>
  <c r="Z206" i="33"/>
  <c r="Z270" i="33" s="1"/>
  <c r="Z207" i="33"/>
  <c r="Z271" i="33" s="1"/>
  <c r="AC206" i="33"/>
  <c r="AC270" i="33" s="1"/>
  <c r="AC207" i="33"/>
  <c r="AC271" i="33" s="1"/>
  <c r="AE213" i="33"/>
  <c r="AE277" i="33" s="1"/>
  <c r="AC213" i="33"/>
  <c r="AC277" i="33" s="1"/>
  <c r="AB213" i="33"/>
  <c r="AB277" i="33" s="1"/>
  <c r="K212" i="33"/>
  <c r="K276" i="33" s="1"/>
  <c r="K211" i="33"/>
  <c r="K275" i="33" s="1"/>
  <c r="S212" i="33"/>
  <c r="S276" i="33" s="1"/>
  <c r="S211" i="33"/>
  <c r="S275" i="33" s="1"/>
  <c r="AE212" i="33"/>
  <c r="AE276" i="33" s="1"/>
  <c r="AE211" i="33"/>
  <c r="AE275" i="33" s="1"/>
  <c r="W212" i="33"/>
  <c r="W276" i="33" s="1"/>
  <c r="W211" i="33"/>
  <c r="W275" i="33" s="1"/>
  <c r="V211" i="33"/>
  <c r="V275" i="33" s="1"/>
  <c r="V212" i="33"/>
  <c r="V276" i="33" s="1"/>
  <c r="L208" i="33"/>
  <c r="L272" i="33" s="1"/>
  <c r="I206" i="33"/>
  <c r="I270" i="33" s="1"/>
  <c r="T208" i="33"/>
  <c r="T272" i="33" s="1"/>
  <c r="V326" i="33" s="1"/>
  <c r="S208" i="33"/>
  <c r="S272" i="33" s="1"/>
  <c r="T326" i="33" s="1"/>
  <c r="X208" i="33"/>
  <c r="X272" i="33" s="1"/>
  <c r="AA208" i="33"/>
  <c r="AA272" i="33" s="1"/>
  <c r="R207" i="33"/>
  <c r="R271" i="33" s="1"/>
  <c r="R206" i="33"/>
  <c r="R270" i="33" s="1"/>
  <c r="O206" i="33"/>
  <c r="O207" i="33"/>
  <c r="V207" i="33"/>
  <c r="V271" i="33" s="1"/>
  <c r="V206" i="33"/>
  <c r="V270" i="33" s="1"/>
  <c r="AB206" i="33"/>
  <c r="AB270" i="33" s="1"/>
  <c r="AB207" i="33"/>
  <c r="AB271" i="33" s="1"/>
  <c r="AE206" i="33"/>
  <c r="AE270" i="33" s="1"/>
  <c r="AE207" i="33"/>
  <c r="AE271" i="33" s="1"/>
  <c r="AE218" i="33"/>
  <c r="AE282" i="33" s="1"/>
  <c r="S213" i="33"/>
  <c r="S277" i="33" s="1"/>
  <c r="N213" i="33"/>
  <c r="N277" i="33" s="1"/>
  <c r="V213" i="33"/>
  <c r="V277" i="33" s="1"/>
  <c r="Y213" i="33"/>
  <c r="Y277" i="33" s="1"/>
  <c r="AF213" i="33"/>
  <c r="AF277" i="33" s="1"/>
  <c r="R211" i="33"/>
  <c r="R275" i="33" s="1"/>
  <c r="R212" i="33"/>
  <c r="R276" i="33" s="1"/>
  <c r="N212" i="33"/>
  <c r="N276" i="33" s="1"/>
  <c r="N211" i="33"/>
  <c r="N275" i="33" s="1"/>
  <c r="U212" i="33"/>
  <c r="U276" i="33" s="1"/>
  <c r="U211" i="33"/>
  <c r="AB211" i="33"/>
  <c r="AB275" i="33" s="1"/>
  <c r="AB212" i="33"/>
  <c r="AB276" i="33" s="1"/>
  <c r="Z212" i="33"/>
  <c r="Z276" i="33" s="1"/>
  <c r="Z211" i="33"/>
  <c r="Z275" i="33" s="1"/>
  <c r="L213" i="33"/>
  <c r="L277" i="33" s="1"/>
  <c r="L206" i="33"/>
  <c r="L270" i="33" s="1"/>
  <c r="M212" i="33"/>
  <c r="M276" i="33" s="1"/>
  <c r="M211" i="33"/>
  <c r="M275" i="33" s="1"/>
  <c r="J208" i="33"/>
  <c r="J272" i="33" s="1"/>
  <c r="K208" i="33"/>
  <c r="K272" i="33" s="1"/>
  <c r="O208" i="33"/>
  <c r="O272" i="33" s="1"/>
  <c r="AC208" i="33"/>
  <c r="AC272" i="33" s="1"/>
  <c r="Z208" i="33"/>
  <c r="Z272" i="33" s="1"/>
  <c r="AE208" i="33"/>
  <c r="K206" i="33"/>
  <c r="K270" i="33" s="1"/>
  <c r="K207" i="33"/>
  <c r="K271" i="33" s="1"/>
  <c r="N206" i="33"/>
  <c r="N270" i="33" s="1"/>
  <c r="N207" i="33"/>
  <c r="N271" i="33" s="1"/>
  <c r="AA206" i="33"/>
  <c r="AA270" i="33" s="1"/>
  <c r="AA207" i="33"/>
  <c r="AA271" i="33" s="1"/>
  <c r="X207" i="33"/>
  <c r="X271" i="33" s="1"/>
  <c r="X206" i="33"/>
  <c r="X270" i="33" s="1"/>
  <c r="U206" i="33"/>
  <c r="U270" i="33" s="1"/>
  <c r="U207" i="33"/>
  <c r="Q213" i="33"/>
  <c r="Q277" i="33" s="1"/>
  <c r="P213" i="33"/>
  <c r="P277" i="33" s="1"/>
  <c r="AA213" i="33"/>
  <c r="AA277" i="33" s="1"/>
  <c r="AD213" i="33"/>
  <c r="AD277" i="33" s="1"/>
  <c r="P212" i="33"/>
  <c r="P276" i="33" s="1"/>
  <c r="P211" i="33"/>
  <c r="P275" i="33" s="1"/>
  <c r="Q212" i="33"/>
  <c r="Q276" i="33" s="1"/>
  <c r="Q211" i="33"/>
  <c r="Q275" i="33" s="1"/>
  <c r="O211" i="33"/>
  <c r="O275" i="33" s="1"/>
  <c r="O212" i="33"/>
  <c r="O276" i="33" s="1"/>
  <c r="AA212" i="33"/>
  <c r="AA276" i="33" s="1"/>
  <c r="AA211" i="33"/>
  <c r="AA275" i="33" s="1"/>
  <c r="X211" i="33"/>
  <c r="X275" i="33" s="1"/>
  <c r="X212" i="33"/>
  <c r="X276" i="33" s="1"/>
  <c r="AD211" i="33"/>
  <c r="AD275" i="33" s="1"/>
  <c r="AD212" i="33"/>
  <c r="AD276" i="33" s="1"/>
  <c r="L211" i="33"/>
  <c r="L275" i="33" s="1"/>
  <c r="L212" i="33"/>
  <c r="L276" i="33" s="1"/>
  <c r="Q208" i="33"/>
  <c r="Q272" i="33" s="1"/>
  <c r="N208" i="33"/>
  <c r="N272" i="33" s="1"/>
  <c r="V208" i="33"/>
  <c r="V272" i="33" s="1"/>
  <c r="Y208" i="33"/>
  <c r="Y272" i="33" s="1"/>
  <c r="AF208" i="33"/>
  <c r="AF272" i="33" s="1"/>
  <c r="AG323" i="33" s="1"/>
  <c r="Q206" i="33"/>
  <c r="Q270" i="33" s="1"/>
  <c r="Q207" i="33"/>
  <c r="Q271" i="33" s="1"/>
  <c r="J206" i="33"/>
  <c r="J270" i="33" s="1"/>
  <c r="J207" i="33"/>
  <c r="J271" i="33" s="1"/>
  <c r="AF206" i="33"/>
  <c r="AF270" i="33" s="1"/>
  <c r="AF207" i="33"/>
  <c r="AF271" i="33" s="1"/>
  <c r="AD206" i="33"/>
  <c r="AD270" i="33" s="1"/>
  <c r="AD207" i="33"/>
  <c r="AD271" i="33" s="1"/>
  <c r="Y206" i="33"/>
  <c r="Y270" i="33" s="1"/>
  <c r="Y207" i="33"/>
  <c r="Y271" i="33" s="1"/>
  <c r="O213" i="33"/>
  <c r="O277" i="33" s="1"/>
  <c r="K213" i="33"/>
  <c r="K277" i="33" s="1"/>
  <c r="Z213" i="33"/>
  <c r="Z277" i="33" s="1"/>
  <c r="X213" i="33"/>
  <c r="X277" i="33" s="1"/>
  <c r="J212" i="33"/>
  <c r="J276" i="33" s="1"/>
  <c r="J211" i="33"/>
  <c r="J275" i="33" s="1"/>
  <c r="T212" i="33"/>
  <c r="T276" i="33" s="1"/>
  <c r="T211" i="33"/>
  <c r="T275" i="33" s="1"/>
  <c r="Y212" i="33"/>
  <c r="Y276" i="33" s="1"/>
  <c r="Y211" i="33"/>
  <c r="Y275" i="33" s="1"/>
  <c r="AF212" i="33"/>
  <c r="AF276" i="33" s="1"/>
  <c r="AF211" i="33"/>
  <c r="AF275" i="33" s="1"/>
  <c r="AC212" i="33"/>
  <c r="AC276" i="33" s="1"/>
  <c r="AC211" i="33"/>
  <c r="AC275" i="33" s="1"/>
  <c r="Q248" i="15"/>
  <c r="W248" i="15"/>
  <c r="P248" i="15"/>
  <c r="N248" i="15"/>
  <c r="S248" i="15"/>
  <c r="L248" i="15"/>
  <c r="U248" i="15"/>
  <c r="AD248" i="15"/>
  <c r="AB248" i="15"/>
  <c r="L265" i="33"/>
  <c r="AH250" i="33"/>
  <c r="AJ191" i="33"/>
  <c r="L177" i="33"/>
  <c r="AL84" i="15"/>
  <c r="AL78" i="15" s="1"/>
  <c r="AL79" i="15" s="1"/>
  <c r="M111" i="33"/>
  <c r="O111" i="33"/>
  <c r="X111" i="33"/>
  <c r="AH96" i="33"/>
  <c r="K266" i="33"/>
  <c r="AH233" i="33"/>
  <c r="U186" i="15"/>
  <c r="AA186" i="15"/>
  <c r="K78" i="15"/>
  <c r="T248" i="15"/>
  <c r="Y248" i="15"/>
  <c r="R248" i="15"/>
  <c r="AA248" i="15"/>
  <c r="K265" i="33"/>
  <c r="X248" i="15"/>
  <c r="M248" i="15"/>
  <c r="AC248" i="15"/>
  <c r="V248" i="15"/>
  <c r="O248" i="15"/>
  <c r="K28" i="31"/>
  <c r="J16" i="33"/>
  <c r="E10" i="26" s="1"/>
  <c r="L23" i="31"/>
  <c r="K16" i="33"/>
  <c r="F10" i="26" s="1"/>
  <c r="S101" i="15"/>
  <c r="S216" i="15" s="1"/>
  <c r="K23" i="31"/>
  <c r="L28" i="31"/>
  <c r="N266" i="33"/>
  <c r="F53" i="22"/>
  <c r="H48" i="22" s="1"/>
  <c r="X24" i="31"/>
  <c r="AD186" i="15"/>
  <c r="Y186" i="15"/>
  <c r="X186" i="15"/>
  <c r="V186" i="15"/>
  <c r="AC186" i="15"/>
  <c r="AC25" i="33"/>
  <c r="X19" i="26" s="1"/>
  <c r="H186" i="15"/>
  <c r="H187" i="15" s="1"/>
  <c r="AE186" i="15"/>
  <c r="AF186" i="15"/>
  <c r="AB186" i="15"/>
  <c r="AF25" i="33"/>
  <c r="AA19" i="26" s="1"/>
  <c r="AD25" i="33"/>
  <c r="Y19" i="26" s="1"/>
  <c r="AH203" i="33"/>
  <c r="Z186" i="15"/>
  <c r="Y25" i="33"/>
  <c r="T19" i="26" s="1"/>
  <c r="J28" i="31"/>
  <c r="J19" i="33"/>
  <c r="E13" i="26" s="1"/>
  <c r="J23" i="31"/>
  <c r="F18" i="17"/>
  <c r="H78" i="17" s="1"/>
  <c r="H80" i="17" s="1"/>
  <c r="F81" i="17" s="1"/>
  <c r="I266" i="33"/>
  <c r="AH163" i="33"/>
  <c r="AH268" i="33"/>
  <c r="F63" i="22"/>
  <c r="I15" i="33"/>
  <c r="D9" i="26" s="1"/>
  <c r="F37" i="22"/>
  <c r="F38" i="22" s="1"/>
  <c r="AJ101" i="33"/>
  <c r="N461" i="33"/>
  <c r="N227" i="15" s="1"/>
  <c r="N228" i="15" s="1"/>
  <c r="N464" i="33" s="1"/>
  <c r="Y461" i="33"/>
  <c r="Y227" i="15" s="1"/>
  <c r="Y228" i="15" s="1"/>
  <c r="Y464" i="33" s="1"/>
  <c r="Q461" i="33"/>
  <c r="Q227" i="15" s="1"/>
  <c r="Q228" i="15" s="1"/>
  <c r="Q464" i="33" s="1"/>
  <c r="Q454" i="33"/>
  <c r="Q223" i="15" s="1"/>
  <c r="Q224" i="15" s="1"/>
  <c r="Q465" i="33" s="1"/>
  <c r="N454" i="33"/>
  <c r="N223" i="15" s="1"/>
  <c r="N224" i="15" s="1"/>
  <c r="N465" i="33" s="1"/>
  <c r="O461" i="33"/>
  <c r="O227" i="15" s="1"/>
  <c r="O228" i="15" s="1"/>
  <c r="O464" i="33" s="1"/>
  <c r="O454" i="33"/>
  <c r="O223" i="15" s="1"/>
  <c r="O224" i="15" s="1"/>
  <c r="O465" i="33" s="1"/>
  <c r="G149" i="33"/>
  <c r="AD311" i="33" s="1"/>
  <c r="G309" i="33"/>
  <c r="L308" i="33" s="1"/>
  <c r="L366" i="33" s="1"/>
  <c r="U454" i="33"/>
  <c r="U223" i="15" s="1"/>
  <c r="U224" i="15" s="1"/>
  <c r="U465" i="33" s="1"/>
  <c r="R461" i="33"/>
  <c r="R227" i="15" s="1"/>
  <c r="R228" i="15" s="1"/>
  <c r="R464" i="33" s="1"/>
  <c r="R454" i="33"/>
  <c r="R223" i="15" s="1"/>
  <c r="R224" i="15" s="1"/>
  <c r="R465" i="33" s="1"/>
  <c r="I101" i="15"/>
  <c r="I216" i="15" s="1"/>
  <c r="M265" i="33"/>
  <c r="AJ201" i="33"/>
  <c r="AJ106" i="33"/>
  <c r="AH14" i="33"/>
  <c r="AJ83" i="15"/>
  <c r="AJ172" i="33"/>
  <c r="AH102" i="33"/>
  <c r="AJ224" i="33"/>
  <c r="AH172" i="33"/>
  <c r="AJ168" i="33"/>
  <c r="AH106" i="33"/>
  <c r="AH101" i="33"/>
  <c r="R101" i="15"/>
  <c r="R216" i="15" s="1"/>
  <c r="Y101" i="15"/>
  <c r="Y216" i="15" s="1"/>
  <c r="AH228" i="33"/>
  <c r="L101" i="15"/>
  <c r="L216" i="15" s="1"/>
  <c r="AA101" i="15"/>
  <c r="AA216" i="15" s="1"/>
  <c r="AB101" i="15"/>
  <c r="AB216" i="15" s="1"/>
  <c r="AJ275" i="15"/>
  <c r="AH223" i="33"/>
  <c r="AH209" i="33"/>
  <c r="AH227" i="33"/>
  <c r="AH214" i="33"/>
  <c r="AH243" i="33"/>
  <c r="AH224" i="33"/>
  <c r="U272" i="33"/>
  <c r="J277" i="33"/>
  <c r="U277" i="33"/>
  <c r="V265" i="33"/>
  <c r="AJ167" i="33"/>
  <c r="Q428" i="33"/>
  <c r="R427" i="33"/>
  <c r="R7" i="15" s="1"/>
  <c r="M266" i="33"/>
  <c r="P378" i="33"/>
  <c r="P21" i="33"/>
  <c r="K15" i="26" s="1"/>
  <c r="P108" i="15"/>
  <c r="AB8" i="26"/>
  <c r="B11" i="26" s="1"/>
  <c r="H10" i="17"/>
  <c r="AH202" i="33"/>
  <c r="AJ209" i="33"/>
  <c r="AH168" i="33"/>
  <c r="K378" i="33"/>
  <c r="AJ214" i="33"/>
  <c r="I85" i="15"/>
  <c r="P101" i="15"/>
  <c r="P216" i="15" s="1"/>
  <c r="M101" i="15"/>
  <c r="M216" i="15" s="1"/>
  <c r="AC101" i="15"/>
  <c r="AC216" i="15" s="1"/>
  <c r="V101" i="15"/>
  <c r="V216" i="15" s="1"/>
  <c r="O101" i="15"/>
  <c r="O216" i="15" s="1"/>
  <c r="AE101" i="15"/>
  <c r="AE216" i="15" s="1"/>
  <c r="D14" i="26"/>
  <c r="AH20" i="33"/>
  <c r="J378" i="33"/>
  <c r="J108" i="15"/>
  <c r="Y265" i="33"/>
  <c r="V427" i="33"/>
  <c r="V7" i="15" s="1"/>
  <c r="W428" i="33"/>
  <c r="AJ238" i="33"/>
  <c r="AC265" i="33"/>
  <c r="J273" i="33"/>
  <c r="AH226" i="33"/>
  <c r="AJ102" i="33"/>
  <c r="AJ223" i="33"/>
  <c r="AJ244" i="33"/>
  <c r="AH234" i="33"/>
  <c r="AL275" i="15"/>
  <c r="AJ203" i="33"/>
  <c r="U267" i="33"/>
  <c r="AJ267" i="33" s="1"/>
  <c r="S15" i="26"/>
  <c r="AJ21" i="33"/>
  <c r="AH173" i="33"/>
  <c r="D16" i="26"/>
  <c r="AH22" i="33"/>
  <c r="AC400" i="33"/>
  <c r="W24" i="31" s="1"/>
  <c r="AB214" i="15"/>
  <c r="N265" i="33"/>
  <c r="AJ226" i="33"/>
  <c r="AJ227" i="33"/>
  <c r="T277" i="33"/>
  <c r="S378" i="33"/>
  <c r="S21" i="33"/>
  <c r="N15" i="26" s="1"/>
  <c r="S108" i="15"/>
  <c r="D12" i="26"/>
  <c r="AH18" i="33"/>
  <c r="AH167" i="33"/>
  <c r="AH100" i="33"/>
  <c r="D7" i="26"/>
  <c r="AH13" i="33"/>
  <c r="AF265" i="33"/>
  <c r="AH95" i="33"/>
  <c r="J19" i="17"/>
  <c r="J23" i="17" s="1"/>
  <c r="AC15" i="26"/>
  <c r="AH239" i="33"/>
  <c r="R277" i="33"/>
  <c r="AH201" i="33"/>
  <c r="I265" i="33"/>
  <c r="AE265" i="33"/>
  <c r="AH105" i="33"/>
  <c r="AJ173" i="33"/>
  <c r="Q378" i="33"/>
  <c r="Q21" i="33"/>
  <c r="L15" i="26" s="1"/>
  <c r="I26" i="33"/>
  <c r="AJ135" i="15"/>
  <c r="X101" i="15"/>
  <c r="X216" i="15" s="1"/>
  <c r="AF101" i="15"/>
  <c r="Q101" i="15"/>
  <c r="Q216" i="15" s="1"/>
  <c r="Z101" i="15"/>
  <c r="Z216" i="15" s="1"/>
  <c r="AA265" i="33"/>
  <c r="AJ225" i="33"/>
  <c r="AJ239" i="33"/>
  <c r="AJ16" i="33"/>
  <c r="X265" i="33"/>
  <c r="AJ179" i="33"/>
  <c r="AB265" i="33"/>
  <c r="Y400" i="33"/>
  <c r="X214" i="15"/>
  <c r="U273" i="33"/>
  <c r="AJ273" i="33" s="1"/>
  <c r="M277" i="33"/>
  <c r="AJ228" i="33"/>
  <c r="I277" i="33"/>
  <c r="I154" i="15"/>
  <c r="I344" i="33" s="1"/>
  <c r="AJ138" i="15"/>
  <c r="I46" i="33"/>
  <c r="L84" i="15"/>
  <c r="L16" i="33"/>
  <c r="G10" i="26" s="1"/>
  <c r="U321" i="33"/>
  <c r="T327" i="33"/>
  <c r="U324" i="33"/>
  <c r="L104" i="15"/>
  <c r="L108" i="15" s="1"/>
  <c r="L379" i="33"/>
  <c r="L19" i="33"/>
  <c r="G13" i="26" s="1"/>
  <c r="Q108" i="15"/>
  <c r="AJ100" i="33"/>
  <c r="F20" i="17"/>
  <c r="AB16" i="26"/>
  <c r="AL172" i="15"/>
  <c r="AH225" i="33"/>
  <c r="I84" i="15"/>
  <c r="I16" i="33"/>
  <c r="AJ76" i="15"/>
  <c r="M104" i="15"/>
  <c r="M379" i="33"/>
  <c r="M19" i="33"/>
  <c r="H13" i="26" s="1"/>
  <c r="AJ105" i="33"/>
  <c r="AH244" i="33"/>
  <c r="U278" i="33"/>
  <c r="AJ278" i="33" s="1"/>
  <c r="T101" i="15"/>
  <c r="U101" i="15"/>
  <c r="U216" i="15" s="1"/>
  <c r="N101" i="15"/>
  <c r="N216" i="15" s="1"/>
  <c r="AD101" i="15"/>
  <c r="AD216" i="15" s="1"/>
  <c r="W101" i="15"/>
  <c r="W216" i="15" s="1"/>
  <c r="T378" i="33"/>
  <c r="T21" i="33"/>
  <c r="O15" i="26" s="1"/>
  <c r="AJ202" i="33"/>
  <c r="R378" i="33"/>
  <c r="R21" i="33"/>
  <c r="M15" i="26" s="1"/>
  <c r="R108" i="15"/>
  <c r="W277" i="33"/>
  <c r="AH278" i="33"/>
  <c r="H9" i="17"/>
  <c r="AB7" i="26"/>
  <c r="AB17" i="26"/>
  <c r="F21" i="17"/>
  <c r="X25" i="33"/>
  <c r="AL108" i="15"/>
  <c r="AH238" i="33"/>
  <c r="Z265" i="33"/>
  <c r="O378" i="33"/>
  <c r="O108" i="15"/>
  <c r="AJ243" i="33"/>
  <c r="U266" i="33"/>
  <c r="F16" i="17"/>
  <c r="AB12" i="26"/>
  <c r="I104" i="15"/>
  <c r="I108" i="15" s="1"/>
  <c r="I379" i="33"/>
  <c r="I19" i="33"/>
  <c r="AJ99" i="15"/>
  <c r="T108" i="15"/>
  <c r="T25" i="33" s="1"/>
  <c r="O19" i="26" s="1"/>
  <c r="Y200" i="33" l="1"/>
  <c r="Y393" i="33" s="1"/>
  <c r="AA17" i="33"/>
  <c r="V11" i="26" s="1"/>
  <c r="AD17" i="33"/>
  <c r="Y11" i="26" s="1"/>
  <c r="O21" i="33"/>
  <c r="J15" i="26" s="1"/>
  <c r="AE17" i="33"/>
  <c r="Z11" i="26" s="1"/>
  <c r="AC339" i="33"/>
  <c r="AC210" i="15" s="1"/>
  <c r="AE339" i="33"/>
  <c r="AE210" i="15" s="1"/>
  <c r="V339" i="33"/>
  <c r="V210" i="15" s="1"/>
  <c r="AA339" i="33"/>
  <c r="AA210" i="15" s="1"/>
  <c r="AL186" i="15"/>
  <c r="AF339" i="33"/>
  <c r="AD339" i="33"/>
  <c r="AD210" i="15" s="1"/>
  <c r="X339" i="33"/>
  <c r="X210" i="15" s="1"/>
  <c r="U339" i="33"/>
  <c r="U210" i="15" s="1"/>
  <c r="Z339" i="33"/>
  <c r="Z210" i="15" s="1"/>
  <c r="AB339" i="33"/>
  <c r="AB210" i="15" s="1"/>
  <c r="Y339" i="33"/>
  <c r="Y210" i="15" s="1"/>
  <c r="AH267" i="33"/>
  <c r="AB19" i="31"/>
  <c r="N17" i="33"/>
  <c r="I11" i="26" s="1"/>
  <c r="Y17" i="33"/>
  <c r="T11" i="26" s="1"/>
  <c r="Z17" i="33"/>
  <c r="U11" i="26" s="1"/>
  <c r="U17" i="33"/>
  <c r="P11" i="26" s="1"/>
  <c r="X17" i="33"/>
  <c r="S11" i="26" s="1"/>
  <c r="BD7" i="15"/>
  <c r="S200" i="33"/>
  <c r="S393" i="33" s="1"/>
  <c r="M294" i="15"/>
  <c r="M305" i="15" s="1"/>
  <c r="M347" i="33" s="1"/>
  <c r="L345" i="33"/>
  <c r="AD264" i="33"/>
  <c r="AD395" i="33" s="1"/>
  <c r="AD19" i="31" s="1"/>
  <c r="J344" i="33"/>
  <c r="L294" i="15"/>
  <c r="L305" i="15" s="1"/>
  <c r="L347" i="33" s="1"/>
  <c r="AE294" i="15"/>
  <c r="T294" i="15"/>
  <c r="T305" i="15" s="1"/>
  <c r="T347" i="33" s="1"/>
  <c r="AD294" i="15"/>
  <c r="AD305" i="15" s="1"/>
  <c r="AD347" i="33" s="1"/>
  <c r="S294" i="15"/>
  <c r="R294" i="15"/>
  <c r="R305" i="15" s="1"/>
  <c r="R347" i="33" s="1"/>
  <c r="O294" i="15"/>
  <c r="O305" i="15" s="1"/>
  <c r="O347" i="33" s="1"/>
  <c r="J294" i="15"/>
  <c r="J305" i="15" s="1"/>
  <c r="J347" i="33" s="1"/>
  <c r="AA294" i="15"/>
  <c r="AA305" i="15" s="1"/>
  <c r="AA347" i="33" s="1"/>
  <c r="K294" i="15"/>
  <c r="K305" i="15" s="1"/>
  <c r="K347" i="33" s="1"/>
  <c r="Z294" i="15"/>
  <c r="Z305" i="15" s="1"/>
  <c r="Z347" i="33" s="1"/>
  <c r="P294" i="15"/>
  <c r="P305" i="15" s="1"/>
  <c r="P347" i="33" s="1"/>
  <c r="X294" i="15"/>
  <c r="X305" i="15" s="1"/>
  <c r="X347" i="33" s="1"/>
  <c r="W294" i="15"/>
  <c r="W305" i="15" s="1"/>
  <c r="W347" i="33" s="1"/>
  <c r="AF294" i="15"/>
  <c r="AF305" i="15" s="1"/>
  <c r="AF347" i="33" s="1"/>
  <c r="V294" i="15"/>
  <c r="V305" i="15" s="1"/>
  <c r="V347" i="33" s="1"/>
  <c r="AC294" i="15"/>
  <c r="AC305" i="15" s="1"/>
  <c r="AC347" i="33" s="1"/>
  <c r="Y294" i="15"/>
  <c r="Y305" i="15" s="1"/>
  <c r="Y347" i="33" s="1"/>
  <c r="AB294" i="15"/>
  <c r="AB305" i="15" s="1"/>
  <c r="AB347" i="33" s="1"/>
  <c r="U294" i="15"/>
  <c r="S305" i="15"/>
  <c r="AE305" i="15"/>
  <c r="AE347" i="33" s="1"/>
  <c r="N294" i="15"/>
  <c r="I294" i="15"/>
  <c r="Q294" i="15"/>
  <c r="W200" i="33"/>
  <c r="W393" i="33" s="1"/>
  <c r="W466" i="33"/>
  <c r="W468" i="33" s="1"/>
  <c r="O264" i="33"/>
  <c r="O395" i="33" s="1"/>
  <c r="AL2" i="15"/>
  <c r="AC2" i="26" s="1"/>
  <c r="P200" i="33"/>
  <c r="P393" i="33" s="1"/>
  <c r="P216" i="33"/>
  <c r="P280" i="33" s="1"/>
  <c r="O200" i="33"/>
  <c r="O393" i="33" s="1"/>
  <c r="R200" i="33"/>
  <c r="R393" i="33" s="1"/>
  <c r="J200" i="33"/>
  <c r="J393" i="33" s="1"/>
  <c r="AJ177" i="33"/>
  <c r="AC200" i="33"/>
  <c r="AC393" i="33" s="1"/>
  <c r="T200" i="33"/>
  <c r="T393" i="33" s="1"/>
  <c r="V200" i="33"/>
  <c r="V393" i="33" s="1"/>
  <c r="AE264" i="33"/>
  <c r="AE395" i="33" s="1"/>
  <c r="AE19" i="31" s="1"/>
  <c r="X200" i="33"/>
  <c r="X393" i="33" s="1"/>
  <c r="K200" i="33"/>
  <c r="K393" i="33" s="1"/>
  <c r="Y264" i="33"/>
  <c r="Y395" i="33" s="1"/>
  <c r="AD136" i="33"/>
  <c r="AF143" i="33" s="1"/>
  <c r="K216" i="33"/>
  <c r="K280" i="33" s="1"/>
  <c r="S216" i="33"/>
  <c r="S280" i="33" s="1"/>
  <c r="U466" i="33"/>
  <c r="U468" i="33" s="1"/>
  <c r="Z216" i="33"/>
  <c r="Z280" i="33" s="1"/>
  <c r="AA200" i="33"/>
  <c r="AA393" i="33" s="1"/>
  <c r="AC216" i="33"/>
  <c r="AC280" i="33" s="1"/>
  <c r="Y217" i="33"/>
  <c r="Y281" i="33" s="1"/>
  <c r="AE135" i="33"/>
  <c r="AE358" i="33" s="1"/>
  <c r="Y216" i="33"/>
  <c r="Y280" i="33" s="1"/>
  <c r="AE134" i="33"/>
  <c r="AE389" i="33" s="1"/>
  <c r="U135" i="33"/>
  <c r="W140" i="33" s="1"/>
  <c r="W360" i="33" s="1"/>
  <c r="V466" i="33"/>
  <c r="V468" i="33" s="1"/>
  <c r="AE217" i="33"/>
  <c r="AE281" i="33" s="1"/>
  <c r="M466" i="33"/>
  <c r="M467" i="33" s="1"/>
  <c r="AB216" i="33"/>
  <c r="AB280" i="33" s="1"/>
  <c r="J13" i="17"/>
  <c r="L14" i="17"/>
  <c r="AD135" i="33"/>
  <c r="AF140" i="33" s="1"/>
  <c r="AF360" i="33" s="1"/>
  <c r="W133" i="33"/>
  <c r="W383" i="33" s="1"/>
  <c r="V136" i="33"/>
  <c r="X143" i="33" s="1"/>
  <c r="AE136" i="33"/>
  <c r="AE133" i="33"/>
  <c r="AE383" i="33" s="1"/>
  <c r="AA264" i="33"/>
  <c r="AA395" i="33" s="1"/>
  <c r="AA19" i="31" s="1"/>
  <c r="AF136" i="33"/>
  <c r="AD217" i="33"/>
  <c r="AD281" i="33" s="1"/>
  <c r="V264" i="33"/>
  <c r="V395" i="33" s="1"/>
  <c r="X134" i="33"/>
  <c r="X389" i="33" s="1"/>
  <c r="W134" i="33"/>
  <c r="W389" i="33" s="1"/>
  <c r="W136" i="33"/>
  <c r="Y143" i="33" s="1"/>
  <c r="P134" i="33"/>
  <c r="P389" i="33" s="1"/>
  <c r="Z133" i="33"/>
  <c r="Z383" i="33" s="1"/>
  <c r="AA216" i="33"/>
  <c r="AA280" i="33" s="1"/>
  <c r="I79" i="15"/>
  <c r="I229" i="15"/>
  <c r="AA134" i="33"/>
  <c r="AA389" i="33" s="1"/>
  <c r="W217" i="33"/>
  <c r="W281" i="33" s="1"/>
  <c r="X217" i="33"/>
  <c r="X281" i="33" s="1"/>
  <c r="AJ229" i="33"/>
  <c r="AD280" i="33"/>
  <c r="Z264" i="33"/>
  <c r="Z395" i="33" s="1"/>
  <c r="Z19" i="31" s="1"/>
  <c r="AD263" i="15"/>
  <c r="AD215" i="15" s="1"/>
  <c r="Y282" i="33"/>
  <c r="AJ282" i="33" s="1"/>
  <c r="AF217" i="33"/>
  <c r="AF281" i="33" s="1"/>
  <c r="AA133" i="33"/>
  <c r="AA383" i="33" s="1"/>
  <c r="AA135" i="33"/>
  <c r="AC140" i="33" s="1"/>
  <c r="AC360" i="33" s="1"/>
  <c r="AJ231" i="33"/>
  <c r="W135" i="33"/>
  <c r="Y140" i="33" s="1"/>
  <c r="Y360" i="33" s="1"/>
  <c r="U216" i="33"/>
  <c r="U280" i="33" s="1"/>
  <c r="Z217" i="33"/>
  <c r="Z281" i="33" s="1"/>
  <c r="Z134" i="33"/>
  <c r="Z389" i="33" s="1"/>
  <c r="X136" i="33"/>
  <c r="Z143" i="33" s="1"/>
  <c r="V135" i="33"/>
  <c r="V358" i="33" s="1"/>
  <c r="AC133" i="33"/>
  <c r="AC383" i="33" s="1"/>
  <c r="AB217" i="33"/>
  <c r="AB281" i="33" s="1"/>
  <c r="AB135" i="33"/>
  <c r="AD140" i="33" s="1"/>
  <c r="AD360" i="33" s="1"/>
  <c r="Y136" i="33"/>
  <c r="AA143" i="33" s="1"/>
  <c r="AC134" i="33"/>
  <c r="AC389" i="33" s="1"/>
  <c r="X133" i="33"/>
  <c r="X383" i="33" s="1"/>
  <c r="AB133" i="33"/>
  <c r="AB383" i="33" s="1"/>
  <c r="AC136" i="33"/>
  <c r="AE143" i="33" s="1"/>
  <c r="AB134" i="33"/>
  <c r="AB389" i="33" s="1"/>
  <c r="W280" i="33"/>
  <c r="AC217" i="33"/>
  <c r="AC281" i="33" s="1"/>
  <c r="U217" i="33"/>
  <c r="U281" i="33" s="1"/>
  <c r="AB136" i="33"/>
  <c r="AD143" i="33" s="1"/>
  <c r="AF135" i="33"/>
  <c r="AF358" i="33" s="1"/>
  <c r="U264" i="33"/>
  <c r="U395" i="33" s="1"/>
  <c r="Q200" i="33"/>
  <c r="Q393" i="33" s="1"/>
  <c r="S17" i="33"/>
  <c r="N11" i="26" s="1"/>
  <c r="T17" i="33"/>
  <c r="O11" i="26" s="1"/>
  <c r="U25" i="33"/>
  <c r="P19" i="26" s="1"/>
  <c r="AH273" i="33"/>
  <c r="AJ186" i="15"/>
  <c r="AF263" i="15"/>
  <c r="AF215" i="15" s="1"/>
  <c r="AL215" i="15" s="1"/>
  <c r="J58" i="22" s="1"/>
  <c r="N134" i="33"/>
  <c r="N389" i="33" s="1"/>
  <c r="L217" i="33"/>
  <c r="L281" i="33" s="1"/>
  <c r="Y263" i="15"/>
  <c r="Y215" i="15" s="1"/>
  <c r="I223" i="15"/>
  <c r="I224" i="15" s="1"/>
  <c r="I465" i="33" s="1"/>
  <c r="I466" i="33" s="1"/>
  <c r="I468" i="33" s="1"/>
  <c r="I408" i="33" s="1"/>
  <c r="J216" i="33"/>
  <c r="J280" i="33" s="1"/>
  <c r="S264" i="33"/>
  <c r="S395" i="33" s="1"/>
  <c r="N216" i="33"/>
  <c r="N280" i="33" s="1"/>
  <c r="X263" i="15"/>
  <c r="X215" i="15" s="1"/>
  <c r="AC263" i="15"/>
  <c r="AC215" i="15" s="1"/>
  <c r="W263" i="15"/>
  <c r="W215" i="15" s="1"/>
  <c r="M264" i="33"/>
  <c r="M395" i="33" s="1"/>
  <c r="AB263" i="15"/>
  <c r="AB215" i="15" s="1"/>
  <c r="V263" i="15"/>
  <c r="V215" i="15" s="1"/>
  <c r="AA263" i="15"/>
  <c r="AA215" i="15" s="1"/>
  <c r="I133" i="33"/>
  <c r="I137" i="33" s="1"/>
  <c r="M17" i="33"/>
  <c r="H11" i="26" s="1"/>
  <c r="T215" i="15"/>
  <c r="U263" i="15"/>
  <c r="U215" i="15" s="1"/>
  <c r="Z263" i="15"/>
  <c r="Z215" i="15" s="1"/>
  <c r="K264" i="33"/>
  <c r="K395" i="33" s="1"/>
  <c r="I135" i="33"/>
  <c r="I145" i="33" s="1"/>
  <c r="I149" i="33" s="1"/>
  <c r="P264" i="33"/>
  <c r="P395" i="33" s="1"/>
  <c r="I134" i="33"/>
  <c r="I389" i="33" s="1"/>
  <c r="T264" i="33"/>
  <c r="T395" i="33" s="1"/>
  <c r="M136" i="33"/>
  <c r="O143" i="33" s="1"/>
  <c r="Q264" i="33"/>
  <c r="Q395" i="33" s="1"/>
  <c r="Y466" i="33"/>
  <c r="Y468" i="33" s="1"/>
  <c r="L200" i="33"/>
  <c r="L393" i="33" s="1"/>
  <c r="I216" i="33"/>
  <c r="I232" i="33" s="1"/>
  <c r="I394" i="33" s="1"/>
  <c r="K136" i="33"/>
  <c r="M143" i="33" s="1"/>
  <c r="S135" i="33"/>
  <c r="S358" i="33" s="1"/>
  <c r="S8" i="33"/>
  <c r="K133" i="33"/>
  <c r="K383" i="33" s="1"/>
  <c r="M217" i="33"/>
  <c r="M281" i="33" s="1"/>
  <c r="P217" i="33"/>
  <c r="P281" i="33" s="1"/>
  <c r="J223" i="15"/>
  <c r="J224" i="15" s="1"/>
  <c r="J465" i="33" s="1"/>
  <c r="J466" i="33" s="1"/>
  <c r="J135" i="33"/>
  <c r="L140" i="33" s="1"/>
  <c r="L360" i="33" s="1"/>
  <c r="Z374" i="33"/>
  <c r="O135" i="33"/>
  <c r="O358" i="33" s="1"/>
  <c r="U136" i="33"/>
  <c r="I217" i="33"/>
  <c r="I281" i="33" s="1"/>
  <c r="R135" i="33"/>
  <c r="T140" i="33" s="1"/>
  <c r="T360" i="33" s="1"/>
  <c r="W17" i="33"/>
  <c r="R11" i="26" s="1"/>
  <c r="P17" i="33"/>
  <c r="K11" i="26" s="1"/>
  <c r="V17" i="33"/>
  <c r="Q11" i="26" s="1"/>
  <c r="O17" i="33"/>
  <c r="J11" i="26" s="1"/>
  <c r="S320" i="33"/>
  <c r="M133" i="33"/>
  <c r="M383" i="33" s="1"/>
  <c r="AF210" i="15"/>
  <c r="AL210" i="15" s="1"/>
  <c r="S134" i="33"/>
  <c r="S389" i="33" s="1"/>
  <c r="T320" i="33"/>
  <c r="O282" i="33"/>
  <c r="Q135" i="33"/>
  <c r="S140" i="33" s="1"/>
  <c r="S360" i="33" s="1"/>
  <c r="R216" i="33"/>
  <c r="R280" i="33" s="1"/>
  <c r="Q217" i="33"/>
  <c r="Q281" i="33" s="1"/>
  <c r="P133" i="33"/>
  <c r="P383" i="33" s="1"/>
  <c r="S136" i="33"/>
  <c r="U143" i="33" s="1"/>
  <c r="M134" i="33"/>
  <c r="M389" i="33" s="1"/>
  <c r="P136" i="33"/>
  <c r="R143" i="33" s="1"/>
  <c r="W327" i="33"/>
  <c r="V321" i="33"/>
  <c r="Q136" i="33"/>
  <c r="S143" i="33" s="1"/>
  <c r="O216" i="33"/>
  <c r="O280" i="33" s="1"/>
  <c r="L135" i="33"/>
  <c r="N140" i="33" s="1"/>
  <c r="N360" i="33" s="1"/>
  <c r="K134" i="33"/>
  <c r="K389" i="33" s="1"/>
  <c r="U134" i="33"/>
  <c r="U389" i="33" s="1"/>
  <c r="S133" i="33"/>
  <c r="S383" i="33" s="1"/>
  <c r="O134" i="33"/>
  <c r="O389" i="33" s="1"/>
  <c r="J217" i="33"/>
  <c r="J281" i="33" s="1"/>
  <c r="N21" i="33"/>
  <c r="I15" i="26" s="1"/>
  <c r="L134" i="33"/>
  <c r="L389" i="33" s="1"/>
  <c r="L264" i="33"/>
  <c r="L395" i="33" s="1"/>
  <c r="T135" i="33"/>
  <c r="T358" i="33" s="1"/>
  <c r="M200" i="33"/>
  <c r="M393" i="33" s="1"/>
  <c r="L133" i="33"/>
  <c r="L383" i="33" s="1"/>
  <c r="N135" i="33"/>
  <c r="N358" i="33" s="1"/>
  <c r="AH229" i="33"/>
  <c r="L136" i="33"/>
  <c r="N143" i="33" s="1"/>
  <c r="P218" i="33"/>
  <c r="P282" i="33" s="1"/>
  <c r="L466" i="33"/>
  <c r="L468" i="33" s="1"/>
  <c r="T133" i="33"/>
  <c r="T383" i="33" s="1"/>
  <c r="N378" i="33"/>
  <c r="O400" i="33" s="1"/>
  <c r="J134" i="33"/>
  <c r="J389" i="33" s="1"/>
  <c r="M216" i="33"/>
  <c r="AH231" i="33"/>
  <c r="R17" i="33"/>
  <c r="M11" i="26" s="1"/>
  <c r="Q17" i="33"/>
  <c r="L11" i="26" s="1"/>
  <c r="J133" i="33"/>
  <c r="J383" i="33" s="1"/>
  <c r="J136" i="33"/>
  <c r="L143" i="33" s="1"/>
  <c r="R136" i="33"/>
  <c r="T143" i="33" s="1"/>
  <c r="I168" i="15"/>
  <c r="AJ249" i="33"/>
  <c r="X280" i="33"/>
  <c r="AA217" i="33"/>
  <c r="AA281" i="33" s="1"/>
  <c r="T134" i="33"/>
  <c r="T389" i="33" s="1"/>
  <c r="X135" i="33"/>
  <c r="Z140" i="33" s="1"/>
  <c r="Z360" i="33" s="1"/>
  <c r="P135" i="33"/>
  <c r="P358" i="33" s="1"/>
  <c r="Q133" i="33"/>
  <c r="Q383" i="33" s="1"/>
  <c r="N217" i="33"/>
  <c r="N281" i="33" s="1"/>
  <c r="K217" i="33"/>
  <c r="K281" i="33" s="1"/>
  <c r="R217" i="33"/>
  <c r="R281" i="33" s="1"/>
  <c r="AC135" i="33"/>
  <c r="AD134" i="33"/>
  <c r="AD389" i="33" s="1"/>
  <c r="X264" i="33"/>
  <c r="X395" i="33" s="1"/>
  <c r="X19" i="31" s="1"/>
  <c r="V216" i="33"/>
  <c r="V280" i="33" s="1"/>
  <c r="O217" i="33"/>
  <c r="O281" i="33" s="1"/>
  <c r="K466" i="33"/>
  <c r="K467" i="33" s="1"/>
  <c r="T217" i="33"/>
  <c r="S217" i="33"/>
  <c r="S281" i="33" s="1"/>
  <c r="AF133" i="33"/>
  <c r="AF383" i="33" s="1"/>
  <c r="N200" i="33"/>
  <c r="N393" i="33" s="1"/>
  <c r="AF134" i="33"/>
  <c r="AF389" i="33" s="1"/>
  <c r="AF13" i="31" s="1"/>
  <c r="N308" i="33"/>
  <c r="N366" i="33" s="1"/>
  <c r="R151" i="33"/>
  <c r="N264" i="33"/>
  <c r="N395" i="33" s="1"/>
  <c r="V133" i="33"/>
  <c r="V383" i="33" s="1"/>
  <c r="J264" i="33"/>
  <c r="J395" i="33" s="1"/>
  <c r="K135" i="33"/>
  <c r="T136" i="33"/>
  <c r="U133" i="33"/>
  <c r="U383" i="33" s="1"/>
  <c r="V134" i="33"/>
  <c r="V389" i="33" s="1"/>
  <c r="R308" i="33"/>
  <c r="R366" i="33" s="1"/>
  <c r="AH248" i="33"/>
  <c r="AH179" i="33"/>
  <c r="K282" i="33"/>
  <c r="AJ248" i="33"/>
  <c r="X466" i="33"/>
  <c r="X468" i="33" s="1"/>
  <c r="M229" i="15"/>
  <c r="AJ219" i="33"/>
  <c r="L216" i="33"/>
  <c r="L280" i="33" s="1"/>
  <c r="AJ111" i="33"/>
  <c r="V217" i="33"/>
  <c r="V281" i="33" s="1"/>
  <c r="O308" i="33"/>
  <c r="O366" i="33" s="1"/>
  <c r="R323" i="33"/>
  <c r="R320" i="33"/>
  <c r="Z308" i="33"/>
  <c r="Z366" i="33" s="1"/>
  <c r="AA311" i="33"/>
  <c r="R264" i="33"/>
  <c r="R395" i="33" s="1"/>
  <c r="AH110" i="33"/>
  <c r="AJ230" i="33"/>
  <c r="AJ110" i="33"/>
  <c r="O136" i="33"/>
  <c r="Q143" i="33" s="1"/>
  <c r="Q134" i="33"/>
  <c r="Q389" i="33" s="1"/>
  <c r="AD133" i="33"/>
  <c r="AD383" i="33" s="1"/>
  <c r="Y133" i="33"/>
  <c r="Y383" i="33" s="1"/>
  <c r="AF216" i="33"/>
  <c r="AF280" i="33" s="1"/>
  <c r="AA136" i="33"/>
  <c r="AC143" i="33" s="1"/>
  <c r="L229" i="15"/>
  <c r="Z136" i="33"/>
  <c r="AB143" i="33" s="1"/>
  <c r="N136" i="33"/>
  <c r="P143" i="33" s="1"/>
  <c r="Y135" i="33"/>
  <c r="AH230" i="33"/>
  <c r="Z135" i="33"/>
  <c r="Z358" i="33" s="1"/>
  <c r="Q216" i="33"/>
  <c r="Q280" i="33" s="1"/>
  <c r="AH177" i="33"/>
  <c r="J229" i="15"/>
  <c r="AC264" i="33"/>
  <c r="AC395" i="33" s="1"/>
  <c r="AC19" i="31" s="1"/>
  <c r="O133" i="33"/>
  <c r="O383" i="33" s="1"/>
  <c r="Y134" i="33"/>
  <c r="Y389" i="33" s="1"/>
  <c r="AH219" i="33"/>
  <c r="K229" i="15"/>
  <c r="T216" i="33"/>
  <c r="T280" i="33" s="1"/>
  <c r="AE216" i="33"/>
  <c r="AE280" i="33" s="1"/>
  <c r="AH283" i="33"/>
  <c r="AJ283" i="33"/>
  <c r="AF200" i="33"/>
  <c r="AF393" i="33" s="1"/>
  <c r="AF17" i="31" s="1"/>
  <c r="AH249" i="33"/>
  <c r="R133" i="33"/>
  <c r="R383" i="33" s="1"/>
  <c r="N133" i="33"/>
  <c r="N383" i="33" s="1"/>
  <c r="W308" i="33"/>
  <c r="W366" i="33" s="1"/>
  <c r="K308" i="33"/>
  <c r="K366" i="33" s="1"/>
  <c r="U308" i="33"/>
  <c r="U366" i="33" s="1"/>
  <c r="X308" i="33"/>
  <c r="AH111" i="33"/>
  <c r="R134" i="33"/>
  <c r="R389" i="33" s="1"/>
  <c r="AF308" i="33"/>
  <c r="AF366" i="33" s="1"/>
  <c r="T308" i="33"/>
  <c r="T366" i="33" s="1"/>
  <c r="AC308" i="33"/>
  <c r="AC366" i="33" s="1"/>
  <c r="AD308" i="33"/>
  <c r="AD366" i="33" s="1"/>
  <c r="AH178" i="33"/>
  <c r="M135" i="33"/>
  <c r="M358" i="33" s="1"/>
  <c r="AJ178" i="33"/>
  <c r="Q308" i="33"/>
  <c r="Q366" i="33" s="1"/>
  <c r="AA308" i="33"/>
  <c r="AA366" i="33" s="1"/>
  <c r="AC148" i="33"/>
  <c r="AC365" i="33" s="1"/>
  <c r="Q148" i="33"/>
  <c r="Q365" i="33" s="1"/>
  <c r="Q151" i="33"/>
  <c r="AL80" i="15"/>
  <c r="AC11" i="26" s="1"/>
  <c r="AE272" i="33"/>
  <c r="AJ272" i="33" s="1"/>
  <c r="AG320" i="33"/>
  <c r="K80" i="15"/>
  <c r="K17" i="33" s="1"/>
  <c r="F11" i="26" s="1"/>
  <c r="K79" i="15"/>
  <c r="AJ213" i="33"/>
  <c r="AJ208" i="33"/>
  <c r="U323" i="33"/>
  <c r="U320" i="33"/>
  <c r="L282" i="33"/>
  <c r="V323" i="33"/>
  <c r="N229" i="15"/>
  <c r="F83" i="17"/>
  <c r="F64" i="22"/>
  <c r="F66" i="22" s="1"/>
  <c r="L148" i="33"/>
  <c r="L365" i="33" s="1"/>
  <c r="L367" i="33" s="1"/>
  <c r="N148" i="33"/>
  <c r="N365" i="33" s="1"/>
  <c r="Q311" i="33"/>
  <c r="AF148" i="33"/>
  <c r="AF365" i="33" s="1"/>
  <c r="O148" i="33"/>
  <c r="O365" i="33" s="1"/>
  <c r="L311" i="33"/>
  <c r="J21" i="33"/>
  <c r="E15" i="26" s="1"/>
  <c r="S25" i="33"/>
  <c r="N19" i="26" s="1"/>
  <c r="R25" i="33"/>
  <c r="M19" i="26" s="1"/>
  <c r="K21" i="33"/>
  <c r="F15" i="26" s="1"/>
  <c r="O229" i="15"/>
  <c r="T148" i="33"/>
  <c r="T365" i="33" s="1"/>
  <c r="L151" i="33"/>
  <c r="O151" i="33"/>
  <c r="X151" i="33"/>
  <c r="R148" i="33"/>
  <c r="R365" i="33" s="1"/>
  <c r="U151" i="33"/>
  <c r="W148" i="33"/>
  <c r="W365" i="33" s="1"/>
  <c r="Z151" i="33"/>
  <c r="Z311" i="33"/>
  <c r="N311" i="33"/>
  <c r="R311" i="33"/>
  <c r="AA151" i="33"/>
  <c r="T151" i="33"/>
  <c r="W151" i="33"/>
  <c r="AF151" i="33"/>
  <c r="Z148" i="33"/>
  <c r="Z365" i="33" s="1"/>
  <c r="AC151" i="33"/>
  <c r="AA148" i="33"/>
  <c r="AA365" i="33" s="1"/>
  <c r="AD151" i="33"/>
  <c r="K311" i="33"/>
  <c r="U311" i="33"/>
  <c r="X311" i="33"/>
  <c r="K151" i="33"/>
  <c r="U148" i="33"/>
  <c r="U365" i="33" s="1"/>
  <c r="X148" i="33"/>
  <c r="X365" i="33" s="1"/>
  <c r="W311" i="33"/>
  <c r="AF311" i="33"/>
  <c r="AD148" i="33"/>
  <c r="AD365" i="33" s="1"/>
  <c r="K148" i="33"/>
  <c r="K365" i="33" s="1"/>
  <c r="N151" i="33"/>
  <c r="O311" i="33"/>
  <c r="T311" i="33"/>
  <c r="AC311" i="33"/>
  <c r="F82" i="17"/>
  <c r="AF229" i="15"/>
  <c r="H161" i="15"/>
  <c r="H163" i="15" s="1"/>
  <c r="Y19" i="31"/>
  <c r="AC24" i="31"/>
  <c r="Z24" i="31"/>
  <c r="Y24" i="31"/>
  <c r="AH266" i="33"/>
  <c r="W19" i="31"/>
  <c r="Q25" i="33"/>
  <c r="L19" i="26" s="1"/>
  <c r="O25" i="33"/>
  <c r="J19" i="26" s="1"/>
  <c r="V229" i="15"/>
  <c r="AD229" i="15"/>
  <c r="AB229" i="15"/>
  <c r="P25" i="33"/>
  <c r="K19" i="26" s="1"/>
  <c r="Z229" i="15"/>
  <c r="R466" i="33"/>
  <c r="P466" i="33"/>
  <c r="P468" i="33" s="1"/>
  <c r="Q466" i="33"/>
  <c r="Q467" i="33" s="1"/>
  <c r="O466" i="33"/>
  <c r="P229" i="15"/>
  <c r="AC229" i="15"/>
  <c r="X229" i="15"/>
  <c r="U229" i="15"/>
  <c r="Q229" i="15"/>
  <c r="T229" i="15"/>
  <c r="S466" i="33"/>
  <c r="W229" i="15"/>
  <c r="S229" i="15"/>
  <c r="AA229" i="15"/>
  <c r="AE229" i="15"/>
  <c r="Y229" i="15"/>
  <c r="N466" i="33"/>
  <c r="R229" i="15"/>
  <c r="O271" i="33"/>
  <c r="AJ218" i="33"/>
  <c r="H11" i="17"/>
  <c r="H10" i="22"/>
  <c r="L2" i="22" s="1"/>
  <c r="AB9" i="26"/>
  <c r="AH211" i="33"/>
  <c r="AJ84" i="15"/>
  <c r="AF216" i="15"/>
  <c r="AL216" i="15" s="1"/>
  <c r="J59" i="22" s="1"/>
  <c r="AL101" i="15"/>
  <c r="S214" i="15"/>
  <c r="T400" i="33"/>
  <c r="W427" i="33"/>
  <c r="W7" i="15" s="1"/>
  <c r="X428" i="33"/>
  <c r="AJ270" i="33"/>
  <c r="T380" i="33"/>
  <c r="T217" i="15" s="1"/>
  <c r="AE380" i="33"/>
  <c r="AE217" i="15" s="1"/>
  <c r="O380" i="33"/>
  <c r="O217" i="15" s="1"/>
  <c r="U380" i="33"/>
  <c r="U217" i="15" s="1"/>
  <c r="R380" i="33"/>
  <c r="R217" i="15" s="1"/>
  <c r="AC380" i="33"/>
  <c r="AC217" i="15" s="1"/>
  <c r="AF380" i="33"/>
  <c r="AF217" i="15" s="1"/>
  <c r="AL217" i="15" s="1"/>
  <c r="J60" i="22" s="1"/>
  <c r="P380" i="33"/>
  <c r="P217" i="15" s="1"/>
  <c r="AA380" i="33"/>
  <c r="AA217" i="15" s="1"/>
  <c r="K380" i="33"/>
  <c r="K217" i="15" s="1"/>
  <c r="M380" i="33"/>
  <c r="M217" i="15" s="1"/>
  <c r="J380" i="33"/>
  <c r="J217" i="15" s="1"/>
  <c r="Y380" i="33"/>
  <c r="Y217" i="15" s="1"/>
  <c r="X380" i="33"/>
  <c r="X217" i="15" s="1"/>
  <c r="S380" i="33"/>
  <c r="S217" i="15" s="1"/>
  <c r="Z380" i="33"/>
  <c r="Z217" i="15" s="1"/>
  <c r="AB380" i="33"/>
  <c r="AB217" i="15" s="1"/>
  <c r="L380" i="33"/>
  <c r="L217" i="15" s="1"/>
  <c r="W380" i="33"/>
  <c r="W217" i="15" s="1"/>
  <c r="Q380" i="33"/>
  <c r="Q217" i="15" s="1"/>
  <c r="N380" i="33"/>
  <c r="N217" i="15" s="1"/>
  <c r="V380" i="33"/>
  <c r="V217" i="15" s="1"/>
  <c r="I380" i="33"/>
  <c r="I217" i="15" s="1"/>
  <c r="AD380" i="33"/>
  <c r="AD217" i="15" s="1"/>
  <c r="AJ266" i="33"/>
  <c r="T214" i="15"/>
  <c r="AJ214" i="15" s="1"/>
  <c r="H57" i="22" s="1"/>
  <c r="U400" i="33"/>
  <c r="D40" i="26"/>
  <c r="AH46" i="33"/>
  <c r="AH277" i="33"/>
  <c r="R400" i="33"/>
  <c r="Q214" i="15"/>
  <c r="AH265" i="33"/>
  <c r="BE7" i="15"/>
  <c r="V8" i="33"/>
  <c r="O270" i="33"/>
  <c r="AH270" i="33" s="1"/>
  <c r="P214" i="15"/>
  <c r="Q400" i="33"/>
  <c r="AJ277" i="33"/>
  <c r="AH213" i="33"/>
  <c r="AH212" i="33"/>
  <c r="W320" i="33"/>
  <c r="D13" i="26"/>
  <c r="AH19" i="33"/>
  <c r="S19" i="26"/>
  <c r="T216" i="15"/>
  <c r="AJ101" i="15"/>
  <c r="D10" i="26"/>
  <c r="AH16" i="33"/>
  <c r="K143" i="33"/>
  <c r="I157" i="33"/>
  <c r="I159" i="33" s="1"/>
  <c r="AH276" i="33"/>
  <c r="I378" i="33"/>
  <c r="I21" i="33"/>
  <c r="AJ104" i="15"/>
  <c r="I395" i="33"/>
  <c r="I393" i="33"/>
  <c r="M378" i="33"/>
  <c r="M21" i="33"/>
  <c r="H15" i="26" s="1"/>
  <c r="AH208" i="33"/>
  <c r="I272" i="33"/>
  <c r="L378" i="33"/>
  <c r="L21" i="33"/>
  <c r="G15" i="26" s="1"/>
  <c r="AJ207" i="33"/>
  <c r="U271" i="33"/>
  <c r="AJ271" i="33" s="1"/>
  <c r="AB20" i="26"/>
  <c r="F25" i="17"/>
  <c r="F45" i="17" s="1"/>
  <c r="AB40" i="26"/>
  <c r="AJ212" i="33"/>
  <c r="J214" i="15"/>
  <c r="K400" i="33"/>
  <c r="I203" i="15"/>
  <c r="J85" i="15"/>
  <c r="BA7" i="15"/>
  <c r="R8" i="33"/>
  <c r="AJ265" i="33"/>
  <c r="AH207" i="33"/>
  <c r="T468" i="33"/>
  <c r="T467" i="33"/>
  <c r="Z17" i="31"/>
  <c r="AJ276" i="33"/>
  <c r="AB13" i="26"/>
  <c r="F17" i="17"/>
  <c r="O214" i="15"/>
  <c r="P400" i="33"/>
  <c r="AC19" i="26"/>
  <c r="S400" i="33"/>
  <c r="R214" i="15"/>
  <c r="U393" i="33"/>
  <c r="AB10" i="26"/>
  <c r="H13" i="17"/>
  <c r="AJ211" i="33"/>
  <c r="U275" i="33"/>
  <c r="AJ275" i="33" s="1"/>
  <c r="AJ154" i="15"/>
  <c r="D20" i="26"/>
  <c r="AH26" i="33"/>
  <c r="L400" i="33"/>
  <c r="K214" i="15"/>
  <c r="M108" i="15"/>
  <c r="M25" i="33" s="1"/>
  <c r="H19" i="26" s="1"/>
  <c r="P428" i="33"/>
  <c r="Q427" i="33"/>
  <c r="Q7" i="15" s="1"/>
  <c r="AJ206" i="33"/>
  <c r="AH206" i="33"/>
  <c r="S347" i="33" l="1"/>
  <c r="S351" i="33" s="1"/>
  <c r="O351" i="33"/>
  <c r="AF351" i="33"/>
  <c r="T351" i="33"/>
  <c r="AE351" i="33"/>
  <c r="Y351" i="33"/>
  <c r="W351" i="33"/>
  <c r="K351" i="33"/>
  <c r="R351" i="33"/>
  <c r="AC351" i="33"/>
  <c r="X351" i="33"/>
  <c r="AA351" i="33"/>
  <c r="L351" i="33"/>
  <c r="M351" i="33"/>
  <c r="AB351" i="33"/>
  <c r="Z351" i="33"/>
  <c r="V351" i="33"/>
  <c r="P351" i="33"/>
  <c r="J351" i="33"/>
  <c r="AD351" i="33"/>
  <c r="U24" i="31"/>
  <c r="I340" i="33"/>
  <c r="J333" i="33"/>
  <c r="J388" i="33" s="1"/>
  <c r="AH275" i="33"/>
  <c r="AB17" i="31"/>
  <c r="W467" i="33"/>
  <c r="AC17" i="31"/>
  <c r="AD17" i="31"/>
  <c r="AE17" i="31"/>
  <c r="Y7" i="31"/>
  <c r="V24" i="31"/>
  <c r="U19" i="31"/>
  <c r="Y17" i="31"/>
  <c r="X17" i="31"/>
  <c r="V17" i="31"/>
  <c r="I17" i="33"/>
  <c r="D11" i="26" s="1"/>
  <c r="AA17" i="31"/>
  <c r="T7" i="31"/>
  <c r="AD13" i="31"/>
  <c r="AC13" i="31"/>
  <c r="AE13" i="31"/>
  <c r="W17" i="31"/>
  <c r="AJ294" i="15"/>
  <c r="U305" i="15"/>
  <c r="AL294" i="15"/>
  <c r="L209" i="15"/>
  <c r="P17" i="31"/>
  <c r="V13" i="31"/>
  <c r="K17" i="31"/>
  <c r="X7" i="31"/>
  <c r="K344" i="33"/>
  <c r="M345" i="33"/>
  <c r="J2" i="17"/>
  <c r="Q305" i="15"/>
  <c r="Q347" i="33" s="1"/>
  <c r="I305" i="15"/>
  <c r="N305" i="15"/>
  <c r="N347" i="33" s="1"/>
  <c r="J2" i="22"/>
  <c r="I139" i="33"/>
  <c r="I141" i="33" s="1"/>
  <c r="Z232" i="33"/>
  <c r="Z394" i="33" s="1"/>
  <c r="I153" i="33"/>
  <c r="I156" i="33" s="1"/>
  <c r="U467" i="33"/>
  <c r="M19" i="31"/>
  <c r="I147" i="33"/>
  <c r="AA358" i="33"/>
  <c r="AD358" i="33"/>
  <c r="Z367" i="33"/>
  <c r="Z368" i="33" s="1"/>
  <c r="K140" i="33"/>
  <c r="K360" i="33" s="1"/>
  <c r="AE147" i="33"/>
  <c r="V467" i="33"/>
  <c r="X13" i="31"/>
  <c r="M468" i="33"/>
  <c r="S293" i="33"/>
  <c r="S359" i="33" s="1"/>
  <c r="AC293" i="33"/>
  <c r="AC359" i="33" s="1"/>
  <c r="AG146" i="33"/>
  <c r="Y291" i="33"/>
  <c r="Y294" i="33"/>
  <c r="AA303" i="33" s="1"/>
  <c r="AC232" i="33"/>
  <c r="AC394" i="33" s="1"/>
  <c r="AB232" i="33"/>
  <c r="AB394" i="33" s="1"/>
  <c r="AJ25" i="33"/>
  <c r="W358" i="33"/>
  <c r="Z294" i="33"/>
  <c r="AB303" i="33" s="1"/>
  <c r="I225" i="15"/>
  <c r="X232" i="33"/>
  <c r="X394" i="33" s="1"/>
  <c r="U358" i="33"/>
  <c r="W293" i="33"/>
  <c r="W359" i="33" s="1"/>
  <c r="AE232" i="33"/>
  <c r="AE394" i="33" s="1"/>
  <c r="S292" i="33"/>
  <c r="S407" i="33" s="1"/>
  <c r="AD292" i="33"/>
  <c r="AD407" i="33" s="1"/>
  <c r="Z293" i="33"/>
  <c r="Z359" i="33" s="1"/>
  <c r="AA232" i="33"/>
  <c r="AA394" i="33" s="1"/>
  <c r="I150" i="33"/>
  <c r="I152" i="33" s="1"/>
  <c r="J150" i="33"/>
  <c r="J152" i="33" s="1"/>
  <c r="I142" i="33"/>
  <c r="I144" i="33" s="1"/>
  <c r="I358" i="33"/>
  <c r="AE291" i="33"/>
  <c r="AE292" i="33"/>
  <c r="AE407" i="33" s="1"/>
  <c r="Y292" i="33"/>
  <c r="Y407" i="33" s="1"/>
  <c r="Y232" i="33"/>
  <c r="Y394" i="33" s="1"/>
  <c r="AD293" i="33"/>
  <c r="AF300" i="33" s="1"/>
  <c r="AF361" i="33" s="1"/>
  <c r="AF362" i="33" s="1"/>
  <c r="AF145" i="33"/>
  <c r="AF149" i="33" s="1"/>
  <c r="J142" i="33"/>
  <c r="J144" i="33" s="1"/>
  <c r="J153" i="33"/>
  <c r="J156" i="33" s="1"/>
  <c r="J139" i="33"/>
  <c r="J141" i="33" s="1"/>
  <c r="V140" i="33"/>
  <c r="V360" i="33" s="1"/>
  <c r="O225" i="15"/>
  <c r="W225" i="15"/>
  <c r="T225" i="15"/>
  <c r="Z225" i="15"/>
  <c r="V225" i="15"/>
  <c r="Q358" i="33"/>
  <c r="AE145" i="33"/>
  <c r="AF147" i="33"/>
  <c r="X145" i="33"/>
  <c r="X149" i="33" s="1"/>
  <c r="X294" i="33"/>
  <c r="AC292" i="33"/>
  <c r="AC407" i="33" s="1"/>
  <c r="AF367" i="33"/>
  <c r="AF369" i="33" s="1"/>
  <c r="AA291" i="33"/>
  <c r="AA294" i="33"/>
  <c r="AC303" i="33" s="1"/>
  <c r="X293" i="33"/>
  <c r="X359" i="33" s="1"/>
  <c r="V232" i="33"/>
  <c r="V394" i="33" s="1"/>
  <c r="X291" i="33"/>
  <c r="AA292" i="33"/>
  <c r="AA407" i="33" s="1"/>
  <c r="AF291" i="33"/>
  <c r="AB294" i="33"/>
  <c r="AD303" i="33" s="1"/>
  <c r="AB292" i="33"/>
  <c r="AB407" i="33" s="1"/>
  <c r="AA293" i="33"/>
  <c r="AC300" i="33" s="1"/>
  <c r="AB291" i="33"/>
  <c r="AB358" i="33"/>
  <c r="AD291" i="33"/>
  <c r="U225" i="15"/>
  <c r="AC225" i="15"/>
  <c r="AA225" i="15"/>
  <c r="X140" i="33"/>
  <c r="X360" i="33" s="1"/>
  <c r="Q225" i="15"/>
  <c r="U232" i="33"/>
  <c r="U394" i="33" s="1"/>
  <c r="AD294" i="33"/>
  <c r="AF303" i="33" s="1"/>
  <c r="R225" i="15"/>
  <c r="N225" i="15"/>
  <c r="K225" i="15"/>
  <c r="AE148" i="33"/>
  <c r="AE365" i="33" s="1"/>
  <c r="AJ200" i="33"/>
  <c r="Y148" i="33"/>
  <c r="Y365" i="33" s="1"/>
  <c r="AE225" i="15"/>
  <c r="S225" i="15"/>
  <c r="P225" i="15"/>
  <c r="L225" i="15"/>
  <c r="M17" i="31"/>
  <c r="AD232" i="33"/>
  <c r="AD394" i="33" s="1"/>
  <c r="W145" i="33"/>
  <c r="W149" i="33" s="1"/>
  <c r="Y225" i="15"/>
  <c r="AF225" i="15"/>
  <c r="AB225" i="15"/>
  <c r="X225" i="15"/>
  <c r="AD225" i="15"/>
  <c r="M225" i="15"/>
  <c r="J225" i="15"/>
  <c r="X292" i="33"/>
  <c r="X407" i="33" s="1"/>
  <c r="V293" i="33"/>
  <c r="X300" i="33" s="1"/>
  <c r="T281" i="33"/>
  <c r="W323" i="33" s="1"/>
  <c r="AJ264" i="33"/>
  <c r="AE146" i="33"/>
  <c r="AE140" i="33"/>
  <c r="AE360" i="33" s="1"/>
  <c r="AA146" i="33"/>
  <c r="AF293" i="33"/>
  <c r="AF359" i="33" s="1"/>
  <c r="AB151" i="33"/>
  <c r="AC358" i="33"/>
  <c r="AD147" i="33"/>
  <c r="AD146" i="33"/>
  <c r="N13" i="31"/>
  <c r="I13" i="31"/>
  <c r="L13" i="31"/>
  <c r="Q367" i="33"/>
  <c r="Q368" i="33" s="1"/>
  <c r="V19" i="31"/>
  <c r="N25" i="33"/>
  <c r="I19" i="26" s="1"/>
  <c r="L17" i="33"/>
  <c r="G11" i="26" s="1"/>
  <c r="Y157" i="33"/>
  <c r="Y159" i="33" s="1"/>
  <c r="V7" i="31"/>
  <c r="N293" i="33"/>
  <c r="N359" i="33" s="1"/>
  <c r="AJ215" i="15"/>
  <c r="H58" i="22" s="1"/>
  <c r="K232" i="33"/>
  <c r="K394" i="33" s="1"/>
  <c r="AJ216" i="15"/>
  <c r="H59" i="22" s="1"/>
  <c r="AJ217" i="15"/>
  <c r="H60" i="22" s="1"/>
  <c r="AJ210" i="15"/>
  <c r="J358" i="33"/>
  <c r="I280" i="33"/>
  <c r="I294" i="33" s="1"/>
  <c r="K303" i="33" s="1"/>
  <c r="J232" i="33"/>
  <c r="J394" i="33" s="1"/>
  <c r="R140" i="33"/>
  <c r="R360" i="33" s="1"/>
  <c r="M232" i="33"/>
  <c r="M394" i="33" s="1"/>
  <c r="N232" i="33"/>
  <c r="N394" i="33" s="1"/>
  <c r="R358" i="33"/>
  <c r="V148" i="33"/>
  <c r="V365" i="33" s="1"/>
  <c r="I383" i="33"/>
  <c r="I7" i="31" s="1"/>
  <c r="T147" i="33"/>
  <c r="V143" i="33"/>
  <c r="S146" i="33"/>
  <c r="U146" i="33"/>
  <c r="P140" i="33"/>
  <c r="P360" i="33" s="1"/>
  <c r="S145" i="33"/>
  <c r="P147" i="33"/>
  <c r="J145" i="33"/>
  <c r="J149" i="33" s="1"/>
  <c r="J160" i="33" s="1"/>
  <c r="J218" i="15" s="1"/>
  <c r="J147" i="33"/>
  <c r="I138" i="33"/>
  <c r="I204" i="15" s="1"/>
  <c r="N214" i="15"/>
  <c r="I146" i="33"/>
  <c r="Z157" i="33"/>
  <c r="Z159" i="33" s="1"/>
  <c r="J146" i="33"/>
  <c r="K7" i="31"/>
  <c r="P19" i="31"/>
  <c r="K19" i="31"/>
  <c r="K146" i="33"/>
  <c r="P293" i="33"/>
  <c r="P359" i="33" s="1"/>
  <c r="AH218" i="33"/>
  <c r="R147" i="33"/>
  <c r="Q140" i="33"/>
  <c r="Q360" i="33" s="1"/>
  <c r="U147" i="33"/>
  <c r="U145" i="33"/>
  <c r="U149" i="33" s="1"/>
  <c r="Z13" i="31"/>
  <c r="U140" i="33"/>
  <c r="U360" i="33" s="1"/>
  <c r="T145" i="33"/>
  <c r="T149" i="33" s="1"/>
  <c r="R145" i="33"/>
  <c r="R149" i="33" s="1"/>
  <c r="S147" i="33"/>
  <c r="W146" i="33"/>
  <c r="O13" i="31"/>
  <c r="J467" i="33"/>
  <c r="J390" i="33" s="1"/>
  <c r="J468" i="33"/>
  <c r="J408" i="33" s="1"/>
  <c r="W143" i="33"/>
  <c r="AA142" i="33" s="1"/>
  <c r="AA144" i="33" s="1"/>
  <c r="R232" i="33"/>
  <c r="R394" i="33" s="1"/>
  <c r="W147" i="33"/>
  <c r="V145" i="33"/>
  <c r="X157" i="33"/>
  <c r="X159" i="33" s="1"/>
  <c r="Y467" i="33"/>
  <c r="S13" i="31"/>
  <c r="W157" i="33"/>
  <c r="W159" i="33" s="1"/>
  <c r="N367" i="33"/>
  <c r="N368" i="33" s="1"/>
  <c r="Y151" i="33"/>
  <c r="AA7" i="31"/>
  <c r="AA13" i="31"/>
  <c r="W13" i="31"/>
  <c r="J13" i="31"/>
  <c r="K142" i="33"/>
  <c r="K144" i="33" s="1"/>
  <c r="AB13" i="31"/>
  <c r="P7" i="31"/>
  <c r="P13" i="31"/>
  <c r="J293" i="33"/>
  <c r="J359" i="33" s="1"/>
  <c r="AJ17" i="33"/>
  <c r="W292" i="33"/>
  <c r="W407" i="33" s="1"/>
  <c r="Q294" i="33"/>
  <c r="S303" i="33" s="1"/>
  <c r="K153" i="33"/>
  <c r="K156" i="33" s="1"/>
  <c r="K139" i="33"/>
  <c r="X147" i="33"/>
  <c r="AD367" i="33"/>
  <c r="AD369" i="33" s="1"/>
  <c r="X146" i="33"/>
  <c r="L147" i="33"/>
  <c r="M137" i="33"/>
  <c r="M138" i="33" s="1"/>
  <c r="M204" i="15" s="1"/>
  <c r="AC145" i="33"/>
  <c r="AC149" i="33" s="1"/>
  <c r="X358" i="33"/>
  <c r="M140" i="33"/>
  <c r="M360" i="33" s="1"/>
  <c r="K137" i="33"/>
  <c r="K138" i="33" s="1"/>
  <c r="K204" i="15" s="1"/>
  <c r="AC147" i="33"/>
  <c r="M148" i="33"/>
  <c r="M365" i="33" s="1"/>
  <c r="L145" i="33"/>
  <c r="L149" i="33" s="1"/>
  <c r="J137" i="33"/>
  <c r="J138" i="33" s="1"/>
  <c r="J204" i="15" s="1"/>
  <c r="T13" i="31"/>
  <c r="M145" i="33"/>
  <c r="M149" i="33" s="1"/>
  <c r="AB7" i="31"/>
  <c r="AD7" i="31"/>
  <c r="K145" i="33"/>
  <c r="K149" i="33" s="1"/>
  <c r="K147" i="33"/>
  <c r="AC7" i="31"/>
  <c r="AE7" i="31"/>
  <c r="Z7" i="31"/>
  <c r="R13" i="31"/>
  <c r="W7" i="31"/>
  <c r="AF7" i="31"/>
  <c r="AD145" i="33"/>
  <c r="AD149" i="33" s="1"/>
  <c r="AF146" i="33"/>
  <c r="AB147" i="33"/>
  <c r="AB140" i="33"/>
  <c r="AB360" i="33" s="1"/>
  <c r="M13" i="31"/>
  <c r="N145" i="33"/>
  <c r="N149" i="33" s="1"/>
  <c r="L137" i="33"/>
  <c r="L138" i="33" s="1"/>
  <c r="L204" i="15" s="1"/>
  <c r="L358" i="33"/>
  <c r="K13" i="31"/>
  <c r="R294" i="33"/>
  <c r="T303" i="33" s="1"/>
  <c r="R292" i="33"/>
  <c r="R407" i="33" s="1"/>
  <c r="R291" i="33"/>
  <c r="Q146" i="33"/>
  <c r="AH200" i="33"/>
  <c r="S148" i="33"/>
  <c r="S365" i="33" s="1"/>
  <c r="R146" i="33"/>
  <c r="T146" i="33"/>
  <c r="V151" i="33"/>
  <c r="S232" i="33"/>
  <c r="S394" i="33" s="1"/>
  <c r="L292" i="33"/>
  <c r="L407" i="33" s="1"/>
  <c r="M280" i="33"/>
  <c r="M293" i="33" s="1"/>
  <c r="O300" i="33" s="1"/>
  <c r="L146" i="33"/>
  <c r="Q153" i="33"/>
  <c r="Q156" i="33" s="1"/>
  <c r="Q145" i="33"/>
  <c r="Q149" i="33" s="1"/>
  <c r="L232" i="33"/>
  <c r="L394" i="33" s="1"/>
  <c r="Y13" i="31"/>
  <c r="I211" i="15"/>
  <c r="K293" i="33"/>
  <c r="M300" i="33" s="1"/>
  <c r="Q147" i="33"/>
  <c r="L467" i="33"/>
  <c r="V146" i="33"/>
  <c r="R153" i="33"/>
  <c r="R156" i="33" s="1"/>
  <c r="L153" i="33"/>
  <c r="L156" i="33" s="1"/>
  <c r="K150" i="33"/>
  <c r="K152" i="33" s="1"/>
  <c r="V147" i="33"/>
  <c r="N146" i="33"/>
  <c r="K358" i="33"/>
  <c r="R157" i="33"/>
  <c r="R159" i="33" s="1"/>
  <c r="O232" i="33"/>
  <c r="O394" i="33" s="1"/>
  <c r="K468" i="33"/>
  <c r="AJ78" i="15"/>
  <c r="AJ79" i="15" s="1"/>
  <c r="M157" i="33"/>
  <c r="M159" i="33" s="1"/>
  <c r="N7" i="31"/>
  <c r="Q7" i="31"/>
  <c r="L157" i="33"/>
  <c r="L159" i="33" s="1"/>
  <c r="I19" i="31"/>
  <c r="P157" i="33"/>
  <c r="P159" i="33" s="1"/>
  <c r="M151" i="33"/>
  <c r="O150" i="33" s="1"/>
  <c r="O152" i="33" s="1"/>
  <c r="J17" i="33"/>
  <c r="E11" i="26" s="1"/>
  <c r="AH217" i="33"/>
  <c r="T157" i="33"/>
  <c r="V158" i="33" s="1"/>
  <c r="S24" i="31"/>
  <c r="K157" i="33"/>
  <c r="K159" i="33" s="1"/>
  <c r="J157" i="33"/>
  <c r="J159" i="33" s="1"/>
  <c r="O157" i="33"/>
  <c r="O159" i="33" s="1"/>
  <c r="M7" i="31"/>
  <c r="Q13" i="31"/>
  <c r="U13" i="31"/>
  <c r="N294" i="33"/>
  <c r="P303" i="33" s="1"/>
  <c r="J168" i="15"/>
  <c r="J340" i="33" s="1"/>
  <c r="X467" i="33"/>
  <c r="N157" i="33"/>
  <c r="N159" i="33" s="1"/>
  <c r="P232" i="33"/>
  <c r="P394" i="33" s="1"/>
  <c r="M150" i="33"/>
  <c r="R367" i="33"/>
  <c r="R369" i="33" s="1"/>
  <c r="AJ280" i="33"/>
  <c r="P294" i="33"/>
  <c r="R303" i="33" s="1"/>
  <c r="AF153" i="33"/>
  <c r="AF156" i="33" s="1"/>
  <c r="AE294" i="33"/>
  <c r="N17" i="31"/>
  <c r="W232" i="33"/>
  <c r="W394" i="33" s="1"/>
  <c r="J291" i="33"/>
  <c r="S157" i="33"/>
  <c r="S159" i="33" s="1"/>
  <c r="J294" i="33"/>
  <c r="L303" i="33" s="1"/>
  <c r="J292" i="33"/>
  <c r="J407" i="33" s="1"/>
  <c r="W367" i="33"/>
  <c r="W368" i="33" s="1"/>
  <c r="W294" i="33"/>
  <c r="Q157" i="33"/>
  <c r="Q159" i="33" s="1"/>
  <c r="AJ217" i="33"/>
  <c r="L150" i="33"/>
  <c r="L152" i="33" s="1"/>
  <c r="AH264" i="33"/>
  <c r="U157" i="33"/>
  <c r="U159" i="33" s="1"/>
  <c r="V157" i="33"/>
  <c r="S151" i="33"/>
  <c r="I467" i="33"/>
  <c r="I390" i="33" s="1"/>
  <c r="AA367" i="33"/>
  <c r="AA369" i="33" s="1"/>
  <c r="O367" i="33"/>
  <c r="O368" i="33" s="1"/>
  <c r="W291" i="33"/>
  <c r="S294" i="33"/>
  <c r="U303" i="33" s="1"/>
  <c r="Y147" i="33"/>
  <c r="AC137" i="33"/>
  <c r="AC138" i="33" s="1"/>
  <c r="AC204" i="15" s="1"/>
  <c r="AA147" i="33"/>
  <c r="AB146" i="33"/>
  <c r="Q292" i="33"/>
  <c r="Q407" i="33" s="1"/>
  <c r="AD153" i="33"/>
  <c r="AD156" i="33" s="1"/>
  <c r="Z291" i="33"/>
  <c r="AB137" i="33"/>
  <c r="AB138" i="33" s="1"/>
  <c r="AB204" i="15" s="1"/>
  <c r="T294" i="33"/>
  <c r="AF232" i="33"/>
  <c r="AF394" i="33" s="1"/>
  <c r="R293" i="33"/>
  <c r="R359" i="33" s="1"/>
  <c r="N137" i="33"/>
  <c r="N138" i="33" s="1"/>
  <c r="N204" i="15" s="1"/>
  <c r="Y146" i="33"/>
  <c r="O137" i="33"/>
  <c r="O138" i="33" s="1"/>
  <c r="O204" i="15" s="1"/>
  <c r="W137" i="33"/>
  <c r="W138" i="33" s="1"/>
  <c r="W204" i="15" s="1"/>
  <c r="L291" i="33"/>
  <c r="AF157" i="33"/>
  <c r="AF159" i="33" s="1"/>
  <c r="AE153" i="33"/>
  <c r="AE156" i="33" s="1"/>
  <c r="AB145" i="33"/>
  <c r="S137" i="33"/>
  <c r="S138" i="33" s="1"/>
  <c r="S204" i="15" s="1"/>
  <c r="T291" i="33"/>
  <c r="AA157" i="33"/>
  <c r="AA159" i="33" s="1"/>
  <c r="U137" i="33"/>
  <c r="U138" i="33" s="1"/>
  <c r="U204" i="15" s="1"/>
  <c r="Q293" i="33"/>
  <c r="AE137" i="33"/>
  <c r="AE138" i="33" s="1"/>
  <c r="AE204" i="15" s="1"/>
  <c r="AH216" i="33"/>
  <c r="AB148" i="33"/>
  <c r="AB365" i="33" s="1"/>
  <c r="S291" i="33"/>
  <c r="AA137" i="33"/>
  <c r="AA138" i="33" s="1"/>
  <c r="AA204" i="15" s="1"/>
  <c r="L294" i="33"/>
  <c r="Z145" i="33"/>
  <c r="Z149" i="33" s="1"/>
  <c r="Y293" i="33"/>
  <c r="R137" i="33"/>
  <c r="R138" i="33" s="1"/>
  <c r="R204" i="15" s="1"/>
  <c r="P137" i="33"/>
  <c r="P138" i="33" s="1"/>
  <c r="P204" i="15" s="1"/>
  <c r="T292" i="33"/>
  <c r="T407" i="33" s="1"/>
  <c r="Z292" i="33"/>
  <c r="Z407" i="33" s="1"/>
  <c r="Q137" i="33"/>
  <c r="Q138" i="33" s="1"/>
  <c r="Q204" i="15" s="1"/>
  <c r="AE157" i="33"/>
  <c r="AE159" i="33" s="1"/>
  <c r="AD157" i="33"/>
  <c r="AD159" i="33" s="1"/>
  <c r="AB157" i="33"/>
  <c r="AB159" i="33" s="1"/>
  <c r="Z147" i="33"/>
  <c r="Y145" i="33"/>
  <c r="AC146" i="33"/>
  <c r="T137" i="33"/>
  <c r="T138" i="33" s="1"/>
  <c r="T204" i="15" s="1"/>
  <c r="Q291" i="33"/>
  <c r="AJ133" i="33"/>
  <c r="Z146" i="33"/>
  <c r="AJ216" i="33"/>
  <c r="T232" i="33"/>
  <c r="T394" i="33" s="1"/>
  <c r="U367" i="33"/>
  <c r="U368" i="33" s="1"/>
  <c r="X366" i="33"/>
  <c r="X367" i="33" s="1"/>
  <c r="X368" i="33" s="1"/>
  <c r="AC367" i="33"/>
  <c r="AC368" i="33" s="1"/>
  <c r="T367" i="33"/>
  <c r="T369" i="33" s="1"/>
  <c r="AF292" i="33"/>
  <c r="AF407" i="33" s="1"/>
  <c r="AF31" i="31" s="1"/>
  <c r="Z137" i="33"/>
  <c r="Z138" i="33" s="1"/>
  <c r="Z204" i="15" s="1"/>
  <c r="Y358" i="33"/>
  <c r="AA140" i="33"/>
  <c r="AA360" i="33" s="1"/>
  <c r="AH271" i="33"/>
  <c r="V137" i="33"/>
  <c r="V138" i="33" s="1"/>
  <c r="V204" i="15" s="1"/>
  <c r="X137" i="33"/>
  <c r="X138" i="33" s="1"/>
  <c r="X204" i="15" s="1"/>
  <c r="Y153" i="33"/>
  <c r="Y156" i="33" s="1"/>
  <c r="AA145" i="33"/>
  <c r="AA149" i="33" s="1"/>
  <c r="Y137" i="33"/>
  <c r="Y138" i="33" s="1"/>
  <c r="Y204" i="15" s="1"/>
  <c r="AH133" i="33"/>
  <c r="AF137" i="33"/>
  <c r="AF138" i="33" s="1"/>
  <c r="AF204" i="15" s="1"/>
  <c r="AL204" i="15" s="1"/>
  <c r="J33" i="22" s="1"/>
  <c r="AC157" i="33"/>
  <c r="AC159" i="33" s="1"/>
  <c r="AE151" i="33"/>
  <c r="P151" i="33"/>
  <c r="Q232" i="33"/>
  <c r="Q394" i="33" s="1"/>
  <c r="M146" i="33"/>
  <c r="S153" i="33"/>
  <c r="S156" i="33" s="1"/>
  <c r="U153" i="33"/>
  <c r="U156" i="33" s="1"/>
  <c r="V153" i="33"/>
  <c r="V156" i="33" s="1"/>
  <c r="T153" i="33"/>
  <c r="T156" i="33" s="1"/>
  <c r="AA153" i="33"/>
  <c r="AA156" i="33" s="1"/>
  <c r="M147" i="33"/>
  <c r="O146" i="33"/>
  <c r="O145" i="33"/>
  <c r="O149" i="33" s="1"/>
  <c r="AB153" i="33"/>
  <c r="AB156" i="33" s="1"/>
  <c r="P153" i="33"/>
  <c r="P156" i="33" s="1"/>
  <c r="X153" i="33"/>
  <c r="X156" i="33" s="1"/>
  <c r="M153" i="33"/>
  <c r="M156" i="33" s="1"/>
  <c r="AC153" i="33"/>
  <c r="AC156" i="33" s="1"/>
  <c r="N291" i="33"/>
  <c r="AF294" i="33"/>
  <c r="N147" i="33"/>
  <c r="P145" i="33"/>
  <c r="AD137" i="33"/>
  <c r="AD138" i="33" s="1"/>
  <c r="AD204" i="15" s="1"/>
  <c r="P148" i="33"/>
  <c r="P365" i="33" s="1"/>
  <c r="K367" i="33"/>
  <c r="K369" i="33" s="1"/>
  <c r="O140" i="33"/>
  <c r="O360" i="33" s="1"/>
  <c r="Z153" i="33"/>
  <c r="Z156" i="33" s="1"/>
  <c r="W153" i="33"/>
  <c r="W156" i="33" s="1"/>
  <c r="N153" i="33"/>
  <c r="N156" i="33" s="1"/>
  <c r="O153" i="33"/>
  <c r="O156" i="33" s="1"/>
  <c r="AE293" i="33"/>
  <c r="U142" i="33"/>
  <c r="U144" i="33" s="1"/>
  <c r="O147" i="33"/>
  <c r="P467" i="33"/>
  <c r="P146" i="33"/>
  <c r="F85" i="17"/>
  <c r="AH282" i="33"/>
  <c r="L293" i="33"/>
  <c r="N292" i="33"/>
  <c r="N407" i="33" s="1"/>
  <c r="AJ80" i="15"/>
  <c r="AB11" i="26" s="1"/>
  <c r="I160" i="33"/>
  <c r="I218" i="15" s="1"/>
  <c r="Q468" i="33"/>
  <c r="AJ281" i="33"/>
  <c r="AC291" i="33"/>
  <c r="AB293" i="33"/>
  <c r="AB359" i="33" s="1"/>
  <c r="K292" i="33"/>
  <c r="K407" i="33" s="1"/>
  <c r="P292" i="33"/>
  <c r="P407" i="33" s="1"/>
  <c r="J17" i="31"/>
  <c r="J19" i="31"/>
  <c r="K25" i="33"/>
  <c r="F19" i="26" s="1"/>
  <c r="S19" i="31"/>
  <c r="S17" i="31"/>
  <c r="S7" i="31"/>
  <c r="L25" i="33"/>
  <c r="G19" i="26" s="1"/>
  <c r="T17" i="31"/>
  <c r="T19" i="31"/>
  <c r="R24" i="31"/>
  <c r="P291" i="33"/>
  <c r="AC294" i="33"/>
  <c r="R7" i="31"/>
  <c r="S142" i="33"/>
  <c r="S144" i="33" s="1"/>
  <c r="O293" i="33"/>
  <c r="V291" i="33"/>
  <c r="R19" i="31"/>
  <c r="J25" i="33"/>
  <c r="E19" i="26" s="1"/>
  <c r="R17" i="31"/>
  <c r="L19" i="31"/>
  <c r="L7" i="31"/>
  <c r="K291" i="33"/>
  <c r="L17" i="31"/>
  <c r="H26" i="22"/>
  <c r="H28" i="22" s="1"/>
  <c r="O19" i="31"/>
  <c r="O7" i="31"/>
  <c r="O17" i="31"/>
  <c r="I25" i="33"/>
  <c r="D19" i="26" s="1"/>
  <c r="Q17" i="31"/>
  <c r="Q24" i="31"/>
  <c r="Q19" i="31"/>
  <c r="R468" i="33"/>
  <c r="R467" i="33"/>
  <c r="O468" i="33"/>
  <c r="O467" i="33"/>
  <c r="N468" i="33"/>
  <c r="N467" i="33"/>
  <c r="S468" i="33"/>
  <c r="S467" i="33"/>
  <c r="V142" i="33"/>
  <c r="T142" i="33"/>
  <c r="T144" i="33" s="1"/>
  <c r="Q142" i="33"/>
  <c r="Q144" i="33" s="1"/>
  <c r="O142" i="33"/>
  <c r="O144" i="33" s="1"/>
  <c r="L142" i="33"/>
  <c r="L144" i="33" s="1"/>
  <c r="M142" i="33"/>
  <c r="M144" i="33" s="1"/>
  <c r="N142" i="33"/>
  <c r="N144" i="33" s="1"/>
  <c r="R142" i="33"/>
  <c r="R144" i="33" s="1"/>
  <c r="P142" i="33"/>
  <c r="P144" i="33" s="1"/>
  <c r="K294" i="33"/>
  <c r="P24" i="31"/>
  <c r="N19" i="31"/>
  <c r="AZ7" i="15"/>
  <c r="Q8" i="33"/>
  <c r="I346" i="33"/>
  <c r="F14" i="17"/>
  <c r="F13" i="17"/>
  <c r="V294" i="33"/>
  <c r="M214" i="15"/>
  <c r="N400" i="33"/>
  <c r="D15" i="26"/>
  <c r="AH21" i="33"/>
  <c r="O292" i="33"/>
  <c r="O407" i="33" s="1"/>
  <c r="O294" i="33"/>
  <c r="O291" i="33"/>
  <c r="T24" i="31"/>
  <c r="AJ108" i="15"/>
  <c r="L214" i="15"/>
  <c r="M400" i="33"/>
  <c r="AB15" i="26"/>
  <c r="F19" i="17"/>
  <c r="F23" i="17" s="1"/>
  <c r="BF7" i="15"/>
  <c r="W8" i="33"/>
  <c r="O428" i="33"/>
  <c r="P427" i="33"/>
  <c r="P7" i="15" s="1"/>
  <c r="Q3" i="31" s="1"/>
  <c r="H14" i="17"/>
  <c r="AH272" i="33"/>
  <c r="I214" i="15"/>
  <c r="J400" i="33"/>
  <c r="U17" i="31"/>
  <c r="V292" i="33"/>
  <c r="V407" i="33" s="1"/>
  <c r="J203" i="15"/>
  <c r="K85" i="15"/>
  <c r="I17" i="31"/>
  <c r="L368" i="33"/>
  <c r="L369" i="33"/>
  <c r="U7" i="31"/>
  <c r="U293" i="33"/>
  <c r="Y428" i="33"/>
  <c r="X427" i="33"/>
  <c r="X7" i="15" s="1"/>
  <c r="M4" i="26" s="1"/>
  <c r="B306" i="15" l="1"/>
  <c r="N351" i="33"/>
  <c r="Q351" i="33"/>
  <c r="AF18" i="31"/>
  <c r="K333" i="33"/>
  <c r="K388" i="33" s="1"/>
  <c r="R3" i="31"/>
  <c r="M209" i="15"/>
  <c r="L4" i="26"/>
  <c r="J7" i="31"/>
  <c r="Z369" i="33"/>
  <c r="M139" i="33"/>
  <c r="M141" i="33" s="1"/>
  <c r="M160" i="33" s="1"/>
  <c r="M218" i="15" s="1"/>
  <c r="I347" i="33"/>
  <c r="I351" i="33" s="1"/>
  <c r="AJ305" i="15"/>
  <c r="U347" i="33"/>
  <c r="AL305" i="15"/>
  <c r="N345" i="33"/>
  <c r="L344" i="33"/>
  <c r="L139" i="33"/>
  <c r="L141" i="33" s="1"/>
  <c r="K141" i="33"/>
  <c r="K160" i="33" s="1"/>
  <c r="K218" i="15" s="1"/>
  <c r="AF368" i="33"/>
  <c r="U300" i="33"/>
  <c r="U361" i="33" s="1"/>
  <c r="U362" i="33" s="1"/>
  <c r="U364" i="33" s="1"/>
  <c r="AD359" i="33"/>
  <c r="AE300" i="33"/>
  <c r="AE297" i="33"/>
  <c r="Y300" i="33"/>
  <c r="Y361" i="33" s="1"/>
  <c r="Y362" i="33" s="1"/>
  <c r="Y364" i="33" s="1"/>
  <c r="AB311" i="33"/>
  <c r="AB300" i="33"/>
  <c r="AB361" i="33" s="1"/>
  <c r="AB362" i="33" s="1"/>
  <c r="AB363" i="33" s="1"/>
  <c r="Q369" i="33"/>
  <c r="AC369" i="33"/>
  <c r="AE142" i="33"/>
  <c r="AE144" i="33" s="1"/>
  <c r="X142" i="33"/>
  <c r="X144" i="33" s="1"/>
  <c r="P150" i="33"/>
  <c r="P152" i="33" s="1"/>
  <c r="Q150" i="33"/>
  <c r="Q152" i="33" s="1"/>
  <c r="N150" i="33"/>
  <c r="N152" i="33" s="1"/>
  <c r="V144" i="33"/>
  <c r="Y149" i="33"/>
  <c r="AE149" i="33"/>
  <c r="U294" i="33"/>
  <c r="U298" i="33" s="1"/>
  <c r="Z303" i="33"/>
  <c r="Z298" i="33"/>
  <c r="AA298" i="33"/>
  <c r="Y298" i="33"/>
  <c r="AH281" i="33"/>
  <c r="Z300" i="33"/>
  <c r="Z361" i="33" s="1"/>
  <c r="Z362" i="33" s="1"/>
  <c r="Z364" i="33" s="1"/>
  <c r="Y307" i="33"/>
  <c r="AB298" i="33"/>
  <c r="AC298" i="33"/>
  <c r="X297" i="33"/>
  <c r="X306" i="33"/>
  <c r="AA359" i="33"/>
  <c r="P300" i="33"/>
  <c r="P361" i="33" s="1"/>
  <c r="P362" i="33" s="1"/>
  <c r="P363" i="33" s="1"/>
  <c r="AC361" i="33"/>
  <c r="AC362" i="33" s="1"/>
  <c r="AC363" i="33" s="1"/>
  <c r="AC390" i="33" s="1"/>
  <c r="AC391" i="33" s="1"/>
  <c r="AC412" i="33" s="1"/>
  <c r="V359" i="33"/>
  <c r="U291" i="33"/>
  <c r="AJ291" i="33" s="1"/>
  <c r="T293" i="33"/>
  <c r="V300" i="33" s="1"/>
  <c r="V361" i="33" s="1"/>
  <c r="V362" i="33" s="1"/>
  <c r="V363" i="33" s="1"/>
  <c r="U292" i="33"/>
  <c r="U407" i="33" s="1"/>
  <c r="U31" i="31" s="1"/>
  <c r="AB149" i="33"/>
  <c r="V320" i="33"/>
  <c r="V303" i="33" s="1"/>
  <c r="AD368" i="33"/>
  <c r="K18" i="31"/>
  <c r="R300" i="33"/>
  <c r="R361" i="33" s="1"/>
  <c r="R362" i="33" s="1"/>
  <c r="R364" i="33" s="1"/>
  <c r="R408" i="33" s="1"/>
  <c r="R409" i="33" s="1"/>
  <c r="R413" i="33" s="1"/>
  <c r="U18" i="31"/>
  <c r="W18" i="31"/>
  <c r="X18" i="31"/>
  <c r="N24" i="31"/>
  <c r="O24" i="31"/>
  <c r="I291" i="33"/>
  <c r="I295" i="33" s="1"/>
  <c r="J211" i="15"/>
  <c r="I293" i="33"/>
  <c r="J310" i="33" s="1"/>
  <c r="J312" i="33" s="1"/>
  <c r="AJ204" i="15"/>
  <c r="H33" i="22" s="1"/>
  <c r="I292" i="33"/>
  <c r="I407" i="33" s="1"/>
  <c r="I409" i="33" s="1"/>
  <c r="I413" i="33" s="1"/>
  <c r="AB142" i="33"/>
  <c r="AB144" i="33" s="1"/>
  <c r="V31" i="31"/>
  <c r="V149" i="33"/>
  <c r="Z142" i="33"/>
  <c r="Z144" i="33" s="1"/>
  <c r="W142" i="33"/>
  <c r="W144" i="33" s="1"/>
  <c r="AF142" i="33"/>
  <c r="AF144" i="33" s="1"/>
  <c r="X31" i="31"/>
  <c r="W31" i="31"/>
  <c r="M291" i="33"/>
  <c r="N18" i="31"/>
  <c r="I18" i="31"/>
  <c r="AB139" i="33"/>
  <c r="AB141" i="33" s="1"/>
  <c r="O139" i="33"/>
  <c r="O141" i="33" s="1"/>
  <c r="O160" i="33" s="1"/>
  <c r="O218" i="15" s="1"/>
  <c r="N139" i="33"/>
  <c r="N141" i="33" s="1"/>
  <c r="L300" i="33"/>
  <c r="L361" i="33" s="1"/>
  <c r="L362" i="33" s="1"/>
  <c r="L363" i="33" s="1"/>
  <c r="L390" i="33" s="1"/>
  <c r="M18" i="31"/>
  <c r="AH280" i="33"/>
  <c r="M294" i="33"/>
  <c r="O303" i="33" s="1"/>
  <c r="AC142" i="33"/>
  <c r="AC144" i="33" s="1"/>
  <c r="AD142" i="33"/>
  <c r="AD144" i="33" s="1"/>
  <c r="Y142" i="33"/>
  <c r="Y144" i="33" s="1"/>
  <c r="AA368" i="33"/>
  <c r="N369" i="33"/>
  <c r="P149" i="33"/>
  <c r="V159" i="33"/>
  <c r="M292" i="33"/>
  <c r="M407" i="33" s="1"/>
  <c r="T159" i="33"/>
  <c r="M152" i="33"/>
  <c r="S149" i="33"/>
  <c r="AB18" i="31"/>
  <c r="AD18" i="31"/>
  <c r="AA18" i="31"/>
  <c r="Z18" i="31"/>
  <c r="AC31" i="31"/>
  <c r="M297" i="33"/>
  <c r="M359" i="33"/>
  <c r="AD31" i="31"/>
  <c r="AB31" i="31"/>
  <c r="AA31" i="31"/>
  <c r="Z31" i="31"/>
  <c r="I391" i="33"/>
  <c r="I412" i="33" s="1"/>
  <c r="AC18" i="31"/>
  <c r="Y18" i="31"/>
  <c r="M311" i="33"/>
  <c r="AD150" i="33"/>
  <c r="AD152" i="33" s="1"/>
  <c r="O18" i="31"/>
  <c r="AH17" i="33"/>
  <c r="W150" i="33"/>
  <c r="W152" i="33" s="1"/>
  <c r="T150" i="33"/>
  <c r="T152" i="33" s="1"/>
  <c r="O369" i="33"/>
  <c r="R368" i="33"/>
  <c r="V18" i="31"/>
  <c r="Y31" i="31"/>
  <c r="M24" i="31"/>
  <c r="AE18" i="31"/>
  <c r="AA150" i="33"/>
  <c r="AA152" i="33" s="1"/>
  <c r="U150" i="33"/>
  <c r="U152" i="33" s="1"/>
  <c r="AE31" i="31"/>
  <c r="S150" i="33"/>
  <c r="S152" i="33" s="1"/>
  <c r="R150" i="33"/>
  <c r="R152" i="33" s="1"/>
  <c r="X150" i="33"/>
  <c r="X152" i="33" s="1"/>
  <c r="W369" i="33"/>
  <c r="AC150" i="33"/>
  <c r="AC152" i="33" s="1"/>
  <c r="AB150" i="33"/>
  <c r="AB152" i="33" s="1"/>
  <c r="Z150" i="33"/>
  <c r="Z152" i="33" s="1"/>
  <c r="V150" i="33"/>
  <c r="V152" i="33" s="1"/>
  <c r="AE150" i="33"/>
  <c r="AE152" i="33" s="1"/>
  <c r="AF150" i="33"/>
  <c r="AF152" i="33" s="1"/>
  <c r="Y150" i="33"/>
  <c r="Y152" i="33" s="1"/>
  <c r="X369" i="33"/>
  <c r="U369" i="33"/>
  <c r="P18" i="31"/>
  <c r="K168" i="15"/>
  <c r="K340" i="33" s="1"/>
  <c r="J391" i="33"/>
  <c r="J412" i="33" s="1"/>
  <c r="R298" i="33"/>
  <c r="AA297" i="33"/>
  <c r="N303" i="33"/>
  <c r="T300" i="33"/>
  <c r="T361" i="33" s="1"/>
  <c r="T362" i="33" s="1"/>
  <c r="T363" i="33" s="1"/>
  <c r="AF305" i="33"/>
  <c r="AF309" i="33" s="1"/>
  <c r="AF307" i="33"/>
  <c r="Y303" i="33"/>
  <c r="S297" i="33"/>
  <c r="AF298" i="33"/>
  <c r="U139" i="33"/>
  <c r="U141" i="33" s="1"/>
  <c r="U160" i="33" s="1"/>
  <c r="U218" i="15" s="1"/>
  <c r="V139" i="33"/>
  <c r="V141" i="33" s="1"/>
  <c r="R139" i="33"/>
  <c r="R141" i="33" s="1"/>
  <c r="R160" i="33" s="1"/>
  <c r="R218" i="15" s="1"/>
  <c r="AC139" i="33"/>
  <c r="AC141" i="33" s="1"/>
  <c r="AC160" i="33" s="1"/>
  <c r="AC218" i="15" s="1"/>
  <c r="T368" i="33"/>
  <c r="T298" i="33"/>
  <c r="AA305" i="33"/>
  <c r="AA309" i="33" s="1"/>
  <c r="R306" i="33"/>
  <c r="N297" i="33"/>
  <c r="S298" i="33"/>
  <c r="S307" i="33"/>
  <c r="Z307" i="33"/>
  <c r="L359" i="33"/>
  <c r="AH232" i="33"/>
  <c r="AJ232" i="33"/>
  <c r="AE359" i="33"/>
  <c r="K368" i="33"/>
  <c r="AB308" i="33"/>
  <c r="AB366" i="33" s="1"/>
  <c r="AB367" i="33" s="1"/>
  <c r="AB369" i="33" s="1"/>
  <c r="AD139" i="33"/>
  <c r="AD141" i="33" s="1"/>
  <c r="AD160" i="33" s="1"/>
  <c r="AD218" i="15" s="1"/>
  <c r="R297" i="33"/>
  <c r="Z306" i="33"/>
  <c r="Q139" i="33"/>
  <c r="Q141" i="33" s="1"/>
  <c r="Q160" i="33" s="1"/>
  <c r="Q218" i="15" s="1"/>
  <c r="AE139" i="33"/>
  <c r="AE141" i="33" s="1"/>
  <c r="Q359" i="33"/>
  <c r="Y359" i="33"/>
  <c r="Y297" i="33"/>
  <c r="N307" i="33"/>
  <c r="AA139" i="33"/>
  <c r="AA141" i="33" s="1"/>
  <c r="AA160" i="33" s="1"/>
  <c r="AA218" i="15" s="1"/>
  <c r="L297" i="33"/>
  <c r="Z305" i="33"/>
  <c r="Z309" i="33" s="1"/>
  <c r="AF139" i="33"/>
  <c r="AF141" i="33" s="1"/>
  <c r="AF160" i="33" s="1"/>
  <c r="AF218" i="15" s="1"/>
  <c r="AL218" i="15" s="1"/>
  <c r="J61" i="22" s="1"/>
  <c r="Y139" i="33"/>
  <c r="Y141" i="33" s="1"/>
  <c r="M306" i="33"/>
  <c r="S306" i="33"/>
  <c r="Y306" i="33"/>
  <c r="X139" i="33"/>
  <c r="X141" i="33" s="1"/>
  <c r="X160" i="33" s="1"/>
  <c r="X218" i="15" s="1"/>
  <c r="S300" i="33"/>
  <c r="S361" i="33" s="1"/>
  <c r="S362" i="33" s="1"/>
  <c r="S364" i="33" s="1"/>
  <c r="AA306" i="33"/>
  <c r="AA307" i="33"/>
  <c r="N300" i="33"/>
  <c r="N361" i="33" s="1"/>
  <c r="N362" i="33" s="1"/>
  <c r="N364" i="33" s="1"/>
  <c r="P139" i="33"/>
  <c r="P141" i="33" s="1"/>
  <c r="M307" i="33"/>
  <c r="Z297" i="33"/>
  <c r="N306" i="33"/>
  <c r="Z139" i="33"/>
  <c r="Z141" i="33" s="1"/>
  <c r="S139" i="33"/>
  <c r="S141" i="33" s="1"/>
  <c r="T139" i="33"/>
  <c r="T141" i="33" s="1"/>
  <c r="T160" i="33" s="1"/>
  <c r="T218" i="15" s="1"/>
  <c r="W139" i="33"/>
  <c r="W141" i="33" s="1"/>
  <c r="W160" i="33" s="1"/>
  <c r="W218" i="15" s="1"/>
  <c r="L306" i="33"/>
  <c r="AA300" i="33"/>
  <c r="AA361" i="33" s="1"/>
  <c r="AA362" i="33" s="1"/>
  <c r="AA363" i="33" s="1"/>
  <c r="P308" i="33"/>
  <c r="P366" i="33" s="1"/>
  <c r="P367" i="33" s="1"/>
  <c r="P369" i="33" s="1"/>
  <c r="N305" i="33"/>
  <c r="N309" i="33" s="1"/>
  <c r="AF297" i="33"/>
  <c r="AE307" i="33"/>
  <c r="AE311" i="33"/>
  <c r="O361" i="33"/>
  <c r="O362" i="33" s="1"/>
  <c r="O364" i="33" s="1"/>
  <c r="Z160" i="33"/>
  <c r="Z218" i="15" s="1"/>
  <c r="N160" i="33"/>
  <c r="N218" i="15" s="1"/>
  <c r="K359" i="33"/>
  <c r="L160" i="33"/>
  <c r="L218" i="15" s="1"/>
  <c r="AD306" i="33"/>
  <c r="AB297" i="33"/>
  <c r="AE303" i="33"/>
  <c r="AD298" i="33"/>
  <c r="AE298" i="33"/>
  <c r="P305" i="33"/>
  <c r="AB307" i="33"/>
  <c r="AC297" i="33"/>
  <c r="AB305" i="33"/>
  <c r="AE305" i="33"/>
  <c r="AE308" i="33"/>
  <c r="AF306" i="33"/>
  <c r="AH25" i="33"/>
  <c r="AD307" i="33"/>
  <c r="AD300" i="33"/>
  <c r="AD361" i="33" s="1"/>
  <c r="AD362" i="33" s="1"/>
  <c r="AD364" i="33" s="1"/>
  <c r="AD408" i="33" s="1"/>
  <c r="AD409" i="33" s="1"/>
  <c r="AD413" i="33" s="1"/>
  <c r="AD297" i="33"/>
  <c r="AD305" i="33"/>
  <c r="AD309" i="33" s="1"/>
  <c r="AC306" i="33"/>
  <c r="AB306" i="33"/>
  <c r="AC305" i="33"/>
  <c r="AC309" i="33" s="1"/>
  <c r="AC307" i="33"/>
  <c r="AE306" i="33"/>
  <c r="S305" i="33"/>
  <c r="J18" i="31"/>
  <c r="R307" i="33"/>
  <c r="Q306" i="33"/>
  <c r="O297" i="33"/>
  <c r="Q307" i="33"/>
  <c r="O305" i="33"/>
  <c r="O309" i="33" s="1"/>
  <c r="Q297" i="33"/>
  <c r="O359" i="33"/>
  <c r="P307" i="33"/>
  <c r="P297" i="33"/>
  <c r="O307" i="33"/>
  <c r="R305" i="33"/>
  <c r="R309" i="33" s="1"/>
  <c r="Q300" i="33"/>
  <c r="P306" i="33"/>
  <c r="O306" i="33"/>
  <c r="Q305" i="33"/>
  <c r="Q309" i="33" s="1"/>
  <c r="S308" i="33"/>
  <c r="T31" i="31"/>
  <c r="S18" i="31"/>
  <c r="L24" i="31"/>
  <c r="T18" i="31"/>
  <c r="K298" i="33"/>
  <c r="R18" i="31"/>
  <c r="S31" i="31"/>
  <c r="K24" i="31"/>
  <c r="L18" i="31"/>
  <c r="I24" i="31"/>
  <c r="Q18" i="31"/>
  <c r="M303" i="33"/>
  <c r="P298" i="33"/>
  <c r="L298" i="33"/>
  <c r="J24" i="31"/>
  <c r="J409" i="33"/>
  <c r="AY7" i="15"/>
  <c r="P8" i="33"/>
  <c r="AB19" i="26"/>
  <c r="Q303" i="33"/>
  <c r="Q298" i="33"/>
  <c r="S311" i="33"/>
  <c r="J346" i="33"/>
  <c r="BG7" i="15"/>
  <c r="X8" i="33"/>
  <c r="Z428" i="33"/>
  <c r="Y427" i="33"/>
  <c r="Y7" i="15" s="1"/>
  <c r="Y305" i="33"/>
  <c r="X305" i="33"/>
  <c r="X309" i="33" s="1"/>
  <c r="W300" i="33"/>
  <c r="W361" i="33" s="1"/>
  <c r="W362" i="33" s="1"/>
  <c r="W305" i="33"/>
  <c r="W309" i="33" s="1"/>
  <c r="W297" i="33"/>
  <c r="U359" i="33"/>
  <c r="Y308" i="33"/>
  <c r="N428" i="33"/>
  <c r="O427" i="33"/>
  <c r="O7" i="15" s="1"/>
  <c r="P3" i="31" s="1"/>
  <c r="K203" i="15"/>
  <c r="L85" i="15"/>
  <c r="AF364" i="33"/>
  <c r="AF408" i="33" s="1"/>
  <c r="AF363" i="33"/>
  <c r="X298" i="33"/>
  <c r="X303" i="33"/>
  <c r="X361" i="33" s="1"/>
  <c r="X362" i="33" s="1"/>
  <c r="V160" i="33" l="1"/>
  <c r="V218" i="15" s="1"/>
  <c r="AB160" i="33"/>
  <c r="AB218" i="15" s="1"/>
  <c r="P160" i="33"/>
  <c r="P218" i="15" s="1"/>
  <c r="Y160" i="33"/>
  <c r="Y218" i="15" s="1"/>
  <c r="N31" i="31"/>
  <c r="U351" i="33"/>
  <c r="Z408" i="33"/>
  <c r="Z409" i="33" s="1"/>
  <c r="Z413" i="33" s="1"/>
  <c r="S3" i="31"/>
  <c r="N4" i="26"/>
  <c r="L31" i="31"/>
  <c r="R31" i="31"/>
  <c r="P31" i="31"/>
  <c r="K31" i="31"/>
  <c r="J31" i="31"/>
  <c r="N209" i="15"/>
  <c r="Q31" i="31"/>
  <c r="O31" i="31"/>
  <c r="L353" i="33"/>
  <c r="I353" i="33"/>
  <c r="J353" i="33"/>
  <c r="K353" i="33"/>
  <c r="M344" i="33"/>
  <c r="M353" i="33" s="1"/>
  <c r="O345" i="33"/>
  <c r="AF390" i="33"/>
  <c r="AF391" i="33" s="1"/>
  <c r="AE361" i="33"/>
  <c r="AE362" i="33" s="1"/>
  <c r="AE363" i="33" s="1"/>
  <c r="W303" i="33"/>
  <c r="X302" i="33" s="1"/>
  <c r="X304" i="33" s="1"/>
  <c r="V298" i="33"/>
  <c r="AE160" i="33"/>
  <c r="AE218" i="15" s="1"/>
  <c r="W298" i="33"/>
  <c r="V311" i="33"/>
  <c r="Y311" i="33"/>
  <c r="AC364" i="33"/>
  <c r="AC408" i="33" s="1"/>
  <c r="AC409" i="33" s="1"/>
  <c r="AC413" i="33" s="1"/>
  <c r="T306" i="33"/>
  <c r="W307" i="33"/>
  <c r="U307" i="33"/>
  <c r="V305" i="33"/>
  <c r="T297" i="33"/>
  <c r="W306" i="33"/>
  <c r="V307" i="33"/>
  <c r="U297" i="33"/>
  <c r="T359" i="33"/>
  <c r="U306" i="33"/>
  <c r="V308" i="33"/>
  <c r="V366" i="33" s="1"/>
  <c r="V367" i="33" s="1"/>
  <c r="V369" i="33" s="1"/>
  <c r="U305" i="33"/>
  <c r="U309" i="33" s="1"/>
  <c r="V297" i="33"/>
  <c r="V306" i="33"/>
  <c r="X307" i="33"/>
  <c r="T307" i="33"/>
  <c r="T305" i="33"/>
  <c r="T309" i="33" s="1"/>
  <c r="AH291" i="33"/>
  <c r="I31" i="31"/>
  <c r="M31" i="31"/>
  <c r="I310" i="33"/>
  <c r="I312" i="33" s="1"/>
  <c r="M313" i="33"/>
  <c r="M316" i="33" s="1"/>
  <c r="AF313" i="33"/>
  <c r="O313" i="33"/>
  <c r="O316" i="33" s="1"/>
  <c r="R313" i="33"/>
  <c r="R316" i="33" s="1"/>
  <c r="AA313" i="33"/>
  <c r="Y313" i="33"/>
  <c r="I302" i="33"/>
  <c r="I304" i="33" s="1"/>
  <c r="W313" i="33"/>
  <c r="W316" i="33" s="1"/>
  <c r="T313" i="33"/>
  <c r="AA315" i="33" s="1"/>
  <c r="AA371" i="33" s="1"/>
  <c r="AA372" i="33" s="1"/>
  <c r="AA373" i="33" s="1"/>
  <c r="AA390" i="33" s="1"/>
  <c r="AA391" i="33" s="1"/>
  <c r="AA412" i="33" s="1"/>
  <c r="I299" i="33"/>
  <c r="I301" i="33" s="1"/>
  <c r="I313" i="33"/>
  <c r="I316" i="33" s="1"/>
  <c r="K313" i="33"/>
  <c r="K316" i="33" s="1"/>
  <c r="J299" i="33"/>
  <c r="J301" i="33" s="1"/>
  <c r="Z313" i="33"/>
  <c r="U313" i="33"/>
  <c r="U316" i="33" s="1"/>
  <c r="AC313" i="33"/>
  <c r="K299" i="33"/>
  <c r="AD313" i="33"/>
  <c r="AE313" i="33"/>
  <c r="M302" i="33"/>
  <c r="M304" i="33" s="1"/>
  <c r="AB313" i="33"/>
  <c r="P313" i="33"/>
  <c r="P316" i="33" s="1"/>
  <c r="M310" i="33"/>
  <c r="M312" i="33" s="1"/>
  <c r="K302" i="33"/>
  <c r="K304" i="33" s="1"/>
  <c r="J302" i="33"/>
  <c r="J304" i="33" s="1"/>
  <c r="K310" i="33"/>
  <c r="K312" i="33" s="1"/>
  <c r="X313" i="33"/>
  <c r="X316" i="33" s="1"/>
  <c r="V313" i="33"/>
  <c r="V316" i="33" s="1"/>
  <c r="L302" i="33"/>
  <c r="L304" i="33" s="1"/>
  <c r="S313" i="33"/>
  <c r="S316" i="33" s="1"/>
  <c r="Q313" i="33"/>
  <c r="Q316" i="33" s="1"/>
  <c r="L310" i="33"/>
  <c r="L312" i="33" s="1"/>
  <c r="J313" i="33"/>
  <c r="J316" i="33" s="1"/>
  <c r="L313" i="33"/>
  <c r="L316" i="33" s="1"/>
  <c r="N313" i="33"/>
  <c r="N316" i="33" s="1"/>
  <c r="O310" i="33"/>
  <c r="O312" i="33" s="1"/>
  <c r="N298" i="33"/>
  <c r="K211" i="15"/>
  <c r="O295" i="33"/>
  <c r="O296" i="33" s="1"/>
  <c r="O213" i="15" s="1"/>
  <c r="AC295" i="33"/>
  <c r="AC296" i="33" s="1"/>
  <c r="AC213" i="15" s="1"/>
  <c r="J306" i="33"/>
  <c r="M305" i="33"/>
  <c r="AE295" i="33"/>
  <c r="AE296" i="33" s="1"/>
  <c r="AE213" i="15" s="1"/>
  <c r="I298" i="33"/>
  <c r="I305" i="33"/>
  <c r="I309" i="33" s="1"/>
  <c r="L307" i="33"/>
  <c r="I306" i="33"/>
  <c r="J307" i="33"/>
  <c r="U363" i="33"/>
  <c r="U390" i="33" s="1"/>
  <c r="R295" i="33"/>
  <c r="R296" i="33" s="1"/>
  <c r="R213" i="15" s="1"/>
  <c r="J298" i="33"/>
  <c r="K300" i="33"/>
  <c r="K361" i="33" s="1"/>
  <c r="K362" i="33" s="1"/>
  <c r="K363" i="33" s="1"/>
  <c r="J305" i="33"/>
  <c r="J309" i="33" s="1"/>
  <c r="J317" i="33" s="1"/>
  <c r="K307" i="33"/>
  <c r="K305" i="33"/>
  <c r="K309" i="33" s="1"/>
  <c r="I297" i="33"/>
  <c r="K297" i="33"/>
  <c r="Q295" i="33"/>
  <c r="Q296" i="33" s="1"/>
  <c r="Q213" i="15" s="1"/>
  <c r="L305" i="33"/>
  <c r="L309" i="33" s="1"/>
  <c r="I307" i="33"/>
  <c r="J297" i="33"/>
  <c r="K306" i="33"/>
  <c r="S295" i="33"/>
  <c r="S296" i="33" s="1"/>
  <c r="S213" i="15" s="1"/>
  <c r="K295" i="33"/>
  <c r="K296" i="33" s="1"/>
  <c r="K213" i="15" s="1"/>
  <c r="L295" i="33"/>
  <c r="L296" i="33" s="1"/>
  <c r="L213" i="15" s="1"/>
  <c r="M295" i="33"/>
  <c r="M296" i="33" s="1"/>
  <c r="M213" i="15" s="1"/>
  <c r="J295" i="33"/>
  <c r="J296" i="33" s="1"/>
  <c r="J213" i="15" s="1"/>
  <c r="N295" i="33"/>
  <c r="N296" i="33" s="1"/>
  <c r="N213" i="15" s="1"/>
  <c r="K4" i="26"/>
  <c r="U295" i="33"/>
  <c r="U296" i="33" s="1"/>
  <c r="U213" i="15" s="1"/>
  <c r="U408" i="33"/>
  <c r="U409" i="33" s="1"/>
  <c r="U413" i="33" s="1"/>
  <c r="AF295" i="33"/>
  <c r="AF296" i="33" s="1"/>
  <c r="AF213" i="15" s="1"/>
  <c r="AL213" i="15" s="1"/>
  <c r="J55" i="22" s="1"/>
  <c r="P295" i="33"/>
  <c r="P296" i="33" s="1"/>
  <c r="P213" i="15" s="1"/>
  <c r="I296" i="33"/>
  <c r="I213" i="15" s="1"/>
  <c r="M308" i="33"/>
  <c r="M366" i="33" s="1"/>
  <c r="M367" i="33" s="1"/>
  <c r="M369" i="33" s="1"/>
  <c r="W295" i="33"/>
  <c r="W296" i="33" s="1"/>
  <c r="W213" i="15" s="1"/>
  <c r="Z295" i="33"/>
  <c r="Z296" i="33" s="1"/>
  <c r="Z213" i="15" s="1"/>
  <c r="Y295" i="33"/>
  <c r="Y296" i="33" s="1"/>
  <c r="Y213" i="15" s="1"/>
  <c r="AA295" i="33"/>
  <c r="AA296" i="33" s="1"/>
  <c r="AA213" i="15" s="1"/>
  <c r="AB295" i="33"/>
  <c r="AB296" i="33" s="1"/>
  <c r="AB213" i="15" s="1"/>
  <c r="X295" i="33"/>
  <c r="X296" i="33" s="1"/>
  <c r="X213" i="15" s="1"/>
  <c r="V295" i="33"/>
  <c r="V296" i="33" s="1"/>
  <c r="V213" i="15" s="1"/>
  <c r="AD295" i="33"/>
  <c r="AD296" i="33" s="1"/>
  <c r="AD213" i="15" s="1"/>
  <c r="T295" i="33"/>
  <c r="T296" i="33" s="1"/>
  <c r="T213" i="15" s="1"/>
  <c r="I359" i="33"/>
  <c r="AJ218" i="15"/>
  <c r="H61" i="22" s="1"/>
  <c r="M298" i="33"/>
  <c r="O408" i="33"/>
  <c r="O409" i="33" s="1"/>
  <c r="O413" i="33" s="1"/>
  <c r="O298" i="33"/>
  <c r="P311" i="33"/>
  <c r="V310" i="33" s="1"/>
  <c r="L364" i="33"/>
  <c r="L408" i="33" s="1"/>
  <c r="L409" i="33" s="1"/>
  <c r="L413" i="33" s="1"/>
  <c r="K390" i="33"/>
  <c r="K391" i="33" s="1"/>
  <c r="K412" i="33" s="1"/>
  <c r="N408" i="33"/>
  <c r="N409" i="33" s="1"/>
  <c r="N413" i="33" s="1"/>
  <c r="S160" i="33"/>
  <c r="S218" i="15" s="1"/>
  <c r="T390" i="33"/>
  <c r="Y314" i="33"/>
  <c r="Y371" i="33" s="1"/>
  <c r="Y372" i="33" s="1"/>
  <c r="L333" i="33"/>
  <c r="L388" i="33" s="1"/>
  <c r="L168" i="15"/>
  <c r="L340" i="33" s="1"/>
  <c r="P310" i="33"/>
  <c r="N310" i="33"/>
  <c r="N312" i="33" s="1"/>
  <c r="P302" i="33"/>
  <c r="P304" i="33" s="1"/>
  <c r="V364" i="33"/>
  <c r="AB309" i="33"/>
  <c r="T364" i="33"/>
  <c r="T408" i="33" s="1"/>
  <c r="T409" i="33" s="1"/>
  <c r="T413" i="33" s="1"/>
  <c r="P309" i="33"/>
  <c r="R363" i="33"/>
  <c r="R390" i="33" s="1"/>
  <c r="AA364" i="33"/>
  <c r="AA408" i="33" s="1"/>
  <c r="AA409" i="33" s="1"/>
  <c r="AA413" i="33" s="1"/>
  <c r="AB364" i="33"/>
  <c r="AB408" i="33" s="1"/>
  <c r="AB409" i="33" s="1"/>
  <c r="AB413" i="33" s="1"/>
  <c r="Z363" i="33"/>
  <c r="Z390" i="33" s="1"/>
  <c r="Z391" i="33" s="1"/>
  <c r="Z412" i="33" s="1"/>
  <c r="AE366" i="33"/>
  <c r="AE367" i="33" s="1"/>
  <c r="AE368" i="33" s="1"/>
  <c r="O363" i="33"/>
  <c r="O390" i="33" s="1"/>
  <c r="P368" i="33"/>
  <c r="P390" i="33" s="1"/>
  <c r="P364" i="33"/>
  <c r="P408" i="33" s="1"/>
  <c r="Y363" i="33"/>
  <c r="AB368" i="33"/>
  <c r="AB390" i="33" s="1"/>
  <c r="S363" i="33"/>
  <c r="X363" i="33"/>
  <c r="X390" i="33" s="1"/>
  <c r="X391" i="33" s="1"/>
  <c r="X412" i="33" s="1"/>
  <c r="X364" i="33"/>
  <c r="X408" i="33" s="1"/>
  <c r="X409" i="33" s="1"/>
  <c r="X413" i="33" s="1"/>
  <c r="Y366" i="33"/>
  <c r="Y367" i="33" s="1"/>
  <c r="Y369" i="33" s="1"/>
  <c r="N363" i="33"/>
  <c r="N390" i="33" s="1"/>
  <c r="S366" i="33"/>
  <c r="S367" i="33" s="1"/>
  <c r="S369" i="33" s="1"/>
  <c r="S408" i="33" s="1"/>
  <c r="Q361" i="33"/>
  <c r="Q362" i="33" s="1"/>
  <c r="Q363" i="33" s="1"/>
  <c r="Q390" i="33" s="1"/>
  <c r="M361" i="33"/>
  <c r="M362" i="33" s="1"/>
  <c r="AF409" i="33"/>
  <c r="AD363" i="33"/>
  <c r="AD390" i="33" s="1"/>
  <c r="AE309" i="33"/>
  <c r="V302" i="33"/>
  <c r="V304" i="33" s="1"/>
  <c r="S309" i="33"/>
  <c r="N302" i="33"/>
  <c r="N304" i="33" s="1"/>
  <c r="O302" i="33"/>
  <c r="O304" i="33" s="1"/>
  <c r="W302" i="33"/>
  <c r="Q302" i="33"/>
  <c r="Q304" i="33" s="1"/>
  <c r="S302" i="33"/>
  <c r="S304" i="33" s="1"/>
  <c r="R302" i="33"/>
  <c r="R304" i="33" s="1"/>
  <c r="T302" i="33"/>
  <c r="T304" i="33" s="1"/>
  <c r="U302" i="33"/>
  <c r="U304" i="33" s="1"/>
  <c r="AX7" i="15"/>
  <c r="O8" i="33"/>
  <c r="Y309" i="33"/>
  <c r="M428" i="33"/>
  <c r="N427" i="33"/>
  <c r="N7" i="15" s="1"/>
  <c r="J4" i="26" s="1"/>
  <c r="BH7" i="15"/>
  <c r="Y8" i="33"/>
  <c r="L203" i="15"/>
  <c r="M85" i="15"/>
  <c r="I414" i="33"/>
  <c r="W364" i="33"/>
  <c r="W408" i="33" s="1"/>
  <c r="W409" i="33" s="1"/>
  <c r="W413" i="33" s="1"/>
  <c r="W363" i="33"/>
  <c r="W390" i="33" s="1"/>
  <c r="W391" i="33" s="1"/>
  <c r="W412" i="33" s="1"/>
  <c r="Z427" i="33"/>
  <c r="Z7" i="15" s="1"/>
  <c r="AA428" i="33"/>
  <c r="K346" i="33"/>
  <c r="J413" i="33"/>
  <c r="I317" i="33" l="1"/>
  <c r="O4" i="26"/>
  <c r="T3" i="31"/>
  <c r="M168" i="15"/>
  <c r="M340" i="33" s="1"/>
  <c r="M333" i="33"/>
  <c r="M388" i="33" s="1"/>
  <c r="O209" i="15"/>
  <c r="AF302" i="33"/>
  <c r="AF304" i="33" s="1"/>
  <c r="AB302" i="33"/>
  <c r="AB304" i="33" s="1"/>
  <c r="Y302" i="33"/>
  <c r="Y304" i="33" s="1"/>
  <c r="AD302" i="33"/>
  <c r="AD304" i="33" s="1"/>
  <c r="W304" i="33"/>
  <c r="AC302" i="33"/>
  <c r="AC304" i="33" s="1"/>
  <c r="Z302" i="33"/>
  <c r="Z304" i="33" s="1"/>
  <c r="AE364" i="33"/>
  <c r="P345" i="33"/>
  <c r="N344" i="33"/>
  <c r="N353" i="33" s="1"/>
  <c r="AA302" i="33"/>
  <c r="AA304" i="33" s="1"/>
  <c r="AE302" i="33"/>
  <c r="AE304" i="33" s="1"/>
  <c r="L211" i="15"/>
  <c r="V368" i="33"/>
  <c r="V390" i="33" s="1"/>
  <c r="V391" i="33" s="1"/>
  <c r="V312" i="33"/>
  <c r="V309" i="33"/>
  <c r="M299" i="33"/>
  <c r="M301" i="33" s="1"/>
  <c r="L299" i="33"/>
  <c r="L301" i="33" s="1"/>
  <c r="L317" i="33" s="1"/>
  <c r="L318" i="33" s="1"/>
  <c r="N299" i="33"/>
  <c r="N301" i="33" s="1"/>
  <c r="N317" i="33" s="1"/>
  <c r="N318" i="33" s="1"/>
  <c r="T316" i="33"/>
  <c r="AA374" i="33"/>
  <c r="R299" i="33"/>
  <c r="R301" i="33" s="1"/>
  <c r="R317" i="33" s="1"/>
  <c r="R318" i="33" s="1"/>
  <c r="Z299" i="33"/>
  <c r="Z301" i="33" s="1"/>
  <c r="Z317" i="33" s="1"/>
  <c r="Z318" i="33" s="1"/>
  <c r="M309" i="33"/>
  <c r="S299" i="33"/>
  <c r="S301" i="33" s="1"/>
  <c r="S317" i="33" s="1"/>
  <c r="S205" i="15" s="1"/>
  <c r="Q299" i="33"/>
  <c r="Q301" i="33" s="1"/>
  <c r="Q317" i="33" s="1"/>
  <c r="Q318" i="33" s="1"/>
  <c r="AF310" i="33"/>
  <c r="AF312" i="33" s="1"/>
  <c r="AE310" i="33"/>
  <c r="AE312" i="33" s="1"/>
  <c r="X310" i="33"/>
  <c r="X312" i="33" s="1"/>
  <c r="Y310" i="33"/>
  <c r="Y312" i="33" s="1"/>
  <c r="T299" i="33"/>
  <c r="T301" i="33" s="1"/>
  <c r="T317" i="33" s="1"/>
  <c r="T318" i="33" s="1"/>
  <c r="P312" i="33"/>
  <c r="W299" i="33"/>
  <c r="W301" i="33" s="1"/>
  <c r="W317" i="33" s="1"/>
  <c r="W318" i="33" s="1"/>
  <c r="O299" i="33"/>
  <c r="O301" i="33" s="1"/>
  <c r="O317" i="33" s="1"/>
  <c r="O205" i="15" s="1"/>
  <c r="M368" i="33"/>
  <c r="AE299" i="33"/>
  <c r="AE301" i="33" s="1"/>
  <c r="U299" i="33"/>
  <c r="U301" i="33" s="1"/>
  <c r="U317" i="33" s="1"/>
  <c r="U205" i="15" s="1"/>
  <c r="Y299" i="33"/>
  <c r="Y301" i="33" s="1"/>
  <c r="K301" i="33"/>
  <c r="K317" i="33" s="1"/>
  <c r="K318" i="33" s="1"/>
  <c r="K364" i="33"/>
  <c r="K408" i="33" s="1"/>
  <c r="K409" i="33" s="1"/>
  <c r="K413" i="33" s="1"/>
  <c r="AB299" i="33"/>
  <c r="AB301" i="33" s="1"/>
  <c r="AF299" i="33"/>
  <c r="AF301" i="33" s="1"/>
  <c r="AC299" i="33"/>
  <c r="AC301" i="33" s="1"/>
  <c r="AA299" i="33"/>
  <c r="AA301" i="33" s="1"/>
  <c r="AD299" i="33"/>
  <c r="AD301" i="33" s="1"/>
  <c r="X299" i="33"/>
  <c r="X301" i="33" s="1"/>
  <c r="X317" i="33" s="1"/>
  <c r="X318" i="33" s="1"/>
  <c r="V299" i="33"/>
  <c r="V301" i="33" s="1"/>
  <c r="P299" i="33"/>
  <c r="P301" i="33" s="1"/>
  <c r="P317" i="33" s="1"/>
  <c r="P205" i="15" s="1"/>
  <c r="AC310" i="33"/>
  <c r="AC312" i="33" s="1"/>
  <c r="R310" i="33"/>
  <c r="R312" i="33" s="1"/>
  <c r="S310" i="33"/>
  <c r="S312" i="33" s="1"/>
  <c r="AD310" i="33"/>
  <c r="AD312" i="33" s="1"/>
  <c r="AB310" i="33"/>
  <c r="AB312" i="33" s="1"/>
  <c r="T310" i="33"/>
  <c r="T312" i="33" s="1"/>
  <c r="U310" i="33"/>
  <c r="U312" i="33" s="1"/>
  <c r="W310" i="33"/>
  <c r="W312" i="33" s="1"/>
  <c r="Z310" i="33"/>
  <c r="Z312" i="33" s="1"/>
  <c r="Q310" i="33"/>
  <c r="Q312" i="33" s="1"/>
  <c r="AA310" i="33"/>
  <c r="AA312" i="33" s="1"/>
  <c r="O3" i="31"/>
  <c r="AJ213" i="15"/>
  <c r="H55" i="22" s="1"/>
  <c r="AE390" i="33"/>
  <c r="AC14" i="31" s="1"/>
  <c r="AC316" i="33"/>
  <c r="AB316" i="33"/>
  <c r="AA316" i="33"/>
  <c r="AA317" i="33" s="1"/>
  <c r="AA318" i="33" s="1"/>
  <c r="AE316" i="33"/>
  <c r="Y374" i="33"/>
  <c r="Y408" i="33" s="1"/>
  <c r="Y373" i="33"/>
  <c r="AF316" i="33"/>
  <c r="AD316" i="33"/>
  <c r="Y316" i="33"/>
  <c r="Z316" i="33"/>
  <c r="P409" i="33"/>
  <c r="L391" i="33"/>
  <c r="L412" i="33" s="1"/>
  <c r="U333" i="33"/>
  <c r="U388" i="33" s="1"/>
  <c r="V408" i="33"/>
  <c r="Y368" i="33"/>
  <c r="Y390" i="33" s="1"/>
  <c r="Y391" i="33" s="1"/>
  <c r="Q364" i="33"/>
  <c r="Q408" i="33" s="1"/>
  <c r="Q409" i="33" s="1"/>
  <c r="Q413" i="33" s="1"/>
  <c r="AE369" i="33"/>
  <c r="J205" i="15"/>
  <c r="J318" i="33"/>
  <c r="S368" i="33"/>
  <c r="S390" i="33" s="1"/>
  <c r="AB14" i="31"/>
  <c r="M363" i="33"/>
  <c r="M364" i="33"/>
  <c r="M408" i="33" s="1"/>
  <c r="M409" i="33" s="1"/>
  <c r="M413" i="33" s="1"/>
  <c r="I205" i="15"/>
  <c r="I318" i="33"/>
  <c r="AB391" i="33"/>
  <c r="AE317" i="33"/>
  <c r="AD391" i="33"/>
  <c r="AF412" i="33"/>
  <c r="AF413" i="33"/>
  <c r="L346" i="33"/>
  <c r="AA427" i="33"/>
  <c r="AA7" i="15" s="1"/>
  <c r="AB428" i="33"/>
  <c r="I334" i="33"/>
  <c r="J411" i="33"/>
  <c r="I206" i="15"/>
  <c r="M203" i="15"/>
  <c r="N85" i="15"/>
  <c r="BI7" i="15"/>
  <c r="Z8" i="33"/>
  <c r="AW7" i="15"/>
  <c r="N8" i="33"/>
  <c r="S409" i="33"/>
  <c r="L428" i="33"/>
  <c r="M427" i="33"/>
  <c r="M7" i="15" s="1"/>
  <c r="I4" i="26" s="1"/>
  <c r="M317" i="33" l="1"/>
  <c r="M318" i="33" s="1"/>
  <c r="AF317" i="33"/>
  <c r="AF318" i="33" s="1"/>
  <c r="AB317" i="33"/>
  <c r="AB205" i="15" s="1"/>
  <c r="AE408" i="33"/>
  <c r="AA32" i="31" s="1"/>
  <c r="AC317" i="33"/>
  <c r="AC318" i="33" s="1"/>
  <c r="AD317" i="33"/>
  <c r="AD205" i="15" s="1"/>
  <c r="Y317" i="33"/>
  <c r="Y205" i="15" s="1"/>
  <c r="V317" i="33"/>
  <c r="V205" i="15" s="1"/>
  <c r="P4" i="26"/>
  <c r="U3" i="31"/>
  <c r="X14" i="31"/>
  <c r="O32" i="31"/>
  <c r="Z32" i="31"/>
  <c r="M211" i="15"/>
  <c r="Z14" i="31"/>
  <c r="V32" i="31"/>
  <c r="S14" i="31"/>
  <c r="W14" i="31"/>
  <c r="U32" i="31"/>
  <c r="U14" i="31"/>
  <c r="T333" i="33"/>
  <c r="N168" i="15"/>
  <c r="N340" i="33" s="1"/>
  <c r="N333" i="33"/>
  <c r="P209" i="15"/>
  <c r="O344" i="33"/>
  <c r="O353" i="33" s="1"/>
  <c r="Q345" i="33"/>
  <c r="L205" i="15"/>
  <c r="AE14" i="31"/>
  <c r="O14" i="31"/>
  <c r="T32" i="31"/>
  <c r="W32" i="31"/>
  <c r="K205" i="15"/>
  <c r="M390" i="33"/>
  <c r="I14" i="31" s="1"/>
  <c r="Q14" i="31"/>
  <c r="N3" i="31"/>
  <c r="X32" i="31"/>
  <c r="AF32" i="31"/>
  <c r="AE391" i="33"/>
  <c r="AE15" i="31" s="1"/>
  <c r="AF14" i="31"/>
  <c r="P318" i="33"/>
  <c r="K32" i="31"/>
  <c r="T14" i="31"/>
  <c r="R32" i="31"/>
  <c r="I32" i="31"/>
  <c r="AA14" i="31"/>
  <c r="S32" i="31"/>
  <c r="P14" i="31"/>
  <c r="AB32" i="31"/>
  <c r="V14" i="31"/>
  <c r="AD14" i="31"/>
  <c r="N32" i="31"/>
  <c r="Y32" i="31"/>
  <c r="Y409" i="33"/>
  <c r="J32" i="31"/>
  <c r="P413" i="33"/>
  <c r="I33" i="31"/>
  <c r="V12" i="31"/>
  <c r="AJ333" i="33"/>
  <c r="J51" i="22" s="1"/>
  <c r="L32" i="31"/>
  <c r="P32" i="31"/>
  <c r="AC32" i="31"/>
  <c r="AD32" i="31"/>
  <c r="R14" i="31"/>
  <c r="AB412" i="33"/>
  <c r="I335" i="33"/>
  <c r="I336" i="33" s="1"/>
  <c r="I337" i="33" s="1"/>
  <c r="I341" i="33" s="1"/>
  <c r="V409" i="33"/>
  <c r="V413" i="33" s="1"/>
  <c r="Q32" i="31"/>
  <c r="N205" i="15"/>
  <c r="O318" i="33"/>
  <c r="X205" i="15"/>
  <c r="Y14" i="31"/>
  <c r="AB318" i="33"/>
  <c r="S318" i="33"/>
  <c r="W205" i="15"/>
  <c r="AF205" i="15"/>
  <c r="R205" i="15"/>
  <c r="U318" i="33"/>
  <c r="M32" i="31"/>
  <c r="AA205" i="15"/>
  <c r="T205" i="15"/>
  <c r="Z205" i="15"/>
  <c r="Q205" i="15"/>
  <c r="AE318" i="33"/>
  <c r="AE205" i="15"/>
  <c r="AB15" i="31"/>
  <c r="AD412" i="33"/>
  <c r="J33" i="31"/>
  <c r="W15" i="31"/>
  <c r="M33" i="31"/>
  <c r="BJ7" i="15"/>
  <c r="AA8" i="33"/>
  <c r="AV7" i="15"/>
  <c r="M8" i="33"/>
  <c r="V412" i="33"/>
  <c r="J414" i="33"/>
  <c r="K428" i="33"/>
  <c r="L427" i="33"/>
  <c r="L7" i="15" s="1"/>
  <c r="H4" i="26" s="1"/>
  <c r="N203" i="15"/>
  <c r="O85" i="15"/>
  <c r="Y15" i="31"/>
  <c r="Y412" i="33"/>
  <c r="M346" i="33"/>
  <c r="S413" i="33"/>
  <c r="AC428" i="33"/>
  <c r="AB427" i="33"/>
  <c r="AB7" i="15" s="1"/>
  <c r="M205" i="15" l="1"/>
  <c r="AD318" i="33"/>
  <c r="AC205" i="15"/>
  <c r="Y318" i="33"/>
  <c r="AE32" i="31"/>
  <c r="AE409" i="33"/>
  <c r="AE33" i="31" s="1"/>
  <c r="V318" i="33"/>
  <c r="N14" i="31"/>
  <c r="N388" i="33"/>
  <c r="N391" i="33" s="1"/>
  <c r="N412" i="33" s="1"/>
  <c r="T388" i="33"/>
  <c r="T391" i="33" s="1"/>
  <c r="T412" i="33" s="1"/>
  <c r="I342" i="33"/>
  <c r="V3" i="31"/>
  <c r="Q4" i="26"/>
  <c r="K14" i="31"/>
  <c r="L14" i="31"/>
  <c r="Q33" i="31"/>
  <c r="AD15" i="31"/>
  <c r="X15" i="31"/>
  <c r="AA15" i="31"/>
  <c r="W33" i="31"/>
  <c r="L33" i="31"/>
  <c r="I37" i="31"/>
  <c r="Z15" i="31"/>
  <c r="M391" i="33"/>
  <c r="M412" i="33" s="1"/>
  <c r="J14" i="31"/>
  <c r="AC15" i="31"/>
  <c r="O168" i="15"/>
  <c r="O333" i="33"/>
  <c r="N211" i="15"/>
  <c r="Q209" i="15"/>
  <c r="P33" i="31"/>
  <c r="R345" i="33"/>
  <c r="P344" i="33"/>
  <c r="P353" i="33" s="1"/>
  <c r="AJ205" i="15"/>
  <c r="H34" i="22" s="1"/>
  <c r="AL205" i="15"/>
  <c r="J34" i="22" s="1"/>
  <c r="R33" i="31"/>
  <c r="M14" i="31"/>
  <c r="K33" i="31"/>
  <c r="T33" i="31"/>
  <c r="N33" i="31"/>
  <c r="M3" i="31"/>
  <c r="Z33" i="31"/>
  <c r="AF33" i="31"/>
  <c r="AE412" i="33"/>
  <c r="AF36" i="31" s="1"/>
  <c r="AF15" i="31"/>
  <c r="AB33" i="31"/>
  <c r="AA33" i="31"/>
  <c r="S33" i="31"/>
  <c r="X33" i="31"/>
  <c r="AC33" i="31"/>
  <c r="Y33" i="31"/>
  <c r="Y413" i="33"/>
  <c r="N37" i="31" s="1"/>
  <c r="O33" i="31"/>
  <c r="U12" i="31"/>
  <c r="U391" i="33"/>
  <c r="V15" i="31" s="1"/>
  <c r="U33" i="31"/>
  <c r="AD33" i="31"/>
  <c r="I193" i="15"/>
  <c r="I212" i="15" s="1"/>
  <c r="V33" i="31"/>
  <c r="K37" i="31"/>
  <c r="J37" i="31"/>
  <c r="L37" i="31"/>
  <c r="M37" i="31"/>
  <c r="BK7" i="15"/>
  <c r="AB8" i="33"/>
  <c r="N346" i="33"/>
  <c r="AD428" i="33"/>
  <c r="AC427" i="33"/>
  <c r="AC7" i="15" s="1"/>
  <c r="J428" i="33"/>
  <c r="K427" i="33"/>
  <c r="K7" i="15" s="1"/>
  <c r="G4" i="26" s="1"/>
  <c r="K411" i="33"/>
  <c r="J206" i="15"/>
  <c r="J334" i="33"/>
  <c r="O203" i="15"/>
  <c r="P85" i="15"/>
  <c r="AU7" i="15"/>
  <c r="L8" i="33"/>
  <c r="AE413" i="33" l="1"/>
  <c r="L3" i="31"/>
  <c r="O211" i="15"/>
  <c r="O340" i="33"/>
  <c r="O388" i="33"/>
  <c r="O391" i="33" s="1"/>
  <c r="O412" i="33" s="1"/>
  <c r="I191" i="15"/>
  <c r="W3" i="31"/>
  <c r="R4" i="26"/>
  <c r="S37" i="31"/>
  <c r="W36" i="31"/>
  <c r="V37" i="31"/>
  <c r="AD36" i="31"/>
  <c r="Z36" i="31"/>
  <c r="O37" i="31"/>
  <c r="P37" i="31"/>
  <c r="AB36" i="31"/>
  <c r="R37" i="31"/>
  <c r="X36" i="31"/>
  <c r="Y36" i="31"/>
  <c r="AC36" i="31"/>
  <c r="W37" i="31"/>
  <c r="AA36" i="31"/>
  <c r="P168" i="15"/>
  <c r="P333" i="33"/>
  <c r="P388" i="33" s="1"/>
  <c r="R209" i="15"/>
  <c r="Q344" i="33"/>
  <c r="Q353" i="33" s="1"/>
  <c r="S345" i="33"/>
  <c r="AE36" i="31"/>
  <c r="Q37" i="31"/>
  <c r="Z37" i="31"/>
  <c r="AF37" i="31"/>
  <c r="T37" i="31"/>
  <c r="U37" i="31"/>
  <c r="AB37" i="31"/>
  <c r="AA37" i="31"/>
  <c r="X37" i="31"/>
  <c r="AC37" i="31"/>
  <c r="Y37" i="31"/>
  <c r="U412" i="33"/>
  <c r="U15" i="31"/>
  <c r="AE37" i="31"/>
  <c r="AD37" i="31"/>
  <c r="J335" i="33"/>
  <c r="P203" i="15"/>
  <c r="Q85" i="15"/>
  <c r="I428" i="33"/>
  <c r="I427" i="33" s="1"/>
  <c r="I7" i="15" s="1"/>
  <c r="J427" i="33"/>
  <c r="J7" i="15" s="1"/>
  <c r="K3" i="31" s="1"/>
  <c r="AD427" i="33"/>
  <c r="AD7" i="15" s="1"/>
  <c r="AE428" i="33"/>
  <c r="K414" i="33"/>
  <c r="O346" i="33"/>
  <c r="AT7" i="15"/>
  <c r="K8" i="33"/>
  <c r="BL7" i="15"/>
  <c r="AC8" i="33"/>
  <c r="P211" i="15" l="1"/>
  <c r="P340" i="33"/>
  <c r="S4" i="26"/>
  <c r="X3" i="31"/>
  <c r="S209" i="15"/>
  <c r="Q168" i="15"/>
  <c r="Q340" i="33" s="1"/>
  <c r="Q333" i="33"/>
  <c r="Q388" i="33" s="1"/>
  <c r="T345" i="33"/>
  <c r="R344" i="33"/>
  <c r="R353" i="33" s="1"/>
  <c r="F4" i="26"/>
  <c r="V36" i="31"/>
  <c r="U36" i="31"/>
  <c r="J336" i="33"/>
  <c r="J337" i="33" s="1"/>
  <c r="J341" i="33" s="1"/>
  <c r="P346" i="33"/>
  <c r="AD3" i="31"/>
  <c r="Y4" i="26"/>
  <c r="BM7" i="15"/>
  <c r="AD8" i="33"/>
  <c r="J3" i="31"/>
  <c r="E4" i="26"/>
  <c r="AS7" i="15"/>
  <c r="J8" i="33"/>
  <c r="J9" i="33" s="1"/>
  <c r="Q203" i="15"/>
  <c r="R85" i="15"/>
  <c r="I3" i="31"/>
  <c r="D4" i="26"/>
  <c r="AR7" i="15"/>
  <c r="AJ2" i="15"/>
  <c r="I8" i="33"/>
  <c r="K334" i="33"/>
  <c r="K206" i="15"/>
  <c r="L411" i="33"/>
  <c r="AE427" i="33"/>
  <c r="AE7" i="15" s="1"/>
  <c r="AA3" i="31" s="1"/>
  <c r="AF428" i="33"/>
  <c r="AF427" i="33" s="1"/>
  <c r="AF7" i="15" s="1"/>
  <c r="V4" i="26" l="1"/>
  <c r="T4" i="26"/>
  <c r="Y3" i="31"/>
  <c r="AJ7" i="15"/>
  <c r="Z3" i="31"/>
  <c r="U4" i="26"/>
  <c r="Q211" i="15"/>
  <c r="Q391" i="33"/>
  <c r="R168" i="15"/>
  <c r="R340" i="33" s="1"/>
  <c r="R333" i="33"/>
  <c r="R388" i="33" s="1"/>
  <c r="P391" i="33"/>
  <c r="T209" i="15"/>
  <c r="S344" i="33"/>
  <c r="S353" i="33" s="1"/>
  <c r="U345" i="33"/>
  <c r="J342" i="33"/>
  <c r="K335" i="33"/>
  <c r="W4" i="26"/>
  <c r="AB3" i="31"/>
  <c r="X4" i="26"/>
  <c r="AC3" i="31"/>
  <c r="Q346" i="33"/>
  <c r="AF3" i="31"/>
  <c r="BO7" i="15"/>
  <c r="AF8" i="33"/>
  <c r="AA4" i="26"/>
  <c r="AL7" i="15"/>
  <c r="R203" i="15"/>
  <c r="S85" i="15"/>
  <c r="AE3" i="31"/>
  <c r="Z4" i="26"/>
  <c r="BN7" i="15"/>
  <c r="AE8" i="33"/>
  <c r="L414" i="33"/>
  <c r="H2" i="22"/>
  <c r="F2" i="17"/>
  <c r="AB2" i="26"/>
  <c r="J8" i="15"/>
  <c r="AS8" i="15" s="1"/>
  <c r="K9" i="33"/>
  <c r="F5" i="17" l="1"/>
  <c r="AB5" i="26"/>
  <c r="H5" i="22"/>
  <c r="S333" i="33"/>
  <c r="S168" i="15"/>
  <c r="J12" i="31"/>
  <c r="K12" i="31"/>
  <c r="R211" i="15"/>
  <c r="R391" i="33"/>
  <c r="P412" i="33"/>
  <c r="Q412" i="33"/>
  <c r="U209" i="15"/>
  <c r="V345" i="33"/>
  <c r="T344" i="33"/>
  <c r="T353" i="33" s="1"/>
  <c r="J193" i="15"/>
  <c r="J212" i="15" s="1"/>
  <c r="J191" i="15"/>
  <c r="AJ192" i="15" s="1"/>
  <c r="K336" i="33"/>
  <c r="K337" i="33" s="1"/>
  <c r="K341" i="33" s="1"/>
  <c r="I42" i="31"/>
  <c r="S203" i="15"/>
  <c r="T85" i="15"/>
  <c r="U85" i="15" s="1"/>
  <c r="V85" i="15" s="1"/>
  <c r="W85" i="15" s="1"/>
  <c r="X85" i="15" s="1"/>
  <c r="Y85" i="15" s="1"/>
  <c r="Z85" i="15" s="1"/>
  <c r="AA85" i="15" s="1"/>
  <c r="AB85" i="15" s="1"/>
  <c r="AC85" i="15" s="1"/>
  <c r="AD85" i="15" s="1"/>
  <c r="AE85" i="15" s="1"/>
  <c r="AF85" i="15" s="1"/>
  <c r="R346" i="33"/>
  <c r="J5" i="22"/>
  <c r="AC5" i="26"/>
  <c r="J5" i="17"/>
  <c r="K8" i="15"/>
  <c r="AT8" i="15" s="1"/>
  <c r="L9" i="33"/>
  <c r="L206" i="15"/>
  <c r="M411" i="33"/>
  <c r="L334" i="33"/>
  <c r="T168" i="15" l="1"/>
  <c r="T211" i="15" s="1"/>
  <c r="S340" i="33"/>
  <c r="S388" i="33"/>
  <c r="Q12" i="31" s="1"/>
  <c r="M12" i="31"/>
  <c r="I12" i="31"/>
  <c r="S211" i="15"/>
  <c r="AH333" i="33"/>
  <c r="H51" i="22" s="1"/>
  <c r="H53" i="22" s="1"/>
  <c r="J48" i="22" s="1"/>
  <c r="J53" i="22" s="1"/>
  <c r="O12" i="31"/>
  <c r="R12" i="31"/>
  <c r="T15" i="31"/>
  <c r="K15" i="31"/>
  <c r="R412" i="33"/>
  <c r="V209" i="15"/>
  <c r="U344" i="33"/>
  <c r="U353" i="33" s="1"/>
  <c r="W345" i="33"/>
  <c r="K191" i="15"/>
  <c r="L335" i="33"/>
  <c r="H168" i="15"/>
  <c r="J42" i="31"/>
  <c r="L8" i="15"/>
  <c r="AU8" i="15" s="1"/>
  <c r="M9" i="33"/>
  <c r="T203" i="15"/>
  <c r="M414" i="33"/>
  <c r="S346" i="33"/>
  <c r="N12" i="31" l="1"/>
  <c r="P12" i="31"/>
  <c r="S391" i="33"/>
  <c r="I15" i="31" s="1"/>
  <c r="L12" i="31"/>
  <c r="S12" i="31"/>
  <c r="T12" i="31"/>
  <c r="U168" i="15"/>
  <c r="U211" i="15" s="1"/>
  <c r="T340" i="33"/>
  <c r="J15" i="31"/>
  <c r="R15" i="31"/>
  <c r="N15" i="31"/>
  <c r="L15" i="31"/>
  <c r="M15" i="31"/>
  <c r="W209" i="15"/>
  <c r="X345" i="33"/>
  <c r="V344" i="33"/>
  <c r="V353" i="33" s="1"/>
  <c r="K193" i="15"/>
  <c r="K212" i="15" s="1"/>
  <c r="L336" i="33"/>
  <c r="L337" i="33" s="1"/>
  <c r="L341" i="33" s="1"/>
  <c r="K342" i="33"/>
  <c r="K42" i="31"/>
  <c r="T346" i="33"/>
  <c r="U203" i="15"/>
  <c r="N411" i="33"/>
  <c r="M334" i="33"/>
  <c r="M206" i="15"/>
  <c r="M8" i="15"/>
  <c r="AV8" i="15" s="1"/>
  <c r="N9" i="33"/>
  <c r="Q15" i="31" l="1"/>
  <c r="P15" i="31"/>
  <c r="O15" i="31"/>
  <c r="S15" i="31"/>
  <c r="S412" i="33"/>
  <c r="P36" i="31" s="1"/>
  <c r="T36" i="31"/>
  <c r="V168" i="15"/>
  <c r="V211" i="15" s="1"/>
  <c r="U340" i="33"/>
  <c r="I36" i="31"/>
  <c r="J36" i="31"/>
  <c r="L36" i="31"/>
  <c r="K36" i="31"/>
  <c r="R36" i="31"/>
  <c r="M36" i="31"/>
  <c r="N36" i="31"/>
  <c r="X209" i="15"/>
  <c r="W344" i="33"/>
  <c r="W353" i="33" s="1"/>
  <c r="Y345" i="33"/>
  <c r="M335" i="33"/>
  <c r="L42" i="31"/>
  <c r="L342" i="33"/>
  <c r="L191" i="15"/>
  <c r="L193" i="15"/>
  <c r="L212" i="15" s="1"/>
  <c r="V203" i="15"/>
  <c r="N8" i="15"/>
  <c r="AW8" i="15" s="1"/>
  <c r="O9" i="33"/>
  <c r="N414" i="33"/>
  <c r="U346" i="33"/>
  <c r="Q36" i="31" l="1"/>
  <c r="O36" i="31"/>
  <c r="S36" i="31"/>
  <c r="V340" i="33"/>
  <c r="W168" i="15"/>
  <c r="W211" i="15" s="1"/>
  <c r="Y209" i="15"/>
  <c r="Z345" i="33"/>
  <c r="X344" i="33"/>
  <c r="X353" i="33" s="1"/>
  <c r="M336" i="33"/>
  <c r="M337" i="33" s="1"/>
  <c r="M341" i="33" s="1"/>
  <c r="M42" i="31"/>
  <c r="N206" i="15"/>
  <c r="N334" i="33"/>
  <c r="O411" i="33"/>
  <c r="V346" i="33"/>
  <c r="W203" i="15"/>
  <c r="O8" i="15"/>
  <c r="AX8" i="15" s="1"/>
  <c r="P9" i="33"/>
  <c r="X168" i="15" l="1"/>
  <c r="X211" i="15" s="1"/>
  <c r="W340" i="33"/>
  <c r="Z209" i="15"/>
  <c r="Y344" i="33"/>
  <c r="Y353" i="33" s="1"/>
  <c r="AA345" i="33"/>
  <c r="N335" i="33"/>
  <c r="N42" i="31"/>
  <c r="X203" i="15"/>
  <c r="P8" i="15"/>
  <c r="AY8" i="15" s="1"/>
  <c r="Q9" i="33"/>
  <c r="W346" i="33"/>
  <c r="O414" i="33"/>
  <c r="M342" i="33"/>
  <c r="M193" i="15"/>
  <c r="M212" i="15" s="1"/>
  <c r="M191" i="15"/>
  <c r="Y168" i="15" l="1"/>
  <c r="Y211" i="15" s="1"/>
  <c r="X340" i="33"/>
  <c r="AA209" i="15"/>
  <c r="AB345" i="33"/>
  <c r="Z344" i="33"/>
  <c r="Z353" i="33" s="1"/>
  <c r="N336" i="33"/>
  <c r="N337" i="33" s="1"/>
  <c r="N341" i="33" s="1"/>
  <c r="O42" i="31"/>
  <c r="Q8" i="15"/>
  <c r="AZ8" i="15" s="1"/>
  <c r="R9" i="33"/>
  <c r="X346" i="33"/>
  <c r="O334" i="33"/>
  <c r="O206" i="15"/>
  <c r="P411" i="33"/>
  <c r="Y203" i="15"/>
  <c r="Z168" i="15" l="1"/>
  <c r="Z211" i="15" s="1"/>
  <c r="Y340" i="33"/>
  <c r="AB209" i="15"/>
  <c r="AA344" i="33"/>
  <c r="AA353" i="33" s="1"/>
  <c r="AC345" i="33"/>
  <c r="O335" i="33"/>
  <c r="P42" i="31"/>
  <c r="P414" i="33"/>
  <c r="N191" i="15"/>
  <c r="N193" i="15"/>
  <c r="N212" i="15" s="1"/>
  <c r="N342" i="33"/>
  <c r="Y346" i="33"/>
  <c r="R8" i="15"/>
  <c r="BA8" i="15" s="1"/>
  <c r="S9" i="33"/>
  <c r="Z203" i="15"/>
  <c r="AA168" i="15" l="1"/>
  <c r="AA211" i="15" s="1"/>
  <c r="Z340" i="33"/>
  <c r="AC209" i="15"/>
  <c r="AD345" i="33"/>
  <c r="AB344" i="33"/>
  <c r="AB353" i="33" s="1"/>
  <c r="O336" i="33"/>
  <c r="O337" i="33" s="1"/>
  <c r="O341" i="33" s="1"/>
  <c r="Q42" i="31"/>
  <c r="AA203" i="15"/>
  <c r="S8" i="15"/>
  <c r="BB8" i="15" s="1"/>
  <c r="T9" i="33"/>
  <c r="Z346" i="33"/>
  <c r="P334" i="33"/>
  <c r="P206" i="15"/>
  <c r="Q411" i="33"/>
  <c r="AB168" i="15" l="1"/>
  <c r="AA340" i="33"/>
  <c r="AD209" i="15"/>
  <c r="AC344" i="33"/>
  <c r="AC353" i="33" s="1"/>
  <c r="AE345" i="33"/>
  <c r="P335" i="33"/>
  <c r="I4" i="31"/>
  <c r="I10" i="33"/>
  <c r="D6" i="26" s="1"/>
  <c r="R42" i="31"/>
  <c r="O191" i="15"/>
  <c r="O193" i="15"/>
  <c r="O212" i="15" s="1"/>
  <c r="O342" i="33"/>
  <c r="Q414" i="33"/>
  <c r="AA346" i="33"/>
  <c r="T8" i="15"/>
  <c r="U9" i="33"/>
  <c r="AB203" i="15"/>
  <c r="AB211" i="15" l="1"/>
  <c r="AC168" i="15"/>
  <c r="V42" i="31" s="1"/>
  <c r="AB340" i="33"/>
  <c r="AE209" i="15"/>
  <c r="AF345" i="33"/>
  <c r="AH345" i="33" s="1"/>
  <c r="AD344" i="33"/>
  <c r="AD353" i="33" s="1"/>
  <c r="P336" i="33"/>
  <c r="P337" i="33" s="1"/>
  <c r="P341" i="33" s="1"/>
  <c r="J10" i="33"/>
  <c r="E6" i="26" s="1"/>
  <c r="J4" i="31"/>
  <c r="S42" i="31"/>
  <c r="U8" i="15"/>
  <c r="V9" i="33"/>
  <c r="Q206" i="15"/>
  <c r="Q334" i="33"/>
  <c r="R411" i="33"/>
  <c r="AB346" i="33"/>
  <c r="AC203" i="15"/>
  <c r="BC8" i="15"/>
  <c r="AC211" i="15" l="1"/>
  <c r="AD168" i="15"/>
  <c r="AD211" i="15" s="1"/>
  <c r="AC340" i="33"/>
  <c r="AJ345" i="33"/>
  <c r="AF209" i="15"/>
  <c r="AL209" i="15" s="1"/>
  <c r="AE344" i="33"/>
  <c r="AE353" i="33" s="1"/>
  <c r="P191" i="15"/>
  <c r="Q335" i="33"/>
  <c r="K10" i="33"/>
  <c r="F6" i="26" s="1"/>
  <c r="K4" i="31"/>
  <c r="T42" i="31"/>
  <c r="AD203" i="15"/>
  <c r="AC346" i="33"/>
  <c r="V8" i="15"/>
  <c r="BE8" i="15" s="1"/>
  <c r="W9" i="33"/>
  <c r="R414" i="33"/>
  <c r="BD8" i="15"/>
  <c r="AL4" i="15"/>
  <c r="AE168" i="15" l="1"/>
  <c r="AE211" i="15" s="1"/>
  <c r="AD340" i="33"/>
  <c r="AJ209" i="15"/>
  <c r="AF344" i="33"/>
  <c r="AF353" i="33" s="1"/>
  <c r="P193" i="15"/>
  <c r="P212" i="15" s="1"/>
  <c r="P342" i="33"/>
  <c r="Q336" i="33"/>
  <c r="Q337" i="33" s="1"/>
  <c r="Q341" i="33" s="1"/>
  <c r="L10" i="33"/>
  <c r="G6" i="26" s="1"/>
  <c r="L4" i="31"/>
  <c r="W8" i="15"/>
  <c r="BF8" i="15" s="1"/>
  <c r="X9" i="33"/>
  <c r="J3" i="22"/>
  <c r="J3" i="17"/>
  <c r="AC3" i="26"/>
  <c r="AD346" i="33"/>
  <c r="R206" i="15"/>
  <c r="S411" i="33"/>
  <c r="R334" i="33"/>
  <c r="AE203" i="15"/>
  <c r="AF168" i="15" l="1"/>
  <c r="Z42" i="31" s="1"/>
  <c r="AE340" i="33"/>
  <c r="AL85" i="15"/>
  <c r="J32" i="22" s="1"/>
  <c r="AJ85" i="15"/>
  <c r="H32" i="22" s="1"/>
  <c r="Q342" i="33"/>
  <c r="R335" i="33"/>
  <c r="M10" i="33"/>
  <c r="H6" i="26" s="1"/>
  <c r="M4" i="31"/>
  <c r="U42" i="31"/>
  <c r="Y42" i="31"/>
  <c r="W42" i="31"/>
  <c r="X42" i="31"/>
  <c r="AC42" i="31"/>
  <c r="AD42" i="31"/>
  <c r="AE346" i="33"/>
  <c r="AH344" i="33"/>
  <c r="X8" i="15"/>
  <c r="BG8" i="15" s="1"/>
  <c r="Y9" i="33"/>
  <c r="S414" i="33"/>
  <c r="AF203" i="15"/>
  <c r="AE42" i="31" l="1"/>
  <c r="AL168" i="15"/>
  <c r="AF211" i="15"/>
  <c r="AF42" i="31"/>
  <c r="AA42" i="31"/>
  <c r="AB42" i="31"/>
  <c r="AJ168" i="15"/>
  <c r="AF340" i="33"/>
  <c r="AJ340" i="33" s="1"/>
  <c r="AL203" i="15"/>
  <c r="AJ203" i="15"/>
  <c r="AL211" i="15"/>
  <c r="AJ211" i="15"/>
  <c r="Q193" i="15"/>
  <c r="Q212" i="15" s="1"/>
  <c r="R336" i="33"/>
  <c r="R337" i="33" s="1"/>
  <c r="R341" i="33" s="1"/>
  <c r="Q191" i="15"/>
  <c r="N10" i="33"/>
  <c r="I6" i="26" s="1"/>
  <c r="N4" i="31"/>
  <c r="Y8" i="15"/>
  <c r="BH8" i="15" s="1"/>
  <c r="Z9" i="33"/>
  <c r="AJ344" i="33"/>
  <c r="AF346" i="33"/>
  <c r="T411" i="33"/>
  <c r="I35" i="31" s="1"/>
  <c r="S206" i="15"/>
  <c r="S334" i="33"/>
  <c r="AH340" i="33" l="1"/>
  <c r="AJ346" i="33"/>
  <c r="AH346" i="33"/>
  <c r="S335" i="33"/>
  <c r="O10" i="33"/>
  <c r="J6" i="26" s="1"/>
  <c r="O4" i="31"/>
  <c r="T414" i="33"/>
  <c r="R191" i="15"/>
  <c r="R193" i="15"/>
  <c r="R212" i="15" s="1"/>
  <c r="R342" i="33"/>
  <c r="Z8" i="15"/>
  <c r="BI8" i="15" s="1"/>
  <c r="AA9" i="33"/>
  <c r="I43" i="31" l="1"/>
  <c r="I41" i="31"/>
  <c r="I38" i="31"/>
  <c r="S336" i="33"/>
  <c r="S337" i="33" s="1"/>
  <c r="S341" i="33" s="1"/>
  <c r="P10" i="33"/>
  <c r="K6" i="26" s="1"/>
  <c r="P4" i="31"/>
  <c r="AA8" i="15"/>
  <c r="BJ8" i="15" s="1"/>
  <c r="AB9" i="33"/>
  <c r="U411" i="33"/>
  <c r="J35" i="31" s="1"/>
  <c r="T334" i="33"/>
  <c r="T206" i="15"/>
  <c r="S193" i="15" l="1"/>
  <c r="S212" i="15" s="1"/>
  <c r="Q10" i="33"/>
  <c r="L6" i="26" s="1"/>
  <c r="Q4" i="31"/>
  <c r="AB8" i="15"/>
  <c r="BK8" i="15" s="1"/>
  <c r="AC9" i="33"/>
  <c r="U414" i="33"/>
  <c r="T335" i="33"/>
  <c r="J43" i="31" l="1"/>
  <c r="J41" i="31"/>
  <c r="J38" i="31"/>
  <c r="S191" i="15"/>
  <c r="S342" i="33"/>
  <c r="R4" i="31"/>
  <c r="R10" i="33"/>
  <c r="M6" i="26" s="1"/>
  <c r="U206" i="15"/>
  <c r="V411" i="33"/>
  <c r="K35" i="31" s="1"/>
  <c r="U334" i="33"/>
  <c r="T336" i="33"/>
  <c r="T337" i="33" s="1"/>
  <c r="T341" i="33" s="1"/>
  <c r="AC8" i="15"/>
  <c r="BL8" i="15" s="1"/>
  <c r="AD9" i="33"/>
  <c r="I44" i="31" l="1"/>
  <c r="I45" i="31" s="1"/>
  <c r="U335" i="33"/>
  <c r="S10" i="33"/>
  <c r="N6" i="26" s="1"/>
  <c r="S4" i="31"/>
  <c r="I48" i="33"/>
  <c r="V414" i="33"/>
  <c r="AD8" i="15"/>
  <c r="BM8" i="15" s="1"/>
  <c r="AE9" i="33"/>
  <c r="K41" i="31" l="1"/>
  <c r="K43" i="31"/>
  <c r="K38" i="31"/>
  <c r="U336" i="33"/>
  <c r="U337" i="33" s="1"/>
  <c r="U341" i="33" s="1"/>
  <c r="T4" i="31"/>
  <c r="T10" i="33"/>
  <c r="O6" i="26" s="1"/>
  <c r="D42" i="26"/>
  <c r="AE8" i="15"/>
  <c r="BN8" i="15" s="1"/>
  <c r="AF9" i="33"/>
  <c r="V10" i="33" s="1"/>
  <c r="Q6" i="26" s="1"/>
  <c r="W411" i="33"/>
  <c r="L35" i="31" s="1"/>
  <c r="V334" i="33"/>
  <c r="V206" i="15"/>
  <c r="T191" i="15"/>
  <c r="T342" i="33"/>
  <c r="T193" i="15"/>
  <c r="J44" i="31" l="1"/>
  <c r="J45" i="31" s="1"/>
  <c r="V335" i="33"/>
  <c r="V4" i="31"/>
  <c r="U10" i="33"/>
  <c r="P6" i="26" s="1"/>
  <c r="U4" i="31"/>
  <c r="W10" i="33"/>
  <c r="R6" i="26" s="1"/>
  <c r="W4" i="31"/>
  <c r="X4" i="31"/>
  <c r="X10" i="33"/>
  <c r="S6" i="26" s="1"/>
  <c r="Y10" i="33"/>
  <c r="T6" i="26" s="1"/>
  <c r="Y4" i="31"/>
  <c r="Z10" i="33"/>
  <c r="U6" i="26" s="1"/>
  <c r="Z4" i="31"/>
  <c r="AA4" i="31"/>
  <c r="AA10" i="33"/>
  <c r="V6" i="26" s="1"/>
  <c r="AB4" i="31"/>
  <c r="AB10" i="33"/>
  <c r="W6" i="26" s="1"/>
  <c r="AC4" i="31"/>
  <c r="AC10" i="33"/>
  <c r="X6" i="26" s="1"/>
  <c r="AD4" i="31"/>
  <c r="AD10" i="33"/>
  <c r="Y6" i="26" s="1"/>
  <c r="AE10" i="33"/>
  <c r="Z6" i="26" s="1"/>
  <c r="AE4" i="31"/>
  <c r="AF4" i="31"/>
  <c r="AF8" i="15"/>
  <c r="AJ8" i="15" s="1"/>
  <c r="AF10" i="33"/>
  <c r="AA6" i="26" s="1"/>
  <c r="T212" i="15"/>
  <c r="W414" i="33"/>
  <c r="J48" i="33" l="1"/>
  <c r="E42" i="26" s="1"/>
  <c r="F6" i="17"/>
  <c r="H6" i="22"/>
  <c r="AB6" i="26"/>
  <c r="L41" i="31"/>
  <c r="L43" i="31"/>
  <c r="L38" i="31"/>
  <c r="U193" i="15"/>
  <c r="U212" i="15" s="1"/>
  <c r="U191" i="15"/>
  <c r="U342" i="33"/>
  <c r="V336" i="33"/>
  <c r="V337" i="33" s="1"/>
  <c r="V341" i="33" s="1"/>
  <c r="X411" i="33"/>
  <c r="M35" i="31" s="1"/>
  <c r="W206" i="15"/>
  <c r="W334" i="33"/>
  <c r="BO8" i="15"/>
  <c r="AL8" i="15"/>
  <c r="K44" i="31" l="1"/>
  <c r="K45" i="31" s="1"/>
  <c r="W335" i="33"/>
  <c r="X414" i="33"/>
  <c r="J6" i="22"/>
  <c r="AC6" i="26"/>
  <c r="J6" i="17"/>
  <c r="K48" i="33" l="1"/>
  <c r="F42" i="26" s="1"/>
  <c r="M41" i="31"/>
  <c r="M43" i="31"/>
  <c r="M38" i="31"/>
  <c r="V193" i="15"/>
  <c r="V212" i="15" s="1"/>
  <c r="W336" i="33"/>
  <c r="W337" i="33" s="1"/>
  <c r="W341" i="33" s="1"/>
  <c r="V342" i="33"/>
  <c r="V191" i="15"/>
  <c r="X206" i="15"/>
  <c r="Y411" i="33"/>
  <c r="N35" i="31" s="1"/>
  <c r="X334" i="33"/>
  <c r="L44" i="31" l="1"/>
  <c r="L45" i="31" s="1"/>
  <c r="X335" i="33"/>
  <c r="Y414" i="33"/>
  <c r="L48" i="33" l="1"/>
  <c r="G42" i="26" s="1"/>
  <c r="N43" i="31"/>
  <c r="N41" i="31"/>
  <c r="N38" i="31"/>
  <c r="W193" i="15"/>
  <c r="W212" i="15" s="1"/>
  <c r="W342" i="33"/>
  <c r="W191" i="15"/>
  <c r="X336" i="33"/>
  <c r="X337" i="33" s="1"/>
  <c r="X341" i="33" s="1"/>
  <c r="Y206" i="15"/>
  <c r="Y334" i="33"/>
  <c r="Z411" i="33"/>
  <c r="O35" i="31" s="1"/>
  <c r="M44" i="31" l="1"/>
  <c r="M45" i="31" s="1"/>
  <c r="Y335" i="33"/>
  <c r="Z414" i="33"/>
  <c r="M48" i="33" l="1"/>
  <c r="H42" i="26" s="1"/>
  <c r="O43" i="31"/>
  <c r="O41" i="31"/>
  <c r="O38" i="31"/>
  <c r="X193" i="15"/>
  <c r="X212" i="15" s="1"/>
  <c r="X342" i="33"/>
  <c r="X191" i="15"/>
  <c r="Y336" i="33"/>
  <c r="Y337" i="33" s="1"/>
  <c r="Y341" i="33" s="1"/>
  <c r="Z206" i="15"/>
  <c r="AA411" i="33"/>
  <c r="P35" i="31" s="1"/>
  <c r="Z334" i="33"/>
  <c r="N44" i="31" l="1"/>
  <c r="N45" i="31" s="1"/>
  <c r="Z335" i="33"/>
  <c r="AA414" i="33"/>
  <c r="N48" i="33" l="1"/>
  <c r="I42" i="26" s="1"/>
  <c r="P43" i="31"/>
  <c r="P41" i="31"/>
  <c r="P38" i="31"/>
  <c r="Y193" i="15"/>
  <c r="Y212" i="15" s="1"/>
  <c r="Z336" i="33"/>
  <c r="Z337" i="33" s="1"/>
  <c r="Z341" i="33" s="1"/>
  <c r="Y342" i="33"/>
  <c r="Y191" i="15"/>
  <c r="AA206" i="15"/>
  <c r="AA334" i="33"/>
  <c r="AB411" i="33"/>
  <c r="Q35" i="31" s="1"/>
  <c r="O44" i="31" l="1"/>
  <c r="O45" i="31" s="1"/>
  <c r="O48" i="33"/>
  <c r="J42" i="26" s="1"/>
  <c r="AA335" i="33"/>
  <c r="AB414" i="33"/>
  <c r="Q43" i="31" l="1"/>
  <c r="Q41" i="31"/>
  <c r="Q38" i="31"/>
  <c r="Z193" i="15"/>
  <c r="Z212" i="15" s="1"/>
  <c r="AA336" i="33"/>
  <c r="AA337" i="33" s="1"/>
  <c r="AA341" i="33" s="1"/>
  <c r="Z342" i="33"/>
  <c r="Z191" i="15"/>
  <c r="AB206" i="15"/>
  <c r="AC411" i="33"/>
  <c r="R35" i="31" s="1"/>
  <c r="AB334" i="33"/>
  <c r="P44" i="31" l="1"/>
  <c r="P45" i="31" s="1"/>
  <c r="P48" i="33"/>
  <c r="K42" i="26" s="1"/>
  <c r="AB335" i="33"/>
  <c r="AC414" i="33"/>
  <c r="R41" i="31" l="1"/>
  <c r="R43" i="31"/>
  <c r="R38" i="31"/>
  <c r="AA342" i="33"/>
  <c r="AA193" i="15"/>
  <c r="AA212" i="15" s="1"/>
  <c r="AA191" i="15"/>
  <c r="AB336" i="33"/>
  <c r="AB337" i="33" s="1"/>
  <c r="AB341" i="33" s="1"/>
  <c r="AC206" i="15"/>
  <c r="AC334" i="33"/>
  <c r="AD411" i="33"/>
  <c r="S35" i="31" s="1"/>
  <c r="Q44" i="31" l="1"/>
  <c r="Q45" i="31" s="1"/>
  <c r="Q48" i="33"/>
  <c r="L42" i="26" s="1"/>
  <c r="AC335" i="33"/>
  <c r="AD414" i="33"/>
  <c r="S41" i="31" l="1"/>
  <c r="S43" i="31"/>
  <c r="S38" i="31"/>
  <c r="AB342" i="33"/>
  <c r="AB191" i="15"/>
  <c r="AB193" i="15"/>
  <c r="AB212" i="15" s="1"/>
  <c r="AC336" i="33"/>
  <c r="AC337" i="33" s="1"/>
  <c r="AC341" i="33" s="1"/>
  <c r="AD334" i="33"/>
  <c r="AE411" i="33"/>
  <c r="T35" i="31" s="1"/>
  <c r="AD206" i="15"/>
  <c r="R44" i="31" l="1"/>
  <c r="R45" i="31" s="1"/>
  <c r="R48" i="33"/>
  <c r="M42" i="26" s="1"/>
  <c r="AD335" i="33"/>
  <c r="AE414" i="33"/>
  <c r="T43" i="31" l="1"/>
  <c r="T41" i="31"/>
  <c r="T38" i="31"/>
  <c r="AC193" i="15"/>
  <c r="AC212" i="15" s="1"/>
  <c r="AC191" i="15"/>
  <c r="AC342" i="33"/>
  <c r="AD336" i="33"/>
  <c r="AD337" i="33" s="1"/>
  <c r="AD341" i="33" s="1"/>
  <c r="AE206" i="15"/>
  <c r="AF411" i="33"/>
  <c r="AE334" i="33"/>
  <c r="S44" i="31" l="1"/>
  <c r="S45" i="31" s="1"/>
  <c r="S48" i="33"/>
  <c r="N42" i="26" s="1"/>
  <c r="AE335" i="33"/>
  <c r="U35" i="31"/>
  <c r="V35" i="31"/>
  <c r="W35" i="31"/>
  <c r="X35" i="31"/>
  <c r="Y35" i="31"/>
  <c r="Z35" i="31"/>
  <c r="AA35" i="31"/>
  <c r="AB35" i="31"/>
  <c r="AC35" i="31"/>
  <c r="AD35" i="31"/>
  <c r="AE35" i="31"/>
  <c r="AF414" i="33"/>
  <c r="AH414" i="33" s="1"/>
  <c r="H36" i="22" s="1"/>
  <c r="H62" i="22" s="1"/>
  <c r="AF35" i="31"/>
  <c r="U43" i="31" l="1"/>
  <c r="U41" i="31"/>
  <c r="V41" i="31"/>
  <c r="V43" i="31"/>
  <c r="W41" i="31"/>
  <c r="W43" i="31"/>
  <c r="X43" i="31"/>
  <c r="X41" i="31"/>
  <c r="AF43" i="31"/>
  <c r="Y41" i="31"/>
  <c r="Y43" i="31"/>
  <c r="Z43" i="31"/>
  <c r="Z41" i="31"/>
  <c r="AA43" i="31"/>
  <c r="AA41" i="31"/>
  <c r="AB41" i="31"/>
  <c r="AB43" i="31"/>
  <c r="AC43" i="31"/>
  <c r="AC41" i="31"/>
  <c r="AD43" i="31"/>
  <c r="AD41" i="31"/>
  <c r="AE43" i="31"/>
  <c r="AE41" i="31"/>
  <c r="AF41" i="31"/>
  <c r="AD342" i="33"/>
  <c r="AD191" i="15"/>
  <c r="AD193" i="15"/>
  <c r="AD212" i="15" s="1"/>
  <c r="AE336" i="33"/>
  <c r="AE337" i="33" s="1"/>
  <c r="AE341" i="33" s="1"/>
  <c r="U38" i="31"/>
  <c r="V38" i="31"/>
  <c r="W38" i="31"/>
  <c r="X38" i="31"/>
  <c r="Y38" i="31"/>
  <c r="Z38" i="31"/>
  <c r="AA38" i="31"/>
  <c r="AB38" i="31"/>
  <c r="AC38" i="31"/>
  <c r="AD38" i="31"/>
  <c r="AE38" i="31"/>
  <c r="AF334" i="33"/>
  <c r="AJ414" i="33"/>
  <c r="AF206" i="15"/>
  <c r="AF38" i="31"/>
  <c r="T44" i="31" l="1"/>
  <c r="T45" i="31" s="1"/>
  <c r="AJ206" i="15"/>
  <c r="H35" i="22" s="1"/>
  <c r="H37" i="22" s="1"/>
  <c r="AH334" i="33"/>
  <c r="T48" i="33"/>
  <c r="AL206" i="15"/>
  <c r="J35" i="22" s="1"/>
  <c r="J36" i="22"/>
  <c r="J62" i="22" s="1"/>
  <c r="AF335" i="33"/>
  <c r="AJ334" i="33"/>
  <c r="AE193" i="15" l="1"/>
  <c r="AE212" i="15" s="1"/>
  <c r="AE191" i="15"/>
  <c r="AE342" i="33"/>
  <c r="O42" i="26"/>
  <c r="AF336" i="33"/>
  <c r="AF337" i="33" s="1"/>
  <c r="AF341" i="33" s="1"/>
  <c r="J37" i="22"/>
  <c r="U44" i="31" l="1"/>
  <c r="U45" i="31" s="1"/>
  <c r="V44" i="31"/>
  <c r="V45" i="31" s="1"/>
  <c r="W44" i="31"/>
  <c r="W45" i="31" s="1"/>
  <c r="X44" i="31"/>
  <c r="X45" i="31" s="1"/>
  <c r="Y44" i="31"/>
  <c r="Y45" i="31" s="1"/>
  <c r="Z44" i="31"/>
  <c r="Z45" i="31" s="1"/>
  <c r="AA44" i="31"/>
  <c r="AA45" i="31" s="1"/>
  <c r="AB44" i="31"/>
  <c r="AB45" i="31" s="1"/>
  <c r="AC44" i="31"/>
  <c r="AC45" i="31" s="1"/>
  <c r="AD44" i="31"/>
  <c r="AD45" i="31" s="1"/>
  <c r="AE44" i="31"/>
  <c r="AE45" i="31" s="1"/>
  <c r="AH341" i="33"/>
  <c r="AF44" i="31"/>
  <c r="AF45" i="31" s="1"/>
  <c r="AB42" i="26" l="1"/>
  <c r="F48" i="17"/>
  <c r="U48" i="33"/>
  <c r="V48" i="33"/>
  <c r="W48" i="33"/>
  <c r="X48" i="33"/>
  <c r="Y48" i="33"/>
  <c r="Z48" i="33"/>
  <c r="AA48" i="33"/>
  <c r="AB48" i="33"/>
  <c r="AC48" i="33"/>
  <c r="AD48" i="33"/>
  <c r="AE48" i="33"/>
  <c r="AF191" i="15"/>
  <c r="AF342" i="33"/>
  <c r="AJ341" i="33"/>
  <c r="AF193" i="15"/>
  <c r="AJ193" i="15" s="1"/>
  <c r="AF48" i="33"/>
  <c r="AH48" i="33" l="1"/>
  <c r="AL191" i="15"/>
  <c r="AJ191" i="15"/>
  <c r="AJ342" i="33"/>
  <c r="AH342" i="33"/>
  <c r="Q42" i="26"/>
  <c r="P42" i="26"/>
  <c r="S42" i="26"/>
  <c r="R42" i="26"/>
  <c r="W42" i="26"/>
  <c r="Z42" i="26"/>
  <c r="V42" i="26"/>
  <c r="Y42" i="26"/>
  <c r="U42" i="26"/>
  <c r="X42" i="26"/>
  <c r="T42" i="26"/>
  <c r="AC42" i="26"/>
  <c r="J48" i="17"/>
  <c r="AJ48" i="33"/>
  <c r="AA42" i="26"/>
  <c r="AF212" i="15"/>
  <c r="AL193" i="15"/>
  <c r="AL212" i="15" l="1"/>
  <c r="J56" i="22" s="1"/>
  <c r="J63" i="22" s="1"/>
  <c r="AJ212" i="15"/>
  <c r="H56" i="22" s="1"/>
  <c r="H63" i="22" s="1"/>
  <c r="I290" i="15"/>
  <c r="I201" i="15" l="1"/>
  <c r="K290" i="15" l="1"/>
  <c r="J290" i="15"/>
  <c r="L290" i="15" l="1"/>
  <c r="M290" i="15"/>
  <c r="N290" i="15"/>
  <c r="J201" i="15" l="1"/>
  <c r="K201" i="15"/>
  <c r="M201" i="15" l="1"/>
  <c r="O290" i="15"/>
  <c r="P290" i="15"/>
  <c r="L201" i="15"/>
  <c r="Q290" i="15" l="1"/>
  <c r="N201" i="15"/>
  <c r="O201" i="15"/>
  <c r="R290" i="15"/>
  <c r="S290" i="15" l="1"/>
  <c r="P201" i="15"/>
  <c r="Q201" i="15"/>
  <c r="T290" i="15" l="1"/>
  <c r="AJ289" i="15"/>
  <c r="U290" i="15"/>
  <c r="R201" i="15" l="1"/>
  <c r="S201" i="15"/>
  <c r="T201" i="15" l="1"/>
  <c r="V290" i="15"/>
  <c r="W290" i="15"/>
  <c r="X290" i="15" l="1"/>
  <c r="Y290" i="15"/>
  <c r="U201" i="15"/>
  <c r="V201" i="15"/>
  <c r="W201" i="15" l="1"/>
  <c r="Z290" i="15" l="1"/>
  <c r="X201" i="15"/>
  <c r="AA290" i="15" l="1"/>
  <c r="Y201" i="15"/>
  <c r="AB290" i="15"/>
  <c r="Z201" i="15" l="1"/>
  <c r="AA201" i="15"/>
  <c r="AC290" i="15" l="1"/>
  <c r="AD290" i="15" l="1"/>
  <c r="AB201" i="15"/>
  <c r="AE290" i="15" l="1"/>
  <c r="AD201" i="15"/>
  <c r="AF290" i="15"/>
  <c r="AC201" i="15"/>
  <c r="AL290" i="15" l="1"/>
  <c r="AJ290" i="15"/>
  <c r="AE201" i="15"/>
  <c r="AL289" i="15"/>
  <c r="AF201" i="15" l="1"/>
  <c r="AJ201" i="15" l="1"/>
  <c r="AL201" i="15"/>
  <c r="AR466" i="29" l="1"/>
  <c r="AR469" i="29"/>
  <c r="AS465" i="29" s="1"/>
  <c r="AS466" i="29" s="1"/>
  <c r="AS469" i="29" l="1"/>
  <c r="AT465" i="29" s="1"/>
  <c r="AT466" i="29" s="1"/>
  <c r="AT469" i="29"/>
  <c r="AU465" i="29" s="1"/>
  <c r="AU466" i="29" l="1"/>
  <c r="L309" i="15"/>
  <c r="L312" i="15" s="1"/>
  <c r="L348" i="33" s="1"/>
  <c r="L352" i="33" s="1"/>
  <c r="L156" i="15" s="1"/>
  <c r="L158" i="15" s="1"/>
  <c r="L160" i="15" s="1"/>
  <c r="V309" i="15"/>
  <c r="V312" i="15" s="1"/>
  <c r="V348" i="33" s="1"/>
  <c r="V352" i="33" s="1"/>
  <c r="V156" i="15" s="1"/>
  <c r="AE309" i="15"/>
  <c r="AE312" i="15" s="1"/>
  <c r="AE348" i="33" s="1"/>
  <c r="AE352" i="33" s="1"/>
  <c r="AE156" i="15" s="1"/>
  <c r="N309" i="15"/>
  <c r="N312" i="15" s="1"/>
  <c r="N348" i="33" s="1"/>
  <c r="N352" i="33" s="1"/>
  <c r="N156" i="15" s="1"/>
  <c r="O309" i="15"/>
  <c r="O312" i="15" s="1"/>
  <c r="J309" i="15"/>
  <c r="J312" i="15" s="1"/>
  <c r="J348" i="33" s="1"/>
  <c r="J352" i="33" s="1"/>
  <c r="J156" i="15" s="1"/>
  <c r="AF309" i="15"/>
  <c r="AF312" i="15" s="1"/>
  <c r="AF348" i="33" s="1"/>
  <c r="AF352" i="33" s="1"/>
  <c r="AF156" i="15" s="1"/>
  <c r="W309" i="15"/>
  <c r="W312" i="15" s="1"/>
  <c r="W348" i="33" s="1"/>
  <c r="W352" i="33" s="1"/>
  <c r="W156" i="15" s="1"/>
  <c r="AC309" i="15"/>
  <c r="AC312" i="15" s="1"/>
  <c r="AC348" i="33" s="1"/>
  <c r="AC352" i="33" s="1"/>
  <c r="AC156" i="15" s="1"/>
  <c r="Y309" i="15"/>
  <c r="Y312" i="15" s="1"/>
  <c r="Y348" i="33" s="1"/>
  <c r="Y352" i="33" s="1"/>
  <c r="Y156" i="15" s="1"/>
  <c r="AD309" i="15"/>
  <c r="AD312" i="15" s="1"/>
  <c r="AD348" i="33" s="1"/>
  <c r="AD352" i="33" s="1"/>
  <c r="AD156" i="15" s="1"/>
  <c r="AA309" i="15"/>
  <c r="AA312" i="15" s="1"/>
  <c r="AA348" i="33" s="1"/>
  <c r="AA352" i="33" s="1"/>
  <c r="AA156" i="15" s="1"/>
  <c r="Q309" i="15"/>
  <c r="Q312" i="15" s="1"/>
  <c r="Q348" i="33" s="1"/>
  <c r="Q352" i="33" s="1"/>
  <c r="Q156" i="15" s="1"/>
  <c r="R309" i="15"/>
  <c r="R312" i="15" s="1"/>
  <c r="R348" i="33" s="1"/>
  <c r="R352" i="33" s="1"/>
  <c r="R156" i="15" s="1"/>
  <c r="X309" i="15"/>
  <c r="X312" i="15" s="1"/>
  <c r="X348" i="33" s="1"/>
  <c r="X352" i="33" s="1"/>
  <c r="X156" i="15" s="1"/>
  <c r="P309" i="15"/>
  <c r="P312" i="15" s="1"/>
  <c r="P348" i="33" s="1"/>
  <c r="P352" i="33" s="1"/>
  <c r="P156" i="15" s="1"/>
  <c r="T309" i="15"/>
  <c r="T312" i="15" s="1"/>
  <c r="T348" i="33" s="1"/>
  <c r="T352" i="33" s="1"/>
  <c r="T156" i="15" s="1"/>
  <c r="Z309" i="15"/>
  <c r="Z312" i="15" s="1"/>
  <c r="Z348" i="33" s="1"/>
  <c r="Z352" i="33" s="1"/>
  <c r="Z156" i="15" s="1"/>
  <c r="AB309" i="15"/>
  <c r="AB312" i="15" s="1"/>
  <c r="AB348" i="33" s="1"/>
  <c r="AB352" i="33" s="1"/>
  <c r="AB156" i="15" s="1"/>
  <c r="M309" i="15"/>
  <c r="M312" i="15" s="1"/>
  <c r="M348" i="33" s="1"/>
  <c r="M352" i="33" s="1"/>
  <c r="M156" i="15" s="1"/>
  <c r="M158" i="15" s="1"/>
  <c r="M160" i="15" s="1"/>
  <c r="K309" i="15"/>
  <c r="K312" i="15" s="1"/>
  <c r="K348" i="33" s="1"/>
  <c r="K352" i="33" s="1"/>
  <c r="K156" i="15" s="1"/>
  <c r="U309" i="15"/>
  <c r="U312" i="15" s="1"/>
  <c r="U348" i="33" s="1"/>
  <c r="U352" i="33" s="1"/>
  <c r="U156" i="15" s="1"/>
  <c r="S309" i="15"/>
  <c r="S312" i="15" s="1"/>
  <c r="S348" i="33" s="1"/>
  <c r="S352" i="33" s="1"/>
  <c r="S156" i="15" s="1"/>
  <c r="I309" i="15"/>
  <c r="I312" i="15" s="1"/>
  <c r="I348" i="33" s="1"/>
  <c r="I352" i="33" s="1"/>
  <c r="Y47" i="33" l="1"/>
  <c r="U307" i="15"/>
  <c r="B313" i="15"/>
  <c r="O348" i="33"/>
  <c r="O352" i="33" s="1"/>
  <c r="O156" i="15" s="1"/>
  <c r="O158" i="15" s="1"/>
  <c r="O160" i="15" s="1"/>
  <c r="W47" i="33"/>
  <c r="R41" i="26" s="1"/>
  <c r="W158" i="15"/>
  <c r="W160" i="15" s="1"/>
  <c r="R158" i="15"/>
  <c r="R160" i="15" s="1"/>
  <c r="R47" i="33"/>
  <c r="Z158" i="15"/>
  <c r="Z160" i="15" s="1"/>
  <c r="Z47" i="33"/>
  <c r="P47" i="33"/>
  <c r="P158" i="15"/>
  <c r="P160" i="15" s="1"/>
  <c r="AD47" i="33"/>
  <c r="AD158" i="15"/>
  <c r="AD160" i="15" s="1"/>
  <c r="K47" i="33"/>
  <c r="K158" i="15"/>
  <c r="K160" i="15" s="1"/>
  <c r="S47" i="33"/>
  <c r="S158" i="15"/>
  <c r="S160" i="15" s="1"/>
  <c r="Q158" i="15"/>
  <c r="Q160" i="15" s="1"/>
  <c r="Q47" i="33"/>
  <c r="AB158" i="15"/>
  <c r="AB160" i="15" s="1"/>
  <c r="AB47" i="33"/>
  <c r="U158" i="15"/>
  <c r="U47" i="33"/>
  <c r="AL156" i="15"/>
  <c r="L354" i="33"/>
  <c r="I354" i="33"/>
  <c r="J354" i="33"/>
  <c r="K354" i="33"/>
  <c r="N354" i="33"/>
  <c r="I156" i="15"/>
  <c r="M354" i="33"/>
  <c r="T47" i="33"/>
  <c r="T158" i="15"/>
  <c r="T160" i="15" s="1"/>
  <c r="J158" i="15"/>
  <c r="J160" i="15" s="1"/>
  <c r="J47" i="33"/>
  <c r="AC47" i="33"/>
  <c r="AC158" i="15"/>
  <c r="AC160" i="15" s="1"/>
  <c r="N158" i="15"/>
  <c r="N160" i="15" s="1"/>
  <c r="N47" i="33"/>
  <c r="AE47" i="33"/>
  <c r="AE158" i="15"/>
  <c r="AE160" i="15" s="1"/>
  <c r="AJ309" i="15"/>
  <c r="Y158" i="15"/>
  <c r="Y160" i="15" s="1"/>
  <c r="M47" i="33"/>
  <c r="AJ312" i="15"/>
  <c r="AL312" i="15"/>
  <c r="Y49" i="33"/>
  <c r="T41" i="26"/>
  <c r="AF47" i="33"/>
  <c r="AF158" i="15"/>
  <c r="AF160" i="15" s="1"/>
  <c r="L47" i="33"/>
  <c r="AA47" i="33"/>
  <c r="AA158" i="15"/>
  <c r="AA160" i="15" s="1"/>
  <c r="AL309" i="15"/>
  <c r="X158" i="15"/>
  <c r="X160" i="15" s="1"/>
  <c r="X47" i="33"/>
  <c r="V47" i="33"/>
  <c r="V158" i="15"/>
  <c r="V160" i="15" s="1"/>
  <c r="O47" i="33" l="1"/>
  <c r="X354" i="33"/>
  <c r="AE354" i="33"/>
  <c r="R354" i="33"/>
  <c r="R355" i="33" s="1"/>
  <c r="O354" i="33"/>
  <c r="O202" i="15" s="1"/>
  <c r="O207" i="15" s="1"/>
  <c r="W354" i="33"/>
  <c r="W202" i="15" s="1"/>
  <c r="W207" i="15" s="1"/>
  <c r="Z354" i="33"/>
  <c r="Z355" i="33" s="1"/>
  <c r="AD354" i="33"/>
  <c r="AD355" i="33" s="1"/>
  <c r="AB354" i="33"/>
  <c r="AB202" i="15" s="1"/>
  <c r="AB207" i="15" s="1"/>
  <c r="Q354" i="33"/>
  <c r="Q202" i="15" s="1"/>
  <c r="Q207" i="15" s="1"/>
  <c r="T354" i="33"/>
  <c r="T355" i="33" s="1"/>
  <c r="Y354" i="33"/>
  <c r="Y355" i="33" s="1"/>
  <c r="P354" i="33"/>
  <c r="P202" i="15" s="1"/>
  <c r="P207" i="15" s="1"/>
  <c r="AC354" i="33"/>
  <c r="AC355" i="33" s="1"/>
  <c r="V354" i="33"/>
  <c r="V202" i="15" s="1"/>
  <c r="V207" i="15" s="1"/>
  <c r="S354" i="33"/>
  <c r="S202" i="15" s="1"/>
  <c r="S207" i="15" s="1"/>
  <c r="U354" i="33"/>
  <c r="U355" i="33" s="1"/>
  <c r="AA354" i="33"/>
  <c r="AA202" i="15" s="1"/>
  <c r="AA207" i="15" s="1"/>
  <c r="AF354" i="33"/>
  <c r="AF355" i="33" s="1"/>
  <c r="W49" i="33"/>
  <c r="W50" i="33" s="1"/>
  <c r="AA41" i="26"/>
  <c r="AF49" i="33"/>
  <c r="P41" i="26"/>
  <c r="U49" i="33"/>
  <c r="AJ47" i="33"/>
  <c r="S41" i="26"/>
  <c r="X49" i="33"/>
  <c r="V41" i="26"/>
  <c r="AA49" i="33"/>
  <c r="M49" i="33"/>
  <c r="H41" i="26"/>
  <c r="Z41" i="26"/>
  <c r="AE49" i="33"/>
  <c r="X41" i="26"/>
  <c r="AC49" i="33"/>
  <c r="O41" i="26"/>
  <c r="T49" i="33"/>
  <c r="W355" i="33"/>
  <c r="AE355" i="33"/>
  <c r="AE202" i="15"/>
  <c r="AE207" i="15" s="1"/>
  <c r="X202" i="15"/>
  <c r="X207" i="15" s="1"/>
  <c r="X355" i="33"/>
  <c r="AL158" i="15"/>
  <c r="U160" i="15"/>
  <c r="AL160" i="15" s="1"/>
  <c r="J45" i="22" s="1"/>
  <c r="N41" i="26"/>
  <c r="S49" i="33"/>
  <c r="AD49" i="33"/>
  <c r="Y41" i="26"/>
  <c r="I355" i="33"/>
  <c r="I202" i="15"/>
  <c r="I207" i="15" s="1"/>
  <c r="W41" i="26"/>
  <c r="AB49" i="33"/>
  <c r="U41" i="26"/>
  <c r="Z49" i="33"/>
  <c r="L49" i="33"/>
  <c r="G41" i="26"/>
  <c r="T43" i="26"/>
  <c r="Y50" i="33"/>
  <c r="N49" i="33"/>
  <c r="I41" i="26"/>
  <c r="J49" i="33"/>
  <c r="E41" i="26"/>
  <c r="I158" i="15"/>
  <c r="I47" i="33"/>
  <c r="AJ156" i="15"/>
  <c r="K355" i="33"/>
  <c r="K202" i="15"/>
  <c r="K207" i="15" s="1"/>
  <c r="J41" i="26"/>
  <c r="O49" i="33"/>
  <c r="Q49" i="33"/>
  <c r="L41" i="26"/>
  <c r="M41" i="26"/>
  <c r="R49" i="33"/>
  <c r="L355" i="33"/>
  <c r="L202" i="15"/>
  <c r="L207" i="15" s="1"/>
  <c r="Q41" i="26"/>
  <c r="V49" i="33"/>
  <c r="M355" i="33"/>
  <c r="M202" i="15"/>
  <c r="M207" i="15" s="1"/>
  <c r="N355" i="33"/>
  <c r="N202" i="15"/>
  <c r="N207" i="15" s="1"/>
  <c r="J355" i="33"/>
  <c r="J202" i="15"/>
  <c r="J207" i="15" s="1"/>
  <c r="AC202" i="15"/>
  <c r="AC207" i="15" s="1"/>
  <c r="AJ470" i="33"/>
  <c r="J29" i="22"/>
  <c r="J47" i="17"/>
  <c r="J49" i="17" s="1"/>
  <c r="J50" i="17" s="1"/>
  <c r="L50" i="17" s="1"/>
  <c r="AJ471" i="33"/>
  <c r="AC41" i="26"/>
  <c r="AC43" i="26" s="1"/>
  <c r="AC44" i="26" s="1"/>
  <c r="AC45" i="26" s="1"/>
  <c r="F41" i="26"/>
  <c r="K49" i="33"/>
  <c r="P49" i="33"/>
  <c r="K41" i="26"/>
  <c r="V355" i="33" l="1"/>
  <c r="AD202" i="15"/>
  <c r="AD207" i="15" s="1"/>
  <c r="R202" i="15"/>
  <c r="R207" i="15" s="1"/>
  <c r="O355" i="33"/>
  <c r="Y202" i="15"/>
  <c r="Y207" i="15" s="1"/>
  <c r="S355" i="33"/>
  <c r="P355" i="33"/>
  <c r="AA355" i="33"/>
  <c r="Q355" i="33"/>
  <c r="AF202" i="15"/>
  <c r="AF207" i="15" s="1"/>
  <c r="T202" i="15"/>
  <c r="T207" i="15" s="1"/>
  <c r="Z202" i="15"/>
  <c r="Z207" i="15" s="1"/>
  <c r="U202" i="15"/>
  <c r="U207" i="15" s="1"/>
  <c r="AB355" i="33"/>
  <c r="R43" i="26"/>
  <c r="AL202" i="15"/>
  <c r="O50" i="33"/>
  <c r="J43" i="26"/>
  <c r="AB41" i="26"/>
  <c r="AB43" i="26" s="1"/>
  <c r="AB44" i="26" s="1"/>
  <c r="AB45" i="26" s="1"/>
  <c r="F47" i="17"/>
  <c r="F49" i="17" s="1"/>
  <c r="F50" i="17" s="1"/>
  <c r="H50" i="17" s="1"/>
  <c r="H52" i="17" s="1"/>
  <c r="AH471" i="33"/>
  <c r="H29" i="22"/>
  <c r="H30" i="22" s="1"/>
  <c r="AH470" i="33"/>
  <c r="G43" i="26"/>
  <c r="L50" i="33"/>
  <c r="K50" i="33"/>
  <c r="F43" i="26"/>
  <c r="L52" i="17"/>
  <c r="K52" i="17"/>
  <c r="AH47" i="33"/>
  <c r="D41" i="26"/>
  <c r="I49" i="33"/>
  <c r="T44" i="26"/>
  <c r="Y51" i="33"/>
  <c r="T45" i="26" s="1"/>
  <c r="Z50" i="33"/>
  <c r="U43" i="26"/>
  <c r="R44" i="26"/>
  <c r="W51" i="33"/>
  <c r="R45" i="26" s="1"/>
  <c r="S50" i="33"/>
  <c r="N43" i="26"/>
  <c r="T50" i="33"/>
  <c r="O43" i="26"/>
  <c r="Z43" i="26"/>
  <c r="AE50" i="33"/>
  <c r="V43" i="26"/>
  <c r="AA50" i="33"/>
  <c r="L91" i="17"/>
  <c r="V50" i="33"/>
  <c r="Q43" i="26"/>
  <c r="I43" i="26"/>
  <c r="N50" i="33"/>
  <c r="AJ158" i="15"/>
  <c r="I160" i="15"/>
  <c r="J50" i="33"/>
  <c r="E43" i="26"/>
  <c r="P43" i="26"/>
  <c r="AJ49" i="33"/>
  <c r="U50" i="33"/>
  <c r="AA43" i="26"/>
  <c r="AF50" i="33"/>
  <c r="P50" i="33"/>
  <c r="K43" i="26"/>
  <c r="M43" i="26"/>
  <c r="R50" i="33"/>
  <c r="AD50" i="33"/>
  <c r="Y43" i="26"/>
  <c r="H43" i="26"/>
  <c r="M50" i="33"/>
  <c r="J72" i="17"/>
  <c r="AL196" i="15"/>
  <c r="L43" i="26"/>
  <c r="Q50" i="33"/>
  <c r="W43" i="26"/>
  <c r="AB50" i="33"/>
  <c r="AC50" i="33"/>
  <c r="X43" i="26"/>
  <c r="X50" i="33"/>
  <c r="S43" i="26"/>
  <c r="AJ202" i="15" l="1"/>
  <c r="H72" i="17"/>
  <c r="H74" i="17" s="1"/>
  <c r="H75" i="17" s="1"/>
  <c r="H76" i="17" s="1"/>
  <c r="L72" i="17"/>
  <c r="L74" i="17" s="1"/>
  <c r="L75" i="17" s="1"/>
  <c r="L76" i="17" s="1"/>
  <c r="AJ50" i="33"/>
  <c r="U51" i="33"/>
  <c r="P44" i="26"/>
  <c r="AE51" i="33"/>
  <c r="Z45" i="26" s="1"/>
  <c r="Z44" i="26"/>
  <c r="U44" i="26"/>
  <c r="Z51" i="33"/>
  <c r="U45" i="26" s="1"/>
  <c r="L51" i="33"/>
  <c r="G45" i="26" s="1"/>
  <c r="G44" i="26"/>
  <c r="Y44" i="26"/>
  <c r="AD51" i="33"/>
  <c r="Y45" i="26" s="1"/>
  <c r="R51" i="33"/>
  <c r="M45" i="26" s="1"/>
  <c r="M44" i="26"/>
  <c r="K44" i="26"/>
  <c r="P51" i="33"/>
  <c r="K45" i="26" s="1"/>
  <c r="E44" i="26"/>
  <c r="J51" i="33"/>
  <c r="E45" i="26" s="1"/>
  <c r="AL207" i="15"/>
  <c r="AJ207" i="15"/>
  <c r="J44" i="26"/>
  <c r="O51" i="33"/>
  <c r="J45" i="26" s="1"/>
  <c r="X44" i="26"/>
  <c r="AC51" i="33"/>
  <c r="X45" i="26" s="1"/>
  <c r="AA44" i="26"/>
  <c r="AF51" i="33"/>
  <c r="AA45" i="26" s="1"/>
  <c r="V44" i="26"/>
  <c r="AA51" i="33"/>
  <c r="V45" i="26" s="1"/>
  <c r="K51" i="33"/>
  <c r="F45" i="26" s="1"/>
  <c r="F44" i="26"/>
  <c r="F72" i="17"/>
  <c r="F74" i="17" s="1"/>
  <c r="F75" i="17" s="1"/>
  <c r="AJ196" i="15" s="1"/>
  <c r="S44" i="26"/>
  <c r="X51" i="33"/>
  <c r="S45" i="26" s="1"/>
  <c r="L92" i="17"/>
  <c r="L93" i="17" s="1"/>
  <c r="H91" i="17"/>
  <c r="Q51" i="33"/>
  <c r="L45" i="26" s="1"/>
  <c r="L44" i="26"/>
  <c r="W44" i="26"/>
  <c r="AB51" i="33"/>
  <c r="W45" i="26" s="1"/>
  <c r="M51" i="33"/>
  <c r="H45" i="26" s="1"/>
  <c r="H44" i="26"/>
  <c r="I208" i="15"/>
  <c r="AJ160" i="15"/>
  <c r="H45" i="22" s="1"/>
  <c r="H46" i="22" s="1"/>
  <c r="I44" i="26"/>
  <c r="N51" i="33"/>
  <c r="I45" i="26" s="1"/>
  <c r="Q44" i="26"/>
  <c r="V51" i="33"/>
  <c r="Q45" i="26" s="1"/>
  <c r="O44" i="26"/>
  <c r="T51" i="33"/>
  <c r="O45" i="26" s="1"/>
  <c r="N44" i="26"/>
  <c r="S51" i="33"/>
  <c r="N45" i="26" s="1"/>
  <c r="AH49" i="33"/>
  <c r="D43" i="26"/>
  <c r="I50" i="33"/>
  <c r="H38" i="22"/>
  <c r="J9" i="22"/>
  <c r="J28" i="22" s="1"/>
  <c r="J30" i="22" s="1"/>
  <c r="J38" i="22" s="1"/>
  <c r="J94" i="17" l="1"/>
  <c r="L97" i="17"/>
  <c r="J41" i="22"/>
  <c r="J46" i="22" s="1"/>
  <c r="J64" i="22" s="1"/>
  <c r="J66" i="22" s="1"/>
  <c r="H64" i="22"/>
  <c r="H66" i="22" s="1"/>
  <c r="D44" i="26"/>
  <c r="I51" i="33"/>
  <c r="AH50" i="33"/>
  <c r="I219" i="15"/>
  <c r="I220" i="15" s="1"/>
  <c r="J208" i="15"/>
  <c r="P45" i="26"/>
  <c r="AJ51" i="33"/>
  <c r="H92" i="17"/>
  <c r="H93" i="17" s="1"/>
  <c r="F94" i="17" s="1"/>
  <c r="D45" i="26" l="1"/>
  <c r="AH51" i="33"/>
  <c r="J99" i="17"/>
  <c r="J98" i="17"/>
  <c r="J100" i="17"/>
  <c r="H97" i="17"/>
  <c r="J219" i="15"/>
  <c r="J220" i="15" s="1"/>
  <c r="K208" i="15"/>
  <c r="J102" i="17" l="1"/>
  <c r="AL197" i="15" s="1"/>
  <c r="F100" i="17"/>
  <c r="F98" i="17"/>
  <c r="F99" i="17"/>
  <c r="K219" i="15"/>
  <c r="K220" i="15" s="1"/>
  <c r="L208" i="15"/>
  <c r="F102" i="17" l="1"/>
  <c r="AJ197" i="15" s="1"/>
  <c r="L219" i="15"/>
  <c r="L220" i="15" s="1"/>
  <c r="M208" i="15"/>
  <c r="M219" i="15" l="1"/>
  <c r="M220" i="15" s="1"/>
  <c r="N208" i="15"/>
  <c r="N219" i="15" l="1"/>
  <c r="N220" i="15" s="1"/>
  <c r="O208" i="15"/>
  <c r="O219" i="15" l="1"/>
  <c r="O220" i="15" s="1"/>
  <c r="P208" i="15"/>
  <c r="Q208" i="15" l="1"/>
  <c r="P219" i="15"/>
  <c r="P220" i="15" s="1"/>
  <c r="Q219" i="15" l="1"/>
  <c r="Q220" i="15" s="1"/>
  <c r="R208" i="15"/>
  <c r="R219" i="15" l="1"/>
  <c r="R220" i="15" s="1"/>
  <c r="S208" i="15"/>
  <c r="S219" i="15" l="1"/>
  <c r="S220" i="15" s="1"/>
  <c r="T208" i="15"/>
  <c r="T219" i="15" l="1"/>
  <c r="U208" i="15"/>
  <c r="U219" i="15" l="1"/>
  <c r="U220" i="15" s="1"/>
  <c r="V208" i="15"/>
  <c r="T220" i="15"/>
  <c r="V219" i="15" l="1"/>
  <c r="V220" i="15" s="1"/>
  <c r="W208" i="15"/>
  <c r="W219" i="15" l="1"/>
  <c r="W220" i="15" s="1"/>
  <c r="X208" i="15"/>
  <c r="Y208" i="15" l="1"/>
  <c r="X219" i="15"/>
  <c r="X220" i="15" s="1"/>
  <c r="Y219" i="15" l="1"/>
  <c r="Y220" i="15" s="1"/>
  <c r="Z208" i="15"/>
  <c r="AA208" i="15" l="1"/>
  <c r="Z219" i="15"/>
  <c r="Z220" i="15" s="1"/>
  <c r="AB208" i="15" l="1"/>
  <c r="AA219" i="15"/>
  <c r="AA220" i="15" s="1"/>
  <c r="AB219" i="15" l="1"/>
  <c r="AB220" i="15" s="1"/>
  <c r="AC208" i="15"/>
  <c r="AC219" i="15" l="1"/>
  <c r="AC220" i="15" s="1"/>
  <c r="AD208" i="15"/>
  <c r="AD219" i="15" l="1"/>
  <c r="AD220" i="15" s="1"/>
  <c r="AE208" i="15"/>
  <c r="AE219" i="15" l="1"/>
  <c r="AE220" i="15" s="1"/>
  <c r="AF208" i="15"/>
  <c r="AJ208" i="15" s="1"/>
  <c r="AL208" i="15" l="1"/>
  <c r="AF219" i="15"/>
  <c r="AJ219" i="15" s="1"/>
  <c r="AL219" i="15" l="1"/>
  <c r="AF220" i="15"/>
</calcChain>
</file>

<file path=xl/comments1.xml><?xml version="1.0" encoding="utf-8"?>
<comments xmlns="http://schemas.openxmlformats.org/spreadsheetml/2006/main">
  <authors>
    <author>ÅkeO</author>
  </authors>
  <commentList>
    <comment ref="AJ97" authorId="0">
      <text>
        <r>
          <rPr>
            <sz val="9"/>
            <color indexed="81"/>
            <rFont val="Tahoma"/>
            <family val="2"/>
          </rPr>
          <t>Endast denna momssats</t>
        </r>
        <r>
          <rPr>
            <b/>
            <sz val="9"/>
            <color indexed="81"/>
            <rFont val="Tahoma"/>
            <family val="2"/>
          </rPr>
          <t xml:space="preserve"> </t>
        </r>
        <r>
          <rPr>
            <sz val="9"/>
            <color indexed="81"/>
            <rFont val="Tahoma"/>
            <family val="2"/>
          </rPr>
          <t xml:space="preserve">
</t>
        </r>
      </text>
    </comment>
  </commentList>
</comments>
</file>

<file path=xl/comments2.xml><?xml version="1.0" encoding="utf-8"?>
<comments xmlns="http://schemas.openxmlformats.org/spreadsheetml/2006/main">
  <authors>
    <author>ÅkeO</author>
    <author>Ägaren</author>
    <author>Åke</author>
    <author>En nöjd Microsoft Office-användare</author>
  </authors>
  <commentList>
    <comment ref="B4" authorId="0">
      <text>
        <r>
          <rPr>
            <sz val="9"/>
            <color indexed="81"/>
            <rFont val="Tahoma"/>
            <family val="2"/>
          </rPr>
          <t xml:space="preserve">Är du osäker om metod? Läs på flik Instruktion!!
</t>
        </r>
      </text>
    </comment>
    <comment ref="L4" authorId="0">
      <text>
        <r>
          <rPr>
            <sz val="9"/>
            <color indexed="81"/>
            <rFont val="Tahoma"/>
            <family val="2"/>
          </rPr>
          <t xml:space="preserve">Välj månad då ditt budgetarbete påbörjas, dvs den månad då du sätter de första siffrorna i budgetmallen. 
Månad 1 = kolumn I, månad 2= kolumn J etc.
</t>
        </r>
      </text>
    </comment>
    <comment ref="N4" authorId="0">
      <text>
        <r>
          <rPr>
            <sz val="9"/>
            <color indexed="81"/>
            <rFont val="Tahoma"/>
            <family val="2"/>
          </rPr>
          <t xml:space="preserve">Årtalet för den månad som anges som startmånad/startkolumn i cell L4 här till vänster.
</t>
        </r>
      </text>
    </comment>
    <comment ref="P4" authorId="0">
      <text>
        <r>
          <rPr>
            <sz val="9"/>
            <color indexed="81"/>
            <rFont val="Tahoma"/>
            <family val="2"/>
          </rPr>
          <t xml:space="preserve">Räkenskapsårets omfattning.
</t>
        </r>
      </text>
    </comment>
    <comment ref="B7" authorId="1">
      <text>
        <r>
          <rPr>
            <sz val="9"/>
            <color indexed="81"/>
            <rFont val="Tahoma"/>
            <family val="2"/>
          </rPr>
          <t xml:space="preserve">Företags-namn
</t>
        </r>
      </text>
    </comment>
    <comment ref="B9" authorId="0">
      <text>
        <r>
          <rPr>
            <sz val="9"/>
            <color indexed="81"/>
            <rFont val="Tahoma"/>
            <family val="2"/>
          </rPr>
          <t xml:space="preserve">Är företaget verksamt även i andra länder? De tre momssatserna kan ändras längst ned på detta arbetsblad.  
</t>
        </r>
      </text>
    </comment>
    <comment ref="Q10" authorId="0">
      <text>
        <r>
          <rPr>
            <sz val="9"/>
            <color indexed="81"/>
            <rFont val="Tahoma"/>
            <family val="2"/>
          </rPr>
          <t xml:space="preserve">Fler rader för Försäljning finns att ta fram. Läs kommentar i cell/ruta A33
</t>
        </r>
      </text>
    </comment>
    <comment ref="R10" authorId="0">
      <text>
        <r>
          <rPr>
            <sz val="9"/>
            <color indexed="81"/>
            <rFont val="Tahoma"/>
            <family val="2"/>
          </rPr>
          <t xml:space="preserve">Är företaget verksamt även i andra länder? De tre förinställda momssatserna kan ändras längst ned på detta arbetsblad.  
</t>
        </r>
      </text>
    </comment>
    <comment ref="S10" authorId="0">
      <text>
        <r>
          <rPr>
            <sz val="9"/>
            <color indexed="81"/>
            <rFont val="Tahoma"/>
            <family val="2"/>
          </rPr>
          <t xml:space="preserve">Har du inkomster i form av bidrag, t.ex. bidrag från Arbetsförmedlingen för anställda? Se rad 261 till 266. 
</t>
        </r>
      </text>
    </comment>
    <comment ref="T10" authorId="1">
      <text>
        <r>
          <rPr>
            <sz val="9"/>
            <color indexed="81"/>
            <rFont val="Tahoma"/>
            <family val="2"/>
          </rPr>
          <t xml:space="preserve">Förskottsbetald försäljning kan du budgetera i särskild modul på på rad 250-254. </t>
        </r>
      </text>
    </comment>
    <comment ref="B11" authorId="0">
      <text>
        <r>
          <rPr>
            <sz val="9"/>
            <color indexed="81"/>
            <rFont val="Tahoma"/>
            <family val="2"/>
          </rPr>
          <t xml:space="preserve">Skriv din egen benämning på respektive försäljningsrad t.ex. Butiksförsäljning, Webbshopförsäljning etc
</t>
        </r>
      </text>
    </comment>
    <comment ref="B31" authorId="0">
      <text>
        <r>
          <rPr>
            <sz val="9"/>
            <color indexed="81"/>
            <rFont val="Tahoma"/>
            <family val="2"/>
          </rPr>
          <t>Användes endast när bokföringsmetod är inställd på</t>
        </r>
        <r>
          <rPr>
            <b/>
            <sz val="9"/>
            <color indexed="81"/>
            <rFont val="Tahoma"/>
            <family val="2"/>
          </rPr>
          <t xml:space="preserve"> När faktura skickas/kommer.</t>
        </r>
        <r>
          <rPr>
            <sz val="9"/>
            <color indexed="81"/>
            <rFont val="Tahoma"/>
            <family val="2"/>
          </rPr>
          <t xml:space="preserve">
</t>
        </r>
      </text>
    </comment>
    <comment ref="G31" authorId="0">
      <text>
        <r>
          <rPr>
            <sz val="9"/>
            <color indexed="81"/>
            <rFont val="Tahoma"/>
            <family val="2"/>
          </rPr>
          <t>Endast denna momssats</t>
        </r>
        <r>
          <rPr>
            <b/>
            <sz val="9"/>
            <color indexed="81"/>
            <rFont val="Tahoma"/>
            <family val="2"/>
          </rPr>
          <t xml:space="preserve"> </t>
        </r>
        <r>
          <rPr>
            <sz val="9"/>
            <color indexed="81"/>
            <rFont val="Tahoma"/>
            <family val="2"/>
          </rPr>
          <t xml:space="preserve">
</t>
        </r>
      </text>
    </comment>
    <comment ref="B32" authorId="0">
      <text>
        <r>
          <rPr>
            <sz val="9"/>
            <color indexed="81"/>
            <rFont val="Tahoma"/>
            <family val="2"/>
          </rPr>
          <t>Användes endast när bokföringsmetod är inställd på</t>
        </r>
        <r>
          <rPr>
            <b/>
            <sz val="9"/>
            <color indexed="81"/>
            <rFont val="Tahoma"/>
            <family val="2"/>
          </rPr>
          <t xml:space="preserve"> När faktura skickas/kommer.</t>
        </r>
        <r>
          <rPr>
            <sz val="9"/>
            <color indexed="81"/>
            <rFont val="Tahoma"/>
            <family val="2"/>
          </rPr>
          <t xml:space="preserve">
</t>
        </r>
      </text>
    </comment>
    <comment ref="G32" authorId="0">
      <text>
        <r>
          <rPr>
            <sz val="9"/>
            <color indexed="81"/>
            <rFont val="Tahoma"/>
            <family val="2"/>
          </rPr>
          <t>Endast denna momssats</t>
        </r>
        <r>
          <rPr>
            <b/>
            <sz val="9"/>
            <color indexed="81"/>
            <rFont val="Tahoma"/>
            <family val="2"/>
          </rPr>
          <t xml:space="preserve"> </t>
        </r>
        <r>
          <rPr>
            <sz val="9"/>
            <color indexed="81"/>
            <rFont val="Tahoma"/>
            <family val="2"/>
          </rPr>
          <t xml:space="preserve">
</t>
        </r>
      </text>
    </comment>
    <comment ref="A33" authorId="0">
      <text>
        <r>
          <rPr>
            <sz val="9"/>
            <color indexed="81"/>
            <rFont val="Tahoma"/>
            <family val="2"/>
          </rPr>
          <t>Behöver du fler rader för försäljning? 
Behöver du budgetera extra lång kundkredittid, flera månader? 
Ta fram dolda rader! 
Markera rad 14 till 33 på radlinjalen till vänster, klicka på muspekarens högerknapp och välj T</t>
        </r>
        <r>
          <rPr>
            <u/>
            <sz val="9"/>
            <color indexed="81"/>
            <rFont val="Tahoma"/>
            <family val="2"/>
          </rPr>
          <t>a</t>
        </r>
        <r>
          <rPr>
            <sz val="9"/>
            <color indexed="81"/>
            <rFont val="Tahoma"/>
            <family val="2"/>
          </rPr>
          <t xml:space="preserve"> fram.</t>
        </r>
      </text>
    </comment>
    <comment ref="B33" authorId="1">
      <text>
        <r>
          <rPr>
            <sz val="9"/>
            <color indexed="81"/>
            <rFont val="Tahoma"/>
            <family val="2"/>
          </rPr>
          <t xml:space="preserve">Inklusive budgeterade intäkter av försäljning som är förskottsbetald (rad 253). Även förskottsbetald försäljning i ingående balans är inkluderad (rad 246).
</t>
        </r>
      </text>
    </comment>
    <comment ref="M35" authorId="0">
      <text>
        <r>
          <rPr>
            <sz val="9"/>
            <color indexed="81"/>
            <rFont val="Tahoma"/>
            <family val="2"/>
          </rPr>
          <t xml:space="preserve">Gör du inköp med mycket lång kredittid, 4 till 10 månader, ta fram de dolda raderna 57 och 58
</t>
        </r>
      </text>
    </comment>
    <comment ref="R36" authorId="0">
      <text>
        <r>
          <rPr>
            <sz val="9"/>
            <color indexed="81"/>
            <rFont val="Tahoma"/>
            <family val="2"/>
          </rPr>
          <t xml:space="preserve">Metod för att budgetera rörliga kostnader bestämmer du med listvalet B64.
</t>
        </r>
      </text>
    </comment>
    <comment ref="B57" authorId="0">
      <text>
        <r>
          <rPr>
            <sz val="9"/>
            <color indexed="81"/>
            <rFont val="Tahoma"/>
            <family val="2"/>
          </rPr>
          <t>Användes endast när bokföringsmetod är inställd på</t>
        </r>
        <r>
          <rPr>
            <b/>
            <sz val="9"/>
            <color indexed="81"/>
            <rFont val="Tahoma"/>
            <family val="2"/>
          </rPr>
          <t xml:space="preserve"> När faktura skickas/kommer.</t>
        </r>
        <r>
          <rPr>
            <sz val="9"/>
            <color indexed="81"/>
            <rFont val="Tahoma"/>
            <family val="2"/>
          </rPr>
          <t xml:space="preserve">
</t>
        </r>
      </text>
    </comment>
    <comment ref="G57" authorId="0">
      <text>
        <r>
          <rPr>
            <sz val="9"/>
            <color indexed="81"/>
            <rFont val="Tahoma"/>
            <family val="2"/>
          </rPr>
          <t>Endast denna momssats</t>
        </r>
        <r>
          <rPr>
            <b/>
            <sz val="9"/>
            <color indexed="81"/>
            <rFont val="Tahoma"/>
            <family val="2"/>
          </rPr>
          <t xml:space="preserve"> </t>
        </r>
        <r>
          <rPr>
            <sz val="9"/>
            <color indexed="81"/>
            <rFont val="Tahoma"/>
            <family val="2"/>
          </rPr>
          <t xml:space="preserve">
</t>
        </r>
      </text>
    </comment>
    <comment ref="B58" authorId="0">
      <text>
        <r>
          <rPr>
            <sz val="9"/>
            <color indexed="81"/>
            <rFont val="Tahoma"/>
            <family val="2"/>
          </rPr>
          <t>Användes endast när bokföringsmetod är inställd på</t>
        </r>
        <r>
          <rPr>
            <b/>
            <sz val="9"/>
            <color indexed="81"/>
            <rFont val="Tahoma"/>
            <family val="2"/>
          </rPr>
          <t xml:space="preserve"> När faktura skickas/kommer.</t>
        </r>
        <r>
          <rPr>
            <sz val="9"/>
            <color indexed="81"/>
            <rFont val="Tahoma"/>
            <family val="2"/>
          </rPr>
          <t xml:space="preserve">
</t>
        </r>
      </text>
    </comment>
    <comment ref="A59" authorId="0">
      <text>
        <r>
          <rPr>
            <sz val="9"/>
            <color indexed="81"/>
            <rFont val="Tahoma"/>
            <family val="2"/>
          </rPr>
          <t>Behöver du fler rader för inköp? Det finns ytterligare  rader dolda. Markera rad 40 till 59 på radlinjalen till vänster, klicka på muspekarens högerknapp och välj Ta fram.</t>
        </r>
      </text>
    </comment>
    <comment ref="B66" authorId="0">
      <text>
        <r>
          <rPr>
            <sz val="9"/>
            <color indexed="81"/>
            <rFont val="Tahoma"/>
            <family val="2"/>
          </rPr>
          <t xml:space="preserve">Kostnaderna på en viss rad av raderna för rörliga kostnader behöver inte avse samma varor eller tjänster som på motsvarande inköpsrad
</t>
        </r>
      </text>
    </comment>
    <comment ref="A76" authorId="0">
      <text>
        <r>
          <rPr>
            <sz val="9"/>
            <color indexed="81"/>
            <rFont val="Tahoma"/>
            <family val="2"/>
          </rPr>
          <t>Behöver du fler rader för rörliga kostnader? Det finns ytterligare  rader dolda. Markera rad 69 till 76 på radlinjalen till vänster, klicka på muspekarens högerknapp och välj T</t>
        </r>
        <r>
          <rPr>
            <u/>
            <sz val="9"/>
            <color indexed="81"/>
            <rFont val="Tahoma"/>
            <family val="2"/>
          </rPr>
          <t>a</t>
        </r>
        <r>
          <rPr>
            <sz val="9"/>
            <color indexed="81"/>
            <rFont val="Tahoma"/>
            <family val="2"/>
          </rPr>
          <t xml:space="preserve"> fram.</t>
        </r>
      </text>
    </comment>
    <comment ref="B80" authorId="0">
      <text>
        <r>
          <rPr>
            <sz val="9"/>
            <color indexed="81"/>
            <rFont val="Tahoma"/>
            <family val="2"/>
          </rPr>
          <t xml:space="preserve">Se övriga försäljningsintäkter, dvs. hyresintäkter på rad 256- och modul för momsfria bidrag på rad 270-
</t>
        </r>
      </text>
    </comment>
    <comment ref="B85" authorId="0">
      <text>
        <r>
          <rPr>
            <sz val="9"/>
            <color indexed="81"/>
            <rFont val="Tahoma"/>
            <family val="2"/>
          </rPr>
          <t>Lagernivå = 
Iing varulager E85
+ inköp rad 59
-  förbrukning rad 76</t>
        </r>
        <r>
          <rPr>
            <b/>
            <sz val="9"/>
            <color indexed="81"/>
            <rFont val="Tahoma"/>
            <family val="2"/>
          </rPr>
          <t xml:space="preserve">
</t>
        </r>
        <r>
          <rPr>
            <sz val="9"/>
            <color indexed="81"/>
            <rFont val="Tahoma"/>
            <family val="2"/>
          </rPr>
          <t xml:space="preserve">
</t>
        </r>
      </text>
    </comment>
    <comment ref="E85" authorId="0">
      <text>
        <r>
          <rPr>
            <sz val="9"/>
            <color indexed="81"/>
            <rFont val="Tahoma"/>
            <family val="2"/>
          </rPr>
          <t>Ingående balans varulager från rad 156</t>
        </r>
      </text>
    </comment>
    <comment ref="A98" authorId="0">
      <text>
        <r>
          <rPr>
            <sz val="9"/>
            <color indexed="81"/>
            <rFont val="Tahoma"/>
            <family val="2"/>
          </rPr>
          <t>Behöver du fler rader för anställdas löner? Det finns ytterligare  rader dolda. Markera rad 89 till 98 på radlinjalen till vänster, klicka på muspekarens högerknapp och välj T</t>
        </r>
        <r>
          <rPr>
            <u/>
            <sz val="9"/>
            <color indexed="81"/>
            <rFont val="Tahoma"/>
            <family val="2"/>
          </rPr>
          <t>a</t>
        </r>
        <r>
          <rPr>
            <sz val="9"/>
            <color indexed="81"/>
            <rFont val="Tahoma"/>
            <family val="2"/>
          </rPr>
          <t xml:space="preserve"> fram.</t>
        </r>
      </text>
    </comment>
    <comment ref="E99" authorId="0">
      <text>
        <r>
          <rPr>
            <sz val="9"/>
            <color indexed="81"/>
            <rFont val="Tahoma"/>
            <family val="2"/>
          </rPr>
          <t xml:space="preserve">Arbetsgivaravgift för semesterlön för alla anställda.
</t>
        </r>
      </text>
    </comment>
    <comment ref="G100" authorId="0">
      <text>
        <r>
          <rPr>
            <sz val="9"/>
            <color indexed="81"/>
            <rFont val="Tahoma"/>
            <family val="2"/>
          </rPr>
          <t>Skattesats för semesterlöneuttag. Genomsnitt för alla anställda.</t>
        </r>
        <r>
          <rPr>
            <b/>
            <sz val="9"/>
            <color indexed="81"/>
            <rFont val="Tahoma"/>
            <family val="2"/>
          </rPr>
          <t xml:space="preserve">
</t>
        </r>
        <r>
          <rPr>
            <sz val="9"/>
            <color indexed="81"/>
            <rFont val="Tahoma"/>
            <family val="2"/>
          </rPr>
          <t xml:space="preserve">
</t>
        </r>
      </text>
    </comment>
    <comment ref="E101" authorId="0">
      <text>
        <r>
          <rPr>
            <sz val="9"/>
            <color indexed="81"/>
            <rFont val="Tahoma"/>
            <family val="2"/>
          </rPr>
          <t>Ingående balans Semesterlöneskuld</t>
        </r>
        <r>
          <rPr>
            <b/>
            <sz val="9"/>
            <color indexed="81"/>
            <rFont val="Tahoma"/>
            <family val="2"/>
          </rPr>
          <t xml:space="preserve">
</t>
        </r>
      </text>
    </comment>
    <comment ref="B102" authorId="0">
      <text>
        <r>
          <rPr>
            <sz val="9"/>
            <color indexed="81"/>
            <rFont val="Tahoma"/>
            <family val="2"/>
          </rPr>
          <t xml:space="preserve">Ändra skattesats i rutan till höger om det behövs!
</t>
        </r>
      </text>
    </comment>
    <comment ref="B104" authorId="0">
      <text>
        <r>
          <rPr>
            <sz val="9"/>
            <color indexed="81"/>
            <rFont val="Tahoma"/>
            <family val="2"/>
          </rPr>
          <t xml:space="preserve">Arbetsgivaravgift på Anställdas löner + Ägares löner + Avsättning till semesterlön.
</t>
        </r>
      </text>
    </comment>
    <comment ref="C110" authorId="0">
      <text>
        <r>
          <rPr>
            <sz val="9"/>
            <color indexed="81"/>
            <rFont val="Tahoma"/>
            <family val="2"/>
          </rPr>
          <t xml:space="preserve">T.ex. det uttag som enskild näringsidkare gör för sina levnadskostnader. </t>
        </r>
      </text>
    </comment>
    <comment ref="B114" authorId="1">
      <text>
        <r>
          <rPr>
            <sz val="9"/>
            <color indexed="81"/>
            <rFont val="Tahoma"/>
            <family val="2"/>
          </rPr>
          <t xml:space="preserve">Betalar du hyran dagarna före den månad som hyresbetalningen avser kan du budgetera på denna raden. Betalar du hyran längre tid i förskott, har kvartalshyra eller liknande, budgetera i hyresmodulen, rad 238. </t>
        </r>
      </text>
    </comment>
    <comment ref="B116" authorId="0">
      <text>
        <r>
          <rPr>
            <sz val="9"/>
            <color indexed="81"/>
            <rFont val="Tahoma"/>
            <family val="2"/>
          </rPr>
          <t>Ändring som du gör av benämning på Kostnadsslag/konto-namn här nedan sker automatiskt på flikarna för Resultatbudget.</t>
        </r>
      </text>
    </comment>
    <comment ref="A134" authorId="0">
      <text>
        <r>
          <rPr>
            <sz val="9"/>
            <color indexed="81"/>
            <rFont val="Tahoma"/>
            <family val="2"/>
          </rPr>
          <t>Behöver du fler rader för övriga kostnader? Det finns ytterligare  rader dolda. Markera rad 125 till 134 på radlinjalen till vänster, klicka på muspekarens högerknapp och välj T</t>
        </r>
        <r>
          <rPr>
            <u/>
            <sz val="9"/>
            <color indexed="81"/>
            <rFont val="Tahoma"/>
            <family val="2"/>
          </rPr>
          <t>a</t>
        </r>
        <r>
          <rPr>
            <sz val="9"/>
            <color indexed="81"/>
            <rFont val="Tahoma"/>
            <family val="2"/>
          </rPr>
          <t xml:space="preserve"> fram.</t>
        </r>
      </text>
    </comment>
    <comment ref="B135" authorId="1">
      <text>
        <r>
          <rPr>
            <sz val="9"/>
            <color indexed="81"/>
            <rFont val="Tahoma"/>
            <family val="2"/>
          </rPr>
          <t xml:space="preserve">+Lokalhyra rad 114 
+Månadshyra som förutbetalats och ingår i ing balans övriga fordringar. Rad 235.
+Månadshyra som förutbetalats och budgeterats som månadskostnad på rad 240.
</t>
        </r>
      </text>
    </comment>
    <comment ref="I137" authorId="1">
      <text>
        <r>
          <rPr>
            <sz val="9"/>
            <color indexed="81"/>
            <rFont val="Tahoma"/>
            <family val="2"/>
          </rPr>
          <t>Vill du ha annan avskrivningsprocent? 
I cellerna AH139 till AH153 samt AH155 kan du skriva in önskad avskrivningsprocent. 
För anläggningstillgångar i ing balans budgeterar du avskrivning i moduler på rad 283 och nedåt.</t>
        </r>
      </text>
    </comment>
    <comment ref="B138" authorId="1">
      <text>
        <r>
          <rPr>
            <sz val="9"/>
            <color indexed="81"/>
            <rFont val="Tahoma"/>
            <family val="2"/>
          </rPr>
          <t xml:space="preserve">Budgetera Balanserade kostnader (Aktiverade kostnader) på rad 269 och nedåt. Summa budgeterade kostnader hämtas automatiskt hit.
</t>
        </r>
      </text>
    </comment>
    <comment ref="B139" authorId="0">
      <text>
        <r>
          <rPr>
            <sz val="9"/>
            <color indexed="81"/>
            <rFont val="Tahoma"/>
            <family val="2"/>
          </rPr>
          <t>Ändring som du gör av benämning på konto-namn här nedan sker automatiskt på fliken för Kapitalbehov / Finansiering (Balansbudget)</t>
        </r>
      </text>
    </comment>
    <comment ref="C139" authorId="1">
      <text>
        <r>
          <rPr>
            <sz val="9"/>
            <color indexed="81"/>
            <rFont val="Tahoma"/>
            <family val="2"/>
          </rPr>
          <t xml:space="preserve">I kolumnen AH högerut på denna rad kan du skriva in önskad avskrivnings-
procent.
</t>
        </r>
      </text>
    </comment>
    <comment ref="B140" authorId="0">
      <text>
        <r>
          <rPr>
            <sz val="9"/>
            <color indexed="81"/>
            <rFont val="Tahoma"/>
            <family val="2"/>
          </rPr>
          <t>Ändring som du gör av benämning på konto-namn här nedan sker automatiskt på fliken för Kapitalbehov / Finansiering (Balansbudget)</t>
        </r>
      </text>
    </comment>
    <comment ref="C140" authorId="1">
      <text>
        <r>
          <rPr>
            <sz val="9"/>
            <color indexed="81"/>
            <rFont val="Tahoma"/>
            <family val="2"/>
          </rPr>
          <t xml:space="preserve">I kolumnen AH högerut på denna rad kan du skriva in önskad avskrivnings-
procent.
</t>
        </r>
      </text>
    </comment>
    <comment ref="C141" authorId="1">
      <text>
        <r>
          <rPr>
            <sz val="9"/>
            <color indexed="81"/>
            <rFont val="Tahoma"/>
            <family val="2"/>
          </rPr>
          <t xml:space="preserve">I kolumnen AH högerut på denna rad kan du skriva in önskad avskrivnings-
procent.
</t>
        </r>
      </text>
    </comment>
    <comment ref="C142" authorId="1">
      <text>
        <r>
          <rPr>
            <sz val="9"/>
            <color indexed="81"/>
            <rFont val="Tahoma"/>
            <family val="2"/>
          </rPr>
          <t xml:space="preserve">I kolumnen AH högerut på denna rad kan du skriva in önskad avskrivnings-
procent.
</t>
        </r>
      </text>
    </comment>
    <comment ref="C143" authorId="1">
      <text>
        <r>
          <rPr>
            <sz val="9"/>
            <color indexed="81"/>
            <rFont val="Tahoma"/>
            <family val="2"/>
          </rPr>
          <t xml:space="preserve">I kolumnen AH högerut på denna rad kan du skriva in önskad avskrivnings-
procent.
</t>
        </r>
      </text>
    </comment>
    <comment ref="C144" authorId="1">
      <text>
        <r>
          <rPr>
            <sz val="9"/>
            <color indexed="81"/>
            <rFont val="Tahoma"/>
            <family val="2"/>
          </rPr>
          <t xml:space="preserve">I kolumnen AH högerut på denna rad kan du skriva in önskad avskrivnings-
procent.
</t>
        </r>
      </text>
    </comment>
    <comment ref="C145" authorId="1">
      <text>
        <r>
          <rPr>
            <sz val="9"/>
            <color indexed="81"/>
            <rFont val="Tahoma"/>
            <family val="2"/>
          </rPr>
          <t xml:space="preserve">I kolumnen AH högerut på denna rad kan du skriva in önskad avskrivnings-
procent.
</t>
        </r>
      </text>
    </comment>
    <comment ref="C146" authorId="1">
      <text>
        <r>
          <rPr>
            <sz val="9"/>
            <color indexed="81"/>
            <rFont val="Tahoma"/>
            <family val="2"/>
          </rPr>
          <t xml:space="preserve">I kolumnen AH högerut på denna rad kan du skriva in önskad avskrivnings-
procent.
</t>
        </r>
      </text>
    </comment>
    <comment ref="C147" authorId="1">
      <text>
        <r>
          <rPr>
            <sz val="9"/>
            <color indexed="81"/>
            <rFont val="Tahoma"/>
            <family val="2"/>
          </rPr>
          <t xml:space="preserve">I kolumnen AH högerut på denna rad kan du skriva in önskad avskrivnings-
procent.
</t>
        </r>
      </text>
    </comment>
    <comment ref="C148" authorId="1">
      <text>
        <r>
          <rPr>
            <sz val="9"/>
            <color indexed="81"/>
            <rFont val="Tahoma"/>
            <family val="2"/>
          </rPr>
          <t xml:space="preserve">I kolumnen AH högerut på denna rad kan du skriva in önskad avskrivnings-
procent.
</t>
        </r>
      </text>
    </comment>
    <comment ref="C149" authorId="1">
      <text>
        <r>
          <rPr>
            <sz val="9"/>
            <color indexed="81"/>
            <rFont val="Tahoma"/>
            <family val="2"/>
          </rPr>
          <t xml:space="preserve">I kolumnen AH högerut på denna rad kan du skriva in önskad avskrivnings-
procent.
</t>
        </r>
      </text>
    </comment>
    <comment ref="C150" authorId="1">
      <text>
        <r>
          <rPr>
            <sz val="9"/>
            <color indexed="81"/>
            <rFont val="Tahoma"/>
            <family val="2"/>
          </rPr>
          <t xml:space="preserve">I kolumnen AH högerut på denna rad kan du skriva in önskad avskrivnings-
procent.
</t>
        </r>
      </text>
    </comment>
    <comment ref="C151" authorId="1">
      <text>
        <r>
          <rPr>
            <sz val="9"/>
            <color indexed="81"/>
            <rFont val="Tahoma"/>
            <family val="2"/>
          </rPr>
          <t xml:space="preserve">I kolumnen AH högerut på denna rad kan du skriva in önskad avskrivnings-
procent.
</t>
        </r>
      </text>
    </comment>
    <comment ref="C152" authorId="1">
      <text>
        <r>
          <rPr>
            <sz val="9"/>
            <color indexed="81"/>
            <rFont val="Tahoma"/>
            <family val="2"/>
          </rPr>
          <t xml:space="preserve">I kolumnen AH högerut på denna rad kan du skriva in önskad avskrivnings-
procent.
</t>
        </r>
      </text>
    </comment>
    <comment ref="C153" authorId="1">
      <text>
        <r>
          <rPr>
            <sz val="9"/>
            <color indexed="81"/>
            <rFont val="Tahoma"/>
            <family val="2"/>
          </rPr>
          <t xml:space="preserve">I kolumnen AH högerut på denna rad kan du skriva in önskad avskrivnings-
procent.
</t>
        </r>
      </text>
    </comment>
    <comment ref="A154" authorId="0">
      <text>
        <r>
          <rPr>
            <sz val="9"/>
            <color indexed="81"/>
            <rFont val="Tahoma"/>
            <family val="2"/>
          </rPr>
          <t>Behöver du fler rader för investeringar i anläggningstillgångar? Det finns ytterligare  rader dolda. Markera rad 145 till 154 på radlinjalen till vänster, klicka på muspekarens högerknapp och välj T</t>
        </r>
        <r>
          <rPr>
            <u/>
            <sz val="9"/>
            <color indexed="81"/>
            <rFont val="Tahoma"/>
            <family val="2"/>
          </rPr>
          <t>a</t>
        </r>
        <r>
          <rPr>
            <sz val="9"/>
            <color indexed="81"/>
            <rFont val="Tahoma"/>
            <family val="2"/>
          </rPr>
          <t xml:space="preserve"> fram.</t>
        </r>
      </text>
    </comment>
    <comment ref="B154" authorId="0">
      <text>
        <r>
          <rPr>
            <sz val="9"/>
            <color indexed="81"/>
            <rFont val="Tahoma"/>
            <family val="2"/>
          </rPr>
          <t xml:space="preserve">Summa anskaffade anläggningstillgångar respektive månad. Skriv in avskrivningsprocenten för respektive rad i kolumn AH. För </t>
        </r>
        <r>
          <rPr>
            <b/>
            <sz val="9"/>
            <color indexed="81"/>
            <rFont val="Tahoma"/>
            <family val="2"/>
          </rPr>
          <t>ingående balans</t>
        </r>
        <r>
          <rPr>
            <sz val="9"/>
            <color indexed="81"/>
            <rFont val="Tahoma"/>
            <family val="2"/>
          </rPr>
          <t xml:space="preserve"> beräknar du avskrivning i särskild modul från rad 292 och nedåt.
Aktiverade (balanserade) kostnader budgeteras i särskild modul
 på rad 277 och nedåt. Där gör du också din beräkning av avskrivning  av balanserade kostnader.</t>
        </r>
      </text>
    </comment>
    <comment ref="B155" authorId="0">
      <text>
        <r>
          <rPr>
            <sz val="9"/>
            <color indexed="81"/>
            <rFont val="Tahoma"/>
            <family val="2"/>
          </rPr>
          <t xml:space="preserve">Ägarinsatta avskrivningsbara inventarier.
(I aktiebolag benämnda Apportegendom).
Skriv in avskrivningsprocent i AH155.
Avskrivning av </t>
        </r>
        <r>
          <rPr>
            <b/>
            <sz val="9"/>
            <color indexed="81"/>
            <rFont val="Tahoma"/>
            <family val="2"/>
          </rPr>
          <t>ingående balans</t>
        </r>
        <r>
          <rPr>
            <sz val="9"/>
            <color indexed="81"/>
            <rFont val="Tahoma"/>
            <family val="2"/>
          </rPr>
          <t xml:space="preserve"> för ägarinsatta anläggningstillgångar gör du i särskild modul, rad 307 och nedåt.
</t>
        </r>
      </text>
    </comment>
    <comment ref="B156" authorId="2">
      <text>
        <r>
          <rPr>
            <sz val="9"/>
            <color indexed="81"/>
            <rFont val="Tahoma"/>
            <family val="2"/>
          </rPr>
          <t xml:space="preserve">I denna summarad för avskrivningar ingår:
</t>
        </r>
        <r>
          <rPr>
            <b/>
            <sz val="9"/>
            <color indexed="81"/>
            <rFont val="Tahoma"/>
            <family val="2"/>
          </rPr>
          <t>1</t>
        </r>
        <r>
          <rPr>
            <sz val="9"/>
            <color indexed="81"/>
            <rFont val="Tahoma"/>
            <family val="2"/>
          </rPr>
          <t xml:space="preserve"> Avskrivning på budgetperiodens anskaffningar.
</t>
        </r>
        <r>
          <rPr>
            <b/>
            <sz val="9"/>
            <color indexed="81"/>
            <rFont val="Tahoma"/>
            <family val="2"/>
          </rPr>
          <t>2</t>
        </r>
        <r>
          <rPr>
            <sz val="9"/>
            <color indexed="81"/>
            <rFont val="Tahoma"/>
            <family val="2"/>
          </rPr>
          <t xml:space="preserve"> Avskrivning på Ing balans för anläggningstillgångar.
</t>
        </r>
        <r>
          <rPr>
            <b/>
            <sz val="9"/>
            <color indexed="81"/>
            <rFont val="Tahoma"/>
            <family val="2"/>
          </rPr>
          <t>3</t>
        </r>
        <r>
          <rPr>
            <sz val="9"/>
            <color indexed="81"/>
            <rFont val="Tahoma"/>
            <family val="2"/>
          </rPr>
          <t xml:space="preserve"> Avskrivningar på Balanserade kostnader.
</t>
        </r>
        <r>
          <rPr>
            <b/>
            <sz val="9"/>
            <color indexed="81"/>
            <rFont val="Tahoma"/>
            <family val="2"/>
          </rPr>
          <t>4</t>
        </r>
        <r>
          <rPr>
            <sz val="9"/>
            <color indexed="81"/>
            <rFont val="Tahoma"/>
            <family val="2"/>
          </rPr>
          <t xml:space="preserve"> Avskrivningar på budgetperiodens ägarinsatta anläggningstillgångar och </t>
        </r>
        <r>
          <rPr>
            <b/>
            <sz val="9"/>
            <color indexed="81"/>
            <rFont val="Tahoma"/>
            <family val="2"/>
          </rPr>
          <t>5</t>
        </r>
        <r>
          <rPr>
            <sz val="9"/>
            <color indexed="81"/>
            <rFont val="Tahoma"/>
            <family val="2"/>
          </rPr>
          <t xml:space="preserve"> avskrivningar på ingående balans för ägarinsatta anläggningstillgångar.</t>
        </r>
      </text>
    </comment>
    <comment ref="B160" authorId="0">
      <text>
        <r>
          <rPr>
            <sz val="9"/>
            <color indexed="81"/>
            <rFont val="Tahoma"/>
            <family val="2"/>
          </rPr>
          <t xml:space="preserve">Resultatet är belastat även med räntekostnader, som mallen har beräknat automatiskt
</t>
        </r>
      </text>
    </comment>
    <comment ref="C160" authorId="3">
      <text>
        <r>
          <rPr>
            <sz val="8"/>
            <color indexed="81"/>
            <rFont val="Tahoma"/>
            <family val="2"/>
          </rPr>
          <t>I AB har ägarlön och 
sociala kostnader 
redan dragits av. 
Resultat=bolagsvinst</t>
        </r>
      </text>
    </comment>
    <comment ref="B166" authorId="1">
      <text>
        <r>
          <rPr>
            <sz val="9"/>
            <color indexed="81"/>
            <rFont val="Tahoma"/>
            <family val="2"/>
          </rPr>
          <t>Analysera checkkreditens inverkan på likviditeten. Ta fram de dolda raderna 41-45 på flik Likviditetsbudget.</t>
        </r>
      </text>
    </comment>
    <comment ref="T166" authorId="0">
      <text>
        <r>
          <rPr>
            <sz val="9"/>
            <color indexed="81"/>
            <rFont val="Tahoma"/>
            <family val="2"/>
          </rPr>
          <t>Om checkkreditens limit ska sättas till 0 så skriv 0,1 i cellen.</t>
        </r>
      </text>
    </comment>
    <comment ref="E168" authorId="1">
      <text>
        <r>
          <rPr>
            <sz val="9"/>
            <color indexed="81"/>
            <rFont val="Tahoma"/>
            <family val="2"/>
          </rPr>
          <t xml:space="preserve">Ingående balans från E211
</t>
        </r>
      </text>
    </comment>
    <comment ref="B170" authorId="0">
      <text>
        <r>
          <rPr>
            <sz val="9"/>
            <color indexed="81"/>
            <rFont val="Tahoma"/>
            <family val="2"/>
          </rPr>
          <t xml:space="preserve">Ange räntesats på lån i rutan till höger!
</t>
        </r>
      </text>
    </comment>
    <comment ref="C171" authorId="0">
      <text>
        <r>
          <rPr>
            <sz val="9"/>
            <color indexed="81"/>
            <rFont val="Tahoma"/>
            <family val="2"/>
          </rPr>
          <t xml:space="preserve">Långivarens troliga 
krav på amortering, 
t.ex. kvartalsvis eller 
halvårsvis.
</t>
        </r>
      </text>
    </comment>
    <comment ref="A175" authorId="1">
      <text>
        <r>
          <rPr>
            <sz val="9"/>
            <color indexed="81"/>
            <rFont val="Tahoma"/>
            <family val="2"/>
          </rPr>
          <t>Ta fram ytterligare tre moduler för budgetering av lån!
Markera raderna 175 till 185 på radlinjalen och Ta fra</t>
        </r>
        <r>
          <rPr>
            <u/>
            <sz val="9"/>
            <color indexed="81"/>
            <rFont val="Tahoma"/>
            <family val="2"/>
          </rPr>
          <t>m</t>
        </r>
        <r>
          <rPr>
            <sz val="9"/>
            <color indexed="81"/>
            <rFont val="Tahoma"/>
            <family val="2"/>
          </rPr>
          <t xml:space="preserve">
</t>
        </r>
      </text>
    </comment>
    <comment ref="C185" authorId="0">
      <text>
        <r>
          <rPr>
            <sz val="9"/>
            <color indexed="81"/>
            <rFont val="Tahoma"/>
            <family val="2"/>
          </rPr>
          <t>Långivarens krav på amortering, t.ex. kvartalsvis eller halvårsvis.</t>
        </r>
      </text>
    </comment>
    <comment ref="E186" authorId="0">
      <text>
        <r>
          <rPr>
            <sz val="9"/>
            <color indexed="81"/>
            <rFont val="Tahoma"/>
            <family val="2"/>
          </rPr>
          <t xml:space="preserve">Räntesats på ingående lån
</t>
        </r>
      </text>
    </comment>
    <comment ref="B192" authorId="0">
      <text>
        <r>
          <rPr>
            <sz val="9"/>
            <color indexed="81"/>
            <rFont val="Tahoma"/>
            <family val="2"/>
          </rPr>
          <t>Betalar du ränta månadsvis, kvartalsvis, halvårsvis eller på annat sätt?
Räntebetalningen hamnar i likviditetsplanen.</t>
        </r>
      </text>
    </comment>
    <comment ref="B193" authorId="0">
      <text>
        <r>
          <rPr>
            <sz val="9"/>
            <color indexed="81"/>
            <rFont val="Tahoma"/>
            <family val="2"/>
          </rPr>
          <t xml:space="preserve">Ackumulerad ränteskuld efter avdrag för betald ränta på raden ovanför.
</t>
        </r>
      </text>
    </comment>
    <comment ref="B196" authorId="0">
      <text>
        <r>
          <rPr>
            <sz val="9"/>
            <color indexed="81"/>
            <rFont val="Tahoma"/>
            <family val="2"/>
          </rPr>
          <t>Förslag: Använd beloppen i kolumn AJ respektive AL på denna raden. Fördela över månaderna enligt av Skatteverket fastställt betalningsschema. Se fliken Frågor &amp; Svar, rad 166-. Normalt är det 12 månader, dvs. en tolftedel varje månad, men det kan också vara färre antal månader.</t>
        </r>
      </text>
    </comment>
    <comment ref="AJ196" authorId="0">
      <text>
        <r>
          <rPr>
            <sz val="9"/>
            <color indexed="81"/>
            <rFont val="Tahoma"/>
            <family val="2"/>
          </rPr>
          <t xml:space="preserve">Aktiebolag och ekonomisk förening. 
Gör ditt underlag på Resultatbudget_Helår, rad 55-
Använd simuleringsbeloppet i denna cell eller det mera korrekta beloppet i skattebedömningsmodulens cell !H75 för att fördela som preliminär F-skatt. Dividera med antalet betalningsmånader. 
Du kan även fördela med hjälp av formel. Exempel: =$AJ196/12
Cellen är olåst. 
Läs om betalningsperiod på flik Frågor och svar. Fördelning sker från räkenskapsårets andra månad till månaden efter räkenskapsårets slut. </t>
        </r>
      </text>
    </comment>
    <comment ref="AL196" authorId="0">
      <text>
        <r>
          <rPr>
            <sz val="9"/>
            <color indexed="81"/>
            <rFont val="Tahoma"/>
            <family val="2"/>
          </rPr>
          <t xml:space="preserve">Aktiebolag och ekonomisk förening. 
Gör ditt underlag på Resultatbudget_Helår, rad 55-
Använd simuleringsbeloppet i denna cell eller kopiera och klista in det mera korrekta beloppet i skattebedömningsmodulens cell L75 för att fördela som preliminär F-skatt. Dividera med antalet betalningsmånader. Du kan även fördela med hjälp av formel. Exempel: =$AL196/12
Cellen är olåst. 
Läs om betalningsperiod på flik Frågor och svar. Fördelning sker från räkenskapsårets andra månad till månaden efter räkenskapsårets slut. </t>
        </r>
      </text>
    </comment>
    <comment ref="B197" authorId="0">
      <text>
        <r>
          <rPr>
            <sz val="9"/>
            <color indexed="81"/>
            <rFont val="Tahoma"/>
            <family val="2"/>
          </rPr>
          <t>Förslag: Använd beloppen i kolumn AJ respektive AL på denna raden. Fördela över månaderna enligt av Skatteverket fastställt betalningsschema. Se fliken Frågor &amp; Svar, rad 166-. Normalt är det 12 månader, dvs. en tolftedel varje månad, men det kan också vara färre antal månader.</t>
        </r>
      </text>
    </comment>
    <comment ref="AJ197" authorId="0">
      <text>
        <r>
          <rPr>
            <sz val="9"/>
            <color indexed="81"/>
            <rFont val="Tahoma"/>
            <family val="2"/>
          </rPr>
          <t>Enskild firma och handelsbolag. 
- Gör ditt underlag på Resultatbudget_Helår, rad 55- och nedåt. Använd Skatteverkets skatteberäkning för att ta fram de siffror som ska komplettera i modulen. Använd beloppet för att fördela som preliminär F-skatt. Dividera med antalet betalningsmånader.Du kan även fördela med hjälp av formel.
Exempel:=$AJ197/12
- Du kan också direkt använda skatteuppgiften som du får fram genom Skatteverkets skatteberäkning och fördela beloppet över betalningsmånaderna för preliminär F-skatt.
Läs om betalningsperiod på flik Frågor och svar. Vid räkenskapsår=kalenderår fördelas betalning av preliminär F-skatt i normalfallet från februari år 1 till och med januari år 2. Möjlighet finns att förskjuta betalningen så att den börjar i maj och slutar i januari året därpå. $AJ197/9</t>
        </r>
      </text>
    </comment>
    <comment ref="AL197" authorId="0">
      <text>
        <r>
          <rPr>
            <sz val="9"/>
            <color indexed="81"/>
            <rFont val="Tahoma"/>
            <family val="2"/>
          </rPr>
          <t>Enskild firma och handelsbolag. 
- Gör ditt underlag på Resultatbudget_Helår, rad 55- och nedåt. Använd Skatteverkets skatteberäkning för att ta fram de siffror som ska komplettera i modulen. Använd beloppet för att fördela som preliminär F-skatt. Dividera med antalet betalningsmånader.Du kan även fördela med hjälp av formel.
Exempel:=$AL197/12
- Du kan också direkt använda skatteuppgiften som du får fram genom Skatteverkets skatteberäkning och fördela beloppet över betalningsmånaderna för preliminär F-skatt.
Läs om betalningsperiod på flik Frågor och svar. Vid räkenskapsår=kalenderår fördelas betalning av preliminär F-skatt i normalfallet från februari år 1 till och med januari år 2. Möjlighet finns att förskjuta betalningen så att den börjar i maj och slutar i januari året därpå. $AL197/9</t>
        </r>
      </text>
    </comment>
    <comment ref="C200" authorId="0">
      <text>
        <r>
          <rPr>
            <sz val="9"/>
            <color indexed="81"/>
            <rFont val="Tahoma"/>
            <family val="2"/>
          </rPr>
          <t xml:space="preserve">Summa ingående balans för tillgångsposter måste motsvaras av poster för EK + skulder som ger samma summa. 
</t>
        </r>
      </text>
    </comment>
    <comment ref="B201" authorId="0">
      <text>
        <r>
          <rPr>
            <sz val="9"/>
            <color indexed="81"/>
            <rFont val="Tahoma"/>
            <family val="2"/>
          </rPr>
          <t xml:space="preserve">Månadsvis balans för anläggningstillgångar  är efter avskrivningar. 
</t>
        </r>
      </text>
    </comment>
    <comment ref="C201" authorId="0">
      <text>
        <r>
          <rPr>
            <sz val="9"/>
            <color indexed="81"/>
            <rFont val="Tahoma"/>
            <family val="2"/>
          </rPr>
          <t>Ingående balans för Anläggnings-tillgångar  (efter gjord avskrivning) läggs automatiskt av mallen i E293
där du på raderna under kan budgetera avskrivning.</t>
        </r>
      </text>
    </comment>
    <comment ref="H201" authorId="1">
      <text>
        <r>
          <rPr>
            <sz val="9"/>
            <color indexed="81"/>
            <rFont val="Tahoma"/>
            <family val="2"/>
          </rPr>
          <t xml:space="preserve">I denna cell och nedåt finns hyperlänk till den plats där respektive post i ingående balans förts ut till sin plats på ARBETSBLAD om tillgångar i balansuppställningen = eget kapital + skulder.
</t>
        </r>
      </text>
    </comment>
    <comment ref="C202" authorId="0">
      <text>
        <r>
          <rPr>
            <sz val="9"/>
            <color indexed="81"/>
            <rFont val="Tahoma"/>
            <family val="2"/>
          </rPr>
          <t xml:space="preserve">Ingående balans för Ägarinsatta anläggnings-tillgångar hamnar automatiskt i cell E308 där du på raderna under kan budgetera avskrivning av tillgångarna.
</t>
        </r>
      </text>
    </comment>
    <comment ref="C203" authorId="0">
      <text>
        <r>
          <rPr>
            <sz val="9"/>
            <color indexed="81"/>
            <rFont val="Tahoma"/>
            <family val="2"/>
          </rPr>
          <t xml:space="preserve">Ingående varulager läggs automatiskt till varulager på rad 85.
</t>
        </r>
      </text>
    </comment>
    <comment ref="C204" authorId="0">
      <text>
        <r>
          <rPr>
            <sz val="9"/>
            <color indexed="81"/>
            <rFont val="Tahoma"/>
            <family val="2"/>
          </rPr>
          <t xml:space="preserve">Ingående balans kundfordringar (inkl moms) och Övriga fordringar. 
Bearbeta beloppet vidare i modulen på rad 231 och nedåt. 
</t>
        </r>
      </text>
    </comment>
    <comment ref="C205" authorId="0">
      <text>
        <r>
          <rPr>
            <sz val="9"/>
            <color indexed="81"/>
            <rFont val="Tahoma"/>
            <family val="2"/>
          </rPr>
          <t xml:space="preserve">Har du ingående balans momsfordran?  Lägg betalning från Skatteverket i redovisningsmånad på rad 224 Ing balans momsfordran. Inbetalning
</t>
        </r>
      </text>
    </comment>
    <comment ref="C206" authorId="0">
      <text>
        <r>
          <rPr>
            <sz val="9"/>
            <color indexed="81"/>
            <rFont val="Tahoma"/>
            <family val="2"/>
          </rPr>
          <t xml:space="preserve">Ingående balans:
Ingående Kassa och bank på denna rad ska vara inklusive det belopp på checkkrediten som är outnyttjat eftersom det är tillgång på likvida medel.
Ing balans kassa förs automatiskt till startmånad, cell I35, i Likviditetsbudget. </t>
        </r>
      </text>
    </comment>
    <comment ref="C208" authorId="1">
      <text>
        <r>
          <rPr>
            <sz val="9"/>
            <color indexed="81"/>
            <rFont val="Tahoma"/>
            <family val="2"/>
          </rPr>
          <t xml:space="preserve">Vid aktiebolag omfattar Eget kapital här även obeskattat kapital. 
Apport-egendom skriver du i E202. Det förs automatiskt som eget kapital även i cell E209.
</t>
        </r>
      </text>
    </comment>
    <comment ref="C209" authorId="1">
      <text>
        <r>
          <rPr>
            <sz val="9"/>
            <color indexed="81"/>
            <rFont val="Tahoma"/>
            <family val="2"/>
          </rPr>
          <t xml:space="preserve">Ägarinsatt anläggnings-kapital som skrivs i cell E202 läggs av mallen även i cell E209.
</t>
        </r>
      </text>
    </comment>
    <comment ref="C210" authorId="0">
      <text>
        <r>
          <rPr>
            <sz val="9"/>
            <color indexed="81"/>
            <rFont val="Tahoma"/>
            <family val="2"/>
          </rPr>
          <t xml:space="preserve">Beloppet för ingående lån hamnar på rad 186.  
</t>
        </r>
      </text>
    </comment>
    <comment ref="C211" authorId="0">
      <text>
        <r>
          <rPr>
            <sz val="9"/>
            <color indexed="81"/>
            <rFont val="Tahoma"/>
            <family val="2"/>
          </rPr>
          <t>Ingående balans: 
Skriv in check-kreditens limit vid tidpunkten för ingående balans. Beloppet läggs automatiskt på rad 168
Ing Kassa och bank i E206 ska vara inklusive det belopp på checkkrediten som är outnyttjat vid tillfället för ingående balans.</t>
        </r>
      </text>
    </comment>
    <comment ref="C212" authorId="0">
      <text>
        <r>
          <rPr>
            <sz val="9"/>
            <color indexed="81"/>
            <rFont val="Tahoma"/>
            <family val="2"/>
          </rPr>
          <t>Ingående ränteskuld läggs automatiskt till Ränteskuld på rad 193.
Betalning av ingående ränteskuld och budgetårets ränteskuld lägger du på rad 192.</t>
        </r>
      </text>
    </comment>
    <comment ref="C213" authorId="0">
      <text>
        <r>
          <rPr>
            <sz val="9"/>
            <color indexed="81"/>
            <rFont val="Tahoma"/>
            <family val="2"/>
          </rPr>
          <t xml:space="preserve">Ingående balans leverantörs-skulder (inkl moms) och övriga skulder. Bearbeta skulderna i modulen på rad 245 och nedåt.
</t>
        </r>
      </text>
    </comment>
    <comment ref="C214" authorId="0">
      <text>
        <r>
          <rPr>
            <sz val="9"/>
            <color indexed="81"/>
            <rFont val="Tahoma"/>
            <family val="2"/>
          </rPr>
          <t>Prel. Skatt på löner och arbetsgivaravgift
att betala månaden efter. Betalningen läggs automatiskt på rad 24 i Likviditetsbudget i den startmånad/startkolumn som ställts in i cell L4 på ARBETSBLAD.</t>
        </r>
      </text>
    </comment>
    <comment ref="C215" authorId="0">
      <text>
        <r>
          <rPr>
            <sz val="9"/>
            <color indexed="81"/>
            <rFont val="Tahoma"/>
            <family val="2"/>
          </rPr>
          <t xml:space="preserve">T.ex. slutlig skatt.
Lägg betalningen av skatte-skulden på rad 262
</t>
        </r>
      </text>
    </comment>
    <comment ref="C216" authorId="0">
      <text>
        <r>
          <rPr>
            <sz val="9"/>
            <color indexed="81"/>
            <rFont val="Tahoma"/>
            <family val="2"/>
          </rPr>
          <t xml:space="preserve">Ingående semester-löneskuld hamnar automatiskt på rad 101 tillsammans med budget-periodens semester-löneskuld. Lägg in betalning av semester-löner på rad 100, Ut-betalning av semesterlön.
</t>
        </r>
      </text>
    </comment>
    <comment ref="C217" authorId="0">
      <text>
        <r>
          <rPr>
            <sz val="9"/>
            <color indexed="81"/>
            <rFont val="Tahoma"/>
            <family val="2"/>
          </rPr>
          <t xml:space="preserve">Arbetsgivar-avgift på ingående semester-löneskuld läggs automatiskt i Likviditets-budgeten, rad 24, när semester-löneskulden utbetalas. 
</t>
        </r>
      </text>
    </comment>
    <comment ref="C218" authorId="0">
      <text>
        <r>
          <rPr>
            <sz val="9"/>
            <color indexed="81"/>
            <rFont val="Tahoma"/>
            <family val="2"/>
          </rPr>
          <t xml:space="preserve">Har du ingående balans momsskuld? Lägg in betalningen av momsen på rad 228, Ingående balans momsskuld, utbetalning.
</t>
        </r>
      </text>
    </comment>
    <comment ref="AJ220" authorId="0">
      <text>
        <r>
          <rPr>
            <sz val="9"/>
            <color indexed="81"/>
            <rFont val="Tahoma"/>
            <family val="2"/>
          </rPr>
          <t>Diff jämfört med Kapitalbehov och Finansiering beror på att i den uppställningen finns posten Tillfälligt rörelsekapitalbehov.</t>
        </r>
      </text>
    </comment>
    <comment ref="B221" authorId="0">
      <text>
        <r>
          <rPr>
            <sz val="9"/>
            <color indexed="81"/>
            <rFont val="Tahoma"/>
            <family val="2"/>
          </rPr>
          <t>OBServera att denna modul avser endast redovisning av moms i ingående balans</t>
        </r>
      </text>
    </comment>
    <comment ref="B222" authorId="0">
      <text>
        <r>
          <rPr>
            <sz val="9"/>
            <color indexed="81"/>
            <rFont val="Tahoma"/>
            <family val="2"/>
          </rPr>
          <t>Moms tillbaka från Skatteverket</t>
        </r>
      </text>
    </comment>
    <comment ref="E222" authorId="0">
      <text>
        <r>
          <rPr>
            <sz val="9"/>
            <color indexed="81"/>
            <rFont val="Tahoma"/>
            <family val="2"/>
          </rPr>
          <t>Ingående balans Momsfordran</t>
        </r>
      </text>
    </comment>
    <comment ref="E226" authorId="0">
      <text>
        <r>
          <rPr>
            <sz val="9"/>
            <color indexed="81"/>
            <rFont val="Tahoma"/>
            <family val="2"/>
          </rPr>
          <t xml:space="preserve">Ingående balans Momsskuld
</t>
        </r>
      </text>
    </comment>
    <comment ref="B233" authorId="1">
      <text>
        <r>
          <rPr>
            <sz val="9"/>
            <color indexed="81"/>
            <rFont val="Tahoma"/>
            <family val="2"/>
          </rPr>
          <t>Lägg in kundernas betalning av ingående fordringar i de månader du bedömer att de görs.
Har du även ingående fordringar beroende på att du betalat i förskott? Två varianter kan du fördela på raderna under. Den ena är varor och tjänster som du betalat förskott för och som ska levereras till dig, den andra varianten är förskottshyra.</t>
        </r>
      </text>
    </comment>
    <comment ref="E233" authorId="1">
      <text>
        <r>
          <rPr>
            <sz val="9"/>
            <color indexed="81"/>
            <rFont val="Tahoma"/>
            <family val="2"/>
          </rPr>
          <t xml:space="preserve">Lägg in delbelopp för de poster som ingår i kund- och övriga fordringar
</t>
        </r>
      </text>
    </comment>
    <comment ref="B234" authorId="1">
      <text>
        <r>
          <rPr>
            <sz val="9"/>
            <color indexed="81"/>
            <rFont val="Tahoma"/>
            <family val="2"/>
          </rPr>
          <t xml:space="preserve">Leverantör har fått betalt i förskott vilket innebär att du har en fordran på leverans i din ingående balans. Lägg in belopp i den månad du beräknar få leveransen. 
Mallen lägger till beloppet i varulager, rad 85.
</t>
        </r>
      </text>
    </comment>
    <comment ref="E234" authorId="1">
      <text>
        <r>
          <rPr>
            <sz val="9"/>
            <color indexed="81"/>
            <rFont val="Tahoma"/>
            <family val="2"/>
          </rPr>
          <t xml:space="preserve">Lägg in delbelopp för de poster som ingår i kund- och övriga fordringar
</t>
        </r>
      </text>
    </comment>
    <comment ref="B235" authorId="1">
      <text>
        <r>
          <rPr>
            <sz val="9"/>
            <color indexed="81"/>
            <rFont val="Tahoma"/>
            <family val="2"/>
          </rPr>
          <t>Betalningen av hyra som avser en eller flera månader under budgetåret har gjorts föregående år och ingår alltså i ingående balans
Lägg in månadshyran i de månader som förutbetalningen avser. Beloppen förs till rad 232 nedan och sedan till resultatbudgeten. Likviditetsbudgeten berörs inte.</t>
        </r>
      </text>
    </comment>
    <comment ref="E235" authorId="1">
      <text>
        <r>
          <rPr>
            <sz val="9"/>
            <color indexed="81"/>
            <rFont val="Tahoma"/>
            <family val="2"/>
          </rPr>
          <t xml:space="preserve">Lägg in delbelopp för de poster som ingår i kund- och övriga fordringar
</t>
        </r>
      </text>
    </comment>
    <comment ref="B236" authorId="1">
      <text>
        <r>
          <rPr>
            <sz val="9"/>
            <color indexed="81"/>
            <rFont val="Tahoma"/>
            <family val="2"/>
          </rPr>
          <t xml:space="preserve">Kvarstående fordran ska direkt eller successivt bli noll på denna rad.
</t>
        </r>
      </text>
    </comment>
    <comment ref="B240" authorId="1">
      <text>
        <r>
          <rPr>
            <sz val="9"/>
            <color indexed="81"/>
            <rFont val="Tahoma"/>
            <family val="2"/>
          </rPr>
          <t xml:space="preserve">Betalar du stora hyresbelopp i förskott kan det vara lämpligt att skilja mellan betalningstillfället 
(som främst berör Likviditetsbudgeten) och inskrivningen månadsvis av hyreskostnaden (Resultatbudgeten). Lägg in förskottsbetalning av hyra på raden här ovanför, skriv sedan in månadshyran på denna raden i de månader som förskottsbetalningen avser. Hyreskostnaden överförs automatiskt till summa hyreskostnader under Övriga kostnader.
</t>
        </r>
      </text>
    </comment>
    <comment ref="E241" authorId="1">
      <text>
        <r>
          <rPr>
            <sz val="9"/>
            <color indexed="81"/>
            <rFont val="Tahoma"/>
            <family val="2"/>
          </rPr>
          <t xml:space="preserve">Delbelopp av ing balans kundfordringar och övriga fordringar som du angett i cell E226
</t>
        </r>
      </text>
    </comment>
    <comment ref="B245" authorId="1">
      <text>
        <r>
          <rPr>
            <sz val="9"/>
            <color indexed="81"/>
            <rFont val="Tahoma"/>
            <family val="2"/>
          </rPr>
          <t xml:space="preserve">Lägg in </t>
        </r>
        <r>
          <rPr>
            <b/>
            <sz val="9"/>
            <color indexed="81"/>
            <rFont val="Tahoma"/>
            <family val="2"/>
          </rPr>
          <t>betalning</t>
        </r>
        <r>
          <rPr>
            <sz val="9"/>
            <color indexed="81"/>
            <rFont val="Tahoma"/>
            <family val="2"/>
          </rPr>
          <t xml:space="preserve"> av ingående leverantörsskulder i de månader du bedömer att betalningarna görs.
Har du även ingående skulder beroende på att du fått betalt i förskott? Två varianter kan du fördela på raderna under. Den ena är order på varor och tjänster som du fått betalt för i förskott, den andra varianten är hyresintäkter som du fått betalt i förskott.</t>
        </r>
      </text>
    </comment>
    <comment ref="E245" authorId="1">
      <text>
        <r>
          <rPr>
            <sz val="9"/>
            <color indexed="81"/>
            <rFont val="Tahoma"/>
            <family val="2"/>
          </rPr>
          <t xml:space="preserve">Lägg in delbelopp för de poster som ingår i leverantörs-skulder och övriga skulder
</t>
        </r>
      </text>
    </comment>
    <comment ref="B246" authorId="1">
      <text>
        <r>
          <rPr>
            <sz val="9"/>
            <color indexed="81"/>
            <rFont val="Tahoma"/>
            <family val="2"/>
          </rPr>
          <t xml:space="preserve">Kund har betalat i förskott och väntar på din leverans vilket blivit skuld i din ingående balans. Lägg in belopp i den månad du kommer att leverera. 
Mallen lägger till beloppet i försäljningsintäkter (resultatbudget).
</t>
        </r>
      </text>
    </comment>
    <comment ref="E246" authorId="1">
      <text>
        <r>
          <rPr>
            <sz val="9"/>
            <color indexed="81"/>
            <rFont val="Tahoma"/>
            <family val="2"/>
          </rPr>
          <t xml:space="preserve">Lägg in delbelopp för de poster som ingår i leverantörs-skulder och övriga skulder
</t>
        </r>
      </text>
    </comment>
    <comment ref="B247" authorId="1">
      <text>
        <r>
          <rPr>
            <sz val="9"/>
            <color indexed="81"/>
            <rFont val="Tahoma"/>
            <family val="2"/>
          </rPr>
          <t>Hyresgäster har betalat hyra i förskott under föregående år, dvs. beloppet finns i ingående balans som skuld eftersom det avser hyra en eller flera månader under budgetåret. 
Lägg in månadshyran i de månader som förutbetalningen avser. Beloppen förs till rad 259 nedan och sedan till övriga intäkter i resultatbudgeten. Likviditetsbudgeten berörs inte.</t>
        </r>
      </text>
    </comment>
    <comment ref="E247" authorId="1">
      <text>
        <r>
          <rPr>
            <sz val="9"/>
            <color indexed="81"/>
            <rFont val="Tahoma"/>
            <family val="2"/>
          </rPr>
          <t xml:space="preserve">Lägg in delbelopp för de poster som ingår i leverantörs-skulder och övriga skulder
</t>
        </r>
      </text>
    </comment>
    <comment ref="B248" authorId="1">
      <text>
        <r>
          <rPr>
            <sz val="9"/>
            <color indexed="81"/>
            <rFont val="Tahoma"/>
            <family val="2"/>
          </rPr>
          <t xml:space="preserve">Kvarstående skuld ska direkt eller successivt bli noll på denna rad.
</t>
        </r>
      </text>
    </comment>
    <comment ref="B253" authorId="1">
      <text>
        <r>
          <rPr>
            <sz val="9"/>
            <color indexed="81"/>
            <rFont val="Tahoma"/>
            <family val="2"/>
          </rPr>
          <t xml:space="preserve">Leveransvärdet blir intäkt i resultatbudgeten
</t>
        </r>
      </text>
    </comment>
    <comment ref="B257" authorId="1">
      <text>
        <r>
          <rPr>
            <sz val="9"/>
            <color indexed="81"/>
            <rFont val="Tahoma"/>
            <family val="2"/>
          </rPr>
          <t xml:space="preserve">Förut-erhållen betalning vid lokaluthyrning
</t>
        </r>
      </text>
    </comment>
    <comment ref="B258" authorId="1">
      <text>
        <r>
          <rPr>
            <sz val="9"/>
            <color indexed="81"/>
            <rFont val="Tahoma"/>
            <family val="2"/>
          </rPr>
          <t xml:space="preserve">Skilj på tillfället för hyresgästernas inbetalning av förskottshyra, som påverkar likviditetsbudgeten och hyres-intäkten som kommer månadsvis senare i resultatbudgeten. Lägg in förskottsbetalning av hyra på raden här ovanför, skriv sedan in månadshyran här på denna raden i de månader som förskottsbetalningen avser.
Hyresintäkterna visas under benämningen Övriga intäkter i resultatbudgeten. 
</t>
        </r>
      </text>
    </comment>
    <comment ref="I261" authorId="1">
      <text>
        <r>
          <rPr>
            <sz val="9"/>
            <color indexed="81"/>
            <rFont val="Tahoma"/>
            <family val="2"/>
          </rPr>
          <t xml:space="preserve">Se dina budgeterade betalningsbelopp på särskild rad i Likviditetsbudgeten.
</t>
        </r>
      </text>
    </comment>
    <comment ref="B265" authorId="0">
      <text>
        <r>
          <rPr>
            <sz val="9"/>
            <color indexed="81"/>
            <rFont val="Tahoma"/>
            <family val="2"/>
          </rPr>
          <t xml:space="preserve">Ingen ränta beräknas 
</t>
        </r>
      </text>
    </comment>
    <comment ref="B274" authorId="0">
      <text>
        <r>
          <rPr>
            <sz val="9"/>
            <color indexed="81"/>
            <rFont val="Tahoma"/>
            <family val="2"/>
          </rPr>
          <t xml:space="preserve">Lägg in betalningen i betalningsmånad här.
Betalningarna kan komma samtidigt med intäkterna men kan också komma i efterhand eller som förskott. 
Exempelvis kan en kostnadsersättning, dvs. betalningen, för en kontinuerlig månadskostnad  komma en månad eller flera månader i efterhand.
</t>
        </r>
      </text>
    </comment>
    <comment ref="A281" authorId="1">
      <text>
        <r>
          <rPr>
            <sz val="9"/>
            <color indexed="81"/>
            <rFont val="Tahoma"/>
            <family val="2"/>
          </rPr>
          <t xml:space="preserve">Ta fram fler rader, Dolda rader, för att budgetera Balanserade kostnader
</t>
        </r>
      </text>
    </comment>
    <comment ref="B288" authorId="1">
      <text>
        <r>
          <rPr>
            <sz val="9"/>
            <color indexed="81"/>
            <rFont val="Tahoma"/>
            <family val="2"/>
          </rPr>
          <t xml:space="preserve">Före avskrivning 
</t>
        </r>
      </text>
    </comment>
    <comment ref="B289" authorId="1">
      <text>
        <r>
          <rPr>
            <sz val="9"/>
            <color indexed="81"/>
            <rFont val="Tahoma"/>
            <family val="2"/>
          </rPr>
          <t xml:space="preserve">Budgetera
Avskrivning = Ackumulerade balanserade kostnader x 20% /12 varje månad om du inte har bestämd åsikt om något annat. Om du säljer det utvecklingsprojekt som de balanserade kostnaderna utgör, så gör avskrivning motsvarande tillgångsvärdet i samma månad som försäljningen görs.
</t>
        </r>
      </text>
    </comment>
    <comment ref="A297" authorId="1">
      <text>
        <r>
          <rPr>
            <sz val="9"/>
            <color indexed="81"/>
            <rFont val="Tahoma"/>
            <family val="2"/>
          </rPr>
          <t xml:space="preserve">Ta fram fler rader, Dolda rader, för att budgetera avskrivningar på ingående balans, anläggningstillgångar.
</t>
        </r>
      </text>
    </comment>
  </commentList>
</comments>
</file>

<file path=xl/comments3.xml><?xml version="1.0" encoding="utf-8"?>
<comments xmlns="http://schemas.openxmlformats.org/spreadsheetml/2006/main">
  <authors>
    <author>ÅkeO</author>
    <author>Ägaren</author>
  </authors>
  <commentList>
    <comment ref="B2" authorId="0">
      <text>
        <r>
          <rPr>
            <sz val="9"/>
            <color indexed="81"/>
            <rFont val="Tahoma"/>
            <family val="2"/>
          </rPr>
          <t xml:space="preserve">Företagsnamn från cell B7 på ARBETSBLAD
</t>
        </r>
      </text>
    </comment>
    <comment ref="B10" authorId="1">
      <text>
        <r>
          <rPr>
            <sz val="9"/>
            <color indexed="81"/>
            <rFont val="Tahoma"/>
            <family val="2"/>
          </rPr>
          <t xml:space="preserve">+Samhällsbidrag (momsfria) 
+Hyresintäkter
</t>
        </r>
      </text>
    </comment>
    <comment ref="B14" authorId="0">
      <text>
        <r>
          <rPr>
            <sz val="9"/>
            <color indexed="81"/>
            <rFont val="Tahoma"/>
            <family val="2"/>
          </rPr>
          <t>Bruttovinstprocenten = Försäljningsintäkter - rörliga kostnader / försäljningsintäkter.</t>
        </r>
      </text>
    </comment>
    <comment ref="A45" authorId="0">
      <text>
        <r>
          <rPr>
            <sz val="9"/>
            <color indexed="81"/>
            <rFont val="Tahoma"/>
            <family val="2"/>
          </rPr>
          <t>Ta fram och visa fler rader (dolda rader) om du har budgeterade kostnader på dem.</t>
        </r>
      </text>
    </comment>
    <comment ref="B47" authorId="1">
      <text>
        <r>
          <rPr>
            <sz val="9"/>
            <color indexed="81"/>
            <rFont val="Tahoma"/>
            <family val="2"/>
          </rPr>
          <t>Inklusive avskrivning av balanserade kostnader</t>
        </r>
        <r>
          <rPr>
            <sz val="9"/>
            <color indexed="81"/>
            <rFont val="Tahoma"/>
            <family val="2"/>
          </rPr>
          <t xml:space="preserve">
</t>
        </r>
      </text>
    </comment>
    <comment ref="F72" authorId="0">
      <text>
        <r>
          <rPr>
            <sz val="9"/>
            <color indexed="81"/>
            <rFont val="Tahoma"/>
            <family val="2"/>
          </rPr>
          <t xml:space="preserve">Resultatsiffran i denna cell används vid simulering i budgeten. 
Observera att vinstbeloppet här i cell F72 inte har belastats med räntekostnad för utnyttjad checkkredit beroende på risk för cirkelreferens vid simulering där betalning av preliminär F-skatt har budgeterats. 
</t>
        </r>
      </text>
    </comment>
    <comment ref="J72" authorId="0">
      <text>
        <r>
          <rPr>
            <sz val="9"/>
            <color indexed="81"/>
            <rFont val="Tahoma"/>
            <family val="2"/>
          </rPr>
          <t xml:space="preserve">Resultatsiffran i denna cell används vid simulering i budgeten. 
Observera att vinstbeloppet här i cell J72 inte har belastats med räntekostnad för utnyttjad checkkredit beroende på risk för cirkelreferens vid simulering där betalning av preliminär F-skatt har budgeterats. 
</t>
        </r>
      </text>
    </comment>
    <comment ref="B75" authorId="0">
      <text>
        <r>
          <rPr>
            <sz val="9"/>
            <color indexed="81"/>
            <rFont val="Tahoma"/>
            <family val="2"/>
          </rPr>
          <t xml:space="preserve">Beloppet för bolagsskatt kan användas för att lägga in preliminär F-skatt på ARBETSBLAD
</t>
        </r>
      </text>
    </comment>
    <comment ref="B78" authorId="0">
      <text>
        <r>
          <rPr>
            <sz val="9"/>
            <color indexed="81"/>
            <rFont val="Tahoma"/>
            <family val="2"/>
          </rPr>
          <t xml:space="preserve">Lägg in budgeterad ägarlön (brutto) som inkomst av tjänst i Skatteverkets uträkningsverktyg
</t>
        </r>
      </text>
    </comment>
    <comment ref="D81" authorId="0">
      <text>
        <r>
          <rPr>
            <sz val="9"/>
            <color indexed="81"/>
            <rFont val="Tahoma"/>
            <family val="2"/>
          </rPr>
          <t>Lägg in den procentsats som gäller för din kommun.
Lägg in samma procentsats i Skatteverkets uträkningshjälpmedel</t>
        </r>
      </text>
    </comment>
    <comment ref="B82" authorId="1">
      <text>
        <r>
          <rPr>
            <sz val="9"/>
            <color indexed="81"/>
            <rFont val="Tahoma"/>
            <family val="2"/>
          </rPr>
          <t>Brytpunkt 2015</t>
        </r>
        <r>
          <rPr>
            <sz val="9"/>
            <color indexed="81"/>
            <rFont val="Tahoma"/>
            <family val="2"/>
          </rPr>
          <t xml:space="preserve">
</t>
        </r>
      </text>
    </comment>
    <comment ref="B83" authorId="1">
      <text>
        <r>
          <rPr>
            <sz val="9"/>
            <color indexed="81"/>
            <rFont val="Tahoma"/>
            <family val="2"/>
          </rPr>
          <t>Brytpunkt 2015</t>
        </r>
        <r>
          <rPr>
            <sz val="9"/>
            <color indexed="81"/>
            <rFont val="Tahoma"/>
            <family val="2"/>
          </rPr>
          <t xml:space="preserve">
</t>
        </r>
      </text>
    </comment>
    <comment ref="B84" authorId="0">
      <text>
        <r>
          <rPr>
            <sz val="9"/>
            <color indexed="81"/>
            <rFont val="Tahoma"/>
            <family val="2"/>
          </rPr>
          <t xml:space="preserve">Hämta från Skatteverkets skatteuträkning.
</t>
        </r>
      </text>
    </comment>
    <comment ref="B91" authorId="0">
      <text>
        <r>
          <rPr>
            <sz val="9"/>
            <color indexed="81"/>
            <rFont val="Tahoma"/>
            <family val="2"/>
          </rPr>
          <t xml:space="preserve">OBServera att beloppet här inte belastats med räntekostnad för utnyttjad checkkredit beroende på att det annars finns risk för cirkelreferens i beräkningarna. 
</t>
        </r>
      </text>
    </comment>
    <comment ref="G91" authorId="0">
      <text>
        <r>
          <rPr>
            <sz val="9"/>
            <color indexed="81"/>
            <rFont val="Tahoma"/>
            <family val="2"/>
          </rPr>
          <t xml:space="preserve">OBServera att beloppet här inte belastats med räntekostnad för utnyttjad checkkredit beroende på att det annars finns risk för cirkelreferens i beräkningarna av preliminär F-skatt. 
</t>
        </r>
      </text>
    </comment>
    <comment ref="K91" authorId="0">
      <text>
        <r>
          <rPr>
            <sz val="9"/>
            <color indexed="81"/>
            <rFont val="Tahoma"/>
            <family val="2"/>
          </rPr>
          <t xml:space="preserve">OBServera att beloppet här inte belastats med räntekostnad för utnyttjad checkkredit beroende på att det annars finns risk för cirkelreferens i beräkningarna av preliminär F-skatt.
</t>
        </r>
      </text>
    </comment>
    <comment ref="B92" authorId="0">
      <text>
        <r>
          <rPr>
            <sz val="9"/>
            <color indexed="81"/>
            <rFont val="Tahoma"/>
            <family val="2"/>
          </rPr>
          <t xml:space="preserve">Avdraget är i normalfallet 25%. Om du är yngre än 26 år är schablonavdraget 14%.
Från pensionsåldern gäller 10%.
</t>
        </r>
      </text>
    </comment>
    <comment ref="B93" authorId="0">
      <text>
        <r>
          <rPr>
            <sz val="9"/>
            <color indexed="81"/>
            <rFont val="Tahoma"/>
            <family val="2"/>
          </rPr>
          <t xml:space="preserve">Lägg in beloppet för verksamhetens överskott som inkomst av näringsverksamhet i Skatteverkets skatteuträkning
</t>
        </r>
      </text>
    </comment>
    <comment ref="B94" authorId="0">
      <text>
        <r>
          <rPr>
            <sz val="9"/>
            <color indexed="81"/>
            <rFont val="Tahoma"/>
            <family val="2"/>
          </rPr>
          <t xml:space="preserve">I normalfallet är egenavgiften 28,97%. Är du yngre än 26 år är egenavgiften 14,89%.
Detta gäller vid val av 7 karensdagar i sjukförsäkringen.
Från pensionsåldern är avgiften 10,21%.
</t>
        </r>
      </text>
    </comment>
    <comment ref="B95" authorId="0">
      <text>
        <r>
          <rPr>
            <sz val="9"/>
            <color indexed="81"/>
            <rFont val="Tahoma"/>
            <family val="2"/>
          </rPr>
          <t>Hämta från Skatteverkets skatteuträkning!
Vilka regler gäller?
För dig som betalar hela egenavgiften medges nedsättning med 7,5 % av inkomster upp till 200 000 kr om du har mer än 40 000 kr i inkomst från ditt företag. Du kan max få 15 000 kr i nedsättning</t>
        </r>
      </text>
    </comment>
    <comment ref="D98" authorId="0">
      <text>
        <r>
          <rPr>
            <sz val="9"/>
            <color indexed="81"/>
            <rFont val="Tahoma"/>
            <family val="2"/>
          </rPr>
          <t>Lägg in den procentsats som gäller för din kommun.
Lägg in samma procentsats i Skatteverkets uträkningshjälpmedel</t>
        </r>
      </text>
    </comment>
    <comment ref="B99" authorId="1">
      <text>
        <r>
          <rPr>
            <sz val="9"/>
            <color indexed="81"/>
            <rFont val="Tahoma"/>
            <family val="2"/>
          </rPr>
          <t>Brytpunkt 2015</t>
        </r>
        <r>
          <rPr>
            <sz val="9"/>
            <color indexed="81"/>
            <rFont val="Tahoma"/>
            <family val="2"/>
          </rPr>
          <t xml:space="preserve">
</t>
        </r>
      </text>
    </comment>
    <comment ref="B100" authorId="1">
      <text>
        <r>
          <rPr>
            <sz val="9"/>
            <color indexed="81"/>
            <rFont val="Tahoma"/>
            <family val="2"/>
          </rPr>
          <t>Brytpunkt 2015</t>
        </r>
        <r>
          <rPr>
            <sz val="9"/>
            <color indexed="81"/>
            <rFont val="Tahoma"/>
            <family val="2"/>
          </rPr>
          <t xml:space="preserve">
</t>
        </r>
      </text>
    </comment>
    <comment ref="B101" authorId="0">
      <text>
        <r>
          <rPr>
            <sz val="9"/>
            <color indexed="81"/>
            <rFont val="Tahoma"/>
            <family val="2"/>
          </rPr>
          <t xml:space="preserve">Hämta från Skatteverkets skatteuträkning.
</t>
        </r>
      </text>
    </comment>
    <comment ref="D102" authorId="0">
      <text>
        <r>
          <rPr>
            <sz val="9"/>
            <color indexed="81"/>
            <rFont val="Tahoma"/>
            <family val="2"/>
          </rPr>
          <t xml:space="preserve">Summa egenavgift och skatt kan användas för att lägga in preliminär F-skatt på ARBETSBLAD. 
Summan förs automatiskt över till ARBETSBLAD och läggs i cell i kolumn AJ vid Preliminär F-skatt för enskild firma.
</t>
        </r>
      </text>
    </comment>
    <comment ref="H102" authorId="0">
      <text>
        <r>
          <rPr>
            <sz val="9"/>
            <color indexed="81"/>
            <rFont val="Tahoma"/>
            <family val="2"/>
          </rPr>
          <t xml:space="preserve">Summa egenavgift och skatt kan användas för att lägga in preliminär F-skatt på ARBETSBLAD. 
Summan förs automatiskt över till ARBETSBLAD och läggs i cell i kolumn AL vid Preliminär F-skatt för enskild firma.
</t>
        </r>
      </text>
    </comment>
  </commentList>
</comments>
</file>

<file path=xl/comments4.xml><?xml version="1.0" encoding="utf-8"?>
<comments xmlns="http://schemas.openxmlformats.org/spreadsheetml/2006/main">
  <authors>
    <author>ÅkeO</author>
  </authors>
  <commentList>
    <comment ref="B4" authorId="0">
      <text>
        <r>
          <rPr>
            <sz val="9"/>
            <color indexed="81"/>
            <rFont val="Tahoma"/>
            <family val="2"/>
          </rPr>
          <t xml:space="preserve">Företagsnamn från cell B7 på ARBETSBLAD
</t>
        </r>
      </text>
    </comment>
    <comment ref="B11" authorId="0">
      <text>
        <r>
          <rPr>
            <b/>
            <sz val="9"/>
            <color indexed="81"/>
            <rFont val="Tahoma"/>
            <family val="2"/>
          </rPr>
          <t>Bruttovinst</t>
        </r>
        <r>
          <rPr>
            <sz val="9"/>
            <color indexed="81"/>
            <rFont val="Tahoma"/>
            <family val="2"/>
          </rPr>
          <t xml:space="preserve"> =
+Försäljningsintäkter
- Rörliga kostnader.
</t>
        </r>
        <r>
          <rPr>
            <b/>
            <sz val="9"/>
            <color indexed="81"/>
            <rFont val="Tahoma"/>
            <family val="2"/>
          </rPr>
          <t>Bruttovinst 2</t>
        </r>
        <r>
          <rPr>
            <sz val="9"/>
            <color indexed="81"/>
            <rFont val="Tahoma"/>
            <family val="2"/>
          </rPr>
          <t xml:space="preserve"> =
+Försäljningsintäkter
+Övriga intäkter
+Balanserade kostnader
-Rörliga kostnader.
</t>
        </r>
      </text>
    </comment>
    <comment ref="A40" authorId="0">
      <text>
        <r>
          <rPr>
            <sz val="9"/>
            <color indexed="81"/>
            <rFont val="Tahoma"/>
            <family val="2"/>
          </rPr>
          <t>Ta fram Dolda rader  som visar fler Övriga kostnader. Markera rad 31 till 40 på radlinjalen till vänster, klicka på muspekarens högerknapp och välj T</t>
        </r>
        <r>
          <rPr>
            <u/>
            <sz val="9"/>
            <color indexed="81"/>
            <rFont val="Tahoma"/>
            <family val="2"/>
          </rPr>
          <t>a</t>
        </r>
        <r>
          <rPr>
            <sz val="9"/>
            <color indexed="81"/>
            <rFont val="Tahoma"/>
            <family val="2"/>
          </rPr>
          <t xml:space="preserve"> fram.</t>
        </r>
      </text>
    </comment>
  </commentList>
</comments>
</file>

<file path=xl/comments5.xml><?xml version="1.0" encoding="utf-8"?>
<comments xmlns="http://schemas.openxmlformats.org/spreadsheetml/2006/main">
  <authors>
    <author xml:space="preserve"> </author>
    <author>ÅkeO</author>
    <author>Ägaren</author>
    <author>En nöjd Microsoft Office-användare</author>
  </authors>
  <commentList>
    <comment ref="C1" authorId="0">
      <text>
        <r>
          <rPr>
            <sz val="8"/>
            <color indexed="81"/>
            <rFont val="Tahoma"/>
            <family val="2"/>
          </rPr>
          <t>Vill du ha en annan rubrik, t.ex. Balansbudget? Cellen är öppen för ändring</t>
        </r>
      </text>
    </comment>
    <comment ref="C2" authorId="1">
      <text>
        <r>
          <rPr>
            <sz val="9"/>
            <color indexed="81"/>
            <rFont val="Tahoma"/>
            <family val="2"/>
          </rPr>
          <t xml:space="preserve">Företagsnamn från cell B7 på ARBETSBLAD
</t>
        </r>
      </text>
    </comment>
    <comment ref="A9" authorId="2">
      <text>
        <r>
          <rPr>
            <sz val="9"/>
            <color indexed="81"/>
            <rFont val="Tahoma"/>
            <family val="2"/>
          </rPr>
          <t xml:space="preserve">Ta fram de dolda raderna 10 till 25 om du vill visa årets investeringar i detalj.
</t>
        </r>
      </text>
    </comment>
    <comment ref="C36" authorId="1">
      <text>
        <r>
          <rPr>
            <sz val="9"/>
            <color indexed="81"/>
            <rFont val="Tahoma"/>
            <family val="2"/>
          </rPr>
          <t>Lägsta minusmånaden i likviditetsbudgeten</t>
        </r>
        <r>
          <rPr>
            <b/>
            <sz val="9"/>
            <color indexed="81"/>
            <rFont val="Tahoma"/>
            <family val="2"/>
          </rPr>
          <t xml:space="preserve">
</t>
        </r>
        <r>
          <rPr>
            <sz val="9"/>
            <color indexed="81"/>
            <rFont val="Tahoma"/>
            <family val="2"/>
          </rPr>
          <t xml:space="preserve">
</t>
        </r>
      </text>
    </comment>
    <comment ref="H38" authorId="3">
      <text>
        <r>
          <rPr>
            <sz val="8"/>
            <color indexed="81"/>
            <rFont val="Tahoma"/>
            <family val="2"/>
          </rPr>
          <t>Info:
Totalt kapital=Summa eget kapital och skulder</t>
        </r>
      </text>
    </comment>
    <comment ref="J38" authorId="3">
      <text>
        <r>
          <rPr>
            <sz val="8"/>
            <color indexed="81"/>
            <rFont val="Tahoma"/>
            <family val="2"/>
          </rPr>
          <t>Info:
Totalt kapital=Summa eget kapital och skulder</t>
        </r>
      </text>
    </comment>
    <comment ref="H64" authorId="3">
      <text>
        <r>
          <rPr>
            <sz val="8"/>
            <color indexed="81"/>
            <rFont val="Tahoma"/>
            <family val="2"/>
          </rPr>
          <t>Summa eget kapital och skulder=Totalt kapital</t>
        </r>
      </text>
    </comment>
    <comment ref="J64" authorId="3">
      <text>
        <r>
          <rPr>
            <sz val="8"/>
            <color indexed="81"/>
            <rFont val="Tahoma"/>
            <family val="2"/>
          </rPr>
          <t>Summa eget kapital och skulder=Totalt kapital</t>
        </r>
      </text>
    </comment>
    <comment ref="H66" authorId="0">
      <text>
        <r>
          <rPr>
            <sz val="8"/>
            <color indexed="81"/>
            <rFont val="Tahoma"/>
            <family val="2"/>
          </rPr>
          <t>Differens Kapitalbehov-Finansiering</t>
        </r>
      </text>
    </comment>
    <comment ref="J66" authorId="0">
      <text>
        <r>
          <rPr>
            <sz val="8"/>
            <color indexed="81"/>
            <rFont val="Tahoma"/>
            <family val="2"/>
          </rPr>
          <t>Differens Kapitalbehov-Finansiering</t>
        </r>
      </text>
    </comment>
  </commentList>
</comments>
</file>

<file path=xl/comments6.xml><?xml version="1.0" encoding="utf-8"?>
<comments xmlns="http://schemas.openxmlformats.org/spreadsheetml/2006/main">
  <authors>
    <author>ÅkeO</author>
    <author>Ägaren</author>
  </authors>
  <commentList>
    <comment ref="B4" authorId="0">
      <text>
        <r>
          <rPr>
            <sz val="9"/>
            <color indexed="81"/>
            <rFont val="Tahoma"/>
            <family val="2"/>
          </rPr>
          <t>Företagsnamn från B7 på ARBETSBLAD</t>
        </r>
      </text>
    </comment>
    <comment ref="B22" authorId="0">
      <text>
        <r>
          <rPr>
            <sz val="9"/>
            <color indexed="81"/>
            <rFont val="Tahoma"/>
            <family val="2"/>
          </rPr>
          <t xml:space="preserve">Inklusive utbetald semesterlön (netto)
</t>
        </r>
      </text>
    </comment>
    <comment ref="B24" authorId="0">
      <text>
        <r>
          <rPr>
            <sz val="9"/>
            <color indexed="81"/>
            <rFont val="Tahoma"/>
            <family val="2"/>
          </rPr>
          <t xml:space="preserve">Inklusive arbetsg.avg. på utbetald semesterlön.
</t>
        </r>
      </text>
    </comment>
    <comment ref="A40" authorId="1">
      <text>
        <r>
          <rPr>
            <sz val="9"/>
            <color indexed="81"/>
            <rFont val="Tahoma"/>
            <family val="2"/>
          </rPr>
          <t xml:space="preserve">Ta fram de dolda raderna 41 till 45 för att analysera checkkreditens inverkan på likviditeten. 
</t>
        </r>
      </text>
    </comment>
    <comment ref="B41" authorId="1">
      <text>
        <r>
          <rPr>
            <sz val="9"/>
            <color indexed="81"/>
            <rFont val="Tahoma"/>
            <family val="2"/>
          </rPr>
          <t xml:space="preserve">Utgående kassa på rad 38 ovan med avdrag för checkkreditens limit som annars ingår på nämnda rad.
</t>
        </r>
      </text>
    </comment>
    <comment ref="B42" authorId="1">
      <text>
        <r>
          <rPr>
            <sz val="9"/>
            <color indexed="81"/>
            <rFont val="Tahoma"/>
            <family val="2"/>
          </rPr>
          <t xml:space="preserve">Hela beloppet för checkkreditens limit finns med som tillgänglig i likviditetsbudgeten.
</t>
        </r>
      </text>
    </comment>
    <comment ref="B43" authorId="1">
      <text>
        <r>
          <rPr>
            <sz val="9"/>
            <color indexed="81"/>
            <rFont val="Tahoma"/>
            <family val="2"/>
          </rPr>
          <t>=utgående kassa på rad 38</t>
        </r>
        <r>
          <rPr>
            <sz val="9"/>
            <color indexed="81"/>
            <rFont val="Tahoma"/>
            <family val="2"/>
          </rPr>
          <t xml:space="preserve">
</t>
        </r>
      </text>
    </comment>
    <comment ref="B44" authorId="1">
      <text>
        <r>
          <rPr>
            <sz val="9"/>
            <color indexed="81"/>
            <rFont val="Tahoma"/>
            <family val="2"/>
          </rPr>
          <t xml:space="preserve">"Belastad" del av checkkredit i utgående kassa på rad 38. 
</t>
        </r>
      </text>
    </comment>
    <comment ref="B45" authorId="1">
      <text>
        <r>
          <rPr>
            <sz val="9"/>
            <color indexed="81"/>
            <rFont val="Tahoma"/>
            <family val="2"/>
          </rPr>
          <t xml:space="preserve">Ej utnytttjad andel av checkkreditens limit i månadens utgående kassa på rad 38.
</t>
        </r>
      </text>
    </comment>
  </commentList>
</comments>
</file>

<file path=xl/sharedStrings.xml><?xml version="1.0" encoding="utf-8"?>
<sst xmlns="http://schemas.openxmlformats.org/spreadsheetml/2006/main" count="2266" uniqueCount="1492">
  <si>
    <t>Kontant</t>
  </si>
  <si>
    <t>30 dagar</t>
  </si>
  <si>
    <t>60 dagar</t>
  </si>
  <si>
    <t>90 dagar</t>
  </si>
  <si>
    <t>12 månader eller mindre</t>
  </si>
  <si>
    <t>December</t>
  </si>
  <si>
    <t>Bokföringsmetod</t>
  </si>
  <si>
    <t>När faktura skickas / kommer</t>
  </si>
  <si>
    <t>Var tredje månad</t>
  </si>
  <si>
    <t>Egen insättning av pengar</t>
  </si>
  <si>
    <t>Kundbetald utgående moms</t>
  </si>
  <si>
    <t>Momsbetalning från Skatteverket</t>
  </si>
  <si>
    <t>Summa inbetalningar</t>
  </si>
  <si>
    <t>Anställdas nettolön</t>
  </si>
  <si>
    <t>Ägares nettolön (vid AB)</t>
  </si>
  <si>
    <t xml:space="preserve">Preliminärskatt och sociala avgifter på löner </t>
  </si>
  <si>
    <t>Preliminär F-skatt</t>
  </si>
  <si>
    <t>Amortering</t>
  </si>
  <si>
    <t>Betald ingående moms</t>
  </si>
  <si>
    <t>Momsbetalning till Skatteverket</t>
  </si>
  <si>
    <t>Summa utbetalningar</t>
  </si>
  <si>
    <t>LIKVIDITETSFÖRÄNDRING</t>
  </si>
  <si>
    <t>Ingående kassa</t>
  </si>
  <si>
    <t>Utgående kassa</t>
  </si>
  <si>
    <t>Bokförd utgående moms</t>
  </si>
  <si>
    <t>Bokförd ingående moms</t>
  </si>
  <si>
    <t>Varje månad</t>
  </si>
  <si>
    <t>Vid betalning (Kontantmetoden)</t>
  </si>
  <si>
    <t>Okt  90 dag</t>
  </si>
  <si>
    <t>Nov  90 dag</t>
  </si>
  <si>
    <t>Dec 90 dag</t>
  </si>
  <si>
    <t>Nov 60 dag</t>
  </si>
  <si>
    <t>Dec 30 dag</t>
  </si>
  <si>
    <t>Dec 60 dag</t>
  </si>
  <si>
    <t>Förlängt till 13-18 månader</t>
  </si>
  <si>
    <t>Januari</t>
  </si>
  <si>
    <t>Februari</t>
  </si>
  <si>
    <t>Mars</t>
  </si>
  <si>
    <t>April</t>
  </si>
  <si>
    <t>Maj</t>
  </si>
  <si>
    <t>Juni</t>
  </si>
  <si>
    <t>Juli</t>
  </si>
  <si>
    <t>Augusti</t>
  </si>
  <si>
    <t>September</t>
  </si>
  <si>
    <t>Oktober</t>
  </si>
  <si>
    <t>November</t>
  </si>
  <si>
    <r>
      <t>Likviditetsbudget</t>
    </r>
    <r>
      <rPr>
        <sz val="14"/>
        <rFont val="Arial"/>
        <family val="2"/>
      </rPr>
      <t xml:space="preserve"> </t>
    </r>
  </si>
  <si>
    <t>INBETALNINGAR exkl moms</t>
  </si>
  <si>
    <t xml:space="preserve"> Summa inbetalningar</t>
  </si>
  <si>
    <t>UTBETALNINGAR exkl moms</t>
  </si>
  <si>
    <t xml:space="preserve"> Summa utbetalningar</t>
  </si>
  <si>
    <t xml:space="preserve"> Ingående kassa</t>
  </si>
  <si>
    <t xml:space="preserve"> Utgående kassa</t>
  </si>
  <si>
    <t>Resultatbudget</t>
  </si>
  <si>
    <t>Jan</t>
  </si>
  <si>
    <t>Feb</t>
  </si>
  <si>
    <t>Mar</t>
  </si>
  <si>
    <t>Apr</t>
  </si>
  <si>
    <t>Jun</t>
  </si>
  <si>
    <t>Jul</t>
  </si>
  <si>
    <t>Aug</t>
  </si>
  <si>
    <t>Sep</t>
  </si>
  <si>
    <t>Okt</t>
  </si>
  <si>
    <t>Nov</t>
  </si>
  <si>
    <t>Dec</t>
  </si>
  <si>
    <t>Tremånadersredovisning</t>
  </si>
  <si>
    <t>Normalmetod vid försäljn 1 - 40 mkr</t>
  </si>
  <si>
    <t>Redovisning varje månad</t>
  </si>
  <si>
    <t>Försäljning högst 1 mkr</t>
  </si>
  <si>
    <r>
      <t>Bokför du fakturor (och därmed moms) när de kommer in respektive skickas ut?</t>
    </r>
    <r>
      <rPr>
        <sz val="9"/>
        <rFont val="Arial"/>
        <family val="2"/>
      </rPr>
      <t xml:space="preserve"> </t>
    </r>
  </si>
  <si>
    <t xml:space="preserve">Moms redovisas utifrån bokföringsmånaden. Den beräknas automatiskt i mallen och läggs i rätt </t>
  </si>
  <si>
    <t>betalningsmånad för betalning till och från ditt skattekonto hos Skatteverket.</t>
  </si>
  <si>
    <r>
      <t>Bokför du enligt kontantprincipen?</t>
    </r>
    <r>
      <rPr>
        <sz val="9"/>
        <rFont val="Arial"/>
        <family val="2"/>
      </rPr>
      <t xml:space="preserve"> Fakturor (och moms) bokförs när fakturorna betalas. </t>
    </r>
  </si>
  <si>
    <t xml:space="preserve">Kontantmetoden kan väljas om omsättningen uppgår till högst 3 miljoner kronor. </t>
  </si>
  <si>
    <t xml:space="preserve">Budgetmallen beräknar momsen automatiskt och lägger den i rätt betalningsmånad för betalning till </t>
  </si>
  <si>
    <t xml:space="preserve">eller från ditt skattekonto hos Skatteverket. För momsredovisningen kallas detta för Bokslutsmetoden. </t>
  </si>
  <si>
    <t xml:space="preserve">Vid räkenskapsårets slut ska obetalda fakturor sammanställas och momsen ska betalas vid nästa </t>
  </si>
  <si>
    <t>redovisningstillfälle för moms. Budgetmallen utför denna beräkning och placerar momsbetalning</t>
  </si>
  <si>
    <t>till/från skattekontot i rätt månad. Dessutom ser den till så att moms inte redovisas en gång till</t>
  </si>
  <si>
    <t>när de obetalda fakturorna senare betalas under nästa års första månader.</t>
  </si>
  <si>
    <t>För aktiebolag och ekonomisk förening som har kontantmetoden och brutet räkenskapsår måste</t>
  </si>
  <si>
    <t>De bedömningar och beräkningar som görs med hjälp av mallen är helt användarens ansvar.</t>
  </si>
  <si>
    <t>Mallen bygger på de regler som samhället ställer upp för företagande, t.ex. skatteregler, men</t>
  </si>
  <si>
    <t>uppdateringar när regler förändras kan vara fördröjda och det kan finnas specifika skatteregler som inte</t>
  </si>
  <si>
    <t xml:space="preserve">har beaktats. </t>
  </si>
  <si>
    <t>skattefrågor!</t>
  </si>
  <si>
    <t>3 Redovisning årsvis</t>
  </si>
  <si>
    <t>Bokför du fakturor när de kommer in respektive skickas ut?</t>
  </si>
  <si>
    <t>Exempel: Faktura kommer/skickas i juni</t>
  </si>
  <si>
    <t>kl</t>
  </si>
  <si>
    <t>Bokförs</t>
  </si>
  <si>
    <r>
      <t xml:space="preserve"> Momsredovisning räknas från juni*</t>
    </r>
    <r>
      <rPr>
        <vertAlign val="superscript"/>
        <sz val="8"/>
        <rFont val="Arial"/>
        <family val="2"/>
      </rPr>
      <t>)</t>
    </r>
  </si>
  <si>
    <t>Betalning sker senare beroende på kredittid</t>
  </si>
  <si>
    <t>Betalas</t>
  </si>
  <si>
    <t>Bokför du enligt kontantprincipen</t>
  </si>
  <si>
    <r>
      <t xml:space="preserve"> Momsredovisning räknas från juli</t>
    </r>
    <r>
      <rPr>
        <sz val="10"/>
        <rFont val="Arial"/>
        <family val="2"/>
      </rPr>
      <t>*</t>
    </r>
    <r>
      <rPr>
        <vertAlign val="superscript"/>
        <sz val="9"/>
        <rFont val="Arial"/>
        <family val="2"/>
      </rPr>
      <t xml:space="preserve">) </t>
    </r>
  </si>
  <si>
    <r>
      <t>*</t>
    </r>
    <r>
      <rPr>
        <vertAlign val="superscript"/>
        <sz val="8"/>
        <rFont val="Arial"/>
        <family val="2"/>
      </rPr>
      <t>)</t>
    </r>
    <r>
      <rPr>
        <sz val="8"/>
        <rFont val="Arial"/>
        <family val="2"/>
      </rPr>
      <t xml:space="preserve"> Här avses särskild momsdeklaration, typ 1 eller 2. </t>
    </r>
  </si>
  <si>
    <t xml:space="preserve">Betalning av preliminär F-skatt och preliminär särskild A-skatt (handelsbolag) </t>
  </si>
  <si>
    <t>Räkenskapsår med 1-12 månader eller förlängt räkenskapsår som har 13-18 månader.</t>
  </si>
  <si>
    <t>År 1</t>
  </si>
  <si>
    <t>År 2</t>
  </si>
  <si>
    <t>År 3</t>
  </si>
  <si>
    <t>Räkenskapsår = Kalenderår</t>
  </si>
  <si>
    <t>*)</t>
  </si>
  <si>
    <t>Förskjutn 3 mån</t>
  </si>
  <si>
    <t>Betalning med 1/9 varje månad</t>
  </si>
  <si>
    <t>Förkortat räkenskapsår</t>
  </si>
  <si>
    <t>Betalning med 1/7 per mån</t>
  </si>
  <si>
    <t>Förskjutning 3 mån</t>
  </si>
  <si>
    <t>Förlängt räkenskapsår</t>
  </si>
  <si>
    <t xml:space="preserve">Betalning med 1/12 av prel F-skatt per månad under </t>
  </si>
  <si>
    <t xml:space="preserve">12 månader </t>
  </si>
  <si>
    <r>
      <rPr>
        <vertAlign val="superscript"/>
        <sz val="9"/>
        <color indexed="8"/>
        <rFont val="Calibri"/>
        <family val="2"/>
      </rPr>
      <t>*)</t>
    </r>
    <r>
      <rPr>
        <sz val="9"/>
        <rFont val="Calibri"/>
        <family val="2"/>
      </rPr>
      <t xml:space="preserve"> Prel F-skatt beräknas på verksamhetens överskott under räkenskapsåret (grönt ovan).</t>
    </r>
  </si>
  <si>
    <t xml:space="preserve">Vid anmälan till Skatteverket kan förskjutning  med 3 månader begäras. Det går också att begära </t>
  </si>
  <si>
    <t>annat betalningsmönster vid säsongsverksamhet.</t>
  </si>
  <si>
    <t>+</t>
  </si>
  <si>
    <t>-</t>
  </si>
  <si>
    <t>=</t>
  </si>
  <si>
    <t>ANLÄGGNINGSKAPITAL</t>
  </si>
  <si>
    <t>EGET KAPITAL</t>
  </si>
  <si>
    <t>Anskaffn o iordningställande av lokal</t>
  </si>
  <si>
    <t>Patent o.dyl. Goodwill</t>
  </si>
  <si>
    <t>Maskiner, utrustning, installation</t>
  </si>
  <si>
    <t>Övriga inventarier</t>
  </si>
  <si>
    <t>Skylt, reklammaterial i starten</t>
  </si>
  <si>
    <t>Summa eget kapital</t>
  </si>
  <si>
    <t>LÅNGFRISTIGA SKULDER</t>
  </si>
  <si>
    <t>OMSÄTTNINGSKAPITAL</t>
  </si>
  <si>
    <t>Varulager</t>
  </si>
  <si>
    <t>KORTFRISTIGA SKULDER</t>
  </si>
  <si>
    <t>Leverantörskrediter</t>
  </si>
  <si>
    <t>Summa omsättningskapital</t>
  </si>
  <si>
    <t>Summa kortfristiga skulder</t>
  </si>
  <si>
    <t>Totalt kapitalbehov</t>
  </si>
  <si>
    <t xml:space="preserve">Summa eget kapital och skulder  </t>
  </si>
  <si>
    <t xml:space="preserve">                                </t>
  </si>
  <si>
    <t>Årsvis</t>
  </si>
  <si>
    <t xml:space="preserve">Momsredovisning </t>
  </si>
  <si>
    <t>Som alternativ kan varianterna 1 eller 2 väljas</t>
  </si>
  <si>
    <t>klicka och ändra momssatsen.</t>
  </si>
  <si>
    <t>▼</t>
  </si>
  <si>
    <t>▲</t>
  </si>
  <si>
    <t>okt-dec</t>
  </si>
  <si>
    <t>apr-jun</t>
  </si>
  <si>
    <t>sep</t>
  </si>
  <si>
    <t>jul-sep</t>
  </si>
  <si>
    <t>nov</t>
  </si>
  <si>
    <t>jan</t>
  </si>
  <si>
    <t>mar</t>
  </si>
  <si>
    <t>dec</t>
  </si>
  <si>
    <t>maj</t>
  </si>
  <si>
    <t>jul</t>
  </si>
  <si>
    <t>feb</t>
  </si>
  <si>
    <t>apr</t>
  </si>
  <si>
    <t>jun</t>
  </si>
  <si>
    <t>aug</t>
  </si>
  <si>
    <t>okt</t>
  </si>
  <si>
    <t xml:space="preserve">Du kan läsa mer i Skatteverkets broschyr </t>
  </si>
  <si>
    <t>Företagsregistrering</t>
  </si>
  <si>
    <t>jan-mar</t>
  </si>
  <si>
    <t>LIKVIDITETSBUDGET UTBETALNINGAR (TKr)</t>
  </si>
  <si>
    <t xml:space="preserve"> Intäkter</t>
  </si>
  <si>
    <t xml:space="preserve">   Försäljning av varor eller tjänster   </t>
  </si>
  <si>
    <r>
      <t xml:space="preserve"> Rörliga kostnader </t>
    </r>
    <r>
      <rPr>
        <sz val="9"/>
        <rFont val="News Gothic"/>
        <family val="2"/>
      </rPr>
      <t/>
    </r>
  </si>
  <si>
    <t xml:space="preserve">  Varu-, materialkostnader.Kostnader för främmande tjänster</t>
  </si>
  <si>
    <r>
      <t xml:space="preserve"> Bruttovinst </t>
    </r>
    <r>
      <rPr>
        <sz val="8"/>
        <rFont val="Arial"/>
        <family val="2"/>
      </rPr>
      <t>Intäkter minus rörliga kostnader</t>
    </r>
  </si>
  <si>
    <t xml:space="preserve"> Lön och sociala kostnader</t>
  </si>
  <si>
    <t xml:space="preserve">    Summa lön och sociala kostnader</t>
  </si>
  <si>
    <t xml:space="preserve"> Övriga kostnader</t>
  </si>
  <si>
    <t xml:space="preserve">       Summa övriga kostnader</t>
  </si>
  <si>
    <t xml:space="preserve"> Avskrivningar och räntekostnader</t>
  </si>
  <si>
    <t xml:space="preserve">      Summa avskrivningar och räntekostnader</t>
  </si>
  <si>
    <r>
      <t xml:space="preserve"> Summa</t>
    </r>
    <r>
      <rPr>
        <sz val="10"/>
        <rFont val="Arial"/>
        <family val="2"/>
      </rPr>
      <t xml:space="preserve"> </t>
    </r>
    <r>
      <rPr>
        <sz val="8"/>
        <rFont val="Arial"/>
        <family val="2"/>
      </rPr>
      <t>"fasta kostnader"</t>
    </r>
  </si>
  <si>
    <t>Lön och sociala kostnader</t>
  </si>
  <si>
    <t>Summa övriga kostnader</t>
  </si>
  <si>
    <t>Försäljningsintäkter varor och tjänster</t>
  </si>
  <si>
    <t>Kredittid</t>
  </si>
  <si>
    <t>Momssats</t>
  </si>
  <si>
    <t xml:space="preserve"> Resultat</t>
  </si>
  <si>
    <t xml:space="preserve">Förbrukning av varor, materiel etc </t>
  </si>
  <si>
    <t>Information om lagernivå</t>
  </si>
  <si>
    <t>Kassa och bank</t>
  </si>
  <si>
    <t>Summa Tillgångar</t>
  </si>
  <si>
    <t>Kontorsmateriel, telefon, porto etc</t>
  </si>
  <si>
    <t>Marknadsföring</t>
  </si>
  <si>
    <t>Bokföring. Revision</t>
  </si>
  <si>
    <t>Startmånad</t>
  </si>
  <si>
    <t>0%</t>
  </si>
  <si>
    <t>Försäljning 1</t>
  </si>
  <si>
    <t>Försäljning 2</t>
  </si>
  <si>
    <t>Försäljning 3</t>
  </si>
  <si>
    <t>Försäljning 4</t>
  </si>
  <si>
    <t>&lt; =12mån=1;&gt;12mån=2</t>
  </si>
  <si>
    <t>Bruttovinstprocent (Marginal eller Täckningsbidrag)</t>
  </si>
  <si>
    <t>Personförsäkringar för ägare</t>
  </si>
  <si>
    <t>Summa lön och sociala kostnader</t>
  </si>
  <si>
    <t>Lokalhyra</t>
  </si>
  <si>
    <t>Försäljn.kostn. (resekostn. övernattning)</t>
  </si>
  <si>
    <t>Investeringar i anläggningstillgångar</t>
  </si>
  <si>
    <t>Inköp av varor, material och främmande tjänster</t>
  </si>
  <si>
    <t>Inköp 3</t>
  </si>
  <si>
    <t>Inköp 4</t>
  </si>
  <si>
    <t>Inköp av varor, mtrl och främmande tjänster</t>
  </si>
  <si>
    <t>D:o ident</t>
  </si>
  <si>
    <t>Kred+moms</t>
  </si>
  <si>
    <t>Övriga kostnader. Inköp</t>
  </si>
  <si>
    <t>Investeringar</t>
  </si>
  <si>
    <t>Varianter</t>
  </si>
  <si>
    <t>All försäljning</t>
  </si>
  <si>
    <t>Inköp varor, mtrl och tjänster</t>
  </si>
  <si>
    <t>Betaln investeringar</t>
  </si>
  <si>
    <t>Betalning från kunder, försäljning</t>
  </si>
  <si>
    <t>Betalning till leverantörer</t>
  </si>
  <si>
    <t>Övriga kostn. Inköp</t>
  </si>
  <si>
    <t>Alla inköp</t>
  </si>
  <si>
    <t>Försäljning</t>
  </si>
  <si>
    <t>Kundbetald utg moms</t>
  </si>
  <si>
    <t>Betalning. Inköp av varor och tjänster</t>
  </si>
  <si>
    <t>Betalning övriga kostnader</t>
  </si>
  <si>
    <t>Betalning investeringar</t>
  </si>
  <si>
    <t>Betalning till leverantörer av varor, materiel o fr tjänster</t>
  </si>
  <si>
    <t>Räntebetalningar</t>
  </si>
  <si>
    <t>Fakturerings=1 Kontantmet =2</t>
  </si>
  <si>
    <t>Kundfordringar exkl moms</t>
  </si>
  <si>
    <t>Leverantörsskulder exkl. moms</t>
  </si>
  <si>
    <t>Momsskuld</t>
  </si>
  <si>
    <t>Momsfordran</t>
  </si>
  <si>
    <t>Betalning till leverantörer vid inköp av "investeringar"</t>
  </si>
  <si>
    <t>Kundfordringar plus fakturerad- och minus betald moms</t>
  </si>
  <si>
    <t>Varje =1, Var tredje=2, Årsvis=3</t>
  </si>
  <si>
    <t>Lån och egen insats av pengar</t>
  </si>
  <si>
    <r>
      <t>Preliminär F-skatt</t>
    </r>
    <r>
      <rPr>
        <b/>
        <sz val="8"/>
        <rFont val="Arial"/>
        <family val="2"/>
      </rPr>
      <t xml:space="preserve">   </t>
    </r>
  </si>
  <si>
    <t xml:space="preserve">Aktiebolag och ekonomisk förening: Bolagsskatt. </t>
  </si>
  <si>
    <t>Leasing, hyra utrustn. Övr köpta tjänster</t>
  </si>
  <si>
    <r>
      <t>Resultatbudget</t>
    </r>
    <r>
      <rPr>
        <b/>
        <sz val="9"/>
        <rFont val="News Gothic"/>
        <family val="2"/>
      </rPr>
      <t/>
    </r>
  </si>
  <si>
    <t>S:a  inköp av varor, mtrl och främmande tjänster</t>
  </si>
  <si>
    <t>Leverantörsskulder plus fakturerad- och minus betald moms</t>
  </si>
  <si>
    <t>Momsfordran varje månad. Faktureringsmetoden</t>
  </si>
  <si>
    <t>Momsfordran varje månad. Kontantmetoden</t>
  </si>
  <si>
    <t>Momsfordran Årsvis. Faktureringsmetoden</t>
  </si>
  <si>
    <t>Aktuell momsfordran före momsredovsning</t>
  </si>
  <si>
    <t>Momsskuld varje månad. Faktureringsmetoden</t>
  </si>
  <si>
    <t>Momsskuld Årsvis. Faktureringsmetoden</t>
  </si>
  <si>
    <t>Momsskuld Årsvis. Kontantmetoden</t>
  </si>
  <si>
    <t>3 Momsskuld varje tredje månad. Faktureringsmetoden</t>
  </si>
  <si>
    <t>2 Momsskuld varje tredje månad. Faktureringsmetoden</t>
  </si>
  <si>
    <t>1 Momsskuld varje tredje månad. Faktureringsmetoden</t>
  </si>
  <si>
    <t>3 Momsfordran varje tredje månad. Faktureringsmetoden</t>
  </si>
  <si>
    <t>2 Momsfordran varje tredje månad. Faktureringsmetoden</t>
  </si>
  <si>
    <t>1 Momsfordran varje tredje månad. Faktureringsmetoden</t>
  </si>
  <si>
    <t>Momsskuld kvartal. Faktur.metoden. Redovisn.period</t>
  </si>
  <si>
    <t>Momsredovisning för bokslutsmetoden vid månadskolumn 12=3  Utg moms</t>
  </si>
  <si>
    <t>Momsredovisning för bokslutsmetoden vid månadskolumn 12=3  Ing moms</t>
  </si>
  <si>
    <t>Momsredovisning för bokslutsmetoden vid månadskolumn 12=2  Ing moms</t>
  </si>
  <si>
    <t>Momsredovisning för bokslutsmetoden vid månadskolumn 12=2  Utg moms</t>
  </si>
  <si>
    <t>Momsredovisning för bokslutsmetoden vid månadskolumn 12=1  Ing moms</t>
  </si>
  <si>
    <t>Momsredovisning för bokslutsmetoden vid månadskolumn 12=1 Utg moms</t>
  </si>
  <si>
    <t>Ing moms (inköp) att redovisa. Faktureringsmetod</t>
  </si>
  <si>
    <t>Ing moms (inköp) att redovisa. Kontantmetod</t>
  </si>
  <si>
    <t>Utg moms (försäljning) att redovisa. Faktureringsmetod</t>
  </si>
  <si>
    <t>Utg moms (försäljning) att redovisa. Kontantmetod</t>
  </si>
  <si>
    <t>Ackumulerad utgående moms efter momsredovisning</t>
  </si>
  <si>
    <t>Utg momsredovisning Varje månad Kontantmetoden</t>
  </si>
  <si>
    <t>Momsskuld Kontantmetoden. Redovisning Varje månad</t>
  </si>
  <si>
    <t>Ackumulerad ingående moms efter momsredovisning</t>
  </si>
  <si>
    <t>Ing momsredovisning Varje månad Kontantmetoden</t>
  </si>
  <si>
    <t>Utg momsredovisning Varje månad Faktureringsmetod</t>
  </si>
  <si>
    <t>Momsskuld Faktureringsmetod Redovisning Varje månad</t>
  </si>
  <si>
    <t>Momsfordran Faktureringsmetod Redovisning Varje månad</t>
  </si>
  <si>
    <t>Momsskuld Faktureringsmetod redovisning Årsvis</t>
  </si>
  <si>
    <t>Utg momsredovisning Årsvis Kontantmetoden</t>
  </si>
  <si>
    <t>Momsskuld Kontantmetod redovisning Årsvis</t>
  </si>
  <si>
    <t>Momsfordr Faktureringsmetod redovisning Årsvis</t>
  </si>
  <si>
    <t>Aktuell momsskuld</t>
  </si>
  <si>
    <t>Momsredovisning var tredje månad Faktureringsmetoden</t>
  </si>
  <si>
    <t>Momsredovisn Var Tredje månad</t>
  </si>
  <si>
    <t>Momsredovisning var tredje månad Kontantmetoden</t>
  </si>
  <si>
    <t>Ack momsskuld f momsredov var tredje månad. Kontantmetoden</t>
  </si>
  <si>
    <t>Momsskuld kvartal. Kontantmetoden</t>
  </si>
  <si>
    <t>Ack momsfordr f momsredov var tredje månad. Kontantmetoden</t>
  </si>
  <si>
    <t>Momsfordr kvartal. Kontantmetoden</t>
  </si>
  <si>
    <t>Ing momsredovisning Varje månad Faktureringsmetod</t>
  </si>
  <si>
    <t>Momsfordran Kontantmetoden. Redovisning Varje månad</t>
  </si>
  <si>
    <t>Materialandel</t>
  </si>
  <si>
    <t>Bruttovinstprocent</t>
  </si>
  <si>
    <t>Försäljning 5</t>
  </si>
  <si>
    <t>Försäljning 6</t>
  </si>
  <si>
    <t>Försäljning 7</t>
  </si>
  <si>
    <t>Försäljning 8</t>
  </si>
  <si>
    <t>Försäljning 9</t>
  </si>
  <si>
    <t>Försäljning 10</t>
  </si>
  <si>
    <r>
      <rPr>
        <b/>
        <sz val="8"/>
        <color indexed="60"/>
        <rFont val="Arial"/>
        <family val="2"/>
      </rPr>
      <t>Förbrukning</t>
    </r>
    <r>
      <rPr>
        <b/>
        <sz val="8"/>
        <rFont val="Arial"/>
        <family val="2"/>
      </rPr>
      <t xml:space="preserve"> av varor, material och främ. tjänster</t>
    </r>
  </si>
  <si>
    <t>Försäljning av varor och tjänster</t>
  </si>
  <si>
    <t>Rörl. Kostn.=Inköpen</t>
  </si>
  <si>
    <t>Ja</t>
  </si>
  <si>
    <t>Nej</t>
  </si>
  <si>
    <t>Räntekostnader</t>
  </si>
  <si>
    <t>Ränteskuld</t>
  </si>
  <si>
    <t>I</t>
  </si>
  <si>
    <t>J</t>
  </si>
  <si>
    <t>K</t>
  </si>
  <si>
    <t>L</t>
  </si>
  <si>
    <t>M</t>
  </si>
  <si>
    <t>O</t>
  </si>
  <si>
    <t>Månadens räntekostnader</t>
  </si>
  <si>
    <t>Enskild f:a, handelsbolag: Egenavg+näringsidkares skatt</t>
  </si>
  <si>
    <t>Ägarlön brutto vid aktiebolag och ekon. förening</t>
  </si>
  <si>
    <t>Ja, förbrukningen sätter jag lika med inköpen varje månad</t>
  </si>
  <si>
    <t>Nej, förbrukningen budgeterar jag månad för månad här</t>
  </si>
  <si>
    <t>Nej, förbrukningen budgeterar jag med hjälp av nyckeltal</t>
  </si>
  <si>
    <t>Ackumulerade anläggningsanskaffningar</t>
  </si>
  <si>
    <t>Ack anskaffn minus ack avskrivningar</t>
  </si>
  <si>
    <r>
      <t xml:space="preserve">FINANSIERING </t>
    </r>
    <r>
      <rPr>
        <sz val="9"/>
        <rFont val="Arial"/>
        <family val="2"/>
      </rPr>
      <t>(Eget kapital och skulder)</t>
    </r>
  </si>
  <si>
    <r>
      <t xml:space="preserve">KAPITALBEHOV </t>
    </r>
    <r>
      <rPr>
        <sz val="9"/>
        <rFont val="Arial"/>
        <family val="2"/>
      </rPr>
      <t>(Tillgångar)</t>
    </r>
  </si>
  <si>
    <t>Andra anläggningstillgångar 1</t>
  </si>
  <si>
    <t>Andra anläggningstillgångar 2</t>
  </si>
  <si>
    <t>Årets avskrivningar</t>
  </si>
  <si>
    <t>Summa anläggningskapital före avskrivning</t>
  </si>
  <si>
    <r>
      <rPr>
        <b/>
        <sz val="8"/>
        <rFont val="Arial"/>
        <family val="2"/>
      </rPr>
      <t>Summa anläggningskapital</t>
    </r>
    <r>
      <rPr>
        <sz val="8"/>
        <rFont val="Arial"/>
        <family val="2"/>
      </rPr>
      <t xml:space="preserve"> efter avskrivning</t>
    </r>
  </si>
  <si>
    <t>Ingående balans anläggningstillgångar</t>
  </si>
  <si>
    <t>Tillfälligt rörelsekapitalbehov</t>
  </si>
  <si>
    <t>Kortfristiga skulder: Prel F-skatt o arbetsg.avgift</t>
  </si>
  <si>
    <t>Kortfristigt lånebehov</t>
  </si>
  <si>
    <t>Ägaruttag</t>
  </si>
  <si>
    <t>Resultat</t>
  </si>
  <si>
    <t>Ingående balans eget kapital</t>
  </si>
  <si>
    <r>
      <t xml:space="preserve">Summa långfristiga skulder </t>
    </r>
    <r>
      <rPr>
        <sz val="8"/>
        <rFont val="Arial"/>
        <family val="2"/>
      </rPr>
      <t>efter amortering</t>
    </r>
  </si>
  <si>
    <t>Ingående balans långfristiga skulder</t>
  </si>
  <si>
    <t>Årets amorteringar</t>
  </si>
  <si>
    <r>
      <t xml:space="preserve">Avskrivning (%) </t>
    </r>
    <r>
      <rPr>
        <b/>
        <sz val="8"/>
        <color indexed="60"/>
        <rFont val="Arial"/>
        <family val="2"/>
      </rPr>
      <t>►</t>
    </r>
  </si>
  <si>
    <r>
      <t xml:space="preserve">Ränta </t>
    </r>
    <r>
      <rPr>
        <sz val="8"/>
        <color indexed="60"/>
        <rFont val="Arial Narrow"/>
        <family val="2"/>
      </rPr>
      <t>►</t>
    </r>
  </si>
  <si>
    <t>Balansräkning. Förenklad</t>
  </si>
  <si>
    <t xml:space="preserve">  Räntekostnader</t>
  </si>
  <si>
    <t xml:space="preserve">  Avskrivningar</t>
  </si>
  <si>
    <t>Ackumulerade invest i anl.tillg. minus avskrivningar</t>
  </si>
  <si>
    <t>Ackumulerade långfr krediter</t>
  </si>
  <si>
    <t>Ägarinsatta anl.tillgångar efter avskr.</t>
  </si>
  <si>
    <t>Arbetsblad för budget</t>
  </si>
  <si>
    <t xml:space="preserve">Klicka, välj ▼ </t>
  </si>
  <si>
    <t>S:a  förbrukning, dvs. rörliga kostnader</t>
  </si>
  <si>
    <t xml:space="preserve">Är förbrukningen densamma som </t>
  </si>
  <si>
    <t>inköpen varje månad?</t>
  </si>
  <si>
    <t>Rörliga kostnader</t>
  </si>
  <si>
    <t xml:space="preserve"> Momsfordran (inkl ing momsfordran o dyl) före momsredovsning</t>
  </si>
  <si>
    <t>Till leverantörer betald ingående moms</t>
  </si>
  <si>
    <t xml:space="preserve">Om förbrukningen inte följer inköpen bör du budgetera förbrukningen för sig. </t>
  </si>
  <si>
    <t xml:space="preserve">Summa arbetsgivaravgifter </t>
  </si>
  <si>
    <t>%</t>
  </si>
  <si>
    <t>Arbetsmarknadsförsäkringar f anställda</t>
  </si>
  <si>
    <t xml:space="preserve">Bruttovinst </t>
  </si>
  <si>
    <t>S:a avskrivningar och räntekostnader</t>
  </si>
  <si>
    <t>Försäljningsintäkter</t>
  </si>
  <si>
    <t>Summa omkostnader</t>
  </si>
  <si>
    <t xml:space="preserve">Rörliga kostnader </t>
  </si>
  <si>
    <t>Betalning av ränta på lån. Budgeterad betalningsplan</t>
  </si>
  <si>
    <t>Semesterlöneskuld</t>
  </si>
  <si>
    <r>
      <t xml:space="preserve">Summa anställdas löner </t>
    </r>
    <r>
      <rPr>
        <sz val="8"/>
        <rFont val="Arial"/>
        <family val="2"/>
      </rPr>
      <t>exkl semesterlön</t>
    </r>
  </si>
  <si>
    <t>Bedömning av ägares skatt</t>
  </si>
  <si>
    <t>Bedömning av bolagsskatt och ägares skatt</t>
  </si>
  <si>
    <t>Enskild näringsidkare. Delägare i handelsbolag</t>
  </si>
  <si>
    <t>Ägarlön enligt din budget</t>
  </si>
  <si>
    <t>Bolagsskatt</t>
  </si>
  <si>
    <t>Aktiebolag. Ekonomisk förening</t>
  </si>
  <si>
    <t>R(10):90 dag</t>
  </si>
  <si>
    <t>S(11):90 dag</t>
  </si>
  <si>
    <t>T(12):90 dag</t>
  </si>
  <si>
    <t>S(11):60 dag</t>
  </si>
  <si>
    <t>T(12):60 dag</t>
  </si>
  <si>
    <t>T(12):30 dag</t>
  </si>
  <si>
    <t>Redovisn utg moms varje månad</t>
  </si>
  <si>
    <t>Redovisn ing moms varje månad</t>
  </si>
  <si>
    <t>Momsredov varje mån utg-ing</t>
  </si>
  <si>
    <t>Redovisn ing moms var tredje månad</t>
  </si>
  <si>
    <t>Redovisn utg moms var tredje månad</t>
  </si>
  <si>
    <r>
      <t xml:space="preserve">Momsredov varje mån Momsbet </t>
    </r>
    <r>
      <rPr>
        <b/>
        <sz val="9"/>
        <color indexed="10"/>
        <rFont val="Arial Narrow"/>
        <family val="2"/>
      </rPr>
      <t>till</t>
    </r>
    <r>
      <rPr>
        <sz val="9"/>
        <rFont val="Arial Narrow"/>
        <family val="2"/>
      </rPr>
      <t xml:space="preserve"> SKV</t>
    </r>
  </si>
  <si>
    <r>
      <t xml:space="preserve">Momsredov varje mån Momsbet </t>
    </r>
    <r>
      <rPr>
        <b/>
        <sz val="9"/>
        <color indexed="17"/>
        <rFont val="Arial Narrow"/>
        <family val="2"/>
      </rPr>
      <t>från</t>
    </r>
    <r>
      <rPr>
        <sz val="9"/>
        <rFont val="Arial Narrow"/>
        <family val="2"/>
      </rPr>
      <t xml:space="preserve"> SKV</t>
    </r>
  </si>
  <si>
    <r>
      <t xml:space="preserve">Momsredov var tredje månad Momsbet </t>
    </r>
    <r>
      <rPr>
        <sz val="9"/>
        <color indexed="10"/>
        <rFont val="Arial Narrow"/>
        <family val="2"/>
      </rPr>
      <t>till</t>
    </r>
    <r>
      <rPr>
        <sz val="9"/>
        <rFont val="Arial Narrow"/>
        <family val="2"/>
      </rPr>
      <t xml:space="preserve"> SKV</t>
    </r>
  </si>
  <si>
    <r>
      <t xml:space="preserve">Momsredov var tredje månad Momsbet </t>
    </r>
    <r>
      <rPr>
        <sz val="9"/>
        <color indexed="17"/>
        <rFont val="Arial Narrow"/>
        <family val="2"/>
      </rPr>
      <t>från</t>
    </r>
    <r>
      <rPr>
        <sz val="9"/>
        <rFont val="Arial Narrow"/>
        <family val="2"/>
      </rPr>
      <t xml:space="preserve"> SKV</t>
    </r>
  </si>
  <si>
    <t>Momsredov var tredje mån utg-ing</t>
  </si>
  <si>
    <t>Redovisn utg moms Årsvis momsredov</t>
  </si>
  <si>
    <t>Redovisn ing moms Årsvis momsredov</t>
  </si>
  <si>
    <t>Momsredov Årsvis utg-ing</t>
  </si>
  <si>
    <r>
      <t xml:space="preserve">Momsredov Årsvis Momsbet </t>
    </r>
    <r>
      <rPr>
        <sz val="9"/>
        <color indexed="17"/>
        <rFont val="Arial Narrow"/>
        <family val="2"/>
      </rPr>
      <t>från</t>
    </r>
    <r>
      <rPr>
        <sz val="9"/>
        <rFont val="Arial Narrow"/>
        <family val="2"/>
      </rPr>
      <t xml:space="preserve"> SKV</t>
    </r>
  </si>
  <si>
    <r>
      <t xml:space="preserve">Momsredov Årsvis Momsbet </t>
    </r>
    <r>
      <rPr>
        <sz val="9"/>
        <color indexed="10"/>
        <rFont val="Arial Narrow"/>
        <family val="2"/>
      </rPr>
      <t>till</t>
    </r>
    <r>
      <rPr>
        <sz val="9"/>
        <rFont val="Arial Narrow"/>
        <family val="2"/>
      </rPr>
      <t xml:space="preserve"> SKV</t>
    </r>
  </si>
  <si>
    <t>Sämsta läget</t>
  </si>
  <si>
    <t xml:space="preserve"> Anställdas löner</t>
  </si>
  <si>
    <t xml:space="preserve"> Ägarlön</t>
  </si>
  <si>
    <t xml:space="preserve"> Arbetsgivaravgift på löner</t>
  </si>
  <si>
    <t xml:space="preserve"> Arbetsmarknadsförsäkring f anställda </t>
  </si>
  <si>
    <t xml:space="preserve"> Personförsäkringar för ägare. </t>
  </si>
  <si>
    <t xml:space="preserve"> Avskrivningar</t>
  </si>
  <si>
    <t xml:space="preserve"> Räntekostnader</t>
  </si>
  <si>
    <t>Hjälprad för tillägg av 1</t>
  </si>
  <si>
    <t>Hjälprad för att nolla restkolumner vid förflyttning</t>
  </si>
  <si>
    <t xml:space="preserve">1  Skriv in beloppet  i varje cell </t>
  </si>
  <si>
    <t xml:space="preserve">3  Markera ett antal celler på raden. Skriv ditt belopp (som visas i den första cell du markerade), håll ner </t>
  </si>
  <si>
    <t xml:space="preserve">    ctrl-tangenten, tryck på Enter. Nu finns beloppet i alla celler som du markerat.  </t>
  </si>
  <si>
    <t xml:space="preserve">    Denna metod är också användbar om du vill fylla ett antal celler i i en kolumn med samma belopp.</t>
  </si>
  <si>
    <t xml:space="preserve">    Vill du fylla flera celler som inte kommer efter varandra går det också bra. Gör så här. Håll nere ctrl medan</t>
  </si>
  <si>
    <t xml:space="preserve">    du klickar i de celler du ska fylla med samma belopp. Släpp ctrl. Skriv ditt belopp (som hamnar i den först </t>
  </si>
  <si>
    <t xml:space="preserve">    markerade cellen), håll ner ctrl igen och tryck Enter. Nu finns beloppet i alla markerade celler.</t>
  </si>
  <si>
    <t>Fylla flera celler med samma belopp</t>
  </si>
  <si>
    <t>Flytta inskrivna belopp</t>
  </si>
  <si>
    <t xml:space="preserve">som sköter beräkningarna i mallen. Detsamma händer om du Klipper ut och Klistrar in. </t>
  </si>
  <si>
    <t>Få du stakettecken, #####, eller annat konstigt i en cell så kan det bero på att celler har flyttats.</t>
  </si>
  <si>
    <t xml:space="preserve">sista månaden i räkenskapsåret ställas in i ruta T4. Månadsnamnen ändras då och sista månaden </t>
  </si>
  <si>
    <t xml:space="preserve">hamnar i kolumn T (eller i kolumn AF vid förlängt räkenskapsår). </t>
  </si>
  <si>
    <t>Listpilen syns inte. Du kan inte ändra momssats</t>
  </si>
  <si>
    <t>Staket #####</t>
  </si>
  <si>
    <t>Skriv alla beloppen i tusental kronor så är risken liten att siffrorna inte får plats.</t>
  </si>
  <si>
    <t xml:space="preserve">Blir det "staket" (#####) i cellerna, främst i summeringscellerna , kan det bero på att tecknen inte får plats. </t>
  </si>
  <si>
    <t>skulle glädja oss mycket om du ville skicka det till oss.</t>
  </si>
  <si>
    <r>
      <t xml:space="preserve">Frågor, och gärna synpunkter och förbättringsförslag, kan du skicka till </t>
    </r>
    <r>
      <rPr>
        <b/>
        <sz val="9"/>
        <color indexed="12"/>
        <rFont val="Arial"/>
        <family val="2"/>
      </rPr>
      <t>ake.olsson@almi.se</t>
    </r>
  </si>
  <si>
    <t>Inköp 5</t>
  </si>
  <si>
    <t>Inköp 6</t>
  </si>
  <si>
    <t>Inköp 7</t>
  </si>
  <si>
    <t>Inköp 8</t>
  </si>
  <si>
    <t>Inköp 9</t>
  </si>
  <si>
    <t>Inköp 10</t>
  </si>
  <si>
    <t>Momsfordr kvartal. Faktur.metoden. Redovisn.period</t>
  </si>
  <si>
    <t>ARBETSBLAD</t>
  </si>
  <si>
    <t xml:space="preserve">Budgetera på </t>
  </si>
  <si>
    <t>Likviditetsbudget</t>
  </si>
  <si>
    <t>Kapitalbehov / Finansiering</t>
  </si>
  <si>
    <t>Se flikarna längst ned på Excel-fönstret!</t>
  </si>
  <si>
    <t>Resultatbudget      Helår</t>
  </si>
  <si>
    <t>Resultatbudget    Månad</t>
  </si>
  <si>
    <t xml:space="preserve"> ▼Klicka, välj ▼ </t>
  </si>
  <si>
    <t>Klicka och välj ▼</t>
  </si>
  <si>
    <t>Räkenskapsår ▼</t>
  </si>
  <si>
    <t>Räkenskapsårets sista månad  ▼</t>
  </si>
  <si>
    <t xml:space="preserve">Ägarlön brutto vid AB o  ekon fören    </t>
  </si>
  <si>
    <t>Checkkredit</t>
  </si>
  <si>
    <t>Som alternativ kan variant 1 väljas</t>
  </si>
  <si>
    <r>
      <t xml:space="preserve">1 </t>
    </r>
    <r>
      <rPr>
        <sz val="9"/>
        <color indexed="60"/>
        <rFont val="Arial"/>
        <family val="2"/>
      </rPr>
      <t>Redovisning varje månad</t>
    </r>
  </si>
  <si>
    <r>
      <t>2</t>
    </r>
    <r>
      <rPr>
        <sz val="9"/>
        <color indexed="56"/>
        <rFont val="Arial"/>
        <family val="2"/>
      </rPr>
      <t xml:space="preserve"> Tremånadersredovisning</t>
    </r>
  </si>
  <si>
    <t>Moms</t>
  </si>
  <si>
    <t>Företagets försäkringar. Bankavgifter</t>
  </si>
  <si>
    <t>Resekostnader. Bilersättning</t>
  </si>
  <si>
    <t>förutsättningar för ett fördjupat budgetarbete.</t>
  </si>
  <si>
    <t>Arbetsmetod i Excel</t>
  </si>
  <si>
    <t xml:space="preserve">Börja med att göra nödvändiga inställningar. Följ instruktionerna steg för steg. Om du inte är helt säker </t>
  </si>
  <si>
    <t>på dina val kan du ändå göra en budget. Det är lätt att ändra inställningarna senare när siffrorna på plats.</t>
  </si>
  <si>
    <t>Inställningar</t>
  </si>
  <si>
    <t xml:space="preserve">Räkenskapsåret omfattar normalt 12 månader. Det första räkenskapsåret kan förkortas att omfatta 1 dag </t>
  </si>
  <si>
    <t xml:space="preserve">och förlängas så att det är maximalt 18 månader. </t>
  </si>
  <si>
    <t xml:space="preserve">Aktiebolag kan ha brutet räkenskapsår vilket innebär att året börjar den förste i månaden och avslutas den  </t>
  </si>
  <si>
    <t xml:space="preserve">siste i tolfte månaden. För att byta räkenskapsår från kalenderår till ett brutet räkenskapsår krävs tillstånd </t>
  </si>
  <si>
    <t>från Skatteverket.</t>
  </si>
  <si>
    <r>
      <t>Budgeterar du ett eller två år så ställ in räkenskapsår på</t>
    </r>
    <r>
      <rPr>
        <i/>
        <sz val="9"/>
        <rFont val="Arial"/>
        <family val="2"/>
      </rPr>
      <t xml:space="preserve"> 12 månader eller mindre</t>
    </r>
    <r>
      <rPr>
        <sz val="9"/>
        <rFont val="Arial"/>
        <family val="2"/>
      </rPr>
      <t xml:space="preserve">. Om du budgeterar ett </t>
    </r>
  </si>
  <si>
    <r>
      <t xml:space="preserve">förlängt räkenskapsår väljer du </t>
    </r>
    <r>
      <rPr>
        <i/>
        <sz val="9"/>
        <rFont val="Arial"/>
        <family val="2"/>
      </rPr>
      <t>Förlängt till 13-18 månader.</t>
    </r>
    <r>
      <rPr>
        <sz val="9"/>
        <rFont val="Arial"/>
        <family val="2"/>
      </rPr>
      <t xml:space="preserve"> Budgetmallen omfattar då bara detta förlängda </t>
    </r>
  </si>
  <si>
    <t xml:space="preserve">räkenskapsår som i mallen utgör År 1. I Resultatbudget, Likviditetsbudget och Kapitalbehov_Finansiering </t>
  </si>
  <si>
    <t>visas alltså endast År 1.</t>
  </si>
  <si>
    <t>1 Räkenskapsår</t>
  </si>
  <si>
    <t>2 Räkenskapsårets sista månad</t>
  </si>
  <si>
    <t xml:space="preserve">Räkenskapsårets sista månad måste anges. För Enskild firma och handelsbolag är räkenskapsåret normalt </t>
  </si>
  <si>
    <t xml:space="preserve">lika med kalenderår och slutar alltså den siste december. Förinställningen är december. Vid brutet </t>
  </si>
  <si>
    <t xml:space="preserve">räkenskapsår är räkenskapsårets sista månad annan och ska ställas in i cell T4. </t>
  </si>
  <si>
    <t>Likviditetsbudget.</t>
  </si>
  <si>
    <t xml:space="preserve">Budgetera i startmånad och framåt över räkenskapsåret. Budgetsiffrorna ska vara exklusive moms. </t>
  </si>
  <si>
    <t xml:space="preserve">Budgetmallen lägger automatiskt till momsen. För att få kundbetalningarna i rätt månad i likviditetsbudgeten </t>
  </si>
  <si>
    <t>ake.olsson@almi.se</t>
  </si>
  <si>
    <t>För att budgetera förbrukning = rörliga kostnader har du att välja mellan tre alternativ på frågan:</t>
  </si>
  <si>
    <t>Är förbrukningen densamma som inköpen varje månad?</t>
  </si>
  <si>
    <t>Ja förbrukningen sätter jag lika med inköpen varje månad</t>
  </si>
  <si>
    <t>Nej förbrukningen budgeterar jag månad för månad här</t>
  </si>
  <si>
    <t>Budgetera inköpsbelopp den månad när du får fakturan eller betalar inköpet kontant.</t>
  </si>
  <si>
    <t>Ställ in kredittid och momssats så hamnar betalningarna i rätt månad i likviditetsbudgeten.</t>
  </si>
  <si>
    <t xml:space="preserve">Dessa inköp avser varor som ska säljas, materiel som ingår i de produkter som ska säljas och </t>
  </si>
  <si>
    <t>inköp av tjänster som direkt behövs för varje såld produkt. (Med produkt menas även de tjänster som</t>
  </si>
  <si>
    <t xml:space="preserve">företaget säljer). </t>
  </si>
  <si>
    <t>Mängden varor och materiel som köps in under året kan vara lika stor som årets förbrukning, men kan</t>
  </si>
  <si>
    <t xml:space="preserve">också vara större än förbrukningen. Större inköp än förbrukning gör att det bli kvar i lager vid </t>
  </si>
  <si>
    <t xml:space="preserve">räkenskapsårets utgång. Följande år kan då förbrukningen vara mindre än inköpen. Man tar från </t>
  </si>
  <si>
    <t xml:space="preserve">lager. I företag där det inte blir något lager är inköpen = förbrukningen. </t>
  </si>
  <si>
    <r>
      <t xml:space="preserve">(Med </t>
    </r>
    <r>
      <rPr>
        <i/>
        <sz val="9"/>
        <rFont val="Arial"/>
        <family val="2"/>
      </rPr>
      <t>förbrukning</t>
    </r>
    <r>
      <rPr>
        <sz val="9"/>
        <rFont val="Arial"/>
        <family val="2"/>
      </rPr>
      <t xml:space="preserve"> menas detsamma som resultatbudgetens </t>
    </r>
    <r>
      <rPr>
        <i/>
        <sz val="9"/>
        <rFont val="Arial"/>
        <family val="2"/>
      </rPr>
      <t>rörliga kostnader</t>
    </r>
    <r>
      <rPr>
        <sz val="9"/>
        <rFont val="Arial"/>
        <family val="2"/>
      </rPr>
      <t xml:space="preserve">). </t>
    </r>
  </si>
  <si>
    <r>
      <t xml:space="preserve">Företag som kommer att ha lager bör räkna särskilt på de </t>
    </r>
    <r>
      <rPr>
        <i/>
        <sz val="9"/>
        <rFont val="Arial"/>
        <family val="2"/>
      </rPr>
      <t>rörliga kostnaderna</t>
    </r>
    <r>
      <rPr>
        <sz val="9"/>
        <rFont val="Arial"/>
        <family val="2"/>
      </rPr>
      <t xml:space="preserve"> som ska budgeteras i </t>
    </r>
  </si>
  <si>
    <t xml:space="preserve">Resultatbudgeten. Hur kan man göra det? </t>
  </si>
  <si>
    <t>under budgetperioden (budgetåret) sålda produkterna. Handelsföretaget köper in varor som ska säljas. Det</t>
  </si>
  <si>
    <t>tillverkande företaget och hantverkaren köper in material som ingår i den produkt som ska säljas. I en del</t>
  </si>
  <si>
    <t>företagsinriktningar är kunderbjudandet sammanställt av inköpta tjänster. Exempel är reseföretaget som</t>
  </si>
  <si>
    <t xml:space="preserve">köper guider och transporttjänster från andra företag. </t>
  </si>
  <si>
    <t xml:space="preserve">De rörliga kostnaderna kan beräknas med hjälp av en genomsnittlig produktkalkyl men det blir sällan </t>
  </si>
  <si>
    <t>exakt som i verkligheten. Tänk t.ex. på hur en realisation inverkar!</t>
  </si>
  <si>
    <t xml:space="preserve">Med rörliga kostnader i resultatbudgeten avses värdet av de varor, det material eller annat som ingår i de </t>
  </si>
  <si>
    <t>Nyckeltal</t>
  </si>
  <si>
    <r>
      <t xml:space="preserve">Ett annat sätt att få fram rörliga kostnader är att använda "nyckeltal" (grundat på erfarenhet), i detta fallet </t>
    </r>
    <r>
      <rPr>
        <i/>
        <sz val="9"/>
        <rFont val="Arial"/>
        <family val="2"/>
      </rPr>
      <t/>
    </r>
  </si>
  <si>
    <r>
      <t xml:space="preserve">antingen nyckeltalet </t>
    </r>
    <r>
      <rPr>
        <i/>
        <sz val="10"/>
        <rFont val="Arial"/>
        <family val="2"/>
      </rPr>
      <t>materialandel</t>
    </r>
    <r>
      <rPr>
        <sz val="10"/>
        <rFont val="Arial"/>
        <family val="2"/>
      </rPr>
      <t xml:space="preserve"> eller nyckeltalet </t>
    </r>
    <r>
      <rPr>
        <i/>
        <sz val="10"/>
        <rFont val="Arial"/>
        <family val="2"/>
      </rPr>
      <t>bruttovinstprocent.</t>
    </r>
    <r>
      <rPr>
        <sz val="10"/>
        <rFont val="Arial"/>
        <family val="2"/>
      </rPr>
      <t xml:space="preserve"> Ta reda på vad något av dessa</t>
    </r>
  </si>
  <si>
    <t xml:space="preserve">nyckeltal brukar vara i företag av den typ du har. </t>
  </si>
  <si>
    <t>Budgetera rörliga kostnader med nyckeltal</t>
  </si>
  <si>
    <t>Skriv in försäljning</t>
  </si>
  <si>
    <t>100%</t>
  </si>
  <si>
    <t>Bruttovinst</t>
  </si>
  <si>
    <t>6%</t>
  </si>
  <si>
    <t>12%</t>
  </si>
  <si>
    <t>25%</t>
  </si>
  <si>
    <t>Förbrukning (rörliga kostnader)    ─</t>
  </si>
  <si>
    <t>Prova räknesnurran!</t>
  </si>
  <si>
    <t>Exempel : Varuandel i mindre dagligvaruföretag 68% (äldre uppgift)</t>
  </si>
  <si>
    <t>Skriv materialandel eller bruttovinstprocent ▼</t>
  </si>
  <si>
    <t>Läs mer på fliken Instruktion om att budgetera med hjälp av nyckeltal!</t>
  </si>
  <si>
    <t>Räknesnurra</t>
  </si>
  <si>
    <r>
      <t xml:space="preserve">Skriv in materialandel </t>
    </r>
    <r>
      <rPr>
        <u/>
        <sz val="8"/>
        <color indexed="60"/>
        <rFont val="Arial"/>
        <family val="2"/>
      </rPr>
      <t>eller</t>
    </r>
    <r>
      <rPr>
        <sz val="8"/>
        <color indexed="60"/>
        <rFont val="Arial"/>
        <family val="2"/>
      </rPr>
      <t xml:space="preserve"> bruttovinstprocent</t>
    </r>
  </si>
  <si>
    <t>Totala månadssummor kopieras automatiskt till summaraden för rörliga kostnader.</t>
  </si>
  <si>
    <t>H</t>
  </si>
  <si>
    <t>Materialandel. Varuandel</t>
  </si>
  <si>
    <t>Budgetera anställdas löner. Skriv in genomsnittlig skattesats i procent, alltså det avdrag för preliminär-</t>
  </si>
  <si>
    <t xml:space="preserve">skatt du som arbetsgivare ska göra på lönen för inbetalning till Skatteverket. Gör samma sak för ägarlön i </t>
  </si>
  <si>
    <t xml:space="preserve">Ange en procentsats för anställdas arbetsmarknadsförsäkringar och budgetera en försäkringspremie för </t>
  </si>
  <si>
    <t xml:space="preserve">ägare, månadsvis eller enligt de försäkringsvillkor du kommer att få. Ägare bör ha ett försäkringsskydd </t>
  </si>
  <si>
    <t>som åtminstone ligger i nivå med vad anställda har.</t>
  </si>
  <si>
    <t xml:space="preserve">Anställdas preliminärskatt och arbetsgivaravgiftet betalas till skatteverket månaden efter utbetalningen av  </t>
  </si>
  <si>
    <t>den lön de avser. Detta sköts auomatiskt i mallen för likviditetsbudget.</t>
  </si>
  <si>
    <t>Eget uttag för ägare i enskild firma och handelsbolag kommer på särskild rad. Se nedan!</t>
  </si>
  <si>
    <t>Den enskilde näringsidkaren (enskild firma) och den enskilde delägaren i handelsbolag har inte någon</t>
  </si>
  <si>
    <t xml:space="preserve">lön i det egna företaget utan deklarerar för vinsten. Under året kan företagaren göra uttag från företaget </t>
  </si>
  <si>
    <t xml:space="preserve">för sin försörjning. Begränsningen är att det ska finnas pengar att ta ut. Är företaget tillräckligt lönsamt </t>
  </si>
  <si>
    <t>skapas likviditet, tillgång till pengar i företaget, men likviditet kan också bl.a. bero på upptagna lån.</t>
  </si>
  <si>
    <t>Med övriga kostnader menas här inköp till omkostnaderna i företaget, kostnader för driften.</t>
  </si>
  <si>
    <t xml:space="preserve">Lokalhyran kan i vissa fall vara "momsbelagd", i andra fall vara utan moms. Ta reda på vad som gäller för </t>
  </si>
  <si>
    <t>Klicka och välj!</t>
  </si>
  <si>
    <t xml:space="preserve">Välj om du ska använda kontantmetoden eller faktureringsmetoden i bokföringen. Läs mer om </t>
  </si>
  <si>
    <t>Momsredovisning</t>
  </si>
  <si>
    <t>4 Bokföringsmetod</t>
  </si>
  <si>
    <t>5 Momsredovisning</t>
  </si>
  <si>
    <t>6 Försäljning</t>
  </si>
  <si>
    <t>7 Inköp av varor , material och främmande tjänster</t>
  </si>
  <si>
    <t>10 Information om lagernivå</t>
  </si>
  <si>
    <t>11 Lön och sociala kostnader</t>
  </si>
  <si>
    <t>13 Övriga kostnader. Inköp</t>
  </si>
  <si>
    <r>
      <t xml:space="preserve">9 Bruttovinst. </t>
    </r>
    <r>
      <rPr>
        <sz val="10"/>
        <color indexed="8"/>
        <rFont val="Arial"/>
        <family val="2"/>
      </rPr>
      <t>Information om bruttovinst (även benämnd täckningsgrad)</t>
    </r>
  </si>
  <si>
    <r>
      <t xml:space="preserve">8 Förbrukning </t>
    </r>
    <r>
      <rPr>
        <sz val="10"/>
        <color indexed="8"/>
        <rFont val="Arial"/>
        <family val="2"/>
      </rPr>
      <t xml:space="preserve">av varor, material och främmande tjänster = </t>
    </r>
    <r>
      <rPr>
        <b/>
        <sz val="10"/>
        <color indexed="8"/>
        <rFont val="Arial"/>
        <family val="2"/>
      </rPr>
      <t>rörliga kostnader</t>
    </r>
  </si>
  <si>
    <t>Symboliserar rad-linjalen på flik ARBETSBLAD.</t>
  </si>
  <si>
    <t>Räkenskapsår ställer du t.ex. in på rad 4</t>
  </si>
  <si>
    <t>14 Investeringar i anläggningstillgångar</t>
  </si>
  <si>
    <t xml:space="preserve">Här visas lagernivån vilken = föregående månads lagernivå + inköp - förbrukning. Använd informationen </t>
  </si>
  <si>
    <t xml:space="preserve">för att få lagret på lämplig nivå. Dels en nivå som inte riskerar innebära brist, dels en nivå som inte kostar </t>
  </si>
  <si>
    <t xml:space="preserve">Anläggningstillgångar är tillgångar som kan användas flera år och som årligen medför en kostnad i form </t>
  </si>
  <si>
    <t xml:space="preserve">av avskrivning (planenlig avskrivning). </t>
  </si>
  <si>
    <t xml:space="preserve">Använd de föreslagna tillgångsbenämningarna eller ändra och anpassa till ditt företag. </t>
  </si>
  <si>
    <t>Inventarier med en ekonomisk livslängd på högst tre år och ett värde (exkl moms) på högst ett halvt bas-</t>
  </si>
  <si>
    <t xml:space="preserve">belopp, kan föras som omkostnad (på rad för Övriga kostnader). Ett halvt prisbasbelopp är 22 250 kronor </t>
  </si>
  <si>
    <t xml:space="preserve">Lägg in anskaffningar av anläggningstillgångar i inköpsmånad. Ange kredittid och momssats. Beloppen och </t>
  </si>
  <si>
    <t>momsen kan du då se i likviditetsbudgeten.</t>
  </si>
  <si>
    <t xml:space="preserve">Årets anskaffningar av anläggningstillgångar, beräknade efter avskrivningar, finns med i uppställningen </t>
  </si>
  <si>
    <t>Kapitalbehov/Finansiering, dvs. budgeterad balansräkning.</t>
  </si>
  <si>
    <t>15 Avskrivning</t>
  </si>
  <si>
    <t>Bedöm ditt behov av lån och egen insats av pengar. I aktiebolag innebär egen insats aktiekapital. Egen</t>
  </si>
  <si>
    <t>möjlighet att belasta företaget med ränta.</t>
  </si>
  <si>
    <t>Benämningen på lån kan du ändra för att t.ex. notera banknamn eller Almi.</t>
  </si>
  <si>
    <t>17 Amortering</t>
  </si>
  <si>
    <t>Amortering, delbetalning av lån, lägger du på särskild rad. Checkräkningskredit har normalt ingen fast</t>
  </si>
  <si>
    <t>Lägg in lånen och den egna insatsen i de månaderna då inbetalningen görs till företaget. Inbetalningarna</t>
  </si>
  <si>
    <t>kommer då med i likviditetsbudgeten.</t>
  </si>
  <si>
    <t xml:space="preserve">I Kapitalbehov/Finansiering, dvs. detsamma som budgeterad balansräkning, finns årets samlade upptagna </t>
  </si>
  <si>
    <t>18 Ränta</t>
  </si>
  <si>
    <t xml:space="preserve">Budgetmallen beräknar räntekostnad från den månad då lån betalas in till företaget, s.k. upplupen ränta. </t>
  </si>
  <si>
    <t>C</t>
  </si>
  <si>
    <t xml:space="preserve">   är det resultat före egenavgift och ägares skatt </t>
  </si>
  <si>
    <r>
      <t xml:space="preserve"> Resultat</t>
    </r>
    <r>
      <rPr>
        <sz val="10"/>
        <rFont val="Arial"/>
        <family val="2"/>
      </rPr>
      <t xml:space="preserve"> </t>
    </r>
    <r>
      <rPr>
        <sz val="8"/>
        <rFont val="Arial"/>
        <family val="2"/>
      </rPr>
      <t xml:space="preserve">vid aktiebolag. Vid enskild firma och handelsbolag </t>
    </r>
  </si>
  <si>
    <t xml:space="preserve">Arbetsmarknadsförsäkring f anställda </t>
  </si>
  <si>
    <t xml:space="preserve">Personförsäkringar för ägare. </t>
  </si>
  <si>
    <t>Anställdas löner</t>
  </si>
  <si>
    <t>Semesterlönekostnad</t>
  </si>
  <si>
    <t>Ägarlön</t>
  </si>
  <si>
    <t>Arbetsgivaravgift på löner</t>
  </si>
  <si>
    <t>Avskrivningar</t>
  </si>
  <si>
    <t xml:space="preserve">  Summa lön och sociala kostnader</t>
  </si>
  <si>
    <t xml:space="preserve">  Summa övriga kostnader</t>
  </si>
  <si>
    <t xml:space="preserve">  Summa omkostnader</t>
  </si>
  <si>
    <t xml:space="preserve">I aktiebolag och ekonomisk förening är preliminär F-skatt detsamma som preliminär bolagsskatt. </t>
  </si>
  <si>
    <t xml:space="preserve">Bolaget liksom föreningen kommer att beskattas för vinsten. Preliminär F-skatt kan sättas till budgeterat </t>
  </si>
  <si>
    <t>I det verkliga utfallet kommer aktiebolaget och den ekonomiska föreningen att deklarera för vinsten.</t>
  </si>
  <si>
    <t xml:space="preserve">Då kommer det in bedömning av bokslutsdispositioner för att reglera vinstnivå/skattenivå över goda och </t>
  </si>
  <si>
    <t>19 Preliminär F-skatt. Enskild firma och handelsbolag</t>
  </si>
  <si>
    <t xml:space="preserve">Den enskilde näringsidkaren deklarerar för rörelsens vinst. I handelsbolag fördelar delägarna först </t>
  </si>
  <si>
    <t xml:space="preserve">bolagsvinsten mellan sig efter överenskommelse. Även för dessa företagsformer finns möjlighet att använda </t>
  </si>
  <si>
    <t xml:space="preserve">olika metoder för utjämning mellan åren av den vinst som ska beskattas. </t>
  </si>
  <si>
    <t>21 Balansräkning Förenklad</t>
  </si>
  <si>
    <t xml:space="preserve">Du kan få en grov uppfattning, månad för månad, om företagets tillgångar och skulder och hur företagets </t>
  </si>
  <si>
    <t xml:space="preserve">egna kapital utvecklas. Det egna kapitalet = tillgångar - skulder. En svag resultatutveckling påverkar direkt det </t>
  </si>
  <si>
    <t xml:space="preserve">egna kapitalet. Kommer inte företaget igång som förväntat minskar kanske det egna kapitalet kraftigt. </t>
  </si>
  <si>
    <t xml:space="preserve">Visserligen är det inte utfall, utan budget, så ännu kan du fundera över om du kan driva företaget på annat sätt </t>
  </si>
  <si>
    <t xml:space="preserve">än du först tänkt dig. Se även på likviditetsbudgeten! Har du tillgång till likvida medel i tillräcklig utsträckning? </t>
  </si>
  <si>
    <t>En kortare tid med svagt resultat i starten kan vara hanterbart om likviditeten är godtagbar.</t>
  </si>
  <si>
    <t>Ha ett nyttigt nöje med budgetmall från Almi!</t>
  </si>
  <si>
    <t>Månadsbalans</t>
  </si>
  <si>
    <t xml:space="preserve">? </t>
  </si>
  <si>
    <t>välja i budgetmallen vid</t>
  </si>
  <si>
    <t>Alltid December för Enskild firma</t>
  </si>
  <si>
    <t>!</t>
  </si>
  <si>
    <r>
      <t xml:space="preserve">och handelsbolag </t>
    </r>
    <r>
      <rPr>
        <sz val="10"/>
        <color indexed="60"/>
        <rFont val="Arial"/>
        <family val="2"/>
      </rPr>
      <t xml:space="preserve"> </t>
    </r>
    <r>
      <rPr>
        <b/>
        <sz val="10"/>
        <color indexed="60"/>
        <rFont val="Arial"/>
        <family val="2"/>
      </rPr>
      <t>!</t>
    </r>
  </si>
  <si>
    <t>A</t>
  </si>
  <si>
    <t>B</t>
  </si>
  <si>
    <t>Du har förbrukning som följer inköpen nära. Du kan använda inköpsbudgeten som kostnadsbudget.</t>
  </si>
  <si>
    <t xml:space="preserve">Du vill budgetera de rörliga kostnaderna månad för månad manuellt. Det finns fyra rader att budgetera </t>
  </si>
  <si>
    <t>på. Dessa rader har ingen koppling till inköpsraderna.</t>
  </si>
  <si>
    <t>du fram de totala rörliga kostnaderna varje månad År 1, även vid förlängt räkenskapsår.</t>
  </si>
  <si>
    <t>G</t>
  </si>
  <si>
    <t>välja mellan olika metoder i Excel.</t>
  </si>
  <si>
    <t xml:space="preserve">Under budgetarbetet kommer du antagligen förr eller senare att ångra dig, beloppet blev inskrivet i fel cell.  </t>
  </si>
  <si>
    <t xml:space="preserve">Om du nu drar hela cellen till en ny plats ändrar du plats för beloppet men antagligen också cellens plats i </t>
  </si>
  <si>
    <t>det som hade kommit fel.</t>
  </si>
  <si>
    <t xml:space="preserve">kalkylbladet sidledes så att kolumn I (kolumn i) står i sitt yttersta vänstra läge. Då ska det gå lättare. Men, </t>
  </si>
  <si>
    <t xml:space="preserve">även annars ska det fungera. Markera cellen/rutan så ser du att muspekaren blir en hand. Med den kan du </t>
  </si>
  <si>
    <t xml:space="preserve">En annan orsak till att det blir staket eller "VÄRDEFEL" eller "REFERENS?" kan vara att du har flyttat celler  </t>
  </si>
  <si>
    <t>Jag tänker sälja begagnade varor som böcker, porslin och andra ting för hem och hushåll. Varorna ska</t>
  </si>
  <si>
    <t xml:space="preserve">jag köpa från privatpersoner, dödsbon och på auktioner. Enligt Skatteverket ska jag redovisa moms </t>
  </si>
  <si>
    <t xml:space="preserve">Lägg in dina budgeterade inköp på en inköpsrad med 0% moms, Kontant eller med kredittid. Budgeterad </t>
  </si>
  <si>
    <t>Vinstmarginalbeskattning</t>
  </si>
  <si>
    <t>försäljning lägger du på en försäljningsrad med 0% moms. Skriv in samma belopp som inköpet.</t>
  </si>
  <si>
    <r>
      <t>På en annan försäljningsrad med 25% moms skriver du in hela</t>
    </r>
    <r>
      <rPr>
        <b/>
        <sz val="9"/>
        <rFont val="Arial"/>
        <family val="2"/>
      </rPr>
      <t xml:space="preserve"> vinstmarginalbeloppet x 0,8</t>
    </r>
    <r>
      <rPr>
        <sz val="9"/>
        <rFont val="Arial"/>
        <family val="2"/>
      </rPr>
      <t>.</t>
    </r>
  </si>
  <si>
    <t>Inköp</t>
  </si>
  <si>
    <t xml:space="preserve">Om ditt inköpspris t.ex. blir 10 000 kronor och ditt försäljningspris 20 000 kronor är vinstmarginalen </t>
  </si>
  <si>
    <t>10 000 kronor.</t>
  </si>
  <si>
    <t xml:space="preserve">Budgetmallen räknar ut momsen och lägger den i rätt betalningsmånad till Skatteverket. Du får en </t>
  </si>
  <si>
    <t>Försäljning 1 (sätt=inköpsbelopp)</t>
  </si>
  <si>
    <t>Försäljning 2 (=vinstmarginal x 0,8)</t>
  </si>
  <si>
    <t>momsskuld på 2 000 kronor tills nästa momsredovisning. Prova ett eget exempel på arbetsbladet!</t>
  </si>
  <si>
    <t>Leasingavgift vid bilköp</t>
  </si>
  <si>
    <t>Hur ska jag hantera fakturabelåning?</t>
  </si>
  <si>
    <t>resterande 25% när kunden har betalat fakturan.</t>
  </si>
  <si>
    <t>Jag får 75% av fakturabeloppet direkt från banken när jag skickar dit underlaget för kundfakturan och</t>
  </si>
  <si>
    <t xml:space="preserve">Gör så här på arbetsbladet! Lägg 75% av försäljningsbeloppet (exklusive moms) som kontantbetalning i </t>
  </si>
  <si>
    <t xml:space="preserve">faktureringsmånaden. Ställ in momssatsen. </t>
  </si>
  <si>
    <t xml:space="preserve">Lägg in 25% av försäljningsbeloppet (exklusive moms)som fakturabetalning med den kredittid du väljer. </t>
  </si>
  <si>
    <t>Ställ in momssatsen.</t>
  </si>
  <si>
    <t>Typ av momsdeklaration. Välj typ 1, 2 eller 3!</t>
  </si>
  <si>
    <t>Leasing är ett alternativ till köp. För leasingavgiften kan du använda raden för leasing bland Övriga omkost-</t>
  </si>
  <si>
    <t>Betalning med 1/12 av prel F-skatt per månad under 12 månader</t>
  </si>
  <si>
    <t>Betalning med 1/4 varje månad</t>
  </si>
  <si>
    <t xml:space="preserve"> Betalning under januari</t>
  </si>
  <si>
    <t xml:space="preserve">Den preliminära F-skatten ska betalas under räkenskapsåret, normalt med start andra månaden efter </t>
  </si>
  <si>
    <t>företagsstarten och den tolfte betalningen månaden efter räkenskapsårets slut.</t>
  </si>
  <si>
    <t>Betalning av preliminär F-skatt  för aktiebolag och ekonomisk förening</t>
  </si>
  <si>
    <t>kap</t>
  </si>
  <si>
    <t>sår</t>
  </si>
  <si>
    <t>Förkortat räkens</t>
  </si>
  <si>
    <t xml:space="preserve">Hur budgeterar jag min leasingbil? </t>
  </si>
  <si>
    <t xml:space="preserve">nader. Billeasing är ett skattemässigt specialfall. Vid billeasing är halva momsen på avgiften ingående </t>
  </si>
  <si>
    <t xml:space="preserve">avdragbar moms. Med en momssats på 25% kommer halva momssatsen, 12,5% att bli en kostnad i </t>
  </si>
  <si>
    <t xml:space="preserve">resultatbudgeten tillsammans med leasingavgiften. På omkostnadsraden bör du därför lägga in månadens </t>
  </si>
  <si>
    <t>det senare blir i verklig drift, men skillnaden är acceptabel i budgeten.</t>
  </si>
  <si>
    <t xml:space="preserve">leasingavgift x 1,125 och ställa momssatsen på 12%. Visserligen blir då momsbeloppet något högre än vad </t>
  </si>
  <si>
    <t>Exempel med månadsavgiften på 10 000.    10 000 + 10 000 x 25% / 2 = 10 000 x 1,125</t>
  </si>
  <si>
    <t>Billeasing. Avgift x 1,125</t>
  </si>
  <si>
    <t>Omvänd moms</t>
  </si>
  <si>
    <t xml:space="preserve">Normalt är det den som säljer varor eller tjänster som tar ut moms vid försäljningen och betalar in den till </t>
  </si>
  <si>
    <t xml:space="preserve">staten. Vid omvänd skattskyldighet är det i stället köparen som är skyldig att betala moms till staten. </t>
  </si>
  <si>
    <t>Omvänd skattskyldighet  används i vissa bestämda fall. Det är t.ex. inom byggsektorn och vid handel</t>
  </si>
  <si>
    <t>budgetmallen?</t>
  </si>
  <si>
    <t xml:space="preserve">I den bransch som jag ska starta i används omvänd moms. Hur kan jag göra när jag använder </t>
  </si>
  <si>
    <t xml:space="preserve">mellan EU-länder. Läs om detta på Skatteverkets hemsida. </t>
  </si>
  <si>
    <t>Omvänd skattskyldighet.</t>
  </si>
  <si>
    <r>
      <rPr>
        <b/>
        <sz val="9"/>
        <rFont val="Arial"/>
        <family val="2"/>
      </rPr>
      <t>Säljare:</t>
    </r>
    <r>
      <rPr>
        <sz val="9"/>
        <rFont val="Arial"/>
        <family val="2"/>
      </rPr>
      <t xml:space="preserve"> Sätt 0%moms på din försäljning. Ange momssats i vanlig ordning på dina inköp.</t>
    </r>
  </si>
  <si>
    <r>
      <rPr>
        <b/>
        <sz val="9"/>
        <rFont val="Arial"/>
        <family val="2"/>
      </rPr>
      <t>Köpare:</t>
    </r>
    <r>
      <rPr>
        <sz val="9"/>
        <rFont val="Arial"/>
        <family val="2"/>
      </rPr>
      <t xml:space="preserve"> Sätt 0% moms på dina inköp. </t>
    </r>
  </si>
  <si>
    <t>Vill du ha ökande belopp på en rad? Du vill t.ex. öka med 1% per månad. I första cellen har du utgångs-</t>
  </si>
  <si>
    <t>beloppet. Antag att det är 100. I nästa cell skriver du in ett belopp som har ökat med 1%, dvs 101.</t>
  </si>
  <si>
    <t>Alternativ</t>
  </si>
  <si>
    <t xml:space="preserve">Markera nu de två ifyllda cellerna. Ta tag i nedre högra hörnet av markeringsramen. Dra åt höger med </t>
  </si>
  <si>
    <t>vänster musknapp. Beloppet i de nu fyllda cellerna har ökat med 1% per månad. Du kan också dra med</t>
  </si>
  <si>
    <t>musens högerknapp, släppa och välja Fyll serie.</t>
  </si>
  <si>
    <t>Fylla celler med jämnt stigande belopp</t>
  </si>
  <si>
    <t xml:space="preserve"> Enskild näringsidkare har räkenskapsår som sammanfaller med kalenderår. Vid årsvis moms-</t>
  </si>
  <si>
    <t xml:space="preserve">redovisning, ska moms redovisas senast den 12 maj året efter beskattningsåret. Om EU-handel kommer </t>
  </si>
  <si>
    <t>att finns i företagets verksamhet, kontakta Skatteupplysningen, 0771‑567 567 om momsredovisning.</t>
  </si>
  <si>
    <t>Momsredovisning för hela det föregående året</t>
  </si>
  <si>
    <t xml:space="preserve">För övriga företagsformer med momsredovisning årsvis gäller andra redovisningstillfällen. Exemplet nedan </t>
  </si>
  <si>
    <t>gäller när räkenskapsåret=kalenderåret. Vid brutet räkenskapsår varierar momsredovisningsdatum</t>
  </si>
  <si>
    <t xml:space="preserve">beroende på vilken månad som är den sista i räkenskapsåret, dock minst i 6:e månaden efter. Sök  </t>
  </si>
  <si>
    <t>information på Skatteverkets webbsidor eller ring Skatteupplysningen, 0771‑567 567.</t>
  </si>
  <si>
    <t xml:space="preserve">Jan </t>
  </si>
  <si>
    <t>Mallarna kommer att finnas under en övergångstid.</t>
  </si>
  <si>
    <t xml:space="preserve">I Arbetsbladet kommer du kanske att vilja fylla många celler /rutor på en rad med samma belopp. Du kan </t>
  </si>
  <si>
    <t>2  Skriv in beloppet i första cellen och dra så långt du vill åt höger eller vänster med hjälp av "fyllnings-</t>
  </si>
  <si>
    <t xml:space="preserve">handtaget" i nedre högra hörnet av den rektangel som bildats i den cell där markören står. (En nackdel med </t>
  </si>
  <si>
    <t xml:space="preserve">denna metod vid vertikal fyllning är att den fyller även med kantlinjer från ursprungscellen vid kopiering i </t>
  </si>
  <si>
    <t>denna mall).</t>
  </si>
  <si>
    <t>FRÅGOR OCH SVAR OM SPECIELLA SITUATIONER</t>
  </si>
  <si>
    <t>OM BOKFÖRINGSMETOD, MOMSREDOVISNING, MOMSSATSER OCH F-SKATT</t>
  </si>
  <si>
    <t>Bokföringsmetod på flik Frågor och svar, rad 68!</t>
  </si>
  <si>
    <t>Övriga kostnader, inköp</t>
  </si>
  <si>
    <r>
      <rPr>
        <sz val="9"/>
        <color indexed="8"/>
        <rFont val="Arial"/>
        <family val="2"/>
      </rPr>
      <t>På Almis hemsida finns även</t>
    </r>
    <r>
      <rPr>
        <sz val="10"/>
        <color indexed="8"/>
        <rFont val="Arial"/>
        <family val="2"/>
      </rPr>
      <t xml:space="preserve"> </t>
    </r>
    <r>
      <rPr>
        <b/>
        <sz val="12"/>
        <color indexed="21"/>
        <rFont val="Garamond"/>
        <family val="1"/>
      </rPr>
      <t>Almis resultat- och likviditetsbudget</t>
    </r>
    <r>
      <rPr>
        <sz val="9"/>
        <color indexed="8"/>
        <rFont val="Arial"/>
        <family val="2"/>
      </rPr>
      <t>, som är mera begränsad i</t>
    </r>
  </si>
  <si>
    <t xml:space="preserve">metod för nystartaren och den som i ett tidigt skede funderar på att starta företag. Mallen för likviditetsbudget </t>
  </si>
  <si>
    <t>kan användas separat.</t>
  </si>
  <si>
    <t>omfattning men innebär en viss förenkling efter val av företagsform. Den ger bra vägledning och arbets-</t>
  </si>
  <si>
    <t>EXCEL-TIPS</t>
  </si>
  <si>
    <r>
      <t xml:space="preserve">4  Skriv beloppet i en cell, kopiera det, markera de rutor där det ska finnas och </t>
    </r>
    <r>
      <rPr>
        <b/>
        <sz val="9"/>
        <rFont val="Arial"/>
        <family val="2"/>
      </rPr>
      <t>Klistra in special/Klistra</t>
    </r>
    <r>
      <rPr>
        <sz val="9"/>
        <rFont val="Arial"/>
        <family val="2"/>
      </rPr>
      <t xml:space="preserve"> in  </t>
    </r>
  </si>
  <si>
    <r>
      <t xml:space="preserve">    värden. Läs mer under rubriken </t>
    </r>
    <r>
      <rPr>
        <i/>
        <sz val="9"/>
        <rFont val="Arial"/>
        <family val="2"/>
      </rPr>
      <t>Flytta inskrivna belopp</t>
    </r>
    <r>
      <rPr>
        <sz val="9"/>
        <rFont val="Arial"/>
        <family val="2"/>
      </rPr>
      <t>!</t>
    </r>
  </si>
  <si>
    <r>
      <t xml:space="preserve">Därför…..använd </t>
    </r>
    <r>
      <rPr>
        <b/>
        <sz val="9"/>
        <rFont val="Arial"/>
        <family val="2"/>
      </rPr>
      <t xml:space="preserve">Kopiera </t>
    </r>
    <r>
      <rPr>
        <sz val="9"/>
        <rFont val="Arial"/>
        <family val="2"/>
      </rPr>
      <t>och</t>
    </r>
    <r>
      <rPr>
        <b/>
        <sz val="9"/>
        <rFont val="Arial"/>
        <family val="2"/>
      </rPr>
      <t xml:space="preserve"> Klistra in</t>
    </r>
    <r>
      <rPr>
        <sz val="9"/>
        <rFont val="Arial"/>
        <family val="2"/>
      </rPr>
      <t xml:space="preserve"> när du ska flytta inskrivna belopp, om du inte vill radera och skriva </t>
    </r>
  </si>
  <si>
    <r>
      <t xml:space="preserve">in på nytt. För att dessutom undvika att störa kantlinjerna är det allra bäst att välja </t>
    </r>
    <r>
      <rPr>
        <b/>
        <sz val="9"/>
        <rFont val="Arial"/>
        <family val="2"/>
      </rPr>
      <t>Kopiera,</t>
    </r>
    <r>
      <rPr>
        <sz val="9"/>
        <rFont val="Arial"/>
        <family val="2"/>
      </rPr>
      <t xml:space="preserve"> sedan </t>
    </r>
    <r>
      <rPr>
        <b/>
        <i/>
        <sz val="9"/>
        <rFont val="Arial"/>
        <family val="2"/>
      </rPr>
      <t/>
    </r>
  </si>
  <si>
    <r>
      <t xml:space="preserve">Klistra in, därefter </t>
    </r>
    <r>
      <rPr>
        <b/>
        <sz val="9"/>
        <rFont val="Arial"/>
        <family val="2"/>
      </rPr>
      <t>Klistra in Värden</t>
    </r>
    <r>
      <rPr>
        <sz val="9"/>
        <rFont val="Arial"/>
        <family val="2"/>
      </rPr>
      <t xml:space="preserve">. Metoden för detta finns på Start-menyn (Office 2007). Till slut raderar du </t>
    </r>
  </si>
  <si>
    <r>
      <t xml:space="preserve">Ett annat arbetssätt är att kopiera och sedan klicka på musens högerknapp, välja </t>
    </r>
    <r>
      <rPr>
        <b/>
        <sz val="9"/>
        <rFont val="Arial"/>
        <family val="2"/>
      </rPr>
      <t>Klistra in special</t>
    </r>
    <r>
      <rPr>
        <sz val="9"/>
        <rFont val="Arial"/>
        <family val="2"/>
      </rPr>
      <t xml:space="preserve"> och</t>
    </r>
  </si>
  <si>
    <r>
      <t xml:space="preserve">sedan </t>
    </r>
    <r>
      <rPr>
        <b/>
        <sz val="9"/>
        <rFont val="Arial"/>
        <family val="2"/>
      </rPr>
      <t>Klistra in Värden</t>
    </r>
    <r>
      <rPr>
        <sz val="9"/>
        <rFont val="Arial"/>
        <family val="2"/>
      </rPr>
      <t xml:space="preserve">. </t>
    </r>
    <r>
      <rPr>
        <b/>
        <i/>
        <sz val="9"/>
        <rFont val="Arial"/>
        <family val="2"/>
      </rPr>
      <t/>
    </r>
  </si>
  <si>
    <r>
      <t xml:space="preserve">från en plats till en annan. Använd i stället </t>
    </r>
    <r>
      <rPr>
        <b/>
        <sz val="9"/>
        <rFont val="Arial"/>
        <family val="2"/>
      </rPr>
      <t>Kopiera</t>
    </r>
    <r>
      <rPr>
        <sz val="9"/>
        <rFont val="Arial"/>
        <family val="2"/>
      </rPr>
      <t xml:space="preserve"> / </t>
    </r>
    <r>
      <rPr>
        <b/>
        <sz val="9"/>
        <rFont val="Arial"/>
        <family val="2"/>
      </rPr>
      <t>Klistra in special</t>
    </r>
    <r>
      <rPr>
        <sz val="9"/>
        <rFont val="Arial"/>
        <family val="2"/>
      </rPr>
      <t xml:space="preserve"> / </t>
    </r>
    <r>
      <rPr>
        <b/>
        <sz val="9"/>
        <rFont val="Arial"/>
        <family val="2"/>
      </rPr>
      <t>Klistra in värden</t>
    </r>
    <r>
      <rPr>
        <sz val="9"/>
        <rFont val="Arial"/>
        <family val="2"/>
      </rPr>
      <t xml:space="preserve"> för att flytta siffror  </t>
    </r>
  </si>
  <si>
    <r>
      <t xml:space="preserve">mellan celler så som beskrivits ovan under rubriken </t>
    </r>
    <r>
      <rPr>
        <i/>
        <sz val="9"/>
        <rFont val="Arial"/>
        <family val="2"/>
      </rPr>
      <t>Flytta inskrivna belopp</t>
    </r>
    <r>
      <rPr>
        <sz val="9"/>
        <rFont val="Arial"/>
        <family val="2"/>
      </rPr>
      <t>!</t>
    </r>
  </si>
  <si>
    <r>
      <t xml:space="preserve">Ser du att du fått #####, VÄRDEFEL eller REFERENS? så ångra ( </t>
    </r>
    <r>
      <rPr>
        <sz val="9"/>
        <rFont val="Wingdings 3"/>
        <family val="1"/>
        <charset val="2"/>
      </rPr>
      <t>Q</t>
    </r>
    <r>
      <rPr>
        <sz val="9"/>
        <rFont val="Arial"/>
        <family val="2"/>
      </rPr>
      <t xml:space="preserve"> ) klick för klick tills felet försvunnit.</t>
    </r>
  </si>
  <si>
    <r>
      <t xml:space="preserve">Hittar du inte svaren på dina frågor här, skicka dem till </t>
    </r>
    <r>
      <rPr>
        <b/>
        <sz val="9"/>
        <rFont val="Arial"/>
        <family val="2"/>
      </rPr>
      <t xml:space="preserve">ake.olsson@almi.se. </t>
    </r>
    <r>
      <rPr>
        <sz val="9"/>
        <rFont val="Arial"/>
        <family val="2"/>
      </rPr>
      <t xml:space="preserve">Har du förbättringsförslag? Det </t>
    </r>
  </si>
  <si>
    <t xml:space="preserve">Frågor och synpunkter kan du skicka till </t>
  </si>
  <si>
    <t>Summa eget kapital och skulder</t>
  </si>
  <si>
    <t xml:space="preserve">OM ALMIS BUDGETMALLAR </t>
  </si>
  <si>
    <t>Det går inte att göra inställningar för budgetering här.</t>
  </si>
  <si>
    <t>Arbeta steg för steg på fliken ARBETSBLAD</t>
  </si>
  <si>
    <r>
      <t xml:space="preserve">Önskar du få tillgång till någon av Almis tidigare budgetmallar - skicka en fråga till </t>
    </r>
    <r>
      <rPr>
        <sz val="9"/>
        <color indexed="12"/>
        <rFont val="Arial"/>
        <family val="2"/>
      </rPr>
      <t>ake.olsson@almi.se</t>
    </r>
  </si>
  <si>
    <t>Fliken Instruktion</t>
  </si>
  <si>
    <t xml:space="preserve">Du har naturligtvis nytta av kunskaper i hur Excel fungerar när du arbetar med Almis budgetmallar, </t>
  </si>
  <si>
    <t xml:space="preserve">men även utan de kunskaperna kan du arbeta dig fram successivt. För att få ett smidigt budgetarbete bör du </t>
  </si>
  <si>
    <t xml:space="preserve">budgetmallen som du arbetar med. </t>
  </si>
  <si>
    <t xml:space="preserve">ta del av Excel-tipsen nedan och instruktioner / kommentarer i direkt anslutning till de delar av </t>
  </si>
  <si>
    <r>
      <rPr>
        <b/>
        <sz val="12"/>
        <color indexed="21"/>
        <rFont val="Garamond"/>
        <family val="1"/>
      </rPr>
      <t>Almis budgetmall</t>
    </r>
    <r>
      <rPr>
        <sz val="9"/>
        <rFont val="Arial"/>
        <family val="2"/>
      </rPr>
      <t xml:space="preserve"> är avsedd för företagsstarten eller det mindre, igångvarande företaget. Mallen ger</t>
    </r>
  </si>
  <si>
    <t>AD5</t>
  </si>
  <si>
    <t>B15</t>
  </si>
  <si>
    <t>AD27</t>
  </si>
  <si>
    <t>B73</t>
  </si>
  <si>
    <t>RESERVATION. FRISKRIVNING</t>
  </si>
  <si>
    <t>FRÅGOR OCH SYNPUNKTER</t>
  </si>
  <si>
    <t>Observera att denna sida enbart är instruktion.</t>
  </si>
  <si>
    <t>INNEHÅLL på denna sida</t>
  </si>
  <si>
    <t>Om Almis budgetmallar &gt;&gt;</t>
  </si>
  <si>
    <t>Frågor och svar om speciella situationer, t.ex. VMB &gt;&gt;</t>
  </si>
  <si>
    <t>Exceltips som underlättar &gt;&gt;</t>
  </si>
  <si>
    <t>Om bokföringsmetod, momsredovisning och momssatser &gt;&gt;</t>
  </si>
  <si>
    <t>Instruktion steg för steg &gt;&gt;</t>
  </si>
  <si>
    <t>Rubrikens plats</t>
  </si>
  <si>
    <r>
      <rPr>
        <b/>
        <sz val="22"/>
        <color indexed="21"/>
        <rFont val="Garamond"/>
        <family val="1"/>
      </rPr>
      <t>Almis budgetmall</t>
    </r>
    <r>
      <rPr>
        <b/>
        <sz val="14"/>
        <color indexed="21"/>
        <rFont val="Garamond"/>
        <family val="1"/>
      </rPr>
      <t xml:space="preserve">   </t>
    </r>
    <r>
      <rPr>
        <b/>
        <sz val="17"/>
        <rFont val="Arial"/>
        <family val="2"/>
      </rPr>
      <t xml:space="preserve"> </t>
    </r>
    <r>
      <rPr>
        <sz val="16"/>
        <rFont val="Arial"/>
        <family val="2"/>
      </rPr>
      <t xml:space="preserve">Frågor &amp; Svar    Användningstips </t>
    </r>
  </si>
  <si>
    <t xml:space="preserve">Ta kontakt med rådgivare för vägledning, och med Skatteupplysningen, 0771‑567 567, om du har </t>
  </si>
  <si>
    <t xml:space="preserve">Observera att det finns regler i aktiebolagslagen om vad som måste göras om det egna kapitalet  </t>
  </si>
  <si>
    <t>sjunker och blir mindre än halva aktiekapitalet.</t>
  </si>
  <si>
    <t xml:space="preserve">För enskild firma är det den enskilde näringsidkarens ansvar att betala den preliminära F-skatten  </t>
  </si>
  <si>
    <t xml:space="preserve">Ta reda på troliga betalningsvillkor och skriv in beräknad ränta som ska betalas, t.ex. per månad,  </t>
  </si>
  <si>
    <t>kvartal eller per halvår. Själva betalningen av räntan påverkar inte resultatbudgeten men visas i likviditets-</t>
  </si>
  <si>
    <t xml:space="preserve">Budgetera löner och sociala kostnader månadsvis!  Behåll angivna procentsatser eller ändra! </t>
  </si>
  <si>
    <t>Se även flik Frågor &amp; Svar!</t>
  </si>
  <si>
    <t>Se även flik Instruktion!</t>
  </si>
  <si>
    <t>22 Ingående balans</t>
  </si>
  <si>
    <t>Eget kapital ing bal</t>
  </si>
  <si>
    <t>Kassa o bank Ing bal</t>
  </si>
  <si>
    <t>Ing balans</t>
  </si>
  <si>
    <t>Varulager ing bal</t>
  </si>
  <si>
    <t>Banklån</t>
  </si>
  <si>
    <t>Amortering av lån från ingående  balans</t>
  </si>
  <si>
    <t>Kundfordringar ing bal</t>
  </si>
  <si>
    <t>Momsskuld Ing bal</t>
  </si>
  <si>
    <t>Leverantörsskulder Ing bal</t>
  </si>
  <si>
    <t>Momsfordran Ing bal</t>
  </si>
  <si>
    <t>Semesterlöneskuld Ing bal</t>
  </si>
  <si>
    <t>Ägarinsatta anl.till ing bal</t>
  </si>
  <si>
    <t>Ränteskuld ing bal</t>
  </si>
  <si>
    <t>Långfristiga skulder</t>
  </si>
  <si>
    <t>Arbgavg, prelskatt Ing bal</t>
  </si>
  <si>
    <t>Eget kapital. Ägarinsatt anläggn.kapital</t>
  </si>
  <si>
    <t>Kortfr skuld för prel.skatt o arbetsg.avg</t>
  </si>
  <si>
    <t>Ingående balans</t>
  </si>
  <si>
    <r>
      <t xml:space="preserve">Ränta     </t>
    </r>
    <r>
      <rPr>
        <sz val="8"/>
        <rFont val="Arial"/>
        <family val="2"/>
      </rPr>
      <t>Ränta beräknas automatiskt i mallen. Ränte-</t>
    </r>
  </si>
  <si>
    <t>Upptagna lån</t>
  </si>
  <si>
    <t>Investeringar/mån</t>
  </si>
  <si>
    <t>ut från flikarna:</t>
  </si>
  <si>
    <t>Utbetalning av semesterlön</t>
  </si>
  <si>
    <r>
      <t xml:space="preserve">Lagernivå </t>
    </r>
    <r>
      <rPr>
        <sz val="8"/>
        <rFont val="Arial Narrow"/>
        <family val="2"/>
      </rPr>
      <t>Inköpsvärde</t>
    </r>
  </si>
  <si>
    <t>Övriga fordringar</t>
  </si>
  <si>
    <t>Övriga skulder</t>
  </si>
  <si>
    <t>Betalning ing leverantörsskulder o övr ing skulder</t>
  </si>
  <si>
    <t>Betalning ing kundfordringar och övr ing fordringar</t>
  </si>
  <si>
    <t>Leverantörskulder och Övriga skulder</t>
  </si>
  <si>
    <t>Kundfordringar och Övriga fordringar</t>
  </si>
  <si>
    <t>Utbetalningar. Ökar fordran minskar skuld</t>
  </si>
  <si>
    <t>Inbetalningar. Ökar skuld minskar fordran</t>
  </si>
  <si>
    <t>Inköp 1</t>
  </si>
  <si>
    <t>Inköp 2</t>
  </si>
  <si>
    <t>balanspost för att få information om var i mallen betalningar skrivs in eller hur de i övrigt behandlas.</t>
  </si>
  <si>
    <t>19 Preliminär F-skatt. Aktiebolag och ekonomisk förening</t>
  </si>
  <si>
    <t>Eget kapital (EK)</t>
  </si>
  <si>
    <t>Granska och skriv</t>
  </si>
  <si>
    <t>LÄS DETTA FÖRST !</t>
  </si>
  <si>
    <t xml:space="preserve">Budgetmallen är skyddad med lösenord eftersom funktionerna i budgetmallen annars </t>
  </si>
  <si>
    <t xml:space="preserve">kan störas. Sätt dina budgetsiffror i ofärgade celler (rutor). Dessa är inte låsta. Du  </t>
  </si>
  <si>
    <t>behöver alltså inte låsa upp mallen. Låsta celler har oftast ljusgul färg.</t>
  </si>
  <si>
    <t>Rödprickad baslinje i cellen innebär att du kan skriva i den.</t>
  </si>
  <si>
    <t>ARBETSBLAD skapas då resultatbudget, Kapitalbehov/Finansiering och Likviditets-</t>
  </si>
  <si>
    <t>budget för granskning och utskrift.</t>
  </si>
  <si>
    <t>Anläggningstillgångar</t>
  </si>
  <si>
    <t>Avgift %</t>
  </si>
  <si>
    <t>Ränta %</t>
  </si>
  <si>
    <t>Checkkreditens limit</t>
  </si>
  <si>
    <t>Limit Ing balans i startmånad</t>
  </si>
  <si>
    <t>Förändring av limit för checkkredit</t>
  </si>
  <si>
    <t>Checkkredit limit</t>
  </si>
  <si>
    <t>Utg kassa minus aktuell limit</t>
  </si>
  <si>
    <t>Utnyttjad kredit, mindre än limit</t>
  </si>
  <si>
    <t xml:space="preserve">Utnyttjad kredit </t>
  </si>
  <si>
    <t>Lägg in nytt limitbelopp för checkkrediten i den månad den blir tillgänglig. Vid förändring av limit, lägg in hela limitbeloppet, inte ökning eller minskning.</t>
  </si>
  <si>
    <t>Checkkredit, under året ändrad kreditlimit</t>
  </si>
  <si>
    <t>Ingående balans checkkredit (limit)</t>
  </si>
  <si>
    <t>CHECKKREDIT</t>
  </si>
  <si>
    <r>
      <rPr>
        <b/>
        <sz val="8"/>
        <rFont val="Arial"/>
        <family val="2"/>
      </rPr>
      <t>Egen insättning</t>
    </r>
    <r>
      <rPr>
        <sz val="8"/>
        <rFont val="Arial"/>
        <family val="2"/>
      </rPr>
      <t>, pengar = eget kapital, t.ex. aktiekapital</t>
    </r>
  </si>
  <si>
    <t xml:space="preserve">Budgetera inköpen i inköpsmånad. Sätt kredittid och momssats. Inköpen kan vara lika med förbrukningen men oftast sker inköpen med </t>
  </si>
  <si>
    <r>
      <rPr>
        <b/>
        <sz val="8"/>
        <color indexed="60"/>
        <rFont val="Arial"/>
        <family val="2"/>
      </rPr>
      <t>Inköp</t>
    </r>
    <r>
      <rPr>
        <b/>
        <sz val="8"/>
        <rFont val="Arial"/>
        <family val="2"/>
      </rPr>
      <t xml:space="preserve"> av varor, material och</t>
    </r>
  </si>
  <si>
    <t>främmande tjänster</t>
  </si>
  <si>
    <t xml:space="preserve">maximala lånebeloppet, dels en räntesats för det belopp som företaget utnyttjar (lånar) för tillfället. </t>
  </si>
  <si>
    <t>Lån</t>
  </si>
  <si>
    <t>amorteringsplan men det kan förekomma ändringar av beviljad lånegräns (limit). Skriv då in den nya limiten</t>
  </si>
  <si>
    <t>i den månaden då limiten kan börja utnyttjas. Ändringar i limiten påverkar likviditetsbudgeten.</t>
  </si>
  <si>
    <t>lån angivna liksom avdrag för gjorda amorteringar och årets ändring av limiten på checkkrediten.</t>
  </si>
  <si>
    <t>För checkkredit beräknar mallen dels den fasta avgiften på limiten, dels ränta på den faktiskt utnyttjade</t>
  </si>
  <si>
    <t>krediten för varje månad. Ränteberäkningarna blir kostnader i resultatbudgeten.</t>
  </si>
  <si>
    <t>Ingående balans kan användas i olika situationer, främst för företag som redan varit igång och har bokslut.</t>
  </si>
  <si>
    <t xml:space="preserve">Ett annat sätt att använda ingående balans i mallen är om man vill budgetera för fler år. Utgående balans </t>
  </si>
  <si>
    <r>
      <rPr>
        <b/>
        <sz val="8"/>
        <color indexed="60"/>
        <rFont val="Arial"/>
        <family val="2"/>
      </rPr>
      <t>Försäljning</t>
    </r>
    <r>
      <rPr>
        <b/>
        <sz val="8"/>
        <rFont val="Arial"/>
        <family val="2"/>
      </rPr>
      <t xml:space="preserve"> av varor och tjänster</t>
    </r>
  </si>
  <si>
    <r>
      <t>Kassa och bank</t>
    </r>
    <r>
      <rPr>
        <sz val="8"/>
        <rFont val="Arial Narrow"/>
        <family val="2"/>
      </rPr>
      <t xml:space="preserve"> (inkl outnyttjad checkkredit)</t>
    </r>
  </si>
  <si>
    <t>Kvarstående ingående balans momsfordran</t>
  </si>
  <si>
    <t xml:space="preserve">Observera att du vid höjd limit eller vid sänkt limit på checkkrediten ska lägga in den nya limiten, inte </t>
  </si>
  <si>
    <t xml:space="preserve">insättning som inte är bundet som aktiekapital eller liknande kan sättas på rad för lån. Då finns det också </t>
  </si>
  <si>
    <t>16 Egen insats av pengar. Lån. Checkkredit</t>
  </si>
  <si>
    <t xml:space="preserve">Checkkredit (eller företagskonto) har oftast dels en fast avgift i form av en procentsats på det </t>
  </si>
  <si>
    <t>Har du flera lån så gör en bedömning av vilken räntenivå det blir sammantaget.</t>
  </si>
  <si>
    <t>budgeten. Om lånen amorteras minskar räntekostnaderna.</t>
  </si>
  <si>
    <t>Kvarstående ingående balans momsskuld</t>
  </si>
  <si>
    <r>
      <t>I denna mall gör du budgeten på fliken ARBETSBLAD</t>
    </r>
    <r>
      <rPr>
        <sz val="10"/>
        <color indexed="60"/>
        <rFont val="Arial"/>
        <family val="2"/>
      </rPr>
      <t>.</t>
    </r>
    <r>
      <rPr>
        <b/>
        <sz val="10"/>
        <color indexed="60"/>
        <rFont val="Arial"/>
        <family val="2"/>
      </rPr>
      <t xml:space="preserve"> Till höger om fliken </t>
    </r>
  </si>
  <si>
    <t xml:space="preserve">enligt Vinstmarginalmetoden. Hur gör jag i budgetmallen? </t>
  </si>
  <si>
    <t>Se även rad 79 nedan!</t>
  </si>
  <si>
    <t xml:space="preserve">åtskilliga celler. Programvaran stöder inte alla funktioner i Excel. Vill du ändå använda OpenOffice, prova i </t>
  </si>
  <si>
    <r>
      <t xml:space="preserve">Vid försök att använda </t>
    </r>
    <r>
      <rPr>
        <b/>
        <sz val="9"/>
        <rFont val="Arial"/>
        <family val="2"/>
      </rPr>
      <t>OpenOffice Calc</t>
    </r>
    <r>
      <rPr>
        <sz val="9"/>
        <rFont val="Arial"/>
        <family val="2"/>
      </rPr>
      <t xml:space="preserve"> för Almis budgetmall visas tecken av denna typ (##### ) i </t>
    </r>
  </si>
  <si>
    <t>Utg kassa (inkl outnyttjad limit)</t>
  </si>
  <si>
    <t>Ingående balans Ränteskuld</t>
  </si>
  <si>
    <t>Ackumulerad räntekostnad före IB Ränteskuld</t>
  </si>
  <si>
    <t>Ägaruttag. Egna uttag.</t>
  </si>
  <si>
    <r>
      <rPr>
        <b/>
        <sz val="10"/>
        <color indexed="8"/>
        <rFont val="Arial"/>
        <family val="2"/>
      </rPr>
      <t>12 Ägaruttag. Egna uttag.</t>
    </r>
    <r>
      <rPr>
        <sz val="10"/>
        <color indexed="8"/>
        <rFont val="Arial"/>
        <family val="2"/>
      </rPr>
      <t xml:space="preserve"> </t>
    </r>
  </si>
  <si>
    <t>Lån. Saldo efter amortering</t>
  </si>
  <si>
    <t>Månadens räntekostnad</t>
  </si>
  <si>
    <t xml:space="preserve">Ränta beräknas automatiskt av mallen fr.o.m. månad när lån betalats till företaget. Företaget får en ränteskuld månad för månad. </t>
  </si>
  <si>
    <t>Lån ing. bal. Saldo</t>
  </si>
  <si>
    <t>Aktiekapital/Egen kapitalinsats under året</t>
  </si>
  <si>
    <t>Belopp exkl. moms</t>
  </si>
  <si>
    <t xml:space="preserve"> Granska även</t>
  </si>
  <si>
    <t>Utnyttjad checkkredit</t>
  </si>
  <si>
    <t>inte att fungera tillfredsställande.</t>
  </si>
  <si>
    <r>
      <rPr>
        <b/>
        <i/>
        <sz val="9"/>
        <color rgb="FFC00000"/>
        <rFont val="Arial"/>
        <family val="2"/>
      </rPr>
      <t>Almis budgetmall</t>
    </r>
    <r>
      <rPr>
        <b/>
        <sz val="9"/>
        <color rgb="FFC00000"/>
        <rFont val="Arial"/>
        <family val="2"/>
      </rPr>
      <t xml:space="preserve"> är utformad för Excel. Även om filen kan öppnas av andra program kommer den</t>
    </r>
  </si>
  <si>
    <t xml:space="preserve"> Bokföringsmetod</t>
  </si>
  <si>
    <t xml:space="preserve"> Momsredovisning</t>
  </si>
  <si>
    <t>Företagets vinst efter bokslutsdispositioner</t>
  </si>
  <si>
    <t>Vinst efter skatt</t>
  </si>
  <si>
    <t>Verksamhetens överskott</t>
  </si>
  <si>
    <t>Egenavgift, beräknad på verksamhetens överskott</t>
  </si>
  <si>
    <t>Beskattningsbar förvärvsinkomst</t>
  </si>
  <si>
    <t>Kommunal skatt. % på beskattningsbar inkomst</t>
  </si>
  <si>
    <t>Summa egenavgifter och skatt</t>
  </si>
  <si>
    <t xml:space="preserve"> Resultat före egenavgift och skatter </t>
  </si>
  <si>
    <t>Företagets resultat (vinst före skatt)</t>
  </si>
  <si>
    <t xml:space="preserve">Klicka▼ välj▼ </t>
  </si>
  <si>
    <t>Ägare</t>
  </si>
  <si>
    <t>Företag</t>
  </si>
  <si>
    <t>Bedömning av skatt för företag och ägare</t>
  </si>
  <si>
    <t xml:space="preserve">Gör en grov bedömning med hjälp av sammanställningsmallen nedan. Lägg in vissa uppgifter i Skatteverkets hjälpmedel för </t>
  </si>
  <si>
    <t>skatteberäkning, hämta belopp för grundavdrag och jobbskatteavdrag.</t>
  </si>
  <si>
    <t>Till Skatteverkets skatteuträkning</t>
  </si>
  <si>
    <t xml:space="preserve">Du kan hoppa över de flesta inmatningsmöjligheterna i Skatteverkets skatteuträkning. Lägg in budgeterad lön ( inkomst av tjänst) </t>
  </si>
  <si>
    <t>Grundavdrag. Hämta från Skatteverkets skatteberäkning.</t>
  </si>
  <si>
    <t>Nedsättningsbelopp för egenavgifter</t>
  </si>
  <si>
    <t>Schablonavdrag</t>
  </si>
  <si>
    <t>Skattereduktion. "Jobbskatteavdrag"</t>
  </si>
  <si>
    <t xml:space="preserve">liksom det är för delägare i handelsbolag. Betalningarna visas i likviditetsbudgeten och påverkar det Egna </t>
  </si>
  <si>
    <t>kapitalet i den budgeterade balansräkningen Kapitalbehov och finansiering.</t>
  </si>
  <si>
    <t xml:space="preserve">Räkna ut den preliminära F-skatten eller SA-skatten med hjälp av Skatteverkets hjälpmedel för </t>
  </si>
  <si>
    <t>Ränteunderlag för resultat vid beräkning av preliminär F-skatt</t>
  </si>
  <si>
    <t>Skattebedömning</t>
  </si>
  <si>
    <t>Betalning av preliminär F-skatt</t>
  </si>
  <si>
    <t xml:space="preserve">preliminär F-skatt på ARBETSBLAD. Betalningarna fördelas normalt på 12 månader (1/12) med första  </t>
  </si>
  <si>
    <t xml:space="preserve">betalning andra månaden under räkenskapsåret. Vid nystart kan förskjutning av första betalningen begäras </t>
  </si>
  <si>
    <t>med tre månader men totala preliminära F-skatten delas då på 9 månader.</t>
  </si>
  <si>
    <t>Vii du fördela preliminär F-skatt över 12 månader med hjälp av formel?</t>
  </si>
  <si>
    <t>Enskild firma o handelsbolag</t>
  </si>
  <si>
    <t xml:space="preserve">Tillfälligt lån el. utlägg. </t>
  </si>
  <si>
    <t>Aktiebolag och ek. förening</t>
  </si>
  <si>
    <t>Intäkter 1</t>
  </si>
  <si>
    <t>Intäkter 2</t>
  </si>
  <si>
    <t>Summa intäkter, som inte är försäljning</t>
  </si>
  <si>
    <t>Inbetalningar till företaget i den månad de sker</t>
  </si>
  <si>
    <t>Saldo. Ej inbetalda intäkter( ) Förskottsbetalda intäkter(-)</t>
  </si>
  <si>
    <t>Övriga intäkter, ej försäljning</t>
  </si>
  <si>
    <t>Övriga intäkter</t>
  </si>
  <si>
    <t>Inbetalning av övriga intäkter, momsfria</t>
  </si>
  <si>
    <t>Kvarstående fordran ( ). Kvarstående skuld (-)</t>
  </si>
  <si>
    <t>Resultat före rta för utnyttjad checkkredit</t>
  </si>
  <si>
    <t>Prel. F-skatt att fördela</t>
  </si>
  <si>
    <t>24 Redovisa ingående balans för moms</t>
  </si>
  <si>
    <t>Finns det ingående balans för momsfordringar eller momsskulder så ska dessa redovisas under budget-</t>
  </si>
  <si>
    <t>Almis budgetmall ska vara ett lättillgängligt hjälpmedel för kalkylering/budgetering av företagsplaner.</t>
  </si>
  <si>
    <t>Almi gör inte anspråk på att mallen kan vara anpassad till alla situationer.</t>
  </si>
  <si>
    <t>Som startmånad väljs 11. Skriv budgetsiffrorna i kolumn 11 (kolumn S) ooh fortsätt med kolumnerna högerut.</t>
  </si>
  <si>
    <t>balans i ny budgetmall. Ett alternativ till detta förfarande är att rekvirera en flerårsmall från ake.olsson@almi.se.</t>
  </si>
  <si>
    <t xml:space="preserve">När du valt sista månaden i räkenskapsåret i cell T4 ska du välja i vilken månad under första </t>
  </si>
  <si>
    <t>Ställ alltså in startkolumn och börja sätta dina budgetsiffror i startkolumn och budgetera framåt åt höger.</t>
  </si>
  <si>
    <t xml:space="preserve">Med en senare startkolumn kommer det att bli tomma kolumner till vänster på fliken ARBETSBLAD medan </t>
  </si>
  <si>
    <t xml:space="preserve">startkolumnen automatiskt  kommer längst till vänster på utskriftsflikarna Resultatbudget_Månad och </t>
  </si>
  <si>
    <t xml:space="preserve">Vilka startmånader (startkolumner) kan du </t>
  </si>
  <si>
    <t>F&amp;S</t>
  </si>
  <si>
    <t xml:space="preserve">aktiebolag och ekonomisk förening. </t>
  </si>
  <si>
    <t xml:space="preserve">Ange arbetsgivaravgiften i procent för anställdas löner. Olika rader finns för skilda åldersgrupper av löntagare </t>
  </si>
  <si>
    <t xml:space="preserve">som kan ha olika arbetsgivaravgifter. Ange även arbetsgivareavgiften för ägare i aktiebolag och ekonomisk </t>
  </si>
  <si>
    <t>förening. För den största åldersgruppen är arbetsgivaravgiften 31,42%</t>
  </si>
  <si>
    <t>Mer information finns på Verksamt.se.</t>
  </si>
  <si>
    <t>Verksamt.se/Räkna ut vad en anställd kostar</t>
  </si>
  <si>
    <t xml:space="preserve">ARBETSBLAD vid raden för preliminär F-skatt. Fördela summan över månaderna. </t>
  </si>
  <si>
    <t>Du kan också använda slutbeloppet från Skatteverkets skatteutredning direkt och fördela över månaderna.</t>
  </si>
  <si>
    <t xml:space="preserve">Du kan använda slutbeloppet för skatt och fördela det som preliminär F-skatt på ARBETSBLAD eller föra över avdragsbelopp </t>
  </si>
  <si>
    <t xml:space="preserve">raderna för prel F-skatt. Delägarna i handelsbolag räknar fram summa preliminär skatt utifrån vars och ens andel av </t>
  </si>
  <si>
    <t>verksamhetens överskott.</t>
  </si>
  <si>
    <t>10 dagar</t>
  </si>
  <si>
    <t>70% Kontant</t>
  </si>
  <si>
    <t>33% Kontant</t>
  </si>
  <si>
    <t>45 dagar</t>
  </si>
  <si>
    <t>56,7% 30 dagar</t>
  </si>
  <si>
    <t>20 dagar</t>
  </si>
  <si>
    <t>Momssatser</t>
  </si>
  <si>
    <t>Andra momssatser</t>
  </si>
  <si>
    <t>Om företaget har verksamhet även i andra länder kan andra momssatserna behövas. Möjlighet att byta</t>
  </si>
  <si>
    <t>till andra momssatser finns längst ned på ARBETSBLAD.</t>
  </si>
  <si>
    <t xml:space="preserve">Välj Nej i listvalet i vänsterkolumnen, antingen med budgetering månad för månad </t>
  </si>
  <si>
    <t xml:space="preserve">höjningen eller sänkningen. Du ka sätta limiten till 0. Skriv då inte in 0 utan ett litet tal, t.ex. 0,1. </t>
  </si>
  <si>
    <t xml:space="preserve">Ändra momssatser </t>
  </si>
  <si>
    <t>De tre förinställda momssatserna</t>
  </si>
  <si>
    <t>kan ändras här.</t>
  </si>
  <si>
    <t>Ta fram dolda rader</t>
  </si>
  <si>
    <t>Använd muspekaren för att markera på den numrerade radlinjalen längst till vänster på fönstret.</t>
  </si>
  <si>
    <t xml:space="preserve">Markera med muspekaren över och under den rad eller de rader som du ska ta fram. Klicka på musens </t>
  </si>
  <si>
    <r>
      <t>högerknapp och klicka sedan med vänsterknappen på T</t>
    </r>
    <r>
      <rPr>
        <u/>
        <sz val="11"/>
        <color indexed="8"/>
        <rFont val="Calibri"/>
        <family val="2"/>
      </rPr>
      <t>a</t>
    </r>
    <r>
      <rPr>
        <sz val="11"/>
        <color theme="1"/>
        <rFont val="Calibri"/>
        <family val="2"/>
        <scheme val="minor"/>
      </rPr>
      <t xml:space="preserve"> fram.</t>
    </r>
  </si>
  <si>
    <t>Ta fram dold flik. Office 2007- (xlsx)</t>
  </si>
  <si>
    <t>Placera muspekaren var som helst på raden av flikar längst ned på Excel-fönstret. Klicka på högra mus-</t>
  </si>
  <si>
    <r>
      <t>knappen. Klicka sedan med vänster musknapp på T</t>
    </r>
    <r>
      <rPr>
        <u/>
        <sz val="9"/>
        <rFont val="Arial"/>
        <family val="2"/>
      </rPr>
      <t>a</t>
    </r>
    <r>
      <rPr>
        <sz val="9"/>
        <rFont val="Arial"/>
        <family val="2"/>
      </rPr>
      <t xml:space="preserve"> fram. Du får fram en ruta med förteckning över dolda </t>
    </r>
  </si>
  <si>
    <t>Ta fram dold flik. Excel 97-2003 (xls)</t>
  </si>
  <si>
    <t xml:space="preserve">flikar. Klicka OK på önskad flik och du kan börja arbeta i den. </t>
  </si>
  <si>
    <r>
      <t>Klicka på verktygsmenyns Forma</t>
    </r>
    <r>
      <rPr>
        <u/>
        <sz val="9"/>
        <rFont val="Arial"/>
        <family val="2"/>
      </rPr>
      <t>t</t>
    </r>
    <r>
      <rPr>
        <sz val="9"/>
        <rFont val="Arial"/>
        <family val="2"/>
      </rPr>
      <t xml:space="preserve">, sedan på </t>
    </r>
    <r>
      <rPr>
        <u/>
        <sz val="9"/>
        <rFont val="Arial"/>
        <family val="2"/>
      </rPr>
      <t>B</t>
    </r>
    <r>
      <rPr>
        <sz val="9"/>
        <rFont val="Arial"/>
        <family val="2"/>
      </rPr>
      <t xml:space="preserve">lad, därefter på </t>
    </r>
    <r>
      <rPr>
        <u/>
        <sz val="9"/>
        <rFont val="Arial"/>
        <family val="2"/>
      </rPr>
      <t>T</t>
    </r>
    <r>
      <rPr>
        <sz val="9"/>
        <rFont val="Arial"/>
        <family val="2"/>
      </rPr>
      <t>a fram. En ruta med dolda flikar visas.</t>
    </r>
  </si>
  <si>
    <t>Markera önskad flik och klicka OK så kommer fliken fram.</t>
  </si>
  <si>
    <t>Ta fram rader</t>
  </si>
  <si>
    <t xml:space="preserve">dolda i utgångsläget. Markera på radlinjalen där det finns färgmarkering i kolumn A (kolumnen längst till </t>
  </si>
  <si>
    <t>Om det behövs fler rader</t>
  </si>
  <si>
    <t>1 Anställdas bruttolön (lön o skatt)</t>
  </si>
  <si>
    <t>eller budgetering med hjälp av ett nyckeltal.</t>
  </si>
  <si>
    <t>Företagsutv, utbildning, produktutveckl</t>
  </si>
  <si>
    <t>Dessa rader kan användas vid tillfälligt lån utan räntekostnad och vid tillfälligt utlägg utan ränta</t>
  </si>
  <si>
    <t xml:space="preserve">Efter ändring här, måste inställningen </t>
  </si>
  <si>
    <t>Välj metod för momsredovisning! Se illustration på flik Frågor &amp; Svar, rad 119!</t>
  </si>
  <si>
    <t>Tidpunkt för momsdeklaration utifrån räkenskapsår.</t>
  </si>
  <si>
    <t>Årsvis   (Enskild firma, HB)</t>
  </si>
  <si>
    <t>Årsvis   (AB, Ekonom fören)</t>
  </si>
  <si>
    <r>
      <t xml:space="preserve">Utg momsredovisning Årsvis Faktureringsmetod </t>
    </r>
    <r>
      <rPr>
        <b/>
        <i/>
        <sz val="8"/>
        <color indexed="56"/>
        <rFont val="Arial Narrow"/>
        <family val="2"/>
      </rPr>
      <t>Enskild</t>
    </r>
  </si>
  <si>
    <r>
      <t xml:space="preserve">Utg momsredovisning Årsvis Faktureringsmetod </t>
    </r>
    <r>
      <rPr>
        <b/>
        <i/>
        <sz val="8"/>
        <color indexed="56"/>
        <rFont val="Arial Narrow"/>
        <family val="2"/>
      </rPr>
      <t>AB</t>
    </r>
  </si>
  <si>
    <t>Ing momsredovisning Årsvis Faktureringsmetod Enskild</t>
  </si>
  <si>
    <t>Ing momsredovisning Årsvis Faktureringsmetod AB</t>
  </si>
  <si>
    <r>
      <t>Vid momsredovisning Årsvis, omsättning högst 1 mKr, ställer du in momsredovisning antingen på</t>
    </r>
    <r>
      <rPr>
        <i/>
        <sz val="9"/>
        <rFont val="Arial"/>
        <family val="2"/>
      </rPr>
      <t xml:space="preserve"> </t>
    </r>
  </si>
  <si>
    <r>
      <rPr>
        <i/>
        <sz val="9"/>
        <rFont val="Arial"/>
        <family val="2"/>
      </rPr>
      <t>Årsvis Enskild firma/Handelsbolag</t>
    </r>
    <r>
      <rPr>
        <sz val="9"/>
        <rFont val="Arial"/>
        <family val="2"/>
      </rPr>
      <t xml:space="preserve"> eller </t>
    </r>
    <r>
      <rPr>
        <i/>
        <sz val="9"/>
        <rFont val="Arial"/>
        <family val="2"/>
      </rPr>
      <t>Årsvis Aktiebolag/Ekonomisk förening</t>
    </r>
    <r>
      <rPr>
        <sz val="9"/>
        <rFont val="Arial"/>
        <family val="2"/>
      </rPr>
      <t>. Mallen lägger moms-</t>
    </r>
  </si>
  <si>
    <t xml:space="preserve">betalning till/från Skatteverket i rätt månad enlig den information som lämnas på webbsida för Skatteverket. </t>
  </si>
  <si>
    <t>Klicka på följande länk:</t>
  </si>
  <si>
    <t>Prova gärna inställning av momsredovisning här till höger. Det påverkar inte inställningarna på ARBETSBLAD.</t>
  </si>
  <si>
    <t>4 mån</t>
  </si>
  <si>
    <t>5 mån</t>
  </si>
  <si>
    <t>6 mån</t>
  </si>
  <si>
    <t>7 mån</t>
  </si>
  <si>
    <t>8 mån</t>
  </si>
  <si>
    <t>9 mån</t>
  </si>
  <si>
    <t>10 mån</t>
  </si>
  <si>
    <t>Summa Inköp lång kredittid</t>
  </si>
  <si>
    <t>1 Inköp lång kredit</t>
  </si>
  <si>
    <t>2 Inköp lång kredit</t>
  </si>
  <si>
    <t>Tillfälligt lån eller återbetalt utlägg</t>
  </si>
  <si>
    <t>Lån och ändring av limit för checkkredit</t>
  </si>
  <si>
    <t>Tillfälligt utlägg eller återbetalt kort lån</t>
  </si>
  <si>
    <t>Redovisa/betala ingående balans för moms</t>
  </si>
  <si>
    <t>Igångvarande företag? Har du ingående balans att lägga in? Läs kommentarerna vid de röda hörntrianglarna i kolumn C! Budgetera betalning av ingående balans på rader såväl ovan på ARBETSBLAD som längre ned!</t>
  </si>
  <si>
    <t>Betaln IB momsfordran fakturametod varje månad Förslag</t>
  </si>
  <si>
    <t>Betaln IB momsfordran fakturametod Kvartal Förslag</t>
  </si>
  <si>
    <t>Betaln IB momsfordran fakturametod Årsvis AB Förslag</t>
  </si>
  <si>
    <t>Betaln IB momsfordr fakturametod Årsvis Enskild Förslag</t>
  </si>
  <si>
    <t>Gällande IB momsfordr faktura Kvartal</t>
  </si>
  <si>
    <t>Ing bal momsfordran</t>
  </si>
  <si>
    <t>Inbetalning. Lägg in betalning av IB momsfordran</t>
  </si>
  <si>
    <t>Förslag till betalning av ing bal momsskuld</t>
  </si>
  <si>
    <t>Utbetalning. Lägg in betalning av IB momsskuld</t>
  </si>
  <si>
    <t>Ing bal momsskuld</t>
  </si>
  <si>
    <t>Betaln IB momsskuld fakturametod varje månad Förslag</t>
  </si>
  <si>
    <t>Betaln IB momsskuld fakturametod Kvartal Förslag</t>
  </si>
  <si>
    <t>Gällande IB momsskuld faktura Kvartal</t>
  </si>
  <si>
    <t>Betaln IB momsskuld fakturametod Årsvis AB Förslag</t>
  </si>
  <si>
    <t>Betaln IB momsskuld fakturametod Årsvis Enskild Förslag</t>
  </si>
  <si>
    <r>
      <t xml:space="preserve">För de </t>
    </r>
    <r>
      <rPr>
        <b/>
        <sz val="9"/>
        <rFont val="Arial"/>
        <family val="2"/>
      </rPr>
      <t>affärshändelser där omvänd skattskyldighet gäller</t>
    </r>
    <r>
      <rPr>
        <sz val="9"/>
        <rFont val="Arial"/>
        <family val="2"/>
      </rPr>
      <t>, gör så här på ARBETSBLAD:</t>
    </r>
  </si>
  <si>
    <t>Betala ingående balans för momsfordran och momsskuld</t>
  </si>
  <si>
    <t>Läs mer på fliken Instruktion</t>
  </si>
  <si>
    <t>Betaln ing bal momsskuld. Utgående moms</t>
  </si>
  <si>
    <t>Betaln ing bal momsfordran. Ingående moms</t>
  </si>
  <si>
    <t>Momsredov IB Momsbet från SKV</t>
  </si>
  <si>
    <t>Momsredov IB Momsbet till SKV</t>
  </si>
  <si>
    <t>Utg - ing</t>
  </si>
  <si>
    <t>Förslag till betalning av ing balans momsfordran</t>
  </si>
  <si>
    <t xml:space="preserve">perioden. Beroende på val av redovisningsmetod för moms, val av startkolumn/-månad och val av sista </t>
  </si>
  <si>
    <t xml:space="preserve">månad i räkenskapsåret, föreslår mallen redovisningsbelopp och i vilken eller vilka månader momsen </t>
  </si>
  <si>
    <t xml:space="preserve">momsfordran eller momsskuld fördelas på två tillfällen. För årsvis redovisning endast vid ett tillfälle. Vid </t>
  </si>
  <si>
    <t xml:space="preserve">Årsvis redovisning kan du antagligen acceptera förslaget, vid redovisning månadsvis eller kvartalsvis får du </t>
  </si>
  <si>
    <t xml:space="preserve">antagligen fördela om beloppen. Vid Årsvis redovisning för enskild näringsidkare ska räkenskapsåret sluta </t>
  </si>
  <si>
    <t xml:space="preserve">i december. För Årsvis redovisning i aktiebolag kan det förekomma annan redovisningmånad än vad mallen </t>
  </si>
  <si>
    <t>föreslår. Lägg då betalningen i den korrekta månaden.</t>
  </si>
  <si>
    <t>Instruktion</t>
  </si>
  <si>
    <t>Anställdas bruttolön, dvs. lön och skatt</t>
  </si>
  <si>
    <t>Ägarlön brutto vid aktiebolag och ekonomisk förening</t>
  </si>
  <si>
    <t>Arbetsgivaravgift på anställdas löner + ägarlön vid AB</t>
  </si>
  <si>
    <t>Arbetsmarknadsförsäkring f anställda</t>
  </si>
  <si>
    <t xml:space="preserve">Detta blad innehåller de Excelfunktioner som styr Almis budgetmall. Bladet är låst. </t>
  </si>
  <si>
    <t>Inköp Lång kredittid</t>
  </si>
  <si>
    <t>Försäljning Lång kredittid</t>
  </si>
  <si>
    <t>1 försäljning lång  kundkredit</t>
  </si>
  <si>
    <t>2 försäljning lång  kundkredit</t>
  </si>
  <si>
    <t>Försäljning med kundkredittid 4 till 10 månader</t>
  </si>
  <si>
    <t>Inköp med leverantörskredit på 4 till 10 månader</t>
  </si>
  <si>
    <t xml:space="preserve"> Klicka, välj ▼ </t>
  </si>
  <si>
    <t>Kapitalbehov och finansiering / Balansbudget</t>
  </si>
  <si>
    <t xml:space="preserve">Du vill klicka på momssats men tycker inte att det fungerar. Listpilen har nästan försvunnit. Förflytta i så fall </t>
  </si>
  <si>
    <t>stället budgetmallen som finns på verksamt.se, Mina sidor, även det är en Almi-mall!</t>
  </si>
  <si>
    <t xml:space="preserve">Arbetsmarkn.försäkringar. </t>
  </si>
  <si>
    <t>Övr. personalomkostnader</t>
  </si>
  <si>
    <t>av momssats ändras på varje använd</t>
  </si>
  <si>
    <t xml:space="preserve">försäljnings- respektive inköpsrad. Har </t>
  </si>
  <si>
    <t xml:space="preserve">ska redovisas/betalas. För månadsvis redodovisning och kvartalsvis redovisning kan ingående balans </t>
  </si>
  <si>
    <t>Momsfria inkomster, inte försäljning</t>
  </si>
  <si>
    <t>Inkomster som t.ex. ränteinkomster, övr. finansiella inkomster, bidrag av olika slag etc. Inkomster och inbetalningar i den månad de sker.</t>
  </si>
  <si>
    <t xml:space="preserve">Här ges möjligheter att budgetera inkomster som inte är försäljning. Exempel är ränteinkomster och bidrag </t>
  </si>
  <si>
    <t xml:space="preserve">Betalning kan göras i takt med inkomsterna men kan också göras som förskott eller betalning i efterskott. </t>
  </si>
  <si>
    <t>Inbetalning av övriga inkomster. Momsfria</t>
  </si>
  <si>
    <t xml:space="preserve">När poster läggs i ingående balans förs inte beloppen över till sina positioner i mallen förrän det är balans, </t>
  </si>
  <si>
    <t>Egen insättning, saldo</t>
  </si>
  <si>
    <t>högerknapp och välj Ta fram. Alternativ metod i Excel 2007 elller senare:</t>
  </si>
  <si>
    <t xml:space="preserve">Startmenyn / Celler / Format / Synlighet / Dölj och Ta fram / Ta fram rader. </t>
  </si>
  <si>
    <t xml:space="preserve">vänster) och ta fram dolda rader med hjälp av muspekarens högerknapp. Se illustration här till höger. </t>
  </si>
  <si>
    <t xml:space="preserve">är dolda. Se illustration här till höger. </t>
  </si>
  <si>
    <t>Raderna för lång kredittid kan bara användas med högsta momssatsen, förinställt på 25%, och med</t>
  </si>
  <si>
    <r>
      <t xml:space="preserve">bokföringsmetod </t>
    </r>
    <r>
      <rPr>
        <i/>
        <sz val="9"/>
        <rFont val="Arial"/>
        <family val="2"/>
      </rPr>
      <t>När faktura skickas/kommer</t>
    </r>
    <r>
      <rPr>
        <sz val="9"/>
        <rFont val="Arial"/>
        <family val="2"/>
      </rPr>
      <t>.</t>
    </r>
  </si>
  <si>
    <r>
      <t xml:space="preserve">Bokföringsmetod </t>
    </r>
    <r>
      <rPr>
        <i/>
        <sz val="9"/>
        <rFont val="Arial"/>
        <family val="2"/>
      </rPr>
      <t>När faktura skickas/kommer.</t>
    </r>
  </si>
  <si>
    <t>Igångvarande företag kan lägga in ingående balans från senaste månadens balansrapport eller bokslut.</t>
  </si>
  <si>
    <t>Budgetarbetet kan sedan börja i månaden efter. Ställ in första månaden i budgeten som startmånad.</t>
  </si>
  <si>
    <t>Exemplet gäller i det fall december är sista månaden i räkenskapsåret.</t>
  </si>
  <si>
    <t xml:space="preserve">Almis budgetmall </t>
  </si>
  <si>
    <t>Anställdas prelskatt</t>
  </si>
  <si>
    <t>Ägares prelskatt</t>
  </si>
  <si>
    <t>2 Anställdas bruttolön (lön o skatt)</t>
  </si>
  <si>
    <t>3 Anställdas bruttolön (lön o skatt)</t>
  </si>
  <si>
    <t>4 Anställdas bruttolön (lön o skatt)</t>
  </si>
  <si>
    <t>5 Anställdas bruttolön (lön o skatt)</t>
  </si>
  <si>
    <t>6 Anställdas bruttolön (lön o skatt)</t>
  </si>
  <si>
    <t>7 Anställdas bruttolön (lön o skatt)</t>
  </si>
  <si>
    <t>8 Anställdas bruttolön (lön o skatt)</t>
  </si>
  <si>
    <t>9 Anställdas bruttolön (lön o skatt)</t>
  </si>
  <si>
    <t>10 Anställdas bruttolön (lön o skatt)</t>
  </si>
  <si>
    <t>Skatt</t>
  </si>
  <si>
    <t>Arb.g.avg.</t>
  </si>
  <si>
    <t xml:space="preserve">Semesterlön  % arbetsg.avg.  % av lön                        </t>
  </si>
  <si>
    <t>Arbetsgivaravgift på semesterlöneavsättning</t>
  </si>
  <si>
    <t>Saldo, arbetsgivaravgift på semesterlöneavsättn</t>
  </si>
  <si>
    <t>Arbetsg.avg utbetald semesterlön</t>
  </si>
  <si>
    <t>Arb.g.avg sem.löneavs</t>
  </si>
  <si>
    <t>IB Arbetsg.avg på semesterlöneavsättning</t>
  </si>
  <si>
    <t>Arbetsg.avg på semesterlöneskuld</t>
  </si>
  <si>
    <t>Arbetsgivaravgifter ej på semesterlöneavsättning</t>
  </si>
  <si>
    <t>Skuld för arbetsgivaravgift på semesterlöneskuld</t>
  </si>
  <si>
    <r>
      <rPr>
        <b/>
        <sz val="9"/>
        <rFont val="Arial"/>
        <family val="2"/>
      </rPr>
      <t>Bruttovinst</t>
    </r>
    <r>
      <rPr>
        <sz val="8"/>
        <rFont val="Arial"/>
        <family val="2"/>
      </rPr>
      <t xml:space="preserve"> </t>
    </r>
    <r>
      <rPr>
        <b/>
        <sz val="8"/>
        <rFont val="Arial"/>
        <family val="2"/>
      </rPr>
      <t xml:space="preserve">1 </t>
    </r>
    <r>
      <rPr>
        <sz val="8"/>
        <rFont val="Arial"/>
        <family val="2"/>
      </rPr>
      <t xml:space="preserve">   Försäljningsintäkter - Rörliga kostnader</t>
    </r>
  </si>
  <si>
    <t>Bruttovinst 2  Försäljningsint + övr intäkter - rörliga kostn</t>
  </si>
  <si>
    <t>dåliga år. En sådan bedömning kan också göras vid budgetering.</t>
  </si>
  <si>
    <t xml:space="preserve">Se betalningsschema på flik Frågor &amp; Svar, rad 166, eller Skatteverkets broschyr </t>
  </si>
  <si>
    <r>
      <rPr>
        <b/>
        <sz val="9"/>
        <rFont val="Arial"/>
        <family val="2"/>
      </rPr>
      <t>Exempel</t>
    </r>
    <r>
      <rPr>
        <sz val="9"/>
        <rFont val="Arial"/>
        <family val="2"/>
      </rPr>
      <t>: Budgetering påbörjas i november. Utgående balans (utfall) från oktober läggs som ingående balans.</t>
    </r>
  </si>
  <si>
    <t>Kvarstående kund- och övr fordringar</t>
  </si>
  <si>
    <t>Övrig skatteskuld, ingående balans</t>
  </si>
  <si>
    <t>Övriga skatteskulder</t>
  </si>
  <si>
    <t>Övriga skatteskulder i ingående balans</t>
  </si>
  <si>
    <r>
      <t>Betalning av ingående balans, övriga skatteskulder (</t>
    </r>
    <r>
      <rPr>
        <b/>
        <sz val="8"/>
        <rFont val="Arial"/>
        <family val="2"/>
      </rPr>
      <t>ej</t>
    </r>
    <r>
      <rPr>
        <sz val="8"/>
        <rFont val="Arial"/>
        <family val="2"/>
      </rPr>
      <t xml:space="preserve"> kortfristiga skulder för preliminärskatt och arbetsgivaravgifter för anställda).</t>
    </r>
  </si>
  <si>
    <t>Kvarstående skatteskuld</t>
  </si>
  <si>
    <r>
      <t xml:space="preserve">Betalning </t>
    </r>
    <r>
      <rPr>
        <b/>
        <sz val="8"/>
        <rFont val="Arial"/>
        <family val="2"/>
      </rPr>
      <t>övr skatteskulder</t>
    </r>
    <r>
      <rPr>
        <sz val="8"/>
        <rFont val="Arial"/>
        <family val="2"/>
      </rPr>
      <t xml:space="preserve"> ing bal</t>
    </r>
  </si>
  <si>
    <t>Övrig skatteskuld. Ingående balans</t>
  </si>
  <si>
    <t>Tillbaka &lt;&lt;</t>
  </si>
  <si>
    <t>Gör beräkningar och använd rader utanför mallgränsen.</t>
  </si>
  <si>
    <t>Exempel på hur man kan göra ytterligare försäljningsrader:</t>
  </si>
  <si>
    <t xml:space="preserve">I budgetmallen avsätts även arbetsgivaravgift för semesterlön. Semesterlöneskuld och avsättning till </t>
  </si>
  <si>
    <t>arbetsgivaravgift på semesterlön visas i balansbudget. Vid utbetalning av semesterlöneskuld betalas</t>
  </si>
  <si>
    <t>prelskatt och arbetsgivaravgiftpå semesterlönen månaden efter.</t>
  </si>
  <si>
    <t>Övrig skatteskuld</t>
  </si>
  <si>
    <t xml:space="preserve">Om det finns skatteskulder i ingående balans utöver moms, preliminär skatt för löner och skuld för </t>
  </si>
  <si>
    <t>Artikel 1</t>
  </si>
  <si>
    <t>Artikel 2</t>
  </si>
  <si>
    <t>Artikel 3</t>
  </si>
  <si>
    <t>Artikel 4</t>
  </si>
  <si>
    <t xml:space="preserve">Summa </t>
  </si>
  <si>
    <t>Du har på detta sätt lagt in fyra rader i stället för en.</t>
  </si>
  <si>
    <t>Summera fyra rader till en femte rad. Länka den femte raden till en försäljningsrad i budgetmallen så här:</t>
  </si>
  <si>
    <t>Nu ska det stå 410 i cell I11. Kopiera cell I11 och klistra in i cellerna till höger ända till AF11. Nu ska det stå 502 i AF11.</t>
  </si>
  <si>
    <t>Observera, att momssats och kredittid måste vara samma för posterna på de fyra raderna.</t>
  </si>
  <si>
    <t>Du kan också använda dessa rader om du vill budgetera försäljning inklusive moms.</t>
  </si>
  <si>
    <t>Försäljning inkl moms på 25%</t>
  </si>
  <si>
    <t>Radera ovanstående och ta bort färgfyllning så kan du göra ditt eget arbete!</t>
  </si>
  <si>
    <t>Vill du skriva ut kan du kopiera och klistra in på ny flik (nytt kalkylblad)</t>
  </si>
  <si>
    <t>Allt du kan göra här kan du göra med större frihet på ett nytt kalkylblad.</t>
  </si>
  <si>
    <t>Månadsraden ändras med ändringar i budgetmallen.</t>
  </si>
  <si>
    <t>Statlig skatt, 20% på belopp över 430.200</t>
  </si>
  <si>
    <t>Statlig skatt, 25% på belopp över 616.100</t>
  </si>
  <si>
    <t>in ett belopp med minustecken. Ett exempel är när ett skuldkonto tillfälligt råkar vara en fordran.</t>
  </si>
  <si>
    <t>Övriga lån 2</t>
  </si>
  <si>
    <t>Övriga lån 1</t>
  </si>
  <si>
    <r>
      <t xml:space="preserve">Ränta </t>
    </r>
    <r>
      <rPr>
        <sz val="8"/>
        <color rgb="FFC00000"/>
        <rFont val="Arial Narrow"/>
        <family val="2"/>
      </rPr>
      <t>►</t>
    </r>
  </si>
  <si>
    <t>Underlag för beräkning av preliminär F-skatt AB</t>
  </si>
  <si>
    <t>Underlag för beräkn av preliminär F-skatt Ensk o HB</t>
  </si>
  <si>
    <t>Räkenskapsår likviditetsbudget</t>
  </si>
  <si>
    <t>Räkenskapsår resultatbudget/månad</t>
  </si>
  <si>
    <t>Summa</t>
  </si>
  <si>
    <t xml:space="preserve"> Semesterlönekostnad hämtar fel</t>
  </si>
  <si>
    <t>1för giltig månad</t>
  </si>
  <si>
    <t>Lägg in lån och eget kapital (t.ex. aktiekapital) i den månad pengarna betalas in till företaget. Beviljad limit för checkkredit läggs i den månad då den</t>
  </si>
  <si>
    <t>Startår! ▼</t>
  </si>
  <si>
    <t>─</t>
  </si>
  <si>
    <t xml:space="preserve">Förlängt räkenskapsår har kolumn 24 (månad 24, kolumn AF) som sista kolumn (sista månad) på  </t>
  </si>
  <si>
    <t>ARBETSBLAD och kan ha startkolumn (dvs. startmånad) från någon av kolumnerna 7 till 12 (O till T).</t>
  </si>
  <si>
    <t>i räkenskapsåret. Om du t.ex. startar i augusti ställer du in 8 i L4.</t>
  </si>
  <si>
    <t>räkenskapsåret som du börjar budgetarbetet. Välj denna månad (kolumn) i cell L4. Välj kolumn 1-12 (I till T).</t>
  </si>
  <si>
    <t>Ditt räkenskapsår kan vara max 18 månader. Därför kan du bara välja någon av startmånaderna 7 till 12 (i L4).</t>
  </si>
  <si>
    <t xml:space="preserve">Juli månad visas nu i kolumn 1. L4 ska vara inställd på kolumn 1 om du börjar budgetarbetet i juli. Börjar du </t>
  </si>
  <si>
    <t>däremot budgetarbetet i september så ställ om L4 till kolumn 3.</t>
  </si>
  <si>
    <t>3 Startkolumn och startår</t>
  </si>
  <si>
    <t>startår som finns i listboxen. Följande räkenskapsår kommer sedan att visas automatiskt i bbudgetmallen.</t>
  </si>
  <si>
    <t xml:space="preserve">För enskild firma och handelsbolag (handelsbolag med fysisk person som delägare) är räkenskapsåret lika </t>
  </si>
  <si>
    <t xml:space="preserve">med kalenderåret och slutar alltså den siste december. </t>
  </si>
  <si>
    <r>
      <t xml:space="preserve">Exempel </t>
    </r>
    <r>
      <rPr>
        <b/>
        <sz val="9"/>
        <rFont val="Arial"/>
        <family val="2"/>
      </rPr>
      <t>1</t>
    </r>
    <r>
      <rPr>
        <sz val="9"/>
        <rFont val="Arial"/>
        <family val="2"/>
      </rPr>
      <t xml:space="preserve">: Du startar ny verksamhet med kalenderår=räkenskapsår och har då december som sista månad </t>
    </r>
  </si>
  <si>
    <r>
      <t xml:space="preserve">Exempel </t>
    </r>
    <r>
      <rPr>
        <b/>
        <sz val="9"/>
        <rFont val="Arial"/>
        <family val="2"/>
      </rPr>
      <t>2</t>
    </r>
    <r>
      <rPr>
        <sz val="9"/>
        <rFont val="Arial"/>
        <family val="2"/>
      </rPr>
      <t>: Du har ställt in förlängt räkenskapsår och har December som sista månad i räkenskapsåret,</t>
    </r>
  </si>
  <si>
    <r>
      <t xml:space="preserve">Exempel </t>
    </r>
    <r>
      <rPr>
        <b/>
        <sz val="9"/>
        <rFont val="Arial"/>
        <family val="2"/>
      </rPr>
      <t>3</t>
    </r>
    <r>
      <rPr>
        <sz val="9"/>
        <rFont val="Arial"/>
        <family val="2"/>
      </rPr>
      <t>: Du har brutet räkenskapsår med Juni som sista månad i räkenskapsåret, vilket du ställt in i T4.</t>
    </r>
  </si>
  <si>
    <r>
      <t xml:space="preserve">Ställ in </t>
    </r>
    <r>
      <rPr>
        <b/>
        <sz val="9"/>
        <rFont val="Arial"/>
        <family val="2"/>
      </rPr>
      <t>startår</t>
    </r>
    <r>
      <rPr>
        <sz val="9"/>
        <rFont val="Arial"/>
        <family val="2"/>
      </rPr>
      <t xml:space="preserve"> i N4, dvs. det år som gäller i den startmånad du har ställt in i L4. Du kan bara välja något av de </t>
    </r>
  </si>
  <si>
    <r>
      <t xml:space="preserve">förlängt räkenskapsår  </t>
    </r>
    <r>
      <rPr>
        <b/>
        <sz val="9"/>
        <rFont val="Arial"/>
        <family val="2"/>
      </rPr>
      <t>?</t>
    </r>
  </si>
  <si>
    <t>Budgetstart i kolumn I</t>
  </si>
  <si>
    <t>Budgetstart i kolumn J</t>
  </si>
  <si>
    <t>Budgetstart i kolumn K</t>
  </si>
  <si>
    <t>Budgetstart i kolumn L</t>
  </si>
  <si>
    <t>Budgetstart i kolumn M</t>
  </si>
  <si>
    <t>Budgetstart i kolumn N</t>
  </si>
  <si>
    <t>Budgetstart i kolumn O</t>
  </si>
  <si>
    <t>Budgetstart i kolumn P</t>
  </si>
  <si>
    <t>Budgetstart i kolumn Q</t>
  </si>
  <si>
    <t>Budgetstart i kolumn R</t>
  </si>
  <si>
    <t>Budgetstart i kolumn S</t>
  </si>
  <si>
    <t>Budgetstart i kolumn T</t>
  </si>
  <si>
    <r>
      <t xml:space="preserve">Detta är viktigt för mallens totala funktion.  </t>
    </r>
    <r>
      <rPr>
        <b/>
        <sz val="9"/>
        <rFont val="Arial"/>
        <family val="2"/>
      </rPr>
      <t>När du ställt in startkolumn räknas inte de siffror du eventuellt</t>
    </r>
  </si>
  <si>
    <t>skrivit in i kolumner till vänster om startkolumnen.</t>
  </si>
  <si>
    <t>Börja budgetera försäljningsintäkter i startmånaden( välj startkolumn i cell L4).  Välj kundkredittid (dagar) eller kontant! Välj momssats!</t>
  </si>
  <si>
    <t>S:a avskrivning</t>
  </si>
  <si>
    <t>Avskrivningar/månad ing bal anläggn.tillg</t>
  </si>
  <si>
    <t>Avskrivningar anläggn.tillg/månad exl ing balans</t>
  </si>
  <si>
    <t>Kundfordringar och övriga fordringar</t>
  </si>
  <si>
    <r>
      <t xml:space="preserve">  </t>
    </r>
    <r>
      <rPr>
        <b/>
        <sz val="9"/>
        <color rgb="FFC00000"/>
        <rFont val="Arial"/>
        <family val="2"/>
      </rPr>
      <t>▼</t>
    </r>
    <r>
      <rPr>
        <b/>
        <sz val="9"/>
        <color indexed="8"/>
        <rFont val="Arial"/>
        <family val="2"/>
      </rPr>
      <t>Avskrivningsprocent</t>
    </r>
  </si>
  <si>
    <t>Lokalhyra. Förskottsbetalning</t>
  </si>
  <si>
    <t>Har du förskottsbetalning av hyra med stora hyresbelopp är det lämpligt att budgetera betalningen här och fördela hyreskostnaderna över de månader som förskottsbetalningen avser.</t>
  </si>
  <si>
    <t>Kundfordringar och övriga fordringar i</t>
  </si>
  <si>
    <t>Leverantörsskulder och övriga skulder i</t>
  </si>
  <si>
    <t>ingående balans</t>
  </si>
  <si>
    <r>
      <rPr>
        <b/>
        <sz val="8"/>
        <rFont val="Arial"/>
        <family val="2"/>
      </rPr>
      <t>1</t>
    </r>
    <r>
      <rPr>
        <sz val="8"/>
        <rFont val="Arial"/>
        <family val="2"/>
      </rPr>
      <t xml:space="preserve"> Inbetalning av ingående balans levarantörs- och övriga skulder  </t>
    </r>
    <r>
      <rPr>
        <b/>
        <sz val="8"/>
        <rFont val="Arial"/>
        <family val="2"/>
      </rPr>
      <t>2</t>
    </r>
    <r>
      <rPr>
        <sz val="8"/>
        <rFont val="Arial"/>
        <family val="2"/>
      </rPr>
      <t xml:space="preserve"> Intäktsföring av sådana skulder där förskott betalats men utleveransen av varan</t>
    </r>
  </si>
  <si>
    <r>
      <rPr>
        <b/>
        <sz val="9"/>
        <rFont val="Arial"/>
        <family val="2"/>
      </rPr>
      <t>1</t>
    </r>
    <r>
      <rPr>
        <sz val="8"/>
        <rFont val="Arial"/>
        <family val="2"/>
      </rPr>
      <t xml:space="preserve"> Betalning av ingående balans kund- och övriga fordringar  </t>
    </r>
    <r>
      <rPr>
        <b/>
        <sz val="9"/>
        <rFont val="Arial"/>
        <family val="2"/>
      </rPr>
      <t>2</t>
    </r>
    <r>
      <rPr>
        <sz val="8"/>
        <rFont val="Arial"/>
        <family val="2"/>
      </rPr>
      <t xml:space="preserve"> Kostnadsföring av sådana fordringar där förskott betalats men leveransen/tjänsten</t>
    </r>
  </si>
  <si>
    <r>
      <t xml:space="preserve"> kommer innevarande år. </t>
    </r>
    <r>
      <rPr>
        <b/>
        <sz val="9"/>
        <rFont val="Arial"/>
        <family val="2"/>
      </rPr>
      <t>3</t>
    </r>
    <r>
      <rPr>
        <sz val="8"/>
        <rFont val="Arial"/>
        <family val="2"/>
      </rPr>
      <t xml:space="preserve"> Månadsvis hyreskostnad för hyra som är betald i förskott föregående år.</t>
    </r>
  </si>
  <si>
    <t>Har du förskottsinbetalning från hyresgäster kan du budgetera betalningen här och fördela hyresintäkterna över de månader som förskottsbetalningen avser.</t>
  </si>
  <si>
    <t>Summa hyreskostnader</t>
  </si>
  <si>
    <t>Summa övriga kostnader exkl hyreskostnader</t>
  </si>
  <si>
    <t>Betalning vid inköp för "övriga kostnader" inkl lokalhyra</t>
  </si>
  <si>
    <t>Ing bal</t>
  </si>
  <si>
    <t>Kvarstående leverantörs- o Övr skulder</t>
  </si>
  <si>
    <t>Kunders betalningar inklusive förskott från hyresgäster</t>
  </si>
  <si>
    <r>
      <t>eller tjänsten kommer att göras under budgetperioden.</t>
    </r>
    <r>
      <rPr>
        <b/>
        <sz val="8"/>
        <rFont val="Arial"/>
        <family val="2"/>
      </rPr>
      <t xml:space="preserve"> 3</t>
    </r>
    <r>
      <rPr>
        <sz val="8"/>
        <rFont val="Arial"/>
        <family val="2"/>
      </rPr>
      <t xml:space="preserve"> Månadsvis hyresintäkt för hyra som hyresgäster har betalat i förskott föregående år.</t>
    </r>
  </si>
  <si>
    <t>Läs om bedömning av skatt på flik Resultatbudget_Helår! Hämta sedan underlag för preliminär F-skatt från rutorna/cellerna i kolumnerna AJ och AL på raderna här nedan! Fördela över månaderna enligt betalningsschema på fliken Frågor &amp; Svar eller i Skatteverkets broschyr Företagsregistrering</t>
  </si>
  <si>
    <t>Checkkredit. Limit</t>
  </si>
  <si>
    <r>
      <t xml:space="preserve">Parkera i cell I11. Skriv  </t>
    </r>
    <r>
      <rPr>
        <i/>
        <sz val="8"/>
        <rFont val="Arial"/>
        <family val="2"/>
      </rPr>
      <t>=AR14</t>
    </r>
    <r>
      <rPr>
        <sz val="8"/>
        <rFont val="Arial"/>
        <family val="2"/>
      </rPr>
      <t>.</t>
    </r>
  </si>
  <si>
    <t>Försäljningsbelopp till budgetmallen = AS39/1,25</t>
  </si>
  <si>
    <t>Förskottsbetalning vid lokaluthyrning</t>
  </si>
  <si>
    <t xml:space="preserve">Om det inte finns bokslut eller balansrapport för månaden som föregår budgetperioden behöver du göra en </t>
  </si>
  <si>
    <t>prognos  som utgår från din senaste utgående balans.</t>
  </si>
  <si>
    <t xml:space="preserve">Läs kommentarerna vid respektive rubrik för ingående balans! Följ hänvisningen till den rad där du kan </t>
  </si>
  <si>
    <t xml:space="preserve">bearbeta ingående poster, till exempel skriva in betalningsbelopp i trolig månad under budgetperioden för </t>
  </si>
  <si>
    <t>skulder eller fordringar. Även erhållna eller lämnade förskott i ingående balans kan hanteras i vissa fall.</t>
  </si>
  <si>
    <t>Vissa specialfall finns inte med men har du problem med något sådant kan du kontakta ake.olsson@almi.se.</t>
  </si>
  <si>
    <t xml:space="preserve">Likviditetsbudget är en sammanställning av företagets utbetalningar och de betalningar som kommer till </t>
  </si>
  <si>
    <t>checkkrediten inte utnyttjas är raden Utnyttjad checkkredit tom. Finns limitbeloppet på raden är likviditeten</t>
  </si>
  <si>
    <t xml:space="preserve">årsresultat x bolagsskatt (22% ). Förslag till belopp att fördela finns i kolumnerna AJ och AL på raden för </t>
  </si>
  <si>
    <t xml:space="preserve">kommunal skatt används för att lägga in preliminär F-skatt. Beloppen finns i kolumnerna AJ och AL på </t>
  </si>
  <si>
    <r>
      <rPr>
        <b/>
        <sz val="9"/>
        <rFont val="Arial"/>
        <family val="2"/>
      </rPr>
      <t xml:space="preserve">1 </t>
    </r>
    <r>
      <rPr>
        <sz val="9"/>
        <rFont val="Arial"/>
        <family val="2"/>
      </rPr>
      <t>Skriv in belopp i de månader när fordringar väntas bli betalda. Moms är redovisad under föregående år.</t>
    </r>
  </si>
  <si>
    <t>Endast likviditetsbudgeten berörs.</t>
  </si>
  <si>
    <r>
      <rPr>
        <b/>
        <sz val="9"/>
        <rFont val="Arial"/>
        <family val="2"/>
      </rPr>
      <t>2</t>
    </r>
    <r>
      <rPr>
        <sz val="9"/>
        <rFont val="Arial"/>
        <family val="2"/>
      </rPr>
      <t xml:space="preserve"> Förskott har lämnats till leverantör av varor eller tjänster och leveransen kommer att ske under budget-</t>
    </r>
  </si>
  <si>
    <r>
      <rPr>
        <b/>
        <sz val="9"/>
        <rFont val="Arial"/>
        <family val="2"/>
      </rPr>
      <t>3</t>
    </r>
    <r>
      <rPr>
        <sz val="9"/>
        <rFont val="Arial"/>
        <family val="2"/>
      </rPr>
      <t xml:space="preserve"> Vid i förväg betald hyra kan hyreskostnaden/månad läggas in i de månader som förskottsbetalningen avser,</t>
    </r>
  </si>
  <si>
    <r>
      <t xml:space="preserve">det kan vara en månad eller flera månader. Hyreskostnaden förs automatiskt till raden </t>
    </r>
    <r>
      <rPr>
        <i/>
        <sz val="9"/>
        <rFont val="Arial"/>
        <family val="2"/>
      </rPr>
      <t>Summa hyres-</t>
    </r>
  </si>
  <si>
    <r>
      <rPr>
        <i/>
        <sz val="9"/>
        <rFont val="Arial"/>
        <family val="2"/>
      </rPr>
      <t>kostnader</t>
    </r>
    <r>
      <rPr>
        <sz val="9"/>
        <rFont val="Arial"/>
        <family val="2"/>
      </rPr>
      <t xml:space="preserve"> i modulen för </t>
    </r>
    <r>
      <rPr>
        <i/>
        <sz val="9"/>
        <rFont val="Arial"/>
        <family val="2"/>
      </rPr>
      <t>Övriga kostnader</t>
    </r>
    <r>
      <rPr>
        <sz val="9"/>
        <rFont val="Arial"/>
        <family val="2"/>
      </rPr>
      <t xml:space="preserve"> och visas i resultatbudgeten men påverkar inte likviditetsbudgeten.</t>
    </r>
  </si>
  <si>
    <r>
      <rPr>
        <b/>
        <sz val="9"/>
        <rFont val="Arial"/>
        <family val="2"/>
      </rPr>
      <t xml:space="preserve">1 </t>
    </r>
    <r>
      <rPr>
        <sz val="9"/>
        <rFont val="Arial"/>
        <family val="2"/>
      </rPr>
      <t>Skriv in belopp i de månader när skulder väntas bli betalda. Moms är redovisad under föregående år.</t>
    </r>
  </si>
  <si>
    <r>
      <rPr>
        <b/>
        <sz val="9"/>
        <rFont val="Arial"/>
        <family val="2"/>
      </rPr>
      <t>2</t>
    </r>
    <r>
      <rPr>
        <sz val="9"/>
        <rFont val="Arial"/>
        <family val="2"/>
      </rPr>
      <t xml:space="preserve"> Förskott har erhållits från kund och leveransen kommer att ske under budgetperioden. Lägg in leverans-</t>
    </r>
  </si>
  <si>
    <t xml:space="preserve">beloppet i den eller de månader då leveransen väntas ske. Beloppet hamnar i resultatbudgeten som </t>
  </si>
  <si>
    <t xml:space="preserve">försäljningsintäkt. Likviditetsbudgeten påverkas inte. </t>
  </si>
  <si>
    <r>
      <rPr>
        <b/>
        <sz val="9"/>
        <rFont val="Arial"/>
        <family val="2"/>
      </rPr>
      <t>3</t>
    </r>
    <r>
      <rPr>
        <sz val="9"/>
        <rFont val="Arial"/>
        <family val="2"/>
      </rPr>
      <t xml:space="preserve"> Hyresgäster har betalat hyra i förskott under föregående år, dvs. beloppet finns i ingående balans som </t>
    </r>
  </si>
  <si>
    <t>skuld eftersom det avser hyra en eller flera månader under budgetåret. Lägg in månadshyran i de månader</t>
  </si>
  <si>
    <r>
      <t xml:space="preserve">som förutbetalningen avser. Beloppen blir hyresintäkter i resultatbudgeten under benämningen </t>
    </r>
    <r>
      <rPr>
        <i/>
        <sz val="9"/>
        <rFont val="Arial"/>
        <family val="2"/>
      </rPr>
      <t xml:space="preserve">Övriga </t>
    </r>
  </si>
  <si>
    <r>
      <rPr>
        <i/>
        <sz val="9"/>
        <rFont val="Arial"/>
        <family val="2"/>
      </rPr>
      <t>intäkter.</t>
    </r>
    <r>
      <rPr>
        <sz val="9"/>
        <rFont val="Arial"/>
        <family val="2"/>
      </rPr>
      <t xml:space="preserve"> Likviditetsbudgeten berörs inte. Du kan även i övrigt för budgetperioden välja att som uthyrare</t>
    </r>
  </si>
  <si>
    <t xml:space="preserve">Hämtas kortfristiga skulder från en balansrapport, ett preliminärt bokslut eller en balansrapport kan det i </t>
  </si>
  <si>
    <r>
      <t xml:space="preserve">1 Betalning </t>
    </r>
    <r>
      <rPr>
        <sz val="8"/>
        <rFont val="Arial"/>
        <family val="2"/>
      </rPr>
      <t>leverantörs- o övr skulder</t>
    </r>
  </si>
  <si>
    <r>
      <rPr>
        <b/>
        <sz val="8"/>
        <rFont val="Arial"/>
        <family val="2"/>
      </rPr>
      <t>2</t>
    </r>
    <r>
      <rPr>
        <sz val="8"/>
        <rFont val="Arial"/>
        <family val="2"/>
      </rPr>
      <t xml:space="preserve"> </t>
    </r>
    <r>
      <rPr>
        <b/>
        <sz val="8"/>
        <rFont val="Arial"/>
        <family val="2"/>
      </rPr>
      <t>Leveransintäkt</t>
    </r>
    <r>
      <rPr>
        <sz val="8"/>
        <rFont val="Arial"/>
        <family val="2"/>
      </rPr>
      <t xml:space="preserve"> efter kundförskott</t>
    </r>
  </si>
  <si>
    <r>
      <t>1 Betalning</t>
    </r>
    <r>
      <rPr>
        <sz val="8"/>
        <rFont val="Arial"/>
        <family val="2"/>
      </rPr>
      <t xml:space="preserve"> av Kund- o övriga fordr</t>
    </r>
  </si>
  <si>
    <r>
      <t>2 Leveransbelopp</t>
    </r>
    <r>
      <rPr>
        <b/>
        <i/>
        <sz val="8"/>
        <rFont val="Arial"/>
        <family val="2"/>
      </rPr>
      <t xml:space="preserve"> </t>
    </r>
    <r>
      <rPr>
        <sz val="8"/>
        <rFont val="Arial"/>
        <family val="2"/>
      </rPr>
      <t>efter förskott</t>
    </r>
  </si>
  <si>
    <r>
      <rPr>
        <b/>
        <sz val="8"/>
        <rFont val="Arial"/>
        <family val="2"/>
      </rPr>
      <t>3</t>
    </r>
    <r>
      <rPr>
        <sz val="8"/>
        <rFont val="Arial"/>
        <family val="2"/>
      </rPr>
      <t xml:space="preserve"> </t>
    </r>
    <r>
      <rPr>
        <b/>
        <sz val="8"/>
        <rFont val="Arial"/>
        <family val="2"/>
      </rPr>
      <t>Månadshyra</t>
    </r>
    <r>
      <rPr>
        <sz val="8"/>
        <rFont val="Arial"/>
        <family val="2"/>
      </rPr>
      <t xml:space="preserve"> efter förskottsbetaln.</t>
    </r>
  </si>
  <si>
    <t xml:space="preserve">Hämtas kortfristiga fordringar från en balansrapport ett preliminärt bokslut eller en balansrapport kan det i </t>
  </si>
  <si>
    <t>25 Kundfordringar och övriga fordringar i ingående balans</t>
  </si>
  <si>
    <t>26 Leverantörsskulder och övriga skulder i ingående balans</t>
  </si>
  <si>
    <t xml:space="preserve">perioden. Lägg in leveransbeloppet i den eller de månader då leveransen väntas komma varvid beloppet </t>
  </si>
  <si>
    <r>
      <t xml:space="preserve"> </t>
    </r>
    <r>
      <rPr>
        <i/>
        <sz val="9"/>
        <rFont val="Arial"/>
        <family val="2"/>
      </rPr>
      <t>Ja, förbrukningen sätter jag lika med inköpen varje månad.</t>
    </r>
  </si>
  <si>
    <t xml:space="preserve">Lägg märke till att du kan välja att även under budgetperioden budgetera med förskottshyra. Se modulen </t>
  </si>
  <si>
    <t xml:space="preserve">Dessa rader kan användas vid tillfälligt lån utan räntekostnad och vid tillfälligt utlägg utan ränteersättning. </t>
  </si>
  <si>
    <r>
      <rPr>
        <b/>
        <sz val="8"/>
        <rFont val="Arial"/>
        <family val="2"/>
      </rPr>
      <t>3</t>
    </r>
    <r>
      <rPr>
        <sz val="8"/>
        <rFont val="Arial"/>
        <family val="2"/>
      </rPr>
      <t xml:space="preserve"> </t>
    </r>
    <r>
      <rPr>
        <b/>
        <sz val="8"/>
        <rFont val="Arial"/>
        <family val="2"/>
      </rPr>
      <t>Hyresintäkter</t>
    </r>
    <r>
      <rPr>
        <sz val="8"/>
        <rFont val="Arial"/>
        <family val="2"/>
      </rPr>
      <t xml:space="preserve"> efter förskottsbetaln.</t>
    </r>
  </si>
  <si>
    <r>
      <t xml:space="preserve">Med </t>
    </r>
    <r>
      <rPr>
        <i/>
        <sz val="9"/>
        <rFont val="Arial"/>
        <family val="2"/>
      </rPr>
      <t>Bruttovinst 1</t>
    </r>
    <r>
      <rPr>
        <sz val="9"/>
        <rFont val="Arial"/>
        <family val="2"/>
      </rPr>
      <t xml:space="preserve"> avses Försäljning minus Rörliga kostnader (förbrukning av varor, materiel och främmande </t>
    </r>
  </si>
  <si>
    <r>
      <t xml:space="preserve">tjänster). </t>
    </r>
    <r>
      <rPr>
        <i/>
        <sz val="9"/>
        <rFont val="Arial"/>
        <family val="2"/>
      </rPr>
      <t>Bruttovinst 2</t>
    </r>
    <r>
      <rPr>
        <sz val="9"/>
        <rFont val="Arial"/>
        <family val="2"/>
      </rPr>
      <t xml:space="preserve"> är Försäljning plus Övriga intäkter minus Rörliga kostnader. Övriga intäkter är dels </t>
    </r>
  </si>
  <si>
    <t xml:space="preserve">onödigt mycket eller som innehåller oanvändbara varor eller material efter ett tag. </t>
  </si>
  <si>
    <t xml:space="preserve">Till lagret läggs även beloppet för varuleverans som erhålls under budgetperioden efter att legat i ingående </t>
  </si>
  <si>
    <t>balans som fordran eftersom den varit förskottsbetald.</t>
  </si>
  <si>
    <t>Det antages här att dessa inköp är lika stora som den kontinuerliga användningen. De hamnar därför i</t>
  </si>
  <si>
    <t xml:space="preserve">månad om kredittiden är Kontant. </t>
  </si>
  <si>
    <t>Lokalhyra. Betalning i anslutning till hyresmånaden alternativt förskottsbetalning</t>
  </si>
  <si>
    <t xml:space="preserve">den lokal du hyr! Det finns två möjligheter att budgetera hyresbetalning/hyreskostnad. </t>
  </si>
  <si>
    <t>Båda alternativen kan budgeteras samtidigt. Summan av hyreskostnaderna finns på rad Summa hyres-</t>
  </si>
  <si>
    <t>kostnader i ARBETSBLAD och i resultatbudget på raden för Lokalhyra. Även eventuell hyreskostnad som</t>
  </si>
  <si>
    <t xml:space="preserve">härör från ingående balans, Kundfordringar och övriga fordringar, finns i denna summa sedan du </t>
  </si>
  <si>
    <t>Vill du fördela preliminär F-skatt över 12 månader med hjälp av formel?</t>
  </si>
  <si>
    <t>&gt;&gt;</t>
  </si>
  <si>
    <t xml:space="preserve">Skriv in belopp </t>
  </si>
  <si>
    <t>exkl moms!</t>
  </si>
  <si>
    <t>Företagsnamn</t>
  </si>
  <si>
    <t>på ARBETSBLAD</t>
  </si>
  <si>
    <t xml:space="preserve">  S:a avskrivningar och räntekostn.</t>
  </si>
  <si>
    <r>
      <t xml:space="preserve">om du har lön från aktiebolag eller ekonomisk förening. Skriv in </t>
    </r>
    <r>
      <rPr>
        <b/>
        <sz val="8"/>
        <rFont val="Arial"/>
        <family val="2"/>
      </rPr>
      <t xml:space="preserve">verksamhetens överskott </t>
    </r>
    <r>
      <rPr>
        <sz val="8"/>
        <rFont val="Arial"/>
        <family val="2"/>
      </rPr>
      <t xml:space="preserve">om du har enskild firma eller </t>
    </r>
  </si>
  <si>
    <r>
      <t xml:space="preserve">klickat på </t>
    </r>
    <r>
      <rPr>
        <i/>
        <sz val="8"/>
        <rFont val="Arial"/>
        <family val="2"/>
      </rPr>
      <t>Beräkna</t>
    </r>
    <r>
      <rPr>
        <sz val="8"/>
        <rFont val="Arial"/>
        <family val="2"/>
      </rPr>
      <t xml:space="preserve"> längst ned i </t>
    </r>
    <r>
      <rPr>
        <i/>
        <sz val="8"/>
        <rFont val="Arial"/>
        <family val="2"/>
      </rPr>
      <t>Skatteverkets skatteuträkning</t>
    </r>
    <r>
      <rPr>
        <sz val="8"/>
        <rFont val="Arial"/>
        <family val="2"/>
      </rPr>
      <t xml:space="preserve"> kommer en sammanställning fram i nytt fönster i webbläsaren.</t>
    </r>
  </si>
  <si>
    <t xml:space="preserve">handelsbolag. Du behöver dessutom lägga in en procentsats för kommunalskatt, t.ex. förslaget i mallen nedan. När du har </t>
  </si>
  <si>
    <t xml:space="preserve">från Skatteverksuträkningen till beräkningsmallen nedan och se slutbeloppet på ARBETSBLAD, kolumnerna AJoch AL vid </t>
  </si>
  <si>
    <t>Hyresintäkt med i förväg erhållen betalning</t>
  </si>
  <si>
    <t>Hyreskostnad med i förväg betald hyra</t>
  </si>
  <si>
    <t xml:space="preserve">Försäljningsintäkt med i förväg </t>
  </si>
  <si>
    <t>erhållen betalning</t>
  </si>
  <si>
    <t>Hyresintäkt vid i förskott inbetald hyra på rad ovan</t>
  </si>
  <si>
    <t>Betalning i förskott från kund</t>
  </si>
  <si>
    <t>Leverans till kund efter förskott från kund på rad ovan</t>
  </si>
  <si>
    <t xml:space="preserve">Har kund betalat i förskott för varor eller tjänster som du ska leverera senare? Budgetera förskottsbetalningen </t>
  </si>
  <si>
    <t>28 Hyresintäkt med i förväg erhållen betalning</t>
  </si>
  <si>
    <t xml:space="preserve">intäkter i Resultatbudgeten. Förskottsbetalningen visas i Likviditetsbudgeten tillsamanns med betalningar från </t>
  </si>
  <si>
    <t>kunder. Om momssats är vald visas även momsbetalning från kunden i Likviditetsbudgeten.</t>
  </si>
  <si>
    <t>29 Övriga skattteskulder i ingående balans</t>
  </si>
  <si>
    <t>30Tillfälligt lån eller utlägg</t>
  </si>
  <si>
    <t>31 Momsfria inkomster, inte försäljning</t>
  </si>
  <si>
    <t>budgeterat detta.</t>
  </si>
  <si>
    <t>resultatbudgeten som kostnader i de månader de läggs in i mallen.</t>
  </si>
  <si>
    <r>
      <t>Benämningarna på raderna</t>
    </r>
    <r>
      <rPr>
        <i/>
        <sz val="9"/>
        <rFont val="Arial"/>
        <family val="2"/>
      </rPr>
      <t xml:space="preserve"> Lokalhyra </t>
    </r>
    <r>
      <rPr>
        <sz val="9"/>
        <rFont val="Arial"/>
        <family val="2"/>
      </rPr>
      <t xml:space="preserve">respektive </t>
    </r>
    <r>
      <rPr>
        <i/>
        <sz val="9"/>
        <rFont val="Arial"/>
        <family val="2"/>
      </rPr>
      <t>Företagets försäkringar. Bankavgifter</t>
    </r>
    <r>
      <rPr>
        <sz val="9"/>
        <rFont val="Arial"/>
        <family val="2"/>
      </rPr>
      <t xml:space="preserve"> är låsta. De övriga </t>
    </r>
  </si>
  <si>
    <t xml:space="preserve">föreslagna kostnadsslagen kan du ändra för att anpassa till ditt företag. Ändrar du benämningen så följer  </t>
  </si>
  <si>
    <t>ändringen med till sammanställningarna för Resultatbudget.</t>
  </si>
  <si>
    <t xml:space="preserve">ska du ställa in kredittiden. Välj momssats så att momsbeloppet blir rätt och momsbetalningen till/från </t>
  </si>
  <si>
    <t>Skatteverket kommer i rätt månad.  Med försäljningstillfälle menas här alltså månad för kreditfakturering</t>
  </si>
  <si>
    <t xml:space="preserve">betalning ska läggas in på raden exkl moms. Moms beräknas automatiskt av mallen utifrån den momssats </t>
  </si>
  <si>
    <t>du har ställt in. Läs även om ingående balans avseende förskottsbetald försäljning, rad 403 ovan.</t>
  </si>
  <si>
    <t>Hotell</t>
  </si>
  <si>
    <t>Aktuell limit för check</t>
  </si>
  <si>
    <t>Försäljning 11</t>
  </si>
  <si>
    <t>Försäljning 12</t>
  </si>
  <si>
    <t>Försäljning 13</t>
  </si>
  <si>
    <t>Försäljning 14</t>
  </si>
  <si>
    <t>Försäljning 15</t>
  </si>
  <si>
    <t>Försäljning 16</t>
  </si>
  <si>
    <t>Försäljning 17</t>
  </si>
  <si>
    <t>Försäljning 18</t>
  </si>
  <si>
    <t>Försäljning 19</t>
  </si>
  <si>
    <t>Försäljning 20</t>
  </si>
  <si>
    <t>Inköp 11</t>
  </si>
  <si>
    <t>Inköp 12</t>
  </si>
  <si>
    <t>Inköp 13</t>
  </si>
  <si>
    <t>Inköp 14</t>
  </si>
  <si>
    <t>Inköp 15</t>
  </si>
  <si>
    <t>Inköp 16</t>
  </si>
  <si>
    <t>Inköp 17</t>
  </si>
  <si>
    <t>Inköp 18</t>
  </si>
  <si>
    <t>Inköp 19</t>
  </si>
  <si>
    <t>Inköp 20</t>
  </si>
  <si>
    <t>Om(Kontantmetoden;0;1)</t>
  </si>
  <si>
    <t>Andra anläggningstillgångar 3</t>
  </si>
  <si>
    <t>Andra anläggningstillgångar 4</t>
  </si>
  <si>
    <t>Andra anläggningstillgångar 5</t>
  </si>
  <si>
    <t>Andra anläggningstillgångar 6</t>
  </si>
  <si>
    <t>Andra anläggningstillgångar 7</t>
  </si>
  <si>
    <t>Andra anläggningstillgångar 8</t>
  </si>
  <si>
    <t>Andra anläggningstillgångar 9</t>
  </si>
  <si>
    <t>Andra anläggningstillgångar 10</t>
  </si>
  <si>
    <t>Balanserade kostnader</t>
  </si>
  <si>
    <t>Balanserade (aktiverade) kostnader</t>
  </si>
  <si>
    <t xml:space="preserve">Läs mer på fliken Instruktion </t>
  </si>
  <si>
    <t>Summa varje månad</t>
  </si>
  <si>
    <t>Egenberäknad avskrivning/mån av balanserade kostnader</t>
  </si>
  <si>
    <t>Balanserade (aktiverade) kostnader. Värdeökning</t>
  </si>
  <si>
    <t>32 Balanserade kostnader (Aktiverade kostnader)</t>
  </si>
  <si>
    <t xml:space="preserve">En särskild kategori av investeringar i anläggningstillgångar är "balanserade kostnader" (även kallade </t>
  </si>
  <si>
    <t xml:space="preserve">"Aktiverade kostnader"), oftast kostnader för utvecklings- och forskningsarbete i företaget i syfte att ge </t>
  </si>
  <si>
    <t xml:space="preserve">kostnad i kategorierna varor, löner och sociala kostnader samt  Övriga kostnader. Även t.ex. Ränta och </t>
  </si>
  <si>
    <t>Avskrivning på andra investeringar kan ingå. Beräkna hur mycket av dessa kostnader som ska balanseras</t>
  </si>
  <si>
    <t>Avskrivning av balanserade kostnader ska normalt göras månadsvis på samma sätt som för andra</t>
  </si>
  <si>
    <t xml:space="preserve">Detta är oftast utvecklingsprojekt, dvs. investeringar som senare kommer att ge kommersiellt utbyte. </t>
  </si>
  <si>
    <t xml:space="preserve">Kostnader såsom varor, personalkostnader och andra kostnader läggs som anläggningstillgång i stället för </t>
  </si>
  <si>
    <t>att vara kostnader som direkt ger minus i resultatbudgeten. Läs mer under rubriken Balanserade kostnader</t>
  </si>
  <si>
    <t xml:space="preserve"> längre ned.</t>
  </si>
  <si>
    <r>
      <t xml:space="preserve">Även så kallade </t>
    </r>
    <r>
      <rPr>
        <b/>
        <sz val="9"/>
        <rFont val="Arial"/>
        <family val="2"/>
      </rPr>
      <t>Balanserade kostnader (</t>
    </r>
    <r>
      <rPr>
        <sz val="9"/>
        <rFont val="Arial"/>
        <family val="2"/>
      </rPr>
      <t xml:space="preserve">ofta benämnda </t>
    </r>
    <r>
      <rPr>
        <b/>
        <sz val="9"/>
        <rFont val="Arial"/>
        <family val="2"/>
      </rPr>
      <t>Aktiverade kostnader</t>
    </r>
    <r>
      <rPr>
        <b/>
        <i/>
        <sz val="9"/>
        <rFont val="Arial"/>
        <family val="2"/>
      </rPr>
      <t>)</t>
    </r>
    <r>
      <rPr>
        <sz val="9"/>
        <rFont val="Arial"/>
        <family val="2"/>
      </rPr>
      <t xml:space="preserve"> är anläggningstillgångar. </t>
    </r>
  </si>
  <si>
    <t xml:space="preserve">Ägare kan sätta in anläggningstillgångar i företaget som eget kapital (Apportegendom i aktiebolag). Även på </t>
  </si>
  <si>
    <t>dessa anläggningstillgångar beräknas avskrivning.</t>
  </si>
  <si>
    <t>Lokalkostnader: el, värme, underhåll</t>
  </si>
  <si>
    <r>
      <rPr>
        <b/>
        <i/>
        <sz val="9"/>
        <rFont val="Arial"/>
        <family val="2"/>
      </rPr>
      <t>Belopp i ing balans förs normalt in utan tecknen plus eller minus</t>
    </r>
    <r>
      <rPr>
        <sz val="9"/>
        <rFont val="Arial"/>
        <family val="2"/>
      </rPr>
      <t xml:space="preserve">. Det kan dock inträffa att man vill lägga </t>
    </r>
  </si>
  <si>
    <t>Årets investeringar i anläggningstillgångar</t>
  </si>
  <si>
    <t>Årets egeninsatta inventarier</t>
  </si>
  <si>
    <t>Ackumulerade balanserade kostnader efter avskrivning</t>
  </si>
  <si>
    <t>Ackumul. Balanserade kostnader före avskrivning</t>
  </si>
  <si>
    <t xml:space="preserve"> </t>
  </si>
  <si>
    <t>Andra övriga kostnader 2</t>
  </si>
  <si>
    <t>Andra övriga kostnader 3</t>
  </si>
  <si>
    <t>Andra övriga kostnader 4</t>
  </si>
  <si>
    <t>Andra övriga kostnader 5</t>
  </si>
  <si>
    <t>Andra övriga kostnader 6</t>
  </si>
  <si>
    <t>Andra övriga kostnader 7</t>
  </si>
  <si>
    <t>Andra övriga kostnader 8</t>
  </si>
  <si>
    <t>Andra övriga kostnader 9</t>
  </si>
  <si>
    <t>Andra övriga kostnader 10</t>
  </si>
  <si>
    <t>Andra övriga kostnader 1</t>
  </si>
  <si>
    <t>Avancerat. Ingående balans. Speciella situationer</t>
  </si>
  <si>
    <t>(aktiveras) månadsvis. Ingående balans för Balanserade kostnader ingår i ing balans för Anläggningstill-</t>
  </si>
  <si>
    <t>intäktsrad i Resultatbudget och på fliken Kapitalbehov/Finansiering. Likviditetsbudgeten påverkas inte alls.</t>
  </si>
  <si>
    <t>Outnyttjad checkkredit</t>
  </si>
  <si>
    <t>Utgående kassa med tillägg av checklimit</t>
  </si>
  <si>
    <t>Utgående kassa om checkkredit inte är tillgänglig</t>
  </si>
  <si>
    <t>EGNA ANTECKNINGAR</t>
  </si>
  <si>
    <r>
      <t xml:space="preserve">OM CHECKKREDITENS PÅVERKAN. </t>
    </r>
    <r>
      <rPr>
        <sz val="8"/>
        <rFont val="Arial"/>
        <family val="2"/>
      </rPr>
      <t>För din analys.</t>
    </r>
  </si>
  <si>
    <t xml:space="preserve">Skriv in kostnader som ska balanseras (aktiveras). Balanserade kostnader är anläggningstillgångar. Summa läggs till som värdeökning /intäkt i resultatbudgeten. </t>
  </si>
  <si>
    <t xml:space="preserve">"balanseras", dvs. ingå i forsknings-/utvecklingsinvesteringen. Kostnaderna har du preliminärt budgererat som </t>
  </si>
  <si>
    <t xml:space="preserve">gångar. Balanserade kostnader dvs. månadens och årets ökade värde för utvecklingsprojekt, visas på särskild </t>
  </si>
  <si>
    <t>till Summa avskrivning, rad 156. Avskrivningen ska normalt vara minst 20%.</t>
  </si>
  <si>
    <t xml:space="preserve">Vid försäljning av Utvecklingsprojekt, helt eller delvis, kan du föra in försäljning  på en av raderna 11 </t>
  </si>
  <si>
    <t>&gt;</t>
  </si>
  <si>
    <t>Ränta på checkkredit räknas dels med limitavgift, dels med ränta på utnyttjad kredit. Utnyttjad kredit visas på flik Likviditetsbudget, rad 44</t>
  </si>
  <si>
    <t>kan börja användas. Om ny limit gäller längre fram så lägg in hela limiten, inte ändringen. Räntekostnaden beräknas av mallen månad för månad.</t>
  </si>
  <si>
    <t>ett annat mönster över tiden. Observera att månadens förbrukning (rörliga kostnader) budgeteras nedan på raderna 66 -</t>
  </si>
  <si>
    <t>På raderna 57 och 58 kan du budgetera inköp med kredittid från 4 till 10 månader. Raderna är dolda</t>
  </si>
  <si>
    <t>Markera 40 och 59 på radlinjalen till vänster. Använd sedan muspekarens högerknapp och välj Ta fram.</t>
  </si>
  <si>
    <t>På raderna 31 och 32 kan du budgetera försäljning med kundkredittid från 4 till 10 månader. Raderna</t>
  </si>
  <si>
    <t>Markera 15 till 33 på radlinjalen till vänster. Använd sedan muspekarens</t>
  </si>
  <si>
    <t xml:space="preserve">Har du förskottsinbetalning från hyresgäster kan du budgetera betalningen på rad 249 och fördela  </t>
  </si>
  <si>
    <t>hamnar i lagret. Se rad 85 på ARBETSBLAD. Någon effekt på likviditeten eller resultatbudgeten blir det inte.</t>
  </si>
  <si>
    <r>
      <t xml:space="preserve">Varan eller tjänsten kommer in i resultatbudgeten när den finns på rad 76, </t>
    </r>
    <r>
      <rPr>
        <i/>
        <sz val="9"/>
        <rFont val="Arial"/>
        <family val="2"/>
      </rPr>
      <t xml:space="preserve">S:a  förbrukning, dvs. rörliga </t>
    </r>
  </si>
  <si>
    <r>
      <rPr>
        <b/>
        <sz val="9"/>
        <rFont val="Arial"/>
        <family val="2"/>
      </rPr>
      <t>1</t>
    </r>
    <r>
      <rPr>
        <sz val="9"/>
        <rFont val="Arial"/>
        <family val="2"/>
      </rPr>
      <t xml:space="preserve"> På rad 114 motsvarar inskrivet hyresbelopp månadens hyreskostnad. Betalningen sker samma </t>
    </r>
  </si>
  <si>
    <t xml:space="preserve">Genom att ange materialandel (L63 år 1) eller bruttovinstprocent (L64 år 1) för din totala verksamhet får </t>
  </si>
  <si>
    <t>Avskrivning. Anläggnings-</t>
  </si>
  <si>
    <t>tillgångar i ingående balans</t>
  </si>
  <si>
    <t>Anläggningstillgångar 1</t>
  </si>
  <si>
    <t>Anläggningstillgångar 2</t>
  </si>
  <si>
    <t>Anläggningstillgångar 3</t>
  </si>
  <si>
    <t>Anläggningstillgångar 4</t>
  </si>
  <si>
    <t>Anläggningstillgångar 5</t>
  </si>
  <si>
    <t>Anläggningstillgångar 6</t>
  </si>
  <si>
    <t>Anläggningstillgångar 7</t>
  </si>
  <si>
    <t>Anläggningstillgångar 8</t>
  </si>
  <si>
    <t>Anläggningstillgångar 9</t>
  </si>
  <si>
    <t>Anläggningstillgångar 10</t>
  </si>
  <si>
    <t>Avskrivning. Ägarinsatta anläggnings-</t>
  </si>
  <si>
    <t>Anläggningstillgångar totalt FÖRSLAG</t>
  </si>
  <si>
    <t>Anläggningstillg. IB totalt FÖRSLAG</t>
  </si>
  <si>
    <t>Egeninsatta anläggningstillgångar 1</t>
  </si>
  <si>
    <t>Egeninsatta anläggningstillgångar 2</t>
  </si>
  <si>
    <r>
      <t xml:space="preserve">Avskrivningar </t>
    </r>
    <r>
      <rPr>
        <sz val="9"/>
        <color rgb="FFC00000"/>
        <rFont val="Arial Narrow"/>
        <family val="2"/>
      </rPr>
      <t>ägarinsatta</t>
    </r>
    <r>
      <rPr>
        <sz val="9"/>
        <rFont val="Arial Narrow"/>
        <family val="2"/>
      </rPr>
      <t xml:space="preserve"> anläggn.tillg exkl ing bal</t>
    </r>
  </si>
  <si>
    <r>
      <t xml:space="preserve">Avskrivning ing. balans </t>
    </r>
    <r>
      <rPr>
        <sz val="9"/>
        <color rgb="FFC00000"/>
        <rFont val="Arial Narrow"/>
        <family val="2"/>
      </rPr>
      <t>ägarinsatta</t>
    </r>
    <r>
      <rPr>
        <sz val="9"/>
        <rFont val="Arial Narrow"/>
        <family val="2"/>
      </rPr>
      <t xml:space="preserve"> anl.tillgångar</t>
    </r>
  </si>
  <si>
    <r>
      <t xml:space="preserve">Ackumulerade </t>
    </r>
    <r>
      <rPr>
        <sz val="8"/>
        <color rgb="FFC00000"/>
        <rFont val="Arial"/>
        <family val="2"/>
      </rPr>
      <t>ägarinsatta</t>
    </r>
    <r>
      <rPr>
        <sz val="8"/>
        <rFont val="Arial"/>
        <family val="2"/>
      </rPr>
      <t xml:space="preserve"> anl.tillg.</t>
    </r>
  </si>
  <si>
    <t>Anläggn.tillg. ing bal</t>
  </si>
  <si>
    <r>
      <t xml:space="preserve">Ackumul </t>
    </r>
    <r>
      <rPr>
        <sz val="9"/>
        <color rgb="FFFF0000"/>
        <rFont val="Arial Narrow"/>
        <family val="2"/>
      </rPr>
      <t>ägarinsatt</t>
    </r>
    <r>
      <rPr>
        <sz val="9"/>
        <rFont val="Arial Narrow"/>
        <family val="2"/>
      </rPr>
      <t xml:space="preserve"> ägarutrustn minus avskrivningar</t>
    </r>
  </si>
  <si>
    <t>Ackumulerade invest i anl.tillg. (Ej ägarinsatta)</t>
  </si>
  <si>
    <t>Avskrivningar anläggn.tillg totalt</t>
  </si>
  <si>
    <r>
      <t xml:space="preserve">Avskrivning </t>
    </r>
    <r>
      <rPr>
        <sz val="9"/>
        <color rgb="FFFF0000"/>
        <rFont val="Arial Narrow"/>
        <family val="2"/>
      </rPr>
      <t>ägarinsatta</t>
    </r>
    <r>
      <rPr>
        <sz val="9"/>
        <rFont val="Arial Narrow"/>
        <family val="2"/>
      </rPr>
      <t xml:space="preserve"> anl.tillg. Totalt</t>
    </r>
  </si>
  <si>
    <t>Ägarinsatta anläggningstillgångar</t>
  </si>
  <si>
    <r>
      <t xml:space="preserve">Lägg inköpen av anläggningstillgångar i inköpsmånad. Välj kredittid och momssats. </t>
    </r>
    <r>
      <rPr>
        <b/>
        <sz val="8"/>
        <rFont val="Arial"/>
        <family val="2"/>
      </rPr>
      <t xml:space="preserve">Ändra avskrivningsprocenten i cellerna AH139 till AH153 och AH155 </t>
    </r>
    <r>
      <rPr>
        <b/>
        <sz val="8"/>
        <color rgb="FFC00000"/>
        <rFont val="Arial"/>
        <family val="2"/>
      </rPr>
      <t>►►</t>
    </r>
  </si>
  <si>
    <r>
      <rPr>
        <b/>
        <sz val="8"/>
        <rFont val="Arial"/>
        <family val="2"/>
      </rPr>
      <t>Avskrivning</t>
    </r>
    <r>
      <rPr>
        <sz val="8"/>
        <rFont val="Arial"/>
        <family val="2"/>
      </rPr>
      <t xml:space="preserve"> . Ägarinsatta anl.tillg. i ing bal</t>
    </r>
  </si>
  <si>
    <t>33 Anläggningstillgångar i ingående balans. Avskrivning</t>
  </si>
  <si>
    <t>Utg balans</t>
  </si>
  <si>
    <t>År</t>
  </si>
  <si>
    <t xml:space="preserve">Budgetmallen använder i första hand en avskrivningsmodell som bygger på att anläggningstillgångarnas </t>
  </si>
  <si>
    <t>Avskrivning % av ingående balans</t>
  </si>
  <si>
    <t>Avskrivning % av anskafningsvärde</t>
  </si>
  <si>
    <t>Avskrivning per år kr</t>
  </si>
  <si>
    <t>Anläggningstillgång. Anskaffningsvärde kr</t>
  </si>
  <si>
    <t>Budgetera dina avskrivningar så som beskrivs under rubriken ovan.</t>
  </si>
  <si>
    <t>Läs instruktion!</t>
  </si>
  <si>
    <t xml:space="preserve">Behöver du fler rader för din budgetering av Försäljning? Det finns totalt 20 rader tillgängliga varav 16 är </t>
  </si>
  <si>
    <t>Se på rad 44, fliken Likviditetsbudget, hur checkkrediten är utnyttjad.</t>
  </si>
  <si>
    <t>beloppet ingå olika slag av skulder. På rad 234 och nedåt kan tre olika slag av skulder bearbetas.</t>
  </si>
  <si>
    <t>på rad 243. För in leveransvärde på rad 244 i den eller de månader leveransen kommer att ske. Förskotts-</t>
  </si>
  <si>
    <t xml:space="preserve">budgetera med förskottshyra. Se modulen på rad 247. </t>
  </si>
  <si>
    <t xml:space="preserve">hyresintäkterna på rad 249 över de månader som förskottsbetalningen avser. Hyresintäkterna visas i Övriga </t>
  </si>
  <si>
    <t>arbetsgivaravgift på utbetalda löner, kan de betalas på rad 253 Det kan t.ex. vara skuld för slutlig skatt.</t>
  </si>
  <si>
    <t xml:space="preserve">till företaget t.ex. arbetsmarknadsstöd. Inkomsterna förs på raderna 262 och 263 t.ex. ett kontinuerligt </t>
  </si>
  <si>
    <t xml:space="preserve">lönebidrag eller en ränteinkomst. Lägg in betalningar. t.ex. från Arbetsförmedling eller Bank, på rad 265. </t>
  </si>
  <si>
    <t>Övriga lån 3</t>
  </si>
  <si>
    <t>Övriga lån 4</t>
  </si>
  <si>
    <t>Övriga lån 5</t>
  </si>
  <si>
    <t>Vid företagets betalning av ränta, rad 192, minskar ränteskulden. Se ränteskulden på rad 193.</t>
  </si>
  <si>
    <t>kostnaden har belastat månadens resultat. På rad 193</t>
  </si>
  <si>
    <t>visas ränteskulden efter räntebetalning på rad 192</t>
  </si>
  <si>
    <t>Avskrivning kan göras på rad 289. Avskrivningarna summeras automatiskt till övriga avskrivningar på rad 156.</t>
  </si>
  <si>
    <t xml:space="preserve">ekonomiskt utbyte framöver. På raderna 279 till 286 kan du månad för månad lägga in de kostnader som ska </t>
  </si>
  <si>
    <t>anläggningstillgångar. Lägg in avskrivningsbeloppen på raden 289. Avskrivningsbeloppen läggs automatiskt</t>
  </si>
  <si>
    <t>till 32. Balanserad tillgång som säljs, skriver du av till sitt tillgångsvärde på avskrivningsrad 289.</t>
  </si>
  <si>
    <t xml:space="preserve">användningstid överensstämmer med avskrivningstiden. För de flesta inventarier kan en avskrivningstid på </t>
  </si>
  <si>
    <r>
      <t xml:space="preserve">fem år vara lämplig. Avskrivningsprocenten på </t>
    </r>
    <r>
      <rPr>
        <b/>
        <sz val="9"/>
        <rFont val="Arial"/>
        <family val="2"/>
      </rPr>
      <t>anskaffningsvärdet</t>
    </r>
    <r>
      <rPr>
        <sz val="9"/>
        <rFont val="Arial"/>
        <family val="2"/>
      </rPr>
      <t xml:space="preserve"> blir då 20% per år, 1,7% per månad. </t>
    </r>
  </si>
  <si>
    <t xml:space="preserve">Eftersom anläggningstillgång i ingående balans är anskaffningsvärdet med avdrag för gjorda avskrivningar, </t>
  </si>
  <si>
    <t xml:space="preserve">kan avskrivning inte räknas som 20% på ingående balans. Har du kännedom om tidigare avskrivningsbelopp </t>
  </si>
  <si>
    <t>tidigare. Se tabell här till höger.</t>
  </si>
  <si>
    <t xml:space="preserve">per år eller månad kan du lägga in budgetperiodens avskrivning i modulen på rad 295 och nedåt. </t>
  </si>
  <si>
    <t xml:space="preserve">Skriver du något på raderna 295 till 304 försvinner det förslag som är inlagt på rad 294. </t>
  </si>
  <si>
    <t>Förslaget på rad 294 är grundat på att anskaffningen har skett två år före tillfället för ingående balans.</t>
  </si>
  <si>
    <t xml:space="preserve">Du kan ändra föreslagen avskrivningsprocent i cell AH294, om du har annat anskäffningstillfälle än två år </t>
  </si>
  <si>
    <t xml:space="preserve">företaget. Rad 206 är samma som sista raden i Likviditetsbudgeten. Den visar tillgångar i kassan och på </t>
  </si>
  <si>
    <t xml:space="preserve">företagskontot, eller underskottet. I praktiken kan inte företaget ha någon längre tids underskott utan att ha </t>
  </si>
  <si>
    <t xml:space="preserve">betydande problem. Har du alltför god likviditet? Kan du minska lånen? Gå tillbaka och ändra till lägre </t>
  </si>
  <si>
    <t xml:space="preserve">lånenivå. Har du dålig likviditet men ändå goda utsikter för företaget - prova med höjda lån. Observera att </t>
  </si>
  <si>
    <t xml:space="preserve">checkkreditens limit räknas som plus fullt ut i likviditetsbudgeten. Analysera checkkreditens påverkan på </t>
  </si>
  <si>
    <t>likviditeten med hjälp av raderna 41-45 efter Likviditetsbudgeten.</t>
  </si>
  <si>
    <t xml:space="preserve">Det finns en mängd variabler att fundera över när du gjort dina första budgetar. Ett exempel är om du valt </t>
  </si>
  <si>
    <t xml:space="preserve">den lämpligaste metoden för momsredovisning i företagsstarten. Prova en annan metod och granska </t>
  </si>
  <si>
    <t>utfallet. Du kan göra flera olika budgetar för att se vad som händer om du ändrar något. Budgetmallen</t>
  </si>
  <si>
    <t xml:space="preserve">gör det lätt att ändra. </t>
  </si>
  <si>
    <t xml:space="preserve">Utnyttjad del av checkkrediten visas på flik Likviditetsbudget, rad  rad 44. Checkkrediten är inlagd som helhet </t>
  </si>
  <si>
    <t xml:space="preserve">och i likviditetsbudgeten visas alltså utgående likviditet inklusive checklimiten. Om likviditeten är god så att </t>
  </si>
  <si>
    <t>noll eller på minus.</t>
  </si>
  <si>
    <t>Bokslutsdispositioner (för mer kvalificerad bedömning)</t>
  </si>
  <si>
    <t xml:space="preserve">Underlag för </t>
  </si>
  <si>
    <t>prel F-skatt vid</t>
  </si>
  <si>
    <t>simulering</t>
  </si>
  <si>
    <t>Bedömning av skatt för företag och ägare, se rad 55 och nedåt!</t>
  </si>
  <si>
    <t>På rad 309 finns ett förslag till avskrivning.  I cell AH309 kan du ändra avskrivningsprocenten.</t>
  </si>
  <si>
    <t>Vill du hellre göra helt egna beräkningar kandu göra det på rad 310-311.</t>
  </si>
  <si>
    <t>Hyresintäkter månadsvis (Rad 258 och 247)</t>
  </si>
  <si>
    <t>27 Försäljningsintäkt med i förväg erhållen betalning. Förskott från kund.</t>
  </si>
  <si>
    <t>Momsfria samhällsbidrag, hämtade från rad 273, dels Hyresintäkter som finns på rad 259.</t>
  </si>
  <si>
    <r>
      <rPr>
        <b/>
        <sz val="9"/>
        <rFont val="Arial"/>
        <family val="2"/>
      </rPr>
      <t>2</t>
    </r>
    <r>
      <rPr>
        <sz val="9"/>
        <rFont val="Arial"/>
        <family val="2"/>
      </rPr>
      <t xml:space="preserve"> I modulen på raderna 238 till 241 kan du budgetera hyreskostnad som betalas i förskott. Skriv in</t>
    </r>
  </si>
  <si>
    <t>förskottsbetalningen på rad 239 och månadshyran på rad 240 i de månader som förskottet avser.</t>
  </si>
  <si>
    <t xml:space="preserve">Vill du budgetera med fler kostnadskonton än på de tillgängliga 20 raderna kan du budgetera dessa i grupper </t>
  </si>
  <si>
    <t xml:space="preserve">till höger om mallen. Länka summorna från grupperna till raderna 116 till 133. Förutsättningarna för </t>
  </si>
  <si>
    <t xml:space="preserve">grupperna är att de inbördes har samma kredittid och momssats. Det går också bra att göra detta på ett </t>
  </si>
  <si>
    <t>kalkylblad som du själv tar fram.</t>
  </si>
  <si>
    <t>2016. Denna möjlighet gäller inte patent och goodwill.</t>
  </si>
  <si>
    <t xml:space="preserve">Välj procentsats för planenlig avskrivning av investeringar i anläggningstillgångar. Välj även procentsats för </t>
  </si>
  <si>
    <t xml:space="preserve">avskrivning av ägarinsatta anläggningstillgångar. Förinställning i mallen är 20%. Beräkning av avskrivning </t>
  </si>
  <si>
    <t xml:space="preserve">sker automatiskt från inköpsmånad och framåt. Avskrivningar ser du i resultatbudgeten som en kostnad, men </t>
  </si>
  <si>
    <t xml:space="preserve">det är ingen utbetalning och syns inte i likviditetsbudgeten. Budgetering av anläggningstillgångar i ingående </t>
  </si>
  <si>
    <t xml:space="preserve">balans gör du i moduler från rad 292 och nedåt. Avskrivning på balanserade kostnader görs på rad 289. </t>
  </si>
  <si>
    <t xml:space="preserve">Upplupen ränta ger ränteskuld. Ränteskulden visas på rad 193 och i balansräkningen. </t>
  </si>
  <si>
    <t>När du lägger in betalning av ränta på rad 192 minskar ränteskulden på rad 193.</t>
  </si>
  <si>
    <t>=$AJ196/12</t>
  </si>
  <si>
    <t>=$AL196/12</t>
  </si>
  <si>
    <t>=$AJ197/12</t>
  </si>
  <si>
    <t>=$AL197/12</t>
  </si>
  <si>
    <t xml:space="preserve">skatteberäkning. Se flik Resultat_Helår rad 55 och nedåt. Summan av beloppen för egenavgift, statlig och </t>
  </si>
  <si>
    <t xml:space="preserve">som visas i cellerna AL201 till AL218 eller AJ201 till AJ218 (förlängt räkenskapsår), förs över till ingående </t>
  </si>
  <si>
    <t xml:space="preserve">Ingående balansposter kan du skriva ini  E201 till E218. Läs kommentarerna vid respektive </t>
  </si>
  <si>
    <t>tillgångar = eget kapital plus skulder, ingen differens visas då i cell E220.</t>
  </si>
  <si>
    <t>beloppet finnas olika slag av fordringar. På rad 231 och nedåt kan tre olika slag av fordringar bearbetas.</t>
  </si>
  <si>
    <t>kategori som inte finns representerad kan du kontakta ake.olsson@almi.se för att finna en lösning.</t>
  </si>
  <si>
    <t xml:space="preserve">Fördela ingående poster i cellerna E233 till E235 för det egna minnets skull. Om du har behov av någon </t>
  </si>
  <si>
    <r>
      <rPr>
        <i/>
        <sz val="9"/>
        <rFont val="Arial"/>
        <family val="2"/>
      </rPr>
      <t>kostnader.</t>
    </r>
    <r>
      <rPr>
        <sz val="9"/>
        <rFont val="Arial"/>
        <family val="2"/>
      </rPr>
      <t xml:space="preserve"> Observera att beloppet inte alls hamnar i resultatbudgeten om listvalet på rad 64 är</t>
    </r>
  </si>
  <si>
    <t xml:space="preserve">på rad 238 och nedåt. Det är också möjligt att parallellt på rad 114 budgetera hyresbetalning som görs i </t>
  </si>
  <si>
    <t>anslutning till den hyresmånad som betalningen avser. Läs mer under rubriken Övriga kostnader - Lokalhyra.</t>
  </si>
  <si>
    <r>
      <t xml:space="preserve">Sätt inköpen i inköpsmånad! För varje kostnadsslag du köper in bestämmer du kredittid och momssats. Budgetera </t>
    </r>
    <r>
      <rPr>
        <b/>
        <sz val="8"/>
        <rFont val="Arial"/>
        <family val="2"/>
      </rPr>
      <t>hyran</t>
    </r>
    <r>
      <rPr>
        <sz val="8"/>
        <rFont val="Arial"/>
        <family val="2"/>
      </rPr>
      <t xml:space="preserve"> här om du betalar i anslutning till hyresmånaden. Vid förskottshyra som har stor inverkan på likviditeten bör du budgetera på förskottsmodulen, rad 238.</t>
    </r>
  </si>
  <si>
    <t>Acceptera förslaget till redovisning/betalning av ing bal momsfordran på rad 223 eller ändra på rad 224.</t>
  </si>
  <si>
    <t>Acceptera förslaget till redovisning/betalning av ing bal momsskuld på rad 228 eller ändra på rad 229.</t>
  </si>
  <si>
    <t>på rad 253 i den eller de månader leveransen kommer att ske. Moms beräknas automatiskt av mallen utifrån inställd momssats.</t>
  </si>
  <si>
    <t>Har kund betalat i förskott för varor eller tjänster som du ska leverera senare? Budgetera förskottsbetalningen på rad 252 i betalmånad. För in leveransvärde</t>
  </si>
  <si>
    <t>Försäljningsintäkter månadsvis (Rad 246 och 253)</t>
  </si>
  <si>
    <t>23 Likviditet, rad 206 i Förenklad balansbudget och rad 38 på fliken Likviditetsbudget</t>
  </si>
  <si>
    <t>Rad 268 visar om företaget har fordran eller skuld .</t>
  </si>
  <si>
    <t>Antal år sedan anskaffning</t>
  </si>
  <si>
    <t>0-1</t>
  </si>
  <si>
    <t>1-2</t>
  </si>
  <si>
    <t>2-3</t>
  </si>
  <si>
    <t>3-4</t>
  </si>
  <si>
    <t>4-5</t>
  </si>
  <si>
    <t>Anläggningstillgång i ing balans kr</t>
  </si>
  <si>
    <t>Avskrivning per månad kr</t>
  </si>
  <si>
    <t>34 Avskrivning. Egeninsatta anläggningstillgångar</t>
  </si>
  <si>
    <t>35 Andra momssatser</t>
  </si>
  <si>
    <t>Acceptera förslaget till avskrivning på rad 294 eller gör egna beräkningar av avskrivningarna på raderna 295 till 304 sedan du delat upp anläggningstillgångar på det sätt du önskar. Skriv in avskrivningsbelopp</t>
  </si>
  <si>
    <t>månad för månad eller gör en formel. I cell AH294 kan du ändra avskrivningsprocenten om du önskar. Fördela ingående anläggningstillgångar på cellerna E294 till E304.</t>
  </si>
  <si>
    <r>
      <t xml:space="preserve">till kund eller kontantbetalning från kund. Se även </t>
    </r>
    <r>
      <rPr>
        <b/>
        <sz val="9"/>
        <rFont val="Arial"/>
        <family val="2"/>
      </rPr>
      <t>försäljning med förskottsbetalning</t>
    </r>
    <r>
      <rPr>
        <sz val="9"/>
        <rFont val="Arial"/>
        <family val="2"/>
      </rPr>
      <t>, rad 414 på denna flik.</t>
    </r>
  </si>
  <si>
    <t xml:space="preserve">Behöver du ändra momssatserna? </t>
  </si>
  <si>
    <t>© Almi Företagspartner AB 2016-04-18</t>
  </si>
  <si>
    <t>Du kan även rekvirera en fyraårsmall.</t>
  </si>
  <si>
    <t>du inte gjort detta så visas röda siffror på rad 220.</t>
  </si>
  <si>
    <t>Månadshyra (månadskostnad), förskottsbetald på rad 239</t>
  </si>
  <si>
    <t>Månadshyra rad 235 och 240</t>
  </si>
  <si>
    <r>
      <rPr>
        <b/>
        <sz val="8"/>
        <rFont val="Arial"/>
        <family val="2"/>
      </rPr>
      <t>Avskrivning.</t>
    </r>
    <r>
      <rPr>
        <sz val="8"/>
        <rFont val="Arial"/>
        <family val="2"/>
      </rPr>
      <t xml:space="preserve"> Anläggn.tillg. Ing. balans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</si>
</sst>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000"/>
    <numFmt numFmtId="166" formatCode="0.0000000"/>
    <numFmt numFmtId="167" formatCode="#,##0.0"/>
    <numFmt numFmtId="168" formatCode="0.000"/>
    <numFmt numFmtId="169" formatCode="0.0"/>
  </numFmts>
  <fonts count="227">
    <font>
      <sz val="11"/>
      <color theme="1"/>
      <name val="Calibri"/>
      <family val="2"/>
      <scheme val="minor"/>
    </font>
    <font>
      <sz val="10"/>
      <name val="Arial"/>
      <family val="2"/>
    </font>
    <font>
      <sz val="9"/>
      <name val="Arial Narrow"/>
      <family val="2"/>
    </font>
    <font>
      <b/>
      <sz val="14"/>
      <name val="Arial Narrow"/>
      <family val="2"/>
    </font>
    <font>
      <sz val="10"/>
      <name val="Arial Narrow"/>
      <family val="2"/>
    </font>
    <font>
      <b/>
      <sz val="10"/>
      <name val="Arial Narrow"/>
      <family val="2"/>
    </font>
    <font>
      <b/>
      <sz val="8"/>
      <name val="Arial Narrow"/>
      <family val="2"/>
    </font>
    <font>
      <sz val="8"/>
      <name val="Arial Narrow"/>
      <family val="2"/>
    </font>
    <font>
      <sz val="7"/>
      <name val="Arial Narrow"/>
      <family val="2"/>
    </font>
    <font>
      <i/>
      <sz val="8"/>
      <name val="Arial Narrow"/>
      <family val="2"/>
    </font>
    <font>
      <i/>
      <sz val="9"/>
      <name val="Arial Narrow"/>
      <family val="2"/>
    </font>
    <font>
      <sz val="8"/>
      <name val="Arial"/>
      <family val="2"/>
    </font>
    <font>
      <sz val="9"/>
      <name val="Arial"/>
      <family val="2"/>
    </font>
    <font>
      <b/>
      <sz val="14"/>
      <name val="Arial"/>
      <family val="2"/>
    </font>
    <font>
      <b/>
      <sz val="9"/>
      <name val="News Gothic"/>
      <family val="2"/>
    </font>
    <font>
      <b/>
      <sz val="9"/>
      <name val="Arial"/>
      <family val="2"/>
    </font>
    <font>
      <b/>
      <sz val="8"/>
      <name val="Arial"/>
      <family val="2"/>
    </font>
    <font>
      <b/>
      <sz val="10"/>
      <name val="Arial"/>
      <family val="2"/>
    </font>
    <font>
      <b/>
      <sz val="12"/>
      <name val="Arial"/>
      <family val="2"/>
    </font>
    <font>
      <sz val="8"/>
      <color indexed="81"/>
      <name val="Tahoma"/>
      <family val="2"/>
    </font>
    <font>
      <sz val="9"/>
      <color indexed="81"/>
      <name val="Tahoma"/>
      <family val="2"/>
    </font>
    <font>
      <b/>
      <sz val="9"/>
      <color indexed="81"/>
      <name val="Tahoma"/>
      <family val="2"/>
    </font>
    <font>
      <sz val="14"/>
      <name val="Arial"/>
      <family val="2"/>
    </font>
    <font>
      <i/>
      <sz val="10"/>
      <name val="Arial"/>
      <family val="2"/>
    </font>
    <font>
      <u/>
      <sz val="10"/>
      <color indexed="12"/>
      <name val="Arial"/>
      <family val="2"/>
    </font>
    <font>
      <sz val="10"/>
      <name val="Arial"/>
      <family val="2"/>
    </font>
    <font>
      <b/>
      <sz val="16"/>
      <name val="Arial"/>
      <family val="2"/>
    </font>
    <font>
      <sz val="12"/>
      <name val="Arial"/>
      <family val="2"/>
    </font>
    <font>
      <u/>
      <sz val="9"/>
      <color indexed="12"/>
      <name val="Arial"/>
      <family val="2"/>
    </font>
    <font>
      <i/>
      <sz val="9"/>
      <name val="Arial"/>
      <family val="2"/>
    </font>
    <font>
      <b/>
      <sz val="9"/>
      <color indexed="12"/>
      <name val="Arial"/>
      <family val="2"/>
    </font>
    <font>
      <sz val="9"/>
      <color indexed="56"/>
      <name val="Arial"/>
      <family val="2"/>
    </font>
    <font>
      <sz val="9"/>
      <color indexed="18"/>
      <name val="Arial"/>
      <family val="2"/>
    </font>
    <font>
      <sz val="9"/>
      <color indexed="60"/>
      <name val="Arial"/>
      <family val="2"/>
    </font>
    <font>
      <sz val="9"/>
      <name val="Wingdings 3"/>
      <family val="1"/>
      <charset val="2"/>
    </font>
    <font>
      <vertAlign val="superscript"/>
      <sz val="8"/>
      <name val="Arial"/>
      <family val="2"/>
    </font>
    <font>
      <vertAlign val="superscript"/>
      <sz val="9"/>
      <name val="Arial"/>
      <family val="2"/>
    </font>
    <font>
      <vertAlign val="superscript"/>
      <sz val="9"/>
      <color indexed="8"/>
      <name val="Calibri"/>
      <family val="2"/>
    </font>
    <font>
      <sz val="9"/>
      <name val="Calibri"/>
      <family val="2"/>
    </font>
    <font>
      <u/>
      <sz val="8"/>
      <color indexed="12"/>
      <name val="Arial"/>
      <family val="2"/>
    </font>
    <font>
      <sz val="8"/>
      <color indexed="60"/>
      <name val="Arial"/>
      <family val="2"/>
    </font>
    <font>
      <sz val="9"/>
      <name val="News Gothic"/>
      <family val="2"/>
    </font>
    <font>
      <b/>
      <sz val="12"/>
      <name val="Arial Narrow"/>
      <family val="2"/>
    </font>
    <font>
      <b/>
      <sz val="8"/>
      <color indexed="60"/>
      <name val="Arial"/>
      <family val="2"/>
    </font>
    <font>
      <sz val="8"/>
      <color indexed="60"/>
      <name val="Arial Narrow"/>
      <family val="2"/>
    </font>
    <font>
      <sz val="10"/>
      <name val="Arial"/>
      <family val="2"/>
    </font>
    <font>
      <b/>
      <i/>
      <sz val="8"/>
      <name val="Arial Narrow"/>
      <family val="2"/>
    </font>
    <font>
      <sz val="8"/>
      <color indexed="55"/>
      <name val="Arial"/>
      <family val="2"/>
    </font>
    <font>
      <b/>
      <sz val="8"/>
      <color indexed="55"/>
      <name val="Arial"/>
      <family val="2"/>
    </font>
    <font>
      <sz val="10"/>
      <color indexed="10"/>
      <name val="Arial"/>
      <family val="2"/>
    </font>
    <font>
      <b/>
      <sz val="9"/>
      <color indexed="56"/>
      <name val="Arial"/>
      <family val="2"/>
    </font>
    <font>
      <b/>
      <sz val="9"/>
      <color indexed="60"/>
      <name val="Arial"/>
      <family val="2"/>
    </font>
    <font>
      <sz val="8"/>
      <color indexed="10"/>
      <name val="Arial"/>
      <family val="2"/>
    </font>
    <font>
      <sz val="9"/>
      <color indexed="56"/>
      <name val="Arial"/>
      <family val="2"/>
    </font>
    <font>
      <b/>
      <sz val="9"/>
      <color indexed="21"/>
      <name val="Arial"/>
      <family val="2"/>
    </font>
    <font>
      <b/>
      <sz val="8"/>
      <color indexed="21"/>
      <name val="Arial"/>
      <family val="2"/>
    </font>
    <font>
      <b/>
      <sz val="10"/>
      <color indexed="17"/>
      <name val="Arial Narrow"/>
      <family val="2"/>
    </font>
    <font>
      <sz val="11"/>
      <color indexed="10"/>
      <name val="Arial"/>
      <family val="2"/>
    </font>
    <font>
      <sz val="8"/>
      <color indexed="10"/>
      <name val="Arial Narrow"/>
      <family val="2"/>
    </font>
    <font>
      <sz val="8"/>
      <color indexed="8"/>
      <name val="Arial Narrow"/>
      <family val="2"/>
    </font>
    <font>
      <sz val="11"/>
      <color indexed="10"/>
      <name val="Arial Narrow"/>
      <family val="2"/>
    </font>
    <font>
      <sz val="10"/>
      <color indexed="55"/>
      <name val="Arial"/>
      <family val="2"/>
    </font>
    <font>
      <sz val="11"/>
      <color indexed="8"/>
      <name val="Arial Narrow"/>
      <family val="2"/>
    </font>
    <font>
      <i/>
      <sz val="8"/>
      <color indexed="8"/>
      <name val="Arial Narrow"/>
      <family val="2"/>
    </font>
    <font>
      <b/>
      <i/>
      <sz val="8"/>
      <color indexed="8"/>
      <name val="Arial Narrow"/>
      <family val="2"/>
    </font>
    <font>
      <b/>
      <sz val="8"/>
      <color indexed="57"/>
      <name val="Arial Narrow"/>
      <family val="2"/>
    </font>
    <font>
      <sz val="8"/>
      <color indexed="60"/>
      <name val="Arial"/>
      <family val="2"/>
    </font>
    <font>
      <b/>
      <sz val="8"/>
      <color indexed="55"/>
      <name val="Arial"/>
      <family val="2"/>
    </font>
    <font>
      <b/>
      <sz val="9"/>
      <color indexed="8"/>
      <name val="Arial"/>
      <family val="2"/>
    </font>
    <font>
      <sz val="8"/>
      <color indexed="21"/>
      <name val="Arial"/>
      <family val="2"/>
    </font>
    <font>
      <sz val="8"/>
      <color indexed="62"/>
      <name val="Arial Narrow"/>
      <family val="2"/>
    </font>
    <font>
      <b/>
      <i/>
      <sz val="8"/>
      <color indexed="60"/>
      <name val="Arial Narrow"/>
      <family val="2"/>
    </font>
    <font>
      <i/>
      <sz val="8"/>
      <color indexed="17"/>
      <name val="Arial Narrow"/>
      <family val="2"/>
    </font>
    <font>
      <i/>
      <sz val="8"/>
      <color indexed="56"/>
      <name val="Arial Narrow"/>
      <family val="2"/>
    </font>
    <font>
      <i/>
      <sz val="8"/>
      <color indexed="60"/>
      <name val="Arial Narrow"/>
      <family val="2"/>
    </font>
    <font>
      <i/>
      <sz val="8"/>
      <color indexed="60"/>
      <name val="Arial Narrow"/>
      <family val="2"/>
    </font>
    <font>
      <sz val="9"/>
      <color indexed="9"/>
      <name val="Arial"/>
      <family val="2"/>
    </font>
    <font>
      <b/>
      <sz val="8"/>
      <color indexed="60"/>
      <name val="Arial Narrow"/>
      <family val="2"/>
    </font>
    <font>
      <b/>
      <i/>
      <sz val="9"/>
      <name val="Arial Narrow"/>
      <family val="2"/>
    </font>
    <font>
      <sz val="10"/>
      <name val="Arial"/>
      <family val="2"/>
    </font>
    <font>
      <i/>
      <sz val="8"/>
      <name val="Arial"/>
      <family val="2"/>
    </font>
    <font>
      <b/>
      <sz val="9"/>
      <color indexed="10"/>
      <name val="Arial Narrow"/>
      <family val="2"/>
    </font>
    <font>
      <sz val="9"/>
      <color indexed="17"/>
      <name val="Arial Narrow"/>
      <family val="2"/>
    </font>
    <font>
      <b/>
      <sz val="9"/>
      <color indexed="17"/>
      <name val="Arial Narrow"/>
      <family val="2"/>
    </font>
    <font>
      <sz val="9"/>
      <color indexed="10"/>
      <name val="Arial Narrow"/>
      <family val="2"/>
    </font>
    <font>
      <b/>
      <i/>
      <sz val="9"/>
      <name val="Arial"/>
      <family val="2"/>
    </font>
    <font>
      <b/>
      <sz val="10"/>
      <color indexed="8"/>
      <name val="Arial"/>
      <family val="2"/>
    </font>
    <font>
      <sz val="10"/>
      <color indexed="8"/>
      <name val="Arial"/>
      <family val="2"/>
    </font>
    <font>
      <u/>
      <sz val="8"/>
      <color indexed="60"/>
      <name val="Arial"/>
      <family val="2"/>
    </font>
    <font>
      <sz val="9"/>
      <color indexed="36"/>
      <name val="Arial"/>
      <family val="2"/>
    </font>
    <font>
      <sz val="10"/>
      <color indexed="60"/>
      <name val="Arial"/>
      <family val="2"/>
    </font>
    <font>
      <b/>
      <sz val="10"/>
      <color indexed="60"/>
      <name val="Arial"/>
      <family val="2"/>
    </font>
    <font>
      <sz val="8"/>
      <color indexed="18"/>
      <name val="Arial"/>
      <family val="2"/>
    </font>
    <font>
      <sz val="8"/>
      <color indexed="62"/>
      <name val="Arial"/>
      <family val="2"/>
    </font>
    <font>
      <b/>
      <sz val="9"/>
      <color indexed="50"/>
      <name val="Arial"/>
      <family val="2"/>
    </font>
    <font>
      <vertAlign val="superscript"/>
      <sz val="9"/>
      <color indexed="8"/>
      <name val="Arial"/>
      <family val="2"/>
    </font>
    <font>
      <b/>
      <sz val="12"/>
      <color indexed="21"/>
      <name val="Garamond"/>
      <family val="1"/>
    </font>
    <font>
      <sz val="9"/>
      <color indexed="8"/>
      <name val="Arial"/>
      <family val="2"/>
    </font>
    <font>
      <b/>
      <sz val="11"/>
      <name val="Arial"/>
      <family val="2"/>
    </font>
    <font>
      <sz val="16"/>
      <name val="Arial"/>
      <family val="2"/>
    </font>
    <font>
      <sz val="9"/>
      <color indexed="12"/>
      <name val="Arial"/>
      <family val="2"/>
    </font>
    <font>
      <b/>
      <sz val="22"/>
      <color indexed="21"/>
      <name val="Garamond"/>
      <family val="1"/>
    </font>
    <font>
      <b/>
      <sz val="14"/>
      <color indexed="21"/>
      <name val="Garamond"/>
      <family val="1"/>
    </font>
    <font>
      <b/>
      <sz val="17"/>
      <name val="Arial"/>
      <family val="2"/>
    </font>
    <font>
      <sz val="11"/>
      <name val="Arial Narrow"/>
      <family val="2"/>
    </font>
    <font>
      <i/>
      <sz val="9"/>
      <color indexed="8"/>
      <name val="Arial Narrow"/>
      <family val="2"/>
    </font>
    <font>
      <sz val="11"/>
      <color theme="1"/>
      <name val="Calibri"/>
      <family val="2"/>
      <scheme val="minor"/>
    </font>
    <font>
      <sz val="8"/>
      <color rgb="FFFF0000"/>
      <name val="Arial"/>
      <family val="2"/>
    </font>
    <font>
      <i/>
      <sz val="9"/>
      <color rgb="FFFF0000"/>
      <name val="Arial Narrow"/>
      <family val="2"/>
    </font>
    <font>
      <b/>
      <sz val="9"/>
      <color rgb="FFC00000"/>
      <name val="Arial"/>
      <family val="2"/>
    </font>
    <font>
      <sz val="8"/>
      <color rgb="FFC00000"/>
      <name val="Arial"/>
      <family val="2"/>
    </font>
    <font>
      <sz val="8"/>
      <color rgb="FFFF0000"/>
      <name val="Arial Narrow"/>
      <family val="2"/>
    </font>
    <font>
      <b/>
      <sz val="8"/>
      <color rgb="FF993300"/>
      <name val="Arial Narrow"/>
      <family val="2"/>
    </font>
    <font>
      <sz val="8"/>
      <color rgb="FF993300"/>
      <name val="Arial Narrow"/>
      <family val="2"/>
    </font>
    <font>
      <sz val="8"/>
      <color theme="1"/>
      <name val="Arial Narrow"/>
      <family val="2"/>
    </font>
    <font>
      <sz val="8"/>
      <color theme="0" tint="-0.499984740745262"/>
      <name val="Arial Narrow"/>
      <family val="2"/>
    </font>
    <font>
      <b/>
      <sz val="8"/>
      <color rgb="FFC00000"/>
      <name val="Arial"/>
      <family val="2"/>
    </font>
    <font>
      <b/>
      <sz val="10"/>
      <color theme="1"/>
      <name val="Arial"/>
      <family val="2"/>
    </font>
    <font>
      <sz val="10"/>
      <color theme="1"/>
      <name val="Arial"/>
      <family val="2"/>
    </font>
    <font>
      <b/>
      <sz val="9"/>
      <color theme="1"/>
      <name val="Arial"/>
      <family val="2"/>
    </font>
    <font>
      <sz val="9"/>
      <color theme="8" tint="-0.499984740745262"/>
      <name val="Arial"/>
      <family val="2"/>
    </font>
    <font>
      <sz val="9"/>
      <color theme="1"/>
      <name val="Arial"/>
      <family val="2"/>
    </font>
    <font>
      <sz val="8"/>
      <color theme="0"/>
      <name val="Arial"/>
      <family val="2"/>
    </font>
    <font>
      <sz val="8"/>
      <color rgb="FFC00000"/>
      <name val="Arial Narrow"/>
      <family val="2"/>
    </font>
    <font>
      <b/>
      <sz val="8"/>
      <color rgb="FFC00000"/>
      <name val="Arial Narrow"/>
      <family val="2"/>
    </font>
    <font>
      <sz val="10"/>
      <color rgb="FFC00000"/>
      <name val="Arial"/>
      <family val="2"/>
    </font>
    <font>
      <sz val="9"/>
      <color rgb="FFC00000"/>
      <name val="Arial"/>
      <family val="2"/>
    </font>
    <font>
      <sz val="8"/>
      <color theme="8" tint="-0.499984740745262"/>
      <name val="Arial"/>
      <family val="2"/>
    </font>
    <font>
      <b/>
      <sz val="9"/>
      <color rgb="FFFF0000"/>
      <name val="Arial"/>
      <family val="2"/>
    </font>
    <font>
      <sz val="9"/>
      <color rgb="FFFF0000"/>
      <name val="Arial"/>
      <family val="2"/>
    </font>
    <font>
      <sz val="10"/>
      <color theme="8" tint="-0.499984740745262"/>
      <name val="Arial"/>
      <family val="2"/>
    </font>
    <font>
      <sz val="9"/>
      <color theme="0"/>
      <name val="Arial"/>
      <family val="2"/>
    </font>
    <font>
      <b/>
      <sz val="10"/>
      <color rgb="FFC00000"/>
      <name val="Arial"/>
      <family val="2"/>
    </font>
    <font>
      <i/>
      <sz val="8"/>
      <color theme="1"/>
      <name val="Arial Narrow"/>
      <family val="2"/>
    </font>
    <font>
      <b/>
      <i/>
      <sz val="8"/>
      <color theme="1"/>
      <name val="Arial Narrow"/>
      <family val="2"/>
    </font>
    <font>
      <sz val="9"/>
      <color theme="3"/>
      <name val="Arial"/>
      <family val="2"/>
    </font>
    <font>
      <sz val="8"/>
      <color rgb="FF007363"/>
      <name val="Arial"/>
      <family val="2"/>
    </font>
    <font>
      <sz val="8"/>
      <color theme="0"/>
      <name val="Arial Narrow"/>
      <family val="2"/>
    </font>
    <font>
      <sz val="10"/>
      <color theme="0"/>
      <name val="Arial"/>
      <family val="2"/>
    </font>
    <font>
      <i/>
      <sz val="9"/>
      <color theme="0"/>
      <name val="Arial Narrow"/>
      <family val="2"/>
    </font>
    <font>
      <b/>
      <sz val="24"/>
      <color rgb="FF007363"/>
      <name val="Garamond"/>
      <family val="1"/>
    </font>
    <font>
      <sz val="9"/>
      <color rgb="FF007363"/>
      <name val="Arial"/>
      <family val="2"/>
    </font>
    <font>
      <b/>
      <sz val="22"/>
      <color rgb="FF007363"/>
      <name val="Garamond"/>
      <family val="1"/>
    </font>
    <font>
      <sz val="22"/>
      <color theme="1"/>
      <name val="Calibri"/>
      <family val="2"/>
      <scheme val="minor"/>
    </font>
    <font>
      <sz val="14"/>
      <color rgb="FF007363"/>
      <name val="Arial"/>
      <family val="2"/>
    </font>
    <font>
      <b/>
      <sz val="14"/>
      <color rgb="FF007363"/>
      <name val="Garamond"/>
      <family val="1"/>
    </font>
    <font>
      <sz val="11"/>
      <color rgb="FF007363"/>
      <name val="Arial"/>
      <family val="2"/>
    </font>
    <font>
      <u/>
      <sz val="10"/>
      <color rgb="FF007363"/>
      <name val="Arial"/>
      <family val="2"/>
    </font>
    <font>
      <sz val="9"/>
      <color rgb="FF007337"/>
      <name val="Arial"/>
      <family val="2"/>
    </font>
    <font>
      <b/>
      <sz val="9"/>
      <color rgb="FF007337"/>
      <name val="Arial"/>
      <family val="2"/>
    </font>
    <font>
      <u/>
      <sz val="9"/>
      <color rgb="FF007363"/>
      <name val="Arial"/>
      <family val="2"/>
    </font>
    <font>
      <b/>
      <sz val="11"/>
      <color rgb="FF007363"/>
      <name val="Arial"/>
      <family val="2"/>
    </font>
    <font>
      <b/>
      <sz val="10"/>
      <color rgb="FF007363"/>
      <name val="Arial"/>
      <family val="2"/>
    </font>
    <font>
      <sz val="11"/>
      <color theme="1"/>
      <name val="Arial"/>
      <family val="2"/>
    </font>
    <font>
      <b/>
      <sz val="8"/>
      <color rgb="FF007363"/>
      <name val="Arial"/>
      <family val="2"/>
    </font>
    <font>
      <sz val="14"/>
      <color theme="1"/>
      <name val="Arial"/>
      <family val="2"/>
    </font>
    <font>
      <i/>
      <sz val="8"/>
      <color rgb="FFFF0000"/>
      <name val="Arial Narrow"/>
      <family val="2"/>
    </font>
    <font>
      <b/>
      <i/>
      <sz val="9"/>
      <color rgb="FFC00000"/>
      <name val="Arial"/>
      <family val="2"/>
    </font>
    <font>
      <sz val="8"/>
      <color rgb="FF0066CC"/>
      <name val="Arial"/>
      <family val="2"/>
    </font>
    <font>
      <sz val="10"/>
      <color rgb="FF0066CC"/>
      <name val="Arial"/>
      <family val="2"/>
    </font>
    <font>
      <sz val="9"/>
      <color rgb="FF0066CC"/>
      <name val="Arial Narrow"/>
      <family val="2"/>
    </font>
    <font>
      <i/>
      <sz val="9"/>
      <color rgb="FFC00000"/>
      <name val="Arial Narrow"/>
      <family val="2"/>
    </font>
    <font>
      <sz val="8"/>
      <color theme="1" tint="0.249977111117893"/>
      <name val="Arial Narrow"/>
      <family val="2"/>
    </font>
    <font>
      <b/>
      <sz val="9"/>
      <color rgb="FFC00000"/>
      <name val="Arial Black"/>
      <family val="2"/>
    </font>
    <font>
      <sz val="9"/>
      <color rgb="FFC00000"/>
      <name val="Arial Black"/>
      <family val="2"/>
    </font>
    <font>
      <b/>
      <sz val="9"/>
      <name val="Calibri"/>
      <family val="2"/>
      <scheme val="minor"/>
    </font>
    <font>
      <sz val="10"/>
      <color rgb="FF007363"/>
      <name val="Arial"/>
      <family val="2"/>
    </font>
    <font>
      <sz val="10"/>
      <color rgb="FFFFC000"/>
      <name val="Arial"/>
      <family val="2"/>
    </font>
    <font>
      <sz val="9"/>
      <color theme="0"/>
      <name val="Arial Narrow"/>
      <family val="2"/>
    </font>
    <font>
      <i/>
      <sz val="8"/>
      <color theme="0"/>
      <name val="Arial Narrow"/>
      <family val="2"/>
    </font>
    <font>
      <sz val="8"/>
      <color rgb="FFFFFFCC"/>
      <name val="Arial"/>
      <family val="2"/>
    </font>
    <font>
      <sz val="8"/>
      <color rgb="FFFFFFCC"/>
      <name val="Arial Narrow"/>
      <family val="2"/>
    </font>
    <font>
      <sz val="9"/>
      <color theme="7" tint="-0.249977111117893"/>
      <name val="Arial"/>
      <family val="2"/>
    </font>
    <font>
      <sz val="8"/>
      <color theme="0" tint="-4.9989318521683403E-2"/>
      <name val="Arial Narrow"/>
      <family val="2"/>
    </font>
    <font>
      <b/>
      <sz val="8"/>
      <color rgb="FFFF0000"/>
      <name val="Arial Narrow"/>
      <family val="2"/>
    </font>
    <font>
      <sz val="7"/>
      <color theme="1"/>
      <name val="Calibri"/>
      <family val="2"/>
      <scheme val="minor"/>
    </font>
    <font>
      <b/>
      <sz val="8"/>
      <color theme="0"/>
      <name val="Arial"/>
      <family val="2"/>
    </font>
    <font>
      <sz val="9"/>
      <color rgb="FFFF0000"/>
      <name val="Arial Narrow"/>
      <family val="2"/>
    </font>
    <font>
      <sz val="8"/>
      <color indexed="8"/>
      <name val="Arial"/>
      <family val="2"/>
    </font>
    <font>
      <i/>
      <sz val="6"/>
      <color indexed="8"/>
      <name val="Arial Narrow"/>
      <family val="2"/>
    </font>
    <font>
      <i/>
      <sz val="6"/>
      <color indexed="8"/>
      <name val="Calibri"/>
      <family val="2"/>
    </font>
    <font>
      <sz val="8"/>
      <color rgb="FF1F497D"/>
      <name val="Arial"/>
      <family val="2"/>
    </font>
    <font>
      <b/>
      <sz val="8"/>
      <color rgb="FF1F497D"/>
      <name val="Arial"/>
      <family val="2"/>
    </font>
    <font>
      <b/>
      <sz val="9"/>
      <color theme="1" tint="0.34998626667073579"/>
      <name val="Arial"/>
      <family val="2"/>
    </font>
    <font>
      <u/>
      <sz val="9"/>
      <color indexed="81"/>
      <name val="Tahoma"/>
      <family val="2"/>
    </font>
    <font>
      <u/>
      <sz val="11"/>
      <color indexed="8"/>
      <name val="Calibri"/>
      <family val="2"/>
    </font>
    <font>
      <u/>
      <sz val="9"/>
      <name val="Arial"/>
      <family val="2"/>
    </font>
    <font>
      <b/>
      <sz val="9"/>
      <color theme="8" tint="-0.499984740745262"/>
      <name val="Arial"/>
      <family val="2"/>
    </font>
    <font>
      <b/>
      <i/>
      <sz val="8"/>
      <color indexed="56"/>
      <name val="Arial Narrow"/>
      <family val="2"/>
    </font>
    <font>
      <i/>
      <sz val="8"/>
      <color theme="0" tint="-0.249977111117893"/>
      <name val="Arial Narrow"/>
      <family val="2"/>
    </font>
    <font>
      <sz val="7"/>
      <color rgb="FFFF0000"/>
      <name val="Arial Narrow"/>
      <family val="2"/>
    </font>
    <font>
      <b/>
      <i/>
      <sz val="8"/>
      <color theme="1" tint="0.34998626667073579"/>
      <name val="Arial"/>
      <family val="2"/>
    </font>
    <font>
      <b/>
      <i/>
      <sz val="8"/>
      <color rgb="FF00B0F0"/>
      <name val="Arial"/>
      <family val="2"/>
    </font>
    <font>
      <sz val="8"/>
      <color rgb="FF1F497D"/>
      <name val="Arial Narrow"/>
      <family val="2"/>
    </font>
    <font>
      <sz val="8"/>
      <color rgb="FFEAEAEA"/>
      <name val="Arial"/>
      <family val="2"/>
    </font>
    <font>
      <sz val="7"/>
      <color rgb="FFFFFFCC"/>
      <name val="Arial Narrow"/>
      <family val="2"/>
    </font>
    <font>
      <b/>
      <sz val="8"/>
      <color rgb="FFFFFFCC"/>
      <name val="Arial"/>
      <family val="2"/>
    </font>
    <font>
      <u/>
      <sz val="8"/>
      <name val="Arial"/>
      <family val="2"/>
    </font>
    <font>
      <sz val="10"/>
      <color rgb="FFFFCB25"/>
      <name val="Arial"/>
      <family val="2"/>
    </font>
    <font>
      <b/>
      <sz val="8"/>
      <color rgb="FFFF0000"/>
      <name val="Arial"/>
      <family val="2"/>
    </font>
    <font>
      <b/>
      <sz val="8"/>
      <color theme="0" tint="-0.499984740745262"/>
      <name val="Arial"/>
      <family val="2"/>
    </font>
    <font>
      <sz val="8"/>
      <color theme="6" tint="-0.499984740745262"/>
      <name val="Arial Narrow"/>
      <family val="2"/>
    </font>
    <font>
      <i/>
      <sz val="9"/>
      <color theme="6" tint="-0.499984740745262"/>
      <name val="Arial Narrow"/>
      <family val="2"/>
    </font>
    <font>
      <sz val="8"/>
      <color theme="5" tint="-0.499984740745262"/>
      <name val="Arial Narrow"/>
      <family val="2"/>
    </font>
    <font>
      <i/>
      <sz val="9"/>
      <color theme="5" tint="-0.499984740745262"/>
      <name val="Arial Narrow"/>
      <family val="2"/>
    </font>
    <font>
      <i/>
      <sz val="8"/>
      <color theme="5" tint="-0.499984740745262"/>
      <name val="Arial Narrow"/>
      <family val="2"/>
    </font>
    <font>
      <b/>
      <sz val="10"/>
      <color rgb="FFFF0000"/>
      <name val="Arial"/>
      <family val="2"/>
    </font>
    <font>
      <b/>
      <sz val="8"/>
      <color theme="3" tint="0.39997558519241921"/>
      <name val="Arial"/>
      <family val="2"/>
    </font>
    <font>
      <sz val="9"/>
      <color theme="4"/>
      <name val="Arial"/>
      <family val="2"/>
    </font>
    <font>
      <sz val="10"/>
      <color theme="4"/>
      <name val="Arial"/>
      <family val="2"/>
    </font>
    <font>
      <sz val="8"/>
      <color theme="4"/>
      <name val="Arial"/>
      <family val="2"/>
    </font>
    <font>
      <sz val="9"/>
      <color indexed="8"/>
      <name val="Arial Narrow"/>
      <family val="2"/>
    </font>
    <font>
      <sz val="8"/>
      <color theme="1" tint="0.34998626667073579"/>
      <name val="Arial"/>
      <family val="2"/>
    </font>
    <font>
      <sz val="9"/>
      <color theme="1" tint="0.34998626667073579"/>
      <name val="Arial Narrow"/>
      <family val="2"/>
    </font>
    <font>
      <sz val="8"/>
      <color theme="1" tint="0.34998626667073579"/>
      <name val="Arial Narrow"/>
      <family val="2"/>
    </font>
    <font>
      <b/>
      <i/>
      <sz val="8"/>
      <name val="Arial"/>
      <family val="2"/>
    </font>
    <font>
      <b/>
      <sz val="14"/>
      <color rgb="FFC00000"/>
      <name val="Arial"/>
      <family val="2"/>
    </font>
    <font>
      <strike/>
      <sz val="8"/>
      <name val="Arial Narrow"/>
      <family val="2"/>
    </font>
    <font>
      <i/>
      <sz val="8"/>
      <color rgb="FFC00000"/>
      <name val="Arial Narrow"/>
      <family val="2"/>
    </font>
    <font>
      <b/>
      <sz val="10"/>
      <color theme="1" tint="0.499984740745262"/>
      <name val="Arial"/>
      <family val="2"/>
    </font>
    <font>
      <b/>
      <sz val="8"/>
      <color indexed="12"/>
      <name val="Arial"/>
      <family val="2"/>
    </font>
    <font>
      <sz val="9"/>
      <color rgb="FFC00000"/>
      <name val="Arial Narrow"/>
      <family val="2"/>
    </font>
    <font>
      <i/>
      <sz val="8"/>
      <color rgb="FF1F497D"/>
      <name val="Arial Narrow"/>
      <family val="2"/>
    </font>
    <font>
      <b/>
      <sz val="9"/>
      <name val="Arial Narrow"/>
      <family val="2"/>
    </font>
    <font>
      <i/>
      <sz val="8"/>
      <color theme="0" tint="-0.499984740745262"/>
      <name val="Arial Narrow"/>
      <family val="2"/>
    </font>
    <font>
      <u/>
      <sz val="10"/>
      <color theme="0" tint="-0.249977111117893"/>
      <name val="Arial"/>
      <family val="2"/>
    </font>
    <font>
      <b/>
      <sz val="9"/>
      <color rgb="FFC00000"/>
      <name val="Arial Narrow"/>
      <family val="2"/>
    </font>
  </fonts>
  <fills count="55">
    <fill>
      <patternFill patternType="none"/>
    </fill>
    <fill>
      <patternFill patternType="gray125"/>
    </fill>
    <fill>
      <patternFill patternType="solid">
        <fgColor indexed="26"/>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43"/>
        <bgColor indexed="64"/>
      </patternFill>
    </fill>
    <fill>
      <patternFill patternType="solid">
        <fgColor indexed="31"/>
        <bgColor indexed="64"/>
      </patternFill>
    </fill>
    <fill>
      <patternFill patternType="solid">
        <fgColor indexed="27"/>
        <bgColor indexed="64"/>
      </patternFill>
    </fill>
    <fill>
      <patternFill patternType="solid">
        <fgColor indexed="13"/>
        <bgColor indexed="64"/>
      </patternFill>
    </fill>
    <fill>
      <patternFill patternType="solid">
        <fgColor indexed="22"/>
        <bgColor indexed="64"/>
      </patternFill>
    </fill>
    <fill>
      <patternFill patternType="solid">
        <fgColor indexed="44"/>
        <bgColor indexed="64"/>
      </patternFill>
    </fill>
    <fill>
      <patternFill patternType="solid">
        <fgColor indexed="51"/>
        <bgColor indexed="64"/>
      </patternFill>
    </fill>
    <fill>
      <patternFill patternType="solid">
        <fgColor indexed="60"/>
        <bgColor indexed="64"/>
      </patternFill>
    </fill>
    <fill>
      <patternFill patternType="solid">
        <fgColor indexed="4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CC99"/>
        <bgColor indexed="64"/>
      </patternFill>
    </fill>
    <fill>
      <patternFill patternType="solid">
        <fgColor theme="8" tint="0.59999389629810485"/>
        <bgColor indexed="64"/>
      </patternFill>
    </fill>
    <fill>
      <patternFill patternType="solid">
        <fgColor rgb="FF92D050"/>
        <bgColor indexed="64"/>
      </patternFill>
    </fill>
    <fill>
      <patternFill patternType="solid">
        <fgColor rgb="FFFF9999"/>
        <bgColor indexed="64"/>
      </patternFill>
    </fill>
    <fill>
      <patternFill patternType="solid">
        <fgColor theme="3" tint="0.39997558519241921"/>
        <bgColor indexed="64"/>
      </patternFill>
    </fill>
    <fill>
      <patternFill patternType="solid">
        <fgColor rgb="FFFFCB25"/>
        <bgColor indexed="64"/>
      </patternFill>
    </fill>
    <fill>
      <patternFill patternType="solid">
        <fgColor rgb="FFDBEEF3"/>
        <bgColor indexed="64"/>
      </patternFill>
    </fill>
    <fill>
      <patternFill patternType="solid">
        <fgColor theme="2" tint="-9.9978637043366805E-2"/>
        <bgColor indexed="64"/>
      </patternFill>
    </fill>
    <fill>
      <patternFill patternType="solid">
        <fgColor rgb="FF007363"/>
        <bgColor indexed="64"/>
      </patternFill>
    </fill>
    <fill>
      <patternFill patternType="solid">
        <fgColor rgb="FF00B050"/>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FFFF66"/>
        <bgColor indexed="64"/>
      </patternFill>
    </fill>
    <fill>
      <patternFill patternType="solid">
        <fgColor rgb="FFCCFFCC"/>
        <bgColor indexed="64"/>
      </patternFill>
    </fill>
    <fill>
      <patternFill patternType="solid">
        <fgColor rgb="FFCCFF99"/>
        <bgColor indexed="64"/>
      </patternFill>
    </fill>
    <fill>
      <patternFill patternType="solid">
        <fgColor rgb="FF9999FF"/>
        <bgColor indexed="64"/>
      </patternFill>
    </fill>
    <fill>
      <patternFill patternType="solid">
        <fgColor rgb="FFFFE36D"/>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CD5B4"/>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2F2F2"/>
        <bgColor indexed="64"/>
      </patternFill>
    </fill>
    <fill>
      <patternFill patternType="solid">
        <fgColor rgb="FFE6FEF6"/>
        <bgColor indexed="64"/>
      </patternFill>
    </fill>
    <fill>
      <patternFill patternType="solid">
        <fgColor rgb="FFDAEEF3"/>
        <bgColor indexed="64"/>
      </patternFill>
    </fill>
    <fill>
      <patternFill patternType="solid">
        <fgColor theme="2"/>
        <bgColor indexed="64"/>
      </patternFill>
    </fill>
  </fills>
  <borders count="459">
    <border>
      <left/>
      <right/>
      <top/>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hair">
        <color indexed="64"/>
      </left>
      <right/>
      <top style="thin">
        <color indexed="64"/>
      </top>
      <bottom/>
      <diagonal/>
    </border>
    <border>
      <left/>
      <right style="hair">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bottom/>
      <diagonal/>
    </border>
    <border>
      <left style="thin">
        <color indexed="64"/>
      </left>
      <right style="hair">
        <color indexed="64"/>
      </right>
      <top/>
      <bottom/>
      <diagonal/>
    </border>
    <border>
      <left style="thin">
        <color indexed="64"/>
      </left>
      <right/>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hair">
        <color indexed="64"/>
      </right>
      <top/>
      <bottom style="thin">
        <color indexed="64"/>
      </bottom>
      <diagonal/>
    </border>
    <border>
      <left style="thin">
        <color indexed="23"/>
      </left>
      <right style="thin">
        <color indexed="55"/>
      </right>
      <top style="thin">
        <color indexed="55"/>
      </top>
      <bottom style="thin">
        <color indexed="55"/>
      </bottom>
      <diagonal/>
    </border>
    <border>
      <left/>
      <right/>
      <top style="thin">
        <color indexed="21"/>
      </top>
      <bottom/>
      <diagonal/>
    </border>
    <border>
      <left/>
      <right style="thin">
        <color indexed="21"/>
      </right>
      <top style="thin">
        <color indexed="21"/>
      </top>
      <bottom/>
      <diagonal/>
    </border>
    <border>
      <left/>
      <right style="thin">
        <color indexed="2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10"/>
      </top>
      <bottom style="hair">
        <color indexed="10"/>
      </bottom>
      <diagonal/>
    </border>
    <border>
      <left style="thin">
        <color indexed="64"/>
      </left>
      <right style="thin">
        <color indexed="64"/>
      </right>
      <top/>
      <bottom style="hair">
        <color indexed="10"/>
      </bottom>
      <diagonal/>
    </border>
    <border>
      <left style="thin">
        <color indexed="64"/>
      </left>
      <right style="thin">
        <color indexed="64"/>
      </right>
      <top style="thin">
        <color indexed="64"/>
      </top>
      <bottom style="hair">
        <color indexed="10"/>
      </bottom>
      <diagonal/>
    </border>
    <border>
      <left style="thin">
        <color indexed="64"/>
      </left>
      <right/>
      <top style="thin">
        <color indexed="64"/>
      </top>
      <bottom style="hair">
        <color indexed="10"/>
      </bottom>
      <diagonal/>
    </border>
    <border>
      <left/>
      <right/>
      <top style="hair">
        <color indexed="10"/>
      </top>
      <bottom style="hair">
        <color indexed="10"/>
      </bottom>
      <diagonal/>
    </border>
    <border>
      <left style="thin">
        <color indexed="64"/>
      </left>
      <right/>
      <top/>
      <bottom style="hair">
        <color indexed="10"/>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hair">
        <color indexed="64"/>
      </left>
      <right style="hair">
        <color indexed="64"/>
      </right>
      <top style="double">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51"/>
      </left>
      <right style="thin">
        <color indexed="51"/>
      </right>
      <top style="thin">
        <color indexed="51"/>
      </top>
      <bottom style="thin">
        <color indexed="51"/>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top/>
      <bottom style="hair">
        <color indexed="10"/>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10"/>
      </top>
      <bottom style="hair">
        <color indexed="64"/>
      </bottom>
      <diagonal/>
    </border>
    <border>
      <left/>
      <right style="thin">
        <color indexed="64"/>
      </right>
      <top style="hair">
        <color indexed="10"/>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diagonal/>
    </border>
    <border>
      <left style="thin">
        <color indexed="64"/>
      </left>
      <right/>
      <top style="hair">
        <color indexed="64"/>
      </top>
      <bottom/>
      <diagonal/>
    </border>
    <border>
      <left/>
      <right/>
      <top/>
      <bottom style="hair">
        <color indexed="64"/>
      </bottom>
      <diagonal/>
    </border>
    <border>
      <left style="thin">
        <color indexed="64"/>
      </left>
      <right style="thin">
        <color indexed="64"/>
      </right>
      <top style="thin">
        <color indexed="10"/>
      </top>
      <bottom style="thin">
        <color indexed="64"/>
      </bottom>
      <diagonal/>
    </border>
    <border>
      <left style="thin">
        <color indexed="64"/>
      </left>
      <right style="thin">
        <color indexed="64"/>
      </right>
      <top/>
      <bottom style="hair">
        <color indexed="64"/>
      </bottom>
      <diagonal/>
    </border>
    <border>
      <left style="hair">
        <color indexed="64"/>
      </left>
      <right/>
      <top style="hair">
        <color indexed="64"/>
      </top>
      <bottom/>
      <diagonal/>
    </border>
    <border>
      <left/>
      <right/>
      <top style="hair">
        <color indexed="64"/>
      </top>
      <bottom/>
      <diagonal/>
    </border>
    <border>
      <left style="thin">
        <color indexed="64"/>
      </left>
      <right/>
      <top style="hair">
        <color indexed="10"/>
      </top>
      <bottom style="hair">
        <color indexed="64"/>
      </bottom>
      <diagonal/>
    </border>
    <border>
      <left style="thin">
        <color indexed="64"/>
      </left>
      <right/>
      <top/>
      <bottom style="hair">
        <color indexed="64"/>
      </bottom>
      <diagonal/>
    </border>
    <border>
      <left style="medium">
        <color indexed="60"/>
      </left>
      <right style="medium">
        <color indexed="60"/>
      </right>
      <top style="medium">
        <color indexed="60"/>
      </top>
      <bottom style="medium">
        <color indexed="60"/>
      </bottom>
      <diagonal/>
    </border>
    <border>
      <left/>
      <right/>
      <top/>
      <bottom style="thin">
        <color indexed="21"/>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51"/>
      </left>
      <right style="medium">
        <color indexed="51"/>
      </right>
      <top style="medium">
        <color indexed="51"/>
      </top>
      <bottom style="medium">
        <color indexed="51"/>
      </bottom>
      <diagonal/>
    </border>
    <border>
      <left/>
      <right/>
      <top/>
      <bottom style="medium">
        <color indexed="51"/>
      </bottom>
      <diagonal/>
    </border>
    <border>
      <left style="thin">
        <color indexed="64"/>
      </left>
      <right style="thin">
        <color indexed="64"/>
      </right>
      <top style="hair">
        <color indexed="10"/>
      </top>
      <bottom style="thin">
        <color indexed="64"/>
      </bottom>
      <diagonal/>
    </border>
    <border>
      <left style="thin">
        <color indexed="64"/>
      </left>
      <right/>
      <top style="hair">
        <color indexed="10"/>
      </top>
      <bottom style="hair">
        <color indexed="10"/>
      </bottom>
      <diagonal/>
    </border>
    <border>
      <left/>
      <right style="thin">
        <color indexed="64"/>
      </right>
      <top/>
      <bottom style="hair">
        <color indexed="10"/>
      </bottom>
      <diagonal/>
    </border>
    <border>
      <left/>
      <right style="thin">
        <color indexed="64"/>
      </right>
      <top style="thin">
        <color indexed="64"/>
      </top>
      <bottom style="hair">
        <color indexed="10"/>
      </bottom>
      <diagonal/>
    </border>
    <border>
      <left style="medium">
        <color indexed="51"/>
      </left>
      <right style="medium">
        <color indexed="51"/>
      </right>
      <top/>
      <bottom/>
      <diagonal/>
    </border>
    <border>
      <left style="thin">
        <color indexed="21"/>
      </left>
      <right/>
      <top style="thin">
        <color indexed="21"/>
      </top>
      <bottom style="thin">
        <color indexed="21"/>
      </bottom>
      <diagonal/>
    </border>
    <border>
      <left/>
      <right/>
      <top style="thin">
        <color indexed="21"/>
      </top>
      <bottom style="thin">
        <color indexed="21"/>
      </bottom>
      <diagonal/>
    </border>
    <border>
      <left/>
      <right style="thin">
        <color indexed="21"/>
      </right>
      <top style="thin">
        <color indexed="21"/>
      </top>
      <bottom style="thin">
        <color indexed="21"/>
      </bottom>
      <diagonal/>
    </border>
    <border>
      <left style="thin">
        <color indexed="21"/>
      </left>
      <right/>
      <top/>
      <bottom style="thin">
        <color indexed="21"/>
      </bottom>
      <diagonal/>
    </border>
    <border>
      <left/>
      <right style="thin">
        <color indexed="21"/>
      </right>
      <top/>
      <bottom style="thin">
        <color indexed="21"/>
      </bottom>
      <diagonal/>
    </border>
    <border>
      <left style="thin">
        <color indexed="55"/>
      </left>
      <right style="thin">
        <color indexed="55"/>
      </right>
      <top style="thin">
        <color indexed="55"/>
      </top>
      <bottom style="thin">
        <color indexed="55"/>
      </bottom>
      <diagonal/>
    </border>
    <border>
      <left/>
      <right/>
      <top style="thin">
        <color indexed="55"/>
      </top>
      <bottom style="thin">
        <color indexed="55"/>
      </bottom>
      <diagonal/>
    </border>
    <border>
      <left style="thin">
        <color indexed="23"/>
      </left>
      <right/>
      <top style="thin">
        <color indexed="55"/>
      </top>
      <bottom style="thin">
        <color indexed="55"/>
      </bottom>
      <diagonal/>
    </border>
    <border>
      <left style="thin">
        <color indexed="55"/>
      </left>
      <right/>
      <top style="thin">
        <color indexed="55"/>
      </top>
      <bottom style="thin">
        <color indexed="55"/>
      </bottom>
      <diagonal/>
    </border>
    <border>
      <left style="thin">
        <color indexed="55"/>
      </left>
      <right style="thin">
        <color indexed="55"/>
      </right>
      <top/>
      <bottom style="thin">
        <color indexed="55"/>
      </bottom>
      <diagonal/>
    </border>
    <border>
      <left style="thin">
        <color indexed="55"/>
      </left>
      <right/>
      <top/>
      <bottom style="thin">
        <color indexed="55"/>
      </bottom>
      <diagonal/>
    </border>
    <border>
      <left style="thin">
        <color indexed="23"/>
      </left>
      <right style="thin">
        <color indexed="55"/>
      </right>
      <top/>
      <bottom style="thin">
        <color indexed="55"/>
      </bottom>
      <diagonal/>
    </border>
    <border>
      <left style="medium">
        <color indexed="51"/>
      </left>
      <right style="medium">
        <color indexed="51"/>
      </right>
      <top/>
      <bottom style="hair">
        <color indexed="64"/>
      </bottom>
      <diagonal/>
    </border>
    <border>
      <left style="thin">
        <color indexed="64"/>
      </left>
      <right/>
      <top style="hair">
        <color indexed="10"/>
      </top>
      <bottom style="thin">
        <color indexed="64"/>
      </bottom>
      <diagonal/>
    </border>
    <border>
      <left/>
      <right/>
      <top style="medium">
        <color indexed="51"/>
      </top>
      <bottom style="medium">
        <color indexed="51"/>
      </bottom>
      <diagonal/>
    </border>
    <border>
      <left/>
      <right style="thin">
        <color indexed="55"/>
      </right>
      <top style="thin">
        <color indexed="55"/>
      </top>
      <bottom style="thin">
        <color indexed="55"/>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bottom style="thin">
        <color indexed="21"/>
      </bottom>
      <diagonal/>
    </border>
    <border>
      <left/>
      <right style="thin">
        <color indexed="55"/>
      </right>
      <top/>
      <bottom style="thin">
        <color indexed="55"/>
      </bottom>
      <diagonal/>
    </border>
    <border>
      <left/>
      <right/>
      <top style="thin">
        <color indexed="55"/>
      </top>
      <bottom/>
      <diagonal/>
    </border>
    <border>
      <left style="thin">
        <color indexed="21"/>
      </left>
      <right/>
      <top/>
      <bottom/>
      <diagonal/>
    </border>
    <border>
      <left style="thin">
        <color indexed="21"/>
      </left>
      <right/>
      <top style="thin">
        <color indexed="21"/>
      </top>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right/>
      <top style="medium">
        <color indexed="51"/>
      </top>
      <bottom/>
      <diagonal/>
    </border>
    <border>
      <left style="medium">
        <color indexed="51"/>
      </left>
      <right/>
      <top style="medium">
        <color indexed="51"/>
      </top>
      <bottom style="medium">
        <color indexed="51"/>
      </bottom>
      <diagonal/>
    </border>
    <border>
      <left/>
      <right style="medium">
        <color indexed="51"/>
      </right>
      <top style="medium">
        <color indexed="51"/>
      </top>
      <bottom style="medium">
        <color indexed="51"/>
      </bottom>
      <diagonal/>
    </border>
    <border>
      <left/>
      <right style="thin">
        <color indexed="64"/>
      </right>
      <top style="medium">
        <color indexed="51"/>
      </top>
      <bottom style="medium">
        <color indexed="51"/>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10"/>
      </left>
      <right/>
      <top/>
      <bottom/>
      <diagonal/>
    </border>
    <border>
      <left style="medium">
        <color theme="9" tint="-0.24994659260841701"/>
      </left>
      <right style="medium">
        <color theme="9" tint="-0.24994659260841701"/>
      </right>
      <top/>
      <bottom style="hair">
        <color indexed="10"/>
      </bottom>
      <diagonal/>
    </border>
    <border>
      <left style="medium">
        <color theme="9" tint="-0.24994659260841701"/>
      </left>
      <right style="medium">
        <color theme="9" tint="-0.24994659260841701"/>
      </right>
      <top style="medium">
        <color theme="9" tint="-0.24994659260841701"/>
      </top>
      <bottom style="hair">
        <color indexed="10"/>
      </bottom>
      <diagonal/>
    </border>
    <border>
      <left style="thin">
        <color theme="0" tint="-0.34998626667073579"/>
      </left>
      <right style="thin">
        <color theme="0" tint="-0.34998626667073579"/>
      </right>
      <top style="thin">
        <color theme="0" tint="-0.34998626667073579"/>
      </top>
      <bottom style="hair">
        <color rgb="FFFF0000"/>
      </bottom>
      <diagonal/>
    </border>
    <border>
      <left style="thin">
        <color theme="0" tint="-0.34998626667073579"/>
      </left>
      <right style="thin">
        <color theme="0" tint="-0.34998626667073579"/>
      </right>
      <top style="hair">
        <color rgb="FFFF0000"/>
      </top>
      <bottom style="hair">
        <color rgb="FFFF0000"/>
      </bottom>
      <diagonal/>
    </border>
    <border>
      <left style="medium">
        <color theme="9" tint="-0.24994659260841701"/>
      </left>
      <right style="medium">
        <color theme="9" tint="-0.24994659260841701"/>
      </right>
      <top/>
      <bottom style="hair">
        <color rgb="FFFF0000"/>
      </bottom>
      <diagonal/>
    </border>
    <border>
      <left/>
      <right/>
      <top style="hair">
        <color indexed="64"/>
      </top>
      <bottom style="medium">
        <color theme="9" tint="-0.24994659260841701"/>
      </bottom>
      <diagonal/>
    </border>
    <border>
      <left/>
      <right style="medium">
        <color theme="9" tint="-0.24994659260841701"/>
      </right>
      <top style="hair">
        <color indexed="64"/>
      </top>
      <bottom style="hair">
        <color indexed="64"/>
      </bottom>
      <diagonal/>
    </border>
    <border>
      <left style="medium">
        <color theme="9" tint="-0.24994659260841701"/>
      </left>
      <right style="hair">
        <color indexed="64"/>
      </right>
      <top/>
      <bottom style="hair">
        <color indexed="64"/>
      </bottom>
      <diagonal/>
    </border>
    <border>
      <left style="medium">
        <color theme="9" tint="-0.24994659260841701"/>
      </left>
      <right style="hair">
        <color indexed="64"/>
      </right>
      <top style="hair">
        <color indexed="64"/>
      </top>
      <bottom style="hair">
        <color indexed="64"/>
      </bottom>
      <diagonal/>
    </border>
    <border>
      <left style="thin">
        <color indexed="64"/>
      </left>
      <right style="thin">
        <color indexed="64"/>
      </right>
      <top style="hair">
        <color indexed="10"/>
      </top>
      <bottom style="hair">
        <color rgb="FFFF0000"/>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indexed="64"/>
      </left>
      <right style="thin">
        <color indexed="64"/>
      </right>
      <top style="thin">
        <color indexed="64"/>
      </top>
      <bottom style="hair">
        <color rgb="FFFF0000"/>
      </bottom>
      <diagonal/>
    </border>
    <border>
      <left style="thin">
        <color indexed="64"/>
      </left>
      <right style="thin">
        <color indexed="64"/>
      </right>
      <top/>
      <bottom style="hair">
        <color rgb="FFFF0000"/>
      </bottom>
      <diagonal/>
    </border>
    <border>
      <left style="thin">
        <color indexed="64"/>
      </left>
      <right style="thin">
        <color indexed="64"/>
      </right>
      <top style="hair">
        <color rgb="FFFF0000"/>
      </top>
      <bottom style="thin">
        <color indexed="64"/>
      </bottom>
      <diagonal/>
    </border>
    <border>
      <left style="thin">
        <color indexed="64"/>
      </left>
      <right style="thin">
        <color indexed="64"/>
      </right>
      <top style="hair">
        <color rgb="FFFF0000"/>
      </top>
      <bottom style="hair">
        <color rgb="FFFF0000"/>
      </bottom>
      <diagonal/>
    </border>
    <border>
      <left style="thin">
        <color indexed="64"/>
      </left>
      <right/>
      <top style="thin">
        <color indexed="64"/>
      </top>
      <bottom style="hair">
        <color rgb="FFFF0000"/>
      </bottom>
      <diagonal/>
    </border>
    <border>
      <left style="thin">
        <color indexed="64"/>
      </left>
      <right/>
      <top/>
      <bottom style="medium">
        <color rgb="FFFFC000"/>
      </bottom>
      <diagonal/>
    </border>
    <border>
      <left/>
      <right style="thin">
        <color indexed="64"/>
      </right>
      <top/>
      <bottom style="hair">
        <color rgb="FFFF0000"/>
      </bottom>
      <diagonal/>
    </border>
    <border>
      <left/>
      <right style="thin">
        <color indexed="64"/>
      </right>
      <top style="thin">
        <color indexed="64"/>
      </top>
      <bottom style="hair">
        <color rgb="FFFF0000"/>
      </bottom>
      <diagonal/>
    </border>
    <border>
      <left style="thin">
        <color theme="8" tint="0.59996337778862885"/>
      </left>
      <right style="thin">
        <color theme="8" tint="0.59996337778862885"/>
      </right>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style="thin">
        <color indexed="64"/>
      </left>
      <right/>
      <top style="medium">
        <color rgb="FFFFC000"/>
      </top>
      <bottom/>
      <diagonal/>
    </border>
    <border>
      <left/>
      <right/>
      <top/>
      <bottom style="hair">
        <color rgb="FFFF0000"/>
      </bottom>
      <diagonal/>
    </border>
    <border>
      <left/>
      <right style="medium">
        <color indexed="51"/>
      </right>
      <top/>
      <bottom style="hair">
        <color rgb="FFFF0000"/>
      </bottom>
      <diagonal/>
    </border>
    <border>
      <left style="thin">
        <color theme="8" tint="0.59996337778862885"/>
      </left>
      <right/>
      <top/>
      <bottom style="hair">
        <color theme="8" tint="0.59996337778862885"/>
      </bottom>
      <diagonal/>
    </border>
    <border>
      <left/>
      <right/>
      <top/>
      <bottom style="hair">
        <color theme="8" tint="0.59996337778862885"/>
      </bottom>
      <diagonal/>
    </border>
    <border>
      <left style="thin">
        <color theme="8" tint="0.59996337778862885"/>
      </left>
      <right/>
      <top style="hair">
        <color theme="8" tint="0.59996337778862885"/>
      </top>
      <bottom style="hair">
        <color theme="8" tint="0.59996337778862885"/>
      </bottom>
      <diagonal/>
    </border>
    <border>
      <left/>
      <right/>
      <top style="hair">
        <color theme="8" tint="0.59996337778862885"/>
      </top>
      <bottom style="hair">
        <color theme="8" tint="0.59996337778862885"/>
      </bottom>
      <diagonal/>
    </border>
    <border>
      <left style="thin">
        <color indexed="64"/>
      </left>
      <right/>
      <top style="hair">
        <color theme="8" tint="0.59996337778862885"/>
      </top>
      <bottom style="hair">
        <color theme="8" tint="0.59996337778862885"/>
      </bottom>
      <diagonal/>
    </border>
    <border>
      <left/>
      <right style="hair">
        <color indexed="64"/>
      </right>
      <top style="hair">
        <color theme="8" tint="0.59996337778862885"/>
      </top>
      <bottom style="hair">
        <color theme="8" tint="0.59996337778862885"/>
      </bottom>
      <diagonal/>
    </border>
    <border>
      <left/>
      <right style="thin">
        <color indexed="64"/>
      </right>
      <top/>
      <bottom style="hair">
        <color theme="8" tint="0.59996337778862885"/>
      </bottom>
      <diagonal/>
    </border>
    <border>
      <left style="thin">
        <color indexed="64"/>
      </left>
      <right/>
      <top style="hair">
        <color theme="4" tint="0.79998168889431442"/>
      </top>
      <bottom style="hair">
        <color theme="8" tint="0.59996337778862885"/>
      </bottom>
      <diagonal/>
    </border>
    <border>
      <left/>
      <right/>
      <top style="hair">
        <color theme="4" tint="0.79998168889431442"/>
      </top>
      <bottom style="hair">
        <color theme="8" tint="0.59996337778862885"/>
      </bottom>
      <diagonal/>
    </border>
    <border>
      <left/>
      <right style="hair">
        <color indexed="64"/>
      </right>
      <top style="hair">
        <color theme="4" tint="0.79998168889431442"/>
      </top>
      <bottom style="hair">
        <color theme="8" tint="0.59996337778862885"/>
      </bottom>
      <diagonal/>
    </border>
    <border>
      <left/>
      <right/>
      <top style="thin">
        <color indexed="64"/>
      </top>
      <bottom style="hair">
        <color rgb="FFFF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rgb="FF007363"/>
      </top>
      <bottom style="thin">
        <color rgb="FF007363"/>
      </bottom>
      <diagonal/>
    </border>
    <border>
      <left/>
      <right/>
      <top/>
      <bottom style="thin">
        <color rgb="FF007363"/>
      </bottom>
      <diagonal/>
    </border>
    <border>
      <left style="thin">
        <color rgb="FF007363"/>
      </left>
      <right/>
      <top style="thin">
        <color rgb="FF007363"/>
      </top>
      <bottom style="thin">
        <color rgb="FF007363"/>
      </bottom>
      <diagonal/>
    </border>
    <border>
      <left/>
      <right style="thin">
        <color rgb="FF007363"/>
      </right>
      <top style="thin">
        <color rgb="FF007363"/>
      </top>
      <bottom style="thin">
        <color rgb="FF007363"/>
      </bottom>
      <diagonal/>
    </border>
    <border>
      <left/>
      <right/>
      <top style="thin">
        <color rgb="FF007363"/>
      </top>
      <bottom/>
      <diagonal/>
    </border>
    <border>
      <left style="thin">
        <color rgb="FF007363"/>
      </left>
      <right/>
      <top/>
      <bottom/>
      <diagonal/>
    </border>
    <border>
      <left/>
      <right style="thin">
        <color rgb="FF007363"/>
      </right>
      <top/>
      <bottom/>
      <diagonal/>
    </border>
    <border>
      <left/>
      <right style="thin">
        <color rgb="FF007363"/>
      </right>
      <top/>
      <bottom style="thin">
        <color rgb="FF007363"/>
      </bottom>
      <diagonal/>
    </border>
    <border>
      <left style="thin">
        <color rgb="FF007363"/>
      </left>
      <right/>
      <top style="thin">
        <color rgb="FF007363"/>
      </top>
      <bottom/>
      <diagonal/>
    </border>
    <border>
      <left/>
      <right style="thin">
        <color rgb="FF007363"/>
      </right>
      <top style="thin">
        <color rgb="FF007363"/>
      </top>
      <bottom/>
      <diagonal/>
    </border>
    <border>
      <left style="thin">
        <color rgb="FF007363"/>
      </left>
      <right/>
      <top/>
      <bottom style="thin">
        <color rgb="FF007363"/>
      </bottom>
      <diagonal/>
    </border>
    <border>
      <left/>
      <right style="thin">
        <color indexed="64"/>
      </right>
      <top style="hair">
        <color rgb="FFFF0000"/>
      </top>
      <bottom style="hair">
        <color rgb="FFFF0000"/>
      </bottom>
      <diagonal/>
    </border>
    <border>
      <left style="thin">
        <color indexed="64"/>
      </left>
      <right/>
      <top style="hair">
        <color rgb="FFFF0000"/>
      </top>
      <bottom style="hair">
        <color rgb="FFFF0000"/>
      </bottom>
      <diagonal/>
    </border>
    <border>
      <left style="thin">
        <color indexed="64"/>
      </left>
      <right style="thin">
        <color indexed="64"/>
      </right>
      <top style="hair">
        <color indexed="64"/>
      </top>
      <bottom style="hair">
        <color rgb="FFFF0000"/>
      </bottom>
      <diagonal/>
    </border>
    <border>
      <left style="thin">
        <color indexed="64"/>
      </left>
      <right/>
      <top/>
      <bottom style="hair">
        <color rgb="FFFF0000"/>
      </bottom>
      <diagonal/>
    </border>
    <border>
      <left/>
      <right/>
      <top style="medium">
        <color rgb="FF007363"/>
      </top>
      <bottom style="medium">
        <color rgb="FF007363"/>
      </bottom>
      <diagonal/>
    </border>
    <border>
      <left style="thin">
        <color rgb="FF007363"/>
      </left>
      <right/>
      <top style="medium">
        <color rgb="FF007363"/>
      </top>
      <bottom/>
      <diagonal/>
    </border>
    <border>
      <left style="thin">
        <color rgb="FF007363"/>
      </left>
      <right/>
      <top/>
      <bottom style="medium">
        <color rgb="FF007363"/>
      </bottom>
      <diagonal/>
    </border>
    <border>
      <left style="medium">
        <color theme="0" tint="-0.14996795556505021"/>
      </left>
      <right/>
      <top style="medium">
        <color theme="0" tint="-0.14996795556505021"/>
      </top>
      <bottom/>
      <diagonal/>
    </border>
    <border>
      <left/>
      <right/>
      <top style="medium">
        <color theme="0" tint="-0.14996795556505021"/>
      </top>
      <bottom/>
      <diagonal/>
    </border>
    <border>
      <left/>
      <right style="medium">
        <color theme="0" tint="-0.14996795556505021"/>
      </right>
      <top style="medium">
        <color theme="0" tint="-0.14996795556505021"/>
      </top>
      <bottom/>
      <diagonal/>
    </border>
    <border>
      <left/>
      <right style="medium">
        <color theme="0" tint="-0.14996795556505021"/>
      </right>
      <top/>
      <bottom/>
      <diagonal/>
    </border>
    <border>
      <left style="medium">
        <color theme="0" tint="-0.14996795556505021"/>
      </left>
      <right/>
      <top/>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style="medium">
        <color theme="9" tint="-0.24994659260841701"/>
      </left>
      <right style="medium">
        <color theme="9" tint="-0.24994659260841701"/>
      </right>
      <top style="medium">
        <color theme="9" tint="-0.24994659260841701"/>
      </top>
      <bottom style="hair">
        <color rgb="FFFF0000"/>
      </bottom>
      <diagonal/>
    </border>
    <border>
      <left/>
      <right style="medium">
        <color rgb="FF007363"/>
      </right>
      <top style="medium">
        <color rgb="FF007363"/>
      </top>
      <bottom/>
      <diagonal/>
    </border>
    <border>
      <left/>
      <right style="medium">
        <color rgb="FF007363"/>
      </right>
      <top/>
      <bottom style="medium">
        <color rgb="FF007363"/>
      </bottom>
      <diagonal/>
    </border>
    <border>
      <left/>
      <right/>
      <top style="hair">
        <color rgb="FFFF0000"/>
      </top>
      <bottom/>
      <diagonal/>
    </border>
    <border>
      <left style="thin">
        <color indexed="64"/>
      </left>
      <right/>
      <top style="hair">
        <color indexed="64"/>
      </top>
      <bottom style="hair">
        <color rgb="FFFF0000"/>
      </bottom>
      <diagonal/>
    </border>
    <border>
      <left/>
      <right style="thin">
        <color indexed="64"/>
      </right>
      <top style="hair">
        <color rgb="FFFF0000"/>
      </top>
      <bottom style="thin">
        <color indexed="64"/>
      </bottom>
      <diagonal/>
    </border>
    <border>
      <left style="thin">
        <color theme="0" tint="-0.499984740745262"/>
      </left>
      <right style="thin">
        <color theme="0" tint="-0.499984740745262"/>
      </right>
      <top style="hair">
        <color indexed="64"/>
      </top>
      <bottom style="thin">
        <color indexed="64"/>
      </bottom>
      <diagonal/>
    </border>
    <border>
      <left/>
      <right/>
      <top style="hair">
        <color rgb="FFFF0000"/>
      </top>
      <bottom style="thin">
        <color indexed="64"/>
      </bottom>
      <diagonal/>
    </border>
    <border>
      <left style="thin">
        <color indexed="64"/>
      </left>
      <right style="thin">
        <color indexed="64"/>
      </right>
      <top style="hair">
        <color rgb="FFFF0000"/>
      </top>
      <bottom style="hair">
        <color indexed="64"/>
      </bottom>
      <diagonal/>
    </border>
    <border>
      <left/>
      <right style="medium">
        <color theme="9" tint="-0.24994659260841701"/>
      </right>
      <top/>
      <bottom/>
      <diagonal/>
    </border>
    <border>
      <left style="medium">
        <color rgb="FF007363"/>
      </left>
      <right/>
      <top style="medium">
        <color rgb="FF007363"/>
      </top>
      <bottom/>
      <diagonal/>
    </border>
    <border>
      <left/>
      <right/>
      <top style="medium">
        <color rgb="FF007363"/>
      </top>
      <bottom/>
      <diagonal/>
    </border>
    <border>
      <left style="medium">
        <color rgb="FF007363"/>
      </left>
      <right/>
      <top/>
      <bottom style="medium">
        <color rgb="FF007363"/>
      </bottom>
      <diagonal/>
    </border>
    <border>
      <left/>
      <right/>
      <top/>
      <bottom style="medium">
        <color rgb="FF007363"/>
      </bottom>
      <diagonal/>
    </border>
    <border>
      <left style="medium">
        <color rgb="FF007363"/>
      </left>
      <right/>
      <top style="medium">
        <color rgb="FF007363"/>
      </top>
      <bottom style="medium">
        <color rgb="FF007363"/>
      </bottom>
      <diagonal/>
    </border>
    <border>
      <left/>
      <right style="medium">
        <color rgb="FF007363"/>
      </right>
      <top style="medium">
        <color rgb="FF007363"/>
      </top>
      <bottom style="medium">
        <color rgb="FF007363"/>
      </bottom>
      <diagonal/>
    </border>
    <border>
      <left style="thin">
        <color indexed="64"/>
      </left>
      <right/>
      <top style="hair">
        <color rgb="FFFF0000"/>
      </top>
      <bottom style="thin">
        <color indexed="64"/>
      </bottom>
      <diagonal/>
    </border>
    <border>
      <left/>
      <right style="thin">
        <color theme="8" tint="0.59996337778862885"/>
      </right>
      <top style="thin">
        <color theme="8" tint="0.59996337778862885"/>
      </top>
      <bottom style="thin">
        <color theme="8" tint="0.59996337778862885"/>
      </bottom>
      <diagonal/>
    </border>
    <border>
      <left style="medium">
        <color theme="9" tint="-0.24994659260841701"/>
      </left>
      <right/>
      <top style="medium">
        <color theme="9" tint="-0.24994659260841701"/>
      </top>
      <bottom style="hair">
        <color rgb="FFFF0000"/>
      </bottom>
      <diagonal/>
    </border>
    <border>
      <left/>
      <right style="medium">
        <color theme="9" tint="-0.24994659260841701"/>
      </right>
      <top style="medium">
        <color theme="9" tint="-0.24994659260841701"/>
      </top>
      <bottom style="hair">
        <color rgb="FFFF0000"/>
      </bottom>
      <diagonal/>
    </border>
    <border>
      <left/>
      <right/>
      <top style="thin">
        <color indexed="64"/>
      </top>
      <bottom style="medium">
        <color theme="9" tint="-0.24994659260841701"/>
      </bottom>
      <diagonal/>
    </border>
    <border>
      <left/>
      <right style="thin">
        <color indexed="64"/>
      </right>
      <top style="thin">
        <color indexed="64"/>
      </top>
      <bottom style="medium">
        <color theme="9" tint="-0.24994659260841701"/>
      </bottom>
      <diagonal/>
    </border>
    <border>
      <left style="medium">
        <color rgb="FFFFC000"/>
      </left>
      <right/>
      <top style="medium">
        <color rgb="FFFFC000"/>
      </top>
      <bottom style="medium">
        <color rgb="FFFFC000"/>
      </bottom>
      <diagonal/>
    </border>
    <border>
      <left/>
      <right/>
      <top style="medium">
        <color rgb="FFFFC000"/>
      </top>
      <bottom style="medium">
        <color rgb="FFFFC000"/>
      </bottom>
      <diagonal/>
    </border>
    <border>
      <left/>
      <right style="medium">
        <color rgb="FFFFC000"/>
      </right>
      <top style="medium">
        <color rgb="FFFFC000"/>
      </top>
      <bottom style="medium">
        <color rgb="FFFFC000"/>
      </bottom>
      <diagonal/>
    </border>
    <border>
      <left style="medium">
        <color theme="9" tint="-0.24994659260841701"/>
      </left>
      <right/>
      <top style="hair">
        <color indexed="64"/>
      </top>
      <bottom style="hair">
        <color theme="9" tint="-0.24994659260841701"/>
      </bottom>
      <diagonal/>
    </border>
    <border>
      <left/>
      <right style="hair">
        <color theme="9" tint="-0.24994659260841701"/>
      </right>
      <top style="hair">
        <color indexed="64"/>
      </top>
      <bottom style="hair">
        <color theme="9" tint="-0.24994659260841701"/>
      </bottom>
      <diagonal/>
    </border>
    <border>
      <left/>
      <right style="medium">
        <color rgb="FFC00000"/>
      </right>
      <top/>
      <bottom/>
      <diagonal/>
    </border>
    <border>
      <left style="medium">
        <color theme="9" tint="-0.24994659260841701"/>
      </left>
      <right/>
      <top style="hair">
        <color rgb="FFFF0000"/>
      </top>
      <bottom style="hair">
        <color rgb="FFFF0000"/>
      </bottom>
      <diagonal/>
    </border>
    <border>
      <left/>
      <right style="medium">
        <color theme="9" tint="-0.24994659260841701"/>
      </right>
      <top style="hair">
        <color rgb="FFFF0000"/>
      </top>
      <bottom style="hair">
        <color rgb="FFFF0000"/>
      </bottom>
      <diagonal/>
    </border>
    <border>
      <left style="medium">
        <color rgb="FFC00000"/>
      </left>
      <right/>
      <top style="medium">
        <color rgb="FFC00000"/>
      </top>
      <bottom style="hair">
        <color rgb="FFFF0000"/>
      </bottom>
      <diagonal/>
    </border>
    <border>
      <left/>
      <right style="medium">
        <color rgb="FFC00000"/>
      </right>
      <top style="medium">
        <color rgb="FFC00000"/>
      </top>
      <bottom style="hair">
        <color rgb="FFFF0000"/>
      </bottom>
      <diagonal/>
    </border>
    <border>
      <left style="medium">
        <color theme="9" tint="-0.24994659260841701"/>
      </left>
      <right/>
      <top style="hair">
        <color indexed="64"/>
      </top>
      <bottom style="hair">
        <color indexed="64"/>
      </bottom>
      <diagonal/>
    </border>
    <border>
      <left style="medium">
        <color rgb="FFC00000"/>
      </left>
      <right/>
      <top style="hair">
        <color rgb="FFFF0000"/>
      </top>
      <bottom style="hair">
        <color rgb="FFFF0000"/>
      </bottom>
      <diagonal/>
    </border>
    <border>
      <left/>
      <right style="medium">
        <color rgb="FFC00000"/>
      </right>
      <top style="hair">
        <color rgb="FFFF0000"/>
      </top>
      <bottom style="hair">
        <color rgb="FFFF0000"/>
      </bottom>
      <diagonal/>
    </border>
    <border>
      <left/>
      <right/>
      <top style="hair">
        <color rgb="FFFF0000"/>
      </top>
      <bottom style="hair">
        <color rgb="FFFF0000"/>
      </bottom>
      <diagonal/>
    </border>
    <border>
      <left style="thin">
        <color theme="0" tint="-0.499984740745262"/>
      </left>
      <right/>
      <top style="thin">
        <color theme="0" tint="-0.499984740745262"/>
      </top>
      <bottom style="thin">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medium">
        <color theme="0" tint="-0.499984740745262"/>
      </left>
      <right/>
      <top style="hair">
        <color rgb="FFFF0000"/>
      </top>
      <bottom style="hair">
        <color rgb="FFFF0000"/>
      </bottom>
      <diagonal/>
    </border>
    <border>
      <left/>
      <right style="medium">
        <color theme="0" tint="-0.499984740745262"/>
      </right>
      <top style="hair">
        <color rgb="FFFF0000"/>
      </top>
      <bottom style="hair">
        <color rgb="FFFF0000"/>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bottom style="hair">
        <color rgb="FFFF0000"/>
      </bottom>
      <diagonal/>
    </border>
    <border>
      <left/>
      <right style="medium">
        <color theme="0" tint="-0.499984740745262"/>
      </right>
      <top/>
      <bottom style="hair">
        <color rgb="FFFF0000"/>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medium">
        <color theme="0" tint="-0.499984740745262"/>
      </left>
      <right/>
      <top style="thin">
        <color theme="0" tint="-0.499984740745262"/>
      </top>
      <bottom style="hair">
        <color rgb="FFFF0000"/>
      </bottom>
      <diagonal/>
    </border>
    <border>
      <left/>
      <right/>
      <top style="thin">
        <color theme="0" tint="-0.499984740745262"/>
      </top>
      <bottom style="hair">
        <color rgb="FFFF0000"/>
      </bottom>
      <diagonal/>
    </border>
    <border>
      <left/>
      <right style="medium">
        <color theme="0" tint="-0.499984740745262"/>
      </right>
      <top style="thin">
        <color theme="0" tint="-0.499984740745262"/>
      </top>
      <bottom style="hair">
        <color rgb="FFFF0000"/>
      </bottom>
      <diagonal/>
    </border>
    <border>
      <left style="medium">
        <color theme="0" tint="-0.499984740745262"/>
      </left>
      <right/>
      <top style="hair">
        <color rgb="FFFF0000"/>
      </top>
      <bottom style="thin">
        <color theme="0" tint="-0.499984740745262"/>
      </bottom>
      <diagonal/>
    </border>
    <border>
      <left/>
      <right/>
      <top style="hair">
        <color rgb="FFFF0000"/>
      </top>
      <bottom style="thin">
        <color theme="0" tint="-0.499984740745262"/>
      </bottom>
      <diagonal/>
    </border>
    <border>
      <left/>
      <right style="medium">
        <color theme="0" tint="-0.499984740745262"/>
      </right>
      <top style="hair">
        <color rgb="FFFF0000"/>
      </top>
      <bottom style="thin">
        <color theme="0" tint="-0.499984740745262"/>
      </bottom>
      <diagonal/>
    </border>
    <border>
      <left style="medium">
        <color theme="0" tint="-0.499984740745262"/>
      </left>
      <right/>
      <top style="hair">
        <color rgb="FFFF0000"/>
      </top>
      <bottom style="hair">
        <color indexed="64"/>
      </bottom>
      <diagonal/>
    </border>
    <border>
      <left/>
      <right/>
      <top style="hair">
        <color rgb="FFFF0000"/>
      </top>
      <bottom style="hair">
        <color indexed="64"/>
      </bottom>
      <diagonal/>
    </border>
    <border>
      <left/>
      <right style="medium">
        <color theme="0" tint="-0.499984740745262"/>
      </right>
      <top style="hair">
        <color rgb="FFFF0000"/>
      </top>
      <bottom style="hair">
        <color indexed="64"/>
      </bottom>
      <diagonal/>
    </border>
    <border>
      <left/>
      <right/>
      <top style="thin">
        <color indexed="64"/>
      </top>
      <bottom style="thin">
        <color theme="0" tint="-0.499984740745262"/>
      </bottom>
      <diagonal/>
    </border>
    <border>
      <left/>
      <right/>
      <top style="hair">
        <color theme="0" tint="-0.499984740745262"/>
      </top>
      <bottom/>
      <diagonal/>
    </border>
    <border>
      <left style="thin">
        <color theme="0" tint="-0.499984740745262"/>
      </left>
      <right/>
      <top style="hair">
        <color indexed="64"/>
      </top>
      <bottom/>
      <diagonal/>
    </border>
    <border>
      <left/>
      <right style="thin">
        <color theme="0" tint="-0.499984740745262"/>
      </right>
      <top style="hair">
        <color indexed="64"/>
      </top>
      <bottom/>
      <diagonal/>
    </border>
    <border>
      <left style="medium">
        <color theme="9" tint="-0.24994659260841701"/>
      </left>
      <right/>
      <top/>
      <bottom style="hair">
        <color rgb="FFFF0000"/>
      </bottom>
      <diagonal/>
    </border>
    <border>
      <left/>
      <right style="medium">
        <color theme="9" tint="-0.24994659260841701"/>
      </right>
      <top/>
      <bottom style="hair">
        <color rgb="FFFF0000"/>
      </bottom>
      <diagonal/>
    </border>
    <border>
      <left style="thin">
        <color theme="0" tint="-0.34998626667073579"/>
      </left>
      <right/>
      <top style="hair">
        <color rgb="FFFF0000"/>
      </top>
      <bottom style="thin">
        <color theme="0" tint="-0.34998626667073579"/>
      </bottom>
      <diagonal/>
    </border>
    <border>
      <left/>
      <right/>
      <top style="hair">
        <color rgb="FFFF0000"/>
      </top>
      <bottom style="thin">
        <color theme="0" tint="-0.34998626667073579"/>
      </bottom>
      <diagonal/>
    </border>
    <border>
      <left/>
      <right style="thin">
        <color theme="0" tint="-0.34998626667073579"/>
      </right>
      <top style="hair">
        <color rgb="FFFF0000"/>
      </top>
      <bottom style="thin">
        <color theme="0" tint="-0.34998626667073579"/>
      </bottom>
      <diagonal/>
    </border>
    <border>
      <left style="thin">
        <color theme="0" tint="-0.34998626667073579"/>
      </left>
      <right/>
      <top style="thin">
        <color theme="0" tint="-0.34998626667073579"/>
      </top>
      <bottom style="hair">
        <color rgb="FFFF0000"/>
      </bottom>
      <diagonal/>
    </border>
    <border>
      <left/>
      <right/>
      <top style="thin">
        <color theme="0" tint="-0.34998626667073579"/>
      </top>
      <bottom style="hair">
        <color rgb="FFFF0000"/>
      </bottom>
      <diagonal/>
    </border>
    <border>
      <left/>
      <right style="thin">
        <color theme="0" tint="-0.34998626667073579"/>
      </right>
      <top style="thin">
        <color theme="0" tint="-0.34998626667073579"/>
      </top>
      <bottom style="hair">
        <color rgb="FFFF0000"/>
      </bottom>
      <diagonal/>
    </border>
    <border>
      <left style="thin">
        <color theme="0" tint="-0.34998626667073579"/>
      </left>
      <right/>
      <top style="hair">
        <color rgb="FFFF0000"/>
      </top>
      <bottom style="hair">
        <color rgb="FFFF0000"/>
      </bottom>
      <diagonal/>
    </border>
    <border>
      <left/>
      <right style="thin">
        <color theme="0" tint="-0.34998626667073579"/>
      </right>
      <top style="hair">
        <color rgb="FFFF0000"/>
      </top>
      <bottom style="hair">
        <color rgb="FFFF0000"/>
      </bottom>
      <diagonal/>
    </border>
    <border>
      <left style="thin">
        <color indexed="64"/>
      </left>
      <right/>
      <top/>
      <bottom style="medium">
        <color indexed="64"/>
      </bottom>
      <diagonal/>
    </border>
    <border>
      <left/>
      <right/>
      <top/>
      <bottom style="medium">
        <color indexed="64"/>
      </bottom>
      <diagonal/>
    </border>
    <border>
      <left style="medium">
        <color theme="0" tint="-0.499984740745262"/>
      </left>
      <right/>
      <top style="hair">
        <color rgb="FFFF0000"/>
      </top>
      <bottom style="medium">
        <color indexed="64"/>
      </bottom>
      <diagonal/>
    </border>
    <border>
      <left/>
      <right/>
      <top style="hair">
        <color rgb="FFFF0000"/>
      </top>
      <bottom style="medium">
        <color indexed="64"/>
      </bottom>
      <diagonal/>
    </border>
    <border>
      <left/>
      <right style="medium">
        <color theme="0" tint="-0.499984740745262"/>
      </right>
      <top style="hair">
        <color rgb="FFFF0000"/>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medium">
        <color rgb="FFFF0000"/>
      </top>
      <bottom style="double">
        <color indexed="64"/>
      </bottom>
      <diagonal/>
    </border>
    <border>
      <left style="thin">
        <color indexed="64"/>
      </left>
      <right style="thin">
        <color indexed="64"/>
      </right>
      <top style="hair">
        <color indexed="64"/>
      </top>
      <bottom style="medium">
        <color rgb="FFFF000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medium">
        <color rgb="FFFF0000"/>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hair">
        <color indexed="64"/>
      </bottom>
      <diagonal/>
    </border>
    <border>
      <left style="thin">
        <color indexed="64"/>
      </left>
      <right/>
      <top style="hair">
        <color rgb="FFFF0000"/>
      </top>
      <bottom style="hair">
        <color indexed="64"/>
      </bottom>
      <diagonal/>
    </border>
    <border>
      <left style="hair">
        <color auto="1"/>
      </left>
      <right style="hair">
        <color auto="1"/>
      </right>
      <top style="hair">
        <color auto="1"/>
      </top>
      <bottom style="hair">
        <color auto="1"/>
      </bottom>
      <diagonal/>
    </border>
    <border>
      <left/>
      <right style="thin">
        <color indexed="51"/>
      </right>
      <top style="thin">
        <color indexed="51"/>
      </top>
      <bottom style="thin">
        <color indexed="51"/>
      </bottom>
      <diagonal/>
    </border>
    <border>
      <left/>
      <right/>
      <top style="thin">
        <color indexed="51"/>
      </top>
      <bottom style="thin">
        <color indexed="51"/>
      </bottom>
      <diagonal/>
    </border>
    <border>
      <left style="thin">
        <color indexed="51"/>
      </left>
      <right style="thin">
        <color indexed="51"/>
      </right>
      <top style="thin">
        <color indexed="51"/>
      </top>
      <bottom style="medium">
        <color indexed="51"/>
      </bottom>
      <diagonal/>
    </border>
    <border>
      <left style="thin">
        <color indexed="51"/>
      </left>
      <right style="thin">
        <color indexed="51"/>
      </right>
      <top/>
      <bottom style="thin">
        <color indexed="51"/>
      </bottom>
      <diagonal/>
    </border>
    <border>
      <left/>
      <right/>
      <top/>
      <bottom style="thin">
        <color indexed="51"/>
      </bottom>
      <diagonal/>
    </border>
    <border>
      <left/>
      <right style="thin">
        <color indexed="51"/>
      </right>
      <top/>
      <bottom style="thin">
        <color indexed="51"/>
      </bottom>
      <diagonal/>
    </border>
    <border>
      <left style="thin">
        <color indexed="51"/>
      </left>
      <right/>
      <top style="thin">
        <color indexed="51"/>
      </top>
      <bottom style="medium">
        <color indexed="51"/>
      </bottom>
      <diagonal/>
    </border>
    <border>
      <left/>
      <right/>
      <top style="thin">
        <color indexed="51"/>
      </top>
      <bottom style="medium">
        <color indexed="51"/>
      </bottom>
      <diagonal/>
    </border>
    <border>
      <left/>
      <right style="thin">
        <color indexed="51"/>
      </right>
      <top style="thin">
        <color indexed="51"/>
      </top>
      <bottom style="medium">
        <color indexed="51"/>
      </bottom>
      <diagonal/>
    </border>
    <border>
      <left style="medium">
        <color rgb="FFFFC000"/>
      </left>
      <right style="medium">
        <color rgb="FFFFC000"/>
      </right>
      <top style="medium">
        <color rgb="FFFFC000"/>
      </top>
      <bottom style="medium">
        <color rgb="FFFFC000"/>
      </bottom>
      <diagonal/>
    </border>
    <border>
      <left style="medium">
        <color theme="9" tint="-0.24994659260841701"/>
      </left>
      <right style="medium">
        <color theme="9" tint="-0.24994659260841701"/>
      </right>
      <top style="hair">
        <color rgb="FFFF0000"/>
      </top>
      <bottom style="hair">
        <color rgb="FFFF0000"/>
      </bottom>
      <diagonal/>
    </border>
    <border>
      <left/>
      <right style="thin">
        <color rgb="FF007363"/>
      </right>
      <top style="medium">
        <color rgb="FF007363"/>
      </top>
      <bottom style="medium">
        <color rgb="FF007363"/>
      </bottom>
      <diagonal/>
    </border>
    <border>
      <left style="thin">
        <color rgb="FF007363"/>
      </left>
      <right/>
      <top style="medium">
        <color rgb="FF007363"/>
      </top>
      <bottom style="medium">
        <color rgb="FF007363"/>
      </bottom>
      <diagonal/>
    </border>
    <border>
      <left/>
      <right style="thin">
        <color indexed="64"/>
      </right>
      <top style="thin">
        <color rgb="FFFFCC00"/>
      </top>
      <bottom/>
      <diagonal/>
    </border>
    <border>
      <left/>
      <right style="thin">
        <color indexed="64"/>
      </right>
      <top/>
      <bottom style="thin">
        <color rgb="FFFFCC00"/>
      </bottom>
      <diagonal/>
    </border>
    <border>
      <left style="thin">
        <color theme="8" tint="0.59996337778862885"/>
      </left>
      <right style="thin">
        <color theme="8" tint="0.59996337778862885"/>
      </right>
      <top style="thin">
        <color theme="8" tint="0.59996337778862885"/>
      </top>
      <bottom/>
      <diagonal/>
    </border>
    <border>
      <left/>
      <right style="thin">
        <color indexed="64"/>
      </right>
      <top style="thin">
        <color theme="8" tint="0.59996337778862885"/>
      </top>
      <bottom/>
      <diagonal/>
    </border>
    <border>
      <left/>
      <right/>
      <top style="thin">
        <color theme="8" tint="0.59996337778862885"/>
      </top>
      <bottom style="thin">
        <color theme="8" tint="0.59996337778862885"/>
      </bottom>
      <diagonal/>
    </border>
    <border>
      <left/>
      <right/>
      <top style="hair">
        <color indexed="64"/>
      </top>
      <bottom style="hair">
        <color rgb="FFFF0000"/>
      </bottom>
      <diagonal/>
    </border>
    <border>
      <left style="medium">
        <color rgb="FF007363"/>
      </left>
      <right style="medium">
        <color rgb="FF007363"/>
      </right>
      <top style="medium">
        <color rgb="FF007363"/>
      </top>
      <bottom style="medium">
        <color rgb="FF007363"/>
      </bottom>
      <diagonal/>
    </border>
    <border>
      <left style="medium">
        <color rgb="FFFF0000"/>
      </left>
      <right style="medium">
        <color rgb="FFFF0000"/>
      </right>
      <top style="medium">
        <color rgb="FFFF0000"/>
      </top>
      <bottom style="medium">
        <color rgb="FFFF0000"/>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thin">
        <color indexed="64"/>
      </left>
      <right style="thin">
        <color indexed="64"/>
      </right>
      <top/>
      <bottom style="medium">
        <color indexed="64"/>
      </bottom>
      <diagonal/>
    </border>
    <border>
      <left/>
      <right style="medium">
        <color indexed="51"/>
      </right>
      <top/>
      <bottom style="hair">
        <color indexed="64"/>
      </bottom>
      <diagonal/>
    </border>
    <border>
      <left style="medium">
        <color indexed="51"/>
      </left>
      <right style="medium">
        <color theme="0" tint="-0.34998626667073579"/>
      </right>
      <top/>
      <bottom style="hair">
        <color indexed="64"/>
      </bottom>
      <diagonal/>
    </border>
    <border>
      <left/>
      <right style="thin">
        <color indexed="64"/>
      </right>
      <top style="thin">
        <color theme="9" tint="-0.24994659260841701"/>
      </top>
      <bottom/>
      <diagonal/>
    </border>
    <border>
      <left/>
      <right style="thin">
        <color theme="0" tint="-0.499984740745262"/>
      </right>
      <top style="thin">
        <color indexed="64"/>
      </top>
      <bottom style="hair">
        <color indexed="64"/>
      </bottom>
      <diagonal/>
    </border>
    <border>
      <left style="hair">
        <color auto="1"/>
      </left>
      <right style="hair">
        <color auto="1"/>
      </right>
      <top style="hair">
        <color auto="1"/>
      </top>
      <bottom/>
      <diagonal/>
    </border>
    <border>
      <left/>
      <right style="thin">
        <color theme="0" tint="-0.499984740745262"/>
      </right>
      <top/>
      <bottom style="hair">
        <color indexed="64"/>
      </bottom>
      <diagonal/>
    </border>
    <border>
      <left style="hair">
        <color indexed="64"/>
      </left>
      <right/>
      <top/>
      <bottom style="hair">
        <color indexed="64"/>
      </bottom>
      <diagonal/>
    </border>
    <border>
      <left style="medium">
        <color theme="0" tint="-0.34998626667073579"/>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thin">
        <color indexed="64"/>
      </left>
      <right style="thin">
        <color indexed="64"/>
      </right>
      <top style="hair">
        <color indexed="10"/>
      </top>
      <bottom style="thin">
        <color indexed="64"/>
      </bottom>
      <diagonal/>
    </border>
    <border>
      <left style="medium">
        <color rgb="FFE46D0A"/>
      </left>
      <right style="medium">
        <color rgb="FFE46D0A"/>
      </right>
      <top style="medium">
        <color rgb="FFE46D0A"/>
      </top>
      <bottom style="hair">
        <color rgb="FFFF0000"/>
      </bottom>
      <diagonal/>
    </border>
    <border>
      <left/>
      <right style="medium">
        <color rgb="FFE46D0A"/>
      </right>
      <top/>
      <bottom style="hair">
        <color indexed="64"/>
      </bottom>
      <diagonal/>
    </border>
    <border>
      <left style="hair">
        <color indexed="64"/>
      </left>
      <right style="hair">
        <color indexed="64"/>
      </right>
      <top style="hair">
        <color indexed="64"/>
      </top>
      <bottom style="hair">
        <color indexed="64"/>
      </bottom>
      <diagonal/>
    </border>
    <border>
      <left style="medium">
        <color rgb="FFE46D0A"/>
      </left>
      <right style="medium">
        <color rgb="FFE46D0A"/>
      </right>
      <top style="hair">
        <color rgb="FFFF0000"/>
      </top>
      <bottom style="hair">
        <color rgb="FFFF0000"/>
      </bottom>
      <diagonal/>
    </border>
    <border>
      <left style="medium">
        <color rgb="FFE46D0A"/>
      </left>
      <right style="medium">
        <color rgb="FFE46D0A"/>
      </right>
      <top style="hair">
        <color indexed="64"/>
      </top>
      <bottom style="hair">
        <color indexed="64"/>
      </bottom>
      <diagonal/>
    </border>
    <border>
      <left style="medium">
        <color rgb="FFE46D0A"/>
      </left>
      <right style="medium">
        <color rgb="FFE46D0A"/>
      </right>
      <top style="hair">
        <color rgb="FFFF0000"/>
      </top>
      <bottom style="hair">
        <color indexed="64"/>
      </bottom>
      <diagonal/>
    </border>
    <border>
      <left/>
      <right style="thin">
        <color indexed="64"/>
      </right>
      <top style="hair">
        <color indexed="10"/>
      </top>
      <bottom style="hair">
        <color rgb="FFFF0000"/>
      </bottom>
      <diagonal/>
    </border>
    <border>
      <left style="medium">
        <color rgb="FFE46D0A"/>
      </left>
      <right style="medium">
        <color rgb="FFE46D0A"/>
      </right>
      <top style="hair">
        <color indexed="64"/>
      </top>
      <bottom style="hair">
        <color rgb="FFFF0000"/>
      </bottom>
      <diagonal/>
    </border>
    <border>
      <left/>
      <right/>
      <top style="hair">
        <color indexed="64"/>
      </top>
      <bottom style="hair">
        <color indexed="64"/>
      </bottom>
      <diagonal/>
    </border>
    <border>
      <left/>
      <right/>
      <top style="hair">
        <color indexed="64"/>
      </top>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rgb="FFE46D0A"/>
      </left>
      <right style="medium">
        <color rgb="FFE46D0A"/>
      </right>
      <top/>
      <bottom style="hair">
        <color rgb="FFFF0000"/>
      </bottom>
      <diagonal/>
    </border>
    <border>
      <left style="thin">
        <color theme="0" tint="-0.499984740745262"/>
      </left>
      <right/>
      <top/>
      <bottom/>
      <diagonal/>
    </border>
    <border>
      <left/>
      <right style="thin">
        <color theme="0" tint="-0.499984740745262"/>
      </right>
      <top/>
      <bottom/>
      <diagonal/>
    </border>
    <border>
      <left style="thin">
        <color indexed="64"/>
      </left>
      <right/>
      <top style="hair">
        <color indexed="64"/>
      </top>
      <bottom/>
      <diagonal/>
    </border>
    <border>
      <left/>
      <right style="medium">
        <color rgb="FFE46D0A"/>
      </right>
      <top/>
      <bottom/>
      <diagonal/>
    </border>
    <border>
      <left style="medium">
        <color theme="9" tint="-0.24994659260841701"/>
      </left>
      <right/>
      <top style="hair">
        <color indexed="64"/>
      </top>
      <bottom/>
      <diagonal/>
    </border>
    <border>
      <left/>
      <right/>
      <top style="hair">
        <color auto="1"/>
      </top>
      <bottom style="medium">
        <color theme="9" tint="-0.24994659260841701"/>
      </bottom>
      <diagonal/>
    </border>
    <border>
      <left style="thin">
        <color indexed="64"/>
      </left>
      <right style="thin">
        <color indexed="64"/>
      </right>
      <top style="hair">
        <color indexed="64"/>
      </top>
      <bottom style="hair">
        <color indexed="64"/>
      </bottom>
      <diagonal/>
    </border>
    <border>
      <left style="medium">
        <color rgb="FFE46D0A"/>
      </left>
      <right style="medium">
        <color rgb="FFE46D0A"/>
      </right>
      <top style="medium">
        <color rgb="FFE46D0A"/>
      </top>
      <bottom/>
      <diagonal/>
    </border>
    <border>
      <left/>
      <right style="thin">
        <color indexed="64"/>
      </right>
      <top style="hair">
        <color rgb="FFFF0000"/>
      </top>
      <bottom style="hair">
        <color indexed="10"/>
      </bottom>
      <diagonal/>
    </border>
    <border>
      <left style="medium">
        <color rgb="FFE46D0A"/>
      </left>
      <right style="medium">
        <color theme="9" tint="-0.24994659260841701"/>
      </right>
      <top style="hair">
        <color rgb="FFFF0000"/>
      </top>
      <bottom style="hair">
        <color rgb="FFFF0000"/>
      </bottom>
      <diagonal/>
    </border>
    <border>
      <left/>
      <right style="medium">
        <color rgb="FFE46D0A"/>
      </right>
      <top style="hair">
        <color indexed="64"/>
      </top>
      <bottom style="hair">
        <color indexed="64"/>
      </bottom>
      <diagonal/>
    </border>
    <border>
      <left/>
      <right/>
      <top style="hair">
        <color rgb="FFFF0000"/>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thin">
        <color theme="0" tint="-0.499984740745262"/>
      </right>
      <top style="hair">
        <color indexed="64"/>
      </top>
      <bottom style="hair">
        <color indexed="64"/>
      </bottom>
      <diagonal/>
    </border>
    <border>
      <left style="thin">
        <color indexed="64"/>
      </left>
      <right style="thin">
        <color indexed="64"/>
      </right>
      <top style="hair">
        <color indexed="10"/>
      </top>
      <bottom style="hair">
        <color indexed="64"/>
      </bottom>
      <diagonal/>
    </border>
    <border>
      <left/>
      <right style="thin">
        <color indexed="64"/>
      </right>
      <top style="hair">
        <color indexed="10"/>
      </top>
      <bottom style="hair">
        <color indexed="64"/>
      </bottom>
      <diagonal/>
    </border>
    <border>
      <left style="thin">
        <color indexed="64"/>
      </left>
      <right/>
      <top style="hair">
        <color indexed="10"/>
      </top>
      <bottom style="hair">
        <color indexed="64"/>
      </bottom>
      <diagonal/>
    </border>
    <border>
      <left style="thin">
        <color indexed="64"/>
      </left>
      <right style="thin">
        <color indexed="64"/>
      </right>
      <top style="hair">
        <color indexed="64"/>
      </top>
      <bottom/>
      <diagonal/>
    </border>
    <border>
      <left style="dotted">
        <color auto="1"/>
      </left>
      <right/>
      <top/>
      <bottom/>
      <diagonal/>
    </border>
    <border>
      <left style="dotted">
        <color indexed="64"/>
      </left>
      <right/>
      <top style="hair">
        <color rgb="FFFF0000"/>
      </top>
      <bottom style="hair">
        <color rgb="FFFF0000"/>
      </bottom>
      <diagonal/>
    </border>
    <border>
      <left style="dotted">
        <color indexed="64"/>
      </left>
      <right/>
      <top/>
      <bottom style="hair">
        <color rgb="FFFF0000"/>
      </bottom>
      <diagonal/>
    </border>
    <border>
      <left style="thin">
        <color rgb="FFFFCB25"/>
      </left>
      <right/>
      <top/>
      <bottom style="thin">
        <color rgb="FFFFCB25"/>
      </bottom>
      <diagonal/>
    </border>
    <border>
      <left/>
      <right/>
      <top/>
      <bottom style="thin">
        <color rgb="FFFFCB25"/>
      </bottom>
      <diagonal/>
    </border>
    <border>
      <left/>
      <right style="thin">
        <color rgb="FFFFCB25"/>
      </right>
      <top/>
      <bottom style="thin">
        <color rgb="FFFFCB25"/>
      </bottom>
      <diagonal/>
    </border>
    <border>
      <left style="dotted">
        <color indexed="64"/>
      </left>
      <right/>
      <top/>
      <bottom style="hair">
        <color indexed="64"/>
      </bottom>
      <diagonal/>
    </border>
    <border>
      <left/>
      <right/>
      <top style="thin">
        <color rgb="FFFFCB25"/>
      </top>
      <bottom/>
      <diagonal/>
    </border>
    <border>
      <left style="thin">
        <color indexed="64"/>
      </left>
      <right style="thin">
        <color indexed="64"/>
      </right>
      <top style="hair">
        <color indexed="10"/>
      </top>
      <bottom style="hair">
        <color rgb="FFFF0000"/>
      </bottom>
      <diagonal/>
    </border>
    <border>
      <left style="medium">
        <color theme="9" tint="-0.24994659260841701"/>
      </left>
      <right style="medium">
        <color theme="9" tint="-0.24994659260841701"/>
      </right>
      <top style="thin">
        <color indexed="64"/>
      </top>
      <bottom style="hair">
        <color indexed="10"/>
      </bottom>
      <diagonal/>
    </border>
    <border>
      <left style="hair">
        <color auto="1"/>
      </left>
      <right style="hair">
        <color auto="1"/>
      </right>
      <top style="hair">
        <color auto="1"/>
      </top>
      <bottom style="hair">
        <color auto="1"/>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10"/>
      </bottom>
      <diagonal/>
    </border>
    <border>
      <left/>
      <right style="thin">
        <color indexed="64"/>
      </right>
      <top style="hair">
        <color indexed="64"/>
      </top>
      <bottom style="hair">
        <color indexed="64"/>
      </bottom>
      <diagonal/>
    </border>
    <border>
      <left style="thin">
        <color indexed="64"/>
      </left>
      <right/>
      <top style="hair">
        <color indexed="64"/>
      </top>
      <bottom style="hair">
        <color indexed="10"/>
      </bottom>
      <diagonal/>
    </border>
    <border>
      <left/>
      <right style="medium">
        <color indexed="51"/>
      </right>
      <top/>
      <bottom/>
      <diagonal/>
    </border>
    <border>
      <left/>
      <right style="thin">
        <color auto="1"/>
      </right>
      <top style="thin">
        <color auto="1"/>
      </top>
      <bottom/>
      <diagonal/>
    </border>
    <border>
      <left/>
      <right/>
      <top style="thin">
        <color auto="1"/>
      </top>
      <bottom/>
      <diagonal/>
    </border>
    <border>
      <left/>
      <right style="thin">
        <color indexed="64"/>
      </right>
      <top style="hair">
        <color indexed="10"/>
      </top>
      <bottom style="hair">
        <color rgb="FFFF0000"/>
      </bottom>
      <diagonal/>
    </border>
    <border>
      <left/>
      <right/>
      <top style="hair">
        <color indexed="64"/>
      </top>
      <bottom style="thin">
        <color indexed="64"/>
      </bottom>
      <diagonal/>
    </border>
    <border>
      <left style="medium">
        <color theme="9" tint="-0.24994659260841701"/>
      </left>
      <right/>
      <top/>
      <bottom style="hair">
        <color auto="1"/>
      </bottom>
      <diagonal/>
    </border>
    <border>
      <left/>
      <right/>
      <top style="hair">
        <color indexed="64"/>
      </top>
      <bottom style="hair">
        <color indexed="64"/>
      </bottom>
      <diagonal/>
    </border>
    <border>
      <left style="thin">
        <color theme="0" tint="-0.499984740745262"/>
      </left>
      <right/>
      <top style="hair">
        <color indexed="64"/>
      </top>
      <bottom style="hair">
        <color theme="0" tint="-0.499984740745262"/>
      </bottom>
      <diagonal/>
    </border>
    <border>
      <left style="medium">
        <color theme="9" tint="-0.24994659260841701"/>
      </left>
      <right/>
      <top/>
      <bottom/>
      <diagonal/>
    </border>
    <border>
      <left style="medium">
        <color indexed="51"/>
      </left>
      <right/>
      <top/>
      <bottom style="hair">
        <color indexed="64"/>
      </bottom>
      <diagonal/>
    </border>
    <border>
      <left style="thin">
        <color theme="0" tint="-0.499984740745262"/>
      </left>
      <right/>
      <top/>
      <bottom style="hair">
        <color indexed="64"/>
      </bottom>
      <diagonal/>
    </border>
    <border>
      <left/>
      <right/>
      <top/>
      <bottom style="medium">
        <color rgb="FFE46D0A"/>
      </bottom>
      <diagonal/>
    </border>
    <border>
      <left/>
      <right style="thin">
        <color auto="1"/>
      </right>
      <top/>
      <bottom/>
      <diagonal/>
    </border>
    <border>
      <left style="thin">
        <color auto="1"/>
      </left>
      <right/>
      <top/>
      <bottom/>
      <diagonal/>
    </border>
    <border>
      <left style="thin">
        <color indexed="64"/>
      </left>
      <right/>
      <top/>
      <bottom style="thin">
        <color indexed="64"/>
      </bottom>
      <diagonal/>
    </border>
    <border>
      <left/>
      <right/>
      <top/>
      <bottom style="thin">
        <color indexed="64"/>
      </bottom>
      <diagonal/>
    </border>
    <border>
      <left style="medium">
        <color rgb="FFE46D0A"/>
      </left>
      <right style="medium">
        <color theme="9" tint="-0.24994659260841701"/>
      </right>
      <top style="medium">
        <color rgb="FFE46D0A"/>
      </top>
      <bottom/>
      <diagonal/>
    </border>
    <border>
      <left style="hair">
        <color auto="1"/>
      </left>
      <right style="hair">
        <color auto="1"/>
      </right>
      <top style="hair">
        <color auto="1"/>
      </top>
      <bottom/>
      <diagonal/>
    </border>
    <border>
      <left style="thin">
        <color indexed="64"/>
      </left>
      <right style="thin">
        <color indexed="64"/>
      </right>
      <top style="hair">
        <color indexed="10"/>
      </top>
      <bottom style="hair">
        <color rgb="FFFF0000"/>
      </bottom>
      <diagonal/>
    </border>
    <border>
      <left style="thin">
        <color auto="1"/>
      </left>
      <right/>
      <top/>
      <bottom style="hair">
        <color auto="1"/>
      </bottom>
      <diagonal/>
    </border>
    <border>
      <left/>
      <right/>
      <top/>
      <bottom style="hair">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rgb="FFFF0000"/>
      </top>
      <bottom style="hair">
        <color auto="1"/>
      </bottom>
      <diagonal/>
    </border>
    <border>
      <left/>
      <right style="thin">
        <color auto="1"/>
      </right>
      <top/>
      <bottom/>
      <diagonal/>
    </border>
    <border>
      <left style="thin">
        <color auto="1"/>
      </left>
      <right/>
      <top style="hair">
        <color auto="1"/>
      </top>
      <bottom/>
      <diagonal/>
    </border>
    <border>
      <left/>
      <right/>
      <top style="hair">
        <color auto="1"/>
      </top>
      <bottom/>
      <diagonal/>
    </border>
    <border>
      <left style="thin">
        <color auto="1"/>
      </left>
      <right/>
      <top style="hair">
        <color auto="1"/>
      </top>
      <bottom style="thin">
        <color auto="1"/>
      </bottom>
      <diagonal/>
    </border>
    <border>
      <left/>
      <right/>
      <top style="hair">
        <color auto="1"/>
      </top>
      <bottom style="thin">
        <color auto="1"/>
      </bottom>
      <diagonal/>
    </border>
    <border>
      <left/>
      <right/>
      <top style="hair">
        <color auto="1"/>
      </top>
      <bottom style="hair">
        <color auto="1"/>
      </bottom>
      <diagonal/>
    </border>
    <border>
      <left/>
      <right style="thin">
        <color auto="1"/>
      </right>
      <top/>
      <bottom/>
      <diagonal/>
    </border>
    <border>
      <left style="thin">
        <color indexed="64"/>
      </left>
      <right/>
      <top style="thin">
        <color indexed="64"/>
      </top>
      <bottom/>
      <diagonal/>
    </border>
    <border>
      <left style="thin">
        <color indexed="64"/>
      </left>
      <right/>
      <top style="hair">
        <color indexed="64"/>
      </top>
      <bottom style="thin">
        <color indexed="64"/>
      </bottom>
      <diagonal/>
    </border>
    <border>
      <left/>
      <right style="medium">
        <color indexed="51"/>
      </right>
      <top/>
      <bottom style="thin">
        <color indexed="64"/>
      </bottom>
      <diagonal/>
    </border>
    <border>
      <left/>
      <right style="thin">
        <color indexed="64"/>
      </right>
      <top style="thin">
        <color indexed="64"/>
      </top>
      <bottom style="thin">
        <color rgb="FFFF0000"/>
      </bottom>
      <diagonal/>
    </border>
    <border>
      <left style="thin">
        <color indexed="64"/>
      </left>
      <right/>
      <top style="hair">
        <color indexed="10"/>
      </top>
      <bottom style="thin">
        <color indexed="64"/>
      </bottom>
      <diagonal/>
    </border>
    <border>
      <left/>
      <right style="thin">
        <color auto="1"/>
      </right>
      <top/>
      <bottom/>
      <diagonal/>
    </border>
    <border>
      <left style="thin">
        <color auto="1"/>
      </left>
      <right/>
      <top style="hair">
        <color auto="1"/>
      </top>
      <bottom style="thin">
        <color indexed="64"/>
      </bottom>
      <diagonal/>
    </border>
    <border>
      <left/>
      <right style="thin">
        <color theme="0" tint="-0.499984740745262"/>
      </right>
      <top style="hair">
        <color auto="1"/>
      </top>
      <bottom style="thin">
        <color indexed="64"/>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right/>
      <top style="hair">
        <color theme="0" tint="-0.499984740745262"/>
      </top>
      <bottom style="hair">
        <color theme="0" tint="-0.499984740745262"/>
      </bottom>
      <diagonal/>
    </border>
    <border>
      <left/>
      <right style="hair">
        <color indexed="64"/>
      </right>
      <top style="thin">
        <color indexed="64"/>
      </top>
      <bottom style="thin">
        <color indexed="64"/>
      </bottom>
      <diagonal/>
    </border>
    <border>
      <left style="thin">
        <color indexed="64"/>
      </left>
      <right style="thin">
        <color indexed="64"/>
      </right>
      <top style="thin">
        <color indexed="64"/>
      </top>
      <bottom style="thin">
        <color rgb="FFFF0000"/>
      </bottom>
      <diagonal/>
    </border>
    <border>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right style="thin">
        <color indexed="64"/>
      </right>
      <top style="thin">
        <color rgb="FFFF0000"/>
      </top>
      <bottom style="hair">
        <color rgb="FFFF0000"/>
      </bottom>
      <diagonal/>
    </border>
    <border>
      <left style="thick">
        <color rgb="FFFFC000"/>
      </left>
      <right/>
      <top style="thick">
        <color rgb="FFFFC000"/>
      </top>
      <bottom style="thick">
        <color rgb="FFFFC000"/>
      </bottom>
      <diagonal/>
    </border>
    <border>
      <left/>
      <right/>
      <top style="thick">
        <color rgb="FFFFC000"/>
      </top>
      <bottom style="thick">
        <color rgb="FFFFC000"/>
      </bottom>
      <diagonal/>
    </border>
    <border>
      <left/>
      <right style="thick">
        <color rgb="FFFFC000"/>
      </right>
      <top style="thick">
        <color rgb="FFFFC000"/>
      </top>
      <bottom style="thick">
        <color rgb="FFFFC000"/>
      </bottom>
      <diagonal/>
    </border>
    <border>
      <left style="medium">
        <color theme="9" tint="-0.24994659260841701"/>
      </left>
      <right style="medium">
        <color theme="9" tint="-0.24994659260841701"/>
      </right>
      <top/>
      <bottom style="hair">
        <color indexed="10"/>
      </bottom>
      <diagonal/>
    </border>
    <border>
      <left/>
      <right style="thin">
        <color indexed="64"/>
      </right>
      <top/>
      <bottom style="hair">
        <color indexed="10"/>
      </bottom>
      <diagonal/>
    </border>
    <border>
      <left style="medium">
        <color indexed="51"/>
      </left>
      <right/>
      <top style="hair">
        <color indexed="10"/>
      </top>
      <bottom style="hair">
        <color rgb="FFFF0000"/>
      </bottom>
      <diagonal/>
    </border>
    <border>
      <left/>
      <right/>
      <top style="hair">
        <color indexed="10"/>
      </top>
      <bottom style="hair">
        <color indexed="10"/>
      </bottom>
      <diagonal/>
    </border>
    <border>
      <left/>
      <right/>
      <top style="hair">
        <color indexed="10"/>
      </top>
      <bottom style="hair">
        <color indexed="10"/>
      </bottom>
      <diagonal/>
    </border>
    <border>
      <left style="thin">
        <color indexed="64"/>
      </left>
      <right/>
      <top style="hair">
        <color rgb="FFFF0000"/>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theme="0" tint="-0.34998626667073579"/>
      </right>
      <top style="hair">
        <color auto="1"/>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4" tint="0.79998168889431442"/>
      </left>
      <right/>
      <top style="thin">
        <color theme="4" tint="0.79998168889431442"/>
      </top>
      <bottom style="double">
        <color theme="4" tint="0.79998168889431442"/>
      </bottom>
      <diagonal/>
    </border>
    <border>
      <left style="thin">
        <color theme="4" tint="0.79998168889431442"/>
      </left>
      <right/>
      <top style="double">
        <color theme="4" tint="0.79998168889431442"/>
      </top>
      <bottom style="thin">
        <color theme="4" tint="0.79998168889431442"/>
      </bottom>
      <diagonal/>
    </border>
    <border>
      <left style="medium">
        <color theme="6" tint="-0.499984740745262"/>
      </left>
      <right style="thin">
        <color indexed="64"/>
      </right>
      <top style="medium">
        <color theme="6" tint="-0.499984740745262"/>
      </top>
      <bottom/>
      <diagonal/>
    </border>
    <border>
      <left style="thin">
        <color indexed="64"/>
      </left>
      <right/>
      <top style="medium">
        <color theme="6" tint="-0.499984740745262"/>
      </top>
      <bottom style="hair">
        <color rgb="FFFF0000"/>
      </bottom>
      <diagonal/>
    </border>
    <border>
      <left/>
      <right/>
      <top style="medium">
        <color theme="6" tint="-0.499984740745262"/>
      </top>
      <bottom style="hair">
        <color rgb="FFFF0000"/>
      </bottom>
      <diagonal/>
    </border>
    <border>
      <left style="medium">
        <color theme="6" tint="-0.499984740745262"/>
      </left>
      <right style="thin">
        <color indexed="64"/>
      </right>
      <top/>
      <bottom style="medium">
        <color theme="6" tint="-0.499984740745262"/>
      </bottom>
      <diagonal/>
    </border>
    <border>
      <left/>
      <right/>
      <top/>
      <bottom style="medium">
        <color theme="6" tint="-0.499984740745262"/>
      </bottom>
      <diagonal/>
    </border>
    <border>
      <left style="thin">
        <color theme="0" tint="-0.499984740745262"/>
      </left>
      <right/>
      <top style="hair">
        <color indexed="64"/>
      </top>
      <bottom style="thin">
        <color indexed="64"/>
      </bottom>
      <diagonal/>
    </border>
    <border>
      <left style="medium">
        <color rgb="FFFFC000"/>
      </left>
      <right style="medium">
        <color rgb="FFFFC000"/>
      </right>
      <top/>
      <bottom style="medium">
        <color rgb="FFFFC000"/>
      </bottom>
      <diagonal/>
    </border>
    <border>
      <left/>
      <right/>
      <top style="hair">
        <color theme="0" tint="-0.499984740745262"/>
      </top>
      <bottom style="thin">
        <color indexed="64"/>
      </bottom>
      <diagonal/>
    </border>
    <border>
      <left style="thin">
        <color theme="0" tint="-0.499984740745262"/>
      </left>
      <right/>
      <top style="hair">
        <color rgb="FFFF0000"/>
      </top>
      <bottom style="hair">
        <color rgb="FFFF0000"/>
      </bottom>
      <diagonal/>
    </border>
    <border>
      <left/>
      <right style="thin">
        <color theme="0" tint="-0.499984740745262"/>
      </right>
      <top style="hair">
        <color rgb="FFFF0000"/>
      </top>
      <bottom style="hair">
        <color rgb="FFFF0000"/>
      </bottom>
      <diagonal/>
    </border>
    <border>
      <left style="thin">
        <color theme="0" tint="-0.499984740745262"/>
      </left>
      <right/>
      <top style="hair">
        <color rgb="FFFF0000"/>
      </top>
      <bottom style="medium">
        <color theme="0" tint="-0.499984740745262"/>
      </bottom>
      <diagonal/>
    </border>
    <border>
      <left/>
      <right/>
      <top style="hair">
        <color rgb="FFFF0000"/>
      </top>
      <bottom style="medium">
        <color theme="0" tint="-0.499984740745262"/>
      </bottom>
      <diagonal/>
    </border>
    <border>
      <left/>
      <right style="thin">
        <color theme="0" tint="-0.499984740745262"/>
      </right>
      <top style="hair">
        <color rgb="FFFF0000"/>
      </top>
      <bottom style="medium">
        <color theme="0" tint="-0.499984740745262"/>
      </bottom>
      <diagonal/>
    </border>
    <border>
      <left style="thin">
        <color theme="0" tint="-0.499984740745262"/>
      </left>
      <right/>
      <top/>
      <bottom style="hair">
        <color rgb="FFFF0000"/>
      </bottom>
      <diagonal/>
    </border>
    <border>
      <left/>
      <right style="thin">
        <color theme="0" tint="-0.499984740745262"/>
      </right>
      <top/>
      <bottom style="hair">
        <color rgb="FFFF0000"/>
      </bottom>
      <diagonal/>
    </border>
    <border>
      <left style="medium">
        <color rgb="FFE46D0A"/>
      </left>
      <right style="medium">
        <color theme="9" tint="-0.24994659260841701"/>
      </right>
      <top style="medium">
        <color rgb="FFE46D0A"/>
      </top>
      <bottom style="hair">
        <color rgb="FFFF0066"/>
      </bottom>
      <diagonal/>
    </border>
    <border>
      <left style="thin">
        <color theme="0" tint="-0.499984740745262"/>
      </left>
      <right/>
      <top style="thin">
        <color theme="0" tint="-0.499984740745262"/>
      </top>
      <bottom style="hair">
        <color indexed="64"/>
      </bottom>
      <diagonal/>
    </border>
    <border>
      <left/>
      <right/>
      <top style="thin">
        <color theme="0" tint="-0.499984740745262"/>
      </top>
      <bottom style="hair">
        <color indexed="64"/>
      </bottom>
      <diagonal/>
    </border>
    <border>
      <left/>
      <right style="thin">
        <color theme="0" tint="-0.499984740745262"/>
      </right>
      <top style="thin">
        <color theme="0" tint="-0.499984740745262"/>
      </top>
      <bottom style="hair">
        <color indexed="64"/>
      </bottom>
      <diagonal/>
    </border>
    <border>
      <left style="medium">
        <color rgb="FFE46D0A"/>
      </left>
      <right style="medium">
        <color theme="9" tint="-0.24994659260841701"/>
      </right>
      <top style="medium">
        <color rgb="FFE46D0A"/>
      </top>
      <bottom style="hair">
        <color rgb="FFFF0000"/>
      </bottom>
      <diagonal/>
    </border>
    <border>
      <left style="medium">
        <color indexed="51"/>
      </left>
      <right/>
      <top style="hair">
        <color indexed="64"/>
      </top>
      <bottom style="thin">
        <color indexed="64"/>
      </bottom>
      <diagonal/>
    </border>
    <border>
      <left style="thin">
        <color theme="0" tint="-0.499984740745262"/>
      </left>
      <right/>
      <top style="thin">
        <color indexed="64"/>
      </top>
      <bottom/>
      <diagonal/>
    </border>
    <border>
      <left/>
      <right/>
      <top style="hair">
        <color indexed="64"/>
      </top>
      <bottom style="hair">
        <color theme="0" tint="-0.499984740745262"/>
      </bottom>
      <diagonal/>
    </border>
    <border>
      <left style="thin">
        <color indexed="64"/>
      </left>
      <right style="thin">
        <color auto="1"/>
      </right>
      <top style="thin">
        <color auto="1"/>
      </top>
      <bottom/>
      <diagonal/>
    </border>
    <border>
      <left style="thin">
        <color indexed="64"/>
      </left>
      <right style="thin">
        <color auto="1"/>
      </right>
      <top style="thin">
        <color auto="1"/>
      </top>
      <bottom style="thin">
        <color auto="1"/>
      </bottom>
      <diagonal/>
    </border>
    <border>
      <left style="thin">
        <color indexed="64"/>
      </left>
      <right style="thin">
        <color indexed="64"/>
      </right>
      <top style="thin">
        <color rgb="FFFF0000"/>
      </top>
      <bottom style="hair">
        <color rgb="FFFF0000"/>
      </bottom>
      <diagonal/>
    </border>
    <border>
      <left/>
      <right style="thin">
        <color indexed="64"/>
      </right>
      <top style="hair">
        <color indexed="64"/>
      </top>
      <bottom style="hair">
        <color rgb="FFFF0000"/>
      </bottom>
      <diagonal/>
    </border>
    <border>
      <left/>
      <right style="hair">
        <color indexed="64"/>
      </right>
      <top style="thin">
        <color indexed="64"/>
      </top>
      <bottom/>
      <diagonal/>
    </border>
    <border>
      <left style="thin">
        <color indexed="64"/>
      </left>
      <right style="thin">
        <color indexed="64"/>
      </right>
      <top style="hair">
        <color indexed="10"/>
      </top>
      <bottom style="hair">
        <color rgb="FFFF0000"/>
      </bottom>
      <diagonal/>
    </border>
    <border>
      <left/>
      <right/>
      <top style="hair">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0" tint="-0.499984740745262"/>
      </left>
      <right/>
      <top style="hair">
        <color rgb="FFFF0000"/>
      </top>
      <bottom style="thin">
        <color rgb="FFFF0000"/>
      </bottom>
      <diagonal/>
    </border>
    <border>
      <left/>
      <right/>
      <top style="hair">
        <color rgb="FFFF0000"/>
      </top>
      <bottom style="thin">
        <color rgb="FFFF0000"/>
      </bottom>
      <diagonal/>
    </border>
    <border>
      <left/>
      <right style="thin">
        <color theme="0" tint="-0.499984740745262"/>
      </right>
      <top style="hair">
        <color rgb="FFFF0000"/>
      </top>
      <bottom style="thin">
        <color rgb="FFFF0000"/>
      </bottom>
      <diagonal/>
    </border>
    <border>
      <left style="thin">
        <color theme="0" tint="-0.499984740745262"/>
      </left>
      <right/>
      <top style="thin">
        <color auto="1"/>
      </top>
      <bottom style="hair">
        <color rgb="FFFF0000"/>
      </bottom>
      <diagonal/>
    </border>
    <border>
      <left/>
      <right style="thin">
        <color theme="0" tint="-0.499984740745262"/>
      </right>
      <top style="thin">
        <color auto="1"/>
      </top>
      <bottom style="hair">
        <color rgb="FFFF0000"/>
      </bottom>
      <diagonal/>
    </border>
  </borders>
  <cellStyleXfs count="13">
    <xf numFmtId="0" fontId="0" fillId="0" borderId="0"/>
    <xf numFmtId="0" fontId="24" fillId="0" borderId="0" applyNumberFormat="0" applyFill="0" applyBorder="0" applyAlignment="0" applyProtection="0">
      <alignment vertical="top"/>
      <protection locked="0"/>
    </xf>
    <xf numFmtId="0" fontId="1" fillId="0" borderId="0"/>
    <xf numFmtId="0" fontId="25" fillId="0" borderId="0"/>
    <xf numFmtId="0" fontId="1" fillId="0" borderId="0"/>
    <xf numFmtId="0" fontId="45" fillId="0" borderId="0"/>
    <xf numFmtId="0" fontId="1" fillId="0" borderId="0"/>
    <xf numFmtId="0" fontId="79" fillId="0" borderId="0"/>
    <xf numFmtId="0" fontId="1" fillId="0" borderId="0"/>
    <xf numFmtId="0" fontId="106" fillId="0" borderId="0"/>
    <xf numFmtId="0" fontId="1" fillId="0" borderId="0"/>
    <xf numFmtId="9" fontId="106" fillId="0" borderId="0" applyFont="0" applyFill="0" applyBorder="0" applyAlignment="0" applyProtection="0"/>
    <xf numFmtId="9" fontId="1" fillId="0" borderId="0" applyFont="0" applyFill="0" applyBorder="0" applyAlignment="0" applyProtection="0"/>
  </cellStyleXfs>
  <cellXfs count="3099">
    <xf numFmtId="0" fontId="0" fillId="0" borderId="0" xfId="0"/>
    <xf numFmtId="0" fontId="1" fillId="0" borderId="0" xfId="2"/>
    <xf numFmtId="0" fontId="4" fillId="0" borderId="0" xfId="2" applyFont="1" applyFill="1" applyProtection="1"/>
    <xf numFmtId="0" fontId="1" fillId="0" borderId="0" xfId="2" applyFont="1"/>
    <xf numFmtId="0" fontId="7" fillId="0" borderId="0" xfId="2" applyFont="1" applyFill="1" applyProtection="1"/>
    <xf numFmtId="0" fontId="2" fillId="0" borderId="0" xfId="2" applyFont="1" applyFill="1" applyBorder="1" applyProtection="1"/>
    <xf numFmtId="0" fontId="2" fillId="0" borderId="0" xfId="2" applyFont="1" applyFill="1" applyProtection="1"/>
    <xf numFmtId="0" fontId="12" fillId="0" borderId="0" xfId="2" applyFont="1" applyFill="1" applyBorder="1"/>
    <xf numFmtId="0" fontId="1" fillId="0" borderId="0" xfId="2" applyFont="1" applyFill="1"/>
    <xf numFmtId="0" fontId="1" fillId="0" borderId="0" xfId="2" applyFont="1" applyFill="1" applyProtection="1"/>
    <xf numFmtId="0" fontId="1" fillId="0" borderId="0" xfId="2" applyFont="1" applyFill="1" applyBorder="1"/>
    <xf numFmtId="0" fontId="12" fillId="0" borderId="0" xfId="2" applyFont="1" applyFill="1"/>
    <xf numFmtId="0" fontId="12" fillId="0" borderId="0" xfId="2" applyFont="1" applyProtection="1"/>
    <xf numFmtId="0" fontId="1" fillId="0" borderId="0" xfId="2" applyFont="1" applyBorder="1"/>
    <xf numFmtId="0" fontId="1" fillId="0" borderId="2" xfId="2" applyFont="1" applyBorder="1"/>
    <xf numFmtId="0" fontId="17" fillId="0" borderId="0" xfId="2" applyFont="1"/>
    <xf numFmtId="0" fontId="1" fillId="0" borderId="0" xfId="2" applyFont="1" applyBorder="1" applyProtection="1">
      <protection hidden="1"/>
    </xf>
    <xf numFmtId="0" fontId="12" fillId="0" borderId="0" xfId="2" applyFont="1" applyBorder="1"/>
    <xf numFmtId="0" fontId="1" fillId="0" borderId="3" xfId="2" applyFont="1" applyBorder="1"/>
    <xf numFmtId="0" fontId="11" fillId="0" borderId="0" xfId="2" applyFont="1" applyBorder="1" applyProtection="1"/>
    <xf numFmtId="0" fontId="16" fillId="0" borderId="0" xfId="2" applyFont="1" applyFill="1" applyBorder="1" applyProtection="1"/>
    <xf numFmtId="0" fontId="11" fillId="0" borderId="0" xfId="2" applyFont="1" applyFill="1" applyBorder="1" applyProtection="1"/>
    <xf numFmtId="0" fontId="16" fillId="0" borderId="0" xfId="2" applyFont="1" applyFill="1" applyBorder="1" applyAlignment="1" applyProtection="1">
      <alignment horizontal="right"/>
    </xf>
    <xf numFmtId="0" fontId="23" fillId="0" borderId="0" xfId="2" applyFont="1"/>
    <xf numFmtId="0" fontId="1" fillId="0" borderId="0" xfId="2" applyBorder="1"/>
    <xf numFmtId="0" fontId="12" fillId="0" borderId="0" xfId="2" applyFont="1"/>
    <xf numFmtId="0" fontId="12" fillId="0" borderId="0" xfId="2" applyFont="1" applyAlignment="1">
      <alignment horizontal="left"/>
    </xf>
    <xf numFmtId="0" fontId="12" fillId="0" borderId="0" xfId="2" applyFont="1" applyBorder="1" applyProtection="1">
      <protection locked="0"/>
    </xf>
    <xf numFmtId="0" fontId="18" fillId="0" borderId="0" xfId="3" applyFont="1" applyBorder="1"/>
    <xf numFmtId="0" fontId="2" fillId="0" borderId="0" xfId="2" applyFont="1"/>
    <xf numFmtId="0" fontId="15" fillId="0" borderId="0" xfId="2" applyFont="1"/>
    <xf numFmtId="0" fontId="15" fillId="0" borderId="0" xfId="2" applyFont="1" applyAlignment="1">
      <alignment horizontal="left" vertical="top"/>
    </xf>
    <xf numFmtId="0" fontId="12" fillId="0" borderId="1" xfId="2" applyFont="1" applyBorder="1"/>
    <xf numFmtId="0" fontId="49" fillId="0" borderId="0" xfId="2" applyFont="1"/>
    <xf numFmtId="0" fontId="24" fillId="0" borderId="0" xfId="1" applyAlignment="1" applyProtection="1"/>
    <xf numFmtId="0" fontId="15" fillId="0" borderId="0" xfId="2" applyFont="1" applyBorder="1"/>
    <xf numFmtId="0" fontId="12" fillId="0" borderId="0" xfId="2" applyFont="1" applyFill="1" applyBorder="1" applyAlignment="1">
      <alignment horizontal="center"/>
    </xf>
    <xf numFmtId="0" fontId="15" fillId="0" borderId="0" xfId="2" applyFont="1" applyFill="1"/>
    <xf numFmtId="0" fontId="12" fillId="0" borderId="0" xfId="2" applyFont="1" applyBorder="1" applyAlignment="1">
      <alignment horizontal="center"/>
    </xf>
    <xf numFmtId="0" fontId="50" fillId="0" borderId="0" xfId="2" applyFont="1" applyBorder="1"/>
    <xf numFmtId="0" fontId="12" fillId="0" borderId="4" xfId="2" applyFont="1" applyBorder="1"/>
    <xf numFmtId="0" fontId="12" fillId="0" borderId="4" xfId="2" applyFont="1" applyBorder="1" applyAlignment="1">
      <alignment horizontal="center"/>
    </xf>
    <xf numFmtId="0" fontId="51" fillId="0" borderId="0" xfId="2" applyFont="1" applyBorder="1"/>
    <xf numFmtId="0" fontId="11" fillId="0" borderId="0" xfId="2" applyFont="1" applyFill="1" applyBorder="1" applyAlignment="1">
      <alignment horizontal="center"/>
    </xf>
    <xf numFmtId="0" fontId="12" fillId="0" borderId="0" xfId="2" applyFont="1" applyBorder="1" applyAlignment="1">
      <alignment horizontal="left" vertical="top" indent="1"/>
    </xf>
    <xf numFmtId="0" fontId="1" fillId="0" borderId="0" xfId="2" applyFont="1" applyAlignment="1">
      <alignment vertical="top"/>
    </xf>
    <xf numFmtId="0" fontId="52" fillId="0" borderId="0" xfId="2" applyFont="1" applyFill="1" applyBorder="1" applyAlignment="1">
      <alignment horizontal="center"/>
    </xf>
    <xf numFmtId="0" fontId="12" fillId="0" borderId="5" xfId="2" applyFont="1" applyFill="1" applyBorder="1" applyAlignment="1">
      <alignment horizontal="center"/>
    </xf>
    <xf numFmtId="0" fontId="12" fillId="0" borderId="6" xfId="2" applyFont="1" applyFill="1" applyBorder="1" applyAlignment="1">
      <alignment horizontal="center"/>
    </xf>
    <xf numFmtId="0" fontId="15" fillId="0" borderId="7" xfId="2" applyFont="1" applyBorder="1"/>
    <xf numFmtId="0" fontId="1" fillId="0" borderId="4" xfId="2" applyFont="1" applyFill="1" applyBorder="1"/>
    <xf numFmtId="0" fontId="12" fillId="0" borderId="4" xfId="2" applyFont="1" applyFill="1" applyBorder="1" applyAlignment="1">
      <alignment horizontal="center"/>
    </xf>
    <xf numFmtId="0" fontId="12" fillId="0" borderId="8" xfId="2" applyFont="1" applyFill="1" applyBorder="1" applyAlignment="1">
      <alignment horizontal="center"/>
    </xf>
    <xf numFmtId="0" fontId="12" fillId="0" borderId="3" xfId="2" applyFont="1" applyFill="1" applyBorder="1"/>
    <xf numFmtId="0" fontId="12" fillId="0" borderId="9" xfId="2" applyFont="1" applyFill="1" applyBorder="1" applyAlignment="1">
      <alignment horizontal="center"/>
    </xf>
    <xf numFmtId="0" fontId="12" fillId="0" borderId="10" xfId="2" applyFont="1" applyFill="1" applyBorder="1" applyAlignment="1">
      <alignment horizontal="center"/>
    </xf>
    <xf numFmtId="0" fontId="12" fillId="0" borderId="11" xfId="2" applyFont="1" applyFill="1" applyBorder="1" applyAlignment="1">
      <alignment horizontal="center"/>
    </xf>
    <xf numFmtId="0" fontId="12" fillId="0" borderId="2" xfId="2" applyFont="1" applyFill="1" applyBorder="1" applyAlignment="1">
      <alignment horizontal="center"/>
    </xf>
    <xf numFmtId="0" fontId="11" fillId="0" borderId="3" xfId="2" applyFont="1" applyBorder="1" applyAlignment="1">
      <alignment horizontal="left"/>
    </xf>
    <xf numFmtId="0" fontId="12" fillId="0" borderId="3" xfId="2" applyFont="1" applyFill="1" applyBorder="1" applyAlignment="1">
      <alignment horizontal="center"/>
    </xf>
    <xf numFmtId="0" fontId="11" fillId="0" borderId="12" xfId="2" applyFont="1" applyBorder="1" applyAlignment="1">
      <alignment horizontal="left"/>
    </xf>
    <xf numFmtId="0" fontId="12" fillId="0" borderId="13" xfId="2" applyFont="1" applyFill="1" applyBorder="1"/>
    <xf numFmtId="0" fontId="12" fillId="0" borderId="1" xfId="2" applyFont="1" applyFill="1" applyBorder="1" applyAlignment="1">
      <alignment horizontal="center"/>
    </xf>
    <xf numFmtId="0" fontId="12" fillId="0" borderId="14" xfId="2" applyFont="1" applyFill="1" applyBorder="1" applyAlignment="1">
      <alignment horizontal="center"/>
    </xf>
    <xf numFmtId="0" fontId="12" fillId="0" borderId="15" xfId="2" applyFont="1" applyFill="1" applyBorder="1" applyAlignment="1">
      <alignment horizontal="center"/>
    </xf>
    <xf numFmtId="0" fontId="12" fillId="0" borderId="16" xfId="2" applyFont="1" applyFill="1" applyBorder="1" applyAlignment="1">
      <alignment horizontal="center"/>
    </xf>
    <xf numFmtId="0" fontId="1" fillId="0" borderId="17" xfId="2" applyFont="1" applyFill="1" applyBorder="1"/>
    <xf numFmtId="0" fontId="1" fillId="0" borderId="11" xfId="2" applyFont="1" applyBorder="1"/>
    <xf numFmtId="0" fontId="12" fillId="0" borderId="3" xfId="2" applyFont="1" applyBorder="1" applyAlignment="1">
      <alignment horizontal="center"/>
    </xf>
    <xf numFmtId="0" fontId="1" fillId="0" borderId="9" xfId="2" applyFont="1" applyBorder="1"/>
    <xf numFmtId="0" fontId="1" fillId="0" borderId="18" xfId="2" applyFont="1" applyBorder="1"/>
    <xf numFmtId="0" fontId="12" fillId="0" borderId="3" xfId="2" applyFont="1" applyBorder="1"/>
    <xf numFmtId="0" fontId="11" fillId="0" borderId="0" xfId="2" applyFont="1" applyBorder="1" applyAlignment="1">
      <alignment horizontal="left"/>
    </xf>
    <xf numFmtId="0" fontId="1" fillId="0" borderId="13" xfId="2" applyFont="1" applyBorder="1"/>
    <xf numFmtId="0" fontId="12" fillId="0" borderId="1" xfId="2" applyFont="1" applyBorder="1" applyAlignment="1">
      <alignment horizontal="center"/>
    </xf>
    <xf numFmtId="0" fontId="1" fillId="0" borderId="1" xfId="2" applyFont="1" applyBorder="1"/>
    <xf numFmtId="0" fontId="1" fillId="0" borderId="16" xfId="2" applyFont="1" applyBorder="1"/>
    <xf numFmtId="0" fontId="11" fillId="0" borderId="0" xfId="2" applyFont="1"/>
    <xf numFmtId="0" fontId="1" fillId="0" borderId="0" xfId="2" applyAlignment="1">
      <alignment vertical="top"/>
    </xf>
    <xf numFmtId="0" fontId="12" fillId="0" borderId="19" xfId="2" applyFont="1" applyBorder="1"/>
    <xf numFmtId="0" fontId="1" fillId="0" borderId="0" xfId="2" applyFill="1"/>
    <xf numFmtId="0" fontId="39" fillId="0" borderId="0" xfId="1" applyFont="1" applyAlignment="1" applyProtection="1"/>
    <xf numFmtId="0" fontId="12" fillId="0" borderId="0" xfId="2" applyFont="1" applyAlignment="1">
      <alignment vertical="top"/>
    </xf>
    <xf numFmtId="0" fontId="12" fillId="2" borderId="20" xfId="2" applyFont="1" applyFill="1" applyBorder="1"/>
    <xf numFmtId="0" fontId="12" fillId="2" borderId="21" xfId="2" applyFont="1" applyFill="1" applyBorder="1"/>
    <xf numFmtId="0" fontId="12" fillId="2" borderId="0" xfId="2" applyFont="1" applyFill="1" applyBorder="1"/>
    <xf numFmtId="0" fontId="12" fillId="2" borderId="22" xfId="2" applyFont="1" applyFill="1" applyBorder="1"/>
    <xf numFmtId="0" fontId="12" fillId="2" borderId="0" xfId="2" applyFont="1" applyFill="1" applyBorder="1" applyAlignment="1">
      <alignment vertical="top"/>
    </xf>
    <xf numFmtId="0" fontId="12" fillId="0" borderId="0" xfId="2" applyFont="1" applyBorder="1" applyAlignment="1">
      <alignment horizontal="left" indent="2"/>
    </xf>
    <xf numFmtId="0" fontId="54" fillId="0" borderId="0" xfId="2" applyFont="1" applyBorder="1" applyAlignment="1"/>
    <xf numFmtId="0" fontId="12" fillId="0" borderId="4" xfId="2" applyFont="1" applyBorder="1" applyAlignment="1"/>
    <xf numFmtId="0" fontId="12" fillId="0" borderId="0" xfId="2" applyFont="1" applyBorder="1" applyAlignment="1"/>
    <xf numFmtId="0" fontId="12" fillId="0" borderId="0" xfId="2" applyFont="1" applyFill="1" applyBorder="1" applyAlignment="1">
      <alignment vertical="top"/>
    </xf>
    <xf numFmtId="0" fontId="12" fillId="2" borderId="22" xfId="2" applyFont="1" applyFill="1" applyBorder="1" applyAlignment="1">
      <alignment vertical="top"/>
    </xf>
    <xf numFmtId="0" fontId="1" fillId="0" borderId="0" xfId="2" applyFill="1" applyBorder="1"/>
    <xf numFmtId="0" fontId="7" fillId="0" borderId="0" xfId="2" applyFont="1" applyFill="1" applyBorder="1" applyProtection="1"/>
    <xf numFmtId="0" fontId="4" fillId="0" borderId="0" xfId="2" applyFont="1" applyFill="1" applyBorder="1" applyProtection="1"/>
    <xf numFmtId="3" fontId="10" fillId="0" borderId="24" xfId="2" applyNumberFormat="1" applyFont="1" applyFill="1" applyBorder="1" applyProtection="1">
      <protection locked="0"/>
    </xf>
    <xf numFmtId="3" fontId="10" fillId="0" borderId="25" xfId="2" applyNumberFormat="1" applyFont="1" applyFill="1" applyBorder="1" applyProtection="1">
      <protection locked="0"/>
    </xf>
    <xf numFmtId="3" fontId="10" fillId="0" borderId="26" xfId="2" applyNumberFormat="1" applyFont="1" applyFill="1" applyBorder="1" applyProtection="1">
      <protection locked="0"/>
    </xf>
    <xf numFmtId="3" fontId="10" fillId="0" borderId="27" xfId="2" applyNumberFormat="1" applyFont="1" applyFill="1" applyBorder="1" applyProtection="1">
      <protection locked="0"/>
    </xf>
    <xf numFmtId="0" fontId="11" fillId="0" borderId="28" xfId="2" applyFont="1" applyFill="1" applyBorder="1" applyAlignment="1" applyProtection="1">
      <alignment horizontal="left"/>
      <protection locked="0"/>
    </xf>
    <xf numFmtId="0" fontId="11" fillId="2" borderId="31" xfId="2" applyFont="1" applyFill="1" applyBorder="1" applyProtection="1">
      <protection hidden="1"/>
    </xf>
    <xf numFmtId="3" fontId="11" fillId="3" borderId="23" xfId="2" applyNumberFormat="1" applyFont="1" applyFill="1" applyBorder="1" applyAlignment="1" applyProtection="1">
      <alignment horizontal="center"/>
      <protection hidden="1"/>
    </xf>
    <xf numFmtId="3" fontId="11" fillId="3" borderId="32" xfId="2" applyNumberFormat="1" applyFont="1" applyFill="1" applyBorder="1" applyAlignment="1" applyProtection="1">
      <alignment horizontal="center"/>
      <protection hidden="1"/>
    </xf>
    <xf numFmtId="3" fontId="11" fillId="2" borderId="33" xfId="2" applyNumberFormat="1" applyFont="1" applyFill="1" applyBorder="1" applyAlignment="1" applyProtection="1">
      <alignment horizontal="center"/>
      <protection hidden="1"/>
    </xf>
    <xf numFmtId="3" fontId="11" fillId="2" borderId="23" xfId="2" applyNumberFormat="1" applyFont="1" applyFill="1" applyBorder="1" applyAlignment="1" applyProtection="1">
      <alignment horizontal="center"/>
      <protection hidden="1"/>
    </xf>
    <xf numFmtId="0" fontId="11" fillId="2" borderId="34" xfId="2" applyFont="1" applyFill="1" applyBorder="1" applyProtection="1">
      <protection hidden="1"/>
    </xf>
    <xf numFmtId="3" fontId="11" fillId="3" borderId="4" xfId="2" applyNumberFormat="1" applyFont="1" applyFill="1" applyBorder="1" applyAlignment="1" applyProtection="1">
      <alignment horizontal="center"/>
      <protection hidden="1"/>
    </xf>
    <xf numFmtId="0" fontId="11" fillId="0" borderId="0" xfId="2" applyFont="1" applyFill="1" applyBorder="1" applyAlignment="1" applyProtection="1">
      <alignment horizontal="center"/>
    </xf>
    <xf numFmtId="0" fontId="7" fillId="0" borderId="0" xfId="2" applyFont="1" applyFill="1" applyBorder="1" applyAlignment="1" applyProtection="1">
      <alignment horizontal="center"/>
    </xf>
    <xf numFmtId="0" fontId="1" fillId="0" borderId="0" xfId="2" applyFill="1" applyProtection="1"/>
    <xf numFmtId="0" fontId="1" fillId="0" borderId="0" xfId="2" applyProtection="1"/>
    <xf numFmtId="0" fontId="1" fillId="0" borderId="0" xfId="2" applyFill="1" applyBorder="1" applyProtection="1"/>
    <xf numFmtId="0" fontId="7" fillId="0" borderId="23" xfId="2" applyFont="1" applyBorder="1" applyProtection="1"/>
    <xf numFmtId="0" fontId="1" fillId="0" borderId="0" xfId="2" applyProtection="1">
      <protection hidden="1"/>
    </xf>
    <xf numFmtId="0" fontId="11" fillId="0" borderId="45" xfId="2" applyFont="1" applyFill="1" applyBorder="1" applyAlignment="1" applyProtection="1">
      <alignment vertical="top"/>
      <protection locked="0"/>
    </xf>
    <xf numFmtId="0" fontId="11" fillId="0" borderId="28" xfId="2" applyFont="1" applyFill="1" applyBorder="1" applyAlignment="1" applyProtection="1">
      <alignment vertical="top"/>
      <protection locked="0"/>
    </xf>
    <xf numFmtId="3" fontId="7" fillId="3" borderId="43" xfId="2" applyNumberFormat="1" applyFont="1" applyFill="1" applyBorder="1" applyProtection="1">
      <protection hidden="1"/>
    </xf>
    <xf numFmtId="3" fontId="7" fillId="3" borderId="23" xfId="2" applyNumberFormat="1" applyFont="1" applyFill="1" applyBorder="1" applyProtection="1">
      <protection hidden="1"/>
    </xf>
    <xf numFmtId="3" fontId="7" fillId="3" borderId="54" xfId="2" applyNumberFormat="1" applyFont="1" applyFill="1" applyBorder="1" applyProtection="1">
      <protection hidden="1"/>
    </xf>
    <xf numFmtId="3" fontId="7" fillId="3" borderId="55" xfId="2" applyNumberFormat="1" applyFont="1" applyFill="1" applyBorder="1" applyProtection="1">
      <protection hidden="1"/>
    </xf>
    <xf numFmtId="3" fontId="7" fillId="3" borderId="48" xfId="2" applyNumberFormat="1" applyFont="1" applyFill="1" applyBorder="1" applyProtection="1">
      <protection hidden="1"/>
    </xf>
    <xf numFmtId="3" fontId="7" fillId="3" borderId="56" xfId="2" applyNumberFormat="1" applyFont="1" applyFill="1" applyBorder="1" applyProtection="1">
      <protection hidden="1"/>
    </xf>
    <xf numFmtId="3" fontId="7" fillId="3" borderId="57" xfId="2" applyNumberFormat="1" applyFont="1" applyFill="1" applyBorder="1" applyProtection="1">
      <protection hidden="1"/>
    </xf>
    <xf numFmtId="3" fontId="7" fillId="3" borderId="52" xfId="2" applyNumberFormat="1" applyFont="1" applyFill="1" applyBorder="1" applyProtection="1">
      <protection hidden="1"/>
    </xf>
    <xf numFmtId="3" fontId="7" fillId="3" borderId="0" xfId="2" applyNumberFormat="1" applyFont="1" applyFill="1" applyBorder="1" applyProtection="1">
      <protection hidden="1"/>
    </xf>
    <xf numFmtId="3" fontId="7" fillId="3" borderId="3" xfId="2" applyNumberFormat="1" applyFont="1" applyFill="1" applyBorder="1" applyProtection="1">
      <protection hidden="1"/>
    </xf>
    <xf numFmtId="3" fontId="7" fillId="3" borderId="58" xfId="2" applyNumberFormat="1" applyFont="1" applyFill="1" applyBorder="1" applyProtection="1">
      <protection hidden="1"/>
    </xf>
    <xf numFmtId="3" fontId="7" fillId="3" borderId="17" xfId="2" applyNumberFormat="1" applyFont="1" applyFill="1" applyBorder="1" applyProtection="1">
      <protection hidden="1"/>
    </xf>
    <xf numFmtId="3" fontId="7" fillId="3" borderId="32" xfId="2" applyNumberFormat="1" applyFont="1" applyFill="1" applyBorder="1" applyProtection="1">
      <protection hidden="1"/>
    </xf>
    <xf numFmtId="0" fontId="11" fillId="16" borderId="0" xfId="2" applyFont="1" applyFill="1" applyBorder="1" applyAlignment="1" applyProtection="1">
      <alignment horizontal="right"/>
    </xf>
    <xf numFmtId="0" fontId="2" fillId="16" borderId="4" xfId="2" applyFont="1" applyFill="1" applyBorder="1" applyProtection="1"/>
    <xf numFmtId="0" fontId="1" fillId="16" borderId="1" xfId="2" applyFill="1" applyBorder="1"/>
    <xf numFmtId="0" fontId="65" fillId="0" borderId="0" xfId="2" applyFont="1" applyFill="1" applyBorder="1" applyAlignment="1" applyProtection="1">
      <alignment readingOrder="1"/>
    </xf>
    <xf numFmtId="0" fontId="17" fillId="16" borderId="7" xfId="2" applyFont="1" applyFill="1" applyBorder="1" applyAlignment="1" applyProtection="1">
      <alignment horizontal="left" vertical="center"/>
    </xf>
    <xf numFmtId="0" fontId="7" fillId="16" borderId="60" xfId="2" applyFont="1" applyFill="1" applyBorder="1" applyAlignment="1" applyProtection="1">
      <alignment horizontal="right"/>
    </xf>
    <xf numFmtId="0" fontId="17" fillId="16" borderId="7" xfId="2" applyFont="1" applyFill="1" applyBorder="1" applyAlignment="1" applyProtection="1">
      <alignment vertical="center"/>
    </xf>
    <xf numFmtId="0" fontId="11" fillId="16" borderId="3" xfId="2" applyFont="1" applyFill="1" applyBorder="1" applyAlignment="1" applyProtection="1"/>
    <xf numFmtId="49" fontId="59" fillId="16" borderId="1" xfId="0" applyNumberFormat="1" applyFont="1" applyFill="1" applyBorder="1" applyAlignment="1" applyProtection="1">
      <alignment horizontal="center" vertical="center" wrapText="1"/>
    </xf>
    <xf numFmtId="0" fontId="3" fillId="16" borderId="4" xfId="2" applyFont="1" applyFill="1" applyBorder="1" applyAlignment="1" applyProtection="1">
      <alignment horizontal="left" vertical="center"/>
    </xf>
    <xf numFmtId="0" fontId="1" fillId="16" borderId="4" xfId="2" applyFill="1" applyBorder="1" applyProtection="1"/>
    <xf numFmtId="0" fontId="1" fillId="16" borderId="8" xfId="2" applyFill="1" applyBorder="1" applyProtection="1"/>
    <xf numFmtId="0" fontId="67" fillId="16" borderId="4" xfId="2" applyFont="1" applyFill="1" applyBorder="1" applyAlignment="1" applyProtection="1">
      <alignment horizontal="right" vertical="center"/>
    </xf>
    <xf numFmtId="0" fontId="1" fillId="16" borderId="3" xfId="2" applyFill="1" applyBorder="1" applyProtection="1"/>
    <xf numFmtId="0" fontId="57" fillId="16" borderId="0" xfId="2" applyFont="1" applyFill="1" applyBorder="1" applyAlignment="1" applyProtection="1">
      <alignment horizontal="center"/>
    </xf>
    <xf numFmtId="0" fontId="1" fillId="16" borderId="0" xfId="2" applyFill="1" applyBorder="1" applyProtection="1"/>
    <xf numFmtId="49" fontId="56" fillId="16" borderId="0" xfId="2" applyNumberFormat="1" applyFont="1" applyFill="1" applyBorder="1" applyProtection="1"/>
    <xf numFmtId="0" fontId="4" fillId="16" borderId="2" xfId="2" applyFont="1" applyFill="1" applyBorder="1" applyAlignment="1" applyProtection="1">
      <alignment horizontal="right"/>
    </xf>
    <xf numFmtId="0" fontId="11" fillId="16" borderId="0" xfId="2" applyFont="1" applyFill="1" applyBorder="1" applyAlignment="1" applyProtection="1">
      <alignment horizontal="right" vertical="center"/>
    </xf>
    <xf numFmtId="0" fontId="61" fillId="16" borderId="0" xfId="2" applyFont="1" applyFill="1" applyBorder="1" applyProtection="1"/>
    <xf numFmtId="0" fontId="1" fillId="16" borderId="2" xfId="2" applyFill="1" applyBorder="1" applyProtection="1"/>
    <xf numFmtId="0" fontId="60" fillId="16" borderId="0" xfId="2" applyFont="1" applyFill="1" applyBorder="1" applyAlignment="1">
      <alignment horizontal="center"/>
    </xf>
    <xf numFmtId="0" fontId="4" fillId="16" borderId="0" xfId="2" applyFont="1" applyFill="1" applyBorder="1"/>
    <xf numFmtId="0" fontId="1" fillId="16" borderId="0" xfId="2" applyFill="1" applyBorder="1"/>
    <xf numFmtId="0" fontId="49" fillId="16" borderId="0" xfId="2" applyFont="1" applyFill="1" applyBorder="1"/>
    <xf numFmtId="0" fontId="16" fillId="16" borderId="3" xfId="2" applyFont="1" applyFill="1" applyBorder="1" applyAlignment="1">
      <alignment horizontal="left"/>
    </xf>
    <xf numFmtId="0" fontId="16" fillId="16" borderId="3" xfId="2" applyFont="1" applyFill="1" applyBorder="1"/>
    <xf numFmtId="0" fontId="4" fillId="16" borderId="3" xfId="2" applyFont="1" applyFill="1" applyBorder="1"/>
    <xf numFmtId="0" fontId="4" fillId="16" borderId="2" xfId="2" applyFont="1" applyFill="1" applyBorder="1" applyAlignment="1">
      <alignment horizontal="right"/>
    </xf>
    <xf numFmtId="0" fontId="4" fillId="16" borderId="0" xfId="2" applyFont="1" applyFill="1" applyBorder="1" applyAlignment="1">
      <alignment horizontal="right"/>
    </xf>
    <xf numFmtId="0" fontId="4" fillId="16" borderId="1" xfId="2" applyFont="1" applyFill="1" applyBorder="1" applyAlignment="1">
      <alignment horizontal="right"/>
    </xf>
    <xf numFmtId="0" fontId="4" fillId="16" borderId="16" xfId="2" applyFont="1" applyFill="1" applyBorder="1" applyAlignment="1" applyProtection="1">
      <alignment horizontal="right"/>
    </xf>
    <xf numFmtId="0" fontId="57" fillId="16" borderId="0" xfId="2" applyFont="1" applyFill="1" applyBorder="1" applyAlignment="1">
      <alignment horizontal="center"/>
    </xf>
    <xf numFmtId="49" fontId="56" fillId="16" borderId="1" xfId="2" applyNumberFormat="1" applyFont="1" applyFill="1" applyBorder="1" applyProtection="1"/>
    <xf numFmtId="0" fontId="1" fillId="16" borderId="2" xfId="2" applyFill="1" applyBorder="1"/>
    <xf numFmtId="0" fontId="1" fillId="0" borderId="1" xfId="2" applyFill="1" applyBorder="1"/>
    <xf numFmtId="0" fontId="1" fillId="16" borderId="1" xfId="2" applyFill="1" applyBorder="1" applyProtection="1"/>
    <xf numFmtId="0" fontId="1" fillId="16" borderId="60" xfId="2" applyFill="1" applyBorder="1" applyProtection="1"/>
    <xf numFmtId="3" fontId="11" fillId="16" borderId="56" xfId="12" applyNumberFormat="1" applyFont="1" applyFill="1" applyBorder="1" applyAlignment="1" applyProtection="1"/>
    <xf numFmtId="164" fontId="7" fillId="0" borderId="116" xfId="2" applyNumberFormat="1" applyFont="1" applyFill="1" applyBorder="1" applyAlignment="1" applyProtection="1">
      <alignment horizontal="center"/>
      <protection locked="0"/>
    </xf>
    <xf numFmtId="0" fontId="11" fillId="0" borderId="0" xfId="2" applyFont="1" applyFill="1" applyBorder="1" applyAlignment="1" applyProtection="1">
      <alignment horizontal="right"/>
      <protection locked="0"/>
    </xf>
    <xf numFmtId="3" fontId="10" fillId="17" borderId="8" xfId="2" applyNumberFormat="1" applyFont="1" applyFill="1" applyBorder="1" applyProtection="1"/>
    <xf numFmtId="3" fontId="10" fillId="17" borderId="16" xfId="2" applyNumberFormat="1" applyFont="1" applyFill="1" applyBorder="1" applyProtection="1"/>
    <xf numFmtId="3" fontId="10" fillId="17" borderId="43" xfId="2" applyNumberFormat="1" applyFont="1" applyFill="1" applyBorder="1" applyProtection="1"/>
    <xf numFmtId="0" fontId="7" fillId="17" borderId="4" xfId="2" applyFont="1" applyFill="1" applyBorder="1" applyProtection="1"/>
    <xf numFmtId="0" fontId="1" fillId="17" borderId="4" xfId="2" applyFill="1" applyBorder="1" applyProtection="1"/>
    <xf numFmtId="3" fontId="10" fillId="17" borderId="0" xfId="2" applyNumberFormat="1" applyFont="1" applyFill="1" applyBorder="1" applyProtection="1"/>
    <xf numFmtId="3" fontId="109" fillId="17" borderId="0" xfId="2" applyNumberFormat="1" applyFont="1" applyFill="1" applyBorder="1" applyProtection="1"/>
    <xf numFmtId="0" fontId="7" fillId="17" borderId="0" xfId="2" applyFont="1" applyFill="1" applyBorder="1" applyProtection="1"/>
    <xf numFmtId="3" fontId="10" fillId="17" borderId="2" xfId="2" applyNumberFormat="1" applyFont="1" applyFill="1" applyBorder="1" applyProtection="1"/>
    <xf numFmtId="3" fontId="10" fillId="17" borderId="23" xfId="2" applyNumberFormat="1" applyFont="1" applyFill="1" applyBorder="1" applyProtection="1"/>
    <xf numFmtId="164" fontId="9" fillId="17" borderId="61" xfId="2" applyNumberFormat="1" applyFont="1" applyFill="1" applyBorder="1" applyAlignment="1" applyProtection="1">
      <alignment horizontal="right"/>
    </xf>
    <xf numFmtId="3" fontId="110" fillId="17" borderId="0" xfId="2" applyNumberFormat="1" applyFont="1" applyFill="1" applyBorder="1" applyAlignment="1" applyProtection="1">
      <alignment horizontal="left" indent="1"/>
    </xf>
    <xf numFmtId="3" fontId="2" fillId="17" borderId="0" xfId="2" applyNumberFormat="1" applyFont="1" applyFill="1" applyBorder="1" applyProtection="1"/>
    <xf numFmtId="3" fontId="2" fillId="17" borderId="2" xfId="2" applyNumberFormat="1" applyFont="1" applyFill="1" applyBorder="1" applyProtection="1"/>
    <xf numFmtId="3" fontId="10" fillId="17" borderId="30" xfId="2" applyNumberFormat="1" applyFont="1" applyFill="1" applyBorder="1" applyProtection="1"/>
    <xf numFmtId="3" fontId="10" fillId="17" borderId="62" xfId="2" applyNumberFormat="1" applyFont="1" applyFill="1" applyBorder="1" applyProtection="1"/>
    <xf numFmtId="3" fontId="10" fillId="17" borderId="52" xfId="2" applyNumberFormat="1" applyFont="1" applyFill="1" applyBorder="1" applyProtection="1"/>
    <xf numFmtId="3" fontId="10" fillId="17" borderId="17" xfId="2" applyNumberFormat="1" applyFont="1" applyFill="1" applyBorder="1" applyProtection="1"/>
    <xf numFmtId="0" fontId="7" fillId="17" borderId="0" xfId="2" applyFont="1" applyFill="1" applyBorder="1" applyProtection="1">
      <protection hidden="1"/>
    </xf>
    <xf numFmtId="0" fontId="11" fillId="17" borderId="0" xfId="2" applyFont="1" applyFill="1" applyBorder="1" applyAlignment="1" applyProtection="1">
      <alignment vertical="top"/>
      <protection hidden="1"/>
    </xf>
    <xf numFmtId="0" fontId="11" fillId="17" borderId="3" xfId="2" applyFont="1" applyFill="1" applyBorder="1" applyAlignment="1" applyProtection="1">
      <alignment horizontal="left"/>
    </xf>
    <xf numFmtId="0" fontId="1" fillId="16" borderId="0" xfId="2" applyFont="1" applyFill="1" applyAlignment="1">
      <alignment horizontal="left"/>
    </xf>
    <xf numFmtId="3" fontId="111" fillId="0" borderId="0" xfId="2" applyNumberFormat="1" applyFont="1" applyFill="1" applyBorder="1" applyAlignment="1" applyProtection="1"/>
    <xf numFmtId="0" fontId="1" fillId="17" borderId="0" xfId="2" applyFill="1" applyBorder="1" applyProtection="1"/>
    <xf numFmtId="3" fontId="39" fillId="17" borderId="0" xfId="1" applyNumberFormat="1" applyFont="1" applyFill="1" applyBorder="1" applyAlignment="1" applyProtection="1">
      <alignment horizontal="left" indent="1"/>
    </xf>
    <xf numFmtId="3" fontId="39" fillId="17" borderId="0" xfId="1" applyNumberFormat="1" applyFont="1" applyFill="1" applyBorder="1" applyAlignment="1" applyProtection="1"/>
    <xf numFmtId="3" fontId="24" fillId="17" borderId="0" xfId="1" applyNumberFormat="1" applyFill="1" applyBorder="1" applyAlignment="1" applyProtection="1">
      <alignment horizontal="left" indent="1"/>
    </xf>
    <xf numFmtId="0" fontId="39" fillId="17" borderId="0" xfId="1" applyFont="1" applyFill="1" applyBorder="1" applyAlignment="1" applyProtection="1">
      <alignment horizontal="left"/>
    </xf>
    <xf numFmtId="0" fontId="39" fillId="17" borderId="0" xfId="1" applyFont="1" applyFill="1" applyBorder="1" applyAlignment="1" applyProtection="1"/>
    <xf numFmtId="0" fontId="11" fillId="17" borderId="0" xfId="2" applyFont="1" applyFill="1" applyBorder="1" applyProtection="1">
      <protection hidden="1"/>
    </xf>
    <xf numFmtId="0" fontId="11" fillId="17" borderId="0" xfId="2" applyFont="1" applyFill="1" applyBorder="1" applyProtection="1"/>
    <xf numFmtId="0" fontId="11" fillId="17" borderId="0" xfId="2" applyFont="1" applyFill="1" applyBorder="1" applyAlignment="1" applyProtection="1">
      <alignment horizontal="left" vertical="top" indent="1"/>
      <protection hidden="1"/>
    </xf>
    <xf numFmtId="164" fontId="7" fillId="0" borderId="120" xfId="2" applyNumberFormat="1" applyFont="1" applyFill="1" applyBorder="1" applyAlignment="1" applyProtection="1">
      <alignment horizontal="center" vertical="center"/>
      <protection locked="0"/>
    </xf>
    <xf numFmtId="164" fontId="7" fillId="0" borderId="117" xfId="2" applyNumberFormat="1" applyFont="1" applyFill="1" applyBorder="1" applyAlignment="1" applyProtection="1">
      <alignment horizontal="center" vertical="center"/>
      <protection locked="0"/>
    </xf>
    <xf numFmtId="3" fontId="10" fillId="17" borderId="4" xfId="2" applyNumberFormat="1" applyFont="1" applyFill="1" applyBorder="1" applyProtection="1"/>
    <xf numFmtId="9" fontId="112" fillId="15" borderId="121" xfId="2" applyNumberFormat="1" applyFont="1" applyFill="1" applyBorder="1" applyAlignment="1" applyProtection="1">
      <alignment horizontal="center" vertical="center"/>
    </xf>
    <xf numFmtId="3" fontId="11" fillId="17" borderId="4" xfId="2" applyNumberFormat="1" applyFont="1" applyFill="1" applyBorder="1" applyAlignment="1" applyProtection="1">
      <alignment horizontal="left" vertical="center" indent="1"/>
    </xf>
    <xf numFmtId="3" fontId="11" fillId="17" borderId="0" xfId="2" applyNumberFormat="1" applyFont="1" applyFill="1" applyBorder="1" applyAlignment="1" applyProtection="1">
      <alignment horizontal="left" vertical="center" indent="1"/>
    </xf>
    <xf numFmtId="0" fontId="11" fillId="18" borderId="63" xfId="2" applyFont="1" applyFill="1" applyBorder="1" applyProtection="1"/>
    <xf numFmtId="0" fontId="7" fillId="18" borderId="64" xfId="2" applyFont="1" applyFill="1" applyBorder="1" applyProtection="1"/>
    <xf numFmtId="0" fontId="11" fillId="18" borderId="38" xfId="2" applyFont="1" applyFill="1" applyBorder="1" applyAlignment="1" applyProtection="1">
      <alignment vertical="top"/>
      <protection hidden="1"/>
    </xf>
    <xf numFmtId="0" fontId="11" fillId="18" borderId="122" xfId="2" applyFont="1" applyFill="1" applyBorder="1" applyAlignment="1" applyProtection="1">
      <alignment vertical="top"/>
      <protection hidden="1"/>
    </xf>
    <xf numFmtId="164" fontId="112" fillId="18" borderId="123" xfId="2" applyNumberFormat="1" applyFont="1" applyFill="1" applyBorder="1" applyAlignment="1" applyProtection="1">
      <alignment horizontal="center"/>
      <protection hidden="1"/>
    </xf>
    <xf numFmtId="164" fontId="77" fillId="18" borderId="124" xfId="2" applyNumberFormat="1" applyFont="1" applyFill="1" applyBorder="1" applyAlignment="1" applyProtection="1">
      <alignment horizontal="center"/>
      <protection hidden="1"/>
    </xf>
    <xf numFmtId="164" fontId="7" fillId="0" borderId="117" xfId="2" applyNumberFormat="1" applyFont="1" applyFill="1" applyBorder="1" applyAlignment="1" applyProtection="1">
      <alignment horizontal="center"/>
      <protection locked="0"/>
    </xf>
    <xf numFmtId="3" fontId="11" fillId="17" borderId="4" xfId="2" applyNumberFormat="1" applyFont="1" applyFill="1" applyBorder="1" applyAlignment="1" applyProtection="1">
      <alignment horizontal="right" indent="2"/>
    </xf>
    <xf numFmtId="3" fontId="109" fillId="17" borderId="4" xfId="2" applyNumberFormat="1" applyFont="1" applyFill="1" applyBorder="1" applyProtection="1"/>
    <xf numFmtId="3" fontId="11" fillId="17" borderId="4" xfId="2" applyNumberFormat="1" applyFont="1" applyFill="1" applyBorder="1" applyAlignment="1" applyProtection="1">
      <alignment horizontal="right" indent="1"/>
    </xf>
    <xf numFmtId="3" fontId="10" fillId="0" borderId="125" xfId="2" applyNumberFormat="1" applyFont="1" applyFill="1" applyBorder="1" applyProtection="1">
      <protection locked="0"/>
    </xf>
    <xf numFmtId="9" fontId="113" fillId="18" borderId="39" xfId="2" applyNumberFormat="1" applyFont="1" applyFill="1" applyBorder="1" applyAlignment="1" applyProtection="1">
      <alignment horizontal="center"/>
    </xf>
    <xf numFmtId="3" fontId="10" fillId="17" borderId="53" xfId="2" applyNumberFormat="1" applyFont="1" applyFill="1" applyBorder="1" applyProtection="1"/>
    <xf numFmtId="3" fontId="7" fillId="15" borderId="43" xfId="2" applyNumberFormat="1" applyFont="1" applyFill="1" applyBorder="1" applyProtection="1">
      <protection hidden="1"/>
    </xf>
    <xf numFmtId="3" fontId="7" fillId="15" borderId="23" xfId="2" applyNumberFormat="1" applyFont="1" applyFill="1" applyBorder="1" applyProtection="1">
      <protection hidden="1"/>
    </xf>
    <xf numFmtId="3" fontId="7" fillId="15" borderId="55" xfId="2" applyNumberFormat="1" applyFont="1" applyFill="1" applyBorder="1" applyProtection="1">
      <protection hidden="1"/>
    </xf>
    <xf numFmtId="3" fontId="7" fillId="15" borderId="48" xfId="2" applyNumberFormat="1" applyFont="1" applyFill="1" applyBorder="1" applyProtection="1">
      <protection hidden="1"/>
    </xf>
    <xf numFmtId="3" fontId="7" fillId="15" borderId="56" xfId="2" applyNumberFormat="1" applyFont="1" applyFill="1" applyBorder="1" applyProtection="1">
      <protection hidden="1"/>
    </xf>
    <xf numFmtId="3" fontId="7" fillId="15" borderId="57" xfId="2" applyNumberFormat="1" applyFont="1" applyFill="1" applyBorder="1" applyProtection="1">
      <protection hidden="1"/>
    </xf>
    <xf numFmtId="3" fontId="7" fillId="15" borderId="52" xfId="2" applyNumberFormat="1" applyFont="1" applyFill="1" applyBorder="1" applyProtection="1">
      <protection hidden="1"/>
    </xf>
    <xf numFmtId="3" fontId="7" fillId="15" borderId="0" xfId="2" applyNumberFormat="1" applyFont="1" applyFill="1" applyBorder="1" applyProtection="1">
      <protection hidden="1"/>
    </xf>
    <xf numFmtId="3" fontId="7" fillId="15" borderId="3" xfId="2" applyNumberFormat="1" applyFont="1" applyFill="1" applyBorder="1" applyProtection="1">
      <protection hidden="1"/>
    </xf>
    <xf numFmtId="3" fontId="7" fillId="15" borderId="58" xfId="2" applyNumberFormat="1" applyFont="1" applyFill="1" applyBorder="1" applyProtection="1">
      <protection hidden="1"/>
    </xf>
    <xf numFmtId="3" fontId="7" fillId="15" borderId="17" xfId="2" applyNumberFormat="1" applyFont="1" applyFill="1" applyBorder="1" applyProtection="1">
      <protection hidden="1"/>
    </xf>
    <xf numFmtId="3" fontId="7" fillId="15" borderId="32" xfId="2" applyNumberFormat="1" applyFont="1" applyFill="1" applyBorder="1" applyProtection="1">
      <protection hidden="1"/>
    </xf>
    <xf numFmtId="3" fontId="7" fillId="15" borderId="62" xfId="2" applyNumberFormat="1" applyFont="1" applyFill="1" applyBorder="1" applyProtection="1">
      <protection hidden="1"/>
    </xf>
    <xf numFmtId="3" fontId="7" fillId="15" borderId="13" xfId="2" applyNumberFormat="1" applyFont="1" applyFill="1" applyBorder="1" applyProtection="1">
      <protection hidden="1"/>
    </xf>
    <xf numFmtId="3" fontId="11" fillId="22" borderId="23" xfId="2" applyNumberFormat="1" applyFont="1" applyFill="1" applyBorder="1" applyAlignment="1" applyProtection="1">
      <alignment horizontal="center"/>
      <protection hidden="1"/>
    </xf>
    <xf numFmtId="0" fontId="16" fillId="0" borderId="0" xfId="2" applyFont="1" applyFill="1" applyBorder="1" applyAlignment="1" applyProtection="1">
      <alignment horizontal="right"/>
      <protection locked="0"/>
    </xf>
    <xf numFmtId="0" fontId="12" fillId="0" borderId="0" xfId="2" applyFont="1" applyAlignment="1"/>
    <xf numFmtId="0" fontId="12" fillId="2" borderId="68" xfId="2" applyFont="1" applyFill="1" applyBorder="1" applyAlignment="1">
      <alignment vertical="top"/>
    </xf>
    <xf numFmtId="0" fontId="12" fillId="17" borderId="0" xfId="2" applyFont="1" applyFill="1" applyBorder="1" applyAlignment="1">
      <alignment vertical="top"/>
    </xf>
    <xf numFmtId="3" fontId="111" fillId="16" borderId="1" xfId="2" applyNumberFormat="1" applyFont="1" applyFill="1" applyBorder="1" applyAlignment="1" applyProtection="1">
      <alignment horizontal="right"/>
    </xf>
    <xf numFmtId="3" fontId="10" fillId="17" borderId="69" xfId="2" applyNumberFormat="1" applyFont="1" applyFill="1" applyBorder="1" applyProtection="1"/>
    <xf numFmtId="3" fontId="10" fillId="17" borderId="58" xfId="2" applyNumberFormat="1" applyFont="1" applyFill="1" applyBorder="1" applyProtection="1"/>
    <xf numFmtId="9" fontId="10" fillId="2" borderId="41" xfId="2" applyNumberFormat="1" applyFont="1" applyFill="1" applyBorder="1" applyAlignment="1" applyProtection="1">
      <alignment horizontal="right"/>
    </xf>
    <xf numFmtId="0" fontId="10" fillId="2" borderId="7" xfId="2" applyFont="1" applyFill="1" applyBorder="1" applyAlignment="1" applyProtection="1">
      <alignment horizontal="left"/>
    </xf>
    <xf numFmtId="0" fontId="10" fillId="2" borderId="66" xfId="2" applyFont="1" applyFill="1" applyBorder="1" applyAlignment="1" applyProtection="1">
      <alignment horizontal="center"/>
    </xf>
    <xf numFmtId="0" fontId="10" fillId="2" borderId="3" xfId="2" applyFont="1" applyFill="1" applyBorder="1" applyAlignment="1" applyProtection="1">
      <alignment horizontal="left"/>
    </xf>
    <xf numFmtId="0" fontId="10" fillId="2" borderId="13" xfId="2" applyFont="1" applyFill="1" applyBorder="1" applyAlignment="1" applyProtection="1">
      <alignment horizontal="left"/>
    </xf>
    <xf numFmtId="0" fontId="10" fillId="2" borderId="3" xfId="2" applyFont="1" applyFill="1" applyBorder="1" applyAlignment="1" applyProtection="1">
      <alignment horizontal="center"/>
    </xf>
    <xf numFmtId="3" fontId="10" fillId="2" borderId="46" xfId="2" applyNumberFormat="1" applyFont="1" applyFill="1" applyBorder="1" applyProtection="1"/>
    <xf numFmtId="3" fontId="10" fillId="2" borderId="70" xfId="2" applyNumberFormat="1" applyFont="1" applyFill="1" applyBorder="1" applyProtection="1"/>
    <xf numFmtId="0" fontId="10" fillId="2" borderId="1" xfId="2" applyFont="1" applyFill="1" applyBorder="1" applyAlignment="1" applyProtection="1">
      <alignment horizontal="center"/>
    </xf>
    <xf numFmtId="0" fontId="10" fillId="2" borderId="13" xfId="2" applyFont="1" applyFill="1" applyBorder="1" applyAlignment="1" applyProtection="1">
      <alignment horizontal="center"/>
    </xf>
    <xf numFmtId="3" fontId="10" fillId="2" borderId="8" xfId="2" applyNumberFormat="1" applyFont="1" applyFill="1" applyBorder="1" applyAlignment="1" applyProtection="1"/>
    <xf numFmtId="3" fontId="10" fillId="2" borderId="71" xfId="2" applyNumberFormat="1" applyFont="1" applyFill="1" applyBorder="1" applyAlignment="1" applyProtection="1"/>
    <xf numFmtId="3" fontId="10" fillId="2" borderId="72" xfId="2" applyNumberFormat="1" applyFont="1" applyFill="1" applyBorder="1" applyAlignment="1" applyProtection="1"/>
    <xf numFmtId="3" fontId="115" fillId="15" borderId="41" xfId="2" applyNumberFormat="1" applyFont="1" applyFill="1" applyBorder="1" applyAlignment="1" applyProtection="1">
      <alignment horizontal="center"/>
    </xf>
    <xf numFmtId="3" fontId="115" fillId="18" borderId="41" xfId="2" applyNumberFormat="1" applyFont="1" applyFill="1" applyBorder="1" applyAlignment="1" applyProtection="1">
      <alignment horizontal="center"/>
    </xf>
    <xf numFmtId="0" fontId="1" fillId="16" borderId="4" xfId="2" applyFill="1" applyBorder="1" applyAlignment="1" applyProtection="1"/>
    <xf numFmtId="0" fontId="116" fillId="16" borderId="4" xfId="2" applyFont="1" applyFill="1" applyBorder="1" applyAlignment="1" applyProtection="1">
      <alignment horizontal="right"/>
    </xf>
    <xf numFmtId="0" fontId="7" fillId="0" borderId="73" xfId="2" applyFont="1" applyFill="1" applyBorder="1" applyAlignment="1" applyProtection="1">
      <alignment horizontal="center" vertical="center"/>
      <protection locked="0"/>
    </xf>
    <xf numFmtId="9" fontId="7" fillId="0" borderId="73" xfId="2" applyNumberFormat="1" applyFont="1" applyFill="1" applyBorder="1" applyAlignment="1" applyProtection="1">
      <alignment horizontal="center" vertical="center"/>
      <protection locked="0" hidden="1"/>
    </xf>
    <xf numFmtId="9" fontId="116" fillId="0" borderId="0" xfId="2" applyNumberFormat="1" applyFont="1" applyFill="1" applyBorder="1" applyAlignment="1" applyProtection="1">
      <alignment horizontal="right" vertical="center"/>
      <protection locked="0" hidden="1"/>
    </xf>
    <xf numFmtId="0" fontId="12" fillId="0" borderId="0" xfId="2" applyNumberFormat="1" applyFont="1"/>
    <xf numFmtId="0" fontId="117" fillId="0" borderId="0" xfId="0" applyFont="1"/>
    <xf numFmtId="0" fontId="118" fillId="0" borderId="0" xfId="0" applyFont="1"/>
    <xf numFmtId="0" fontId="119" fillId="0" borderId="0" xfId="0" applyFont="1"/>
    <xf numFmtId="0" fontId="116" fillId="0" borderId="74" xfId="2" applyFont="1" applyFill="1" applyBorder="1" applyAlignment="1" applyProtection="1">
      <alignment horizontal="right"/>
    </xf>
    <xf numFmtId="0" fontId="120" fillId="23" borderId="126" xfId="2" applyFont="1" applyFill="1" applyBorder="1" applyAlignment="1">
      <alignment horizontal="center" vertical="center"/>
    </xf>
    <xf numFmtId="0" fontId="120" fillId="23" borderId="126" xfId="2" applyFont="1" applyFill="1" applyBorder="1" applyAlignment="1">
      <alignment horizontal="center" vertical="center"/>
    </xf>
    <xf numFmtId="16" fontId="12" fillId="0" borderId="0" xfId="2" applyNumberFormat="1" applyFont="1"/>
    <xf numFmtId="0" fontId="116" fillId="0" borderId="0" xfId="2" applyFont="1" applyFill="1" applyBorder="1" applyAlignment="1" applyProtection="1"/>
    <xf numFmtId="0" fontId="17" fillId="0" borderId="0" xfId="2" applyFont="1" applyAlignment="1">
      <alignment vertical="top"/>
    </xf>
    <xf numFmtId="0" fontId="12" fillId="0" borderId="0" xfId="2" applyFont="1" applyAlignment="1">
      <alignment vertical="center"/>
    </xf>
    <xf numFmtId="0" fontId="121" fillId="0" borderId="0" xfId="0" applyFont="1"/>
    <xf numFmtId="0" fontId="12" fillId="0" borderId="0" xfId="2" applyNumberFormat="1" applyFont="1" applyAlignment="1">
      <alignment vertical="top"/>
    </xf>
    <xf numFmtId="0" fontId="16" fillId="0" borderId="0" xfId="2" applyFont="1" applyFill="1" applyBorder="1" applyAlignment="1" applyProtection="1">
      <alignment vertical="center"/>
    </xf>
    <xf numFmtId="0" fontId="122" fillId="0" borderId="0" xfId="2" applyFont="1" applyAlignment="1">
      <alignment vertical="top"/>
    </xf>
    <xf numFmtId="49" fontId="56" fillId="0" borderId="0" xfId="2" applyNumberFormat="1" applyFont="1" applyFill="1" applyBorder="1" applyProtection="1"/>
    <xf numFmtId="9" fontId="110" fillId="0" borderId="0" xfId="2" applyNumberFormat="1" applyFont="1" applyFill="1" applyBorder="1" applyAlignment="1" applyProtection="1">
      <alignment horizontal="right" vertical="center"/>
      <protection locked="0" hidden="1"/>
    </xf>
    <xf numFmtId="0" fontId="12" fillId="17" borderId="0" xfId="2" applyFont="1" applyFill="1" applyBorder="1" applyProtection="1"/>
    <xf numFmtId="0" fontId="15" fillId="17" borderId="0" xfId="2" applyFont="1" applyFill="1" applyBorder="1"/>
    <xf numFmtId="0" fontId="11" fillId="17" borderId="0" xfId="2" applyFont="1" applyFill="1" applyBorder="1"/>
    <xf numFmtId="0" fontId="120" fillId="23" borderId="126" xfId="2" applyFont="1" applyFill="1" applyBorder="1" applyAlignment="1">
      <alignment horizontal="center" vertical="center"/>
    </xf>
    <xf numFmtId="0" fontId="12" fillId="17" borderId="0" xfId="2" applyFont="1" applyFill="1" applyBorder="1"/>
    <xf numFmtId="0" fontId="12" fillId="17" borderId="7" xfId="2" applyFont="1" applyFill="1" applyBorder="1" applyAlignment="1">
      <alignment vertical="top"/>
    </xf>
    <xf numFmtId="0" fontId="12" fillId="17" borderId="4" xfId="2" applyFont="1" applyFill="1" applyBorder="1" applyAlignment="1">
      <alignment vertical="top"/>
    </xf>
    <xf numFmtId="0" fontId="12" fillId="17" borderId="8" xfId="2" applyFont="1" applyFill="1" applyBorder="1" applyAlignment="1">
      <alignment vertical="top"/>
    </xf>
    <xf numFmtId="0" fontId="12" fillId="17" borderId="3" xfId="2" applyFont="1" applyFill="1" applyBorder="1" applyAlignment="1">
      <alignment vertical="top"/>
    </xf>
    <xf numFmtId="0" fontId="12" fillId="17" borderId="2" xfId="2" applyFont="1" applyFill="1" applyBorder="1" applyAlignment="1">
      <alignment vertical="top"/>
    </xf>
    <xf numFmtId="0" fontId="11" fillId="17" borderId="0" xfId="2" applyFont="1" applyFill="1" applyBorder="1" applyAlignment="1">
      <alignment vertical="top"/>
    </xf>
    <xf numFmtId="0" fontId="1" fillId="17" borderId="0" xfId="2" applyFill="1" applyBorder="1"/>
    <xf numFmtId="0" fontId="110" fillId="17" borderId="0" xfId="2" applyFont="1" applyFill="1" applyBorder="1" applyAlignment="1">
      <alignment vertical="center" wrapText="1"/>
    </xf>
    <xf numFmtId="0" fontId="110" fillId="17" borderId="0" xfId="2" applyFont="1" applyFill="1" applyBorder="1" applyAlignment="1" applyProtection="1">
      <alignment vertical="top"/>
    </xf>
    <xf numFmtId="0" fontId="11" fillId="17" borderId="0" xfId="2" applyFont="1" applyFill="1" applyBorder="1" applyAlignment="1">
      <alignment horizontal="left" indent="1"/>
    </xf>
    <xf numFmtId="0" fontId="110" fillId="17" borderId="0" xfId="2" applyFont="1" applyFill="1" applyBorder="1" applyAlignment="1" applyProtection="1">
      <alignment vertical="center" wrapText="1"/>
    </xf>
    <xf numFmtId="0" fontId="11" fillId="17" borderId="0" xfId="2" applyFont="1" applyFill="1" applyBorder="1" applyAlignment="1">
      <alignment horizontal="right"/>
    </xf>
    <xf numFmtId="0" fontId="11" fillId="17" borderId="0" xfId="2" applyFont="1" applyFill="1" applyBorder="1" applyAlignment="1" applyProtection="1">
      <alignment horizontal="left" indent="1"/>
    </xf>
    <xf numFmtId="0" fontId="1" fillId="17" borderId="0" xfId="2" applyFont="1" applyFill="1" applyBorder="1" applyAlignment="1">
      <alignment horizontal="right"/>
    </xf>
    <xf numFmtId="0" fontId="12" fillId="17" borderId="13" xfId="2" applyFont="1" applyFill="1" applyBorder="1" applyAlignment="1">
      <alignment vertical="top"/>
    </xf>
    <xf numFmtId="0" fontId="12" fillId="17" borderId="1" xfId="2" applyFont="1" applyFill="1" applyBorder="1" applyAlignment="1">
      <alignment vertical="top"/>
    </xf>
    <xf numFmtId="0" fontId="12" fillId="17" borderId="16" xfId="2" applyFont="1" applyFill="1" applyBorder="1" applyAlignment="1">
      <alignment vertical="top"/>
    </xf>
    <xf numFmtId="0" fontId="15" fillId="17" borderId="7" xfId="2" applyFont="1" applyFill="1" applyBorder="1"/>
    <xf numFmtId="0" fontId="12" fillId="17" borderId="3" xfId="2" applyFont="1" applyFill="1" applyBorder="1" applyAlignment="1">
      <alignment vertical="center"/>
    </xf>
    <xf numFmtId="0" fontId="122" fillId="0" borderId="0" xfId="2" applyNumberFormat="1" applyFont="1" applyAlignment="1">
      <alignment vertical="top"/>
    </xf>
    <xf numFmtId="9" fontId="123" fillId="15" borderId="39" xfId="2" applyNumberFormat="1" applyFont="1" applyFill="1" applyBorder="1" applyAlignment="1" applyProtection="1">
      <alignment horizontal="center"/>
      <protection hidden="1"/>
    </xf>
    <xf numFmtId="9" fontId="124" fillId="15" borderId="124" xfId="2" applyNumberFormat="1" applyFont="1" applyFill="1" applyBorder="1" applyAlignment="1" applyProtection="1">
      <alignment horizontal="center"/>
      <protection hidden="1"/>
    </xf>
    <xf numFmtId="9" fontId="124" fillId="15" borderId="123" xfId="2" applyNumberFormat="1" applyFont="1" applyFill="1" applyBorder="1" applyAlignment="1" applyProtection="1">
      <alignment horizontal="center"/>
      <protection hidden="1"/>
    </xf>
    <xf numFmtId="0" fontId="86" fillId="0" borderId="0" xfId="0" applyFont="1" applyFill="1" applyBorder="1"/>
    <xf numFmtId="0" fontId="87" fillId="0" borderId="0" xfId="2" applyFont="1" applyFill="1" applyBorder="1" applyProtection="1"/>
    <xf numFmtId="0" fontId="86" fillId="0" borderId="0" xfId="2" applyFont="1" applyAlignment="1">
      <alignment vertical="top"/>
    </xf>
    <xf numFmtId="0" fontId="86" fillId="0" borderId="0" xfId="2" applyFont="1"/>
    <xf numFmtId="0" fontId="120" fillId="23" borderId="126" xfId="2" applyFont="1" applyFill="1" applyBorder="1" applyAlignment="1">
      <alignment horizontal="center" vertical="center"/>
    </xf>
    <xf numFmtId="0" fontId="16" fillId="0" borderId="0" xfId="2" applyFont="1" applyFill="1" applyAlignment="1">
      <alignment horizontal="left"/>
    </xf>
    <xf numFmtId="0" fontId="16" fillId="0" borderId="0" xfId="2" applyFont="1" applyFill="1" applyAlignment="1">
      <alignment horizontal="right"/>
    </xf>
    <xf numFmtId="0" fontId="125" fillId="0" borderId="0" xfId="2" applyFont="1"/>
    <xf numFmtId="0" fontId="126" fillId="0" borderId="0" xfId="2" applyFont="1" applyAlignment="1">
      <alignment vertical="top"/>
    </xf>
    <xf numFmtId="0" fontId="127" fillId="23" borderId="126" xfId="2" applyFont="1" applyFill="1" applyBorder="1" applyAlignment="1">
      <alignment horizontal="center" vertical="center"/>
    </xf>
    <xf numFmtId="0" fontId="86" fillId="0" borderId="0" xfId="2" applyFont="1" applyAlignment="1"/>
    <xf numFmtId="0" fontId="118" fillId="0" borderId="0" xfId="0" applyFont="1" applyAlignment="1"/>
    <xf numFmtId="9" fontId="110" fillId="0" borderId="0" xfId="2" applyNumberFormat="1" applyFont="1" applyFill="1" applyBorder="1" applyAlignment="1" applyProtection="1">
      <alignment horizontal="left" vertical="center"/>
      <protection locked="0" hidden="1"/>
    </xf>
    <xf numFmtId="0" fontId="12" fillId="0" borderId="0" xfId="2" applyFont="1" applyAlignment="1">
      <alignment horizontal="right" vertical="top"/>
    </xf>
    <xf numFmtId="0" fontId="59" fillId="0" borderId="0" xfId="0" applyFont="1" applyFill="1" applyBorder="1" applyAlignment="1" applyProtection="1">
      <alignment horizontal="right" vertical="center"/>
    </xf>
    <xf numFmtId="0" fontId="12" fillId="17" borderId="0" xfId="2" applyFont="1" applyFill="1" applyAlignment="1">
      <alignment vertical="top"/>
    </xf>
    <xf numFmtId="0" fontId="15" fillId="0" borderId="23" xfId="2" applyFont="1" applyBorder="1" applyAlignment="1">
      <alignment horizontal="center" vertical="top"/>
    </xf>
    <xf numFmtId="0" fontId="11" fillId="0" borderId="29" xfId="2" applyFont="1" applyFill="1" applyBorder="1" applyAlignment="1" applyProtection="1">
      <alignment horizontal="left" vertical="center"/>
      <protection locked="0"/>
    </xf>
    <xf numFmtId="0" fontId="9" fillId="0" borderId="0" xfId="2" applyFont="1" applyFill="1" applyBorder="1" applyAlignment="1" applyProtection="1">
      <alignment vertical="center"/>
    </xf>
    <xf numFmtId="3" fontId="10" fillId="0" borderId="125" xfId="2" applyNumberFormat="1" applyFont="1" applyFill="1" applyBorder="1" applyAlignment="1" applyProtection="1">
      <alignment vertical="center"/>
      <protection locked="0"/>
    </xf>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7" fillId="0" borderId="0" xfId="2" applyFont="1" applyFill="1" applyAlignment="1" applyProtection="1">
      <alignment vertical="center"/>
    </xf>
    <xf numFmtId="0" fontId="7" fillId="0" borderId="0" xfId="2" applyFont="1" applyFill="1" applyBorder="1" applyAlignment="1" applyProtection="1">
      <alignment vertical="center"/>
    </xf>
    <xf numFmtId="3" fontId="10" fillId="17" borderId="43" xfId="2" applyNumberFormat="1" applyFont="1" applyFill="1" applyBorder="1" applyAlignment="1" applyProtection="1">
      <alignment vertical="center"/>
      <protection hidden="1"/>
    </xf>
    <xf numFmtId="3" fontId="10" fillId="17" borderId="16" xfId="2" applyNumberFormat="1" applyFont="1" applyFill="1" applyBorder="1" applyAlignment="1" applyProtection="1">
      <alignment vertical="center"/>
      <protection hidden="1"/>
    </xf>
    <xf numFmtId="0" fontId="2" fillId="0" borderId="0" xfId="2" applyFont="1" applyFill="1" applyAlignment="1" applyProtection="1">
      <alignment vertical="center"/>
    </xf>
    <xf numFmtId="3" fontId="10" fillId="0" borderId="0" xfId="2" applyNumberFormat="1" applyFont="1" applyFill="1" applyBorder="1" applyAlignment="1" applyProtection="1">
      <alignment vertical="center"/>
    </xf>
    <xf numFmtId="3" fontId="11" fillId="17" borderId="4" xfId="2" applyNumberFormat="1" applyFont="1" applyFill="1" applyBorder="1" applyAlignment="1" applyProtection="1">
      <alignment vertical="center"/>
    </xf>
    <xf numFmtId="3" fontId="10" fillId="17" borderId="4" xfId="2" applyNumberFormat="1" applyFont="1" applyFill="1" applyBorder="1" applyAlignment="1" applyProtection="1">
      <alignment vertical="center"/>
    </xf>
    <xf numFmtId="3" fontId="10" fillId="17" borderId="8" xfId="2" applyNumberFormat="1" applyFont="1" applyFill="1" applyBorder="1" applyAlignment="1" applyProtection="1">
      <alignment vertical="center"/>
    </xf>
    <xf numFmtId="3" fontId="11" fillId="17" borderId="1" xfId="2" applyNumberFormat="1" applyFont="1" applyFill="1" applyBorder="1" applyAlignment="1" applyProtection="1">
      <alignment vertical="center"/>
    </xf>
    <xf numFmtId="3" fontId="10" fillId="17" borderId="13" xfId="2" applyNumberFormat="1" applyFont="1" applyFill="1" applyBorder="1" applyAlignment="1" applyProtection="1">
      <alignment vertical="center"/>
    </xf>
    <xf numFmtId="3" fontId="10" fillId="17" borderId="1" xfId="2" applyNumberFormat="1" applyFont="1" applyFill="1" applyBorder="1" applyAlignment="1" applyProtection="1">
      <alignment vertical="center"/>
    </xf>
    <xf numFmtId="3" fontId="10" fillId="17" borderId="16" xfId="2" applyNumberFormat="1" applyFont="1" applyFill="1" applyBorder="1" applyAlignment="1" applyProtection="1">
      <alignment vertical="center"/>
    </xf>
    <xf numFmtId="3" fontId="10" fillId="17" borderId="43" xfId="2" applyNumberFormat="1" applyFont="1" applyFill="1" applyBorder="1" applyAlignment="1" applyProtection="1">
      <alignment vertical="center"/>
    </xf>
    <xf numFmtId="0" fontId="4" fillId="0" borderId="0" xfId="2" applyFont="1" applyFill="1" applyBorder="1" applyAlignment="1" applyProtection="1"/>
    <xf numFmtId="9" fontId="7" fillId="0" borderId="73" xfId="2" applyNumberFormat="1" applyFont="1" applyFill="1" applyBorder="1" applyAlignment="1" applyProtection="1">
      <alignment horizontal="center"/>
      <protection locked="0" hidden="1"/>
    </xf>
    <xf numFmtId="0" fontId="65" fillId="0" borderId="0" xfId="2" applyFont="1" applyFill="1" applyBorder="1" applyAlignment="1" applyProtection="1"/>
    <xf numFmtId="0" fontId="16" fillId="0" borderId="7" xfId="2" applyFont="1" applyFill="1" applyBorder="1" applyAlignment="1" applyProtection="1"/>
    <xf numFmtId="0" fontId="116" fillId="0" borderId="3" xfId="2" applyFont="1" applyFill="1" applyBorder="1" applyAlignment="1" applyProtection="1">
      <alignment horizontal="left"/>
    </xf>
    <xf numFmtId="0" fontId="116" fillId="0" borderId="132" xfId="2" applyFont="1" applyFill="1" applyBorder="1" applyAlignment="1" applyProtection="1">
      <alignment horizontal="left"/>
    </xf>
    <xf numFmtId="0" fontId="11" fillId="0" borderId="0" xfId="2" applyFont="1" applyFill="1" applyBorder="1" applyAlignment="1" applyProtection="1">
      <protection locked="0"/>
    </xf>
    <xf numFmtId="0" fontId="11" fillId="0" borderId="76" xfId="2" applyFont="1" applyFill="1" applyBorder="1" applyAlignment="1" applyProtection="1">
      <alignment horizontal="left" vertical="center"/>
      <protection locked="0"/>
    </xf>
    <xf numFmtId="0" fontId="11" fillId="0" borderId="76" xfId="2" applyFont="1" applyFill="1" applyBorder="1" applyAlignment="1" applyProtection="1">
      <alignment vertical="center"/>
      <protection locked="0"/>
    </xf>
    <xf numFmtId="0" fontId="11" fillId="16" borderId="13" xfId="2" applyFont="1" applyFill="1" applyBorder="1" applyAlignment="1" applyProtection="1">
      <alignment horizontal="left" vertical="center"/>
    </xf>
    <xf numFmtId="0" fontId="11" fillId="16" borderId="66" xfId="2" applyFont="1" applyFill="1" applyBorder="1" applyAlignment="1" applyProtection="1">
      <alignment vertical="center"/>
    </xf>
    <xf numFmtId="0" fontId="16" fillId="16" borderId="13" xfId="2" applyFont="1" applyFill="1" applyBorder="1" applyAlignment="1" applyProtection="1">
      <alignment vertical="center"/>
    </xf>
    <xf numFmtId="3" fontId="10" fillId="0" borderId="127" xfId="2" applyNumberFormat="1" applyFont="1" applyFill="1" applyBorder="1" applyAlignment="1" applyProtection="1">
      <alignment vertical="center"/>
      <protection locked="0"/>
    </xf>
    <xf numFmtId="0" fontId="2" fillId="0" borderId="0" xfId="2" applyFont="1" applyFill="1" applyBorder="1" applyAlignment="1" applyProtection="1">
      <alignment vertical="center"/>
    </xf>
    <xf numFmtId="0" fontId="29" fillId="17" borderId="4" xfId="2" applyFont="1" applyFill="1" applyBorder="1" applyAlignment="1" applyProtection="1">
      <alignment vertical="center"/>
    </xf>
    <xf numFmtId="3" fontId="10" fillId="17" borderId="17" xfId="2" applyNumberFormat="1" applyFont="1" applyFill="1" applyBorder="1" applyAlignment="1" applyProtection="1">
      <alignment vertical="center"/>
    </xf>
    <xf numFmtId="3" fontId="10" fillId="17" borderId="17" xfId="2" applyNumberFormat="1" applyFont="1" applyFill="1" applyBorder="1" applyAlignment="1" applyProtection="1">
      <alignment vertical="center" wrapText="1"/>
    </xf>
    <xf numFmtId="3" fontId="10" fillId="17" borderId="4" xfId="2" applyNumberFormat="1" applyFont="1" applyFill="1" applyBorder="1" applyAlignment="1" applyProtection="1">
      <alignment horizontal="center" vertical="center" wrapText="1"/>
    </xf>
    <xf numFmtId="0" fontId="1" fillId="17" borderId="1" xfId="2" applyFill="1" applyBorder="1" applyAlignment="1" applyProtection="1">
      <alignment vertical="center"/>
    </xf>
    <xf numFmtId="3" fontId="10" fillId="17" borderId="30" xfId="2" applyNumberFormat="1" applyFont="1" applyFill="1" applyBorder="1" applyAlignment="1" applyProtection="1">
      <alignment vertical="center"/>
    </xf>
    <xf numFmtId="0" fontId="1" fillId="17" borderId="17" xfId="2" applyFill="1" applyBorder="1" applyAlignment="1" applyProtection="1">
      <alignment vertical="center"/>
    </xf>
    <xf numFmtId="3" fontId="10" fillId="0" borderId="77" xfId="2" applyNumberFormat="1" applyFont="1" applyFill="1" applyBorder="1" applyAlignment="1" applyProtection="1">
      <alignment vertical="center"/>
      <protection locked="0"/>
    </xf>
    <xf numFmtId="3" fontId="10" fillId="0" borderId="133" xfId="2" applyNumberFormat="1" applyFont="1" applyFill="1" applyBorder="1" applyAlignment="1" applyProtection="1">
      <alignment vertical="center"/>
      <protection locked="0"/>
    </xf>
    <xf numFmtId="3" fontId="10" fillId="17" borderId="23" xfId="2" applyNumberFormat="1" applyFont="1" applyFill="1" applyBorder="1" applyAlignment="1" applyProtection="1">
      <alignment vertical="center"/>
      <protection hidden="1"/>
    </xf>
    <xf numFmtId="3" fontId="10" fillId="17" borderId="32" xfId="2" applyNumberFormat="1" applyFont="1" applyFill="1" applyBorder="1" applyAlignment="1" applyProtection="1">
      <alignment vertical="center"/>
      <protection hidden="1"/>
    </xf>
    <xf numFmtId="3" fontId="10" fillId="17" borderId="30" xfId="2" applyNumberFormat="1" applyFont="1" applyFill="1" applyBorder="1" applyAlignment="1" applyProtection="1">
      <alignment vertical="center"/>
      <protection hidden="1"/>
    </xf>
    <xf numFmtId="3" fontId="10" fillId="0" borderId="78" xfId="2" applyNumberFormat="1" applyFont="1" applyFill="1" applyBorder="1" applyAlignment="1" applyProtection="1">
      <alignment vertical="center"/>
      <protection locked="0"/>
    </xf>
    <xf numFmtId="3" fontId="10" fillId="0" borderId="58" xfId="2" applyNumberFormat="1" applyFont="1" applyFill="1" applyBorder="1" applyAlignment="1" applyProtection="1">
      <alignment vertical="center"/>
      <protection locked="0"/>
    </xf>
    <xf numFmtId="3" fontId="10" fillId="17" borderId="48" xfId="2" applyNumberFormat="1" applyFont="1" applyFill="1" applyBorder="1" applyAlignment="1" applyProtection="1">
      <alignment vertical="center"/>
    </xf>
    <xf numFmtId="0" fontId="1" fillId="0" borderId="0" xfId="2" applyAlignment="1" applyProtection="1">
      <alignment vertical="center"/>
    </xf>
    <xf numFmtId="3" fontId="10" fillId="0" borderId="0" xfId="2" applyNumberFormat="1" applyFont="1" applyFill="1" applyBorder="1" applyAlignment="1" applyProtection="1">
      <alignment vertical="center"/>
      <protection hidden="1"/>
    </xf>
    <xf numFmtId="3" fontId="10" fillId="17" borderId="4" xfId="2" applyNumberFormat="1" applyFont="1" applyFill="1" applyBorder="1" applyAlignment="1" applyProtection="1">
      <alignment vertical="center"/>
      <protection hidden="1"/>
    </xf>
    <xf numFmtId="3" fontId="10" fillId="17" borderId="17" xfId="2" applyNumberFormat="1" applyFont="1" applyFill="1" applyBorder="1" applyAlignment="1" applyProtection="1">
      <alignment vertical="center"/>
      <protection hidden="1"/>
    </xf>
    <xf numFmtId="3" fontId="10" fillId="17" borderId="8" xfId="2" applyNumberFormat="1" applyFont="1" applyFill="1" applyBorder="1" applyAlignment="1" applyProtection="1">
      <alignment vertical="center"/>
      <protection hidden="1"/>
    </xf>
    <xf numFmtId="3" fontId="10" fillId="0" borderId="134" xfId="2" applyNumberFormat="1" applyFont="1" applyFill="1" applyBorder="1" applyAlignment="1" applyProtection="1">
      <alignment vertical="center"/>
      <protection locked="0"/>
    </xf>
    <xf numFmtId="3" fontId="10" fillId="17" borderId="62" xfId="2" applyNumberFormat="1" applyFont="1" applyFill="1" applyBorder="1" applyAlignment="1" applyProtection="1">
      <alignment vertical="center"/>
      <protection hidden="1"/>
    </xf>
    <xf numFmtId="3" fontId="10" fillId="17" borderId="69" xfId="2" applyNumberFormat="1" applyFont="1" applyFill="1" applyBorder="1" applyAlignment="1" applyProtection="1">
      <alignment vertical="center"/>
      <protection hidden="1"/>
    </xf>
    <xf numFmtId="3" fontId="10" fillId="17" borderId="58" xfId="2" applyNumberFormat="1" applyFont="1" applyFill="1" applyBorder="1" applyAlignment="1" applyProtection="1">
      <alignment vertical="center"/>
      <protection hidden="1"/>
    </xf>
    <xf numFmtId="3" fontId="10" fillId="17" borderId="48" xfId="2" applyNumberFormat="1" applyFont="1" applyFill="1" applyBorder="1" applyAlignment="1" applyProtection="1">
      <alignment vertical="center"/>
      <protection hidden="1"/>
    </xf>
    <xf numFmtId="3" fontId="10" fillId="0" borderId="23" xfId="2" applyNumberFormat="1" applyFont="1" applyFill="1" applyBorder="1" applyAlignment="1" applyProtection="1">
      <alignment vertical="center"/>
      <protection hidden="1"/>
    </xf>
    <xf numFmtId="0" fontId="29" fillId="0" borderId="0" xfId="2" applyFont="1" applyAlignment="1" applyProtection="1">
      <alignment vertical="center"/>
    </xf>
    <xf numFmtId="0" fontId="22" fillId="0" borderId="0" xfId="2" applyFont="1"/>
    <xf numFmtId="0" fontId="129" fillId="0" borderId="0" xfId="2" applyFont="1" applyAlignment="1">
      <alignment vertical="top"/>
    </xf>
    <xf numFmtId="0" fontId="12" fillId="0" borderId="0" xfId="2" applyFont="1" applyBorder="1" applyAlignment="1">
      <alignment vertical="top"/>
    </xf>
    <xf numFmtId="0" fontId="129" fillId="0" borderId="0" xfId="2" applyFont="1" applyBorder="1" applyAlignment="1">
      <alignment vertical="top"/>
    </xf>
    <xf numFmtId="0" fontId="12" fillId="0" borderId="0" xfId="2" applyFont="1" applyAlignment="1">
      <alignment horizontal="left" indent="1"/>
    </xf>
    <xf numFmtId="3" fontId="9" fillId="17" borderId="58" xfId="2" applyNumberFormat="1" applyFont="1" applyFill="1" applyBorder="1" applyProtection="1">
      <protection hidden="1"/>
    </xf>
    <xf numFmtId="0" fontId="130" fillId="16" borderId="126" xfId="2" applyFont="1" applyFill="1" applyBorder="1" applyAlignment="1">
      <alignment vertical="center"/>
    </xf>
    <xf numFmtId="0" fontId="130" fillId="16" borderId="135" xfId="2" applyFont="1" applyFill="1" applyBorder="1" applyAlignment="1">
      <alignment vertical="center"/>
    </xf>
    <xf numFmtId="0" fontId="130" fillId="16" borderId="136" xfId="2" applyFont="1" applyFill="1" applyBorder="1" applyAlignment="1">
      <alignment vertical="center"/>
    </xf>
    <xf numFmtId="0" fontId="131" fillId="0" borderId="0" xfId="2" applyFont="1" applyAlignment="1">
      <alignment vertical="top"/>
    </xf>
    <xf numFmtId="0" fontId="110" fillId="0" borderId="0" xfId="2" applyFont="1" applyAlignment="1">
      <alignment vertical="top"/>
    </xf>
    <xf numFmtId="0" fontId="12" fillId="0" borderId="0" xfId="2" applyFont="1" applyAlignment="1">
      <alignment horizontal="center" vertical="top"/>
    </xf>
    <xf numFmtId="0" fontId="109" fillId="0" borderId="74" xfId="2" applyFont="1" applyBorder="1" applyAlignment="1">
      <alignment vertical="top"/>
    </xf>
    <xf numFmtId="0" fontId="132" fillId="0" borderId="0" xfId="2" applyFont="1" applyAlignment="1">
      <alignment horizontal="right" vertical="top"/>
    </xf>
    <xf numFmtId="0" fontId="122" fillId="0" borderId="0" xfId="2" applyFont="1"/>
    <xf numFmtId="0" fontId="1" fillId="0" borderId="79" xfId="2" applyFont="1" applyFill="1" applyBorder="1"/>
    <xf numFmtId="0" fontId="15" fillId="0" borderId="0" xfId="2" applyFont="1" applyAlignment="1">
      <alignment horizontal="center" vertical="top"/>
    </xf>
    <xf numFmtId="0" fontId="29" fillId="0" borderId="0" xfId="2" applyFont="1" applyAlignment="1">
      <alignment horizontal="left" vertical="center" indent="1"/>
    </xf>
    <xf numFmtId="0" fontId="15" fillId="0" borderId="0" xfId="2" applyFont="1" applyAlignment="1">
      <alignment horizontal="left" vertical="center" indent="1"/>
    </xf>
    <xf numFmtId="0" fontId="12" fillId="0" borderId="4" xfId="2" applyFont="1" applyBorder="1" applyAlignment="1">
      <alignment vertical="top"/>
    </xf>
    <xf numFmtId="0" fontId="122" fillId="0" borderId="137" xfId="2" applyFont="1" applyBorder="1" applyAlignment="1">
      <alignment vertical="top"/>
    </xf>
    <xf numFmtId="0" fontId="12" fillId="0" borderId="0" xfId="2" applyFont="1" applyFill="1" applyAlignment="1">
      <alignment vertical="top"/>
    </xf>
    <xf numFmtId="0" fontId="126" fillId="0" borderId="0" xfId="2" applyFont="1" applyBorder="1"/>
    <xf numFmtId="0" fontId="29" fillId="0" borderId="0" xfId="2" applyFont="1"/>
    <xf numFmtId="9" fontId="110" fillId="16" borderId="4" xfId="2" applyNumberFormat="1" applyFont="1" applyFill="1" applyBorder="1" applyAlignment="1" applyProtection="1">
      <alignment horizontal="right"/>
      <protection locked="0" hidden="1"/>
    </xf>
    <xf numFmtId="0" fontId="16" fillId="16" borderId="13" xfId="2" applyFont="1" applyFill="1" applyBorder="1"/>
    <xf numFmtId="0" fontId="9" fillId="0" borderId="0" xfId="2" applyFont="1" applyFill="1" applyBorder="1" applyAlignment="1" applyProtection="1">
      <alignment vertical="top"/>
    </xf>
    <xf numFmtId="0" fontId="9" fillId="0" borderId="0" xfId="2" applyFont="1" applyAlignment="1" applyProtection="1">
      <alignment vertical="top"/>
    </xf>
    <xf numFmtId="0" fontId="9" fillId="0" borderId="0" xfId="2" applyFont="1" applyFill="1" applyAlignment="1" applyProtection="1">
      <alignment vertical="top"/>
    </xf>
    <xf numFmtId="3" fontId="9" fillId="24" borderId="35" xfId="2" applyNumberFormat="1" applyFont="1" applyFill="1" applyBorder="1" applyAlignment="1" applyProtection="1">
      <alignment vertical="center"/>
    </xf>
    <xf numFmtId="3" fontId="9" fillId="3" borderId="35" xfId="2" applyNumberFormat="1" applyFont="1" applyFill="1" applyBorder="1" applyAlignment="1" applyProtection="1">
      <alignment vertical="center"/>
    </xf>
    <xf numFmtId="3" fontId="9" fillId="15" borderId="35" xfId="2" applyNumberFormat="1" applyFont="1" applyFill="1" applyBorder="1" applyAlignment="1" applyProtection="1">
      <alignment vertical="center"/>
    </xf>
    <xf numFmtId="0" fontId="9" fillId="0" borderId="0" xfId="2" applyFont="1" applyFill="1" applyAlignment="1" applyProtection="1">
      <alignment vertical="center"/>
    </xf>
    <xf numFmtId="3" fontId="9" fillId="0" borderId="0" xfId="2" applyNumberFormat="1" applyFont="1" applyFill="1" applyAlignment="1" applyProtection="1">
      <alignment vertical="center"/>
    </xf>
    <xf numFmtId="3" fontId="9" fillId="0" borderId="0" xfId="2" applyNumberFormat="1" applyFont="1" applyFill="1" applyBorder="1" applyAlignment="1" applyProtection="1">
      <alignment vertical="center"/>
    </xf>
    <xf numFmtId="3" fontId="9" fillId="18" borderId="35" xfId="2" applyNumberFormat="1" applyFont="1" applyFill="1" applyBorder="1" applyAlignment="1" applyProtection="1">
      <alignment vertical="center"/>
    </xf>
    <xf numFmtId="3" fontId="9" fillId="0" borderId="0" xfId="2" applyNumberFormat="1" applyFont="1" applyFill="1" applyAlignment="1" applyProtection="1">
      <alignment vertical="top"/>
    </xf>
    <xf numFmtId="3" fontId="9" fillId="15" borderId="35" xfId="2" applyNumberFormat="1" applyFont="1" applyFill="1" applyBorder="1" applyAlignment="1" applyProtection="1">
      <alignment vertical="top"/>
    </xf>
    <xf numFmtId="3" fontId="9" fillId="3" borderId="35" xfId="2" applyNumberFormat="1" applyFont="1" applyFill="1" applyBorder="1" applyAlignment="1" applyProtection="1">
      <alignment vertical="top"/>
    </xf>
    <xf numFmtId="164" fontId="9" fillId="15" borderId="35" xfId="2" applyNumberFormat="1" applyFont="1" applyFill="1" applyBorder="1" applyAlignment="1" applyProtection="1">
      <alignment horizontal="right" vertical="top"/>
    </xf>
    <xf numFmtId="3" fontId="9" fillId="0" borderId="0" xfId="2" applyNumberFormat="1" applyFont="1" applyFill="1" applyAlignment="1" applyProtection="1">
      <alignment horizontal="right" vertical="top"/>
    </xf>
    <xf numFmtId="164" fontId="9" fillId="3" borderId="35" xfId="2" applyNumberFormat="1" applyFont="1" applyFill="1" applyBorder="1" applyAlignment="1" applyProtection="1">
      <alignment horizontal="right" vertical="top"/>
    </xf>
    <xf numFmtId="3" fontId="9" fillId="24" borderId="35" xfId="2" applyNumberFormat="1" applyFont="1" applyFill="1" applyBorder="1" applyAlignment="1" applyProtection="1">
      <alignment vertical="top"/>
    </xf>
    <xf numFmtId="3" fontId="9" fillId="18" borderId="35" xfId="2" applyNumberFormat="1" applyFont="1" applyFill="1" applyBorder="1" applyAlignment="1" applyProtection="1">
      <alignment vertical="top"/>
    </xf>
    <xf numFmtId="3" fontId="9" fillId="24" borderId="37" xfId="2" applyNumberFormat="1" applyFont="1" applyFill="1" applyBorder="1" applyAlignment="1" applyProtection="1">
      <alignment vertical="top"/>
    </xf>
    <xf numFmtId="3" fontId="9" fillId="18" borderId="37" xfId="2" applyNumberFormat="1" applyFont="1" applyFill="1" applyBorder="1" applyAlignment="1" applyProtection="1">
      <alignment vertical="top"/>
    </xf>
    <xf numFmtId="0" fontId="2" fillId="0" borderId="0" xfId="2" applyFont="1" applyFill="1" applyAlignment="1" applyProtection="1">
      <alignment vertical="top"/>
    </xf>
    <xf numFmtId="0" fontId="9" fillId="0" borderId="0" xfId="2" applyFont="1" applyFill="1" applyBorder="1" applyAlignment="1" applyProtection="1">
      <alignment vertical="center"/>
      <protection hidden="1"/>
    </xf>
    <xf numFmtId="3" fontId="9" fillId="17" borderId="41" xfId="2" applyNumberFormat="1" applyFont="1" applyFill="1" applyBorder="1" applyProtection="1">
      <protection hidden="1"/>
    </xf>
    <xf numFmtId="3" fontId="9" fillId="16" borderId="58" xfId="2" applyNumberFormat="1" applyFont="1" applyFill="1" applyBorder="1" applyProtection="1">
      <protection hidden="1"/>
    </xf>
    <xf numFmtId="3" fontId="9" fillId="17" borderId="43" xfId="2" applyNumberFormat="1" applyFont="1" applyFill="1" applyBorder="1" applyProtection="1">
      <protection hidden="1"/>
    </xf>
    <xf numFmtId="3" fontId="9" fillId="16" borderId="43" xfId="2" applyNumberFormat="1" applyFont="1" applyFill="1" applyBorder="1" applyProtection="1">
      <protection hidden="1"/>
    </xf>
    <xf numFmtId="3" fontId="46" fillId="17" borderId="0" xfId="2" applyNumberFormat="1" applyFont="1" applyFill="1" applyProtection="1">
      <protection hidden="1"/>
    </xf>
    <xf numFmtId="3" fontId="46" fillId="17" borderId="41" xfId="2" applyNumberFormat="1" applyFont="1" applyFill="1" applyBorder="1" applyProtection="1">
      <protection hidden="1"/>
    </xf>
    <xf numFmtId="3" fontId="46" fillId="17" borderId="58" xfId="2" applyNumberFormat="1" applyFont="1" applyFill="1" applyBorder="1" applyProtection="1">
      <protection hidden="1"/>
    </xf>
    <xf numFmtId="3" fontId="46" fillId="16" borderId="58" xfId="2" applyNumberFormat="1" applyFont="1" applyFill="1" applyBorder="1" applyProtection="1">
      <protection hidden="1"/>
    </xf>
    <xf numFmtId="3" fontId="133" fillId="17" borderId="58" xfId="0" applyNumberFormat="1" applyFont="1" applyFill="1" applyBorder="1" applyProtection="1">
      <protection hidden="1"/>
    </xf>
    <xf numFmtId="3" fontId="133" fillId="17" borderId="43" xfId="0" applyNumberFormat="1" applyFont="1" applyFill="1" applyBorder="1" applyProtection="1">
      <protection hidden="1"/>
    </xf>
    <xf numFmtId="3" fontId="133" fillId="17" borderId="0" xfId="0" applyNumberFormat="1" applyFont="1" applyFill="1" applyProtection="1">
      <protection hidden="1"/>
    </xf>
    <xf numFmtId="3" fontId="133" fillId="17" borderId="41" xfId="0" applyNumberFormat="1" applyFont="1" applyFill="1" applyBorder="1" applyProtection="1">
      <protection hidden="1"/>
    </xf>
    <xf numFmtId="3" fontId="9" fillId="17" borderId="41" xfId="2" applyNumberFormat="1" applyFont="1" applyFill="1" applyBorder="1" applyAlignment="1" applyProtection="1">
      <alignment horizontal="right"/>
      <protection hidden="1"/>
    </xf>
    <xf numFmtId="3" fontId="133" fillId="17" borderId="13" xfId="0" applyNumberFormat="1" applyFont="1" applyFill="1" applyBorder="1" applyProtection="1">
      <protection hidden="1"/>
    </xf>
    <xf numFmtId="3" fontId="133" fillId="17" borderId="0" xfId="0" applyNumberFormat="1" applyFont="1" applyFill="1" applyAlignment="1" applyProtection="1">
      <alignment vertical="top"/>
      <protection hidden="1"/>
    </xf>
    <xf numFmtId="3" fontId="133" fillId="17" borderId="41" xfId="0" applyNumberFormat="1" applyFont="1" applyFill="1" applyBorder="1" applyAlignment="1" applyProtection="1">
      <alignment vertical="top"/>
      <protection hidden="1"/>
    </xf>
    <xf numFmtId="3" fontId="9" fillId="17" borderId="58" xfId="2" applyNumberFormat="1" applyFont="1" applyFill="1" applyBorder="1" applyAlignment="1" applyProtection="1">
      <alignment vertical="top"/>
      <protection hidden="1"/>
    </xf>
    <xf numFmtId="3" fontId="9" fillId="16" borderId="58" xfId="2" applyNumberFormat="1" applyFont="1" applyFill="1" applyBorder="1" applyAlignment="1" applyProtection="1">
      <alignment vertical="top"/>
      <protection hidden="1"/>
    </xf>
    <xf numFmtId="3" fontId="133" fillId="17" borderId="58" xfId="0" applyNumberFormat="1" applyFont="1" applyFill="1" applyBorder="1" applyAlignment="1" applyProtection="1">
      <alignment vertical="top"/>
      <protection hidden="1"/>
    </xf>
    <xf numFmtId="0" fontId="12" fillId="0" borderId="0" xfId="2" applyFont="1" applyProtection="1">
      <protection hidden="1"/>
    </xf>
    <xf numFmtId="0" fontId="12" fillId="0" borderId="138" xfId="2" applyFont="1" applyBorder="1"/>
    <xf numFmtId="0" fontId="135" fillId="0" borderId="0" xfId="2" applyFont="1" applyBorder="1"/>
    <xf numFmtId="0" fontId="28" fillId="0" borderId="0" xfId="1" applyFont="1" applyAlignment="1" applyProtection="1"/>
    <xf numFmtId="0" fontId="40" fillId="2" borderId="80" xfId="2" applyFont="1" applyFill="1" applyBorder="1" applyAlignment="1">
      <alignment horizontal="left" vertical="top"/>
    </xf>
    <xf numFmtId="0" fontId="11" fillId="2" borderId="81" xfId="2" applyFont="1" applyFill="1" applyBorder="1" applyAlignment="1">
      <alignment vertical="top"/>
    </xf>
    <xf numFmtId="0" fontId="11" fillId="2" borderId="82" xfId="2" applyFont="1" applyFill="1" applyBorder="1" applyAlignment="1">
      <alignment vertical="top"/>
    </xf>
    <xf numFmtId="0" fontId="40" fillId="2" borderId="81" xfId="2" applyFont="1" applyFill="1" applyBorder="1" applyAlignment="1">
      <alignment horizontal="left" vertical="top"/>
    </xf>
    <xf numFmtId="0" fontId="40" fillId="2" borderId="81" xfId="2" applyFont="1" applyFill="1" applyBorder="1" applyAlignment="1">
      <alignment vertical="top"/>
    </xf>
    <xf numFmtId="0" fontId="11" fillId="2" borderId="81" xfId="2" applyFont="1" applyFill="1" applyBorder="1"/>
    <xf numFmtId="0" fontId="11" fillId="2" borderId="82" xfId="2" applyFont="1" applyFill="1" applyBorder="1"/>
    <xf numFmtId="0" fontId="92" fillId="2" borderId="80" xfId="2" applyFont="1" applyFill="1" applyBorder="1" applyAlignment="1">
      <alignment horizontal="left" vertical="top"/>
    </xf>
    <xf numFmtId="0" fontId="93" fillId="2" borderId="81" xfId="2" applyFont="1" applyFill="1" applyBorder="1" applyAlignment="1">
      <alignment horizontal="left" vertical="top"/>
    </xf>
    <xf numFmtId="0" fontId="93" fillId="2" borderId="81" xfId="2" applyFont="1" applyFill="1" applyBorder="1" applyAlignment="1">
      <alignment vertical="top"/>
    </xf>
    <xf numFmtId="0" fontId="93" fillId="2" borderId="80" xfId="2" applyFont="1" applyFill="1" applyBorder="1" applyAlignment="1">
      <alignment horizontal="left" vertical="top"/>
    </xf>
    <xf numFmtId="0" fontId="69" fillId="2" borderId="83" xfId="2" applyFont="1" applyFill="1" applyBorder="1" applyAlignment="1">
      <alignment horizontal="left" vertical="top"/>
    </xf>
    <xf numFmtId="0" fontId="11" fillId="2" borderId="68" xfId="2" applyFont="1" applyFill="1" applyBorder="1" applyAlignment="1">
      <alignment vertical="top"/>
    </xf>
    <xf numFmtId="0" fontId="11" fillId="2" borderId="84" xfId="2" applyFont="1" applyFill="1" applyBorder="1" applyAlignment="1">
      <alignment vertical="top"/>
    </xf>
    <xf numFmtId="0" fontId="69" fillId="2" borderId="68" xfId="2" applyFont="1" applyFill="1" applyBorder="1" applyAlignment="1">
      <alignment horizontal="left" vertical="top"/>
    </xf>
    <xf numFmtId="0" fontId="69" fillId="2" borderId="68" xfId="2" applyFont="1" applyFill="1" applyBorder="1" applyAlignment="1">
      <alignment vertical="top"/>
    </xf>
    <xf numFmtId="0" fontId="11" fillId="2" borderId="68" xfId="2" applyFont="1" applyFill="1" applyBorder="1"/>
    <xf numFmtId="0" fontId="11" fillId="2" borderId="84" xfId="2" applyFont="1" applyFill="1" applyBorder="1"/>
    <xf numFmtId="0" fontId="29" fillId="0" borderId="0" xfId="2" applyFont="1" applyBorder="1"/>
    <xf numFmtId="0" fontId="12" fillId="0" borderId="85" xfId="2" applyFont="1" applyBorder="1"/>
    <xf numFmtId="0" fontId="31" fillId="0" borderId="0" xfId="2" applyFont="1"/>
    <xf numFmtId="0" fontId="12" fillId="0" borderId="86" xfId="2" applyFont="1" applyBorder="1"/>
    <xf numFmtId="0" fontId="33" fillId="0" borderId="86" xfId="2" applyFont="1" applyBorder="1"/>
    <xf numFmtId="0" fontId="12" fillId="0" borderId="87" xfId="2" applyFont="1" applyBorder="1"/>
    <xf numFmtId="0" fontId="94" fillId="0" borderId="86" xfId="2" applyFont="1" applyBorder="1"/>
    <xf numFmtId="0" fontId="89" fillId="0" borderId="86" xfId="2" applyFont="1" applyBorder="1" applyAlignment="1">
      <alignment horizontal="center"/>
    </xf>
    <xf numFmtId="0" fontId="89" fillId="0" borderId="87" xfId="2" applyFont="1" applyBorder="1" applyAlignment="1">
      <alignment horizontal="center"/>
    </xf>
    <xf numFmtId="0" fontId="33" fillId="0" borderId="85" xfId="2" applyFont="1" applyBorder="1" applyAlignment="1">
      <alignment horizontal="center"/>
    </xf>
    <xf numFmtId="0" fontId="33" fillId="0" borderId="88" xfId="2" applyFont="1" applyBorder="1" applyAlignment="1">
      <alignment horizontal="center"/>
    </xf>
    <xf numFmtId="0" fontId="94" fillId="0" borderId="19" xfId="2" applyFont="1" applyBorder="1" applyAlignment="1">
      <alignment horizontal="center"/>
    </xf>
    <xf numFmtId="0" fontId="94" fillId="0" borderId="85" xfId="2" applyFont="1" applyBorder="1" applyAlignment="1">
      <alignment horizontal="center"/>
    </xf>
    <xf numFmtId="0" fontId="94" fillId="0" borderId="88" xfId="2" applyFont="1" applyBorder="1" applyAlignment="1">
      <alignment horizontal="center"/>
    </xf>
    <xf numFmtId="0" fontId="12" fillId="0" borderId="19" xfId="2" applyFont="1" applyBorder="1" applyAlignment="1">
      <alignment horizontal="center"/>
    </xf>
    <xf numFmtId="0" fontId="12" fillId="0" borderId="89" xfId="2" applyFont="1" applyBorder="1" applyAlignment="1">
      <alignment horizontal="center"/>
    </xf>
    <xf numFmtId="0" fontId="12" fillId="0" borderId="90" xfId="2" applyFont="1" applyBorder="1" applyAlignment="1">
      <alignment horizontal="center"/>
    </xf>
    <xf numFmtId="0" fontId="12" fillId="0" borderId="91" xfId="2" applyFont="1" applyBorder="1" applyAlignment="1">
      <alignment horizontal="center"/>
    </xf>
    <xf numFmtId="0" fontId="12" fillId="0" borderId="85" xfId="2" applyFont="1" applyBorder="1" applyAlignment="1">
      <alignment horizontal="center"/>
    </xf>
    <xf numFmtId="0" fontId="12" fillId="0" borderId="88" xfId="2" applyFont="1" applyBorder="1" applyAlignment="1">
      <alignment horizontal="center"/>
    </xf>
    <xf numFmtId="49" fontId="31" fillId="11" borderId="85" xfId="2" applyNumberFormat="1" applyFont="1" applyFill="1" applyBorder="1" applyAlignment="1">
      <alignment horizontal="left"/>
    </xf>
    <xf numFmtId="49" fontId="12" fillId="11" borderId="85" xfId="2" applyNumberFormat="1" applyFont="1" applyFill="1" applyBorder="1" applyAlignment="1">
      <alignment horizontal="center"/>
    </xf>
    <xf numFmtId="49" fontId="12" fillId="11" borderId="88" xfId="2" applyNumberFormat="1" applyFont="1" applyFill="1" applyBorder="1" applyAlignment="1">
      <alignment horizontal="center"/>
    </xf>
    <xf numFmtId="49" fontId="12" fillId="11" borderId="19" xfId="2" applyNumberFormat="1" applyFont="1" applyFill="1" applyBorder="1" applyAlignment="1">
      <alignment horizontal="center"/>
    </xf>
    <xf numFmtId="0" fontId="95" fillId="0" borderId="85" xfId="2" applyFont="1" applyBorder="1" applyAlignment="1">
      <alignment horizontal="center"/>
    </xf>
    <xf numFmtId="49" fontId="12" fillId="0" borderId="88" xfId="2" applyNumberFormat="1" applyFont="1" applyBorder="1" applyAlignment="1">
      <alignment horizontal="center"/>
    </xf>
    <xf numFmtId="0" fontId="12" fillId="0" borderId="85" xfId="2" applyFont="1" applyBorder="1" applyAlignment="1">
      <alignment horizontal="left"/>
    </xf>
    <xf numFmtId="49" fontId="31" fillId="11" borderId="85" xfId="2" applyNumberFormat="1" applyFont="1" applyFill="1" applyBorder="1" applyAlignment="1">
      <alignment horizontal="left" indent="1"/>
    </xf>
    <xf numFmtId="16" fontId="12" fillId="0" borderId="85" xfId="2" applyNumberFormat="1" applyFont="1" applyBorder="1" applyAlignment="1">
      <alignment horizontal="center"/>
    </xf>
    <xf numFmtId="0" fontId="31" fillId="0" borderId="85" xfId="2" applyFont="1" applyBorder="1" applyAlignment="1">
      <alignment horizontal="center"/>
    </xf>
    <xf numFmtId="0" fontId="31" fillId="0" borderId="19" xfId="2" applyFont="1" applyBorder="1" applyAlignment="1">
      <alignment horizontal="center"/>
    </xf>
    <xf numFmtId="0" fontId="12" fillId="0" borderId="88" xfId="2" applyFont="1" applyBorder="1"/>
    <xf numFmtId="0" fontId="95" fillId="0" borderId="19" xfId="2" applyFont="1" applyBorder="1" applyAlignment="1">
      <alignment horizontal="center"/>
    </xf>
    <xf numFmtId="49" fontId="12" fillId="11" borderId="85" xfId="2" applyNumberFormat="1" applyFont="1" applyFill="1" applyBorder="1" applyAlignment="1">
      <alignment horizontal="left"/>
    </xf>
    <xf numFmtId="0" fontId="38" fillId="0" borderId="0" xfId="2" applyFont="1" applyBorder="1"/>
    <xf numFmtId="0" fontId="54" fillId="0" borderId="0" xfId="2" applyFont="1" applyBorder="1"/>
    <xf numFmtId="0" fontId="131" fillId="26" borderId="85" xfId="2" applyFont="1" applyFill="1" applyBorder="1" applyAlignment="1">
      <alignment horizontal="center"/>
    </xf>
    <xf numFmtId="0" fontId="131" fillId="26" borderId="88" xfId="2" applyFont="1" applyFill="1" applyBorder="1" applyAlignment="1">
      <alignment horizontal="center"/>
    </xf>
    <xf numFmtId="0" fontId="131" fillId="26" borderId="85" xfId="2" applyFont="1" applyFill="1" applyBorder="1" applyAlignment="1">
      <alignment horizontal="left"/>
    </xf>
    <xf numFmtId="0" fontId="131" fillId="26" borderId="88" xfId="2" applyFont="1" applyFill="1" applyBorder="1" applyAlignment="1">
      <alignment horizontal="left"/>
    </xf>
    <xf numFmtId="0" fontId="31" fillId="0" borderId="85" xfId="2" applyFont="1" applyBorder="1" applyAlignment="1">
      <alignment horizontal="right"/>
    </xf>
    <xf numFmtId="0" fontId="11" fillId="0" borderId="138" xfId="2" applyFont="1" applyBorder="1" applyProtection="1">
      <protection hidden="1"/>
    </xf>
    <xf numFmtId="0" fontId="12" fillId="0" borderId="138" xfId="2" applyFont="1" applyBorder="1" applyProtection="1">
      <protection hidden="1"/>
    </xf>
    <xf numFmtId="0" fontId="12" fillId="0" borderId="139" xfId="2" applyFont="1" applyBorder="1" applyProtection="1">
      <protection hidden="1"/>
    </xf>
    <xf numFmtId="0" fontId="12" fillId="0" borderId="92" xfId="2" applyFont="1" applyBorder="1" applyProtection="1">
      <protection hidden="1"/>
    </xf>
    <xf numFmtId="0" fontId="135" fillId="0" borderId="0" xfId="2" applyFont="1"/>
    <xf numFmtId="0" fontId="15" fillId="0" borderId="0" xfId="2" applyFont="1" applyAlignment="1">
      <alignment vertical="top"/>
    </xf>
    <xf numFmtId="3" fontId="11" fillId="17" borderId="7" xfId="2" applyNumberFormat="1" applyFont="1" applyFill="1" applyBorder="1" applyAlignment="1" applyProtection="1"/>
    <xf numFmtId="3" fontId="11" fillId="17" borderId="4" xfId="2" applyNumberFormat="1" applyFont="1" applyFill="1" applyBorder="1" applyAlignment="1" applyProtection="1"/>
    <xf numFmtId="0" fontId="11" fillId="15" borderId="38" xfId="2" applyFont="1" applyFill="1" applyBorder="1" applyAlignment="1" applyProtection="1">
      <alignment vertical="top"/>
      <protection hidden="1"/>
    </xf>
    <xf numFmtId="0" fontId="11" fillId="15" borderId="56" xfId="2" applyFont="1" applyFill="1" applyBorder="1" applyAlignment="1" applyProtection="1">
      <alignment vertical="top"/>
      <protection hidden="1"/>
    </xf>
    <xf numFmtId="9" fontId="112" fillId="15" borderId="121" xfId="2" applyNumberFormat="1" applyFont="1" applyFill="1" applyBorder="1" applyAlignment="1" applyProtection="1">
      <alignment vertical="center"/>
    </xf>
    <xf numFmtId="0" fontId="11" fillId="15" borderId="122" xfId="2" applyFont="1" applyFill="1" applyBorder="1" applyAlignment="1" applyProtection="1">
      <alignment vertical="top"/>
      <protection hidden="1"/>
    </xf>
    <xf numFmtId="0" fontId="12" fillId="0" borderId="140" xfId="2" applyFont="1" applyBorder="1" applyAlignment="1">
      <alignment vertical="top"/>
    </xf>
    <xf numFmtId="0" fontId="12" fillId="0" borderId="141" xfId="2" applyFont="1" applyBorder="1" applyAlignment="1">
      <alignment vertical="top"/>
    </xf>
    <xf numFmtId="0" fontId="12" fillId="0" borderId="142" xfId="2" applyFont="1" applyBorder="1" applyAlignment="1">
      <alignment vertical="top"/>
    </xf>
    <xf numFmtId="0" fontId="12" fillId="0" borderId="143" xfId="2" applyFont="1" applyBorder="1" applyAlignment="1">
      <alignment vertical="top"/>
    </xf>
    <xf numFmtId="0" fontId="12" fillId="17" borderId="144" xfId="2" applyFont="1" applyFill="1" applyBorder="1" applyAlignment="1">
      <alignment vertical="top"/>
    </xf>
    <xf numFmtId="0" fontId="12" fillId="17" borderId="143" xfId="2" applyFont="1" applyFill="1" applyBorder="1" applyAlignment="1">
      <alignment vertical="top"/>
    </xf>
    <xf numFmtId="0" fontId="12" fillId="17" borderId="145" xfId="2" applyFont="1" applyFill="1" applyBorder="1" applyAlignment="1">
      <alignment vertical="top"/>
    </xf>
    <xf numFmtId="0" fontId="12" fillId="0" borderId="146" xfId="2" applyFont="1" applyBorder="1" applyAlignment="1">
      <alignment vertical="top"/>
    </xf>
    <xf numFmtId="0" fontId="12" fillId="17" borderId="147" xfId="2" applyFont="1" applyFill="1" applyBorder="1" applyAlignment="1">
      <alignment vertical="top"/>
    </xf>
    <xf numFmtId="0" fontId="12" fillId="17" borderId="148" xfId="2" applyFont="1" applyFill="1" applyBorder="1" applyAlignment="1">
      <alignment vertical="top"/>
    </xf>
    <xf numFmtId="0" fontId="12" fillId="17" borderId="149" xfId="2" applyFont="1" applyFill="1" applyBorder="1" applyAlignment="1">
      <alignment vertical="top"/>
    </xf>
    <xf numFmtId="0" fontId="11" fillId="0" borderId="0" xfId="2" applyFont="1" applyAlignment="1">
      <alignment horizontal="right" vertical="top" indent="1"/>
    </xf>
    <xf numFmtId="0" fontId="122" fillId="27" borderId="23" xfId="2" applyFont="1" applyFill="1" applyBorder="1" applyAlignment="1">
      <alignment horizontal="center"/>
    </xf>
    <xf numFmtId="0" fontId="137" fillId="27" borderId="23" xfId="2" applyFont="1" applyFill="1" applyBorder="1" applyAlignment="1">
      <alignment horizontal="center"/>
    </xf>
    <xf numFmtId="0" fontId="122" fillId="28" borderId="23" xfId="2" applyFont="1" applyFill="1" applyBorder="1" applyAlignment="1">
      <alignment horizontal="center"/>
    </xf>
    <xf numFmtId="3" fontId="139" fillId="17" borderId="43" xfId="2" applyNumberFormat="1" applyFont="1" applyFill="1" applyBorder="1" applyAlignment="1" applyProtection="1">
      <alignment vertical="center"/>
      <protection hidden="1"/>
    </xf>
    <xf numFmtId="3" fontId="139" fillId="17" borderId="75" xfId="2" applyNumberFormat="1" applyFont="1" applyFill="1" applyBorder="1" applyAlignment="1" applyProtection="1">
      <alignment vertical="center"/>
      <protection hidden="1"/>
    </xf>
    <xf numFmtId="3" fontId="139" fillId="17" borderId="93" xfId="2" applyNumberFormat="1" applyFont="1" applyFill="1" applyBorder="1" applyAlignment="1" applyProtection="1">
      <alignment vertical="center"/>
      <protection hidden="1"/>
    </xf>
    <xf numFmtId="0" fontId="15" fillId="17" borderId="3" xfId="2" applyFont="1" applyFill="1" applyBorder="1" applyAlignment="1" applyProtection="1">
      <alignment vertical="center"/>
    </xf>
    <xf numFmtId="0" fontId="7" fillId="17" borderId="0" xfId="2" applyFont="1" applyFill="1" applyBorder="1" applyAlignment="1" applyProtection="1">
      <alignment horizontal="right"/>
    </xf>
    <xf numFmtId="0" fontId="11" fillId="17" borderId="66" xfId="2" applyFont="1" applyFill="1" applyBorder="1" applyAlignment="1" applyProtection="1">
      <alignment vertical="center"/>
    </xf>
    <xf numFmtId="0" fontId="1" fillId="17" borderId="60" xfId="2" applyFill="1" applyBorder="1" applyProtection="1"/>
    <xf numFmtId="0" fontId="7" fillId="17" borderId="60" xfId="2" applyFont="1" applyFill="1" applyBorder="1" applyAlignment="1" applyProtection="1">
      <alignment horizontal="right"/>
    </xf>
    <xf numFmtId="9" fontId="11" fillId="17" borderId="0" xfId="12" applyFont="1" applyFill="1" applyBorder="1" applyAlignment="1" applyProtection="1">
      <alignment horizontal="center"/>
    </xf>
    <xf numFmtId="0" fontId="11" fillId="17" borderId="0" xfId="2" applyFont="1" applyFill="1" applyBorder="1" applyAlignment="1" applyProtection="1">
      <alignment horizontal="right"/>
    </xf>
    <xf numFmtId="0" fontId="16" fillId="17" borderId="3" xfId="2" applyFont="1" applyFill="1" applyBorder="1" applyAlignment="1" applyProtection="1">
      <alignment vertical="center"/>
    </xf>
    <xf numFmtId="0" fontId="11" fillId="17" borderId="7" xfId="2" applyFont="1" applyFill="1" applyBorder="1" applyAlignment="1" applyProtection="1">
      <alignment horizontal="left" vertical="center"/>
    </xf>
    <xf numFmtId="0" fontId="16" fillId="17" borderId="4" xfId="2" applyFont="1" applyFill="1" applyBorder="1" applyAlignment="1" applyProtection="1">
      <alignment horizontal="left" indent="2"/>
    </xf>
    <xf numFmtId="0" fontId="2" fillId="17" borderId="4" xfId="2" applyFont="1" applyFill="1" applyBorder="1" applyProtection="1"/>
    <xf numFmtId="0" fontId="62" fillId="17" borderId="4" xfId="0" applyFont="1" applyFill="1" applyBorder="1" applyAlignment="1" applyProtection="1">
      <alignment horizontal="center" vertical="center" wrapText="1"/>
    </xf>
    <xf numFmtId="0" fontId="7" fillId="17" borderId="4" xfId="2" applyFont="1" applyFill="1" applyBorder="1" applyAlignment="1" applyProtection="1">
      <alignment horizontal="right"/>
    </xf>
    <xf numFmtId="0" fontId="17" fillId="17" borderId="4" xfId="2" applyFont="1" applyFill="1" applyBorder="1" applyAlignment="1" applyProtection="1">
      <alignment horizontal="right" indent="2"/>
    </xf>
    <xf numFmtId="0" fontId="1" fillId="17" borderId="13" xfId="2" applyFill="1" applyBorder="1" applyAlignment="1" applyProtection="1">
      <alignment vertical="center"/>
    </xf>
    <xf numFmtId="0" fontId="11" fillId="17" borderId="1" xfId="2" applyFont="1" applyFill="1" applyBorder="1" applyAlignment="1" applyProtection="1">
      <alignment horizontal="left" indent="2"/>
    </xf>
    <xf numFmtId="0" fontId="2" fillId="17" borderId="1" xfId="2" applyFont="1" applyFill="1" applyBorder="1" applyProtection="1"/>
    <xf numFmtId="0" fontId="62" fillId="17" borderId="1" xfId="0" applyFont="1" applyFill="1" applyBorder="1" applyAlignment="1" applyProtection="1">
      <alignment horizontal="center" vertical="center" wrapText="1"/>
    </xf>
    <xf numFmtId="0" fontId="7" fillId="17" borderId="1" xfId="2" applyFont="1" applyFill="1" applyBorder="1" applyAlignment="1" applyProtection="1">
      <alignment horizontal="right"/>
    </xf>
    <xf numFmtId="0" fontId="11" fillId="17" borderId="1" xfId="2" applyFont="1" applyFill="1" applyBorder="1" applyAlignment="1" applyProtection="1">
      <alignment horizontal="right" indent="1"/>
    </xf>
    <xf numFmtId="0" fontId="16" fillId="17" borderId="7" xfId="2" applyFont="1" applyFill="1" applyBorder="1" applyAlignment="1" applyProtection="1"/>
    <xf numFmtId="0" fontId="11" fillId="17" borderId="4" xfId="2" applyFont="1" applyFill="1" applyBorder="1" applyAlignment="1" applyProtection="1"/>
    <xf numFmtId="0" fontId="11" fillId="17" borderId="4" xfId="2" applyFont="1" applyFill="1" applyBorder="1" applyAlignment="1" applyProtection="1">
      <alignment horizontal="right"/>
    </xf>
    <xf numFmtId="0" fontId="0" fillId="17" borderId="4" xfId="0" applyFill="1" applyBorder="1" applyAlignment="1" applyProtection="1">
      <alignment horizontal="center" wrapText="1"/>
    </xf>
    <xf numFmtId="0" fontId="116" fillId="17" borderId="3" xfId="2" applyFont="1" applyFill="1" applyBorder="1" applyAlignment="1" applyProtection="1">
      <alignment horizontal="left"/>
    </xf>
    <xf numFmtId="0" fontId="11" fillId="17" borderId="0" xfId="2" applyFont="1" applyFill="1" applyBorder="1" applyAlignment="1" applyProtection="1">
      <alignment horizontal="left"/>
    </xf>
    <xf numFmtId="0" fontId="0" fillId="17" borderId="0" xfId="0" applyFill="1" applyBorder="1" applyAlignment="1" applyProtection="1">
      <alignment horizontal="center" wrapText="1"/>
    </xf>
    <xf numFmtId="0" fontId="9" fillId="17" borderId="1" xfId="2" applyFont="1" applyFill="1" applyBorder="1" applyAlignment="1" applyProtection="1">
      <alignment horizontal="left"/>
    </xf>
    <xf numFmtId="0" fontId="11" fillId="17" borderId="0" xfId="2" applyFont="1" applyFill="1" applyBorder="1" applyAlignment="1" applyProtection="1">
      <protection locked="0"/>
    </xf>
    <xf numFmtId="0" fontId="11" fillId="17" borderId="1" xfId="2" applyFont="1" applyFill="1" applyBorder="1" applyAlignment="1" applyProtection="1">
      <protection locked="0"/>
    </xf>
    <xf numFmtId="0" fontId="16" fillId="17" borderId="1" xfId="2" applyFont="1" applyFill="1" applyBorder="1" applyAlignment="1" applyProtection="1">
      <alignment horizontal="left"/>
    </xf>
    <xf numFmtId="0" fontId="16" fillId="17" borderId="4" xfId="2" applyFont="1" applyFill="1" applyBorder="1" applyAlignment="1" applyProtection="1">
      <alignment horizontal="left"/>
    </xf>
    <xf numFmtId="0" fontId="16" fillId="17" borderId="4" xfId="2" applyFont="1" applyFill="1" applyBorder="1" applyAlignment="1" applyProtection="1">
      <alignment horizontal="right"/>
    </xf>
    <xf numFmtId="0" fontId="16" fillId="17" borderId="0" xfId="2" applyFont="1" applyFill="1" applyBorder="1" applyAlignment="1" applyProtection="1">
      <alignment horizontal="left"/>
    </xf>
    <xf numFmtId="0" fontId="1" fillId="17" borderId="56" xfId="2" applyFont="1" applyFill="1" applyBorder="1" applyAlignment="1" applyProtection="1"/>
    <xf numFmtId="0" fontId="16" fillId="17" borderId="1" xfId="2" applyFont="1" applyFill="1" applyBorder="1" applyAlignment="1" applyProtection="1">
      <alignment horizontal="left"/>
      <protection hidden="1"/>
    </xf>
    <xf numFmtId="0" fontId="16" fillId="17" borderId="1" xfId="2" applyFont="1" applyFill="1" applyBorder="1" applyAlignment="1" applyProtection="1">
      <alignment horizontal="right"/>
      <protection hidden="1"/>
    </xf>
    <xf numFmtId="0" fontId="16" fillId="17" borderId="93" xfId="2" applyFont="1" applyFill="1" applyBorder="1" applyAlignment="1" applyProtection="1">
      <alignment horizontal="left" indent="1"/>
    </xf>
    <xf numFmtId="0" fontId="1" fillId="17" borderId="0" xfId="2" applyFill="1" applyBorder="1" applyAlignment="1" applyProtection="1"/>
    <xf numFmtId="0" fontId="15" fillId="17" borderId="7" xfId="2" applyFont="1" applyFill="1" applyBorder="1" applyAlignment="1" applyProtection="1">
      <alignment vertical="center"/>
    </xf>
    <xf numFmtId="9" fontId="16" fillId="17" borderId="13" xfId="12" applyFont="1" applyFill="1" applyBorder="1" applyAlignment="1" applyProtection="1">
      <alignment horizontal="left" indent="1"/>
      <protection hidden="1"/>
    </xf>
    <xf numFmtId="0" fontId="1" fillId="17" borderId="1" xfId="2" applyFill="1" applyBorder="1" applyProtection="1"/>
    <xf numFmtId="0" fontId="11" fillId="17" borderId="1" xfId="2" applyFont="1" applyFill="1" applyBorder="1" applyAlignment="1" applyProtection="1">
      <alignment horizontal="right"/>
      <protection hidden="1"/>
    </xf>
    <xf numFmtId="9" fontId="16" fillId="17" borderId="1" xfId="12" applyFont="1" applyFill="1" applyBorder="1" applyAlignment="1" applyProtection="1">
      <alignment horizontal="right" indent="1"/>
      <protection hidden="1"/>
    </xf>
    <xf numFmtId="0" fontId="11" fillId="17" borderId="3" xfId="2" applyFont="1" applyFill="1" applyBorder="1" applyAlignment="1" applyProtection="1">
      <alignment horizontal="left" vertical="center"/>
      <protection locked="0"/>
    </xf>
    <xf numFmtId="0" fontId="16" fillId="17" borderId="66" xfId="2" applyFont="1" applyFill="1" applyBorder="1" applyAlignment="1" applyProtection="1">
      <alignment horizontal="left" vertical="center"/>
    </xf>
    <xf numFmtId="0" fontId="11" fillId="17" borderId="4" xfId="2" applyFont="1" applyFill="1" applyBorder="1" applyAlignment="1" applyProtection="1">
      <alignment horizontal="left"/>
    </xf>
    <xf numFmtId="0" fontId="59" fillId="17" borderId="4" xfId="0" applyFont="1" applyFill="1" applyBorder="1" applyAlignment="1" applyProtection="1">
      <alignment horizontal="right" vertical="center"/>
    </xf>
    <xf numFmtId="0" fontId="2" fillId="17" borderId="4" xfId="2" applyFont="1" applyFill="1" applyBorder="1" applyAlignment="1" applyProtection="1">
      <alignment vertical="top"/>
    </xf>
    <xf numFmtId="0" fontId="4" fillId="17" borderId="0" xfId="2" applyFont="1" applyFill="1" applyBorder="1" applyProtection="1"/>
    <xf numFmtId="0" fontId="55" fillId="17" borderId="0" xfId="2" applyFont="1" applyFill="1" applyBorder="1" applyAlignment="1" applyProtection="1">
      <alignment readingOrder="1"/>
    </xf>
    <xf numFmtId="0" fontId="62" fillId="17" borderId="0" xfId="0" applyFont="1" applyFill="1" applyBorder="1" applyAlignment="1" applyProtection="1">
      <alignment horizontal="center" vertical="center" wrapText="1"/>
    </xf>
    <xf numFmtId="0" fontId="2" fillId="17" borderId="0" xfId="2" applyFont="1" applyFill="1" applyBorder="1" applyProtection="1"/>
    <xf numFmtId="0" fontId="17" fillId="17" borderId="7" xfId="2" applyFont="1" applyFill="1" applyBorder="1" applyAlignment="1" applyProtection="1">
      <alignment horizontal="left" vertical="center"/>
    </xf>
    <xf numFmtId="0" fontId="16" fillId="17" borderId="32" xfId="2" applyFont="1" applyFill="1" applyBorder="1" applyAlignment="1" applyProtection="1">
      <alignment horizontal="left" vertical="center"/>
    </xf>
    <xf numFmtId="0" fontId="2" fillId="17" borderId="17" xfId="2" applyFont="1" applyFill="1" applyBorder="1" applyProtection="1"/>
    <xf numFmtId="0" fontId="17" fillId="17" borderId="32" xfId="2" applyFont="1" applyFill="1" applyBorder="1" applyAlignment="1" applyProtection="1">
      <alignment vertical="center"/>
    </xf>
    <xf numFmtId="49" fontId="59" fillId="17" borderId="17" xfId="0" applyNumberFormat="1" applyFont="1" applyFill="1" applyBorder="1" applyAlignment="1" applyProtection="1">
      <alignment horizontal="center" vertical="center" wrapText="1"/>
    </xf>
    <xf numFmtId="49" fontId="7" fillId="17" borderId="17" xfId="2" applyNumberFormat="1" applyFont="1" applyFill="1" applyBorder="1" applyAlignment="1" applyProtection="1">
      <alignment horizontal="right"/>
    </xf>
    <xf numFmtId="0" fontId="17" fillId="17" borderId="7" xfId="2" applyFont="1" applyFill="1" applyBorder="1" applyAlignment="1" applyProtection="1">
      <alignment vertical="center"/>
    </xf>
    <xf numFmtId="49" fontId="59" fillId="17" borderId="1" xfId="0" applyNumberFormat="1" applyFont="1" applyFill="1" applyBorder="1" applyAlignment="1" applyProtection="1">
      <alignment horizontal="center" vertical="center" wrapText="1"/>
    </xf>
    <xf numFmtId="49" fontId="7" fillId="17" borderId="1" xfId="2" applyNumberFormat="1" applyFont="1" applyFill="1" applyBorder="1" applyAlignment="1" applyProtection="1">
      <alignment horizontal="right"/>
    </xf>
    <xf numFmtId="0" fontId="0" fillId="17" borderId="60" xfId="0" applyFill="1" applyBorder="1" applyProtection="1"/>
    <xf numFmtId="0" fontId="11" fillId="17" borderId="2" xfId="2" applyFont="1" applyFill="1" applyBorder="1" applyProtection="1"/>
    <xf numFmtId="0" fontId="11" fillId="17" borderId="13" xfId="2" applyFont="1" applyFill="1" applyBorder="1" applyProtection="1"/>
    <xf numFmtId="0" fontId="17" fillId="17" borderId="7" xfId="2" applyFont="1" applyFill="1" applyBorder="1" applyProtection="1"/>
    <xf numFmtId="0" fontId="11" fillId="17" borderId="3" xfId="2" applyFont="1" applyFill="1" applyBorder="1" applyProtection="1"/>
    <xf numFmtId="0" fontId="7" fillId="17" borderId="2" xfId="2" applyFont="1" applyFill="1" applyBorder="1" applyProtection="1"/>
    <xf numFmtId="0" fontId="17" fillId="17" borderId="3" xfId="2" applyFont="1" applyFill="1" applyBorder="1" applyProtection="1"/>
    <xf numFmtId="0" fontId="4" fillId="17" borderId="0" xfId="2" applyFont="1" applyFill="1" applyAlignment="1" applyProtection="1">
      <alignment horizontal="center"/>
    </xf>
    <xf numFmtId="0" fontId="11" fillId="17" borderId="3" xfId="2" applyFont="1" applyFill="1" applyBorder="1" applyAlignment="1" applyProtection="1">
      <alignment horizontal="left" indent="1"/>
      <protection locked="0"/>
    </xf>
    <xf numFmtId="0" fontId="11" fillId="17" borderId="3" xfId="2" applyFont="1" applyFill="1" applyBorder="1" applyAlignment="1" applyProtection="1">
      <alignment horizontal="left" indent="1"/>
    </xf>
    <xf numFmtId="0" fontId="7" fillId="17" borderId="0" xfId="2" applyFont="1" applyFill="1" applyAlignment="1" applyProtection="1">
      <alignment horizontal="right"/>
    </xf>
    <xf numFmtId="0" fontId="2" fillId="17" borderId="0" xfId="2" applyFont="1" applyFill="1" applyBorder="1" applyAlignment="1" applyProtection="1"/>
    <xf numFmtId="0" fontId="42" fillId="17" borderId="0" xfId="2" applyFont="1" applyFill="1" applyBorder="1" applyAlignment="1" applyProtection="1"/>
    <xf numFmtId="0" fontId="2" fillId="17" borderId="1" xfId="2" applyFont="1" applyFill="1" applyBorder="1" applyAlignment="1" applyProtection="1"/>
    <xf numFmtId="0" fontId="17" fillId="17" borderId="3" xfId="2" applyFont="1" applyFill="1" applyBorder="1" applyAlignment="1" applyProtection="1">
      <alignment vertical="center"/>
    </xf>
    <xf numFmtId="0" fontId="11" fillId="17" borderId="13" xfId="2" applyFont="1" applyFill="1" applyBorder="1" applyAlignment="1" applyProtection="1">
      <alignment horizontal="left" vertical="top"/>
    </xf>
    <xf numFmtId="0" fontId="140" fillId="0" borderId="0" xfId="2" applyFont="1" applyAlignment="1">
      <alignment vertical="center"/>
    </xf>
    <xf numFmtId="0" fontId="141" fillId="0" borderId="0" xfId="2" applyFont="1" applyFill="1"/>
    <xf numFmtId="0" fontId="141" fillId="0" borderId="0" xfId="2" applyFont="1" applyFill="1" applyAlignment="1"/>
    <xf numFmtId="0" fontId="141" fillId="0" borderId="0" xfId="2" applyFont="1" applyFill="1" applyBorder="1" applyProtection="1">
      <protection locked="0"/>
    </xf>
    <xf numFmtId="0" fontId="141" fillId="0" borderId="0" xfId="2" applyFont="1" applyFill="1" applyAlignment="1">
      <alignment vertical="top"/>
    </xf>
    <xf numFmtId="0" fontId="141" fillId="0" borderId="0" xfId="2" applyFont="1" applyFill="1" applyBorder="1"/>
    <xf numFmtId="0" fontId="18" fillId="0" borderId="0" xfId="2" applyFont="1" applyAlignment="1">
      <alignment vertical="center"/>
    </xf>
    <xf numFmtId="0" fontId="0" fillId="0" borderId="0" xfId="0" applyAlignment="1">
      <alignment vertical="center"/>
    </xf>
    <xf numFmtId="0" fontId="33" fillId="0" borderId="95" xfId="2" applyFont="1" applyBorder="1" applyAlignment="1">
      <alignment horizontal="center"/>
    </xf>
    <xf numFmtId="0" fontId="12" fillId="0" borderId="95" xfId="2" applyFont="1" applyBorder="1"/>
    <xf numFmtId="0" fontId="131" fillId="26" borderId="95" xfId="2" applyFont="1" applyFill="1" applyBorder="1" applyAlignment="1">
      <alignment horizontal="center"/>
    </xf>
    <xf numFmtId="0" fontId="12" fillId="0" borderId="95" xfId="2" applyFont="1" applyBorder="1" applyAlignment="1">
      <alignment horizontal="center"/>
    </xf>
    <xf numFmtId="0" fontId="12" fillId="0" borderId="0" xfId="2" applyFont="1" applyBorder="1" applyAlignment="1">
      <alignment vertical="center"/>
    </xf>
    <xf numFmtId="0" fontId="0" fillId="0" borderId="0" xfId="0" applyBorder="1"/>
    <xf numFmtId="0" fontId="49" fillId="0" borderId="0" xfId="2" applyFont="1" applyBorder="1"/>
    <xf numFmtId="0" fontId="12" fillId="0" borderId="0" xfId="2" applyFont="1" applyFill="1" applyAlignment="1">
      <alignment horizontal="left"/>
    </xf>
    <xf numFmtId="0" fontId="12" fillId="0" borderId="0" xfId="2" applyFont="1" applyFill="1" applyBorder="1" applyProtection="1">
      <protection locked="0"/>
    </xf>
    <xf numFmtId="0" fontId="12" fillId="0" borderId="0" xfId="2" applyFont="1" applyFill="1" applyBorder="1" applyAlignment="1" applyProtection="1">
      <alignment horizontal="left"/>
      <protection locked="0"/>
    </xf>
    <xf numFmtId="0" fontId="15" fillId="0" borderId="0" xfId="2" applyFont="1" applyFill="1" applyAlignment="1"/>
    <xf numFmtId="0" fontId="12" fillId="0" borderId="0" xfId="2" applyFont="1" applyFill="1" applyAlignment="1"/>
    <xf numFmtId="0" fontId="17" fillId="0" borderId="0" xfId="2" applyFont="1" applyFill="1" applyBorder="1"/>
    <xf numFmtId="0" fontId="17" fillId="0" borderId="0" xfId="2" applyFont="1" applyFill="1" applyBorder="1" applyAlignment="1"/>
    <xf numFmtId="0" fontId="98" fillId="0" borderId="0" xfId="2" applyFont="1" applyAlignment="1">
      <alignment vertical="center"/>
    </xf>
    <xf numFmtId="0" fontId="40" fillId="2" borderId="96" xfId="2" applyFont="1" applyFill="1" applyBorder="1" applyAlignment="1">
      <alignment horizontal="center" vertical="top"/>
    </xf>
    <xf numFmtId="0" fontId="92" fillId="2" borderId="96" xfId="2" applyFont="1" applyFill="1" applyBorder="1" applyAlignment="1">
      <alignment horizontal="center" vertical="top"/>
    </xf>
    <xf numFmtId="0" fontId="69" fillId="2" borderId="97" xfId="2" applyFont="1" applyFill="1" applyBorder="1" applyAlignment="1">
      <alignment horizontal="center" vertical="top"/>
    </xf>
    <xf numFmtId="0" fontId="12" fillId="0" borderId="98" xfId="2" applyFont="1" applyBorder="1" applyAlignment="1">
      <alignment horizontal="left"/>
    </xf>
    <xf numFmtId="49" fontId="31" fillId="11" borderId="95" xfId="2" applyNumberFormat="1" applyFont="1" applyFill="1" applyBorder="1" applyAlignment="1">
      <alignment horizontal="left"/>
    </xf>
    <xf numFmtId="0" fontId="12" fillId="0" borderId="99" xfId="2" applyFont="1" applyBorder="1" applyAlignment="1">
      <alignment vertical="top"/>
    </xf>
    <xf numFmtId="0" fontId="33" fillId="0" borderId="151" xfId="2" applyFont="1" applyBorder="1" applyAlignment="1">
      <alignment horizontal="center"/>
    </xf>
    <xf numFmtId="0" fontId="12" fillId="0" borderId="151" xfId="2" applyFont="1" applyBorder="1"/>
    <xf numFmtId="0" fontId="131" fillId="26" borderId="151" xfId="2" applyFont="1" applyFill="1" applyBorder="1" applyAlignment="1">
      <alignment horizontal="center"/>
    </xf>
    <xf numFmtId="0" fontId="12" fillId="0" borderId="151" xfId="2" applyFont="1" applyBorder="1" applyAlignment="1">
      <alignment horizontal="center"/>
    </xf>
    <xf numFmtId="0" fontId="12" fillId="0" borderId="151" xfId="2" applyFont="1" applyBorder="1" applyAlignment="1">
      <alignment horizontal="left"/>
    </xf>
    <xf numFmtId="0" fontId="12" fillId="2" borderId="100" xfId="2" applyFont="1" applyFill="1" applyBorder="1" applyAlignment="1">
      <alignment horizontal="left" indent="1"/>
    </xf>
    <xf numFmtId="0" fontId="15" fillId="2" borderId="100" xfId="2" applyFont="1" applyFill="1" applyBorder="1" applyAlignment="1">
      <alignment horizontal="left" indent="1"/>
    </xf>
    <xf numFmtId="0" fontId="12" fillId="2" borderId="100" xfId="2" applyFont="1" applyFill="1" applyBorder="1" applyAlignment="1">
      <alignment horizontal="left" vertical="top" indent="1"/>
    </xf>
    <xf numFmtId="0" fontId="12" fillId="2" borderId="83" xfId="2" applyFont="1" applyFill="1" applyBorder="1" applyAlignment="1">
      <alignment horizontal="left" vertical="top" indent="1"/>
    </xf>
    <xf numFmtId="0" fontId="1" fillId="17" borderId="13" xfId="2" applyFont="1" applyFill="1" applyBorder="1" applyAlignment="1"/>
    <xf numFmtId="0" fontId="142" fillId="16" borderId="152" xfId="2" applyFont="1" applyFill="1" applyBorder="1" applyAlignment="1">
      <alignment vertical="top"/>
    </xf>
    <xf numFmtId="0" fontId="143" fillId="16" borderId="152" xfId="0" applyFont="1" applyFill="1" applyBorder="1" applyAlignment="1">
      <alignment vertical="top"/>
    </xf>
    <xf numFmtId="0" fontId="12" fillId="0" borderId="153" xfId="2" applyFont="1" applyBorder="1" applyAlignment="1">
      <alignment vertical="top"/>
    </xf>
    <xf numFmtId="0" fontId="1" fillId="0" borderId="153" xfId="2" applyFont="1" applyFill="1" applyBorder="1"/>
    <xf numFmtId="0" fontId="1" fillId="16" borderId="154" xfId="2" applyFont="1" applyFill="1" applyBorder="1"/>
    <xf numFmtId="0" fontId="141" fillId="0" borderId="0" xfId="2" applyFont="1" applyFill="1" applyAlignment="1">
      <alignment vertical="center"/>
    </xf>
    <xf numFmtId="0" fontId="1" fillId="16" borderId="152" xfId="2" applyFont="1" applyFill="1" applyBorder="1"/>
    <xf numFmtId="0" fontId="144" fillId="16" borderId="152" xfId="2" applyFont="1" applyFill="1" applyBorder="1"/>
    <xf numFmtId="0" fontId="1" fillId="16" borderId="155" xfId="2" applyFont="1" applyFill="1" applyBorder="1"/>
    <xf numFmtId="0" fontId="12" fillId="16" borderId="154" xfId="2" applyFont="1" applyFill="1" applyBorder="1"/>
    <xf numFmtId="0" fontId="12" fillId="16" borderId="152" xfId="2" applyFont="1" applyFill="1" applyBorder="1"/>
    <xf numFmtId="0" fontId="145" fillId="16" borderId="152" xfId="2" applyFont="1" applyFill="1" applyBorder="1" applyAlignment="1"/>
    <xf numFmtId="0" fontId="0" fillId="16" borderId="152" xfId="0" applyFill="1" applyBorder="1"/>
    <xf numFmtId="0" fontId="0" fillId="16" borderId="155" xfId="0" applyFill="1" applyBorder="1"/>
    <xf numFmtId="0" fontId="12" fillId="0" borderId="0" xfId="2" applyFont="1" applyFill="1" applyBorder="1" applyAlignment="1">
      <alignment vertical="center"/>
    </xf>
    <xf numFmtId="0" fontId="0" fillId="0" borderId="0" xfId="0" applyFill="1" applyBorder="1" applyAlignment="1">
      <alignment vertical="center"/>
    </xf>
    <xf numFmtId="0" fontId="11" fillId="0" borderId="0" xfId="2" applyFont="1" applyFill="1" applyBorder="1" applyAlignment="1">
      <alignment horizontal="center" vertical="center"/>
    </xf>
    <xf numFmtId="0" fontId="39" fillId="0" borderId="0" xfId="1" applyFont="1" applyFill="1" applyBorder="1" applyAlignment="1" applyProtection="1"/>
    <xf numFmtId="0" fontId="136" fillId="0" borderId="0" xfId="2" applyFont="1" applyFill="1" applyBorder="1"/>
    <xf numFmtId="0" fontId="12" fillId="0" borderId="0" xfId="1" applyFont="1" applyFill="1" applyBorder="1" applyAlignment="1" applyProtection="1"/>
    <xf numFmtId="0" fontId="12" fillId="0" borderId="0" xfId="1" applyFont="1" applyFill="1" applyBorder="1" applyAlignment="1" applyProtection="1">
      <alignment vertical="center"/>
    </xf>
    <xf numFmtId="0" fontId="146" fillId="0" borderId="0" xfId="0" applyFont="1" applyFill="1" applyBorder="1" applyAlignment="1"/>
    <xf numFmtId="0" fontId="146" fillId="0" borderId="0" xfId="0" applyFont="1" applyFill="1" applyBorder="1" applyAlignment="1">
      <alignment vertical="center"/>
    </xf>
    <xf numFmtId="0" fontId="147" fillId="0" borderId="0" xfId="1" applyFont="1" applyFill="1" applyBorder="1" applyAlignment="1" applyProtection="1"/>
    <xf numFmtId="0" fontId="147" fillId="0" borderId="0" xfId="1" applyFont="1" applyFill="1" applyBorder="1" applyAlignment="1" applyProtection="1">
      <alignment vertical="center"/>
    </xf>
    <xf numFmtId="0" fontId="146" fillId="0" borderId="0" xfId="0" applyFont="1" applyFill="1" applyBorder="1"/>
    <xf numFmtId="0" fontId="145" fillId="16" borderId="152" xfId="2" applyFont="1" applyFill="1" applyBorder="1" applyAlignment="1">
      <alignment horizontal="left" vertical="center" indent="1"/>
    </xf>
    <xf numFmtId="0" fontId="136" fillId="0" borderId="0" xfId="2" applyFont="1" applyFill="1" applyBorder="1" applyAlignment="1">
      <alignment horizontal="left" vertical="center"/>
    </xf>
    <xf numFmtId="0" fontId="141" fillId="0" borderId="0" xfId="1" applyFont="1" applyFill="1" applyBorder="1" applyAlignment="1" applyProtection="1">
      <alignment horizontal="left" indent="1"/>
    </xf>
    <xf numFmtId="0" fontId="141" fillId="0" borderId="0" xfId="1" applyFont="1" applyFill="1" applyBorder="1" applyAlignment="1" applyProtection="1"/>
    <xf numFmtId="0" fontId="136" fillId="0" borderId="0" xfId="0" applyFont="1" applyFill="1" applyBorder="1" applyAlignment="1">
      <alignment horizontal="left" vertical="center"/>
    </xf>
    <xf numFmtId="0" fontId="148" fillId="0" borderId="0" xfId="1" applyFont="1" applyFill="1" applyBorder="1" applyAlignment="1" applyProtection="1">
      <alignment vertical="center"/>
    </xf>
    <xf numFmtId="0" fontId="148" fillId="0" borderId="0" xfId="1" applyFont="1" applyFill="1" applyBorder="1" applyAlignment="1" applyProtection="1"/>
    <xf numFmtId="0" fontId="148" fillId="0" borderId="0" xfId="0" applyFont="1" applyFill="1" applyBorder="1"/>
    <xf numFmtId="0" fontId="149" fillId="0" borderId="0" xfId="2" applyFont="1" applyFill="1" applyBorder="1" applyAlignment="1">
      <alignment vertical="center"/>
    </xf>
    <xf numFmtId="0" fontId="148" fillId="0" borderId="0" xfId="2" applyFont="1" applyFill="1" applyBorder="1" applyAlignment="1">
      <alignment vertical="center"/>
    </xf>
    <xf numFmtId="0" fontId="148" fillId="0" borderId="0" xfId="0" applyFont="1" applyFill="1" applyBorder="1" applyAlignment="1">
      <alignment vertical="center"/>
    </xf>
    <xf numFmtId="0" fontId="0" fillId="0" borderId="0" xfId="0" applyFill="1"/>
    <xf numFmtId="0" fontId="12" fillId="0" borderId="156" xfId="2" applyFont="1" applyFill="1" applyBorder="1"/>
    <xf numFmtId="0" fontId="145" fillId="0" borderId="156" xfId="2" applyFont="1" applyFill="1" applyBorder="1" applyAlignment="1">
      <alignment horizontal="left" vertical="center" indent="1"/>
    </xf>
    <xf numFmtId="0" fontId="145" fillId="0" borderId="156" xfId="2" applyFont="1" applyFill="1" applyBorder="1" applyAlignment="1"/>
    <xf numFmtId="0" fontId="0" fillId="0" borderId="156" xfId="0" applyFill="1" applyBorder="1"/>
    <xf numFmtId="0" fontId="0" fillId="0" borderId="0" xfId="0" applyFill="1" applyBorder="1"/>
    <xf numFmtId="0" fontId="150" fillId="0" borderId="0" xfId="0" applyFont="1" applyFill="1" applyBorder="1" applyAlignment="1"/>
    <xf numFmtId="0" fontId="0" fillId="0" borderId="0" xfId="0" applyBorder="1" applyAlignment="1">
      <alignment vertical="center"/>
    </xf>
    <xf numFmtId="0" fontId="151" fillId="0" borderId="0" xfId="0" applyFont="1" applyFill="1" applyBorder="1" applyAlignment="1">
      <alignment horizontal="left" vertical="center" indent="1"/>
    </xf>
    <xf numFmtId="0" fontId="0" fillId="0" borderId="0" xfId="0" applyFill="1" applyAlignment="1">
      <alignment vertical="center"/>
    </xf>
    <xf numFmtId="0" fontId="141" fillId="0" borderId="0" xfId="2" applyFont="1" applyFill="1" applyBorder="1" applyAlignment="1">
      <alignment vertical="top"/>
    </xf>
    <xf numFmtId="0" fontId="0" fillId="0" borderId="153" xfId="0" applyBorder="1"/>
    <xf numFmtId="0" fontId="0" fillId="16" borderId="153" xfId="0" applyFill="1" applyBorder="1"/>
    <xf numFmtId="0" fontId="0" fillId="16" borderId="152" xfId="0" applyFill="1" applyBorder="1" applyAlignment="1">
      <alignment vertical="center"/>
    </xf>
    <xf numFmtId="0" fontId="12" fillId="16" borderId="152" xfId="2" applyFont="1" applyFill="1" applyBorder="1" applyAlignment="1">
      <alignment vertical="top"/>
    </xf>
    <xf numFmtId="0" fontId="98" fillId="16" borderId="152" xfId="2" applyFont="1" applyFill="1" applyBorder="1" applyAlignment="1">
      <alignment vertical="center"/>
    </xf>
    <xf numFmtId="0" fontId="17" fillId="16" borderId="152" xfId="2" applyFont="1" applyFill="1" applyBorder="1" applyAlignment="1">
      <alignment vertical="center"/>
    </xf>
    <xf numFmtId="0" fontId="152" fillId="0" borderId="0" xfId="0" applyFont="1" applyFill="1" applyBorder="1" applyAlignment="1">
      <alignment horizontal="left" vertical="center" indent="1"/>
    </xf>
    <xf numFmtId="0" fontId="17" fillId="16" borderId="153" xfId="2" applyFont="1" applyFill="1" applyBorder="1" applyAlignment="1">
      <alignment vertical="center"/>
    </xf>
    <xf numFmtId="0" fontId="86" fillId="16" borderId="152" xfId="0" applyFont="1" applyFill="1" applyBorder="1"/>
    <xf numFmtId="0" fontId="1" fillId="16" borderId="152" xfId="2" applyFont="1" applyFill="1" applyBorder="1" applyAlignment="1">
      <alignment vertical="top"/>
    </xf>
    <xf numFmtId="0" fontId="1" fillId="0" borderId="157" xfId="2" applyFont="1" applyFill="1" applyBorder="1"/>
    <xf numFmtId="0" fontId="153" fillId="16" borderId="152" xfId="0" applyFont="1" applyFill="1" applyBorder="1" applyAlignment="1"/>
    <xf numFmtId="0" fontId="154" fillId="0" borderId="0" xfId="2" applyFont="1" applyFill="1" applyBorder="1" applyAlignment="1">
      <alignment horizontal="left" vertical="center"/>
    </xf>
    <xf numFmtId="0" fontId="141" fillId="0" borderId="0" xfId="0" applyFont="1" applyFill="1" applyBorder="1" applyAlignment="1"/>
    <xf numFmtId="0" fontId="141" fillId="0" borderId="0" xfId="2" applyFont="1" applyAlignment="1">
      <alignment vertical="center"/>
    </xf>
    <xf numFmtId="0" fontId="136" fillId="0" borderId="0" xfId="2" applyFont="1"/>
    <xf numFmtId="0" fontId="141" fillId="0" borderId="0" xfId="2" applyFont="1"/>
    <xf numFmtId="0" fontId="136" fillId="0" borderId="0" xfId="2" applyFont="1" applyAlignment="1">
      <alignment horizontal="right"/>
    </xf>
    <xf numFmtId="0" fontId="12" fillId="0" borderId="157" xfId="2" applyFont="1" applyBorder="1" applyAlignment="1">
      <alignment vertical="top"/>
    </xf>
    <xf numFmtId="0" fontId="1" fillId="0" borderId="157" xfId="2" applyFont="1" applyBorder="1"/>
    <xf numFmtId="0" fontId="0" fillId="0" borderId="157" xfId="0" applyBorder="1" applyAlignment="1">
      <alignment vertical="center"/>
    </xf>
    <xf numFmtId="0" fontId="0" fillId="0" borderId="157" xfId="0" applyBorder="1"/>
    <xf numFmtId="0" fontId="12" fillId="2" borderId="158" xfId="2" applyFont="1" applyFill="1" applyBorder="1" applyAlignment="1">
      <alignment vertical="top"/>
    </xf>
    <xf numFmtId="0" fontId="12" fillId="17" borderId="158" xfId="2" applyFont="1" applyFill="1" applyBorder="1" applyAlignment="1">
      <alignment vertical="top"/>
    </xf>
    <xf numFmtId="0" fontId="12" fillId="2" borderId="153" xfId="2" applyFont="1" applyFill="1" applyBorder="1" applyAlignment="1">
      <alignment vertical="top"/>
    </xf>
    <xf numFmtId="0" fontId="12" fillId="17" borderId="153" xfId="2" applyFont="1" applyFill="1" applyBorder="1" applyAlignment="1">
      <alignment vertical="top"/>
    </xf>
    <xf numFmtId="0" fontId="0" fillId="17" borderId="153" xfId="0" applyFill="1" applyBorder="1"/>
    <xf numFmtId="0" fontId="24" fillId="17" borderId="159" xfId="1" applyFill="1" applyBorder="1" applyAlignment="1" applyProtection="1"/>
    <xf numFmtId="0" fontId="125" fillId="0" borderId="0" xfId="2" applyFont="1" applyFill="1" applyBorder="1"/>
    <xf numFmtId="0" fontId="12" fillId="0" borderId="160" xfId="2" applyFont="1" applyBorder="1" applyAlignment="1">
      <alignment vertical="top"/>
    </xf>
    <xf numFmtId="0" fontId="12" fillId="0" borderId="156" xfId="2" applyFont="1" applyBorder="1" applyAlignment="1">
      <alignment vertical="top"/>
    </xf>
    <xf numFmtId="0" fontId="1" fillId="0" borderId="156" xfId="2" applyFont="1" applyFill="1" applyBorder="1"/>
    <xf numFmtId="0" fontId="1" fillId="0" borderId="161" xfId="2" applyFont="1" applyFill="1" applyBorder="1"/>
    <xf numFmtId="0" fontId="1" fillId="0" borderId="158" xfId="2" applyFont="1" applyFill="1" applyBorder="1"/>
    <xf numFmtId="0" fontId="126" fillId="0" borderId="162" xfId="2" applyFont="1" applyBorder="1" applyAlignment="1">
      <alignment horizontal="left" indent="1"/>
    </xf>
    <xf numFmtId="0" fontId="126" fillId="0" borderId="153" xfId="2" applyFont="1" applyBorder="1"/>
    <xf numFmtId="0" fontId="129" fillId="0" borderId="153" xfId="2" applyFont="1" applyBorder="1" applyAlignment="1">
      <alignment vertical="top"/>
    </xf>
    <xf numFmtId="0" fontId="1" fillId="0" borderId="159" xfId="2" applyFont="1" applyFill="1" applyBorder="1"/>
    <xf numFmtId="0" fontId="141" fillId="0" borderId="157" xfId="2" applyFont="1" applyBorder="1" applyAlignment="1">
      <alignment horizontal="left" indent="1"/>
    </xf>
    <xf numFmtId="0" fontId="141" fillId="0" borderId="160" xfId="2" applyFont="1" applyFill="1" applyBorder="1"/>
    <xf numFmtId="0" fontId="141" fillId="0" borderId="156" xfId="2" applyFont="1" applyFill="1" applyBorder="1" applyAlignment="1">
      <alignment vertical="top"/>
    </xf>
    <xf numFmtId="0" fontId="141" fillId="0" borderId="156" xfId="2" applyFont="1" applyFill="1" applyBorder="1"/>
    <xf numFmtId="0" fontId="141" fillId="0" borderId="161" xfId="2" applyFont="1" applyFill="1" applyBorder="1"/>
    <xf numFmtId="0" fontId="141" fillId="0" borderId="157" xfId="2" applyFont="1" applyFill="1" applyBorder="1"/>
    <xf numFmtId="0" fontId="141" fillId="0" borderId="0" xfId="0" applyFont="1" applyFill="1" applyBorder="1" applyAlignment="1">
      <alignment horizontal="left"/>
    </xf>
    <xf numFmtId="0" fontId="141" fillId="0" borderId="158" xfId="2" applyFont="1" applyFill="1" applyBorder="1"/>
    <xf numFmtId="0" fontId="141" fillId="0" borderId="162" xfId="2" applyFont="1" applyFill="1" applyBorder="1"/>
    <xf numFmtId="0" fontId="141" fillId="0" borderId="153" xfId="2" applyFont="1" applyFill="1" applyBorder="1"/>
    <xf numFmtId="0" fontId="141" fillId="0" borderId="159" xfId="2" applyFont="1" applyFill="1" applyBorder="1"/>
    <xf numFmtId="0" fontId="155" fillId="16" borderId="152" xfId="0" applyFont="1" applyFill="1" applyBorder="1" applyAlignment="1">
      <alignment vertical="center"/>
    </xf>
    <xf numFmtId="0" fontId="144" fillId="16" borderId="152" xfId="0" applyFont="1" applyFill="1" applyBorder="1" applyAlignment="1">
      <alignment vertical="center"/>
    </xf>
    <xf numFmtId="0" fontId="119" fillId="0" borderId="0" xfId="0" applyFont="1" applyFill="1" applyBorder="1" applyAlignment="1">
      <alignment horizontal="left" indent="1"/>
    </xf>
    <xf numFmtId="0" fontId="118" fillId="0" borderId="0" xfId="0" applyFont="1" applyFill="1" applyBorder="1" applyAlignment="1">
      <alignment horizontal="left" indent="1"/>
    </xf>
    <xf numFmtId="0" fontId="1" fillId="17" borderId="3" xfId="2" applyFont="1" applyFill="1" applyBorder="1" applyAlignment="1">
      <alignment horizontal="left" vertical="center"/>
    </xf>
    <xf numFmtId="0" fontId="2" fillId="0" borderId="0" xfId="2" applyFont="1" applyFill="1" applyAlignment="1" applyProtection="1">
      <alignment vertical="center"/>
      <protection hidden="1"/>
    </xf>
    <xf numFmtId="3" fontId="9" fillId="15" borderId="35" xfId="2" applyNumberFormat="1" applyFont="1" applyFill="1" applyBorder="1" applyAlignment="1" applyProtection="1">
      <alignment vertical="center"/>
      <protection hidden="1"/>
    </xf>
    <xf numFmtId="3" fontId="9" fillId="3" borderId="35" xfId="2" applyNumberFormat="1" applyFont="1" applyFill="1" applyBorder="1" applyAlignment="1" applyProtection="1">
      <alignment vertical="center"/>
      <protection hidden="1"/>
    </xf>
    <xf numFmtId="0" fontId="2" fillId="0" borderId="0" xfId="2" applyFont="1" applyFill="1" applyBorder="1" applyAlignment="1" applyProtection="1">
      <alignment vertical="center"/>
      <protection hidden="1"/>
    </xf>
    <xf numFmtId="3" fontId="9" fillId="24" borderId="35" xfId="2" applyNumberFormat="1" applyFont="1" applyFill="1" applyBorder="1" applyAlignment="1" applyProtection="1">
      <alignment vertical="center"/>
      <protection hidden="1"/>
    </xf>
    <xf numFmtId="3" fontId="9" fillId="18" borderId="35" xfId="2" applyNumberFormat="1" applyFont="1" applyFill="1" applyBorder="1" applyAlignment="1" applyProtection="1">
      <alignment vertical="center"/>
      <protection hidden="1"/>
    </xf>
    <xf numFmtId="3" fontId="39" fillId="17" borderId="4" xfId="1" applyNumberFormat="1" applyFont="1" applyFill="1" applyBorder="1" applyAlignment="1" applyProtection="1">
      <alignment vertical="center"/>
      <protection hidden="1"/>
    </xf>
    <xf numFmtId="3" fontId="9" fillId="0" borderId="0" xfId="2" applyNumberFormat="1" applyFont="1" applyFill="1" applyBorder="1" applyAlignment="1" applyProtection="1">
      <alignment vertical="center"/>
      <protection hidden="1"/>
    </xf>
    <xf numFmtId="3" fontId="9" fillId="0" borderId="0" xfId="2" applyNumberFormat="1" applyFont="1" applyFill="1" applyAlignment="1" applyProtection="1">
      <alignment vertical="center"/>
      <protection hidden="1"/>
    </xf>
    <xf numFmtId="3" fontId="9" fillId="24" borderId="37" xfId="2" applyNumberFormat="1" applyFont="1" applyFill="1" applyBorder="1" applyAlignment="1" applyProtection="1">
      <alignment vertical="center"/>
      <protection hidden="1"/>
    </xf>
    <xf numFmtId="3" fontId="9" fillId="18" borderId="37" xfId="2" applyNumberFormat="1" applyFont="1" applyFill="1" applyBorder="1" applyAlignment="1" applyProtection="1">
      <alignment vertical="center"/>
      <protection hidden="1"/>
    </xf>
    <xf numFmtId="3" fontId="107" fillId="17" borderId="4" xfId="0" applyNumberFormat="1" applyFont="1" applyFill="1" applyBorder="1" applyAlignment="1" applyProtection="1">
      <alignment vertical="center"/>
      <protection hidden="1"/>
    </xf>
    <xf numFmtId="3" fontId="107" fillId="17" borderId="8" xfId="0" applyNumberFormat="1" applyFont="1" applyFill="1" applyBorder="1" applyAlignment="1" applyProtection="1">
      <alignment vertical="center"/>
      <protection hidden="1"/>
    </xf>
    <xf numFmtId="0" fontId="11" fillId="17" borderId="1" xfId="2" applyFont="1" applyFill="1" applyBorder="1" applyAlignment="1" applyProtection="1">
      <alignment horizontal="left"/>
    </xf>
    <xf numFmtId="3" fontId="11" fillId="0" borderId="0" xfId="2" applyNumberFormat="1" applyFont="1" applyBorder="1"/>
    <xf numFmtId="3" fontId="11" fillId="0" borderId="0" xfId="2" applyNumberFormat="1" applyFont="1" applyBorder="1" applyAlignment="1">
      <alignment horizontal="right"/>
    </xf>
    <xf numFmtId="0" fontId="16" fillId="17" borderId="13" xfId="2" applyFont="1" applyFill="1" applyBorder="1" applyAlignment="1" applyProtection="1">
      <alignment horizontal="left" vertical="center"/>
    </xf>
    <xf numFmtId="0" fontId="157" fillId="0" borderId="0" xfId="2" applyFont="1" applyFill="1" applyBorder="1"/>
    <xf numFmtId="0" fontId="85" fillId="0" borderId="0" xfId="2" applyFont="1" applyFill="1" applyBorder="1" applyAlignment="1">
      <alignment horizontal="left" indent="1"/>
    </xf>
    <xf numFmtId="0" fontId="157" fillId="0" borderId="0" xfId="0" applyFont="1" applyFill="1" applyBorder="1" applyAlignment="1">
      <alignment horizontal="left" indent="1"/>
    </xf>
    <xf numFmtId="0" fontId="29" fillId="0" borderId="0" xfId="2" applyFont="1" applyFill="1" applyAlignment="1" applyProtection="1">
      <alignment vertical="center"/>
    </xf>
    <xf numFmtId="0" fontId="12" fillId="0" borderId="0" xfId="2" applyFont="1" applyProtection="1">
      <protection locked="0"/>
    </xf>
    <xf numFmtId="0" fontId="4" fillId="0" borderId="0" xfId="2" applyFont="1" applyFill="1" applyProtection="1">
      <protection locked="0"/>
    </xf>
    <xf numFmtId="0" fontId="158" fillId="0" borderId="0" xfId="2" applyFont="1" applyFill="1" applyBorder="1" applyAlignment="1">
      <alignment horizontal="center" vertical="center"/>
    </xf>
    <xf numFmtId="0" fontId="159" fillId="0" borderId="0" xfId="2" applyFont="1" applyFill="1" applyBorder="1" applyAlignment="1">
      <alignment horizontal="center"/>
    </xf>
    <xf numFmtId="0" fontId="1" fillId="16" borderId="0" xfId="2" applyFont="1" applyFill="1" applyBorder="1" applyProtection="1"/>
    <xf numFmtId="0" fontId="11" fillId="16" borderId="0" xfId="2" applyFont="1" applyFill="1" applyBorder="1" applyProtection="1"/>
    <xf numFmtId="0" fontId="11" fillId="16" borderId="0" xfId="2" applyFont="1" applyFill="1" applyBorder="1" applyAlignment="1" applyProtection="1">
      <alignment vertical="center"/>
    </xf>
    <xf numFmtId="3" fontId="10" fillId="0" borderId="130" xfId="2" applyNumberFormat="1" applyFont="1" applyFill="1" applyBorder="1" applyAlignment="1" applyProtection="1">
      <alignment vertical="center"/>
      <protection locked="0"/>
    </xf>
    <xf numFmtId="3" fontId="10" fillId="17" borderId="53" xfId="2" applyNumberFormat="1" applyFont="1" applyFill="1" applyBorder="1" applyAlignment="1" applyProtection="1">
      <alignment vertical="center"/>
      <protection hidden="1"/>
    </xf>
    <xf numFmtId="3" fontId="10" fillId="0" borderId="165" xfId="2" applyNumberFormat="1" applyFont="1" applyFill="1" applyBorder="1" applyAlignment="1" applyProtection="1">
      <alignment vertical="center"/>
      <protection locked="0"/>
    </xf>
    <xf numFmtId="0" fontId="11" fillId="17" borderId="0" xfId="2" applyFont="1" applyFill="1" applyBorder="1" applyAlignment="1" applyProtection="1">
      <alignment horizontal="center"/>
    </xf>
    <xf numFmtId="3" fontId="10" fillId="17" borderId="2" xfId="2" applyNumberFormat="1" applyFont="1" applyFill="1" applyBorder="1" applyAlignment="1" applyProtection="1">
      <alignment vertical="center"/>
    </xf>
    <xf numFmtId="0" fontId="11" fillId="0" borderId="138" xfId="2" applyFont="1" applyFill="1" applyBorder="1" applyAlignment="1" applyProtection="1">
      <protection locked="0"/>
    </xf>
    <xf numFmtId="0" fontId="2" fillId="17" borderId="1" xfId="2" applyFont="1" applyFill="1" applyBorder="1" applyAlignment="1" applyProtection="1">
      <alignment horizontal="center"/>
    </xf>
    <xf numFmtId="0" fontId="2" fillId="17" borderId="16" xfId="2" applyFont="1" applyFill="1" applyBorder="1" applyAlignment="1" applyProtection="1">
      <alignment horizontal="center"/>
    </xf>
    <xf numFmtId="3" fontId="2" fillId="17" borderId="1" xfId="2" applyNumberFormat="1" applyFont="1" applyFill="1" applyBorder="1" applyAlignment="1" applyProtection="1">
      <alignment horizontal="center"/>
    </xf>
    <xf numFmtId="9" fontId="110" fillId="17" borderId="4" xfId="2" applyNumberFormat="1" applyFont="1" applyFill="1" applyBorder="1" applyAlignment="1" applyProtection="1">
      <alignment horizontal="right" vertical="center"/>
      <protection locked="0" hidden="1"/>
    </xf>
    <xf numFmtId="49" fontId="56" fillId="17" borderId="4" xfId="2" applyNumberFormat="1" applyFont="1" applyFill="1" applyBorder="1" applyProtection="1"/>
    <xf numFmtId="3" fontId="2" fillId="17" borderId="4" xfId="2" applyNumberFormat="1" applyFont="1" applyFill="1" applyBorder="1" applyAlignment="1" applyProtection="1">
      <alignment horizontal="center"/>
    </xf>
    <xf numFmtId="0" fontId="2" fillId="17" borderId="4" xfId="2" applyFont="1" applyFill="1" applyBorder="1" applyAlignment="1" applyProtection="1">
      <alignment horizontal="center"/>
    </xf>
    <xf numFmtId="0" fontId="2" fillId="17" borderId="8" xfId="2" applyFont="1" applyFill="1" applyBorder="1" applyAlignment="1" applyProtection="1">
      <alignment horizontal="center"/>
    </xf>
    <xf numFmtId="0" fontId="11" fillId="0" borderId="14" xfId="2" applyFont="1" applyFill="1" applyBorder="1" applyAlignment="1" applyProtection="1">
      <alignment horizontal="left" vertical="center"/>
    </xf>
    <xf numFmtId="3" fontId="10" fillId="0" borderId="125" xfId="2" applyNumberFormat="1" applyFont="1" applyFill="1" applyBorder="1" applyAlignment="1" applyProtection="1">
      <alignment vertical="center"/>
      <protection locked="0"/>
    </xf>
    <xf numFmtId="3" fontId="10" fillId="0" borderId="128" xfId="2" applyNumberFormat="1" applyFont="1" applyFill="1" applyBorder="1" applyAlignment="1" applyProtection="1">
      <alignment vertical="center"/>
      <protection locked="0"/>
    </xf>
    <xf numFmtId="0" fontId="0" fillId="0" borderId="0" xfId="0"/>
    <xf numFmtId="3" fontId="161" fillId="17" borderId="0" xfId="2" applyNumberFormat="1" applyFont="1" applyFill="1" applyBorder="1" applyAlignment="1" applyProtection="1">
      <alignment horizontal="center" vertical="center"/>
    </xf>
    <xf numFmtId="3" fontId="11" fillId="17" borderId="0" xfId="2" applyNumberFormat="1" applyFont="1" applyFill="1" applyBorder="1" applyAlignment="1" applyProtection="1">
      <alignment horizontal="left" vertical="center"/>
    </xf>
    <xf numFmtId="3" fontId="161" fillId="17" borderId="2" xfId="2" applyNumberFormat="1" applyFont="1" applyFill="1" applyBorder="1" applyAlignment="1" applyProtection="1">
      <alignment horizontal="center" vertical="center"/>
    </xf>
    <xf numFmtId="3" fontId="10" fillId="0" borderId="17" xfId="2" applyNumberFormat="1" applyFont="1" applyFill="1" applyBorder="1" applyAlignment="1" applyProtection="1">
      <alignment vertical="center"/>
      <protection hidden="1"/>
    </xf>
    <xf numFmtId="3" fontId="10" fillId="17" borderId="0" xfId="2" applyNumberFormat="1" applyFont="1" applyFill="1" applyBorder="1" applyAlignment="1" applyProtection="1">
      <alignment vertical="center"/>
    </xf>
    <xf numFmtId="0" fontId="16" fillId="17" borderId="4" xfId="2" applyFont="1" applyFill="1" applyBorder="1" applyAlignment="1" applyProtection="1">
      <alignment horizontal="left" indent="2"/>
    </xf>
    <xf numFmtId="0" fontId="11" fillId="17" borderId="0" xfId="2" applyFont="1" applyFill="1" applyBorder="1" applyAlignment="1" applyProtection="1">
      <alignment horizontal="left"/>
    </xf>
    <xf numFmtId="0" fontId="16" fillId="17" borderId="4" xfId="2" applyFont="1" applyFill="1" applyBorder="1" applyAlignment="1" applyProtection="1">
      <alignment horizontal="right" indent="2"/>
    </xf>
    <xf numFmtId="0" fontId="11" fillId="17" borderId="4" xfId="2" applyFont="1" applyFill="1" applyBorder="1" applyAlignment="1" applyProtection="1">
      <alignment horizontal="left"/>
    </xf>
    <xf numFmtId="0" fontId="17" fillId="17" borderId="7" xfId="2" applyFont="1" applyFill="1" applyBorder="1" applyAlignment="1" applyProtection="1">
      <alignment vertical="center"/>
    </xf>
    <xf numFmtId="0" fontId="11" fillId="17" borderId="3" xfId="2" applyFont="1" applyFill="1" applyBorder="1" applyAlignment="1" applyProtection="1">
      <alignment horizontal="left" vertical="center"/>
    </xf>
    <xf numFmtId="0" fontId="11" fillId="17" borderId="0" xfId="2" applyFont="1" applyFill="1" applyBorder="1" applyAlignment="1" applyProtection="1">
      <alignment vertical="top"/>
    </xf>
    <xf numFmtId="0" fontId="16" fillId="17" borderId="0" xfId="2" applyFont="1" applyFill="1" applyBorder="1" applyAlignment="1" applyProtection="1">
      <alignment horizontal="left" indent="2"/>
    </xf>
    <xf numFmtId="0" fontId="16" fillId="17" borderId="0" xfId="2" applyFont="1" applyFill="1" applyBorder="1" applyAlignment="1" applyProtection="1">
      <alignment horizontal="right" indent="2"/>
    </xf>
    <xf numFmtId="164" fontId="59" fillId="0" borderId="117" xfId="0" applyNumberFormat="1" applyFont="1" applyFill="1" applyBorder="1" applyAlignment="1" applyProtection="1">
      <alignment horizontal="center" vertical="center" wrapText="1"/>
      <protection locked="0"/>
    </xf>
    <xf numFmtId="0" fontId="127" fillId="23" borderId="126" xfId="2" applyFont="1" applyFill="1" applyBorder="1" applyAlignment="1">
      <alignment horizontal="center" vertical="center"/>
    </xf>
    <xf numFmtId="0" fontId="130" fillId="16" borderId="126" xfId="2" applyFont="1" applyFill="1" applyBorder="1" applyAlignment="1">
      <alignment vertical="center"/>
    </xf>
    <xf numFmtId="0" fontId="12" fillId="0" borderId="157" xfId="2" applyFont="1" applyBorder="1" applyAlignment="1">
      <alignment vertical="top"/>
    </xf>
    <xf numFmtId="49" fontId="162" fillId="17" borderId="0" xfId="2" applyNumberFormat="1" applyFont="1" applyFill="1" applyBorder="1" applyAlignment="1" applyProtection="1"/>
    <xf numFmtId="0" fontId="0" fillId="0" borderId="0" xfId="0"/>
    <xf numFmtId="0" fontId="165" fillId="0" borderId="0" xfId="2" applyFont="1"/>
    <xf numFmtId="0" fontId="1" fillId="0" borderId="0" xfId="2" applyFont="1" applyAlignment="1"/>
    <xf numFmtId="0" fontId="1" fillId="0" borderId="0" xfId="2" applyFont="1" applyAlignment="1">
      <alignment wrapText="1"/>
    </xf>
    <xf numFmtId="0" fontId="1" fillId="0" borderId="0" xfId="2" applyFont="1" applyBorder="1" applyAlignment="1">
      <alignment vertical="center"/>
    </xf>
    <xf numFmtId="0" fontId="1" fillId="0" borderId="0" xfId="2" applyFont="1" applyBorder="1" applyAlignment="1"/>
    <xf numFmtId="0" fontId="138" fillId="0" borderId="0" xfId="2" applyFont="1" applyBorder="1" applyAlignment="1"/>
    <xf numFmtId="0" fontId="166" fillId="0" borderId="0" xfId="2" applyFont="1" applyAlignment="1">
      <alignment vertical="center"/>
    </xf>
    <xf numFmtId="0" fontId="1" fillId="0" borderId="167" xfId="2" applyFont="1" applyBorder="1" applyAlignment="1">
      <alignment vertical="center"/>
    </xf>
    <xf numFmtId="0" fontId="1" fillId="0" borderId="168" xfId="2" applyFont="1" applyBorder="1"/>
    <xf numFmtId="0" fontId="12" fillId="0" borderId="157" xfId="2" applyFont="1" applyBorder="1"/>
    <xf numFmtId="0" fontId="1" fillId="0" borderId="169" xfId="2" applyFont="1" applyBorder="1"/>
    <xf numFmtId="0" fontId="166" fillId="0" borderId="0" xfId="2" applyFont="1" applyAlignment="1">
      <alignment horizontal="left" vertical="center"/>
    </xf>
    <xf numFmtId="0" fontId="0" fillId="16" borderId="152" xfId="0" applyFill="1" applyBorder="1" applyAlignment="1"/>
    <xf numFmtId="0" fontId="143" fillId="16" borderId="152" xfId="0" applyFont="1" applyFill="1" applyBorder="1" applyAlignment="1">
      <alignment vertical="top"/>
    </xf>
    <xf numFmtId="0" fontId="12" fillId="16" borderId="0" xfId="2" applyFont="1" applyFill="1"/>
    <xf numFmtId="0" fontId="1" fillId="16" borderId="170" xfId="2" applyFont="1" applyFill="1" applyBorder="1"/>
    <xf numFmtId="0" fontId="1" fillId="16" borderId="171" xfId="2" applyFont="1" applyFill="1" applyBorder="1"/>
    <xf numFmtId="0" fontId="1" fillId="16" borderId="172" xfId="2" applyFont="1" applyFill="1" applyBorder="1"/>
    <xf numFmtId="0" fontId="1" fillId="16" borderId="0" xfId="2" applyFont="1" applyFill="1" applyBorder="1"/>
    <xf numFmtId="0" fontId="1" fillId="16" borderId="173" xfId="2" applyFont="1" applyFill="1" applyBorder="1"/>
    <xf numFmtId="0" fontId="132" fillId="16" borderId="174" xfId="2" applyFont="1" applyFill="1" applyBorder="1" applyAlignment="1">
      <alignment horizontal="left" indent="1"/>
    </xf>
    <xf numFmtId="0" fontId="12" fillId="16" borderId="0" xfId="2" applyFont="1" applyFill="1" applyBorder="1"/>
    <xf numFmtId="0" fontId="12" fillId="16" borderId="173" xfId="2" applyFont="1" applyFill="1" applyBorder="1"/>
    <xf numFmtId="0" fontId="166" fillId="16" borderId="0" xfId="2" applyFont="1" applyFill="1" applyBorder="1" applyAlignment="1">
      <alignment vertical="center"/>
    </xf>
    <xf numFmtId="0" fontId="12" fillId="16" borderId="175" xfId="2" applyFont="1" applyFill="1" applyBorder="1"/>
    <xf numFmtId="0" fontId="12" fillId="16" borderId="176" xfId="2" applyFont="1" applyFill="1" applyBorder="1"/>
    <xf numFmtId="0" fontId="1" fillId="16" borderId="176" xfId="2" applyFont="1" applyFill="1" applyBorder="1"/>
    <xf numFmtId="0" fontId="11" fillId="16" borderId="177" xfId="2" applyFont="1" applyFill="1" applyBorder="1"/>
    <xf numFmtId="0" fontId="12" fillId="16" borderId="174" xfId="2" applyFont="1" applyFill="1" applyBorder="1"/>
    <xf numFmtId="0" fontId="1" fillId="0" borderId="0" xfId="2" applyFont="1" applyFill="1" applyBorder="1" applyProtection="1"/>
    <xf numFmtId="0" fontId="12" fillId="0" borderId="0" xfId="2" applyFont="1" applyBorder="1" applyProtection="1"/>
    <xf numFmtId="0" fontId="11" fillId="0" borderId="0" xfId="2" applyFont="1" applyBorder="1" applyAlignment="1" applyProtection="1">
      <alignment horizontal="right" indent="1"/>
    </xf>
    <xf numFmtId="3" fontId="2" fillId="0" borderId="0" xfId="2" applyNumberFormat="1" applyFont="1" applyFill="1" applyBorder="1" applyAlignment="1" applyProtection="1">
      <alignment vertical="top"/>
    </xf>
    <xf numFmtId="0" fontId="167" fillId="17" borderId="0" xfId="2" applyFont="1" applyFill="1" applyBorder="1" applyAlignment="1" applyProtection="1"/>
    <xf numFmtId="0" fontId="16" fillId="17" borderId="1" xfId="2" applyFont="1" applyFill="1" applyBorder="1" applyAlignment="1" applyProtection="1">
      <alignment horizontal="left" indent="2"/>
    </xf>
    <xf numFmtId="3" fontId="10" fillId="17" borderId="4" xfId="2" applyNumberFormat="1" applyFont="1" applyFill="1" applyBorder="1" applyAlignment="1" applyProtection="1">
      <alignment vertical="center"/>
    </xf>
    <xf numFmtId="3" fontId="10" fillId="17" borderId="8" xfId="2" applyNumberFormat="1" applyFont="1" applyFill="1" applyBorder="1" applyAlignment="1" applyProtection="1">
      <alignment vertical="center"/>
    </xf>
    <xf numFmtId="3" fontId="10" fillId="17" borderId="1" xfId="2" applyNumberFormat="1" applyFont="1" applyFill="1" applyBorder="1" applyAlignment="1" applyProtection="1">
      <alignment vertical="center"/>
    </xf>
    <xf numFmtId="0" fontId="16" fillId="17" borderId="4" xfId="2" applyFont="1" applyFill="1" applyBorder="1" applyAlignment="1" applyProtection="1">
      <alignment horizontal="left" indent="2"/>
    </xf>
    <xf numFmtId="0" fontId="16" fillId="17" borderId="4" xfId="2" applyFont="1" applyFill="1" applyBorder="1" applyAlignment="1" applyProtection="1">
      <alignment horizontal="right" indent="2"/>
    </xf>
    <xf numFmtId="0" fontId="16" fillId="17" borderId="1" xfId="2" applyFont="1" applyFill="1" applyBorder="1" applyAlignment="1" applyProtection="1">
      <alignment horizontal="right" indent="2"/>
    </xf>
    <xf numFmtId="3" fontId="10" fillId="17" borderId="0" xfId="2" applyNumberFormat="1" applyFont="1" applyFill="1" applyBorder="1" applyAlignment="1" applyProtection="1">
      <alignment vertical="center"/>
    </xf>
    <xf numFmtId="3" fontId="10" fillId="17" borderId="2" xfId="2" applyNumberFormat="1" applyFont="1" applyFill="1" applyBorder="1" applyAlignment="1" applyProtection="1">
      <alignment vertical="center"/>
    </xf>
    <xf numFmtId="3" fontId="10" fillId="0" borderId="127" xfId="2" applyNumberFormat="1" applyFont="1" applyFill="1" applyBorder="1" applyAlignment="1" applyProtection="1">
      <alignment vertical="center"/>
      <protection locked="0"/>
    </xf>
    <xf numFmtId="3" fontId="10" fillId="17" borderId="17" xfId="2" applyNumberFormat="1" applyFont="1" applyFill="1" applyBorder="1" applyAlignment="1" applyProtection="1">
      <alignment vertical="center"/>
    </xf>
    <xf numFmtId="3" fontId="10" fillId="17" borderId="30" xfId="2" applyNumberFormat="1" applyFont="1" applyFill="1" applyBorder="1" applyAlignment="1" applyProtection="1">
      <alignment vertical="center"/>
    </xf>
    <xf numFmtId="0" fontId="168" fillId="0" borderId="0" xfId="2" applyFont="1" applyFill="1" applyAlignment="1" applyProtection="1">
      <alignment vertical="center"/>
    </xf>
    <xf numFmtId="0" fontId="7" fillId="17" borderId="0" xfId="2" applyFont="1" applyFill="1" applyBorder="1" applyAlignment="1" applyProtection="1">
      <alignment horizontal="right"/>
    </xf>
    <xf numFmtId="0" fontId="11" fillId="17" borderId="66" xfId="2" applyFont="1" applyFill="1" applyBorder="1" applyAlignment="1" applyProtection="1">
      <alignment vertical="center"/>
    </xf>
    <xf numFmtId="0" fontId="16" fillId="17" borderId="3" xfId="2" applyFont="1" applyFill="1" applyBorder="1" applyAlignment="1" applyProtection="1">
      <alignment vertical="center"/>
    </xf>
    <xf numFmtId="0" fontId="11" fillId="17" borderId="57" xfId="2" applyFont="1" applyFill="1" applyBorder="1" applyAlignment="1" applyProtection="1">
      <alignment vertical="center"/>
    </xf>
    <xf numFmtId="0" fontId="11" fillId="17" borderId="60" xfId="2" applyFont="1" applyFill="1" applyBorder="1" applyAlignment="1" applyProtection="1">
      <alignment horizontal="left"/>
    </xf>
    <xf numFmtId="0" fontId="2" fillId="17" borderId="60" xfId="2" applyFont="1" applyFill="1" applyBorder="1" applyProtection="1"/>
    <xf numFmtId="0" fontId="2" fillId="17" borderId="56" xfId="2" applyFont="1" applyFill="1" applyBorder="1" applyProtection="1"/>
    <xf numFmtId="0" fontId="11" fillId="17" borderId="13" xfId="2" applyFont="1" applyFill="1" applyBorder="1" applyAlignment="1" applyProtection="1">
      <alignment vertical="center"/>
      <protection hidden="1"/>
    </xf>
    <xf numFmtId="0" fontId="11" fillId="17" borderId="1" xfId="2" applyFont="1" applyFill="1" applyBorder="1" applyAlignment="1" applyProtection="1">
      <alignment horizontal="left"/>
      <protection hidden="1"/>
    </xf>
    <xf numFmtId="0" fontId="2" fillId="17" borderId="1" xfId="2" applyFont="1" applyFill="1" applyBorder="1" applyProtection="1">
      <protection hidden="1"/>
    </xf>
    <xf numFmtId="0" fontId="168" fillId="0" borderId="0" xfId="2" applyFont="1" applyFill="1" applyAlignment="1" applyProtection="1">
      <alignment vertical="center"/>
      <protection hidden="1"/>
    </xf>
    <xf numFmtId="3" fontId="169" fillId="17" borderId="35" xfId="2" applyNumberFormat="1" applyFont="1" applyFill="1" applyBorder="1" applyAlignment="1" applyProtection="1">
      <alignment vertical="center"/>
      <protection hidden="1"/>
    </xf>
    <xf numFmtId="0" fontId="169" fillId="17" borderId="0" xfId="2" applyFont="1" applyFill="1" applyBorder="1" applyAlignment="1" applyProtection="1">
      <alignment vertical="center"/>
      <protection hidden="1"/>
    </xf>
    <xf numFmtId="0" fontId="59" fillId="17" borderId="4" xfId="0" applyFont="1" applyFill="1" applyBorder="1" applyAlignment="1" applyProtection="1">
      <alignment vertical="center" wrapText="1"/>
    </xf>
    <xf numFmtId="0" fontId="11" fillId="17" borderId="66" xfId="0" applyFont="1" applyFill="1" applyBorder="1" applyAlignment="1" applyProtection="1">
      <alignment horizontal="left" vertical="center"/>
    </xf>
    <xf numFmtId="164" fontId="7" fillId="0" borderId="178" xfId="0" applyNumberFormat="1" applyFont="1" applyFill="1" applyBorder="1" applyAlignment="1" applyProtection="1">
      <alignment horizontal="center" vertical="center" wrapText="1"/>
      <protection locked="0"/>
    </xf>
    <xf numFmtId="0" fontId="104" fillId="17" borderId="0" xfId="0" applyFont="1" applyFill="1" applyBorder="1" applyAlignment="1" applyProtection="1">
      <alignment horizontal="center" vertical="center" wrapText="1"/>
    </xf>
    <xf numFmtId="0" fontId="7" fillId="17" borderId="1" xfId="0" applyFont="1" applyFill="1" applyBorder="1" applyAlignment="1" applyProtection="1">
      <alignment horizontal="right" vertical="center"/>
      <protection hidden="1"/>
    </xf>
    <xf numFmtId="0" fontId="7" fillId="16" borderId="60" xfId="2" applyFont="1" applyFill="1" applyBorder="1" applyAlignment="1" applyProtection="1">
      <alignment horizontal="right"/>
    </xf>
    <xf numFmtId="0" fontId="1" fillId="16" borderId="60" xfId="2" applyFill="1" applyBorder="1" applyProtection="1"/>
    <xf numFmtId="0" fontId="11" fillId="16" borderId="66" xfId="2" applyFont="1" applyFill="1" applyBorder="1" applyAlignment="1" applyProtection="1">
      <alignment vertical="center"/>
    </xf>
    <xf numFmtId="3" fontId="10" fillId="17" borderId="52" xfId="2" applyNumberFormat="1" applyFont="1" applyFill="1" applyBorder="1" applyAlignment="1" applyProtection="1">
      <alignment vertical="center"/>
      <protection hidden="1"/>
    </xf>
    <xf numFmtId="3" fontId="9" fillId="24" borderId="35" xfId="2" applyNumberFormat="1" applyFont="1" applyFill="1" applyBorder="1" applyAlignment="1" applyProtection="1">
      <alignment vertical="center"/>
    </xf>
    <xf numFmtId="3" fontId="9" fillId="18" borderId="35" xfId="2" applyNumberFormat="1" applyFont="1" applyFill="1" applyBorder="1" applyAlignment="1" applyProtection="1">
      <alignment vertical="center"/>
    </xf>
    <xf numFmtId="0" fontId="11" fillId="17" borderId="7" xfId="2" applyFont="1" applyFill="1" applyBorder="1" applyAlignment="1" applyProtection="1">
      <alignment vertical="center"/>
    </xf>
    <xf numFmtId="3" fontId="9" fillId="24" borderId="35" xfId="2" applyNumberFormat="1" applyFont="1" applyFill="1" applyBorder="1" applyAlignment="1" applyProtection="1">
      <alignment vertical="center"/>
      <protection hidden="1"/>
    </xf>
    <xf numFmtId="3" fontId="9" fillId="18" borderId="35" xfId="2" applyNumberFormat="1" applyFont="1" applyFill="1" applyBorder="1" applyAlignment="1" applyProtection="1">
      <alignment vertical="center"/>
      <protection hidden="1"/>
    </xf>
    <xf numFmtId="0" fontId="11" fillId="16" borderId="66" xfId="2" applyFont="1" applyFill="1" applyBorder="1" applyAlignment="1" applyProtection="1">
      <alignment vertical="center"/>
      <protection hidden="1"/>
    </xf>
    <xf numFmtId="0" fontId="2" fillId="16" borderId="60" xfId="2" applyFont="1" applyFill="1" applyBorder="1" applyProtection="1">
      <protection hidden="1"/>
    </xf>
    <xf numFmtId="0" fontId="11" fillId="16" borderId="57" xfId="2" applyFont="1" applyFill="1" applyBorder="1" applyAlignment="1" applyProtection="1">
      <alignment vertical="center"/>
      <protection hidden="1"/>
    </xf>
    <xf numFmtId="0" fontId="2" fillId="16" borderId="56" xfId="2" applyFont="1" applyFill="1" applyBorder="1" applyProtection="1">
      <protection hidden="1"/>
    </xf>
    <xf numFmtId="0" fontId="11" fillId="16" borderId="13" xfId="2" applyFont="1" applyFill="1" applyBorder="1" applyAlignment="1" applyProtection="1">
      <alignment vertical="center"/>
      <protection hidden="1"/>
    </xf>
    <xf numFmtId="0" fontId="2" fillId="16" borderId="1" xfId="2" applyFont="1" applyFill="1" applyBorder="1" applyProtection="1">
      <protection hidden="1"/>
    </xf>
    <xf numFmtId="0" fontId="17" fillId="16" borderId="55" xfId="2" applyFont="1" applyFill="1" applyBorder="1" applyAlignment="1" applyProtection="1">
      <alignment vertical="top"/>
    </xf>
    <xf numFmtId="49" fontId="59" fillId="16" borderId="54" xfId="0" applyNumberFormat="1" applyFont="1" applyFill="1" applyBorder="1" applyAlignment="1" applyProtection="1">
      <alignment horizontal="right" vertical="center" wrapText="1"/>
    </xf>
    <xf numFmtId="49" fontId="59" fillId="16" borderId="54" xfId="0" applyNumberFormat="1" applyFont="1" applyFill="1" applyBorder="1" applyAlignment="1" applyProtection="1">
      <alignment horizontal="center" vertical="center" wrapText="1"/>
    </xf>
    <xf numFmtId="3" fontId="111" fillId="16" borderId="54" xfId="2" applyNumberFormat="1" applyFont="1" applyFill="1" applyBorder="1" applyAlignment="1" applyProtection="1">
      <alignment horizontal="right"/>
    </xf>
    <xf numFmtId="3" fontId="59" fillId="16" borderId="104" xfId="0" applyNumberFormat="1" applyFont="1" applyFill="1" applyBorder="1" applyAlignment="1" applyProtection="1">
      <alignment vertical="center" wrapText="1"/>
      <protection hidden="1"/>
    </xf>
    <xf numFmtId="3" fontId="59" fillId="16" borderId="104" xfId="0" applyNumberFormat="1" applyFont="1" applyFill="1" applyBorder="1" applyAlignment="1" applyProtection="1">
      <alignment horizontal="center" vertical="center" wrapText="1"/>
      <protection hidden="1"/>
    </xf>
    <xf numFmtId="0" fontId="7" fillId="16" borderId="4" xfId="2" applyFont="1" applyFill="1" applyBorder="1" applyAlignment="1" applyProtection="1">
      <alignment horizontal="right"/>
    </xf>
    <xf numFmtId="0" fontId="169" fillId="0" borderId="0" xfId="2" applyFont="1" applyFill="1" applyBorder="1" applyAlignment="1" applyProtection="1">
      <alignment vertical="center"/>
      <protection hidden="1"/>
    </xf>
    <xf numFmtId="3" fontId="8" fillId="17" borderId="4" xfId="2" applyNumberFormat="1" applyFont="1" applyFill="1" applyBorder="1" applyAlignment="1" applyProtection="1"/>
    <xf numFmtId="0" fontId="170" fillId="17" borderId="0" xfId="2" applyFont="1" applyFill="1" applyBorder="1" applyAlignment="1" applyProtection="1">
      <alignment horizontal="left"/>
      <protection hidden="1"/>
    </xf>
    <xf numFmtId="0" fontId="171" fillId="17" borderId="0" xfId="0" applyFont="1" applyFill="1" applyBorder="1" applyAlignment="1" applyProtection="1">
      <alignment horizontal="right" vertical="center"/>
      <protection hidden="1"/>
    </xf>
    <xf numFmtId="0" fontId="1" fillId="0" borderId="0" xfId="2" applyFill="1" applyAlignment="1">
      <alignment horizontal="center"/>
    </xf>
    <xf numFmtId="0" fontId="1" fillId="0" borderId="0" xfId="2" applyFill="1" applyAlignment="1" applyProtection="1">
      <alignment horizontal="center"/>
    </xf>
    <xf numFmtId="0" fontId="1" fillId="0" borderId="0" xfId="2" applyFill="1" applyBorder="1" applyAlignment="1">
      <alignment horizontal="center"/>
    </xf>
    <xf numFmtId="0" fontId="1" fillId="0" borderId="0" xfId="2" applyFill="1" applyBorder="1" applyAlignment="1" applyProtection="1">
      <alignment horizontal="center"/>
    </xf>
    <xf numFmtId="0" fontId="1" fillId="0" borderId="3" xfId="2" applyFill="1" applyBorder="1" applyAlignment="1" applyProtection="1">
      <alignment horizontal="center"/>
    </xf>
    <xf numFmtId="3" fontId="11" fillId="17" borderId="4" xfId="2" applyNumberFormat="1" applyFont="1" applyFill="1" applyBorder="1" applyAlignment="1" applyProtection="1">
      <alignment horizontal="left" vertical="center"/>
    </xf>
    <xf numFmtId="3" fontId="11" fillId="17" borderId="1" xfId="2" applyNumberFormat="1" applyFont="1" applyFill="1" applyBorder="1" applyAlignment="1" applyProtection="1">
      <alignment horizontal="left" vertical="center"/>
    </xf>
    <xf numFmtId="0" fontId="16" fillId="17" borderId="3" xfId="2" applyFont="1" applyFill="1" applyBorder="1" applyAlignment="1" applyProtection="1"/>
    <xf numFmtId="3" fontId="24" fillId="17" borderId="4" xfId="1" applyNumberFormat="1" applyFill="1" applyBorder="1" applyAlignment="1" applyProtection="1">
      <alignment vertical="top"/>
    </xf>
    <xf numFmtId="3" fontId="24" fillId="17" borderId="0" xfId="1" applyNumberFormat="1" applyFill="1" applyBorder="1" applyAlignment="1" applyProtection="1">
      <alignment vertical="top"/>
    </xf>
    <xf numFmtId="0" fontId="24" fillId="17" borderId="0" xfId="1" applyFill="1" applyBorder="1" applyAlignment="1" applyProtection="1">
      <alignment horizontal="left" indent="2"/>
    </xf>
    <xf numFmtId="3" fontId="169" fillId="0" borderId="64" xfId="2" applyNumberFormat="1" applyFont="1" applyFill="1" applyBorder="1" applyAlignment="1" applyProtection="1">
      <alignment vertical="center"/>
      <protection hidden="1"/>
    </xf>
    <xf numFmtId="3" fontId="169" fillId="0" borderId="64" xfId="2" applyNumberFormat="1" applyFont="1" applyFill="1" applyBorder="1" applyAlignment="1" applyProtection="1">
      <alignment vertical="center"/>
    </xf>
    <xf numFmtId="0" fontId="1" fillId="16" borderId="60" xfId="2" applyFill="1" applyBorder="1" applyProtection="1"/>
    <xf numFmtId="0" fontId="136" fillId="30" borderId="179" xfId="2" applyFont="1" applyFill="1" applyBorder="1" applyAlignment="1">
      <alignment horizontal="center" vertical="center" wrapText="1"/>
    </xf>
    <xf numFmtId="0" fontId="136" fillId="30" borderId="180" xfId="2" applyFont="1" applyFill="1" applyBorder="1" applyAlignment="1">
      <alignment horizontal="center" vertical="center" wrapText="1"/>
    </xf>
    <xf numFmtId="0" fontId="0" fillId="0" borderId="0" xfId="0"/>
    <xf numFmtId="3" fontId="111" fillId="16" borderId="54" xfId="2" applyNumberFormat="1" applyFont="1" applyFill="1" applyBorder="1" applyAlignment="1" applyProtection="1">
      <alignment horizontal="left"/>
    </xf>
    <xf numFmtId="0" fontId="109" fillId="16" borderId="174" xfId="2" applyFont="1" applyFill="1" applyBorder="1" applyAlignment="1">
      <alignment horizontal="left" indent="1"/>
    </xf>
    <xf numFmtId="0" fontId="132" fillId="16" borderId="174" xfId="2" applyFont="1" applyFill="1" applyBorder="1" applyAlignment="1">
      <alignment horizontal="left" vertical="center" indent="1"/>
    </xf>
    <xf numFmtId="0" fontId="0" fillId="0" borderId="0" xfId="0"/>
    <xf numFmtId="3" fontId="11" fillId="17" borderId="4" xfId="2" applyNumberFormat="1" applyFont="1" applyFill="1" applyBorder="1" applyAlignment="1" applyProtection="1">
      <alignment vertical="center"/>
      <protection hidden="1"/>
    </xf>
    <xf numFmtId="3" fontId="2" fillId="17" borderId="4" xfId="2" applyNumberFormat="1" applyFont="1" applyFill="1" applyBorder="1" applyAlignment="1" applyProtection="1">
      <alignment vertical="center"/>
      <protection hidden="1"/>
    </xf>
    <xf numFmtId="0" fontId="4" fillId="17" borderId="4" xfId="2" applyFont="1" applyFill="1" applyBorder="1" applyProtection="1">
      <protection locked="0"/>
    </xf>
    <xf numFmtId="0" fontId="4" fillId="17" borderId="0" xfId="2" applyFont="1" applyFill="1" applyBorder="1" applyProtection="1">
      <protection locked="0"/>
    </xf>
    <xf numFmtId="0" fontId="11" fillId="17" borderId="0" xfId="2" applyFont="1" applyFill="1" applyBorder="1" applyProtection="1">
      <protection locked="0"/>
    </xf>
    <xf numFmtId="0" fontId="4" fillId="17" borderId="2" xfId="2" applyFont="1" applyFill="1" applyBorder="1" applyProtection="1">
      <protection locked="0"/>
    </xf>
    <xf numFmtId="0" fontId="4" fillId="17" borderId="1" xfId="2" applyFont="1" applyFill="1" applyBorder="1" applyProtection="1">
      <protection locked="0"/>
    </xf>
    <xf numFmtId="164" fontId="7" fillId="0" borderId="0" xfId="0" applyNumberFormat="1" applyFont="1" applyFill="1" applyBorder="1" applyAlignment="1" applyProtection="1">
      <alignment horizontal="center" vertical="center" wrapText="1"/>
      <protection locked="0"/>
    </xf>
    <xf numFmtId="0" fontId="0" fillId="0" borderId="0" xfId="0"/>
    <xf numFmtId="0" fontId="16" fillId="17" borderId="7" xfId="2" applyFont="1" applyFill="1" applyBorder="1" applyAlignment="1" applyProtection="1">
      <alignment vertical="center"/>
    </xf>
    <xf numFmtId="0" fontId="11" fillId="17" borderId="3" xfId="2" applyFont="1" applyFill="1" applyBorder="1" applyAlignment="1" applyProtection="1">
      <alignment vertical="center"/>
      <protection hidden="1"/>
    </xf>
    <xf numFmtId="3" fontId="10" fillId="17" borderId="75" xfId="2" applyNumberFormat="1" applyFont="1" applyFill="1" applyBorder="1" applyAlignment="1" applyProtection="1">
      <alignment vertical="center"/>
      <protection hidden="1"/>
    </xf>
    <xf numFmtId="0" fontId="11" fillId="17" borderId="105" xfId="2" applyFont="1" applyFill="1" applyBorder="1" applyAlignment="1" applyProtection="1">
      <alignment vertical="center"/>
    </xf>
    <xf numFmtId="0" fontId="11" fillId="17" borderId="57" xfId="2" applyFont="1" applyFill="1" applyBorder="1" applyAlignment="1" applyProtection="1">
      <alignment horizontal="left" vertical="center"/>
    </xf>
    <xf numFmtId="0" fontId="11" fillId="17" borderId="56" xfId="2" applyFont="1" applyFill="1" applyBorder="1" applyAlignment="1" applyProtection="1">
      <alignment vertical="top"/>
    </xf>
    <xf numFmtId="49" fontId="162" fillId="17" borderId="56" xfId="2" applyNumberFormat="1" applyFont="1" applyFill="1" applyBorder="1" applyAlignment="1" applyProtection="1"/>
    <xf numFmtId="0" fontId="16" fillId="17" borderId="59" xfId="2" applyFont="1" applyFill="1" applyBorder="1" applyAlignment="1" applyProtection="1">
      <alignment horizontal="left" vertical="center"/>
    </xf>
    <xf numFmtId="0" fontId="11" fillId="16" borderId="64" xfId="2" applyFont="1" applyFill="1" applyBorder="1" applyAlignment="1" applyProtection="1">
      <alignment horizontal="right"/>
    </xf>
    <xf numFmtId="3" fontId="10" fillId="17" borderId="49" xfId="2" applyNumberFormat="1" applyFont="1" applyFill="1" applyBorder="1" applyAlignment="1" applyProtection="1">
      <alignment vertical="center"/>
      <protection hidden="1"/>
    </xf>
    <xf numFmtId="0" fontId="66" fillId="17" borderId="56" xfId="2" applyFont="1" applyFill="1" applyBorder="1" applyAlignment="1" applyProtection="1">
      <alignment horizontal="right" vertical="center"/>
    </xf>
    <xf numFmtId="164" fontId="66" fillId="17" borderId="56" xfId="2" applyNumberFormat="1" applyFont="1" applyFill="1" applyBorder="1" applyAlignment="1" applyProtection="1">
      <alignment vertical="center"/>
    </xf>
    <xf numFmtId="0" fontId="11" fillId="16" borderId="7" xfId="2" applyFont="1" applyFill="1" applyBorder="1" applyAlignment="1" applyProtection="1">
      <alignment vertical="center"/>
    </xf>
    <xf numFmtId="0" fontId="11" fillId="16" borderId="4" xfId="2" applyFont="1" applyFill="1" applyBorder="1" applyAlignment="1" applyProtection="1">
      <alignment horizontal="left"/>
    </xf>
    <xf numFmtId="0" fontId="59" fillId="16" borderId="4" xfId="0" applyFont="1" applyFill="1" applyBorder="1" applyAlignment="1" applyProtection="1">
      <alignment horizontal="right" vertical="center"/>
    </xf>
    <xf numFmtId="0" fontId="11" fillId="16" borderId="105" xfId="2" applyFont="1" applyFill="1" applyBorder="1" applyAlignment="1" applyProtection="1">
      <alignment vertical="center"/>
      <protection hidden="1"/>
    </xf>
    <xf numFmtId="3" fontId="10" fillId="16" borderId="184" xfId="2" applyNumberFormat="1" applyFont="1" applyFill="1" applyBorder="1" applyAlignment="1" applyProtection="1">
      <alignment horizontal="right" vertical="center"/>
      <protection hidden="1"/>
    </xf>
    <xf numFmtId="0" fontId="8" fillId="16" borderId="104" xfId="2" applyFont="1" applyFill="1" applyBorder="1" applyAlignment="1" applyProtection="1"/>
    <xf numFmtId="0" fontId="11" fillId="17" borderId="3" xfId="2" applyFont="1" applyFill="1" applyBorder="1" applyAlignment="1" applyProtection="1"/>
    <xf numFmtId="0" fontId="1" fillId="16" borderId="74" xfId="2" applyFill="1" applyBorder="1" applyProtection="1"/>
    <xf numFmtId="0" fontId="1" fillId="16" borderId="106" xfId="2" applyFill="1" applyBorder="1"/>
    <xf numFmtId="0" fontId="1" fillId="16" borderId="3" xfId="2" applyFill="1" applyBorder="1"/>
    <xf numFmtId="3" fontId="10" fillId="17" borderId="58" xfId="2" applyNumberFormat="1" applyFont="1" applyFill="1" applyBorder="1" applyAlignment="1" applyProtection="1">
      <alignment vertical="center"/>
    </xf>
    <xf numFmtId="3" fontId="2" fillId="17" borderId="17" xfId="2" applyNumberFormat="1" applyFont="1" applyFill="1" applyBorder="1" applyProtection="1"/>
    <xf numFmtId="3" fontId="2" fillId="17" borderId="15" xfId="2" applyNumberFormat="1" applyFont="1" applyFill="1" applyBorder="1" applyProtection="1"/>
    <xf numFmtId="0" fontId="2" fillId="17" borderId="6" xfId="2" applyFont="1" applyFill="1" applyBorder="1" applyAlignment="1" applyProtection="1">
      <alignment horizontal="center"/>
    </xf>
    <xf numFmtId="0" fontId="2" fillId="17" borderId="18" xfId="2" applyFont="1" applyFill="1" applyBorder="1" applyAlignment="1" applyProtection="1">
      <alignment horizontal="center"/>
    </xf>
    <xf numFmtId="3" fontId="10" fillId="17" borderId="6" xfId="2" applyNumberFormat="1" applyFont="1" applyFill="1" applyBorder="1" applyProtection="1"/>
    <xf numFmtId="3" fontId="10" fillId="17" borderId="11" xfId="2" applyNumberFormat="1" applyFont="1" applyFill="1" applyBorder="1" applyProtection="1"/>
    <xf numFmtId="0" fontId="7" fillId="17" borderId="11" xfId="2" applyFont="1" applyFill="1" applyBorder="1" applyProtection="1">
      <protection hidden="1"/>
    </xf>
    <xf numFmtId="3" fontId="10" fillId="17" borderId="15" xfId="2" applyNumberFormat="1" applyFont="1" applyFill="1" applyBorder="1" applyProtection="1"/>
    <xf numFmtId="3" fontId="10" fillId="17" borderId="15" xfId="2" applyNumberFormat="1" applyFont="1" applyFill="1" applyBorder="1" applyAlignment="1" applyProtection="1">
      <alignment vertical="center"/>
    </xf>
    <xf numFmtId="3" fontId="10" fillId="17" borderId="6" xfId="2" applyNumberFormat="1" applyFont="1" applyFill="1" applyBorder="1" applyAlignment="1" applyProtection="1">
      <alignment vertical="center"/>
    </xf>
    <xf numFmtId="3" fontId="10" fillId="17" borderId="18" xfId="2" applyNumberFormat="1" applyFont="1" applyFill="1" applyBorder="1" applyAlignment="1" applyProtection="1">
      <alignment vertical="center"/>
    </xf>
    <xf numFmtId="3" fontId="10" fillId="17" borderId="11" xfId="2" applyNumberFormat="1" applyFont="1" applyFill="1" applyBorder="1" applyAlignment="1" applyProtection="1">
      <alignment vertical="center"/>
    </xf>
    <xf numFmtId="3" fontId="10" fillId="17" borderId="15" xfId="2" applyNumberFormat="1" applyFont="1" applyFill="1" applyBorder="1" applyAlignment="1" applyProtection="1">
      <alignment vertical="center"/>
      <protection hidden="1"/>
    </xf>
    <xf numFmtId="3" fontId="11" fillId="17" borderId="18" xfId="2" applyNumberFormat="1" applyFont="1" applyFill="1" applyBorder="1" applyAlignment="1" applyProtection="1">
      <alignment vertical="center"/>
    </xf>
    <xf numFmtId="0" fontId="1" fillId="17" borderId="11" xfId="2" applyFill="1" applyBorder="1" applyProtection="1"/>
    <xf numFmtId="3" fontId="11" fillId="17" borderId="6" xfId="2" applyNumberFormat="1" applyFont="1" applyFill="1" applyBorder="1" applyAlignment="1" applyProtection="1">
      <alignment horizontal="right" vertical="center"/>
    </xf>
    <xf numFmtId="3" fontId="10" fillId="17" borderId="129" xfId="2" applyNumberFormat="1" applyFont="1" applyFill="1" applyBorder="1" applyAlignment="1" applyProtection="1">
      <alignment vertical="center"/>
    </xf>
    <xf numFmtId="0" fontId="1" fillId="17" borderId="17" xfId="2" applyFill="1" applyBorder="1" applyProtection="1"/>
    <xf numFmtId="3" fontId="10" fillId="17" borderId="5" xfId="2" applyNumberFormat="1" applyFont="1" applyFill="1" applyBorder="1" applyAlignment="1" applyProtection="1">
      <alignment vertical="center"/>
    </xf>
    <xf numFmtId="3" fontId="10" fillId="17" borderId="9" xfId="2" applyNumberFormat="1" applyFont="1" applyFill="1" applyBorder="1" applyAlignment="1" applyProtection="1">
      <alignment vertical="center"/>
    </xf>
    <xf numFmtId="3" fontId="10" fillId="17" borderId="14" xfId="2" applyNumberFormat="1" applyFont="1" applyFill="1" applyBorder="1" applyAlignment="1" applyProtection="1">
      <alignment vertical="center"/>
    </xf>
    <xf numFmtId="3" fontId="10" fillId="17" borderId="10" xfId="2" applyNumberFormat="1" applyFont="1" applyFill="1" applyBorder="1" applyAlignment="1" applyProtection="1">
      <alignment vertical="center"/>
    </xf>
    <xf numFmtId="3" fontId="10" fillId="17" borderId="14" xfId="2" applyNumberFormat="1" applyFont="1" applyFill="1" applyBorder="1" applyAlignment="1" applyProtection="1">
      <alignment vertical="center"/>
      <protection hidden="1"/>
    </xf>
    <xf numFmtId="3" fontId="107" fillId="17" borderId="14" xfId="0" applyNumberFormat="1" applyFont="1" applyFill="1" applyBorder="1" applyAlignment="1" applyProtection="1">
      <alignment vertical="center"/>
      <protection hidden="1"/>
    </xf>
    <xf numFmtId="0" fontId="10" fillId="17" borderId="0" xfId="2" applyFont="1" applyFill="1" applyBorder="1" applyAlignment="1" applyProtection="1">
      <alignment horizontal="center"/>
    </xf>
    <xf numFmtId="0" fontId="10" fillId="17" borderId="2" xfId="2" applyFont="1" applyFill="1" applyBorder="1" applyProtection="1"/>
    <xf numFmtId="0" fontId="10" fillId="17" borderId="0" xfId="2" applyFont="1" applyFill="1" applyBorder="1" applyAlignment="1" applyProtection="1">
      <alignment horizontal="left"/>
    </xf>
    <xf numFmtId="0" fontId="10" fillId="17" borderId="115" xfId="2" applyFont="1" applyFill="1" applyBorder="1" applyAlignment="1" applyProtection="1">
      <alignment horizontal="left"/>
    </xf>
    <xf numFmtId="0" fontId="1" fillId="0" borderId="0" xfId="2" applyProtection="1">
      <protection locked="0"/>
    </xf>
    <xf numFmtId="0" fontId="1" fillId="0" borderId="0" xfId="2" applyFill="1" applyBorder="1" applyProtection="1">
      <protection locked="0"/>
    </xf>
    <xf numFmtId="9" fontId="110" fillId="0" borderId="0" xfId="2" applyNumberFormat="1" applyFont="1" applyFill="1" applyBorder="1" applyAlignment="1" applyProtection="1">
      <alignment horizontal="right"/>
      <protection locked="0"/>
    </xf>
    <xf numFmtId="0" fontId="4" fillId="0" borderId="0" xfId="2" applyFont="1" applyFill="1" applyBorder="1" applyProtection="1">
      <protection locked="0"/>
    </xf>
    <xf numFmtId="0" fontId="1" fillId="0" borderId="0" xfId="2" applyFont="1" applyFill="1" applyBorder="1" applyProtection="1">
      <protection locked="0"/>
    </xf>
    <xf numFmtId="0" fontId="1" fillId="0" borderId="0" xfId="2" applyFill="1" applyProtection="1">
      <protection locked="0"/>
    </xf>
    <xf numFmtId="9" fontId="110" fillId="0" borderId="0" xfId="2" applyNumberFormat="1" applyFont="1" applyFill="1" applyBorder="1" applyAlignment="1" applyProtection="1">
      <alignment horizontal="right" vertical="center"/>
      <protection locked="0"/>
    </xf>
    <xf numFmtId="9" fontId="7" fillId="0" borderId="0" xfId="2" applyNumberFormat="1" applyFont="1" applyFill="1" applyBorder="1" applyAlignment="1" applyProtection="1">
      <alignment horizontal="center"/>
      <protection locked="0"/>
    </xf>
    <xf numFmtId="0" fontId="1" fillId="0" borderId="0" xfId="2" applyBorder="1" applyProtection="1">
      <protection locked="0"/>
    </xf>
    <xf numFmtId="0" fontId="16" fillId="0" borderId="0" xfId="2" applyFont="1" applyFill="1" applyBorder="1" applyAlignment="1" applyProtection="1">
      <alignment horizontal="left"/>
      <protection locked="0"/>
    </xf>
    <xf numFmtId="0" fontId="1" fillId="0" borderId="0" xfId="2" applyFill="1" applyBorder="1" applyAlignment="1" applyProtection="1">
      <protection locked="0"/>
    </xf>
    <xf numFmtId="0" fontId="16" fillId="0" borderId="0" xfId="2" applyFont="1" applyFill="1" applyBorder="1" applyAlignment="1" applyProtection="1">
      <alignment horizontal="left" indent="2"/>
      <protection locked="0"/>
    </xf>
    <xf numFmtId="0" fontId="16" fillId="0" borderId="0" xfId="2" applyFont="1" applyFill="1" applyBorder="1" applyAlignment="1" applyProtection="1">
      <alignment horizontal="right" indent="2"/>
      <protection locked="0"/>
    </xf>
    <xf numFmtId="0" fontId="62" fillId="0" borderId="0" xfId="0" applyFont="1" applyFill="1" applyBorder="1" applyAlignment="1" applyProtection="1">
      <alignment horizontal="center" vertical="center" wrapText="1"/>
      <protection locked="0"/>
    </xf>
    <xf numFmtId="0" fontId="7" fillId="0" borderId="0" xfId="2" applyFont="1" applyFill="1" applyBorder="1" applyAlignment="1" applyProtection="1">
      <alignment horizontal="right"/>
      <protection locked="0"/>
    </xf>
    <xf numFmtId="3" fontId="2" fillId="0" borderId="0" xfId="2" applyNumberFormat="1" applyFont="1" applyFill="1" applyBorder="1" applyProtection="1">
      <protection locked="0"/>
    </xf>
    <xf numFmtId="9" fontId="11" fillId="0" borderId="0" xfId="12" applyFont="1" applyFill="1" applyBorder="1" applyAlignment="1" applyProtection="1">
      <alignment horizontal="center"/>
      <protection locked="0"/>
    </xf>
    <xf numFmtId="0" fontId="7" fillId="0" borderId="0" xfId="2" applyFont="1" applyFill="1" applyProtection="1">
      <protection locked="0"/>
    </xf>
    <xf numFmtId="0" fontId="7" fillId="0" borderId="0" xfId="2" applyFont="1" applyFill="1" applyBorder="1" applyProtection="1">
      <protection locked="0"/>
    </xf>
    <xf numFmtId="0" fontId="59" fillId="0" borderId="0" xfId="0" applyFont="1" applyFill="1" applyBorder="1" applyAlignment="1" applyProtection="1">
      <alignment horizontal="right" vertical="center"/>
      <protection locked="0"/>
    </xf>
    <xf numFmtId="9" fontId="7" fillId="0" borderId="0" xfId="2" applyNumberFormat="1" applyFont="1" applyFill="1" applyBorder="1" applyAlignment="1" applyProtection="1">
      <alignment horizontal="center" vertical="center"/>
      <protection locked="0"/>
    </xf>
    <xf numFmtId="49" fontId="7" fillId="0" borderId="0" xfId="2" applyNumberFormat="1" applyFont="1" applyFill="1" applyBorder="1" applyAlignment="1" applyProtection="1">
      <alignment horizontal="right"/>
      <protection locked="0"/>
    </xf>
    <xf numFmtId="49" fontId="59" fillId="0" borderId="0" xfId="0" applyNumberFormat="1" applyFont="1" applyFill="1" applyBorder="1" applyAlignment="1" applyProtection="1">
      <alignment horizontal="center" vertical="center" wrapText="1"/>
      <protection locked="0"/>
    </xf>
    <xf numFmtId="0" fontId="59" fillId="0" borderId="0" xfId="0" applyFont="1" applyFill="1" applyBorder="1" applyAlignment="1" applyProtection="1">
      <alignment vertical="center" wrapText="1"/>
      <protection locked="0"/>
    </xf>
    <xf numFmtId="0" fontId="138" fillId="0" borderId="0" xfId="2" applyFont="1" applyProtection="1">
      <protection locked="0"/>
    </xf>
    <xf numFmtId="0" fontId="170" fillId="0" borderId="0" xfId="2" applyFont="1" applyFill="1" applyBorder="1" applyAlignment="1" applyProtection="1">
      <alignment horizontal="left"/>
      <protection locked="0"/>
    </xf>
    <xf numFmtId="0" fontId="173" fillId="0" borderId="0" xfId="0" applyFont="1" applyFill="1" applyBorder="1" applyAlignment="1" applyProtection="1">
      <alignment horizontal="right" vertical="center"/>
      <protection locked="0"/>
    </xf>
    <xf numFmtId="0" fontId="11" fillId="0" borderId="0" xfId="2" applyFont="1" applyFill="1" applyBorder="1" applyAlignment="1" applyProtection="1">
      <alignment vertical="top"/>
      <protection locked="0"/>
    </xf>
    <xf numFmtId="0" fontId="2" fillId="0" borderId="0" xfId="2" applyFont="1" applyFill="1" applyBorder="1" applyAlignment="1" applyProtection="1">
      <protection locked="0"/>
    </xf>
    <xf numFmtId="3" fontId="174" fillId="0" borderId="0" xfId="2" applyNumberFormat="1" applyFont="1" applyFill="1" applyBorder="1" applyAlignment="1" applyProtection="1">
      <alignment vertical="center"/>
      <protection locked="0"/>
    </xf>
    <xf numFmtId="3" fontId="111" fillId="0" borderId="0" xfId="2" applyNumberFormat="1" applyFont="1" applyFill="1" applyBorder="1" applyAlignment="1" applyProtection="1">
      <alignment horizontal="right"/>
      <protection locked="0"/>
    </xf>
    <xf numFmtId="0" fontId="2" fillId="0" borderId="0" xfId="2" applyFont="1" applyFill="1" applyBorder="1" applyProtection="1">
      <protection locked="0"/>
    </xf>
    <xf numFmtId="3" fontId="59" fillId="0" borderId="0" xfId="0" applyNumberFormat="1" applyFont="1" applyFill="1" applyBorder="1" applyAlignment="1" applyProtection="1">
      <alignment vertical="center" wrapText="1"/>
      <protection locked="0"/>
    </xf>
    <xf numFmtId="0" fontId="11" fillId="0" borderId="0" xfId="2" applyFont="1" applyFill="1" applyBorder="1" applyProtection="1">
      <protection locked="0"/>
    </xf>
    <xf numFmtId="0" fontId="11" fillId="0" borderId="0" xfId="2" applyFont="1" applyFill="1" applyBorder="1" applyAlignment="1" applyProtection="1">
      <alignment horizontal="left" vertical="center"/>
      <protection locked="0"/>
    </xf>
    <xf numFmtId="49" fontId="59" fillId="0" borderId="0" xfId="0" applyNumberFormat="1" applyFont="1" applyFill="1" applyBorder="1" applyAlignment="1" applyProtection="1">
      <alignment horizontal="right" vertical="center" wrapText="1"/>
      <protection locked="0"/>
    </xf>
    <xf numFmtId="0" fontId="1" fillId="0" borderId="0" xfId="2" applyFill="1" applyAlignment="1" applyProtection="1">
      <alignment horizontal="center"/>
      <protection locked="0"/>
    </xf>
    <xf numFmtId="0" fontId="9" fillId="0" borderId="0" xfId="2" applyFont="1" applyAlignment="1" applyProtection="1">
      <alignment vertical="top"/>
      <protection locked="0"/>
    </xf>
    <xf numFmtId="3" fontId="10" fillId="0" borderId="0" xfId="2" applyNumberFormat="1" applyFont="1" applyFill="1" applyBorder="1" applyAlignment="1" applyProtection="1">
      <alignment vertical="center"/>
      <protection locked="0"/>
    </xf>
    <xf numFmtId="3" fontId="10" fillId="0" borderId="4" xfId="2" applyNumberFormat="1" applyFont="1" applyFill="1" applyBorder="1" applyAlignment="1" applyProtection="1">
      <alignment vertical="center"/>
      <protection locked="0"/>
    </xf>
    <xf numFmtId="3" fontId="9" fillId="0" borderId="0" xfId="2" applyNumberFormat="1" applyFont="1" applyFill="1" applyBorder="1" applyAlignment="1" applyProtection="1">
      <alignment vertical="center"/>
      <protection locked="0"/>
    </xf>
    <xf numFmtId="0" fontId="9" fillId="0" borderId="0" xfId="2" applyFont="1" applyFill="1" applyBorder="1" applyAlignment="1" applyProtection="1">
      <alignment vertical="top"/>
      <protection locked="0"/>
    </xf>
    <xf numFmtId="0" fontId="9" fillId="0" borderId="0" xfId="2" applyFont="1" applyFill="1" applyBorder="1" applyAlignment="1" applyProtection="1">
      <alignment vertical="center"/>
      <protection locked="0"/>
    </xf>
    <xf numFmtId="3" fontId="9" fillId="0" borderId="0" xfId="2" applyNumberFormat="1" applyFont="1" applyFill="1" applyAlignment="1" applyProtection="1">
      <alignment vertical="center"/>
      <protection locked="0"/>
    </xf>
    <xf numFmtId="0" fontId="9" fillId="0" borderId="0" xfId="2" applyFont="1" applyFill="1" applyAlignment="1" applyProtection="1">
      <alignment vertical="center"/>
      <protection locked="0"/>
    </xf>
    <xf numFmtId="0" fontId="9" fillId="0" borderId="64" xfId="2" applyFont="1" applyFill="1" applyBorder="1" applyAlignment="1" applyProtection="1">
      <alignment vertical="center"/>
      <protection locked="0"/>
    </xf>
    <xf numFmtId="0" fontId="9" fillId="0" borderId="0" xfId="2" applyFont="1" applyAlignment="1" applyProtection="1">
      <alignment vertical="center"/>
      <protection locked="0"/>
    </xf>
    <xf numFmtId="3" fontId="10" fillId="0" borderId="17" xfId="2" applyNumberFormat="1" applyFont="1" applyFill="1" applyBorder="1" applyAlignment="1" applyProtection="1">
      <alignment vertical="center"/>
      <protection locked="0"/>
    </xf>
    <xf numFmtId="0" fontId="11" fillId="0" borderId="14" xfId="2" applyFont="1" applyFill="1" applyBorder="1" applyAlignment="1" applyProtection="1">
      <alignment horizontal="left" vertical="center"/>
      <protection locked="0"/>
    </xf>
    <xf numFmtId="0" fontId="11" fillId="0" borderId="17" xfId="2" applyFont="1" applyFill="1" applyBorder="1" applyAlignment="1" applyProtection="1">
      <alignment horizontal="left"/>
      <protection locked="0"/>
    </xf>
    <xf numFmtId="0" fontId="2" fillId="0" borderId="17" xfId="2" applyFont="1" applyFill="1" applyBorder="1" applyProtection="1">
      <protection locked="0"/>
    </xf>
    <xf numFmtId="0" fontId="62" fillId="0" borderId="17" xfId="0" applyFont="1" applyFill="1" applyBorder="1" applyAlignment="1" applyProtection="1">
      <alignment horizontal="center" vertical="center" wrapText="1"/>
      <protection locked="0"/>
    </xf>
    <xf numFmtId="0" fontId="7" fillId="0" borderId="17" xfId="2" applyFont="1" applyFill="1" applyBorder="1" applyAlignment="1" applyProtection="1">
      <alignment horizontal="right"/>
      <protection locked="0"/>
    </xf>
    <xf numFmtId="3" fontId="10" fillId="0" borderId="15" xfId="2" applyNumberFormat="1" applyFont="1" applyFill="1" applyBorder="1" applyAlignment="1" applyProtection="1">
      <alignment vertical="center"/>
      <protection locked="0"/>
    </xf>
    <xf numFmtId="0" fontId="2" fillId="0" borderId="0" xfId="2" applyFont="1" applyFill="1" applyProtection="1">
      <protection locked="0"/>
    </xf>
    <xf numFmtId="0" fontId="141" fillId="0" borderId="0" xfId="2" applyFont="1" applyFill="1" applyProtection="1">
      <protection locked="0"/>
    </xf>
    <xf numFmtId="0" fontId="12" fillId="0" borderId="0" xfId="2" applyFont="1" applyFill="1" applyProtection="1">
      <protection locked="0"/>
    </xf>
    <xf numFmtId="0" fontId="136" fillId="0" borderId="0" xfId="2" applyFont="1" applyFill="1" applyProtection="1">
      <protection locked="0"/>
    </xf>
    <xf numFmtId="0" fontId="2" fillId="0" borderId="0" xfId="2" applyFont="1" applyFill="1" applyAlignment="1" applyProtection="1">
      <alignment horizontal="centerContinuous"/>
      <protection locked="0"/>
    </xf>
    <xf numFmtId="0" fontId="69" fillId="0" borderId="0" xfId="2" applyFont="1" applyFill="1" applyBorder="1" applyAlignment="1" applyProtection="1">
      <protection locked="0"/>
    </xf>
    <xf numFmtId="0" fontId="0" fillId="0" borderId="0" xfId="0" applyProtection="1">
      <protection locked="0"/>
    </xf>
    <xf numFmtId="0" fontId="125" fillId="0" borderId="0" xfId="2" applyFont="1" applyFill="1" applyProtection="1">
      <protection locked="0"/>
    </xf>
    <xf numFmtId="3" fontId="69" fillId="0" borderId="0" xfId="2" applyNumberFormat="1" applyFont="1" applyFill="1" applyBorder="1" applyProtection="1">
      <protection locked="0"/>
    </xf>
    <xf numFmtId="0" fontId="4" fillId="17" borderId="0" xfId="2" applyFont="1" applyFill="1" applyProtection="1"/>
    <xf numFmtId="0" fontId="4" fillId="0" borderId="2" xfId="2" applyFont="1" applyFill="1" applyBorder="1" applyProtection="1">
      <protection locked="0"/>
    </xf>
    <xf numFmtId="0" fontId="6" fillId="0" borderId="3" xfId="2" applyFont="1" applyFill="1" applyBorder="1" applyAlignment="1" applyProtection="1">
      <alignment horizontal="center"/>
      <protection locked="0"/>
    </xf>
    <xf numFmtId="0" fontId="7" fillId="0" borderId="2" xfId="2" applyFont="1" applyFill="1" applyBorder="1" applyProtection="1">
      <protection locked="0"/>
    </xf>
    <xf numFmtId="3" fontId="7" fillId="0" borderId="3" xfId="2" applyNumberFormat="1" applyFont="1" applyFill="1" applyBorder="1" applyProtection="1">
      <protection locked="0"/>
    </xf>
    <xf numFmtId="3" fontId="6" fillId="0" borderId="3" xfId="2" applyNumberFormat="1" applyFont="1" applyFill="1" applyBorder="1" applyProtection="1">
      <protection locked="0"/>
    </xf>
    <xf numFmtId="3" fontId="12" fillId="0" borderId="0" xfId="2" applyNumberFormat="1" applyFont="1" applyFill="1" applyBorder="1" applyProtection="1">
      <protection locked="0"/>
    </xf>
    <xf numFmtId="0" fontId="29" fillId="0" borderId="0" xfId="2" applyFont="1" applyFill="1" applyBorder="1" applyProtection="1">
      <protection locked="0"/>
    </xf>
    <xf numFmtId="0" fontId="4" fillId="0" borderId="0" xfId="2" applyFont="1" applyBorder="1" applyAlignment="1" applyProtection="1">
      <alignment horizontal="center"/>
      <protection locked="0"/>
    </xf>
    <xf numFmtId="0" fontId="2" fillId="0" borderId="0" xfId="2" applyFont="1" applyFill="1" applyBorder="1" applyAlignment="1" applyProtection="1">
      <alignment horizontal="left"/>
      <protection locked="0"/>
    </xf>
    <xf numFmtId="3" fontId="7" fillId="0" borderId="3" xfId="2" applyNumberFormat="1" applyFont="1" applyFill="1" applyBorder="1" applyAlignment="1" applyProtection="1">
      <alignment vertical="top"/>
      <protection locked="0"/>
    </xf>
    <xf numFmtId="0" fontId="4" fillId="0" borderId="0" xfId="2" applyFont="1" applyFill="1" applyAlignment="1" applyProtection="1">
      <alignment vertical="top"/>
      <protection locked="0"/>
    </xf>
    <xf numFmtId="3" fontId="9" fillId="0" borderId="3" xfId="2" applyNumberFormat="1" applyFont="1" applyFill="1" applyBorder="1" applyAlignment="1" applyProtection="1">
      <alignment vertical="top"/>
      <protection locked="0"/>
    </xf>
    <xf numFmtId="3" fontId="6" fillId="0" borderId="3" xfId="2" applyNumberFormat="1" applyFont="1" applyFill="1" applyBorder="1" applyAlignment="1" applyProtection="1">
      <protection locked="0"/>
    </xf>
    <xf numFmtId="0" fontId="5" fillId="0" borderId="0" xfId="2" applyFont="1" applyFill="1" applyProtection="1">
      <protection locked="0"/>
    </xf>
    <xf numFmtId="0" fontId="114" fillId="0" borderId="0" xfId="0" applyFont="1" applyProtection="1">
      <protection locked="0"/>
    </xf>
    <xf numFmtId="0" fontId="7" fillId="0" borderId="0" xfId="2" applyFont="1" applyBorder="1" applyAlignment="1" applyProtection="1">
      <alignment horizontal="right"/>
      <protection locked="0"/>
    </xf>
    <xf numFmtId="0" fontId="11" fillId="0" borderId="0" xfId="2" applyFont="1" applyFill="1" applyProtection="1">
      <protection locked="0"/>
    </xf>
    <xf numFmtId="0" fontId="15" fillId="17" borderId="7" xfId="2" applyFont="1" applyFill="1" applyBorder="1" applyAlignment="1" applyProtection="1">
      <alignment horizontal="left"/>
    </xf>
    <xf numFmtId="0" fontId="15" fillId="17" borderId="3" xfId="2" applyFont="1" applyFill="1" applyBorder="1" applyAlignment="1" applyProtection="1">
      <alignment horizontal="left"/>
    </xf>
    <xf numFmtId="0" fontId="7" fillId="17" borderId="2" xfId="2" applyFont="1" applyFill="1" applyBorder="1" applyAlignment="1" applyProtection="1">
      <alignment horizontal="left"/>
    </xf>
    <xf numFmtId="0" fontId="11" fillId="17" borderId="3" xfId="2" applyFont="1" applyFill="1" applyBorder="1" applyAlignment="1" applyProtection="1">
      <alignment vertical="top"/>
    </xf>
    <xf numFmtId="0" fontId="80" fillId="17" borderId="3" xfId="2" applyFont="1" applyFill="1" applyBorder="1" applyAlignment="1" applyProtection="1">
      <alignment horizontal="left" vertical="top"/>
    </xf>
    <xf numFmtId="0" fontId="11" fillId="0" borderId="0" xfId="2" applyFont="1" applyFill="1" applyProtection="1"/>
    <xf numFmtId="0" fontId="114" fillId="0" borderId="23" xfId="0" applyFont="1" applyBorder="1" applyProtection="1">
      <protection hidden="1"/>
    </xf>
    <xf numFmtId="0" fontId="7" fillId="0" borderId="23" xfId="2" applyFont="1" applyFill="1" applyBorder="1" applyProtection="1">
      <protection hidden="1"/>
    </xf>
    <xf numFmtId="0" fontId="1" fillId="0" borderId="0" xfId="2" applyFont="1" applyBorder="1" applyAlignment="1" applyProtection="1">
      <alignment horizontal="right"/>
      <protection locked="0"/>
    </xf>
    <xf numFmtId="0" fontId="2" fillId="0" borderId="0" xfId="2" applyFont="1" applyProtection="1">
      <protection locked="0"/>
    </xf>
    <xf numFmtId="0" fontId="11" fillId="0" borderId="0" xfId="2" applyFont="1" applyBorder="1" applyProtection="1">
      <protection locked="0"/>
    </xf>
    <xf numFmtId="3" fontId="2" fillId="0" borderId="0" xfId="2" applyNumberFormat="1" applyFont="1" applyProtection="1">
      <protection locked="0"/>
    </xf>
    <xf numFmtId="0" fontId="11" fillId="17" borderId="7" xfId="2" applyFont="1" applyFill="1" applyBorder="1" applyProtection="1"/>
    <xf numFmtId="49" fontId="16" fillId="17" borderId="4" xfId="2" applyNumberFormat="1" applyFont="1" applyFill="1" applyBorder="1" applyProtection="1"/>
    <xf numFmtId="49" fontId="16" fillId="17" borderId="8" xfId="2" applyNumberFormat="1" applyFont="1" applyFill="1" applyBorder="1" applyProtection="1"/>
    <xf numFmtId="49" fontId="11" fillId="17" borderId="2" xfId="2" applyNumberFormat="1" applyFont="1" applyFill="1" applyBorder="1" applyProtection="1"/>
    <xf numFmtId="3" fontId="10" fillId="17" borderId="58" xfId="2" applyNumberFormat="1" applyFont="1" applyFill="1" applyBorder="1" applyAlignment="1" applyProtection="1">
      <alignment horizontal="right" vertical="center"/>
    </xf>
    <xf numFmtId="3" fontId="10" fillId="17" borderId="62" xfId="2" applyNumberFormat="1" applyFont="1" applyFill="1" applyBorder="1" applyAlignment="1" applyProtection="1">
      <alignment horizontal="right" vertical="center"/>
    </xf>
    <xf numFmtId="0" fontId="11" fillId="17" borderId="0" xfId="2" applyNumberFormat="1" applyFont="1" applyFill="1" applyBorder="1" applyAlignment="1" applyProtection="1">
      <alignment vertical="center"/>
    </xf>
    <xf numFmtId="0" fontId="11" fillId="17" borderId="2" xfId="2" applyNumberFormat="1" applyFont="1" applyFill="1" applyBorder="1" applyAlignment="1" applyProtection="1">
      <alignment vertical="center"/>
    </xf>
    <xf numFmtId="3" fontId="10" fillId="17" borderId="48" xfId="2" applyNumberFormat="1" applyFont="1" applyFill="1" applyBorder="1" applyProtection="1"/>
    <xf numFmtId="3" fontId="78" fillId="17" borderId="58" xfId="2" applyNumberFormat="1" applyFont="1" applyFill="1" applyBorder="1" applyProtection="1"/>
    <xf numFmtId="49" fontId="16" fillId="17" borderId="0" xfId="2" applyNumberFormat="1" applyFont="1" applyFill="1" applyBorder="1" applyProtection="1"/>
    <xf numFmtId="49" fontId="16" fillId="17" borderId="2" xfId="2" applyNumberFormat="1" applyFont="1" applyFill="1" applyBorder="1" applyProtection="1"/>
    <xf numFmtId="49" fontId="11" fillId="17" borderId="0" xfId="2" applyNumberFormat="1" applyFont="1" applyFill="1" applyBorder="1" applyProtection="1"/>
    <xf numFmtId="3" fontId="78" fillId="17" borderId="43" xfId="2" applyNumberFormat="1" applyFont="1" applyFill="1" applyBorder="1" applyProtection="1"/>
    <xf numFmtId="49" fontId="16" fillId="17" borderId="1" xfId="2" applyNumberFormat="1" applyFont="1" applyFill="1" applyBorder="1" applyProtection="1"/>
    <xf numFmtId="49" fontId="16" fillId="17" borderId="16" xfId="2" applyNumberFormat="1" applyFont="1" applyFill="1" applyBorder="1" applyProtection="1"/>
    <xf numFmtId="0" fontId="2" fillId="0" borderId="0" xfId="2" applyFont="1" applyProtection="1"/>
    <xf numFmtId="0" fontId="2" fillId="0" borderId="2" xfId="2" applyFont="1" applyBorder="1" applyProtection="1"/>
    <xf numFmtId="0" fontId="11" fillId="17" borderId="13" xfId="2" applyFont="1" applyFill="1" applyBorder="1" applyAlignment="1" applyProtection="1">
      <alignment horizontal="center"/>
    </xf>
    <xf numFmtId="0" fontId="11" fillId="0" borderId="10" xfId="2" applyFont="1" applyBorder="1" applyProtection="1">
      <protection locked="0"/>
    </xf>
    <xf numFmtId="0" fontId="11" fillId="0" borderId="23" xfId="2" applyFont="1" applyBorder="1" applyProtection="1"/>
    <xf numFmtId="0" fontId="16" fillId="16" borderId="250" xfId="2" applyFont="1" applyFill="1" applyBorder="1" applyAlignment="1" applyProtection="1">
      <alignment vertical="center"/>
    </xf>
    <xf numFmtId="0" fontId="7" fillId="16" borderId="251" xfId="2" applyFont="1" applyFill="1" applyBorder="1" applyAlignment="1" applyProtection="1">
      <alignment horizontal="right"/>
    </xf>
    <xf numFmtId="3" fontId="107" fillId="0" borderId="0" xfId="0" applyNumberFormat="1" applyFont="1" applyAlignment="1" applyProtection="1">
      <alignment vertical="center"/>
    </xf>
    <xf numFmtId="3" fontId="107" fillId="0" borderId="11" xfId="0" applyNumberFormat="1" applyFont="1" applyBorder="1" applyAlignment="1" applyProtection="1">
      <alignment vertical="center"/>
    </xf>
    <xf numFmtId="0" fontId="17" fillId="17" borderId="7" xfId="2" applyFont="1" applyFill="1" applyBorder="1" applyAlignment="1" applyProtection="1">
      <alignment horizontal="left" indent="1"/>
      <protection locked="0"/>
    </xf>
    <xf numFmtId="0" fontId="10" fillId="17" borderId="0" xfId="2" applyFont="1" applyFill="1" applyProtection="1"/>
    <xf numFmtId="9" fontId="10" fillId="17" borderId="0" xfId="2" applyNumberFormat="1" applyFont="1" applyFill="1" applyAlignment="1" applyProtection="1">
      <alignment horizontal="right"/>
    </xf>
    <xf numFmtId="0" fontId="10" fillId="17" borderId="0" xfId="2" applyFont="1" applyFill="1" applyAlignment="1" applyProtection="1">
      <alignment horizontal="right"/>
    </xf>
    <xf numFmtId="9" fontId="10" fillId="17" borderId="0" xfId="2" applyNumberFormat="1" applyFont="1" applyFill="1" applyBorder="1" applyAlignment="1" applyProtection="1">
      <alignment horizontal="right"/>
    </xf>
    <xf numFmtId="9" fontId="10" fillId="17" borderId="1" xfId="2" applyNumberFormat="1" applyFont="1" applyFill="1" applyBorder="1" applyAlignment="1" applyProtection="1">
      <alignment horizontal="right"/>
    </xf>
    <xf numFmtId="0" fontId="10" fillId="17" borderId="0" xfId="2" applyFont="1" applyFill="1" applyBorder="1" applyProtection="1"/>
    <xf numFmtId="0" fontId="4" fillId="0" borderId="3" xfId="2" applyFont="1" applyFill="1" applyBorder="1" applyProtection="1">
      <protection locked="0"/>
    </xf>
    <xf numFmtId="3" fontId="2" fillId="17" borderId="0" xfId="2" applyNumberFormat="1" applyFont="1" applyFill="1" applyBorder="1" applyAlignment="1" applyProtection="1">
      <alignment horizontal="right" vertical="center"/>
    </xf>
    <xf numFmtId="3" fontId="115" fillId="24" borderId="41" xfId="2" applyNumberFormat="1" applyFont="1" applyFill="1" applyBorder="1" applyAlignment="1" applyProtection="1">
      <alignment horizontal="center"/>
    </xf>
    <xf numFmtId="3" fontId="10" fillId="17" borderId="259" xfId="2" applyNumberFormat="1" applyFont="1" applyFill="1" applyBorder="1" applyAlignment="1" applyProtection="1">
      <alignment vertical="center"/>
    </xf>
    <xf numFmtId="3" fontId="10" fillId="0" borderId="258" xfId="2" applyNumberFormat="1" applyFont="1" applyFill="1" applyBorder="1" applyAlignment="1" applyProtection="1">
      <alignment vertical="center"/>
      <protection locked="0"/>
    </xf>
    <xf numFmtId="0" fontId="4" fillId="17" borderId="0" xfId="2" applyFont="1" applyFill="1" applyBorder="1" applyAlignment="1" applyProtection="1">
      <alignment vertical="center"/>
    </xf>
    <xf numFmtId="3" fontId="10" fillId="0" borderId="260" xfId="2" applyNumberFormat="1" applyFont="1" applyFill="1" applyBorder="1" applyAlignment="1" applyProtection="1">
      <alignment vertical="center"/>
      <protection locked="0"/>
    </xf>
    <xf numFmtId="0" fontId="4" fillId="17" borderId="8" xfId="2" applyFont="1" applyFill="1" applyBorder="1" applyProtection="1">
      <protection locked="0"/>
    </xf>
    <xf numFmtId="0" fontId="4" fillId="17" borderId="16" xfId="2" applyFont="1" applyFill="1" applyBorder="1" applyProtection="1">
      <protection locked="0"/>
    </xf>
    <xf numFmtId="10" fontId="10" fillId="0" borderId="127" xfId="2" applyNumberFormat="1" applyFont="1" applyFill="1" applyBorder="1" applyAlignment="1" applyProtection="1">
      <alignment horizontal="center" vertical="center"/>
      <protection locked="0"/>
    </xf>
    <xf numFmtId="3" fontId="10" fillId="0" borderId="262" xfId="2" applyNumberFormat="1" applyFont="1" applyFill="1" applyBorder="1" applyAlignment="1" applyProtection="1">
      <alignment vertical="center"/>
      <protection locked="0"/>
    </xf>
    <xf numFmtId="0" fontId="11" fillId="0" borderId="118" xfId="2" applyFont="1" applyBorder="1" applyAlignment="1" applyProtection="1">
      <alignment horizontal="right"/>
      <protection locked="0"/>
    </xf>
    <xf numFmtId="0" fontId="11" fillId="0" borderId="119" xfId="2" applyFont="1" applyBorder="1" applyAlignment="1" applyProtection="1">
      <alignment horizontal="right"/>
      <protection locked="0"/>
    </xf>
    <xf numFmtId="3" fontId="9" fillId="0" borderId="35" xfId="2" applyNumberFormat="1" applyFont="1" applyFill="1" applyBorder="1" applyAlignment="1" applyProtection="1">
      <alignment vertical="center"/>
      <protection locked="0"/>
    </xf>
    <xf numFmtId="9" fontId="10" fillId="0" borderId="127" xfId="2" applyNumberFormat="1" applyFont="1" applyFill="1" applyBorder="1" applyAlignment="1" applyProtection="1">
      <alignment horizontal="center" vertical="center"/>
      <protection locked="0"/>
    </xf>
    <xf numFmtId="10" fontId="10" fillId="0" borderId="127" xfId="2" applyNumberFormat="1" applyFont="1" applyFill="1" applyBorder="1" applyAlignment="1" applyProtection="1">
      <alignment vertical="center"/>
      <protection locked="0"/>
    </xf>
    <xf numFmtId="0" fontId="12" fillId="17" borderId="3" xfId="2" applyFont="1" applyFill="1" applyBorder="1" applyProtection="1"/>
    <xf numFmtId="3" fontId="4" fillId="0" borderId="0" xfId="2" applyNumberFormat="1" applyFont="1" applyFill="1" applyProtection="1">
      <protection locked="0"/>
    </xf>
    <xf numFmtId="0" fontId="11" fillId="17" borderId="13" xfId="2" applyFont="1" applyFill="1" applyBorder="1" applyAlignment="1" applyProtection="1">
      <alignment horizontal="left" indent="1"/>
      <protection locked="0"/>
    </xf>
    <xf numFmtId="3" fontId="110" fillId="17" borderId="17" xfId="2" applyNumberFormat="1" applyFont="1" applyFill="1" applyBorder="1" applyAlignment="1" applyProtection="1">
      <alignment horizontal="right" vertical="center"/>
      <protection hidden="1"/>
    </xf>
    <xf numFmtId="3" fontId="110" fillId="17" borderId="17" xfId="2" applyNumberFormat="1" applyFont="1" applyFill="1" applyBorder="1" applyAlignment="1" applyProtection="1">
      <alignment vertical="center"/>
      <protection hidden="1"/>
    </xf>
    <xf numFmtId="0" fontId="178" fillId="0" borderId="0" xfId="0" applyFont="1" applyFill="1" applyBorder="1" applyAlignment="1" applyProtection="1">
      <alignment vertical="center" wrapText="1"/>
      <protection locked="0"/>
    </xf>
    <xf numFmtId="0" fontId="17" fillId="17" borderId="7" xfId="2" applyFont="1" applyFill="1" applyBorder="1" applyAlignment="1" applyProtection="1">
      <alignment horizontal="left" indent="1"/>
    </xf>
    <xf numFmtId="0" fontId="4" fillId="17" borderId="4" xfId="2" applyFont="1" applyFill="1" applyBorder="1" applyProtection="1"/>
    <xf numFmtId="0" fontId="12" fillId="17" borderId="4" xfId="2" applyFont="1" applyFill="1" applyBorder="1" applyProtection="1"/>
    <xf numFmtId="0" fontId="11" fillId="17" borderId="4" xfId="2" applyFont="1" applyFill="1" applyBorder="1" applyAlignment="1" applyProtection="1">
      <alignment horizontal="center"/>
    </xf>
    <xf numFmtId="0" fontId="17" fillId="17" borderId="3" xfId="2" applyFont="1" applyFill="1" applyBorder="1" applyAlignment="1" applyProtection="1">
      <alignment horizontal="left" vertical="top" indent="1"/>
    </xf>
    <xf numFmtId="0" fontId="12" fillId="17" borderId="2" xfId="2" applyFont="1" applyFill="1" applyBorder="1" applyProtection="1"/>
    <xf numFmtId="0" fontId="172" fillId="17" borderId="0" xfId="2" applyFont="1" applyFill="1" applyBorder="1" applyProtection="1"/>
    <xf numFmtId="0" fontId="27" fillId="17" borderId="0" xfId="2" applyFont="1" applyFill="1" applyBorder="1" applyProtection="1"/>
    <xf numFmtId="3" fontId="12" fillId="17" borderId="0" xfId="2" applyNumberFormat="1" applyFont="1" applyFill="1" applyBorder="1" applyAlignment="1" applyProtection="1"/>
    <xf numFmtId="0" fontId="11" fillId="17" borderId="36" xfId="2" applyFont="1" applyFill="1" applyBorder="1" applyProtection="1"/>
    <xf numFmtId="0" fontId="4" fillId="17" borderId="2" xfId="2" applyFont="1" applyFill="1" applyBorder="1" applyProtection="1"/>
    <xf numFmtId="0" fontId="16" fillId="17" borderId="3" xfId="2" applyFont="1" applyFill="1" applyBorder="1" applyAlignment="1" applyProtection="1">
      <alignment horizontal="left" indent="1"/>
    </xf>
    <xf numFmtId="0" fontId="12" fillId="17" borderId="0" xfId="2" applyFont="1" applyFill="1" applyBorder="1" applyAlignment="1" applyProtection="1">
      <alignment vertical="center"/>
    </xf>
    <xf numFmtId="3" fontId="12" fillId="17" borderId="0" xfId="2" applyNumberFormat="1" applyFont="1" applyFill="1" applyBorder="1" applyAlignment="1" applyProtection="1">
      <alignment vertical="center"/>
    </xf>
    <xf numFmtId="0" fontId="80" fillId="17" borderId="3" xfId="2" applyFont="1" applyFill="1" applyBorder="1" applyAlignment="1" applyProtection="1">
      <alignment horizontal="left" indent="1"/>
    </xf>
    <xf numFmtId="0" fontId="12" fillId="17" borderId="0" xfId="2" applyFont="1" applyFill="1" applyBorder="1" applyAlignment="1" applyProtection="1">
      <alignment vertical="top"/>
    </xf>
    <xf numFmtId="3" fontId="12" fillId="17" borderId="0" xfId="2" applyNumberFormat="1" applyFont="1" applyFill="1" applyBorder="1" applyAlignment="1" applyProtection="1">
      <alignment horizontal="right" vertical="center"/>
    </xf>
    <xf numFmtId="0" fontId="2" fillId="17" borderId="0" xfId="2" applyFont="1" applyFill="1" applyBorder="1" applyAlignment="1" applyProtection="1">
      <alignment vertical="center"/>
    </xf>
    <xf numFmtId="3" fontId="2" fillId="17" borderId="2" xfId="2" applyNumberFormat="1" applyFont="1" applyFill="1" applyBorder="1" applyAlignment="1" applyProtection="1"/>
    <xf numFmtId="0" fontId="15" fillId="17" borderId="2" xfId="2" applyFont="1" applyFill="1" applyBorder="1" applyAlignment="1" applyProtection="1">
      <alignment horizontal="center"/>
    </xf>
    <xf numFmtId="0" fontId="4" fillId="17" borderId="16" xfId="2" applyFont="1" applyFill="1" applyBorder="1" applyProtection="1"/>
    <xf numFmtId="3" fontId="11" fillId="17" borderId="0" xfId="2" applyNumberFormat="1" applyFont="1" applyFill="1" applyBorder="1" applyAlignment="1" applyProtection="1">
      <alignment horizontal="center" vertical="center"/>
    </xf>
    <xf numFmtId="0" fontId="80" fillId="17" borderId="13" xfId="2" applyFont="1" applyFill="1" applyBorder="1" applyAlignment="1" applyProtection="1">
      <alignment horizontal="left" vertical="center" indent="1"/>
    </xf>
    <xf numFmtId="0" fontId="80" fillId="17" borderId="1" xfId="2" applyFont="1" applyFill="1" applyBorder="1" applyAlignment="1" applyProtection="1">
      <alignment vertical="center"/>
    </xf>
    <xf numFmtId="0" fontId="12" fillId="17" borderId="0" xfId="2" applyFont="1" applyFill="1" applyBorder="1" applyAlignment="1" applyProtection="1">
      <alignment horizontal="center" vertical="center"/>
    </xf>
    <xf numFmtId="3" fontId="2" fillId="17" borderId="0" xfId="2" applyNumberFormat="1" applyFont="1" applyFill="1" applyBorder="1" applyAlignment="1" applyProtection="1">
      <alignment vertical="center"/>
    </xf>
    <xf numFmtId="0" fontId="10" fillId="17" borderId="0" xfId="2" applyFont="1" applyFill="1" applyBorder="1" applyAlignment="1" applyProtection="1">
      <alignment horizontal="center" vertical="center"/>
    </xf>
    <xf numFmtId="0" fontId="15" fillId="17" borderId="0" xfId="2" applyFont="1" applyFill="1" applyBorder="1" applyAlignment="1" applyProtection="1">
      <alignment horizontal="center" vertical="center"/>
    </xf>
    <xf numFmtId="3" fontId="10" fillId="17" borderId="70" xfId="2" applyNumberFormat="1" applyFont="1" applyFill="1" applyBorder="1" applyAlignment="1" applyProtection="1">
      <alignment vertical="center"/>
    </xf>
    <xf numFmtId="3" fontId="10" fillId="17" borderId="41" xfId="2" applyNumberFormat="1" applyFont="1" applyFill="1" applyBorder="1" applyAlignment="1" applyProtection="1">
      <alignment vertical="center"/>
    </xf>
    <xf numFmtId="3" fontId="10" fillId="17" borderId="261" xfId="2" applyNumberFormat="1" applyFont="1" applyFill="1" applyBorder="1" applyAlignment="1" applyProtection="1">
      <alignment vertical="center"/>
    </xf>
    <xf numFmtId="3" fontId="10" fillId="17" borderId="264" xfId="2" applyNumberFormat="1" applyFont="1" applyFill="1" applyBorder="1" applyAlignment="1" applyProtection="1">
      <alignment vertical="center"/>
    </xf>
    <xf numFmtId="3" fontId="78" fillId="17" borderId="48" xfId="2" applyNumberFormat="1" applyFont="1" applyFill="1" applyBorder="1" applyAlignment="1" applyProtection="1">
      <alignment vertical="center"/>
    </xf>
    <xf numFmtId="3" fontId="10" fillId="17" borderId="263" xfId="2" applyNumberFormat="1" applyFont="1" applyFill="1" applyBorder="1" applyAlignment="1" applyProtection="1">
      <alignment vertical="center"/>
    </xf>
    <xf numFmtId="0" fontId="4" fillId="17" borderId="8" xfId="2" applyFont="1" applyFill="1" applyBorder="1" applyProtection="1"/>
    <xf numFmtId="3" fontId="11" fillId="17" borderId="36" xfId="2" applyNumberFormat="1" applyFont="1" applyFill="1" applyBorder="1" applyProtection="1"/>
    <xf numFmtId="0" fontId="12" fillId="17" borderId="11" xfId="2" applyFont="1" applyFill="1" applyBorder="1" applyProtection="1"/>
    <xf numFmtId="3" fontId="11" fillId="17" borderId="11" xfId="2" applyNumberFormat="1" applyFont="1" applyFill="1" applyBorder="1" applyProtection="1"/>
    <xf numFmtId="3" fontId="12" fillId="17" borderId="3" xfId="2" applyNumberFormat="1" applyFont="1" applyFill="1" applyBorder="1" applyAlignment="1" applyProtection="1">
      <alignment horizontal="left" indent="1"/>
    </xf>
    <xf numFmtId="0" fontId="11" fillId="17" borderId="256" xfId="2" applyFont="1" applyFill="1" applyBorder="1" applyProtection="1"/>
    <xf numFmtId="0" fontId="11" fillId="17" borderId="11" xfId="2" applyFont="1" applyFill="1" applyBorder="1" applyProtection="1"/>
    <xf numFmtId="3" fontId="10" fillId="17" borderId="255" xfId="2" applyNumberFormat="1" applyFont="1" applyFill="1" applyBorder="1" applyAlignment="1" applyProtection="1">
      <alignment vertical="center"/>
    </xf>
    <xf numFmtId="3" fontId="2" fillId="17" borderId="2" xfId="2" applyNumberFormat="1" applyFont="1" applyFill="1" applyBorder="1" applyAlignment="1" applyProtection="1">
      <alignment horizontal="right" vertical="center"/>
    </xf>
    <xf numFmtId="3" fontId="78" fillId="17" borderId="257" xfId="2" applyNumberFormat="1" applyFont="1" applyFill="1" applyBorder="1" applyAlignment="1" applyProtection="1">
      <alignment vertical="center"/>
    </xf>
    <xf numFmtId="0" fontId="2" fillId="17" borderId="2" xfId="2" applyFont="1" applyFill="1" applyBorder="1" applyProtection="1"/>
    <xf numFmtId="10" fontId="10" fillId="17" borderId="0" xfId="2" applyNumberFormat="1" applyFont="1" applyFill="1" applyBorder="1" applyAlignment="1" applyProtection="1">
      <alignment vertical="center"/>
    </xf>
    <xf numFmtId="0" fontId="12" fillId="17" borderId="58" xfId="2" applyFont="1" applyFill="1" applyBorder="1" applyAlignment="1" applyProtection="1">
      <alignment vertical="center"/>
    </xf>
    <xf numFmtId="3" fontId="29" fillId="17" borderId="2" xfId="2" applyNumberFormat="1" applyFont="1" applyFill="1" applyBorder="1" applyAlignment="1" applyProtection="1">
      <alignment vertical="center"/>
    </xf>
    <xf numFmtId="0" fontId="4" fillId="17" borderId="264" xfId="2" applyFont="1" applyFill="1" applyBorder="1" applyAlignment="1" applyProtection="1">
      <alignment vertical="center"/>
    </xf>
    <xf numFmtId="3" fontId="78" fillId="17" borderId="70" xfId="2" applyNumberFormat="1" applyFont="1" applyFill="1" applyBorder="1" applyAlignment="1" applyProtection="1">
      <alignment vertical="center"/>
    </xf>
    <xf numFmtId="0" fontId="80" fillId="17" borderId="13" xfId="2" applyFont="1" applyFill="1" applyBorder="1" applyAlignment="1" applyProtection="1">
      <alignment horizontal="left" indent="1"/>
    </xf>
    <xf numFmtId="3" fontId="10" fillId="17" borderId="13" xfId="2" applyNumberFormat="1" applyFont="1" applyFill="1" applyBorder="1" applyAlignment="1" applyProtection="1">
      <alignment vertical="center"/>
      <protection hidden="1"/>
    </xf>
    <xf numFmtId="0" fontId="62" fillId="17" borderId="60" xfId="0" applyFont="1" applyFill="1" applyBorder="1" applyAlignment="1" applyProtection="1">
      <alignment horizontal="center" vertical="center" wrapText="1"/>
    </xf>
    <xf numFmtId="49" fontId="12" fillId="0" borderId="0" xfId="2" applyNumberFormat="1" applyFont="1" applyAlignment="1">
      <alignment vertical="top"/>
    </xf>
    <xf numFmtId="0" fontId="11" fillId="0" borderId="166" xfId="2" applyFont="1" applyFill="1" applyBorder="1" applyProtection="1">
      <protection locked="0"/>
    </xf>
    <xf numFmtId="0" fontId="170" fillId="0" borderId="138" xfId="2" applyFont="1" applyFill="1" applyBorder="1" applyAlignment="1" applyProtection="1">
      <alignment horizontal="left"/>
      <protection locked="0"/>
    </xf>
    <xf numFmtId="3" fontId="9" fillId="0" borderId="36" xfId="2" applyNumberFormat="1" applyFont="1" applyFill="1" applyBorder="1" applyAlignment="1" applyProtection="1">
      <alignment vertical="center"/>
    </xf>
    <xf numFmtId="0" fontId="11" fillId="0" borderId="164" xfId="2" applyFont="1" applyFill="1" applyBorder="1" applyProtection="1">
      <protection locked="0"/>
    </xf>
    <xf numFmtId="0" fontId="170" fillId="0" borderId="213" xfId="2" applyFont="1" applyFill="1" applyBorder="1" applyAlignment="1" applyProtection="1">
      <alignment horizontal="left"/>
      <protection locked="0"/>
    </xf>
    <xf numFmtId="3" fontId="10" fillId="17" borderId="186" xfId="2" applyNumberFormat="1" applyFont="1" applyFill="1" applyBorder="1" applyAlignment="1" applyProtection="1">
      <alignment vertical="center"/>
    </xf>
    <xf numFmtId="0" fontId="11" fillId="16" borderId="265" xfId="2" applyFont="1" applyFill="1" applyBorder="1" applyProtection="1"/>
    <xf numFmtId="0" fontId="170" fillId="16" borderId="234" xfId="2" applyFont="1" applyFill="1" applyBorder="1" applyAlignment="1" applyProtection="1">
      <alignment horizontal="left"/>
    </xf>
    <xf numFmtId="0" fontId="170" fillId="16" borderId="60" xfId="2" applyFont="1" applyFill="1" applyBorder="1" applyAlignment="1" applyProtection="1">
      <alignment horizontal="left"/>
      <protection hidden="1"/>
    </xf>
    <xf numFmtId="0" fontId="170" fillId="16" borderId="1" xfId="2" applyFont="1" applyFill="1" applyBorder="1" applyAlignment="1" applyProtection="1">
      <alignment horizontal="left"/>
    </xf>
    <xf numFmtId="0" fontId="16" fillId="16" borderId="66" xfId="2" applyFont="1" applyFill="1" applyBorder="1" applyAlignment="1" applyProtection="1">
      <alignment horizontal="left" vertical="center"/>
    </xf>
    <xf numFmtId="0" fontId="17" fillId="16" borderId="55" xfId="2" applyFont="1" applyFill="1" applyBorder="1" applyAlignment="1" applyProtection="1">
      <alignment vertical="center"/>
    </xf>
    <xf numFmtId="0" fontId="170" fillId="16" borderId="54" xfId="2" applyFont="1" applyFill="1" applyBorder="1" applyAlignment="1" applyProtection="1">
      <alignment horizontal="left"/>
    </xf>
    <xf numFmtId="0" fontId="10" fillId="2" borderId="57" xfId="2" applyFont="1" applyFill="1" applyBorder="1" applyAlignment="1" applyProtection="1">
      <alignment horizontal="center"/>
    </xf>
    <xf numFmtId="3" fontId="10" fillId="17" borderId="102" xfId="2" applyNumberFormat="1" applyFont="1" applyFill="1" applyBorder="1" applyProtection="1"/>
    <xf numFmtId="0" fontId="164" fillId="0" borderId="0" xfId="2" applyFont="1" applyFill="1" applyAlignment="1" applyProtection="1">
      <alignment horizontal="left" vertical="top" indent="1"/>
      <protection locked="0"/>
    </xf>
    <xf numFmtId="0" fontId="69" fillId="0" borderId="0" xfId="2" applyFont="1" applyFill="1" applyBorder="1" applyAlignment="1" applyProtection="1">
      <alignment horizontal="left" vertical="top" indent="1"/>
      <protection locked="0"/>
    </xf>
    <xf numFmtId="3" fontId="9" fillId="0" borderId="266" xfId="2" applyNumberFormat="1" applyFont="1" applyFill="1" applyBorder="1" applyAlignment="1" applyProtection="1">
      <alignment vertical="center"/>
      <protection hidden="1"/>
    </xf>
    <xf numFmtId="3" fontId="10" fillId="0" borderId="266" xfId="2" applyNumberFormat="1" applyFont="1" applyFill="1" applyBorder="1" applyAlignment="1" applyProtection="1">
      <alignment vertical="center"/>
      <protection hidden="1"/>
    </xf>
    <xf numFmtId="0" fontId="129" fillId="34" borderId="0" xfId="2" applyFont="1" applyFill="1" applyAlignment="1">
      <alignment vertical="top"/>
    </xf>
    <xf numFmtId="0" fontId="131" fillId="34" borderId="0" xfId="2" applyFont="1" applyFill="1" applyAlignment="1">
      <alignment vertical="top"/>
    </xf>
    <xf numFmtId="0" fontId="131" fillId="34" borderId="0" xfId="2" applyFont="1" applyFill="1" applyAlignment="1">
      <alignment horizontal="right" vertical="top"/>
    </xf>
    <xf numFmtId="0" fontId="29" fillId="17" borderId="0" xfId="2" applyFont="1" applyFill="1" applyBorder="1" applyAlignment="1" applyProtection="1">
      <alignment horizontal="center" vertical="center"/>
    </xf>
    <xf numFmtId="0" fontId="11" fillId="16" borderId="176" xfId="2" applyFont="1" applyFill="1" applyBorder="1"/>
    <xf numFmtId="0" fontId="24" fillId="0" borderId="0" xfId="1" applyAlignment="1" applyProtection="1">
      <alignment vertical="top"/>
    </xf>
    <xf numFmtId="0" fontId="122" fillId="34" borderId="0" xfId="2" applyFont="1" applyFill="1" applyAlignment="1">
      <alignment vertical="top"/>
    </xf>
    <xf numFmtId="0" fontId="11" fillId="16" borderId="3" xfId="2" applyFont="1" applyFill="1" applyBorder="1" applyAlignment="1" applyProtection="1">
      <alignment horizontal="left" vertical="center"/>
    </xf>
    <xf numFmtId="49" fontId="7" fillId="16" borderId="0" xfId="0" applyNumberFormat="1" applyFont="1" applyFill="1" applyBorder="1" applyAlignment="1" applyProtection="1">
      <alignment horizontal="right" vertical="center" wrapText="1"/>
    </xf>
    <xf numFmtId="49" fontId="59" fillId="16" borderId="0" xfId="0" applyNumberFormat="1" applyFont="1" applyFill="1" applyBorder="1" applyAlignment="1" applyProtection="1">
      <alignment horizontal="center" vertical="center" wrapText="1"/>
    </xf>
    <xf numFmtId="0" fontId="11" fillId="16" borderId="0" xfId="2" applyFont="1" applyFill="1" applyBorder="1" applyAlignment="1" applyProtection="1"/>
    <xf numFmtId="10" fontId="7" fillId="16" borderId="0" xfId="12" applyNumberFormat="1" applyFont="1" applyFill="1" applyBorder="1" applyAlignment="1" applyProtection="1"/>
    <xf numFmtId="49" fontId="7" fillId="16" borderId="1" xfId="0" applyNumberFormat="1" applyFont="1" applyFill="1" applyBorder="1" applyAlignment="1" applyProtection="1">
      <alignment horizontal="right" vertical="center" wrapText="1"/>
    </xf>
    <xf numFmtId="0" fontId="1" fillId="0" borderId="0" xfId="2" applyFill="1" applyAlignment="1" applyProtection="1">
      <alignment vertical="center"/>
      <protection locked="0"/>
    </xf>
    <xf numFmtId="3" fontId="111" fillId="0" borderId="0" xfId="2" applyNumberFormat="1" applyFont="1" applyFill="1" applyBorder="1" applyAlignment="1" applyProtection="1">
      <alignment horizontal="right" vertical="center"/>
      <protection locked="0"/>
    </xf>
    <xf numFmtId="0" fontId="1" fillId="0" borderId="0" xfId="2" applyFill="1" applyAlignment="1" applyProtection="1">
      <alignment vertical="center"/>
    </xf>
    <xf numFmtId="0" fontId="1" fillId="17" borderId="64" xfId="2" applyFont="1" applyFill="1" applyBorder="1" applyAlignment="1"/>
    <xf numFmtId="9" fontId="7" fillId="0" borderId="0" xfId="2" applyNumberFormat="1" applyFont="1" applyFill="1" applyBorder="1" applyAlignment="1" applyProtection="1">
      <alignment horizontal="center" vertical="center"/>
      <protection locked="0" hidden="1"/>
    </xf>
    <xf numFmtId="49" fontId="178" fillId="16" borderId="0" xfId="0" applyNumberFormat="1" applyFont="1" applyFill="1" applyBorder="1" applyAlignment="1" applyProtection="1">
      <alignment horizontal="left" vertical="center" wrapText="1"/>
    </xf>
    <xf numFmtId="0" fontId="121" fillId="0" borderId="0" xfId="2" applyFont="1" applyAlignment="1">
      <alignment vertical="top"/>
    </xf>
    <xf numFmtId="0" fontId="11" fillId="17" borderId="265" xfId="2" applyFont="1" applyFill="1" applyBorder="1" applyAlignment="1" applyProtection="1">
      <alignment horizontal="left"/>
    </xf>
    <xf numFmtId="0" fontId="11" fillId="17" borderId="234" xfId="2" applyFont="1" applyFill="1" applyBorder="1" applyAlignment="1" applyProtection="1">
      <alignment horizontal="left"/>
    </xf>
    <xf numFmtId="0" fontId="59" fillId="17" borderId="56" xfId="0" applyFont="1" applyFill="1" applyBorder="1" applyAlignment="1" applyProtection="1">
      <alignment horizontal="right" vertical="center"/>
    </xf>
    <xf numFmtId="164" fontId="59" fillId="17" borderId="60" xfId="0" applyNumberFormat="1" applyFont="1" applyFill="1" applyBorder="1" applyAlignment="1" applyProtection="1">
      <alignment horizontal="center" vertical="center" wrapText="1"/>
      <protection locked="0"/>
    </xf>
    <xf numFmtId="164" fontId="7" fillId="0" borderId="277" xfId="12" applyNumberFormat="1" applyFont="1" applyFill="1" applyBorder="1" applyAlignment="1" applyProtection="1">
      <alignment horizontal="center" vertical="center"/>
      <protection locked="0"/>
    </xf>
    <xf numFmtId="0" fontId="1" fillId="0" borderId="278" xfId="2" applyFont="1" applyBorder="1"/>
    <xf numFmtId="0" fontId="1" fillId="0" borderId="279" xfId="2" applyFont="1" applyBorder="1"/>
    <xf numFmtId="0" fontId="158" fillId="42" borderId="281" xfId="2" applyFont="1" applyFill="1" applyBorder="1" applyAlignment="1" applyProtection="1">
      <alignment horizontal="center" vertical="center"/>
    </xf>
    <xf numFmtId="0" fontId="158" fillId="42" borderId="280" xfId="2" applyFont="1" applyFill="1" applyBorder="1" applyAlignment="1">
      <alignment horizontal="center" vertical="center"/>
    </xf>
    <xf numFmtId="0" fontId="159" fillId="42" borderId="2" xfId="2" applyFont="1" applyFill="1" applyBorder="1" applyAlignment="1">
      <alignment horizontal="center" vertical="center"/>
    </xf>
    <xf numFmtId="0" fontId="158" fillId="42" borderId="281" xfId="2" applyFont="1" applyFill="1" applyBorder="1" applyAlignment="1">
      <alignment horizontal="center" vertical="center"/>
    </xf>
    <xf numFmtId="0" fontId="11" fillId="17" borderId="181" xfId="2" applyFont="1" applyFill="1" applyBorder="1" applyAlignment="1" applyProtection="1"/>
    <xf numFmtId="0" fontId="12" fillId="43" borderId="0" xfId="2" applyFont="1" applyFill="1" applyAlignment="1">
      <alignment vertical="top"/>
    </xf>
    <xf numFmtId="0" fontId="127" fillId="16" borderId="282" xfId="2" applyFont="1" applyFill="1" applyBorder="1" applyAlignment="1">
      <alignment horizontal="center"/>
    </xf>
    <xf numFmtId="0" fontId="12" fillId="0" borderId="283" xfId="2" applyFont="1" applyBorder="1" applyAlignment="1">
      <alignment vertical="top"/>
    </xf>
    <xf numFmtId="0" fontId="12" fillId="0" borderId="2" xfId="2" applyFont="1" applyBorder="1" applyAlignment="1">
      <alignment vertical="top"/>
    </xf>
    <xf numFmtId="0" fontId="187" fillId="16" borderId="126" xfId="2" applyFont="1" applyFill="1" applyBorder="1" applyAlignment="1">
      <alignment horizontal="center" vertical="top"/>
    </xf>
    <xf numFmtId="0" fontId="11" fillId="0" borderId="166" xfId="2" applyFont="1" applyFill="1" applyBorder="1" applyAlignment="1" applyProtection="1">
      <alignment vertical="center"/>
      <protection locked="0"/>
    </xf>
    <xf numFmtId="0" fontId="1" fillId="0" borderId="138" xfId="2" applyFill="1" applyBorder="1" applyProtection="1">
      <protection locked="0"/>
    </xf>
    <xf numFmtId="0" fontId="1" fillId="0" borderId="213" xfId="2" applyFill="1" applyBorder="1" applyProtection="1">
      <protection locked="0"/>
    </xf>
    <xf numFmtId="0" fontId="16" fillId="17" borderId="66" xfId="2" applyFont="1" applyFill="1" applyBorder="1" applyAlignment="1" applyProtection="1">
      <alignment horizontal="left" vertical="center"/>
      <protection locked="0"/>
    </xf>
    <xf numFmtId="0" fontId="11" fillId="0" borderId="182" xfId="2" applyFont="1" applyFill="1" applyBorder="1" applyAlignment="1" applyProtection="1">
      <alignment vertical="center"/>
      <protection locked="0"/>
    </xf>
    <xf numFmtId="0" fontId="1" fillId="0" borderId="285" xfId="2" applyFill="1" applyBorder="1" applyProtection="1">
      <protection locked="0"/>
    </xf>
    <xf numFmtId="0" fontId="11" fillId="0" borderId="138" xfId="2" applyFont="1" applyFill="1" applyBorder="1" applyAlignment="1" applyProtection="1">
      <alignment horizontal="right"/>
      <protection locked="0"/>
    </xf>
    <xf numFmtId="0" fontId="1" fillId="17" borderId="60" xfId="2" applyFill="1" applyBorder="1" applyAlignment="1" applyProtection="1">
      <alignment wrapText="1"/>
    </xf>
    <xf numFmtId="0" fontId="68" fillId="17" borderId="7" xfId="0" applyFont="1" applyFill="1" applyBorder="1" applyAlignment="1" applyProtection="1">
      <alignment vertical="center"/>
      <protection locked="0"/>
    </xf>
    <xf numFmtId="3" fontId="111" fillId="29" borderId="0" xfId="2" applyNumberFormat="1" applyFont="1" applyFill="1" applyBorder="1" applyAlignment="1" applyProtection="1">
      <alignment horizontal="center"/>
      <protection hidden="1"/>
    </xf>
    <xf numFmtId="0" fontId="11" fillId="0" borderId="0" xfId="2" applyFont="1" applyFill="1" applyBorder="1" applyAlignment="1" applyProtection="1">
      <alignment horizontal="left" vertical="center"/>
      <protection hidden="1"/>
    </xf>
    <xf numFmtId="49" fontId="59" fillId="0" borderId="0" xfId="0" applyNumberFormat="1" applyFont="1" applyFill="1" applyBorder="1" applyAlignment="1" applyProtection="1">
      <alignment horizontal="right" vertical="center" wrapText="1"/>
      <protection hidden="1"/>
    </xf>
    <xf numFmtId="49" fontId="59" fillId="0" borderId="0" xfId="0" applyNumberFormat="1" applyFont="1" applyFill="1" applyBorder="1" applyAlignment="1" applyProtection="1">
      <alignment horizontal="center" vertical="center" wrapText="1"/>
      <protection hidden="1"/>
    </xf>
    <xf numFmtId="3" fontId="111" fillId="0" borderId="0" xfId="2" applyNumberFormat="1" applyFont="1" applyFill="1" applyBorder="1" applyAlignment="1" applyProtection="1">
      <alignment horizontal="right"/>
      <protection hidden="1"/>
    </xf>
    <xf numFmtId="3" fontId="111" fillId="0" borderId="0" xfId="2" applyNumberFormat="1" applyFont="1" applyFill="1" applyBorder="1" applyAlignment="1" applyProtection="1">
      <protection hidden="1"/>
    </xf>
    <xf numFmtId="0" fontId="29" fillId="0" borderId="0" xfId="2" applyFont="1" applyFill="1" applyAlignment="1" applyProtection="1">
      <alignment vertical="center"/>
      <protection hidden="1"/>
    </xf>
    <xf numFmtId="0" fontId="1" fillId="0" borderId="0" xfId="2" applyFill="1" applyProtection="1">
      <protection hidden="1"/>
    </xf>
    <xf numFmtId="0" fontId="16" fillId="0" borderId="0" xfId="2" applyFont="1" applyFill="1" applyBorder="1" applyAlignment="1" applyProtection="1">
      <alignment horizontal="left" vertical="center"/>
      <protection hidden="1"/>
    </xf>
    <xf numFmtId="0" fontId="11" fillId="0" borderId="0" xfId="2" applyFont="1" applyFill="1" applyBorder="1" applyAlignment="1" applyProtection="1">
      <alignment horizontal="left"/>
      <protection hidden="1"/>
    </xf>
    <xf numFmtId="3" fontId="107" fillId="0" borderId="0" xfId="0" applyNumberFormat="1" applyFont="1" applyProtection="1">
      <protection hidden="1"/>
    </xf>
    <xf numFmtId="0" fontId="2" fillId="0" borderId="0" xfId="2" applyFont="1" applyFill="1" applyProtection="1">
      <protection hidden="1"/>
    </xf>
    <xf numFmtId="0" fontId="9" fillId="0" borderId="0" xfId="2" applyFont="1" applyFill="1" applyBorder="1" applyAlignment="1" applyProtection="1">
      <alignment vertical="top"/>
      <protection hidden="1"/>
    </xf>
    <xf numFmtId="0" fontId="9" fillId="0" borderId="0" xfId="2" applyFont="1" applyAlignment="1" applyProtection="1">
      <alignment vertical="top"/>
      <protection hidden="1"/>
    </xf>
    <xf numFmtId="0" fontId="68" fillId="17" borderId="7" xfId="0" applyFont="1" applyFill="1" applyBorder="1" applyAlignment="1" applyProtection="1">
      <alignment vertical="center"/>
      <protection hidden="1"/>
    </xf>
    <xf numFmtId="0" fontId="11" fillId="17" borderId="4" xfId="2" applyFont="1" applyFill="1" applyBorder="1" applyAlignment="1" applyProtection="1">
      <alignment vertical="top"/>
      <protection hidden="1"/>
    </xf>
    <xf numFmtId="0" fontId="66" fillId="17" borderId="4" xfId="2" applyFont="1" applyFill="1" applyBorder="1" applyAlignment="1" applyProtection="1">
      <alignment horizontal="right" vertical="center"/>
      <protection hidden="1"/>
    </xf>
    <xf numFmtId="164" fontId="66" fillId="17" borderId="4" xfId="2" applyNumberFormat="1" applyFont="1" applyFill="1" applyBorder="1" applyAlignment="1" applyProtection="1">
      <alignment vertical="center"/>
      <protection hidden="1"/>
    </xf>
    <xf numFmtId="0" fontId="11" fillId="17" borderId="8" xfId="2" applyFont="1" applyFill="1" applyBorder="1" applyAlignment="1" applyProtection="1">
      <alignment vertical="top"/>
      <protection hidden="1"/>
    </xf>
    <xf numFmtId="0" fontId="9" fillId="0" borderId="0" xfId="2" applyFont="1" applyFill="1" applyAlignment="1" applyProtection="1">
      <alignment vertical="center"/>
      <protection hidden="1"/>
    </xf>
    <xf numFmtId="0" fontId="1" fillId="0" borderId="0" xfId="2" applyFill="1" applyBorder="1" applyProtection="1">
      <protection hidden="1"/>
    </xf>
    <xf numFmtId="0" fontId="11" fillId="0" borderId="0" xfId="2" applyFont="1" applyFill="1" applyBorder="1" applyAlignment="1" applyProtection="1">
      <alignment vertical="top"/>
      <protection hidden="1"/>
    </xf>
    <xf numFmtId="0" fontId="66" fillId="0" borderId="0" xfId="2" applyFont="1" applyFill="1" applyBorder="1" applyAlignment="1" applyProtection="1">
      <alignment horizontal="right" vertical="center"/>
      <protection hidden="1"/>
    </xf>
    <xf numFmtId="164" fontId="66" fillId="0" borderId="0" xfId="2" applyNumberFormat="1" applyFont="1" applyFill="1" applyBorder="1" applyAlignment="1" applyProtection="1">
      <alignment vertical="center"/>
      <protection hidden="1"/>
    </xf>
    <xf numFmtId="0" fontId="16" fillId="17" borderId="3" xfId="2" applyFont="1" applyFill="1" applyBorder="1" applyAlignment="1" applyProtection="1">
      <alignment horizontal="left" vertical="center"/>
      <protection hidden="1"/>
    </xf>
    <xf numFmtId="0" fontId="66" fillId="17" borderId="0" xfId="2" applyFont="1" applyFill="1" applyBorder="1" applyAlignment="1" applyProtection="1">
      <alignment horizontal="right" vertical="center"/>
      <protection hidden="1"/>
    </xf>
    <xf numFmtId="164" fontId="66" fillId="17" borderId="0" xfId="2" applyNumberFormat="1" applyFont="1" applyFill="1" applyBorder="1" applyAlignment="1" applyProtection="1">
      <alignment vertical="center"/>
      <protection hidden="1"/>
    </xf>
    <xf numFmtId="0" fontId="11" fillId="17" borderId="3" xfId="2" applyFont="1" applyFill="1" applyBorder="1" applyAlignment="1" applyProtection="1">
      <alignment horizontal="left" vertical="center"/>
      <protection hidden="1"/>
    </xf>
    <xf numFmtId="0" fontId="16" fillId="17" borderId="13" xfId="2" applyFont="1" applyFill="1" applyBorder="1" applyAlignment="1" applyProtection="1">
      <alignment horizontal="left" vertical="center"/>
      <protection hidden="1"/>
    </xf>
    <xf numFmtId="0" fontId="11" fillId="17" borderId="1" xfId="2" applyFont="1" applyFill="1" applyBorder="1" applyAlignment="1" applyProtection="1">
      <alignment vertical="top"/>
      <protection hidden="1"/>
    </xf>
    <xf numFmtId="0" fontId="66" fillId="17" borderId="1" xfId="2" applyFont="1" applyFill="1" applyBorder="1" applyAlignment="1" applyProtection="1">
      <alignment horizontal="right" vertical="center"/>
      <protection hidden="1"/>
    </xf>
    <xf numFmtId="164" fontId="66" fillId="17" borderId="1" xfId="2" applyNumberFormat="1" applyFont="1" applyFill="1" applyBorder="1" applyAlignment="1" applyProtection="1">
      <alignment vertical="center"/>
      <protection hidden="1"/>
    </xf>
    <xf numFmtId="0" fontId="11" fillId="17" borderId="16" xfId="2" applyFont="1" applyFill="1" applyBorder="1" applyAlignment="1" applyProtection="1">
      <alignment vertical="top"/>
      <protection hidden="1"/>
    </xf>
    <xf numFmtId="0" fontId="11" fillId="0" borderId="3" xfId="2" applyFont="1" applyFill="1" applyBorder="1" applyAlignment="1" applyProtection="1">
      <alignment horizontal="left" vertical="center"/>
      <protection hidden="1"/>
    </xf>
    <xf numFmtId="0" fontId="1" fillId="0" borderId="13" xfId="2" applyFill="1" applyBorder="1" applyAlignment="1" applyProtection="1">
      <alignment vertical="center"/>
      <protection hidden="1"/>
    </xf>
    <xf numFmtId="0" fontId="16" fillId="0" borderId="1" xfId="2" applyFont="1" applyFill="1" applyBorder="1" applyAlignment="1" applyProtection="1">
      <alignment horizontal="left" indent="2"/>
      <protection hidden="1"/>
    </xf>
    <xf numFmtId="0" fontId="16" fillId="0" borderId="1" xfId="2" applyFont="1" applyFill="1" applyBorder="1" applyAlignment="1" applyProtection="1">
      <alignment horizontal="right" indent="2"/>
      <protection hidden="1"/>
    </xf>
    <xf numFmtId="3" fontId="10" fillId="0" borderId="1" xfId="2" applyNumberFormat="1" applyFont="1" applyFill="1" applyBorder="1" applyAlignment="1" applyProtection="1">
      <alignment vertical="center"/>
      <protection hidden="1"/>
    </xf>
    <xf numFmtId="0" fontId="16" fillId="0" borderId="0" xfId="2" applyFont="1" applyFill="1" applyBorder="1" applyAlignment="1" applyProtection="1">
      <alignment horizontal="left" indent="2"/>
      <protection hidden="1"/>
    </xf>
    <xf numFmtId="0" fontId="16" fillId="0" borderId="0" xfId="2" applyFont="1" applyFill="1" applyBorder="1" applyAlignment="1" applyProtection="1">
      <alignment horizontal="right" indent="2"/>
      <protection hidden="1"/>
    </xf>
    <xf numFmtId="3" fontId="107" fillId="0" borderId="4" xfId="0" applyNumberFormat="1" applyFont="1" applyBorder="1" applyProtection="1">
      <protection hidden="1"/>
    </xf>
    <xf numFmtId="0" fontId="7" fillId="0" borderId="35" xfId="2" applyFont="1" applyFill="1" applyBorder="1" applyAlignment="1" applyProtection="1">
      <alignment horizontal="center"/>
      <protection hidden="1"/>
    </xf>
    <xf numFmtId="0" fontId="29" fillId="0" borderId="35" xfId="2" applyFont="1" applyBorder="1" applyAlignment="1" applyProtection="1">
      <alignment horizontal="center"/>
      <protection hidden="1"/>
    </xf>
    <xf numFmtId="0" fontId="7" fillId="0" borderId="0" xfId="2" applyFont="1" applyAlignment="1" applyProtection="1">
      <alignment horizontal="right"/>
      <protection hidden="1"/>
    </xf>
    <xf numFmtId="3" fontId="10" fillId="4" borderId="23" xfId="2" applyNumberFormat="1" applyFont="1" applyFill="1" applyBorder="1" applyAlignment="1" applyProtection="1">
      <alignment horizontal="center"/>
      <protection hidden="1"/>
    </xf>
    <xf numFmtId="0" fontId="2" fillId="0" borderId="0" xfId="2" applyFont="1" applyFill="1" applyBorder="1" applyProtection="1">
      <protection hidden="1"/>
    </xf>
    <xf numFmtId="0" fontId="7" fillId="0" borderId="0" xfId="2" applyFont="1" applyFill="1" applyBorder="1" applyAlignment="1" applyProtection="1">
      <alignment horizontal="right"/>
      <protection hidden="1"/>
    </xf>
    <xf numFmtId="0" fontId="7" fillId="0" borderId="0" xfId="2" applyFont="1" applyProtection="1">
      <protection hidden="1"/>
    </xf>
    <xf numFmtId="0" fontId="7" fillId="2" borderId="31" xfId="2" applyFont="1" applyFill="1" applyBorder="1" applyProtection="1">
      <protection hidden="1"/>
    </xf>
    <xf numFmtId="0" fontId="58" fillId="0" borderId="0" xfId="2" applyFont="1" applyProtection="1">
      <protection hidden="1"/>
    </xf>
    <xf numFmtId="9" fontId="58" fillId="0" borderId="0" xfId="2" applyNumberFormat="1" applyFont="1" applyFill="1" applyBorder="1" applyProtection="1">
      <protection hidden="1"/>
    </xf>
    <xf numFmtId="0" fontId="58" fillId="0" borderId="0" xfId="2" applyFont="1" applyFill="1" applyBorder="1" applyProtection="1">
      <protection hidden="1"/>
    </xf>
    <xf numFmtId="0" fontId="7" fillId="2" borderId="36" xfId="2" applyFont="1" applyFill="1" applyBorder="1" applyProtection="1">
      <protection hidden="1"/>
    </xf>
    <xf numFmtId="0" fontId="7" fillId="0" borderId="1" xfId="2" applyFont="1" applyBorder="1" applyProtection="1">
      <protection hidden="1"/>
    </xf>
    <xf numFmtId="9" fontId="9" fillId="0" borderId="23" xfId="2" applyNumberFormat="1" applyFont="1" applyBorder="1" applyAlignment="1" applyProtection="1">
      <alignment horizontal="center"/>
      <protection hidden="1"/>
    </xf>
    <xf numFmtId="166" fontId="9" fillId="0" borderId="23" xfId="2" applyNumberFormat="1" applyFont="1" applyBorder="1" applyAlignment="1" applyProtection="1">
      <alignment horizontal="center"/>
      <protection hidden="1"/>
    </xf>
    <xf numFmtId="168" fontId="9" fillId="0" borderId="23" xfId="2" applyNumberFormat="1" applyFont="1" applyBorder="1" applyAlignment="1" applyProtection="1">
      <alignment horizontal="center"/>
      <protection hidden="1"/>
    </xf>
    <xf numFmtId="9" fontId="7" fillId="0" borderId="0" xfId="2" applyNumberFormat="1" applyFont="1" applyProtection="1">
      <protection hidden="1"/>
    </xf>
    <xf numFmtId="0" fontId="7" fillId="0" borderId="0" xfId="2" applyFont="1" applyFill="1" applyBorder="1" applyProtection="1">
      <protection hidden="1"/>
    </xf>
    <xf numFmtId="9" fontId="7" fillId="0" borderId="0" xfId="2" applyNumberFormat="1" applyFont="1" applyFill="1" applyBorder="1" applyProtection="1">
      <protection hidden="1"/>
    </xf>
    <xf numFmtId="0" fontId="7" fillId="2" borderId="38" xfId="2" applyFont="1" applyFill="1" applyBorder="1" applyProtection="1">
      <protection hidden="1"/>
    </xf>
    <xf numFmtId="0" fontId="7" fillId="2" borderId="39" xfId="2" applyFont="1" applyFill="1" applyBorder="1" applyProtection="1">
      <protection hidden="1"/>
    </xf>
    <xf numFmtId="0" fontId="7" fillId="0" borderId="23" xfId="2" applyFont="1" applyBorder="1" applyProtection="1">
      <protection hidden="1"/>
    </xf>
    <xf numFmtId="9" fontId="7" fillId="0" borderId="23" xfId="2" applyNumberFormat="1" applyFont="1" applyBorder="1" applyProtection="1">
      <protection hidden="1"/>
    </xf>
    <xf numFmtId="1" fontId="7" fillId="0" borderId="23" xfId="2" applyNumberFormat="1" applyFont="1" applyBorder="1" applyProtection="1">
      <protection hidden="1"/>
    </xf>
    <xf numFmtId="166" fontId="7" fillId="0" borderId="23" xfId="2" applyNumberFormat="1" applyFont="1" applyBorder="1" applyProtection="1">
      <protection hidden="1"/>
    </xf>
    <xf numFmtId="168" fontId="7" fillId="0" borderId="23" xfId="2" applyNumberFormat="1" applyFont="1" applyBorder="1" applyProtection="1">
      <protection hidden="1"/>
    </xf>
    <xf numFmtId="0" fontId="11" fillId="0" borderId="41" xfId="2" applyFont="1" applyBorder="1" applyProtection="1">
      <protection hidden="1"/>
    </xf>
    <xf numFmtId="0" fontId="11" fillId="0" borderId="58" xfId="2" applyFont="1" applyBorder="1" applyProtection="1">
      <protection hidden="1"/>
    </xf>
    <xf numFmtId="0" fontId="11" fillId="0" borderId="43" xfId="2" applyFont="1" applyBorder="1" applyProtection="1">
      <protection hidden="1"/>
    </xf>
    <xf numFmtId="9" fontId="7" fillId="0" borderId="0" xfId="2" applyNumberFormat="1" applyFont="1" applyBorder="1" applyProtection="1">
      <protection hidden="1"/>
    </xf>
    <xf numFmtId="1" fontId="7" fillId="0" borderId="0" xfId="2" applyNumberFormat="1" applyFont="1" applyBorder="1" applyProtection="1">
      <protection hidden="1"/>
    </xf>
    <xf numFmtId="2" fontId="7" fillId="0" borderId="0" xfId="2" applyNumberFormat="1" applyFont="1" applyBorder="1" applyProtection="1">
      <protection hidden="1"/>
    </xf>
    <xf numFmtId="0" fontId="7" fillId="0" borderId="0" xfId="2" applyFont="1" applyBorder="1" applyProtection="1">
      <protection hidden="1"/>
    </xf>
    <xf numFmtId="0" fontId="7" fillId="0" borderId="35" xfId="2" applyFont="1" applyBorder="1" applyProtection="1">
      <protection hidden="1"/>
    </xf>
    <xf numFmtId="165" fontId="7" fillId="0" borderId="23" xfId="2" applyNumberFormat="1" applyFont="1" applyBorder="1" applyProtection="1">
      <protection hidden="1"/>
    </xf>
    <xf numFmtId="0" fontId="7" fillId="0" borderId="0" xfId="2" applyFont="1" applyAlignment="1" applyProtection="1">
      <alignment horizontal="center"/>
      <protection hidden="1"/>
    </xf>
    <xf numFmtId="0" fontId="7" fillId="3" borderId="40" xfId="2" applyFont="1" applyFill="1" applyBorder="1" applyAlignment="1" applyProtection="1">
      <alignment horizontal="center"/>
      <protection hidden="1"/>
    </xf>
    <xf numFmtId="0" fontId="9" fillId="0" borderId="0" xfId="2" applyFont="1" applyAlignment="1" applyProtection="1">
      <alignment horizontal="center"/>
      <protection hidden="1"/>
    </xf>
    <xf numFmtId="0" fontId="9" fillId="0" borderId="0" xfId="2" applyFont="1" applyProtection="1">
      <protection hidden="1"/>
    </xf>
    <xf numFmtId="0" fontId="59" fillId="0" borderId="0" xfId="0" applyFont="1" applyProtection="1">
      <protection hidden="1"/>
    </xf>
    <xf numFmtId="9" fontId="7" fillId="3" borderId="40" xfId="12" applyNumberFormat="1" applyFont="1" applyFill="1" applyBorder="1" applyAlignment="1" applyProtection="1">
      <alignment horizontal="center"/>
      <protection hidden="1"/>
    </xf>
    <xf numFmtId="2" fontId="63" fillId="0" borderId="0" xfId="0" applyNumberFormat="1" applyFont="1" applyProtection="1">
      <protection hidden="1"/>
    </xf>
    <xf numFmtId="3" fontId="63" fillId="0" borderId="23" xfId="0" applyNumberFormat="1" applyFont="1" applyBorder="1" applyProtection="1">
      <protection hidden="1"/>
    </xf>
    <xf numFmtId="3" fontId="9" fillId="0" borderId="35" xfId="2" applyNumberFormat="1" applyFont="1" applyBorder="1" applyAlignment="1" applyProtection="1">
      <alignment horizontal="right" vertical="top"/>
      <protection hidden="1"/>
    </xf>
    <xf numFmtId="3" fontId="9" fillId="0" borderId="0" xfId="2" applyNumberFormat="1" applyFont="1" applyAlignment="1" applyProtection="1">
      <alignment horizontal="right" vertical="top"/>
      <protection hidden="1"/>
    </xf>
    <xf numFmtId="0" fontId="7" fillId="0" borderId="0" xfId="2" applyFont="1" applyFill="1" applyBorder="1" applyAlignment="1" applyProtection="1">
      <alignment horizontal="center"/>
      <protection hidden="1"/>
    </xf>
    <xf numFmtId="0" fontId="59" fillId="0" borderId="0" xfId="0" applyFont="1" applyFill="1" applyBorder="1" applyProtection="1">
      <protection hidden="1"/>
    </xf>
    <xf numFmtId="9" fontId="7" fillId="0" borderId="0" xfId="12" applyNumberFormat="1" applyFont="1" applyFill="1" applyBorder="1" applyAlignment="1" applyProtection="1">
      <alignment horizontal="center"/>
      <protection hidden="1"/>
    </xf>
    <xf numFmtId="2" fontId="9" fillId="0" borderId="0" xfId="2" applyNumberFormat="1" applyFont="1" applyProtection="1">
      <protection hidden="1"/>
    </xf>
    <xf numFmtId="9" fontId="59" fillId="0" borderId="0" xfId="0" applyNumberFormat="1" applyFont="1" applyFill="1" applyBorder="1" applyProtection="1">
      <protection hidden="1"/>
    </xf>
    <xf numFmtId="168" fontId="9" fillId="0" borderId="0" xfId="2" applyNumberFormat="1" applyFont="1" applyAlignment="1" applyProtection="1">
      <alignment horizontal="center"/>
      <protection hidden="1"/>
    </xf>
    <xf numFmtId="3" fontId="63" fillId="0" borderId="0" xfId="0" applyNumberFormat="1" applyFont="1" applyProtection="1">
      <protection hidden="1"/>
    </xf>
    <xf numFmtId="0" fontId="7" fillId="0" borderId="268" xfId="2" applyFont="1" applyBorder="1" applyAlignment="1" applyProtection="1">
      <alignment horizontal="center"/>
      <protection hidden="1"/>
    </xf>
    <xf numFmtId="168" fontId="9" fillId="0" borderId="268" xfId="2" applyNumberFormat="1" applyFont="1" applyBorder="1" applyAlignment="1" applyProtection="1">
      <alignment horizontal="center"/>
      <protection hidden="1"/>
    </xf>
    <xf numFmtId="0" fontId="9" fillId="0" borderId="267" xfId="2" applyFont="1" applyBorder="1" applyProtection="1">
      <protection hidden="1"/>
    </xf>
    <xf numFmtId="0" fontId="7" fillId="37" borderId="40" xfId="2" applyFont="1" applyFill="1" applyBorder="1" applyAlignment="1" applyProtection="1">
      <alignment horizontal="center"/>
      <protection hidden="1"/>
    </xf>
    <xf numFmtId="9" fontId="7" fillId="37" borderId="40" xfId="12" applyNumberFormat="1" applyFont="1" applyFill="1" applyBorder="1" applyAlignment="1" applyProtection="1">
      <alignment horizontal="center"/>
      <protection hidden="1"/>
    </xf>
    <xf numFmtId="0" fontId="63" fillId="0" borderId="0" xfId="0" applyFont="1" applyProtection="1">
      <protection hidden="1"/>
    </xf>
    <xf numFmtId="3" fontId="63" fillId="37" borderId="23" xfId="0" applyNumberFormat="1" applyFont="1" applyFill="1" applyBorder="1" applyProtection="1">
      <protection hidden="1"/>
    </xf>
    <xf numFmtId="3" fontId="9" fillId="37" borderId="35" xfId="2" applyNumberFormat="1" applyFont="1" applyFill="1" applyBorder="1" applyAlignment="1" applyProtection="1">
      <alignment horizontal="right" vertical="top"/>
      <protection hidden="1"/>
    </xf>
    <xf numFmtId="3" fontId="9" fillId="37" borderId="0" xfId="2" applyNumberFormat="1" applyFont="1" applyFill="1" applyAlignment="1" applyProtection="1">
      <alignment horizontal="right" vertical="top"/>
      <protection hidden="1"/>
    </xf>
    <xf numFmtId="0" fontId="9" fillId="0" borderId="0" xfId="2" applyFont="1" applyBorder="1" applyProtection="1">
      <protection hidden="1"/>
    </xf>
    <xf numFmtId="0" fontId="9" fillId="0" borderId="0" xfId="2" applyFont="1" applyAlignment="1" applyProtection="1">
      <alignment horizontal="left"/>
      <protection hidden="1"/>
    </xf>
    <xf numFmtId="0" fontId="9" fillId="0" borderId="0" xfId="2" applyFont="1" applyAlignment="1" applyProtection="1">
      <alignment horizontal="right"/>
      <protection hidden="1"/>
    </xf>
    <xf numFmtId="3" fontId="64" fillId="0" borderId="42" xfId="0" applyNumberFormat="1" applyFont="1" applyBorder="1" applyProtection="1">
      <protection hidden="1"/>
    </xf>
    <xf numFmtId="0" fontId="9" fillId="0" borderId="0" xfId="2" applyFont="1" applyFill="1" applyBorder="1" applyAlignment="1" applyProtection="1">
      <alignment horizontal="left"/>
      <protection hidden="1"/>
    </xf>
    <xf numFmtId="0" fontId="63" fillId="0" borderId="0" xfId="0" applyFont="1" applyFill="1" applyBorder="1" applyProtection="1">
      <protection hidden="1"/>
    </xf>
    <xf numFmtId="0" fontId="9" fillId="0" borderId="0" xfId="2" applyFont="1" applyFill="1" applyBorder="1" applyAlignment="1" applyProtection="1">
      <alignment horizontal="right"/>
      <protection hidden="1"/>
    </xf>
    <xf numFmtId="3" fontId="64" fillId="0" borderId="43" xfId="0" applyNumberFormat="1" applyFont="1" applyBorder="1" applyProtection="1">
      <protection hidden="1"/>
    </xf>
    <xf numFmtId="3" fontId="63" fillId="0" borderId="43" xfId="0" applyNumberFormat="1" applyFont="1" applyBorder="1" applyProtection="1">
      <protection hidden="1"/>
    </xf>
    <xf numFmtId="3" fontId="63" fillId="0" borderId="23" xfId="0" applyNumberFormat="1" applyFont="1" applyFill="1" applyBorder="1" applyProtection="1">
      <protection hidden="1"/>
    </xf>
    <xf numFmtId="0" fontId="9" fillId="0" borderId="0" xfId="2" applyFont="1" applyBorder="1" applyAlignment="1" applyProtection="1">
      <alignment horizontal="left"/>
      <protection hidden="1"/>
    </xf>
    <xf numFmtId="0" fontId="63" fillId="0" borderId="0" xfId="0" applyFont="1" applyBorder="1" applyProtection="1">
      <protection hidden="1"/>
    </xf>
    <xf numFmtId="0" fontId="9" fillId="0" borderId="0" xfId="2" applyFont="1" applyBorder="1" applyAlignment="1" applyProtection="1">
      <alignment horizontal="right"/>
      <protection hidden="1"/>
    </xf>
    <xf numFmtId="3" fontId="64" fillId="0" borderId="23" xfId="0" applyNumberFormat="1" applyFont="1" applyBorder="1" applyProtection="1">
      <protection hidden="1"/>
    </xf>
    <xf numFmtId="3" fontId="9" fillId="0" borderId="56" xfId="2" applyNumberFormat="1" applyFont="1" applyBorder="1" applyAlignment="1" applyProtection="1">
      <alignment horizontal="right" vertical="top"/>
      <protection hidden="1"/>
    </xf>
    <xf numFmtId="3" fontId="9" fillId="0" borderId="0" xfId="2" applyNumberFormat="1" applyFont="1" applyBorder="1" applyAlignment="1" applyProtection="1">
      <alignment horizontal="right" vertical="top"/>
      <protection hidden="1"/>
    </xf>
    <xf numFmtId="0" fontId="73" fillId="0" borderId="0" xfId="2" applyFont="1" applyBorder="1" applyAlignment="1" applyProtection="1">
      <alignment horizontal="right"/>
      <protection hidden="1"/>
    </xf>
    <xf numFmtId="3" fontId="46" fillId="0" borderId="23" xfId="2" applyNumberFormat="1" applyFont="1" applyBorder="1" applyProtection="1">
      <protection hidden="1"/>
    </xf>
    <xf numFmtId="0" fontId="73" fillId="0" borderId="0" xfId="2" applyFont="1" applyFill="1" applyBorder="1" applyAlignment="1" applyProtection="1">
      <alignment horizontal="right"/>
      <protection hidden="1"/>
    </xf>
    <xf numFmtId="3" fontId="46" fillId="19" borderId="41" xfId="2" applyNumberFormat="1" applyFont="1" applyFill="1" applyBorder="1" applyProtection="1">
      <protection hidden="1"/>
    </xf>
    <xf numFmtId="3" fontId="46" fillId="19" borderId="23" xfId="2" applyNumberFormat="1" applyFont="1" applyFill="1" applyBorder="1" applyProtection="1">
      <protection hidden="1"/>
    </xf>
    <xf numFmtId="3" fontId="46" fillId="0" borderId="41" xfId="2" applyNumberFormat="1" applyFont="1" applyBorder="1" applyProtection="1">
      <protection hidden="1"/>
    </xf>
    <xf numFmtId="3" fontId="46" fillId="0" borderId="43" xfId="2" applyNumberFormat="1" applyFont="1" applyBorder="1" applyProtection="1">
      <protection hidden="1"/>
    </xf>
    <xf numFmtId="0" fontId="72" fillId="0" borderId="0" xfId="2" applyFont="1" applyBorder="1" applyAlignment="1" applyProtection="1">
      <alignment horizontal="right"/>
      <protection hidden="1"/>
    </xf>
    <xf numFmtId="3" fontId="7" fillId="0" borderId="41" xfId="2" applyNumberFormat="1" applyFont="1" applyFill="1" applyBorder="1" applyProtection="1">
      <protection hidden="1"/>
    </xf>
    <xf numFmtId="3" fontId="7" fillId="0" borderId="43" xfId="2" applyNumberFormat="1" applyFont="1" applyBorder="1" applyProtection="1">
      <protection hidden="1"/>
    </xf>
    <xf numFmtId="0" fontId="72" fillId="0" borderId="0" xfId="2" applyFont="1" applyFill="1" applyBorder="1" applyAlignment="1" applyProtection="1">
      <alignment horizontal="right"/>
      <protection hidden="1"/>
    </xf>
    <xf numFmtId="3" fontId="7" fillId="20" borderId="41" xfId="2" applyNumberFormat="1" applyFont="1" applyFill="1" applyBorder="1" applyProtection="1">
      <protection hidden="1"/>
    </xf>
    <xf numFmtId="3" fontId="7" fillId="0" borderId="23" xfId="2" applyNumberFormat="1" applyFont="1" applyFill="1" applyBorder="1" applyProtection="1">
      <protection hidden="1"/>
    </xf>
    <xf numFmtId="0" fontId="74" fillId="0" borderId="0" xfId="2" applyFont="1" applyBorder="1" applyAlignment="1" applyProtection="1">
      <alignment horizontal="right"/>
      <protection hidden="1"/>
    </xf>
    <xf numFmtId="3" fontId="64" fillId="6" borderId="23" xfId="0" applyNumberFormat="1" applyFont="1" applyFill="1" applyBorder="1" applyProtection="1">
      <protection hidden="1"/>
    </xf>
    <xf numFmtId="3" fontId="64" fillId="9" borderId="43" xfId="0" applyNumberFormat="1" applyFont="1" applyFill="1" applyBorder="1" applyProtection="1">
      <protection hidden="1"/>
    </xf>
    <xf numFmtId="3" fontId="64" fillId="6" borderId="43" xfId="0" applyNumberFormat="1" applyFont="1" applyFill="1" applyBorder="1" applyProtection="1">
      <protection hidden="1"/>
    </xf>
    <xf numFmtId="3" fontId="64" fillId="3" borderId="43" xfId="0" applyNumberFormat="1" applyFont="1" applyFill="1" applyBorder="1" applyProtection="1">
      <protection hidden="1"/>
    </xf>
    <xf numFmtId="0" fontId="74" fillId="0" borderId="0" xfId="2" applyFont="1" applyFill="1" applyBorder="1" applyAlignment="1" applyProtection="1">
      <alignment horizontal="right"/>
      <protection hidden="1"/>
    </xf>
    <xf numFmtId="0" fontId="9" fillId="0" borderId="0" xfId="2" applyFont="1" applyFill="1" applyBorder="1" applyProtection="1">
      <protection hidden="1"/>
    </xf>
    <xf numFmtId="3" fontId="6" fillId="0" borderId="23" xfId="2" applyNumberFormat="1" applyFont="1" applyFill="1" applyBorder="1" applyProtection="1">
      <protection hidden="1"/>
    </xf>
    <xf numFmtId="3" fontId="64" fillId="0" borderId="43" xfId="0" applyNumberFormat="1" applyFont="1" applyFill="1" applyBorder="1" applyProtection="1">
      <protection hidden="1"/>
    </xf>
    <xf numFmtId="3" fontId="9" fillId="0" borderId="56" xfId="2" applyNumberFormat="1" applyFont="1" applyFill="1" applyBorder="1" applyAlignment="1" applyProtection="1">
      <alignment horizontal="right" vertical="top"/>
      <protection hidden="1"/>
    </xf>
    <xf numFmtId="3" fontId="9" fillId="0" borderId="0" xfId="2" applyNumberFormat="1" applyFont="1" applyFill="1" applyBorder="1" applyAlignment="1" applyProtection="1">
      <alignment horizontal="right" vertical="top"/>
      <protection hidden="1"/>
    </xf>
    <xf numFmtId="3" fontId="6" fillId="0" borderId="43" xfId="2" applyNumberFormat="1" applyFont="1" applyFill="1" applyBorder="1" applyProtection="1">
      <protection hidden="1"/>
    </xf>
    <xf numFmtId="0" fontId="63" fillId="0" borderId="0" xfId="0" applyFont="1" applyFill="1" applyBorder="1" applyAlignment="1" applyProtection="1">
      <alignment horizontal="right"/>
      <protection hidden="1"/>
    </xf>
    <xf numFmtId="3" fontId="71" fillId="0" borderId="67" xfId="2" applyNumberFormat="1" applyFont="1" applyFill="1" applyBorder="1" applyAlignment="1" applyProtection="1">
      <alignment horizontal="center"/>
      <protection hidden="1"/>
    </xf>
    <xf numFmtId="3" fontId="71" fillId="0" borderId="0" xfId="2" applyNumberFormat="1" applyFont="1" applyFill="1" applyBorder="1" applyAlignment="1" applyProtection="1">
      <alignment horizontal="center"/>
      <protection hidden="1"/>
    </xf>
    <xf numFmtId="0" fontId="75" fillId="0" borderId="0" xfId="2" applyFont="1" applyBorder="1" applyAlignment="1" applyProtection="1">
      <alignment horizontal="right"/>
      <protection hidden="1"/>
    </xf>
    <xf numFmtId="3" fontId="9" fillId="0" borderId="43" xfId="2" applyNumberFormat="1" applyFont="1" applyBorder="1" applyProtection="1">
      <protection hidden="1"/>
    </xf>
    <xf numFmtId="0" fontId="75" fillId="0" borderId="0" xfId="2" applyFont="1" applyFill="1" applyBorder="1" applyAlignment="1" applyProtection="1">
      <alignment horizontal="right"/>
      <protection hidden="1"/>
    </xf>
    <xf numFmtId="3" fontId="9" fillId="0" borderId="43" xfId="2" applyNumberFormat="1" applyFont="1" applyFill="1" applyBorder="1" applyProtection="1">
      <protection hidden="1"/>
    </xf>
    <xf numFmtId="3" fontId="9" fillId="35" borderId="43" xfId="2" applyNumberFormat="1" applyFont="1" applyFill="1" applyBorder="1" applyProtection="1">
      <protection hidden="1"/>
    </xf>
    <xf numFmtId="3" fontId="9" fillId="36" borderId="43" xfId="2" applyNumberFormat="1" applyFont="1" applyFill="1" applyBorder="1" applyProtection="1">
      <protection hidden="1"/>
    </xf>
    <xf numFmtId="3" fontId="9" fillId="21" borderId="43" xfId="2" applyNumberFormat="1" applyFont="1" applyFill="1" applyBorder="1" applyProtection="1">
      <protection hidden="1"/>
    </xf>
    <xf numFmtId="3" fontId="63" fillId="21" borderId="43" xfId="0" applyNumberFormat="1" applyFont="1" applyFill="1" applyBorder="1" applyProtection="1">
      <protection hidden="1"/>
    </xf>
    <xf numFmtId="3" fontId="63" fillId="35" borderId="43" xfId="0" applyNumberFormat="1" applyFont="1" applyFill="1" applyBorder="1" applyProtection="1">
      <protection hidden="1"/>
    </xf>
    <xf numFmtId="3" fontId="63" fillId="36" borderId="43" xfId="0" applyNumberFormat="1" applyFont="1" applyFill="1" applyBorder="1" applyProtection="1">
      <protection hidden="1"/>
    </xf>
    <xf numFmtId="3" fontId="46" fillId="0" borderId="43" xfId="0" applyNumberFormat="1" applyFont="1" applyBorder="1" applyProtection="1">
      <protection hidden="1"/>
    </xf>
    <xf numFmtId="3" fontId="46" fillId="0" borderId="43" xfId="0" applyNumberFormat="1" applyFont="1" applyFill="1" applyBorder="1" applyProtection="1">
      <protection hidden="1"/>
    </xf>
    <xf numFmtId="3" fontId="9" fillId="0" borderId="43" xfId="0" applyNumberFormat="1" applyFont="1" applyBorder="1" applyProtection="1">
      <protection hidden="1"/>
    </xf>
    <xf numFmtId="3" fontId="9" fillId="0" borderId="43" xfId="0" applyNumberFormat="1" applyFont="1" applyFill="1" applyBorder="1" applyProtection="1">
      <protection hidden="1"/>
    </xf>
    <xf numFmtId="3" fontId="64" fillId="0" borderId="1" xfId="0" applyNumberFormat="1" applyFont="1" applyBorder="1" applyAlignment="1" applyProtection="1">
      <alignment horizontal="center"/>
      <protection hidden="1"/>
    </xf>
    <xf numFmtId="0" fontId="7" fillId="5" borderId="40" xfId="2" applyFont="1" applyFill="1" applyBorder="1" applyAlignment="1" applyProtection="1">
      <alignment horizontal="center"/>
      <protection hidden="1"/>
    </xf>
    <xf numFmtId="3" fontId="63" fillId="0" borderId="43" xfId="0" applyNumberFormat="1" applyFont="1" applyFill="1" applyBorder="1" applyProtection="1">
      <protection hidden="1"/>
    </xf>
    <xf numFmtId="0" fontId="23" fillId="0" borderId="0" xfId="2" applyFont="1" applyProtection="1">
      <protection hidden="1"/>
    </xf>
    <xf numFmtId="49" fontId="7" fillId="0" borderId="0" xfId="12" applyNumberFormat="1" applyFont="1" applyFill="1" applyBorder="1" applyAlignment="1" applyProtection="1">
      <alignment horizontal="center"/>
      <protection hidden="1"/>
    </xf>
    <xf numFmtId="3" fontId="64" fillId="0" borderId="23" xfId="0" applyNumberFormat="1" applyFont="1" applyFill="1" applyBorder="1" applyProtection="1">
      <protection hidden="1"/>
    </xf>
    <xf numFmtId="9" fontId="7" fillId="5" borderId="40" xfId="12" applyFont="1" applyFill="1" applyBorder="1" applyAlignment="1" applyProtection="1">
      <alignment horizontal="center"/>
      <protection hidden="1"/>
    </xf>
    <xf numFmtId="9" fontId="7" fillId="0" borderId="0" xfId="12" applyFont="1" applyFill="1" applyBorder="1" applyAlignment="1" applyProtection="1">
      <alignment horizontal="center"/>
      <protection hidden="1"/>
    </xf>
    <xf numFmtId="0" fontId="70" fillId="0" borderId="0" xfId="2" applyFont="1" applyProtection="1">
      <protection hidden="1"/>
    </xf>
    <xf numFmtId="0" fontId="7" fillId="39" borderId="40" xfId="2" applyFont="1" applyFill="1" applyBorder="1" applyAlignment="1" applyProtection="1">
      <alignment horizontal="center"/>
      <protection hidden="1"/>
    </xf>
    <xf numFmtId="3" fontId="63" fillId="0" borderId="41" xfId="0" applyNumberFormat="1" applyFont="1" applyFill="1" applyBorder="1" applyProtection="1">
      <protection hidden="1"/>
    </xf>
    <xf numFmtId="0" fontId="7" fillId="40" borderId="40" xfId="2" applyFont="1" applyFill="1" applyBorder="1" applyAlignment="1" applyProtection="1">
      <alignment horizontal="center"/>
      <protection hidden="1"/>
    </xf>
    <xf numFmtId="9" fontId="7" fillId="40" borderId="40" xfId="12" applyNumberFormat="1" applyFont="1" applyFill="1" applyBorder="1" applyAlignment="1" applyProtection="1">
      <alignment horizontal="center"/>
      <protection hidden="1"/>
    </xf>
    <xf numFmtId="3" fontId="63" fillId="40" borderId="23" xfId="0" applyNumberFormat="1" applyFont="1" applyFill="1" applyBorder="1" applyProtection="1">
      <protection hidden="1"/>
    </xf>
    <xf numFmtId="0" fontId="9" fillId="0" borderId="0" xfId="2" applyFont="1" applyFill="1" applyProtection="1">
      <protection hidden="1"/>
    </xf>
    <xf numFmtId="0" fontId="1" fillId="0" borderId="0" xfId="2" applyAlignment="1" applyProtection="1">
      <alignment horizontal="center"/>
      <protection hidden="1"/>
    </xf>
    <xf numFmtId="3" fontId="64" fillId="0" borderId="44" xfId="0" applyNumberFormat="1" applyFont="1" applyBorder="1" applyProtection="1">
      <protection hidden="1"/>
    </xf>
    <xf numFmtId="0" fontId="7" fillId="6" borderId="40" xfId="2" applyFont="1" applyFill="1" applyBorder="1" applyAlignment="1" applyProtection="1">
      <alignment horizontal="center"/>
      <protection hidden="1"/>
    </xf>
    <xf numFmtId="9" fontId="7" fillId="6" borderId="40" xfId="12" applyFont="1" applyFill="1" applyBorder="1" applyAlignment="1" applyProtection="1">
      <alignment horizontal="center"/>
      <protection hidden="1"/>
    </xf>
    <xf numFmtId="0" fontId="7" fillId="38" borderId="40" xfId="2" applyFont="1" applyFill="1" applyBorder="1" applyAlignment="1" applyProtection="1">
      <alignment horizontal="center"/>
      <protection hidden="1"/>
    </xf>
    <xf numFmtId="9" fontId="7" fillId="38" borderId="40" xfId="12" applyNumberFormat="1" applyFont="1" applyFill="1" applyBorder="1" applyAlignment="1" applyProtection="1">
      <alignment horizontal="center"/>
      <protection hidden="1"/>
    </xf>
    <xf numFmtId="3" fontId="63" fillId="38" borderId="23" xfId="0" applyNumberFormat="1" applyFont="1" applyFill="1" applyBorder="1" applyProtection="1">
      <protection hidden="1"/>
    </xf>
    <xf numFmtId="0" fontId="7" fillId="0" borderId="273" xfId="2" applyFont="1" applyBorder="1" applyAlignment="1" applyProtection="1">
      <alignment horizontal="center"/>
      <protection hidden="1"/>
    </xf>
    <xf numFmtId="168" fontId="9" fillId="0" borderId="274" xfId="2" applyNumberFormat="1" applyFont="1" applyBorder="1" applyAlignment="1" applyProtection="1">
      <alignment horizontal="center"/>
      <protection hidden="1"/>
    </xf>
    <xf numFmtId="0" fontId="9" fillId="0" borderId="275" xfId="2" applyFont="1" applyBorder="1" applyProtection="1">
      <protection hidden="1"/>
    </xf>
    <xf numFmtId="0" fontId="7" fillId="38" borderId="269" xfId="2" applyFont="1" applyFill="1" applyBorder="1" applyAlignment="1" applyProtection="1">
      <alignment horizontal="center"/>
      <protection hidden="1"/>
    </xf>
    <xf numFmtId="9" fontId="7" fillId="38" borderId="269" xfId="12" applyNumberFormat="1" applyFont="1" applyFill="1" applyBorder="1" applyAlignment="1" applyProtection="1">
      <alignment horizontal="center"/>
      <protection hidden="1"/>
    </xf>
    <xf numFmtId="0" fontId="7" fillId="0" borderId="271" xfId="2" applyFont="1" applyBorder="1" applyAlignment="1" applyProtection="1">
      <alignment horizontal="center"/>
      <protection hidden="1"/>
    </xf>
    <xf numFmtId="168" fontId="9" fillId="0" borderId="271" xfId="2" applyNumberFormat="1" applyFont="1" applyBorder="1" applyAlignment="1" applyProtection="1">
      <alignment horizontal="center"/>
      <protection hidden="1"/>
    </xf>
    <xf numFmtId="0" fontId="9" fillId="0" borderId="272" xfId="2" applyFont="1" applyBorder="1" applyProtection="1">
      <protection hidden="1"/>
    </xf>
    <xf numFmtId="0" fontId="7" fillId="38" borderId="270" xfId="2" applyFont="1" applyFill="1" applyBorder="1" applyAlignment="1" applyProtection="1">
      <alignment horizontal="center"/>
      <protection hidden="1"/>
    </xf>
    <xf numFmtId="9" fontId="7" fillId="38" borderId="270" xfId="12" applyNumberFormat="1" applyFont="1" applyFill="1" applyBorder="1" applyAlignment="1" applyProtection="1">
      <alignment horizontal="center"/>
      <protection hidden="1"/>
    </xf>
    <xf numFmtId="0" fontId="63" fillId="0" borderId="0" xfId="0" applyFont="1" applyAlignment="1" applyProtection="1">
      <alignment horizontal="right"/>
      <protection hidden="1"/>
    </xf>
    <xf numFmtId="0" fontId="7" fillId="7" borderId="40" xfId="2" applyFont="1" applyFill="1" applyBorder="1" applyAlignment="1" applyProtection="1">
      <alignment horizontal="center"/>
      <protection hidden="1"/>
    </xf>
    <xf numFmtId="9" fontId="7" fillId="7" borderId="40" xfId="12" applyFont="1" applyFill="1" applyBorder="1" applyAlignment="1" applyProtection="1">
      <alignment horizontal="center"/>
      <protection hidden="1"/>
    </xf>
    <xf numFmtId="0" fontId="7" fillId="41" borderId="40" xfId="2" applyFont="1" applyFill="1" applyBorder="1" applyAlignment="1" applyProtection="1">
      <alignment horizontal="center"/>
      <protection hidden="1"/>
    </xf>
    <xf numFmtId="9" fontId="7" fillId="41" borderId="40" xfId="12" applyNumberFormat="1" applyFont="1" applyFill="1" applyBorder="1" applyAlignment="1" applyProtection="1">
      <alignment horizontal="center"/>
      <protection hidden="1"/>
    </xf>
    <xf numFmtId="3" fontId="63" fillId="41" borderId="23" xfId="0" applyNumberFormat="1" applyFont="1" applyFill="1" applyBorder="1" applyProtection="1">
      <protection hidden="1"/>
    </xf>
    <xf numFmtId="0" fontId="7" fillId="41" borderId="269" xfId="2" applyFont="1" applyFill="1" applyBorder="1" applyAlignment="1" applyProtection="1">
      <alignment horizontal="center"/>
      <protection hidden="1"/>
    </xf>
    <xf numFmtId="9" fontId="7" fillId="41" borderId="269" xfId="12" applyNumberFormat="1" applyFont="1" applyFill="1" applyBorder="1" applyAlignment="1" applyProtection="1">
      <alignment horizontal="center"/>
      <protection hidden="1"/>
    </xf>
    <xf numFmtId="0" fontId="7" fillId="41" borderId="270" xfId="2" applyFont="1" applyFill="1" applyBorder="1" applyAlignment="1" applyProtection="1">
      <alignment horizontal="center"/>
      <protection hidden="1"/>
    </xf>
    <xf numFmtId="9" fontId="7" fillId="41" borderId="270" xfId="12" applyNumberFormat="1" applyFont="1" applyFill="1" applyBorder="1" applyAlignment="1" applyProtection="1">
      <alignment horizontal="center"/>
      <protection hidden="1"/>
    </xf>
    <xf numFmtId="0" fontId="7" fillId="8" borderId="40" xfId="2" applyFont="1" applyFill="1" applyBorder="1" applyProtection="1">
      <protection hidden="1"/>
    </xf>
    <xf numFmtId="0" fontId="7" fillId="8" borderId="40" xfId="2" applyFont="1" applyFill="1" applyBorder="1" applyAlignment="1" applyProtection="1">
      <alignment horizontal="center"/>
      <protection hidden="1"/>
    </xf>
    <xf numFmtId="49" fontId="7" fillId="8" borderId="40" xfId="12" applyNumberFormat="1" applyFont="1" applyFill="1" applyBorder="1" applyAlignment="1" applyProtection="1">
      <alignment horizontal="center"/>
      <protection hidden="1"/>
    </xf>
    <xf numFmtId="3" fontId="7" fillId="0" borderId="23" xfId="2" applyNumberFormat="1" applyFont="1" applyBorder="1" applyProtection="1">
      <protection hidden="1"/>
    </xf>
    <xf numFmtId="0" fontId="7" fillId="0" borderId="3" xfId="2" applyFont="1" applyBorder="1" applyProtection="1">
      <protection hidden="1"/>
    </xf>
    <xf numFmtId="3" fontId="7" fillId="0" borderId="0" xfId="2" applyNumberFormat="1" applyFont="1" applyProtection="1">
      <protection hidden="1"/>
    </xf>
    <xf numFmtId="9" fontId="7" fillId="8" borderId="40" xfId="12" applyFont="1" applyFill="1" applyBorder="1" applyAlignment="1" applyProtection="1">
      <alignment horizontal="center"/>
      <protection hidden="1"/>
    </xf>
    <xf numFmtId="3" fontId="1" fillId="0" borderId="0" xfId="2" applyNumberFormat="1" applyProtection="1">
      <protection hidden="1"/>
    </xf>
    <xf numFmtId="0" fontId="180" fillId="0" borderId="0" xfId="0" applyFont="1" applyProtection="1">
      <protection hidden="1"/>
    </xf>
    <xf numFmtId="0" fontId="179" fillId="0" borderId="0" xfId="0" applyFont="1" applyProtection="1">
      <protection hidden="1"/>
    </xf>
    <xf numFmtId="168" fontId="9" fillId="0" borderId="0" xfId="2" applyNumberFormat="1" applyFont="1" applyProtection="1">
      <protection hidden="1"/>
    </xf>
    <xf numFmtId="0" fontId="9" fillId="0" borderId="0" xfId="2" applyFont="1" applyAlignment="1" applyProtection="1">
      <alignment horizontal="right" vertical="center"/>
      <protection hidden="1"/>
    </xf>
    <xf numFmtId="0" fontId="9" fillId="0" borderId="0" xfId="2" applyFont="1" applyFill="1" applyBorder="1" applyAlignment="1" applyProtection="1">
      <alignment horizontal="right" vertical="center"/>
      <protection hidden="1"/>
    </xf>
    <xf numFmtId="0" fontId="1" fillId="0" borderId="0" xfId="2" applyAlignment="1" applyProtection="1">
      <alignment horizontal="right"/>
      <protection hidden="1"/>
    </xf>
    <xf numFmtId="0" fontId="1" fillId="0" borderId="0" xfId="2" applyFill="1" applyBorder="1" applyAlignment="1" applyProtection="1">
      <alignment horizontal="right"/>
      <protection hidden="1"/>
    </xf>
    <xf numFmtId="3" fontId="7" fillId="17" borderId="23" xfId="2" applyNumberFormat="1" applyFont="1" applyFill="1" applyBorder="1" applyProtection="1">
      <protection hidden="1"/>
    </xf>
    <xf numFmtId="3" fontId="7" fillId="19" borderId="23" xfId="2" applyNumberFormat="1" applyFont="1" applyFill="1" applyBorder="1" applyProtection="1">
      <protection hidden="1"/>
    </xf>
    <xf numFmtId="3" fontId="7" fillId="20" borderId="23" xfId="2" applyNumberFormat="1" applyFont="1" applyFill="1" applyBorder="1" applyProtection="1">
      <protection hidden="1"/>
    </xf>
    <xf numFmtId="3" fontId="7" fillId="9" borderId="23" xfId="2" applyNumberFormat="1" applyFont="1" applyFill="1" applyBorder="1" applyProtection="1">
      <protection hidden="1"/>
    </xf>
    <xf numFmtId="0" fontId="9" fillId="0" borderId="0" xfId="2" applyFont="1" applyBorder="1" applyAlignment="1" applyProtection="1">
      <alignment vertical="top"/>
      <protection hidden="1"/>
    </xf>
    <xf numFmtId="0" fontId="7" fillId="0" borderId="0" xfId="2" applyFont="1" applyFill="1" applyProtection="1">
      <protection hidden="1"/>
    </xf>
    <xf numFmtId="3" fontId="7" fillId="0" borderId="3" xfId="2" applyNumberFormat="1" applyFont="1" applyFill="1" applyBorder="1" applyProtection="1">
      <protection hidden="1"/>
    </xf>
    <xf numFmtId="0" fontId="9" fillId="0" borderId="0" xfId="2" applyFont="1" applyFill="1" applyAlignment="1" applyProtection="1">
      <alignment vertical="top"/>
      <protection hidden="1"/>
    </xf>
    <xf numFmtId="3" fontId="9" fillId="0" borderId="0" xfId="2" applyNumberFormat="1" applyFont="1" applyBorder="1" applyAlignment="1" applyProtection="1">
      <alignment vertical="top"/>
      <protection hidden="1"/>
    </xf>
    <xf numFmtId="3" fontId="7" fillId="0" borderId="0" xfId="2" applyNumberFormat="1" applyFont="1" applyFill="1" applyBorder="1" applyProtection="1">
      <protection hidden="1"/>
    </xf>
    <xf numFmtId="0" fontId="44" fillId="0" borderId="0" xfId="2" applyFont="1" applyFill="1" applyAlignment="1" applyProtection="1">
      <alignment horizontal="right"/>
      <protection hidden="1"/>
    </xf>
    <xf numFmtId="3" fontId="9" fillId="0" borderId="0" xfId="2" applyNumberFormat="1" applyFont="1" applyFill="1" applyBorder="1" applyAlignment="1" applyProtection="1">
      <alignment vertical="top"/>
      <protection hidden="1"/>
    </xf>
    <xf numFmtId="0" fontId="44" fillId="0" borderId="0" xfId="2" applyFont="1" applyFill="1" applyBorder="1" applyAlignment="1" applyProtection="1">
      <alignment horizontal="right"/>
      <protection hidden="1"/>
    </xf>
    <xf numFmtId="3" fontId="9" fillId="0" borderId="23" xfId="2" applyNumberFormat="1" applyFont="1" applyBorder="1" applyAlignment="1" applyProtection="1">
      <alignment vertical="top"/>
      <protection hidden="1"/>
    </xf>
    <xf numFmtId="3" fontId="7" fillId="35" borderId="23" xfId="2" applyNumberFormat="1" applyFont="1" applyFill="1" applyBorder="1" applyProtection="1">
      <protection hidden="1"/>
    </xf>
    <xf numFmtId="0" fontId="1" fillId="0" borderId="0" xfId="2" applyBorder="1" applyProtection="1">
      <protection hidden="1"/>
    </xf>
    <xf numFmtId="0" fontId="9" fillId="0" borderId="17" xfId="2" applyFont="1" applyBorder="1" applyProtection="1">
      <protection hidden="1"/>
    </xf>
    <xf numFmtId="0" fontId="7" fillId="0" borderId="17" xfId="2" applyFont="1" applyBorder="1" applyProtection="1">
      <protection hidden="1"/>
    </xf>
    <xf numFmtId="0" fontId="9" fillId="0" borderId="17" xfId="2" applyFont="1" applyBorder="1" applyAlignment="1" applyProtection="1">
      <alignment vertical="top"/>
      <protection hidden="1"/>
    </xf>
    <xf numFmtId="0" fontId="9" fillId="0" borderId="23" xfId="2" applyFont="1" applyBorder="1" applyAlignment="1" applyProtection="1">
      <alignment vertical="top"/>
      <protection hidden="1"/>
    </xf>
    <xf numFmtId="0" fontId="7" fillId="24" borderId="23" xfId="2" applyFont="1" applyFill="1" applyBorder="1" applyProtection="1">
      <protection hidden="1"/>
    </xf>
    <xf numFmtId="0" fontId="1" fillId="0" borderId="35" xfId="2" applyBorder="1" applyProtection="1">
      <protection hidden="1"/>
    </xf>
    <xf numFmtId="0" fontId="7" fillId="18" borderId="23" xfId="2" applyFont="1" applyFill="1" applyBorder="1" applyProtection="1">
      <protection hidden="1"/>
    </xf>
    <xf numFmtId="0" fontId="2" fillId="0" borderId="38" xfId="2" applyFont="1" applyBorder="1" applyAlignment="1" applyProtection="1">
      <protection hidden="1"/>
    </xf>
    <xf numFmtId="0" fontId="2" fillId="0" borderId="56" xfId="2" applyFont="1" applyBorder="1" applyAlignment="1" applyProtection="1">
      <protection hidden="1"/>
    </xf>
    <xf numFmtId="0" fontId="2" fillId="0" borderId="39" xfId="2" applyFont="1" applyBorder="1" applyAlignment="1" applyProtection="1">
      <protection hidden="1"/>
    </xf>
    <xf numFmtId="0" fontId="2" fillId="0" borderId="0" xfId="2" applyFont="1" applyFill="1" applyBorder="1" applyAlignment="1" applyProtection="1">
      <protection hidden="1"/>
    </xf>
    <xf numFmtId="0" fontId="7" fillId="0" borderId="38" xfId="2" applyFont="1" applyBorder="1" applyAlignment="1" applyProtection="1">
      <protection hidden="1"/>
    </xf>
    <xf numFmtId="0" fontId="7" fillId="0" borderId="56" xfId="2" applyFont="1" applyBorder="1" applyAlignment="1" applyProtection="1">
      <protection hidden="1"/>
    </xf>
    <xf numFmtId="0" fontId="7" fillId="0" borderId="39" xfId="2" applyFont="1" applyBorder="1" applyAlignment="1" applyProtection="1">
      <protection hidden="1"/>
    </xf>
    <xf numFmtId="0" fontId="7" fillId="0" borderId="0" xfId="2" applyFont="1" applyFill="1" applyBorder="1" applyAlignment="1" applyProtection="1">
      <protection hidden="1"/>
    </xf>
    <xf numFmtId="0" fontId="7" fillId="0" borderId="60" xfId="2" applyFont="1" applyBorder="1" applyAlignment="1" applyProtection="1">
      <protection hidden="1"/>
    </xf>
    <xf numFmtId="0" fontId="11" fillId="17" borderId="57" xfId="2" applyFont="1" applyFill="1" applyBorder="1" applyProtection="1">
      <protection hidden="1"/>
    </xf>
    <xf numFmtId="0" fontId="1" fillId="17" borderId="60" xfId="2" applyFont="1" applyFill="1" applyBorder="1" applyProtection="1">
      <protection hidden="1"/>
    </xf>
    <xf numFmtId="0" fontId="104" fillId="17" borderId="53" xfId="0" applyFont="1" applyFill="1" applyBorder="1" applyAlignment="1" applyProtection="1">
      <alignment horizontal="center" vertical="center" wrapText="1"/>
      <protection hidden="1"/>
    </xf>
    <xf numFmtId="0" fontId="1" fillId="0" borderId="0" xfId="2" applyFont="1" applyFill="1" applyBorder="1" applyProtection="1">
      <protection hidden="1"/>
    </xf>
    <xf numFmtId="0" fontId="11" fillId="17" borderId="66" xfId="2" applyFont="1" applyFill="1" applyBorder="1" applyAlignment="1" applyProtection="1">
      <alignment vertical="center"/>
      <protection hidden="1"/>
    </xf>
    <xf numFmtId="0" fontId="11" fillId="17" borderId="60" xfId="2" applyFont="1" applyFill="1" applyBorder="1" applyAlignment="1" applyProtection="1">
      <alignment horizontal="left"/>
      <protection hidden="1"/>
    </xf>
    <xf numFmtId="0" fontId="2" fillId="17" borderId="60" xfId="2" applyFont="1" applyFill="1" applyBorder="1" applyProtection="1">
      <protection hidden="1"/>
    </xf>
    <xf numFmtId="0" fontId="7" fillId="17" borderId="60" xfId="0" applyFont="1" applyFill="1" applyBorder="1" applyAlignment="1" applyProtection="1">
      <alignment horizontal="right" vertical="center"/>
      <protection hidden="1"/>
    </xf>
    <xf numFmtId="0" fontId="7" fillId="17" borderId="0" xfId="0" applyFont="1" applyFill="1" applyBorder="1" applyAlignment="1" applyProtection="1">
      <alignment horizontal="right" vertical="center"/>
      <protection hidden="1"/>
    </xf>
    <xf numFmtId="0" fontId="7" fillId="0" borderId="0" xfId="0" applyFont="1" applyFill="1" applyBorder="1" applyAlignment="1" applyProtection="1">
      <alignment horizontal="right" vertical="center"/>
      <protection hidden="1"/>
    </xf>
    <xf numFmtId="0" fontId="11" fillId="17" borderId="57" xfId="2" applyFont="1" applyFill="1" applyBorder="1" applyAlignment="1" applyProtection="1">
      <alignment vertical="center"/>
      <protection hidden="1"/>
    </xf>
    <xf numFmtId="0" fontId="11" fillId="17" borderId="56" xfId="2" applyFont="1" applyFill="1" applyBorder="1" applyAlignment="1" applyProtection="1">
      <alignment horizontal="left"/>
      <protection hidden="1"/>
    </xf>
    <xf numFmtId="0" fontId="2" fillId="17" borderId="56" xfId="2" applyFont="1" applyFill="1" applyBorder="1" applyProtection="1">
      <protection hidden="1"/>
    </xf>
    <xf numFmtId="0" fontId="7" fillId="17" borderId="56" xfId="0" applyFont="1" applyFill="1" applyBorder="1" applyAlignment="1" applyProtection="1">
      <alignment horizontal="right" vertical="center"/>
      <protection hidden="1"/>
    </xf>
    <xf numFmtId="0" fontId="7" fillId="17" borderId="102" xfId="0" applyFont="1" applyFill="1" applyBorder="1" applyAlignment="1" applyProtection="1">
      <alignment horizontal="right" vertical="center"/>
      <protection hidden="1"/>
    </xf>
    <xf numFmtId="167" fontId="10" fillId="0" borderId="0" xfId="2" applyNumberFormat="1" applyFont="1" applyProtection="1">
      <protection hidden="1"/>
    </xf>
    <xf numFmtId="0" fontId="7" fillId="0" borderId="0" xfId="2" applyFont="1" applyBorder="1" applyAlignment="1" applyProtection="1">
      <protection hidden="1"/>
    </xf>
    <xf numFmtId="3" fontId="2" fillId="0" borderId="23" xfId="2" applyNumberFormat="1" applyFont="1" applyBorder="1" applyProtection="1">
      <protection hidden="1"/>
    </xf>
    <xf numFmtId="0" fontId="2" fillId="0" borderId="0" xfId="2" applyFont="1" applyFill="1" applyBorder="1" applyAlignment="1" applyProtection="1">
      <alignment horizontal="right"/>
      <protection hidden="1"/>
    </xf>
    <xf numFmtId="167" fontId="10" fillId="0" borderId="23" xfId="2" applyNumberFormat="1" applyFont="1" applyFill="1" applyBorder="1" applyProtection="1">
      <protection hidden="1"/>
    </xf>
    <xf numFmtId="3" fontId="9" fillId="15" borderId="37" xfId="2" applyNumberFormat="1" applyFont="1" applyFill="1" applyBorder="1" applyAlignment="1" applyProtection="1">
      <alignment vertical="center"/>
      <protection hidden="1"/>
    </xf>
    <xf numFmtId="0" fontId="2" fillId="0" borderId="0" xfId="2" applyFont="1" applyProtection="1">
      <protection hidden="1"/>
    </xf>
    <xf numFmtId="0" fontId="2" fillId="0" borderId="0" xfId="2" applyFont="1" applyAlignment="1" applyProtection="1">
      <alignment horizontal="right"/>
      <protection hidden="1"/>
    </xf>
    <xf numFmtId="167" fontId="10" fillId="31" borderId="23" xfId="2" applyNumberFormat="1" applyFont="1" applyFill="1" applyBorder="1" applyProtection="1">
      <protection hidden="1"/>
    </xf>
    <xf numFmtId="167" fontId="78" fillId="0" borderId="23" xfId="2" applyNumberFormat="1" applyFont="1" applyBorder="1" applyProtection="1">
      <protection hidden="1"/>
    </xf>
    <xf numFmtId="3" fontId="9" fillId="16" borderId="35" xfId="2" applyNumberFormat="1" applyFont="1" applyFill="1" applyBorder="1" applyAlignment="1" applyProtection="1">
      <alignment vertical="center"/>
      <protection hidden="1"/>
    </xf>
    <xf numFmtId="3" fontId="9" fillId="25" borderId="35" xfId="2" applyNumberFormat="1" applyFont="1" applyFill="1" applyBorder="1" applyAlignment="1" applyProtection="1">
      <alignment vertical="center"/>
      <protection hidden="1"/>
    </xf>
    <xf numFmtId="0" fontId="11" fillId="0" borderId="0" xfId="2" applyFont="1" applyProtection="1">
      <protection hidden="1"/>
    </xf>
    <xf numFmtId="3" fontId="78" fillId="0" borderId="0" xfId="2" applyNumberFormat="1" applyFont="1" applyBorder="1" applyProtection="1">
      <protection hidden="1"/>
    </xf>
    <xf numFmtId="0" fontId="11" fillId="0" borderId="0" xfId="2" applyFont="1" applyFill="1" applyBorder="1" applyProtection="1">
      <protection hidden="1"/>
    </xf>
    <xf numFmtId="0" fontId="11" fillId="0" borderId="60" xfId="2" applyFont="1" applyFill="1" applyBorder="1" applyProtection="1">
      <protection hidden="1"/>
    </xf>
    <xf numFmtId="3" fontId="78" fillId="0" borderId="23" xfId="2" applyNumberFormat="1" applyFont="1" applyBorder="1" applyProtection="1">
      <protection hidden="1"/>
    </xf>
    <xf numFmtId="0" fontId="1" fillId="0" borderId="60" xfId="2" applyFill="1" applyBorder="1" applyProtection="1">
      <protection hidden="1"/>
    </xf>
    <xf numFmtId="9" fontId="11" fillId="0" borderId="60" xfId="12" applyFont="1" applyFill="1" applyBorder="1" applyAlignment="1" applyProtection="1">
      <alignment horizontal="center"/>
      <protection hidden="1"/>
    </xf>
    <xf numFmtId="0" fontId="11" fillId="0" borderId="60" xfId="2" applyFont="1" applyFill="1" applyBorder="1" applyAlignment="1" applyProtection="1">
      <alignment horizontal="right"/>
      <protection hidden="1"/>
    </xf>
    <xf numFmtId="9" fontId="11" fillId="0" borderId="0" xfId="12" applyFont="1" applyFill="1" applyBorder="1" applyAlignment="1" applyProtection="1">
      <alignment horizontal="center"/>
      <protection hidden="1"/>
    </xf>
    <xf numFmtId="3" fontId="108" fillId="0" borderId="2" xfId="2" applyNumberFormat="1" applyFont="1" applyFill="1" applyBorder="1" applyProtection="1">
      <protection hidden="1"/>
    </xf>
    <xf numFmtId="3" fontId="10" fillId="0" borderId="30" xfId="2" applyNumberFormat="1" applyFont="1" applyFill="1" applyBorder="1" applyProtection="1">
      <protection hidden="1"/>
    </xf>
    <xf numFmtId="3" fontId="9" fillId="0" borderId="0" xfId="2" applyNumberFormat="1" applyFont="1" applyFill="1" applyAlignment="1" applyProtection="1">
      <alignment vertical="top"/>
      <protection hidden="1"/>
    </xf>
    <xf numFmtId="0" fontId="11" fillId="0" borderId="0" xfId="2" applyFont="1" applyFill="1" applyBorder="1" applyAlignment="1" applyProtection="1">
      <alignment horizontal="right"/>
      <protection hidden="1"/>
    </xf>
    <xf numFmtId="0" fontId="2" fillId="0" borderId="60" xfId="2" applyFont="1" applyFill="1" applyBorder="1" applyProtection="1">
      <protection hidden="1"/>
    </xf>
    <xf numFmtId="0" fontId="1" fillId="0" borderId="0" xfId="2" applyAlignment="1" applyProtection="1">
      <alignment horizontal="left"/>
      <protection hidden="1"/>
    </xf>
    <xf numFmtId="3" fontId="10" fillId="0" borderId="23" xfId="2" applyNumberFormat="1" applyFont="1" applyBorder="1" applyProtection="1">
      <protection hidden="1"/>
    </xf>
    <xf numFmtId="0" fontId="1" fillId="0" borderId="0" xfId="2" applyFill="1" applyBorder="1" applyAlignment="1" applyProtection="1">
      <alignment horizontal="left"/>
      <protection hidden="1"/>
    </xf>
    <xf numFmtId="3" fontId="12" fillId="0" borderId="0" xfId="2" applyNumberFormat="1" applyFont="1" applyProtection="1">
      <protection hidden="1"/>
    </xf>
    <xf numFmtId="0" fontId="111" fillId="0" borderId="0" xfId="2" applyFont="1" applyAlignment="1" applyProtection="1">
      <alignment horizontal="right"/>
      <protection hidden="1"/>
    </xf>
    <xf numFmtId="0" fontId="111" fillId="0" borderId="23" xfId="2" applyFont="1" applyBorder="1" applyAlignment="1" applyProtection="1">
      <alignment horizontal="center"/>
      <protection hidden="1"/>
    </xf>
    <xf numFmtId="0" fontId="111" fillId="0" borderId="0" xfId="2" applyFont="1" applyFill="1" applyBorder="1" applyAlignment="1" applyProtection="1">
      <alignment horizontal="right"/>
      <protection hidden="1"/>
    </xf>
    <xf numFmtId="0" fontId="111" fillId="0" borderId="0" xfId="2" applyFont="1" applyFill="1" applyBorder="1" applyAlignment="1" applyProtection="1">
      <alignment horizontal="center"/>
      <protection hidden="1"/>
    </xf>
    <xf numFmtId="3" fontId="7" fillId="3" borderId="49" xfId="2" applyNumberFormat="1" applyFont="1" applyFill="1" applyBorder="1" applyProtection="1">
      <protection hidden="1"/>
    </xf>
    <xf numFmtId="3" fontId="7" fillId="3" borderId="2" xfId="2" applyNumberFormat="1" applyFont="1" applyFill="1" applyBorder="1" applyProtection="1">
      <protection hidden="1"/>
    </xf>
    <xf numFmtId="3" fontId="7" fillId="15" borderId="261" xfId="2" applyNumberFormat="1" applyFont="1" applyFill="1" applyBorder="1" applyProtection="1">
      <protection hidden="1"/>
    </xf>
    <xf numFmtId="3" fontId="7" fillId="3" borderId="261" xfId="2" applyNumberFormat="1" applyFont="1" applyFill="1" applyBorder="1" applyProtection="1">
      <protection hidden="1"/>
    </xf>
    <xf numFmtId="3" fontId="7" fillId="3" borderId="102" xfId="2" applyNumberFormat="1" applyFont="1" applyFill="1" applyBorder="1" applyProtection="1">
      <protection hidden="1"/>
    </xf>
    <xf numFmtId="3" fontId="7" fillId="15" borderId="46" xfId="2" applyNumberFormat="1" applyFont="1" applyFill="1" applyBorder="1" applyProtection="1">
      <protection hidden="1"/>
    </xf>
    <xf numFmtId="3" fontId="7" fillId="15" borderId="59" xfId="2" applyNumberFormat="1" applyFont="1" applyFill="1" applyBorder="1" applyProtection="1">
      <protection hidden="1"/>
    </xf>
    <xf numFmtId="3" fontId="7" fillId="3" borderId="46" xfId="2" applyNumberFormat="1" applyFont="1" applyFill="1" applyBorder="1" applyProtection="1">
      <protection hidden="1"/>
    </xf>
    <xf numFmtId="3" fontId="7" fillId="15" borderId="53" xfId="2" applyNumberFormat="1" applyFont="1" applyFill="1" applyBorder="1" applyProtection="1">
      <protection hidden="1"/>
    </xf>
    <xf numFmtId="3" fontId="7" fillId="15" borderId="66" xfId="2" applyNumberFormat="1" applyFont="1" applyFill="1" applyBorder="1" applyProtection="1">
      <protection hidden="1"/>
    </xf>
    <xf numFmtId="3" fontId="7" fillId="18" borderId="62" xfId="2" applyNumberFormat="1" applyFont="1" applyFill="1" applyBorder="1" applyProtection="1">
      <protection hidden="1"/>
    </xf>
    <xf numFmtId="3" fontId="7" fillId="3" borderId="53" xfId="2" applyNumberFormat="1" applyFont="1" applyFill="1" applyBorder="1" applyProtection="1">
      <protection hidden="1"/>
    </xf>
    <xf numFmtId="3" fontId="7" fillId="15" borderId="16" xfId="2" applyNumberFormat="1" applyFont="1" applyFill="1" applyBorder="1" applyProtection="1">
      <protection hidden="1"/>
    </xf>
    <xf numFmtId="3" fontId="7" fillId="15" borderId="30" xfId="2" applyNumberFormat="1" applyFont="1" applyFill="1" applyBorder="1" applyProtection="1">
      <protection hidden="1"/>
    </xf>
    <xf numFmtId="3" fontId="7" fillId="3" borderId="16" xfId="2" applyNumberFormat="1" applyFont="1" applyFill="1" applyBorder="1" applyProtection="1">
      <protection hidden="1"/>
    </xf>
    <xf numFmtId="3" fontId="7" fillId="3" borderId="30" xfId="2" applyNumberFormat="1" applyFont="1" applyFill="1" applyBorder="1" applyProtection="1">
      <protection hidden="1"/>
    </xf>
    <xf numFmtId="3" fontId="7" fillId="0" borderId="0" xfId="2" applyNumberFormat="1" applyFont="1" applyFill="1" applyBorder="1" applyAlignment="1" applyProtection="1">
      <alignment horizontal="center"/>
      <protection hidden="1"/>
    </xf>
    <xf numFmtId="3" fontId="7" fillId="0" borderId="17" xfId="2" applyNumberFormat="1" applyFont="1" applyFill="1" applyBorder="1" applyAlignment="1" applyProtection="1">
      <alignment horizontal="center"/>
      <protection hidden="1"/>
    </xf>
    <xf numFmtId="0" fontId="7" fillId="0" borderId="17" xfId="2" applyFont="1" applyFill="1" applyBorder="1" applyAlignment="1" applyProtection="1">
      <alignment horizontal="center"/>
      <protection hidden="1"/>
    </xf>
    <xf numFmtId="3" fontId="7" fillId="15" borderId="49" xfId="2" applyNumberFormat="1" applyFont="1" applyFill="1" applyBorder="1" applyProtection="1">
      <protection hidden="1"/>
    </xf>
    <xf numFmtId="3" fontId="7" fillId="15" borderId="50" xfId="2" applyNumberFormat="1" applyFont="1" applyFill="1" applyBorder="1" applyProtection="1">
      <protection hidden="1"/>
    </xf>
    <xf numFmtId="3" fontId="7" fillId="15" borderId="51" xfId="2" applyNumberFormat="1" applyFont="1" applyFill="1" applyBorder="1" applyProtection="1">
      <protection hidden="1"/>
    </xf>
    <xf numFmtId="3" fontId="7" fillId="15" borderId="65" xfId="2" applyNumberFormat="1" applyFont="1" applyFill="1" applyBorder="1" applyProtection="1">
      <protection hidden="1"/>
    </xf>
    <xf numFmtId="3" fontId="7" fillId="3" borderId="50" xfId="2" applyNumberFormat="1" applyFont="1" applyFill="1" applyBorder="1" applyProtection="1">
      <protection hidden="1"/>
    </xf>
    <xf numFmtId="3" fontId="7" fillId="3" borderId="51" xfId="2" applyNumberFormat="1" applyFont="1" applyFill="1" applyBorder="1" applyProtection="1">
      <protection hidden="1"/>
    </xf>
    <xf numFmtId="9" fontId="2" fillId="0" borderId="0" xfId="2" applyNumberFormat="1" applyFont="1" applyProtection="1">
      <protection hidden="1"/>
    </xf>
    <xf numFmtId="9" fontId="2" fillId="0" borderId="0" xfId="2" applyNumberFormat="1" applyFont="1" applyFill="1" applyBorder="1" applyProtection="1">
      <protection hidden="1"/>
    </xf>
    <xf numFmtId="3" fontId="7" fillId="24" borderId="50" xfId="2" applyNumberFormat="1" applyFont="1" applyFill="1" applyBorder="1" applyProtection="1">
      <protection hidden="1"/>
    </xf>
    <xf numFmtId="3" fontId="9" fillId="0" borderId="35" xfId="2" applyNumberFormat="1" applyFont="1" applyBorder="1" applyProtection="1">
      <protection hidden="1"/>
    </xf>
    <xf numFmtId="0" fontId="11" fillId="17" borderId="35" xfId="2" applyFont="1" applyFill="1" applyBorder="1" applyAlignment="1" applyProtection="1">
      <alignment horizontal="center"/>
      <protection hidden="1"/>
    </xf>
    <xf numFmtId="0" fontId="11" fillId="17" borderId="35" xfId="2" applyFont="1" applyFill="1" applyBorder="1" applyProtection="1">
      <protection hidden="1"/>
    </xf>
    <xf numFmtId="0" fontId="11" fillId="0" borderId="0" xfId="2" applyFont="1" applyFill="1" applyBorder="1" applyAlignment="1" applyProtection="1">
      <alignment horizontal="center"/>
      <protection hidden="1"/>
    </xf>
    <xf numFmtId="0" fontId="1" fillId="17" borderId="35" xfId="2" applyFill="1" applyBorder="1" applyProtection="1">
      <protection hidden="1"/>
    </xf>
    <xf numFmtId="0" fontId="11" fillId="0" borderId="0" xfId="2" applyFont="1" applyBorder="1" applyProtection="1">
      <protection hidden="1"/>
    </xf>
    <xf numFmtId="3" fontId="11" fillId="0" borderId="23" xfId="2" applyNumberFormat="1" applyFont="1" applyBorder="1" applyProtection="1">
      <protection hidden="1"/>
    </xf>
    <xf numFmtId="3" fontId="11" fillId="0" borderId="23" xfId="2" applyNumberFormat="1" applyFont="1" applyBorder="1" applyAlignment="1" applyProtection="1">
      <alignment horizontal="right"/>
      <protection hidden="1"/>
    </xf>
    <xf numFmtId="3" fontId="111" fillId="0" borderId="0" xfId="2" applyNumberFormat="1" applyFont="1" applyFill="1" applyBorder="1" applyAlignment="1" applyProtection="1">
      <protection locked="0"/>
    </xf>
    <xf numFmtId="0" fontId="29" fillId="0" borderId="0" xfId="2" applyFont="1" applyFill="1" applyAlignment="1" applyProtection="1">
      <alignment vertical="center"/>
      <protection locked="0"/>
    </xf>
    <xf numFmtId="0" fontId="11" fillId="0" borderId="0" xfId="2" applyFont="1" applyFill="1" applyBorder="1" applyAlignment="1" applyProtection="1">
      <alignment horizontal="center" vertical="center" wrapText="1"/>
      <protection locked="0"/>
    </xf>
    <xf numFmtId="0" fontId="7" fillId="2" borderId="37" xfId="2" applyFont="1" applyFill="1" applyBorder="1" applyAlignment="1" applyProtection="1">
      <protection hidden="1"/>
    </xf>
    <xf numFmtId="0" fontId="7" fillId="0" borderId="266" xfId="2" applyFont="1" applyBorder="1" applyAlignment="1" applyProtection="1">
      <alignment horizontal="center"/>
      <protection hidden="1"/>
    </xf>
    <xf numFmtId="3" fontId="46" fillId="0" borderId="16" xfId="0" applyNumberFormat="1" applyFont="1" applyBorder="1" applyProtection="1">
      <protection hidden="1"/>
    </xf>
    <xf numFmtId="3" fontId="46" fillId="0" borderId="58" xfId="0" applyNumberFormat="1" applyFont="1" applyBorder="1" applyProtection="1">
      <protection hidden="1"/>
    </xf>
    <xf numFmtId="3" fontId="46" fillId="0" borderId="287" xfId="0" applyNumberFormat="1" applyFont="1" applyBorder="1" applyProtection="1">
      <protection hidden="1"/>
    </xf>
    <xf numFmtId="3" fontId="46" fillId="0" borderId="0" xfId="0" applyNumberFormat="1" applyFont="1" applyBorder="1" applyProtection="1">
      <protection hidden="1"/>
    </xf>
    <xf numFmtId="3" fontId="46" fillId="0" borderId="23" xfId="0" applyNumberFormat="1" applyFont="1" applyBorder="1" applyProtection="1">
      <protection hidden="1"/>
    </xf>
    <xf numFmtId="3" fontId="46" fillId="0" borderId="3" xfId="0" applyNumberFormat="1" applyFont="1" applyBorder="1" applyProtection="1">
      <protection hidden="1"/>
    </xf>
    <xf numFmtId="3" fontId="46" fillId="0" borderId="41" xfId="0" applyNumberFormat="1" applyFont="1" applyBorder="1" applyProtection="1">
      <protection hidden="1"/>
    </xf>
    <xf numFmtId="3" fontId="7" fillId="0" borderId="32" xfId="2" applyNumberFormat="1" applyFont="1" applyBorder="1" applyProtection="1">
      <protection hidden="1"/>
    </xf>
    <xf numFmtId="3" fontId="7" fillId="0" borderId="30" xfId="2" applyNumberFormat="1" applyFont="1" applyBorder="1" applyProtection="1">
      <protection hidden="1"/>
    </xf>
    <xf numFmtId="3" fontId="7" fillId="0" borderId="41" xfId="2" applyNumberFormat="1" applyFont="1" applyBorder="1" applyProtection="1">
      <protection hidden="1"/>
    </xf>
    <xf numFmtId="3" fontId="7" fillId="0" borderId="287" xfId="2" applyNumberFormat="1" applyFont="1" applyBorder="1" applyProtection="1">
      <protection hidden="1"/>
    </xf>
    <xf numFmtId="3" fontId="7" fillId="0" borderId="286" xfId="2" applyNumberFormat="1" applyFont="1" applyBorder="1" applyProtection="1">
      <protection hidden="1"/>
    </xf>
    <xf numFmtId="0" fontId="11" fillId="0" borderId="166" xfId="2" applyFont="1" applyFill="1" applyBorder="1" applyAlignment="1" applyProtection="1">
      <alignment horizontal="left" vertical="center"/>
      <protection locked="0"/>
    </xf>
    <xf numFmtId="0" fontId="170" fillId="16" borderId="56" xfId="2" applyFont="1" applyFill="1" applyBorder="1" applyAlignment="1" applyProtection="1">
      <alignment horizontal="left"/>
    </xf>
    <xf numFmtId="0" fontId="170" fillId="16" borderId="104" xfId="2" applyFont="1" applyFill="1" applyBorder="1" applyAlignment="1" applyProtection="1">
      <alignment horizontal="left"/>
    </xf>
    <xf numFmtId="0" fontId="171" fillId="16" borderId="103" xfId="0" applyFont="1" applyFill="1" applyBorder="1" applyAlignment="1" applyProtection="1">
      <alignment horizontal="right" vertical="center"/>
    </xf>
    <xf numFmtId="0" fontId="7" fillId="0" borderId="0" xfId="2" applyFont="1" applyBorder="1" applyAlignment="1" applyProtection="1">
      <alignment horizontal="center"/>
      <protection hidden="1"/>
    </xf>
    <xf numFmtId="168" fontId="9" fillId="0" borderId="0" xfId="2" applyNumberFormat="1" applyFont="1" applyBorder="1" applyAlignment="1" applyProtection="1">
      <alignment horizontal="center"/>
      <protection hidden="1"/>
    </xf>
    <xf numFmtId="3" fontId="9" fillId="0" borderId="266" xfId="2" applyNumberFormat="1" applyFont="1" applyBorder="1" applyAlignment="1" applyProtection="1">
      <alignment horizontal="right" vertical="top"/>
      <protection hidden="1"/>
    </xf>
    <xf numFmtId="3" fontId="64" fillId="0" borderId="289" xfId="0" applyNumberFormat="1" applyFont="1" applyBorder="1" applyProtection="1">
      <protection hidden="1"/>
    </xf>
    <xf numFmtId="0" fontId="1" fillId="0" borderId="266" xfId="2" applyBorder="1" applyProtection="1">
      <protection hidden="1"/>
    </xf>
    <xf numFmtId="0" fontId="170" fillId="16" borderId="290" xfId="2" applyFont="1" applyFill="1" applyBorder="1" applyAlignment="1" applyProtection="1">
      <alignment horizontal="left"/>
    </xf>
    <xf numFmtId="0" fontId="11" fillId="0" borderId="213" xfId="2" applyFont="1" applyFill="1" applyBorder="1" applyAlignment="1" applyProtection="1">
      <protection locked="0"/>
    </xf>
    <xf numFmtId="9" fontId="7" fillId="40" borderId="40" xfId="12" applyNumberFormat="1" applyFont="1" applyFill="1" applyBorder="1" applyAlignment="1" applyProtection="1">
      <alignment horizontal="center" vertical="center"/>
      <protection hidden="1"/>
    </xf>
    <xf numFmtId="0" fontId="7" fillId="40" borderId="40" xfId="2" applyFont="1" applyFill="1" applyBorder="1" applyAlignment="1" applyProtection="1">
      <alignment horizontal="center" vertical="center"/>
      <protection hidden="1"/>
    </xf>
    <xf numFmtId="0" fontId="11" fillId="0" borderId="164" xfId="2" applyFont="1" applyFill="1" applyBorder="1" applyAlignment="1" applyProtection="1">
      <alignment horizontal="left" vertical="center"/>
      <protection locked="0"/>
    </xf>
    <xf numFmtId="0" fontId="1" fillId="17" borderId="291" xfId="2" applyFont="1" applyFill="1" applyBorder="1" applyAlignment="1" applyProtection="1"/>
    <xf numFmtId="3" fontId="7" fillId="0" borderId="4" xfId="2" applyNumberFormat="1" applyFont="1" applyBorder="1" applyProtection="1">
      <protection hidden="1"/>
    </xf>
    <xf numFmtId="3" fontId="7" fillId="0" borderId="8" xfId="2" applyNumberFormat="1" applyFont="1" applyBorder="1" applyProtection="1">
      <protection hidden="1"/>
    </xf>
    <xf numFmtId="3" fontId="7" fillId="0" borderId="1" xfId="2" applyNumberFormat="1" applyFont="1" applyFill="1" applyBorder="1" applyProtection="1">
      <protection hidden="1"/>
    </xf>
    <xf numFmtId="3" fontId="7" fillId="0" borderId="1" xfId="2" applyNumberFormat="1" applyFont="1" applyBorder="1" applyProtection="1">
      <protection hidden="1"/>
    </xf>
    <xf numFmtId="3" fontId="7" fillId="0" borderId="16" xfId="2" applyNumberFormat="1" applyFont="1" applyBorder="1" applyProtection="1">
      <protection hidden="1"/>
    </xf>
    <xf numFmtId="0" fontId="189" fillId="0" borderId="0" xfId="2" applyFont="1" applyBorder="1" applyAlignment="1" applyProtection="1">
      <alignment horizontal="right"/>
      <protection hidden="1"/>
    </xf>
    <xf numFmtId="3" fontId="11" fillId="17" borderId="0" xfId="2" applyNumberFormat="1" applyFont="1" applyFill="1" applyBorder="1" applyAlignment="1" applyProtection="1">
      <alignment horizontal="right" vertical="center"/>
      <protection hidden="1"/>
    </xf>
    <xf numFmtId="0" fontId="170" fillId="0" borderId="17" xfId="2" applyFont="1" applyFill="1" applyBorder="1" applyAlignment="1" applyProtection="1">
      <alignment horizontal="left"/>
    </xf>
    <xf numFmtId="3" fontId="10" fillId="0" borderId="17" xfId="2" applyNumberFormat="1" applyFont="1" applyFill="1" applyBorder="1" applyAlignment="1" applyProtection="1">
      <alignment vertical="center"/>
    </xf>
    <xf numFmtId="3" fontId="10" fillId="17" borderId="17" xfId="2" applyNumberFormat="1" applyFont="1" applyFill="1" applyBorder="1" applyAlignment="1" applyProtection="1">
      <alignment vertical="center"/>
      <protection locked="0"/>
    </xf>
    <xf numFmtId="3" fontId="110" fillId="17" borderId="0" xfId="2" applyNumberFormat="1" applyFont="1" applyFill="1" applyBorder="1" applyAlignment="1" applyProtection="1">
      <alignment horizontal="center" vertical="center"/>
      <protection hidden="1"/>
    </xf>
    <xf numFmtId="3" fontId="110" fillId="17" borderId="0" xfId="2" applyNumberFormat="1" applyFont="1" applyFill="1" applyBorder="1" applyAlignment="1" applyProtection="1">
      <alignment vertical="center"/>
      <protection hidden="1"/>
    </xf>
    <xf numFmtId="3" fontId="125" fillId="17" borderId="0" xfId="2" applyNumberFormat="1" applyFont="1" applyFill="1" applyBorder="1" applyAlignment="1" applyProtection="1">
      <alignment horizontal="center" vertical="center"/>
      <protection hidden="1"/>
    </xf>
    <xf numFmtId="3" fontId="24" fillId="17" borderId="4" xfId="1" applyNumberFormat="1" applyFill="1" applyBorder="1" applyAlignment="1" applyProtection="1">
      <alignment vertical="center"/>
      <protection hidden="1"/>
    </xf>
    <xf numFmtId="3" fontId="161" fillId="17" borderId="10" xfId="2" applyNumberFormat="1" applyFont="1" applyFill="1" applyBorder="1" applyAlignment="1" applyProtection="1">
      <alignment horizontal="center" vertical="center"/>
    </xf>
    <xf numFmtId="49" fontId="7" fillId="0" borderId="0" xfId="2" applyNumberFormat="1" applyFont="1" applyFill="1" applyBorder="1" applyAlignment="1" applyProtection="1">
      <alignment horizontal="right"/>
      <protection hidden="1"/>
    </xf>
    <xf numFmtId="0" fontId="11" fillId="0" borderId="57" xfId="2" applyFont="1" applyFill="1" applyBorder="1" applyAlignment="1" applyProtection="1">
      <alignment vertical="center"/>
      <protection hidden="1"/>
    </xf>
    <xf numFmtId="0" fontId="2" fillId="0" borderId="56" xfId="2" applyFont="1" applyFill="1" applyBorder="1" applyProtection="1">
      <protection hidden="1"/>
    </xf>
    <xf numFmtId="49" fontId="59" fillId="0" borderId="56" xfId="0" applyNumberFormat="1" applyFont="1" applyFill="1" applyBorder="1" applyAlignment="1" applyProtection="1">
      <alignment horizontal="center" vertical="center" wrapText="1"/>
      <protection hidden="1"/>
    </xf>
    <xf numFmtId="49" fontId="7" fillId="0" borderId="56" xfId="2" applyNumberFormat="1" applyFont="1" applyFill="1" applyBorder="1" applyAlignment="1" applyProtection="1">
      <alignment horizontal="right"/>
      <protection hidden="1"/>
    </xf>
    <xf numFmtId="3" fontId="10" fillId="0" borderId="23" xfId="2" applyNumberFormat="1" applyFont="1" applyFill="1" applyBorder="1" applyAlignment="1" applyProtection="1">
      <alignment vertical="center"/>
    </xf>
    <xf numFmtId="49" fontId="111" fillId="0" borderId="56" xfId="0" applyNumberFormat="1" applyFont="1" applyFill="1" applyBorder="1" applyAlignment="1" applyProtection="1">
      <alignment horizontal="center" vertical="center" wrapText="1"/>
      <protection hidden="1"/>
    </xf>
    <xf numFmtId="0" fontId="1" fillId="0" borderId="0" xfId="2" applyAlignment="1" applyProtection="1">
      <alignment horizontal="center" vertical="center"/>
      <protection hidden="1"/>
    </xf>
    <xf numFmtId="2" fontId="111" fillId="0" borderId="56" xfId="0" applyNumberFormat="1" applyFont="1" applyFill="1" applyBorder="1" applyAlignment="1" applyProtection="1">
      <alignment horizontal="center" vertical="center" wrapText="1"/>
      <protection hidden="1"/>
    </xf>
    <xf numFmtId="9" fontId="10" fillId="17" borderId="17" xfId="11" applyFont="1" applyFill="1" applyBorder="1" applyAlignment="1" applyProtection="1">
      <alignment vertical="center"/>
    </xf>
    <xf numFmtId="0" fontId="11" fillId="0" borderId="55" xfId="2" applyFont="1" applyFill="1" applyBorder="1" applyAlignment="1" applyProtection="1">
      <alignment vertical="center"/>
      <protection hidden="1"/>
    </xf>
    <xf numFmtId="0" fontId="2" fillId="0" borderId="54" xfId="2" applyFont="1" applyFill="1" applyBorder="1" applyProtection="1">
      <protection hidden="1"/>
    </xf>
    <xf numFmtId="49" fontId="59" fillId="0" borderId="54" xfId="0" applyNumberFormat="1" applyFont="1" applyFill="1" applyBorder="1" applyAlignment="1" applyProtection="1">
      <alignment horizontal="center" vertical="center" wrapText="1"/>
      <protection hidden="1"/>
    </xf>
    <xf numFmtId="49" fontId="7" fillId="0" borderId="54" xfId="2" applyNumberFormat="1" applyFont="1" applyFill="1" applyBorder="1" applyAlignment="1" applyProtection="1">
      <alignment horizontal="right"/>
      <protection hidden="1"/>
    </xf>
    <xf numFmtId="49" fontId="59" fillId="0" borderId="49" xfId="0" applyNumberFormat="1" applyFont="1" applyFill="1" applyBorder="1" applyAlignment="1" applyProtection="1">
      <alignment horizontal="center" vertical="center" wrapText="1"/>
      <protection hidden="1"/>
    </xf>
    <xf numFmtId="0" fontId="11" fillId="0" borderId="105" xfId="2" applyFont="1" applyFill="1" applyBorder="1" applyAlignment="1" applyProtection="1">
      <alignment vertical="center"/>
      <protection hidden="1"/>
    </xf>
    <xf numFmtId="0" fontId="2" fillId="0" borderId="104" xfId="2" applyFont="1" applyFill="1" applyBorder="1" applyProtection="1">
      <protection hidden="1"/>
    </xf>
    <xf numFmtId="49" fontId="59" fillId="0" borderId="104" xfId="0" applyNumberFormat="1" applyFont="1" applyFill="1" applyBorder="1" applyAlignment="1" applyProtection="1">
      <alignment horizontal="center" vertical="center" wrapText="1"/>
      <protection hidden="1"/>
    </xf>
    <xf numFmtId="49" fontId="7" fillId="0" borderId="104" xfId="2" applyNumberFormat="1" applyFont="1" applyFill="1" applyBorder="1" applyAlignment="1" applyProtection="1">
      <alignment horizontal="right"/>
      <protection hidden="1"/>
    </xf>
    <xf numFmtId="49" fontId="111" fillId="0" borderId="103" xfId="0" applyNumberFormat="1" applyFont="1" applyFill="1" applyBorder="1" applyAlignment="1" applyProtection="1">
      <alignment horizontal="center" vertical="center" wrapText="1"/>
      <protection hidden="1"/>
    </xf>
    <xf numFmtId="2" fontId="190" fillId="0" borderId="56" xfId="0" applyNumberFormat="1" applyFont="1" applyFill="1" applyBorder="1" applyAlignment="1" applyProtection="1">
      <alignment horizontal="center" vertical="center" wrapText="1"/>
      <protection hidden="1"/>
    </xf>
    <xf numFmtId="3" fontId="10" fillId="36" borderId="23" xfId="2" applyNumberFormat="1" applyFont="1" applyFill="1" applyBorder="1" applyAlignment="1" applyProtection="1">
      <alignment vertical="center"/>
    </xf>
    <xf numFmtId="3" fontId="10" fillId="45" borderId="23" xfId="2" applyNumberFormat="1" applyFont="1" applyFill="1" applyBorder="1" applyAlignment="1" applyProtection="1">
      <alignment vertical="center"/>
    </xf>
    <xf numFmtId="3" fontId="10" fillId="46" borderId="23" xfId="2" applyNumberFormat="1" applyFont="1" applyFill="1" applyBorder="1" applyAlignment="1" applyProtection="1">
      <alignment vertical="center"/>
    </xf>
    <xf numFmtId="3" fontId="10" fillId="44" borderId="23" xfId="2" applyNumberFormat="1" applyFont="1" applyFill="1" applyBorder="1" applyAlignment="1" applyProtection="1">
      <alignment vertical="center"/>
    </xf>
    <xf numFmtId="3" fontId="10" fillId="25" borderId="23" xfId="2" applyNumberFormat="1" applyFont="1" applyFill="1" applyBorder="1" applyAlignment="1" applyProtection="1">
      <alignment vertical="center"/>
    </xf>
    <xf numFmtId="1" fontId="7" fillId="0" borderId="23" xfId="2" applyNumberFormat="1" applyFont="1" applyFill="1" applyBorder="1" applyProtection="1">
      <protection hidden="1"/>
    </xf>
    <xf numFmtId="3" fontId="10" fillId="0" borderId="23" xfId="2" applyNumberFormat="1" applyFont="1" applyFill="1" applyBorder="1" applyProtection="1">
      <protection hidden="1"/>
    </xf>
    <xf numFmtId="0" fontId="10" fillId="0" borderId="23" xfId="2" applyFont="1" applyBorder="1" applyProtection="1">
      <protection hidden="1"/>
    </xf>
    <xf numFmtId="0" fontId="11" fillId="0" borderId="59" xfId="2" applyFont="1" applyFill="1" applyBorder="1" applyAlignment="1" applyProtection="1">
      <alignment vertical="center"/>
      <protection hidden="1"/>
    </xf>
    <xf numFmtId="0" fontId="2" fillId="0" borderId="64" xfId="2" applyFont="1" applyFill="1" applyBorder="1" applyProtection="1">
      <protection hidden="1"/>
    </xf>
    <xf numFmtId="49" fontId="59" fillId="0" borderId="64" xfId="0" applyNumberFormat="1" applyFont="1" applyFill="1" applyBorder="1" applyAlignment="1" applyProtection="1">
      <alignment horizontal="center" vertical="center" wrapText="1"/>
      <protection hidden="1"/>
    </xf>
    <xf numFmtId="49" fontId="7" fillId="0" borderId="64" xfId="2" applyNumberFormat="1" applyFont="1" applyFill="1" applyBorder="1" applyAlignment="1" applyProtection="1">
      <alignment horizontal="right"/>
      <protection hidden="1"/>
    </xf>
    <xf numFmtId="49" fontId="111" fillId="0" borderId="47" xfId="0" applyNumberFormat="1" applyFont="1" applyFill="1" applyBorder="1" applyAlignment="1" applyProtection="1">
      <alignment horizontal="center" vertical="center" wrapText="1"/>
      <protection hidden="1"/>
    </xf>
    <xf numFmtId="0" fontId="1" fillId="0" borderId="56" xfId="2" applyBorder="1" applyProtection="1">
      <protection locked="0"/>
    </xf>
    <xf numFmtId="0" fontId="1" fillId="0" borderId="104" xfId="2" applyBorder="1" applyProtection="1">
      <protection locked="0"/>
    </xf>
    <xf numFmtId="0" fontId="1" fillId="0" borderId="103" xfId="2" applyBorder="1" applyProtection="1">
      <protection locked="0"/>
    </xf>
    <xf numFmtId="49" fontId="59" fillId="0" borderId="17" xfId="0" applyNumberFormat="1" applyFont="1" applyFill="1" applyBorder="1" applyAlignment="1" applyProtection="1">
      <alignment horizontal="right" vertical="center" wrapText="1"/>
      <protection hidden="1"/>
    </xf>
    <xf numFmtId="49" fontId="59" fillId="0" borderId="17" xfId="0" applyNumberFormat="1" applyFont="1" applyFill="1" applyBorder="1" applyAlignment="1" applyProtection="1">
      <alignment horizontal="center" vertical="center" wrapText="1"/>
      <protection hidden="1"/>
    </xf>
    <xf numFmtId="3" fontId="111" fillId="0" borderId="17" xfId="2" applyNumberFormat="1" applyFont="1" applyFill="1" applyBorder="1" applyAlignment="1" applyProtection="1">
      <alignment horizontal="right"/>
      <protection hidden="1"/>
    </xf>
    <xf numFmtId="0" fontId="17" fillId="16" borderId="32" xfId="2" applyFont="1" applyFill="1" applyBorder="1" applyAlignment="1" applyProtection="1">
      <alignment vertical="center"/>
      <protection hidden="1"/>
    </xf>
    <xf numFmtId="0" fontId="11" fillId="16" borderId="17" xfId="2" applyFont="1" applyFill="1" applyBorder="1" applyAlignment="1" applyProtection="1">
      <alignment vertical="top"/>
      <protection locked="0"/>
    </xf>
    <xf numFmtId="0" fontId="66" fillId="16" borderId="17" xfId="2" applyFont="1" applyFill="1" applyBorder="1" applyAlignment="1" applyProtection="1">
      <alignment horizontal="right" vertical="center"/>
      <protection locked="0"/>
    </xf>
    <xf numFmtId="164" fontId="66" fillId="16" borderId="17" xfId="2" applyNumberFormat="1" applyFont="1" applyFill="1" applyBorder="1" applyAlignment="1" applyProtection="1">
      <alignment vertical="center"/>
      <protection locked="0"/>
    </xf>
    <xf numFmtId="3" fontId="10" fillId="17" borderId="14" xfId="2" applyNumberFormat="1" applyFont="1" applyFill="1" applyBorder="1" applyAlignment="1" applyProtection="1">
      <alignment vertical="center"/>
      <protection locked="0"/>
    </xf>
    <xf numFmtId="0" fontId="1" fillId="0" borderId="292" xfId="2" applyFill="1" applyBorder="1" applyAlignment="1" applyProtection="1">
      <alignment horizontal="center"/>
    </xf>
    <xf numFmtId="49" fontId="11" fillId="17" borderId="0" xfId="2" applyNumberFormat="1" applyFont="1" applyFill="1" applyBorder="1" applyAlignment="1" applyProtection="1">
      <alignment horizontal="left"/>
    </xf>
    <xf numFmtId="0" fontId="11" fillId="17" borderId="3" xfId="2" applyFont="1" applyFill="1" applyBorder="1" applyAlignment="1" applyProtection="1">
      <alignment horizontal="left"/>
    </xf>
    <xf numFmtId="0" fontId="7" fillId="0" borderId="296" xfId="2" applyFont="1" applyFill="1" applyBorder="1" applyProtection="1">
      <protection hidden="1"/>
    </xf>
    <xf numFmtId="164" fontId="7" fillId="17" borderId="276" xfId="2" applyNumberFormat="1" applyFont="1" applyFill="1" applyBorder="1" applyAlignment="1" applyProtection="1">
      <alignment horizontal="center" vertical="center"/>
      <protection hidden="1"/>
    </xf>
    <xf numFmtId="0" fontId="11" fillId="17" borderId="13" xfId="2" applyFont="1" applyFill="1" applyBorder="1" applyProtection="1">
      <protection hidden="1"/>
    </xf>
    <xf numFmtId="0" fontId="11" fillId="17" borderId="1" xfId="2" applyFont="1" applyFill="1" applyBorder="1" applyProtection="1">
      <protection hidden="1"/>
    </xf>
    <xf numFmtId="0" fontId="16" fillId="0" borderId="14" xfId="2" applyFont="1" applyFill="1" applyBorder="1" applyProtection="1">
      <protection hidden="1"/>
    </xf>
    <xf numFmtId="0" fontId="16" fillId="0" borderId="0" xfId="2" applyFont="1" applyFill="1" applyBorder="1" applyProtection="1">
      <protection hidden="1"/>
    </xf>
    <xf numFmtId="0" fontId="47" fillId="0" borderId="0" xfId="2" applyFont="1" applyFill="1" applyBorder="1" applyAlignment="1" applyProtection="1">
      <alignment horizontal="center"/>
      <protection hidden="1"/>
    </xf>
    <xf numFmtId="0" fontId="11" fillId="17" borderId="4" xfId="2" applyFont="1" applyFill="1" applyBorder="1" applyAlignment="1" applyProtection="1">
      <alignment horizontal="right"/>
      <protection hidden="1"/>
    </xf>
    <xf numFmtId="9" fontId="47" fillId="17" borderId="8" xfId="12" applyFont="1" applyFill="1" applyBorder="1" applyAlignment="1" applyProtection="1">
      <alignment horizontal="center"/>
      <protection hidden="1"/>
    </xf>
    <xf numFmtId="0" fontId="11" fillId="17" borderId="0" xfId="2" applyFont="1" applyFill="1" applyBorder="1" applyAlignment="1" applyProtection="1">
      <alignment horizontal="left"/>
      <protection hidden="1"/>
    </xf>
    <xf numFmtId="0" fontId="11" fillId="17" borderId="0" xfId="2" applyFont="1" applyFill="1" applyBorder="1" applyAlignment="1" applyProtection="1">
      <alignment horizontal="right"/>
      <protection hidden="1"/>
    </xf>
    <xf numFmtId="9" fontId="47" fillId="17" borderId="0" xfId="12" applyFont="1" applyFill="1" applyBorder="1" applyAlignment="1" applyProtection="1">
      <alignment horizontal="center"/>
      <protection hidden="1"/>
    </xf>
    <xf numFmtId="0" fontId="11" fillId="17" borderId="3" xfId="2" applyFont="1" applyFill="1" applyBorder="1" applyProtection="1">
      <protection hidden="1"/>
    </xf>
    <xf numFmtId="0" fontId="47" fillId="17" borderId="0" xfId="2" applyFont="1" applyFill="1" applyBorder="1" applyProtection="1">
      <protection hidden="1"/>
    </xf>
    <xf numFmtId="0" fontId="16" fillId="17" borderId="32" xfId="2" applyFont="1" applyFill="1" applyBorder="1" applyProtection="1">
      <protection hidden="1"/>
    </xf>
    <xf numFmtId="0" fontId="16" fillId="17" borderId="17" xfId="2" applyFont="1" applyFill="1" applyBorder="1" applyProtection="1">
      <protection hidden="1"/>
    </xf>
    <xf numFmtId="0" fontId="48" fillId="0" borderId="0" xfId="2" applyFont="1" applyFill="1" applyBorder="1" applyProtection="1">
      <protection hidden="1"/>
    </xf>
    <xf numFmtId="0" fontId="47" fillId="17" borderId="4" xfId="2" applyFont="1" applyFill="1" applyBorder="1" applyAlignment="1" applyProtection="1">
      <alignment horizontal="right"/>
      <protection hidden="1"/>
    </xf>
    <xf numFmtId="0" fontId="47" fillId="17" borderId="0" xfId="2" applyFont="1" applyFill="1" applyBorder="1" applyAlignment="1" applyProtection="1">
      <alignment horizontal="right"/>
      <protection hidden="1"/>
    </xf>
    <xf numFmtId="9" fontId="11" fillId="17" borderId="0" xfId="2" applyNumberFormat="1" applyFont="1" applyFill="1" applyBorder="1" applyProtection="1">
      <protection hidden="1"/>
    </xf>
    <xf numFmtId="0" fontId="11" fillId="17" borderId="7" xfId="2" applyFont="1" applyFill="1" applyBorder="1" applyProtection="1">
      <protection hidden="1"/>
    </xf>
    <xf numFmtId="0" fontId="11" fillId="17" borderId="4" xfId="2" applyFont="1" applyFill="1" applyBorder="1" applyProtection="1">
      <protection hidden="1"/>
    </xf>
    <xf numFmtId="3" fontId="7" fillId="17" borderId="8" xfId="2" applyNumberFormat="1" applyFont="1" applyFill="1" applyBorder="1" applyAlignment="1" applyProtection="1">
      <alignment horizontal="center"/>
      <protection hidden="1"/>
    </xf>
    <xf numFmtId="3" fontId="7" fillId="17" borderId="41" xfId="2" applyNumberFormat="1" applyFont="1" applyFill="1" applyBorder="1" applyAlignment="1" applyProtection="1">
      <alignment horizontal="center"/>
      <protection hidden="1"/>
    </xf>
    <xf numFmtId="0" fontId="7" fillId="17" borderId="41" xfId="2" applyFont="1" applyFill="1" applyBorder="1" applyAlignment="1" applyProtection="1">
      <alignment horizontal="center"/>
      <protection hidden="1"/>
    </xf>
    <xf numFmtId="3" fontId="7" fillId="17" borderId="2" xfId="2" applyNumberFormat="1" applyFont="1" applyFill="1" applyBorder="1" applyAlignment="1" applyProtection="1">
      <alignment horizontal="center"/>
      <protection hidden="1"/>
    </xf>
    <xf numFmtId="3" fontId="7" fillId="17" borderId="58" xfId="2" applyNumberFormat="1" applyFont="1" applyFill="1" applyBorder="1" applyAlignment="1" applyProtection="1">
      <alignment horizontal="center"/>
      <protection hidden="1"/>
    </xf>
    <xf numFmtId="0" fontId="7" fillId="17" borderId="58" xfId="2" applyFont="1" applyFill="1" applyBorder="1" applyAlignment="1" applyProtection="1">
      <alignment horizontal="center"/>
      <protection hidden="1"/>
    </xf>
    <xf numFmtId="3" fontId="9" fillId="17" borderId="48" xfId="2" applyNumberFormat="1" applyFont="1" applyFill="1" applyBorder="1" applyAlignment="1" applyProtection="1">
      <alignment vertical="center"/>
      <protection hidden="1"/>
    </xf>
    <xf numFmtId="3" fontId="9" fillId="17" borderId="264" xfId="2" applyNumberFormat="1" applyFont="1" applyFill="1" applyBorder="1" applyAlignment="1" applyProtection="1">
      <alignment vertical="center"/>
      <protection hidden="1"/>
    </xf>
    <xf numFmtId="3" fontId="9" fillId="17" borderId="62" xfId="2" applyNumberFormat="1" applyFont="1" applyFill="1" applyBorder="1" applyAlignment="1" applyProtection="1">
      <alignment vertical="center"/>
      <protection hidden="1"/>
    </xf>
    <xf numFmtId="3" fontId="9" fillId="17" borderId="52" xfId="2" applyNumberFormat="1" applyFont="1" applyFill="1" applyBorder="1" applyAlignment="1" applyProtection="1">
      <alignment vertical="center"/>
      <protection hidden="1"/>
    </xf>
    <xf numFmtId="3" fontId="9" fillId="17" borderId="23" xfId="2" applyNumberFormat="1" applyFont="1" applyFill="1" applyBorder="1" applyAlignment="1" applyProtection="1">
      <alignment vertical="center"/>
      <protection hidden="1"/>
    </xf>
    <xf numFmtId="0" fontId="9" fillId="0" borderId="1" xfId="2" applyFont="1" applyFill="1" applyBorder="1" applyAlignment="1" applyProtection="1">
      <alignment vertical="center"/>
      <protection hidden="1"/>
    </xf>
    <xf numFmtId="0" fontId="9" fillId="0" borderId="17" xfId="2" applyFont="1" applyFill="1" applyBorder="1" applyAlignment="1" applyProtection="1">
      <alignment vertical="center"/>
      <protection hidden="1"/>
    </xf>
    <xf numFmtId="0" fontId="9" fillId="0" borderId="32" xfId="2" applyFont="1" applyFill="1" applyBorder="1" applyAlignment="1" applyProtection="1">
      <alignment vertical="center"/>
      <protection hidden="1"/>
    </xf>
    <xf numFmtId="0" fontId="9" fillId="0" borderId="18" xfId="2" applyFont="1" applyFill="1" applyBorder="1" applyAlignment="1" applyProtection="1">
      <alignment vertical="center"/>
      <protection hidden="1"/>
    </xf>
    <xf numFmtId="3" fontId="9" fillId="17" borderId="58" xfId="2" applyNumberFormat="1" applyFont="1" applyFill="1" applyBorder="1" applyAlignment="1" applyProtection="1">
      <alignment vertical="center"/>
      <protection hidden="1"/>
    </xf>
    <xf numFmtId="3" fontId="9" fillId="17" borderId="43" xfId="2" applyNumberFormat="1" applyFont="1" applyFill="1" applyBorder="1" applyAlignment="1" applyProtection="1">
      <alignment vertical="center"/>
      <protection hidden="1"/>
    </xf>
    <xf numFmtId="0" fontId="9" fillId="0" borderId="11" xfId="2" applyFont="1" applyFill="1" applyBorder="1" applyAlignment="1" applyProtection="1">
      <alignment vertical="center"/>
      <protection hidden="1"/>
    </xf>
    <xf numFmtId="0" fontId="114" fillId="0" borderId="0" xfId="0" applyFont="1" applyProtection="1">
      <protection hidden="1"/>
    </xf>
    <xf numFmtId="0" fontId="11" fillId="0" borderId="166" xfId="2" applyFont="1" applyFill="1" applyBorder="1" applyAlignment="1" applyProtection="1">
      <alignment horizontal="left" vertical="center"/>
      <protection locked="0"/>
    </xf>
    <xf numFmtId="0" fontId="7" fillId="0" borderId="32" xfId="2" applyFont="1" applyBorder="1" applyAlignment="1" applyProtection="1">
      <protection hidden="1"/>
    </xf>
    <xf numFmtId="0" fontId="7" fillId="0" borderId="30" xfId="2" applyFont="1" applyBorder="1" applyAlignment="1" applyProtection="1">
      <protection hidden="1"/>
    </xf>
    <xf numFmtId="0" fontId="1" fillId="0" borderId="0" xfId="2" applyAlignment="1" applyProtection="1">
      <alignment horizontal="center"/>
      <protection locked="0"/>
    </xf>
    <xf numFmtId="0" fontId="9" fillId="0" borderId="0" xfId="2" applyFont="1" applyAlignment="1" applyProtection="1">
      <alignment horizontal="center" vertical="top"/>
      <protection locked="0"/>
    </xf>
    <xf numFmtId="0" fontId="1" fillId="0" borderId="0" xfId="2" applyFill="1" applyBorder="1" applyAlignment="1" applyProtection="1">
      <alignment horizontal="center"/>
      <protection locked="0"/>
    </xf>
    <xf numFmtId="0" fontId="1" fillId="0" borderId="0" xfId="2" applyFill="1" applyBorder="1" applyAlignment="1" applyProtection="1">
      <alignment horizontal="center" vertical="center"/>
    </xf>
    <xf numFmtId="0" fontId="9" fillId="0" borderId="0" xfId="2" applyFont="1" applyFill="1" applyBorder="1" applyAlignment="1" applyProtection="1">
      <alignment horizontal="center" vertical="center"/>
    </xf>
    <xf numFmtId="0" fontId="9" fillId="0" borderId="0" xfId="2" applyFont="1" applyAlignment="1" applyProtection="1">
      <alignment horizontal="center" vertical="center"/>
    </xf>
    <xf numFmtId="0" fontId="1" fillId="0" borderId="0" xfId="2" applyAlignment="1" applyProtection="1">
      <alignment horizontal="center" vertical="center"/>
      <protection locked="0"/>
    </xf>
    <xf numFmtId="0" fontId="1" fillId="0" borderId="0" xfId="2" applyFill="1" applyBorder="1" applyAlignment="1" applyProtection="1">
      <alignment horizontal="center" vertical="center"/>
      <protection locked="0"/>
    </xf>
    <xf numFmtId="0" fontId="1" fillId="0" borderId="0" xfId="2" applyAlignment="1">
      <alignment horizontal="center" vertical="center"/>
    </xf>
    <xf numFmtId="0" fontId="11" fillId="17" borderId="13" xfId="2" applyFont="1" applyFill="1" applyBorder="1" applyAlignment="1" applyProtection="1">
      <alignment horizontal="left" vertical="center"/>
    </xf>
    <xf numFmtId="0" fontId="170" fillId="17" borderId="1" xfId="2" applyFont="1" applyFill="1" applyBorder="1" applyAlignment="1" applyProtection="1">
      <alignment horizontal="left"/>
    </xf>
    <xf numFmtId="0" fontId="170" fillId="17" borderId="104" xfId="2" applyFont="1" applyFill="1" applyBorder="1" applyAlignment="1" applyProtection="1">
      <alignment horizontal="left"/>
    </xf>
    <xf numFmtId="0" fontId="171" fillId="17" borderId="103" xfId="0" applyFont="1" applyFill="1" applyBorder="1" applyAlignment="1" applyProtection="1">
      <alignment horizontal="right" vertical="center"/>
    </xf>
    <xf numFmtId="0" fontId="137" fillId="0" borderId="0" xfId="2" applyFont="1" applyAlignment="1">
      <alignment vertical="top"/>
    </xf>
    <xf numFmtId="0" fontId="12" fillId="0" borderId="0" xfId="2" applyFont="1" applyAlignment="1">
      <alignment horizontal="left" vertical="top"/>
    </xf>
    <xf numFmtId="0" fontId="158" fillId="0" borderId="2" xfId="2" applyFont="1" applyFill="1" applyBorder="1" applyAlignment="1">
      <alignment horizontal="center" vertical="center"/>
    </xf>
    <xf numFmtId="0" fontId="158" fillId="0" borderId="11" xfId="2" applyFont="1" applyFill="1" applyBorder="1" applyAlignment="1">
      <alignment horizontal="center" vertical="center"/>
    </xf>
    <xf numFmtId="0" fontId="11" fillId="0" borderId="10" xfId="2" applyFont="1" applyFill="1" applyBorder="1" applyAlignment="1" applyProtection="1">
      <alignment vertical="center"/>
      <protection hidden="1"/>
    </xf>
    <xf numFmtId="0" fontId="15" fillId="2" borderId="101" xfId="2" applyFont="1" applyFill="1" applyBorder="1" applyAlignment="1">
      <alignment horizontal="left" vertical="center" indent="1"/>
    </xf>
    <xf numFmtId="0" fontId="110" fillId="16" borderId="3" xfId="2" applyFont="1" applyFill="1" applyBorder="1" applyAlignment="1" applyProtection="1">
      <alignment horizontal="left" vertical="center"/>
    </xf>
    <xf numFmtId="0" fontId="110" fillId="16" borderId="13" xfId="2" applyFont="1" applyFill="1" applyBorder="1" applyAlignment="1" applyProtection="1">
      <alignment horizontal="left" vertical="center"/>
    </xf>
    <xf numFmtId="3" fontId="111" fillId="16" borderId="0" xfId="2" applyNumberFormat="1" applyFont="1" applyFill="1" applyBorder="1" applyAlignment="1" applyProtection="1">
      <alignment horizontal="right"/>
    </xf>
    <xf numFmtId="3" fontId="192" fillId="17" borderId="23" xfId="2" applyNumberFormat="1" applyFont="1" applyFill="1" applyBorder="1" applyAlignment="1" applyProtection="1">
      <alignment vertical="center"/>
      <protection hidden="1"/>
    </xf>
    <xf numFmtId="3" fontId="192" fillId="17" borderId="58" xfId="2" applyNumberFormat="1" applyFont="1" applyFill="1" applyBorder="1" applyAlignment="1" applyProtection="1">
      <alignment vertical="center"/>
    </xf>
    <xf numFmtId="0" fontId="11" fillId="17" borderId="3" xfId="2" applyFont="1" applyFill="1" applyBorder="1" applyAlignment="1" applyProtection="1">
      <alignment horizontal="left"/>
      <protection hidden="1"/>
    </xf>
    <xf numFmtId="0" fontId="132" fillId="0" borderId="0" xfId="2" applyFont="1" applyFill="1" applyBorder="1" applyAlignment="1" applyProtection="1">
      <alignment horizontal="left" vertical="center"/>
    </xf>
    <xf numFmtId="3" fontId="10" fillId="17" borderId="30" xfId="2" applyNumberFormat="1" applyFont="1" applyFill="1" applyBorder="1" applyAlignment="1" applyProtection="1">
      <alignment wrapText="1"/>
      <protection hidden="1"/>
    </xf>
    <xf numFmtId="0" fontId="11" fillId="0" borderId="0" xfId="2" applyFont="1" applyFill="1" applyBorder="1" applyAlignment="1" applyProtection="1">
      <alignment horizontal="left"/>
      <protection locked="0"/>
    </xf>
    <xf numFmtId="3" fontId="10" fillId="17" borderId="299" xfId="2" applyNumberFormat="1" applyFont="1" applyFill="1" applyBorder="1" applyAlignment="1" applyProtection="1">
      <alignment vertical="center"/>
      <protection hidden="1"/>
    </xf>
    <xf numFmtId="0" fontId="11" fillId="0" borderId="14" xfId="2" applyFont="1" applyFill="1" applyBorder="1" applyAlignment="1" applyProtection="1">
      <alignment vertical="center"/>
      <protection hidden="1"/>
    </xf>
    <xf numFmtId="0" fontId="11" fillId="0" borderId="17" xfId="2" applyFont="1" applyFill="1" applyBorder="1" applyAlignment="1" applyProtection="1">
      <alignment horizontal="left"/>
      <protection hidden="1"/>
    </xf>
    <xf numFmtId="0" fontId="2" fillId="0" borderId="17" xfId="2" applyFont="1" applyFill="1" applyBorder="1" applyProtection="1">
      <protection hidden="1"/>
    </xf>
    <xf numFmtId="0" fontId="59" fillId="0" borderId="17" xfId="0" applyFont="1" applyFill="1" applyBorder="1" applyAlignment="1" applyProtection="1">
      <alignment horizontal="right" vertical="center"/>
      <protection hidden="1"/>
    </xf>
    <xf numFmtId="0" fontId="7" fillId="0" borderId="17" xfId="2" applyFont="1" applyFill="1" applyBorder="1" applyAlignment="1" applyProtection="1">
      <alignment horizontal="right"/>
      <protection hidden="1"/>
    </xf>
    <xf numFmtId="3" fontId="110" fillId="0" borderId="17" xfId="2" applyNumberFormat="1" applyFont="1" applyFill="1" applyBorder="1" applyAlignment="1" applyProtection="1">
      <alignment horizontal="center" vertical="center"/>
      <protection hidden="1"/>
    </xf>
    <xf numFmtId="3" fontId="110" fillId="0" borderId="15" xfId="2" applyNumberFormat="1" applyFont="1" applyFill="1" applyBorder="1" applyAlignment="1" applyProtection="1">
      <alignment horizontal="center" vertical="center"/>
      <protection hidden="1"/>
    </xf>
    <xf numFmtId="3" fontId="123" fillId="0" borderId="17" xfId="2" applyNumberFormat="1" applyFont="1" applyFill="1" applyBorder="1" applyAlignment="1" applyProtection="1">
      <alignment horizontal="center" vertical="center"/>
      <protection hidden="1"/>
    </xf>
    <xf numFmtId="0" fontId="160" fillId="0" borderId="14" xfId="2" applyFont="1" applyFill="1" applyBorder="1" applyAlignment="1" applyProtection="1">
      <alignment horizontal="left" vertical="center"/>
      <protection hidden="1"/>
    </xf>
    <xf numFmtId="0" fontId="16" fillId="0" borderId="0" xfId="2" applyFont="1" applyFill="1" applyBorder="1" applyAlignment="1" applyProtection="1">
      <alignment horizontal="left"/>
      <protection hidden="1"/>
    </xf>
    <xf numFmtId="0" fontId="16" fillId="0" borderId="0" xfId="2" applyFont="1" applyFill="1" applyBorder="1" applyAlignment="1" applyProtection="1">
      <alignment horizontal="right"/>
      <protection hidden="1"/>
    </xf>
    <xf numFmtId="3" fontId="10" fillId="0" borderId="4" xfId="2" applyNumberFormat="1" applyFont="1" applyFill="1" applyBorder="1" applyAlignment="1" applyProtection="1">
      <alignment vertical="center"/>
      <protection hidden="1"/>
    </xf>
    <xf numFmtId="3" fontId="10" fillId="0" borderId="11" xfId="2" applyNumberFormat="1" applyFont="1" applyFill="1" applyBorder="1" applyAlignment="1" applyProtection="1">
      <alignment vertical="center"/>
      <protection hidden="1"/>
    </xf>
    <xf numFmtId="3" fontId="9" fillId="0" borderId="64" xfId="2" applyNumberFormat="1" applyFont="1" applyFill="1" applyBorder="1" applyAlignment="1" applyProtection="1">
      <alignment vertical="center"/>
      <protection hidden="1"/>
    </xf>
    <xf numFmtId="3" fontId="10" fillId="0" borderId="0" xfId="2" applyNumberFormat="1" applyFont="1" applyFill="1" applyBorder="1" applyProtection="1">
      <protection hidden="1"/>
    </xf>
    <xf numFmtId="3" fontId="10" fillId="0" borderId="11" xfId="2" applyNumberFormat="1" applyFont="1" applyFill="1" applyBorder="1" applyProtection="1">
      <protection hidden="1"/>
    </xf>
    <xf numFmtId="0" fontId="158" fillId="0" borderId="14" xfId="2" applyFont="1" applyFill="1" applyBorder="1" applyAlignment="1" applyProtection="1">
      <alignment horizontal="left" vertical="center"/>
      <protection hidden="1"/>
    </xf>
    <xf numFmtId="0" fontId="16" fillId="0" borderId="17" xfId="2" applyFont="1" applyFill="1" applyBorder="1" applyAlignment="1" applyProtection="1">
      <alignment horizontal="left" indent="2"/>
      <protection hidden="1"/>
    </xf>
    <xf numFmtId="3" fontId="10" fillId="0" borderId="17" xfId="2" applyNumberFormat="1" applyFont="1" applyFill="1" applyBorder="1" applyProtection="1">
      <protection hidden="1"/>
    </xf>
    <xf numFmtId="3" fontId="10" fillId="0" borderId="1" xfId="2" applyNumberFormat="1" applyFont="1" applyFill="1" applyBorder="1" applyProtection="1">
      <protection hidden="1"/>
    </xf>
    <xf numFmtId="3" fontId="10" fillId="0" borderId="18" xfId="2" applyNumberFormat="1" applyFont="1" applyFill="1" applyBorder="1" applyProtection="1">
      <protection hidden="1"/>
    </xf>
    <xf numFmtId="0" fontId="1" fillId="0" borderId="14" xfId="2" applyFill="1" applyBorder="1" applyAlignment="1" applyProtection="1">
      <alignment vertical="center"/>
      <protection hidden="1"/>
    </xf>
    <xf numFmtId="0" fontId="16" fillId="0" borderId="17" xfId="2" applyFont="1" applyFill="1" applyBorder="1" applyAlignment="1" applyProtection="1">
      <alignment horizontal="right" indent="2"/>
      <protection hidden="1"/>
    </xf>
    <xf numFmtId="3" fontId="10" fillId="0" borderId="15" xfId="2" applyNumberFormat="1" applyFont="1" applyFill="1" applyBorder="1" applyProtection="1">
      <protection hidden="1"/>
    </xf>
    <xf numFmtId="0" fontId="16" fillId="0" borderId="4" xfId="2" applyFont="1" applyFill="1" applyBorder="1" applyAlignment="1" applyProtection="1">
      <alignment horizontal="left" indent="2"/>
      <protection hidden="1"/>
    </xf>
    <xf numFmtId="0" fontId="16" fillId="0" borderId="4" xfId="2" applyFont="1" applyFill="1" applyBorder="1" applyAlignment="1" applyProtection="1">
      <alignment horizontal="right" indent="2"/>
      <protection hidden="1"/>
    </xf>
    <xf numFmtId="0" fontId="1" fillId="0" borderId="7" xfId="2" applyFill="1" applyBorder="1" applyAlignment="1" applyProtection="1">
      <alignment vertical="center"/>
      <protection hidden="1"/>
    </xf>
    <xf numFmtId="3" fontId="10" fillId="0" borderId="6" xfId="2" applyNumberFormat="1" applyFont="1" applyFill="1" applyBorder="1" applyAlignment="1" applyProtection="1">
      <alignment vertical="center"/>
      <protection hidden="1"/>
    </xf>
    <xf numFmtId="0" fontId="11" fillId="0" borderId="14" xfId="2" applyFont="1" applyFill="1" applyBorder="1" applyAlignment="1" applyProtection="1">
      <alignment horizontal="left" vertical="center"/>
      <protection hidden="1"/>
    </xf>
    <xf numFmtId="0" fontId="11" fillId="0" borderId="17" xfId="2" applyFont="1" applyFill="1" applyBorder="1" applyAlignment="1" applyProtection="1">
      <alignment vertical="top"/>
      <protection hidden="1"/>
    </xf>
    <xf numFmtId="0" fontId="66" fillId="0" borderId="17" xfId="2" applyFont="1" applyFill="1" applyBorder="1" applyAlignment="1" applyProtection="1">
      <alignment horizontal="right" vertical="center"/>
      <protection hidden="1"/>
    </xf>
    <xf numFmtId="164" fontId="66" fillId="0" borderId="17" xfId="2" applyNumberFormat="1" applyFont="1" applyFill="1" applyBorder="1" applyAlignment="1" applyProtection="1">
      <alignment vertical="center"/>
      <protection hidden="1"/>
    </xf>
    <xf numFmtId="3" fontId="10" fillId="0" borderId="15" xfId="2" applyNumberFormat="1" applyFont="1" applyFill="1" applyBorder="1" applyAlignment="1" applyProtection="1">
      <alignment vertical="center"/>
      <protection hidden="1"/>
    </xf>
    <xf numFmtId="3" fontId="10" fillId="0" borderId="2" xfId="2" applyNumberFormat="1" applyFont="1" applyFill="1" applyBorder="1" applyAlignment="1" applyProtection="1">
      <alignment vertical="center"/>
      <protection hidden="1"/>
    </xf>
    <xf numFmtId="0" fontId="2" fillId="0" borderId="4" xfId="2" applyFont="1" applyFill="1" applyBorder="1" applyProtection="1">
      <protection hidden="1"/>
    </xf>
    <xf numFmtId="49" fontId="59" fillId="0" borderId="4" xfId="0" applyNumberFormat="1" applyFont="1" applyFill="1" applyBorder="1" applyAlignment="1" applyProtection="1">
      <alignment horizontal="center" vertical="center" wrapText="1"/>
      <protection hidden="1"/>
    </xf>
    <xf numFmtId="49" fontId="7" fillId="0" borderId="4" xfId="2" applyNumberFormat="1" applyFont="1" applyFill="1" applyBorder="1" applyAlignment="1" applyProtection="1">
      <alignment horizontal="right"/>
      <protection hidden="1"/>
    </xf>
    <xf numFmtId="3" fontId="59" fillId="0" borderId="17" xfId="0" applyNumberFormat="1" applyFont="1" applyFill="1" applyBorder="1" applyAlignment="1" applyProtection="1">
      <alignment vertical="center" wrapText="1"/>
      <protection hidden="1"/>
    </xf>
    <xf numFmtId="3" fontId="59" fillId="0" borderId="17" xfId="0" applyNumberFormat="1" applyFont="1" applyFill="1" applyBorder="1" applyAlignment="1" applyProtection="1">
      <alignment horizontal="center" vertical="center" wrapText="1"/>
      <protection hidden="1"/>
    </xf>
    <xf numFmtId="0" fontId="116" fillId="16" borderId="7" xfId="2" applyFont="1" applyFill="1" applyBorder="1" applyAlignment="1">
      <alignment horizontal="left"/>
    </xf>
    <xf numFmtId="9" fontId="58" fillId="0" borderId="0" xfId="2" applyNumberFormat="1" applyFont="1" applyFill="1" applyBorder="1" applyProtection="1">
      <protection locked="0"/>
    </xf>
    <xf numFmtId="0" fontId="58" fillId="0" borderId="0" xfId="2" applyFont="1" applyFill="1" applyBorder="1" applyProtection="1">
      <protection locked="0"/>
    </xf>
    <xf numFmtId="9" fontId="7" fillId="0" borderId="0" xfId="2" applyNumberFormat="1" applyFont="1" applyFill="1" applyBorder="1" applyProtection="1">
      <protection locked="0"/>
    </xf>
    <xf numFmtId="0" fontId="7" fillId="0" borderId="0" xfId="2" applyFont="1" applyFill="1" applyBorder="1" applyAlignment="1" applyProtection="1">
      <alignment horizontal="center"/>
      <protection locked="0"/>
    </xf>
    <xf numFmtId="0" fontId="59" fillId="0" borderId="0" xfId="0" applyFont="1" applyFill="1" applyBorder="1" applyProtection="1">
      <protection locked="0"/>
    </xf>
    <xf numFmtId="9" fontId="7" fillId="0" borderId="0" xfId="12" applyNumberFormat="1" applyFont="1" applyFill="1" applyBorder="1" applyAlignment="1" applyProtection="1">
      <alignment horizontal="center"/>
      <protection locked="0"/>
    </xf>
    <xf numFmtId="0" fontId="9" fillId="0" borderId="0" xfId="2" applyFont="1" applyProtection="1">
      <protection locked="0"/>
    </xf>
    <xf numFmtId="9" fontId="59" fillId="0" borderId="0" xfId="0" applyNumberFormat="1" applyFont="1" applyFill="1" applyBorder="1" applyProtection="1">
      <protection locked="0"/>
    </xf>
    <xf numFmtId="0" fontId="9" fillId="0" borderId="0" xfId="2" applyFont="1" applyFill="1" applyBorder="1" applyAlignment="1" applyProtection="1">
      <alignment horizontal="left"/>
      <protection locked="0"/>
    </xf>
    <xf numFmtId="0" fontId="63" fillId="0" borderId="0" xfId="0" applyFont="1" applyFill="1" applyBorder="1" applyProtection="1">
      <protection locked="0"/>
    </xf>
    <xf numFmtId="0" fontId="9" fillId="0" borderId="0" xfId="2" applyFont="1" applyFill="1" applyBorder="1" applyAlignment="1" applyProtection="1">
      <alignment horizontal="right"/>
      <protection locked="0"/>
    </xf>
    <xf numFmtId="0" fontId="9" fillId="0" borderId="0" xfId="2" applyFont="1" applyBorder="1" applyProtection="1">
      <protection locked="0"/>
    </xf>
    <xf numFmtId="0" fontId="73" fillId="0" borderId="0" xfId="2" applyFont="1" applyFill="1" applyBorder="1" applyAlignment="1" applyProtection="1">
      <alignment horizontal="right"/>
      <protection locked="0"/>
    </xf>
    <xf numFmtId="0" fontId="72" fillId="0" borderId="0" xfId="2" applyFont="1" applyFill="1" applyBorder="1" applyAlignment="1" applyProtection="1">
      <alignment horizontal="right"/>
      <protection locked="0"/>
    </xf>
    <xf numFmtId="0" fontId="74" fillId="0" borderId="0" xfId="2" applyFont="1" applyFill="1" applyBorder="1" applyAlignment="1" applyProtection="1">
      <alignment horizontal="right"/>
      <protection locked="0"/>
    </xf>
    <xf numFmtId="0" fontId="9" fillId="0" borderId="0" xfId="2" applyFont="1" applyFill="1" applyBorder="1" applyProtection="1">
      <protection locked="0"/>
    </xf>
    <xf numFmtId="0" fontId="63" fillId="0" borderId="0" xfId="0" applyFont="1" applyFill="1" applyBorder="1" applyAlignment="1" applyProtection="1">
      <alignment horizontal="right"/>
      <protection locked="0"/>
    </xf>
    <xf numFmtId="3" fontId="71" fillId="0" borderId="0" xfId="2" applyNumberFormat="1" applyFont="1" applyFill="1" applyBorder="1" applyAlignment="1" applyProtection="1">
      <alignment horizontal="center"/>
      <protection locked="0"/>
    </xf>
    <xf numFmtId="0" fontId="23" fillId="0" borderId="0" xfId="2" applyFont="1" applyProtection="1">
      <protection locked="0"/>
    </xf>
    <xf numFmtId="0" fontId="7" fillId="0" borderId="0" xfId="2" applyFont="1" applyProtection="1">
      <protection locked="0"/>
    </xf>
    <xf numFmtId="49" fontId="7" fillId="0" borderId="0" xfId="12" applyNumberFormat="1" applyFont="1" applyFill="1" applyBorder="1" applyAlignment="1" applyProtection="1">
      <alignment horizontal="center"/>
      <protection locked="0"/>
    </xf>
    <xf numFmtId="0" fontId="9" fillId="0" borderId="0" xfId="2" applyFont="1" applyFill="1" applyBorder="1" applyAlignment="1" applyProtection="1">
      <alignment horizontal="right" vertical="center"/>
      <protection locked="0"/>
    </xf>
    <xf numFmtId="0" fontId="1" fillId="0" borderId="0" xfId="2" applyFill="1" applyBorder="1" applyAlignment="1" applyProtection="1">
      <alignment horizontal="right"/>
      <protection locked="0"/>
    </xf>
    <xf numFmtId="0" fontId="44" fillId="0" borderId="0" xfId="2" applyFont="1" applyFill="1" applyBorder="1" applyAlignment="1" applyProtection="1">
      <alignment horizontal="right"/>
      <protection locked="0"/>
    </xf>
    <xf numFmtId="0" fontId="7" fillId="0" borderId="0" xfId="2" applyFont="1" applyFill="1" applyBorder="1" applyAlignment="1" applyProtection="1">
      <protection locked="0"/>
    </xf>
    <xf numFmtId="0" fontId="7" fillId="0" borderId="0" xfId="0" applyFont="1" applyFill="1" applyBorder="1" applyAlignment="1" applyProtection="1">
      <alignment horizontal="right" vertical="center"/>
      <protection locked="0"/>
    </xf>
    <xf numFmtId="0" fontId="1" fillId="0" borderId="0" xfId="2" applyFill="1" applyBorder="1" applyAlignment="1" applyProtection="1">
      <alignment horizontal="left"/>
      <protection locked="0"/>
    </xf>
    <xf numFmtId="0" fontId="111" fillId="0" borderId="0" xfId="2" applyFont="1" applyFill="1" applyBorder="1" applyAlignment="1" applyProtection="1">
      <alignment horizontal="right"/>
      <protection locked="0"/>
    </xf>
    <xf numFmtId="0" fontId="111" fillId="0" borderId="0" xfId="2" applyFont="1" applyFill="1" applyBorder="1" applyAlignment="1" applyProtection="1">
      <alignment horizontal="center"/>
      <protection locked="0"/>
    </xf>
    <xf numFmtId="9" fontId="2" fillId="0" borderId="0" xfId="2" applyNumberFormat="1" applyFont="1" applyFill="1" applyBorder="1" applyProtection="1">
      <protection locked="0"/>
    </xf>
    <xf numFmtId="0" fontId="11" fillId="0" borderId="0" xfId="2" applyFont="1" applyFill="1" applyBorder="1" applyAlignment="1" applyProtection="1">
      <alignment horizontal="center"/>
      <protection locked="0"/>
    </xf>
    <xf numFmtId="3" fontId="193" fillId="0" borderId="17" xfId="2" applyNumberFormat="1" applyFont="1" applyFill="1" applyBorder="1" applyAlignment="1" applyProtection="1">
      <alignment horizontal="center" vertical="center"/>
      <protection hidden="1"/>
    </xf>
    <xf numFmtId="0" fontId="181" fillId="0" borderId="0" xfId="2" applyFont="1" applyFill="1" applyBorder="1" applyAlignment="1" applyProtection="1">
      <alignment horizontal="right" vertical="center"/>
      <protection hidden="1"/>
    </xf>
    <xf numFmtId="0" fontId="11" fillId="17" borderId="104" xfId="2" applyFont="1" applyFill="1" applyBorder="1" applyAlignment="1" applyProtection="1">
      <alignment vertical="center"/>
    </xf>
    <xf numFmtId="0" fontId="194" fillId="16" borderId="0" xfId="2" applyFont="1" applyFill="1" applyAlignment="1" applyProtection="1">
      <alignment horizontal="right"/>
      <protection hidden="1"/>
    </xf>
    <xf numFmtId="0" fontId="11" fillId="0" borderId="0" xfId="2" applyFont="1" applyAlignment="1">
      <alignment vertical="top"/>
    </xf>
    <xf numFmtId="0" fontId="16" fillId="17" borderId="93" xfId="2" applyFont="1" applyFill="1" applyBorder="1" applyAlignment="1" applyProtection="1">
      <alignment horizontal="left"/>
    </xf>
    <xf numFmtId="0" fontId="11" fillId="0" borderId="0" xfId="2" applyFont="1" applyAlignment="1">
      <alignment horizontal="right" vertical="center"/>
    </xf>
    <xf numFmtId="0" fontId="170" fillId="17" borderId="0" xfId="0" applyFont="1" applyFill="1" applyBorder="1" applyAlignment="1" applyProtection="1">
      <alignment horizontal="center" vertical="center" wrapText="1"/>
      <protection hidden="1"/>
    </xf>
    <xf numFmtId="0" fontId="7" fillId="17" borderId="4" xfId="2" applyFont="1" applyFill="1" applyBorder="1" applyAlignment="1" applyProtection="1">
      <alignment horizontal="center" vertical="center"/>
    </xf>
    <xf numFmtId="10" fontId="7" fillId="0" borderId="300" xfId="2" applyNumberFormat="1" applyFont="1" applyFill="1" applyBorder="1" applyAlignment="1" applyProtection="1">
      <alignment horizontal="center"/>
      <protection locked="0"/>
    </xf>
    <xf numFmtId="10" fontId="7" fillId="17" borderId="301" xfId="2" applyNumberFormat="1" applyFont="1" applyFill="1" applyBorder="1" applyAlignment="1" applyProtection="1">
      <protection locked="0"/>
    </xf>
    <xf numFmtId="3" fontId="9" fillId="15" borderId="302" xfId="2" applyNumberFormat="1" applyFont="1" applyFill="1" applyBorder="1" applyAlignment="1" applyProtection="1">
      <alignment vertical="center"/>
      <protection hidden="1"/>
    </xf>
    <xf numFmtId="3" fontId="9" fillId="3" borderId="302" xfId="2" applyNumberFormat="1" applyFont="1" applyFill="1" applyBorder="1" applyAlignment="1" applyProtection="1">
      <alignment vertical="center"/>
      <protection hidden="1"/>
    </xf>
    <xf numFmtId="10" fontId="7" fillId="17" borderId="304" xfId="12" applyNumberFormat="1" applyFont="1" applyFill="1" applyBorder="1" applyAlignment="1" applyProtection="1"/>
    <xf numFmtId="3" fontId="9" fillId="15" borderId="302" xfId="2" applyNumberFormat="1" applyFont="1" applyFill="1" applyBorder="1" applyAlignment="1" applyProtection="1">
      <alignment vertical="center"/>
    </xf>
    <xf numFmtId="3" fontId="9" fillId="3" borderId="302" xfId="2" applyNumberFormat="1" applyFont="1" applyFill="1" applyBorder="1" applyAlignment="1" applyProtection="1">
      <alignment vertical="center"/>
    </xf>
    <xf numFmtId="3" fontId="10" fillId="0" borderId="306" xfId="2" applyNumberFormat="1" applyFont="1" applyFill="1" applyBorder="1" applyAlignment="1" applyProtection="1">
      <alignment vertical="center"/>
      <protection locked="0"/>
    </xf>
    <xf numFmtId="0" fontId="1" fillId="17" borderId="308" xfId="2" applyFill="1" applyBorder="1" applyProtection="1"/>
    <xf numFmtId="0" fontId="1" fillId="17" borderId="60" xfId="2" applyFill="1" applyBorder="1"/>
    <xf numFmtId="0" fontId="7" fillId="17" borderId="309" xfId="2" applyFont="1" applyFill="1" applyBorder="1" applyAlignment="1">
      <alignment horizontal="right"/>
    </xf>
    <xf numFmtId="9" fontId="7" fillId="0" borderId="234" xfId="12" applyFont="1" applyFill="1" applyBorder="1" applyAlignment="1" applyProtection="1">
      <protection locked="0"/>
    </xf>
    <xf numFmtId="0" fontId="11" fillId="17" borderId="311" xfId="2" applyFont="1" applyFill="1" applyBorder="1" applyAlignment="1" applyProtection="1">
      <alignment horizontal="left" vertical="center"/>
      <protection locked="0"/>
    </xf>
    <xf numFmtId="0" fontId="11" fillId="17" borderId="315" xfId="2" applyFont="1" applyFill="1" applyBorder="1" applyAlignment="1" applyProtection="1">
      <alignment vertical="center"/>
    </xf>
    <xf numFmtId="0" fontId="1" fillId="17" borderId="309" xfId="2" applyFill="1" applyBorder="1" applyProtection="1"/>
    <xf numFmtId="10" fontId="7" fillId="17" borderId="316" xfId="2" applyNumberFormat="1" applyFont="1" applyFill="1" applyBorder="1" applyAlignment="1" applyProtection="1">
      <protection locked="0"/>
    </xf>
    <xf numFmtId="0" fontId="11" fillId="17" borderId="311" xfId="2" applyFont="1" applyFill="1" applyBorder="1" applyAlignment="1" applyProtection="1">
      <alignment vertical="center"/>
    </xf>
    <xf numFmtId="0" fontId="1" fillId="17" borderId="308" xfId="2" applyFont="1" applyFill="1" applyBorder="1" applyProtection="1"/>
    <xf numFmtId="0" fontId="1" fillId="17" borderId="60" xfId="2" applyFont="1" applyFill="1" applyBorder="1" applyProtection="1"/>
    <xf numFmtId="0" fontId="11" fillId="17" borderId="317" xfId="2" applyFont="1" applyFill="1" applyBorder="1" applyAlignment="1" applyProtection="1">
      <alignment horizontal="right"/>
    </xf>
    <xf numFmtId="0" fontId="11" fillId="17" borderId="0" xfId="2" applyFont="1" applyFill="1" applyBorder="1" applyAlignment="1" applyProtection="1">
      <alignment horizontal="right" vertical="center"/>
    </xf>
    <xf numFmtId="0" fontId="4" fillId="17" borderId="308" xfId="2" applyFont="1" applyFill="1" applyBorder="1" applyProtection="1"/>
    <xf numFmtId="0" fontId="11" fillId="0" borderId="318" xfId="2" applyFont="1" applyFill="1" applyBorder="1" applyAlignment="1" applyProtection="1">
      <alignment horizontal="right"/>
      <protection locked="0"/>
    </xf>
    <xf numFmtId="0" fontId="16" fillId="17" borderId="318" xfId="2" applyFont="1" applyFill="1" applyBorder="1" applyAlignment="1" applyProtection="1">
      <alignment horizontal="right"/>
      <protection locked="0"/>
    </xf>
    <xf numFmtId="3" fontId="10" fillId="17" borderId="264" xfId="2" applyNumberFormat="1" applyFont="1" applyFill="1" applyBorder="1" applyAlignment="1" applyProtection="1">
      <alignment vertical="center"/>
      <protection hidden="1"/>
    </xf>
    <xf numFmtId="0" fontId="7" fillId="17" borderId="308" xfId="2" applyFont="1" applyFill="1" applyBorder="1" applyAlignment="1" applyProtection="1">
      <alignment horizontal="right"/>
    </xf>
    <xf numFmtId="3" fontId="10" fillId="17" borderId="310" xfId="2" applyNumberFormat="1" applyFont="1" applyFill="1" applyBorder="1" applyAlignment="1" applyProtection="1">
      <alignment vertical="center"/>
      <protection hidden="1"/>
    </xf>
    <xf numFmtId="3" fontId="10" fillId="17" borderId="319" xfId="2" applyNumberFormat="1" applyFont="1" applyFill="1" applyBorder="1" applyAlignment="1" applyProtection="1">
      <alignment vertical="center"/>
      <protection hidden="1"/>
    </xf>
    <xf numFmtId="3" fontId="10" fillId="17" borderId="311" xfId="2" applyNumberFormat="1" applyFont="1" applyFill="1" applyBorder="1" applyAlignment="1" applyProtection="1">
      <alignment vertical="center"/>
      <protection hidden="1"/>
    </xf>
    <xf numFmtId="0" fontId="111" fillId="0" borderId="0" xfId="2" applyFont="1" applyBorder="1" applyAlignment="1" applyProtection="1">
      <alignment horizontal="center"/>
      <protection hidden="1"/>
    </xf>
    <xf numFmtId="164" fontId="7" fillId="0" borderId="300" xfId="12" applyNumberFormat="1" applyFont="1" applyFill="1" applyBorder="1" applyAlignment="1" applyProtection="1">
      <alignment horizontal="center"/>
      <protection locked="0"/>
    </xf>
    <xf numFmtId="3" fontId="2" fillId="0" borderId="41" xfId="2" applyNumberFormat="1" applyFont="1" applyBorder="1" applyProtection="1">
      <protection hidden="1"/>
    </xf>
    <xf numFmtId="10" fontId="7" fillId="0" borderId="312" xfId="2" applyNumberFormat="1" applyFont="1" applyFill="1" applyBorder="1" applyAlignment="1" applyProtection="1">
      <alignment horizontal="center"/>
      <protection locked="0"/>
    </xf>
    <xf numFmtId="3" fontId="10" fillId="0" borderId="163" xfId="2" applyNumberFormat="1" applyFont="1" applyFill="1" applyBorder="1" applyProtection="1">
      <protection locked="0"/>
    </xf>
    <xf numFmtId="3" fontId="10" fillId="0" borderId="321" xfId="2" applyNumberFormat="1" applyFont="1" applyFill="1" applyBorder="1" applyAlignment="1" applyProtection="1">
      <alignment vertical="center"/>
      <protection locked="0"/>
    </xf>
    <xf numFmtId="10" fontId="7" fillId="0" borderId="303" xfId="2" applyNumberFormat="1" applyFont="1" applyFill="1" applyBorder="1" applyAlignment="1" applyProtection="1">
      <alignment horizontal="center"/>
      <protection locked="0"/>
    </xf>
    <xf numFmtId="164" fontId="7" fillId="0" borderId="320" xfId="12" applyNumberFormat="1" applyFont="1" applyFill="1" applyBorder="1" applyAlignment="1" applyProtection="1">
      <alignment horizontal="center"/>
      <protection locked="0"/>
    </xf>
    <xf numFmtId="164" fontId="7" fillId="0" borderId="322" xfId="12" applyNumberFormat="1" applyFont="1" applyFill="1" applyBorder="1" applyAlignment="1" applyProtection="1">
      <alignment horizontal="center"/>
      <protection locked="0"/>
    </xf>
    <xf numFmtId="10" fontId="7" fillId="0" borderId="320" xfId="2" applyNumberFormat="1" applyFont="1" applyFill="1" applyBorder="1" applyAlignment="1" applyProtection="1">
      <alignment horizontal="center"/>
      <protection locked="0"/>
    </xf>
    <xf numFmtId="10" fontId="7" fillId="0" borderId="322" xfId="2" applyNumberFormat="1" applyFont="1" applyFill="1" applyBorder="1" applyAlignment="1" applyProtection="1">
      <alignment horizontal="center"/>
      <protection locked="0"/>
    </xf>
    <xf numFmtId="10" fontId="7" fillId="17" borderId="323" xfId="12" applyNumberFormat="1" applyFont="1" applyFill="1" applyBorder="1" applyAlignment="1" applyProtection="1"/>
    <xf numFmtId="0" fontId="7" fillId="17" borderId="324" xfId="2" applyFont="1" applyFill="1" applyBorder="1" applyAlignment="1">
      <alignment horizontal="right"/>
    </xf>
    <xf numFmtId="0" fontId="11" fillId="16" borderId="325" xfId="2" applyFont="1" applyFill="1" applyBorder="1" applyAlignment="1" applyProtection="1">
      <alignment vertical="center"/>
    </xf>
    <xf numFmtId="0" fontId="1" fillId="16" borderId="326" xfId="2" applyFill="1" applyBorder="1" applyProtection="1"/>
    <xf numFmtId="0" fontId="7" fillId="16" borderId="326" xfId="2" applyFont="1" applyFill="1" applyBorder="1" applyAlignment="1" applyProtection="1">
      <alignment horizontal="right"/>
    </xf>
    <xf numFmtId="3" fontId="2" fillId="0" borderId="8" xfId="2" applyNumberFormat="1" applyFont="1" applyBorder="1" applyProtection="1">
      <protection hidden="1"/>
    </xf>
    <xf numFmtId="9" fontId="7" fillId="0" borderId="0" xfId="12" applyFont="1" applyFill="1" applyBorder="1" applyAlignment="1" applyProtection="1">
      <alignment horizontal="center"/>
      <protection locked="0"/>
    </xf>
    <xf numFmtId="10" fontId="7" fillId="0" borderId="303" xfId="12" applyNumberFormat="1" applyFont="1" applyFill="1" applyBorder="1" applyAlignment="1" applyProtection="1">
      <alignment horizontal="center"/>
      <protection locked="0"/>
    </xf>
    <xf numFmtId="164" fontId="7" fillId="0" borderId="303" xfId="12" applyNumberFormat="1" applyFont="1" applyFill="1" applyBorder="1" applyAlignment="1" applyProtection="1">
      <alignment horizontal="center"/>
      <protection locked="0"/>
    </xf>
    <xf numFmtId="164" fontId="7" fillId="0" borderId="305" xfId="12" applyNumberFormat="1" applyFont="1" applyFill="1" applyBorder="1" applyAlignment="1" applyProtection="1">
      <alignment horizontal="center"/>
      <protection locked="0"/>
    </xf>
    <xf numFmtId="164" fontId="7" fillId="0" borderId="307" xfId="12" applyNumberFormat="1" applyFont="1" applyFill="1" applyBorder="1" applyAlignment="1" applyProtection="1">
      <alignment horizontal="center"/>
      <protection locked="0"/>
    </xf>
    <xf numFmtId="10" fontId="7" fillId="0" borderId="300" xfId="12" applyNumberFormat="1" applyFont="1" applyFill="1" applyBorder="1" applyAlignment="1" applyProtection="1">
      <alignment horizontal="center"/>
      <protection locked="0"/>
    </xf>
    <xf numFmtId="164" fontId="7" fillId="0" borderId="312" xfId="12" applyNumberFormat="1" applyFont="1" applyFill="1" applyBorder="1" applyAlignment="1" applyProtection="1">
      <alignment horizontal="center"/>
      <protection locked="0"/>
    </xf>
    <xf numFmtId="0" fontId="178" fillId="0" borderId="0" xfId="0" applyFont="1" applyFill="1" applyBorder="1" applyAlignment="1" applyProtection="1">
      <alignment vertical="center"/>
      <protection locked="0"/>
    </xf>
    <xf numFmtId="3" fontId="7" fillId="24" borderId="329" xfId="2" applyNumberFormat="1" applyFont="1" applyFill="1" applyBorder="1" applyProtection="1">
      <protection hidden="1"/>
    </xf>
    <xf numFmtId="3" fontId="7" fillId="24" borderId="330" xfId="2" applyNumberFormat="1" applyFont="1" applyFill="1" applyBorder="1" applyProtection="1">
      <protection hidden="1"/>
    </xf>
    <xf numFmtId="3" fontId="7" fillId="24" borderId="331" xfId="2" applyNumberFormat="1" applyFont="1" applyFill="1" applyBorder="1" applyProtection="1">
      <protection hidden="1"/>
    </xf>
    <xf numFmtId="3" fontId="7" fillId="3" borderId="329" xfId="2" applyNumberFormat="1" applyFont="1" applyFill="1" applyBorder="1" applyProtection="1">
      <protection hidden="1"/>
    </xf>
    <xf numFmtId="3" fontId="7" fillId="3" borderId="330" xfId="2" applyNumberFormat="1" applyFont="1" applyFill="1" applyBorder="1" applyProtection="1">
      <protection hidden="1"/>
    </xf>
    <xf numFmtId="0" fontId="197" fillId="15" borderId="23" xfId="1" applyFont="1" applyFill="1" applyBorder="1" applyAlignment="1" applyProtection="1">
      <protection locked="0"/>
    </xf>
    <xf numFmtId="0" fontId="197" fillId="18" borderId="23" xfId="1" applyFont="1" applyFill="1" applyBorder="1" applyAlignment="1" applyProtection="1">
      <protection locked="0"/>
    </xf>
    <xf numFmtId="0" fontId="1" fillId="17" borderId="0" xfId="2" applyFill="1" applyProtection="1">
      <protection locked="0"/>
    </xf>
    <xf numFmtId="0" fontId="11" fillId="17" borderId="0" xfId="2" applyFont="1" applyFill="1" applyAlignment="1" applyProtection="1">
      <alignment horizontal="left" indent="1"/>
      <protection locked="0"/>
    </xf>
    <xf numFmtId="0" fontId="1" fillId="17" borderId="0" xfId="2" applyFill="1" applyAlignment="1" applyProtection="1">
      <alignment horizontal="left" indent="1"/>
      <protection locked="0"/>
    </xf>
    <xf numFmtId="9" fontId="7" fillId="0" borderId="334" xfId="2" applyNumberFormat="1" applyFont="1" applyFill="1" applyBorder="1" applyAlignment="1" applyProtection="1">
      <alignment horizontal="center"/>
      <protection locked="0"/>
    </xf>
    <xf numFmtId="9" fontId="7" fillId="0" borderId="0" xfId="12" applyFont="1" applyFill="1" applyBorder="1" applyAlignment="1" applyProtection="1">
      <protection locked="0"/>
    </xf>
    <xf numFmtId="3" fontId="10" fillId="0" borderId="0" xfId="2" applyNumberFormat="1" applyFont="1" applyFill="1" applyBorder="1" applyAlignment="1" applyProtection="1">
      <protection locked="0"/>
    </xf>
    <xf numFmtId="3" fontId="105" fillId="0" borderId="0" xfId="0" applyNumberFormat="1" applyFont="1" applyFill="1" applyBorder="1" applyAlignment="1" applyProtection="1">
      <protection locked="0"/>
    </xf>
    <xf numFmtId="3" fontId="105" fillId="0" borderId="0" xfId="0" applyNumberFormat="1" applyFont="1" applyFill="1" applyBorder="1" applyAlignment="1" applyProtection="1">
      <alignment vertical="center"/>
      <protection locked="0"/>
    </xf>
    <xf numFmtId="3" fontId="161" fillId="0" borderId="0" xfId="2" applyNumberFormat="1" applyFont="1" applyFill="1" applyBorder="1" applyAlignment="1" applyProtection="1">
      <protection locked="0"/>
    </xf>
    <xf numFmtId="0" fontId="1" fillId="42" borderId="336" xfId="2" applyFill="1" applyBorder="1" applyProtection="1">
      <protection locked="0"/>
    </xf>
    <xf numFmtId="0" fontId="1" fillId="42" borderId="337" xfId="2" applyFill="1" applyBorder="1" applyProtection="1">
      <protection locked="0"/>
    </xf>
    <xf numFmtId="0" fontId="1" fillId="42" borderId="338" xfId="2" applyFill="1" applyBorder="1" applyProtection="1">
      <protection locked="0"/>
    </xf>
    <xf numFmtId="9" fontId="110" fillId="17" borderId="339" xfId="2" applyNumberFormat="1" applyFont="1" applyFill="1" applyBorder="1" applyAlignment="1" applyProtection="1">
      <alignment horizontal="right" vertical="center"/>
      <protection locked="0"/>
    </xf>
    <xf numFmtId="0" fontId="11" fillId="42" borderId="337" xfId="2" applyFont="1" applyFill="1" applyBorder="1" applyProtection="1">
      <protection locked="0"/>
    </xf>
    <xf numFmtId="0" fontId="7" fillId="17" borderId="333" xfId="2" applyFont="1" applyFill="1" applyBorder="1" applyAlignment="1" applyProtection="1">
      <alignment horizontal="right"/>
      <protection locked="0"/>
    </xf>
    <xf numFmtId="0" fontId="11" fillId="17" borderId="326" xfId="2" applyFont="1" applyFill="1" applyBorder="1" applyProtection="1">
      <protection locked="0"/>
    </xf>
    <xf numFmtId="0" fontId="11" fillId="17" borderId="327" xfId="2" applyFont="1" applyFill="1" applyBorder="1" applyProtection="1">
      <protection locked="0"/>
    </xf>
    <xf numFmtId="0" fontId="11" fillId="0" borderId="335" xfId="2" applyFont="1" applyFill="1" applyBorder="1" applyProtection="1">
      <protection locked="0"/>
    </xf>
    <xf numFmtId="0" fontId="11" fillId="0" borderId="138" xfId="2" applyFont="1" applyBorder="1" applyProtection="1">
      <protection locked="0"/>
    </xf>
    <xf numFmtId="0" fontId="11" fillId="0" borderId="133" xfId="2" applyFont="1" applyBorder="1" applyProtection="1">
      <protection locked="0"/>
    </xf>
    <xf numFmtId="0" fontId="11" fillId="0" borderId="213" xfId="2" applyFont="1" applyBorder="1" applyProtection="1">
      <protection locked="0"/>
    </xf>
    <xf numFmtId="0" fontId="11" fillId="0" borderId="163" xfId="2" applyFont="1" applyBorder="1" applyProtection="1">
      <protection locked="0"/>
    </xf>
    <xf numFmtId="0" fontId="11" fillId="0" borderId="213" xfId="2" applyFont="1" applyFill="1" applyBorder="1" applyProtection="1">
      <protection locked="0"/>
    </xf>
    <xf numFmtId="0" fontId="11" fillId="0" borderId="163" xfId="2" applyFont="1" applyFill="1" applyBorder="1" applyProtection="1">
      <protection locked="0"/>
    </xf>
    <xf numFmtId="0" fontId="11" fillId="0" borderId="0" xfId="2" applyFont="1" applyProtection="1">
      <protection locked="0"/>
    </xf>
    <xf numFmtId="164" fontId="40" fillId="0" borderId="0" xfId="2" applyNumberFormat="1" applyFont="1" applyFill="1" applyBorder="1" applyAlignment="1" applyProtection="1">
      <alignment vertical="center"/>
      <protection locked="0"/>
    </xf>
    <xf numFmtId="0" fontId="80" fillId="0" borderId="0" xfId="2" applyFont="1" applyProtection="1">
      <protection locked="0"/>
    </xf>
    <xf numFmtId="3" fontId="80" fillId="0" borderId="26" xfId="2" applyNumberFormat="1" applyFont="1" applyFill="1" applyBorder="1" applyAlignment="1" applyProtection="1">
      <alignment vertical="center"/>
      <protection locked="0"/>
    </xf>
    <xf numFmtId="3" fontId="80" fillId="0" borderId="125" xfId="2" applyNumberFormat="1" applyFont="1" applyFill="1" applyBorder="1" applyAlignment="1" applyProtection="1">
      <alignment vertical="center"/>
      <protection locked="0"/>
    </xf>
    <xf numFmtId="3" fontId="80" fillId="15" borderId="125" xfId="2" applyNumberFormat="1" applyFont="1" applyFill="1" applyBorder="1" applyAlignment="1" applyProtection="1">
      <alignment vertical="center"/>
      <protection locked="0"/>
    </xf>
    <xf numFmtId="3" fontId="80" fillId="18" borderId="125" xfId="2" applyNumberFormat="1" applyFont="1" applyFill="1" applyBorder="1" applyAlignment="1" applyProtection="1">
      <alignment vertical="center"/>
      <protection locked="0"/>
    </xf>
    <xf numFmtId="9" fontId="7" fillId="0" borderId="334" xfId="2" applyNumberFormat="1" applyFont="1" applyFill="1" applyBorder="1" applyAlignment="1" applyProtection="1">
      <alignment horizontal="left"/>
      <protection locked="0"/>
    </xf>
    <xf numFmtId="0" fontId="11" fillId="0" borderId="334" xfId="2" applyFont="1" applyFill="1" applyBorder="1" applyAlignment="1" applyProtection="1">
      <alignment horizontal="left"/>
      <protection locked="0"/>
    </xf>
    <xf numFmtId="9" fontId="11" fillId="0" borderId="334" xfId="2" applyNumberFormat="1" applyFont="1" applyFill="1" applyBorder="1" applyAlignment="1" applyProtection="1">
      <alignment horizontal="left"/>
      <protection locked="0"/>
    </xf>
    <xf numFmtId="0" fontId="198" fillId="0" borderId="340" xfId="2" applyFont="1" applyBorder="1" applyAlignment="1" applyProtection="1">
      <alignment horizontal="center"/>
      <protection locked="0"/>
    </xf>
    <xf numFmtId="3" fontId="78" fillId="0" borderId="23" xfId="2" applyNumberFormat="1" applyFont="1" applyFill="1" applyBorder="1" applyProtection="1">
      <protection hidden="1"/>
    </xf>
    <xf numFmtId="0" fontId="199" fillId="16" borderId="251" xfId="2" applyFont="1" applyFill="1" applyBorder="1" applyAlignment="1" applyProtection="1">
      <alignment horizontal="center" vertical="center"/>
      <protection hidden="1"/>
    </xf>
    <xf numFmtId="0" fontId="107" fillId="0" borderId="14" xfId="2" applyFont="1" applyFill="1" applyBorder="1" applyAlignment="1" applyProtection="1">
      <alignment vertical="center"/>
      <protection hidden="1"/>
    </xf>
    <xf numFmtId="3" fontId="183" fillId="0" borderId="0" xfId="2" applyNumberFormat="1" applyFont="1" applyFill="1" applyBorder="1" applyAlignment="1" applyProtection="1">
      <alignment horizontal="left" vertical="center" indent="1"/>
      <protection hidden="1"/>
    </xf>
    <xf numFmtId="3" fontId="128" fillId="0" borderId="0" xfId="2" applyNumberFormat="1" applyFont="1" applyFill="1" applyBorder="1" applyAlignment="1" applyProtection="1">
      <alignment horizontal="center" vertical="center"/>
      <protection hidden="1"/>
    </xf>
    <xf numFmtId="3" fontId="128" fillId="0" borderId="0" xfId="2" applyNumberFormat="1" applyFont="1" applyFill="1" applyBorder="1" applyAlignment="1" applyProtection="1">
      <alignment horizontal="left" vertical="center"/>
      <protection hidden="1"/>
    </xf>
    <xf numFmtId="3" fontId="200" fillId="0" borderId="0" xfId="2" applyNumberFormat="1" applyFont="1" applyFill="1" applyBorder="1" applyAlignment="1" applyProtection="1">
      <alignment horizontal="center" vertical="center"/>
      <protection hidden="1"/>
    </xf>
    <xf numFmtId="3" fontId="128" fillId="0" borderId="11" xfId="2" applyNumberFormat="1" applyFont="1" applyFill="1" applyBorder="1" applyAlignment="1" applyProtection="1">
      <alignment horizontal="center" vertical="center"/>
      <protection hidden="1"/>
    </xf>
    <xf numFmtId="3" fontId="9" fillId="24" borderId="302" xfId="2" applyNumberFormat="1" applyFont="1" applyFill="1" applyBorder="1" applyAlignment="1" applyProtection="1">
      <alignment vertical="center"/>
    </xf>
    <xf numFmtId="3" fontId="9" fillId="18" borderId="302" xfId="2" applyNumberFormat="1" applyFont="1" applyFill="1" applyBorder="1" applyAlignment="1" applyProtection="1">
      <alignment vertical="center"/>
    </xf>
    <xf numFmtId="3" fontId="80" fillId="0" borderId="341" xfId="2" applyNumberFormat="1" applyFont="1" applyFill="1" applyBorder="1" applyAlignment="1" applyProtection="1">
      <alignment vertical="center"/>
      <protection locked="0"/>
    </xf>
    <xf numFmtId="0" fontId="2" fillId="0" borderId="54" xfId="2" applyFont="1" applyFill="1" applyBorder="1" applyProtection="1"/>
    <xf numFmtId="0" fontId="59" fillId="17" borderId="54" xfId="0" applyFont="1" applyFill="1" applyBorder="1" applyAlignment="1" applyProtection="1">
      <alignment horizontal="right" vertical="center"/>
    </xf>
    <xf numFmtId="164" fontId="59" fillId="0" borderId="342" xfId="0" applyNumberFormat="1" applyFont="1" applyFill="1" applyBorder="1" applyAlignment="1" applyProtection="1">
      <alignment horizontal="center" vertical="center" wrapText="1"/>
      <protection locked="0"/>
    </xf>
    <xf numFmtId="3" fontId="9" fillId="0" borderId="0" xfId="2" applyNumberFormat="1" applyFont="1" applyFill="1" applyBorder="1" applyAlignment="1" applyProtection="1">
      <alignment horizontal="left" vertical="center"/>
      <protection hidden="1"/>
    </xf>
    <xf numFmtId="3" fontId="201" fillId="0" borderId="0" xfId="2" applyNumberFormat="1" applyFont="1" applyFill="1" applyBorder="1" applyAlignment="1" applyProtection="1">
      <alignment horizontal="right"/>
    </xf>
    <xf numFmtId="3" fontId="203" fillId="0" borderId="0" xfId="2" applyNumberFormat="1" applyFont="1" applyFill="1" applyBorder="1" applyAlignment="1" applyProtection="1">
      <alignment horizontal="right"/>
    </xf>
    <xf numFmtId="3" fontId="203" fillId="0" borderId="0" xfId="2" applyNumberFormat="1" applyFont="1" applyFill="1" applyBorder="1" applyAlignment="1" applyProtection="1">
      <protection hidden="1"/>
    </xf>
    <xf numFmtId="3" fontId="10" fillId="0" borderId="128" xfId="2" applyNumberFormat="1" applyFont="1" applyFill="1" applyBorder="1" applyAlignment="1" applyProtection="1">
      <alignment vertical="center"/>
      <protection locked="0"/>
    </xf>
    <xf numFmtId="0" fontId="11" fillId="17" borderId="8" xfId="2" applyFont="1" applyFill="1" applyBorder="1" applyProtection="1">
      <protection hidden="1"/>
    </xf>
    <xf numFmtId="0" fontId="11" fillId="17" borderId="2" xfId="2" applyFont="1" applyFill="1" applyBorder="1" applyProtection="1">
      <protection hidden="1"/>
    </xf>
    <xf numFmtId="0" fontId="206" fillId="0" borderId="0" xfId="2" applyFont="1" applyFill="1" applyProtection="1">
      <protection hidden="1"/>
    </xf>
    <xf numFmtId="0" fontId="4" fillId="0" borderId="2" xfId="2" applyFont="1" applyFill="1" applyBorder="1" applyAlignment="1" applyProtection="1">
      <alignment vertical="center"/>
      <protection locked="0"/>
    </xf>
    <xf numFmtId="0" fontId="6" fillId="0" borderId="3" xfId="2" applyNumberFormat="1" applyFont="1" applyFill="1" applyBorder="1" applyAlignment="1" applyProtection="1">
      <alignment horizontal="center" vertical="center"/>
      <protection locked="0"/>
    </xf>
    <xf numFmtId="0" fontId="12" fillId="0" borderId="0" xfId="2" applyFont="1" applyFill="1" applyAlignment="1" applyProtection="1">
      <alignment horizontal="center" vertical="center"/>
      <protection locked="0"/>
    </xf>
    <xf numFmtId="0" fontId="4" fillId="0" borderId="0" xfId="2" applyFont="1" applyFill="1" applyBorder="1" applyAlignment="1" applyProtection="1">
      <alignment vertical="center"/>
      <protection locked="0"/>
    </xf>
    <xf numFmtId="0" fontId="1" fillId="0" borderId="0" xfId="2" applyFill="1" applyBorder="1" applyAlignment="1" applyProtection="1">
      <alignment horizontal="center" vertical="center" wrapText="1"/>
      <protection locked="0"/>
    </xf>
    <xf numFmtId="0" fontId="4" fillId="0" borderId="0" xfId="2" applyFont="1" applyFill="1" applyAlignment="1" applyProtection="1">
      <alignment vertical="center"/>
      <protection locked="0"/>
    </xf>
    <xf numFmtId="1" fontId="114" fillId="17" borderId="58" xfId="0" applyNumberFormat="1" applyFont="1" applyFill="1" applyBorder="1" applyAlignment="1" applyProtection="1">
      <alignment horizontal="center" vertical="top"/>
      <protection hidden="1"/>
    </xf>
    <xf numFmtId="1" fontId="114" fillId="17" borderId="3" xfId="0" applyNumberFormat="1" applyFont="1" applyFill="1" applyBorder="1" applyAlignment="1" applyProtection="1">
      <alignment horizontal="center" vertical="top"/>
      <protection hidden="1"/>
    </xf>
    <xf numFmtId="0" fontId="6" fillId="16" borderId="58" xfId="2" applyFont="1" applyFill="1" applyBorder="1" applyAlignment="1" applyProtection="1">
      <alignment horizontal="center" vertical="top"/>
      <protection hidden="1"/>
    </xf>
    <xf numFmtId="0" fontId="6" fillId="17" borderId="16" xfId="2" applyFont="1" applyFill="1" applyBorder="1" applyAlignment="1" applyProtection="1">
      <alignment vertical="center"/>
    </xf>
    <xf numFmtId="3" fontId="134" fillId="17" borderId="1" xfId="0" applyNumberFormat="1" applyFont="1" applyFill="1" applyBorder="1" applyAlignment="1" applyProtection="1">
      <alignment vertical="center"/>
      <protection hidden="1"/>
    </xf>
    <xf numFmtId="3" fontId="134" fillId="17" borderId="43" xfId="0" applyNumberFormat="1" applyFont="1" applyFill="1" applyBorder="1" applyAlignment="1" applyProtection="1">
      <alignment vertical="center"/>
      <protection hidden="1"/>
    </xf>
    <xf numFmtId="3" fontId="46" fillId="17" borderId="43" xfId="2" applyNumberFormat="1" applyFont="1" applyFill="1" applyBorder="1" applyAlignment="1" applyProtection="1">
      <alignment vertical="center"/>
      <protection hidden="1"/>
    </xf>
    <xf numFmtId="3" fontId="46" fillId="16" borderId="43" xfId="2" applyNumberFormat="1" applyFont="1" applyFill="1" applyBorder="1" applyAlignment="1" applyProtection="1">
      <alignment vertical="center"/>
      <protection hidden="1"/>
    </xf>
    <xf numFmtId="0" fontId="11" fillId="0" borderId="0" xfId="2" applyFont="1" applyFill="1" applyBorder="1" applyAlignment="1" applyProtection="1">
      <alignment vertical="center"/>
      <protection locked="0"/>
    </xf>
    <xf numFmtId="0" fontId="206" fillId="0" borderId="0" xfId="2" applyFont="1" applyFill="1" applyAlignment="1" applyProtection="1">
      <alignment vertical="center"/>
      <protection hidden="1"/>
    </xf>
    <xf numFmtId="0" fontId="11" fillId="0" borderId="3" xfId="2" applyFont="1" applyFill="1" applyBorder="1" applyAlignment="1" applyProtection="1">
      <alignment vertical="center"/>
      <protection locked="0"/>
    </xf>
    <xf numFmtId="0" fontId="132" fillId="17" borderId="0" xfId="2" applyFont="1" applyFill="1" applyBorder="1" applyAlignment="1" applyProtection="1">
      <alignment vertical="center"/>
      <protection hidden="1"/>
    </xf>
    <xf numFmtId="0" fontId="132" fillId="17" borderId="2" xfId="2" applyFont="1" applyFill="1" applyBorder="1" applyAlignment="1" applyProtection="1">
      <alignment vertical="center"/>
      <protection hidden="1"/>
    </xf>
    <xf numFmtId="1" fontId="7" fillId="17" borderId="58" xfId="2" applyNumberFormat="1" applyFont="1" applyFill="1" applyBorder="1" applyAlignment="1" applyProtection="1">
      <alignment horizontal="center"/>
      <protection hidden="1"/>
    </xf>
    <xf numFmtId="0" fontId="11" fillId="17" borderId="2" xfId="2" applyFont="1" applyFill="1" applyBorder="1" applyProtection="1">
      <protection locked="0"/>
    </xf>
    <xf numFmtId="0" fontId="132" fillId="17" borderId="4" xfId="2" applyFont="1" applyFill="1" applyBorder="1" applyAlignment="1" applyProtection="1">
      <alignment vertical="center"/>
      <protection hidden="1"/>
    </xf>
    <xf numFmtId="0" fontId="132" fillId="17" borderId="8" xfId="2" applyFont="1" applyFill="1" applyBorder="1" applyAlignment="1" applyProtection="1">
      <alignment vertical="center"/>
      <protection hidden="1"/>
    </xf>
    <xf numFmtId="3" fontId="10" fillId="0" borderId="343" xfId="2" applyNumberFormat="1" applyFont="1" applyFill="1" applyBorder="1" applyAlignment="1" applyProtection="1">
      <alignment vertical="center"/>
      <protection hidden="1"/>
    </xf>
    <xf numFmtId="0" fontId="67" fillId="16" borderId="4" xfId="2" applyFont="1" applyFill="1" applyBorder="1" applyAlignment="1" applyProtection="1">
      <alignment horizontal="right" vertical="center"/>
      <protection hidden="1"/>
    </xf>
    <xf numFmtId="0" fontId="67" fillId="16" borderId="4" xfId="2" applyFont="1" applyFill="1" applyBorder="1" applyAlignment="1" applyProtection="1">
      <alignment horizontal="right"/>
      <protection hidden="1"/>
    </xf>
    <xf numFmtId="0" fontId="116" fillId="16" borderId="4" xfId="2" applyFont="1" applyFill="1" applyBorder="1" applyAlignment="1" applyProtection="1">
      <alignment horizontal="right"/>
      <protection hidden="1"/>
    </xf>
    <xf numFmtId="0" fontId="11" fillId="16" borderId="4" xfId="2" applyFont="1" applyFill="1" applyBorder="1" applyAlignment="1" applyProtection="1">
      <protection hidden="1"/>
    </xf>
    <xf numFmtId="0" fontId="1" fillId="16" borderId="4" xfId="2" applyFill="1" applyBorder="1" applyAlignment="1" applyProtection="1">
      <protection hidden="1"/>
    </xf>
    <xf numFmtId="0" fontId="182" fillId="16" borderId="4" xfId="2" applyFont="1" applyFill="1" applyBorder="1" applyAlignment="1" applyProtection="1">
      <alignment horizontal="right"/>
      <protection hidden="1"/>
    </xf>
    <xf numFmtId="0" fontId="116" fillId="16" borderId="7" xfId="2" applyFont="1" applyFill="1" applyBorder="1" applyAlignment="1" applyProtection="1">
      <alignment horizontal="left"/>
      <protection hidden="1"/>
    </xf>
    <xf numFmtId="0" fontId="1" fillId="16" borderId="4" xfId="2" applyFill="1" applyBorder="1" applyProtection="1">
      <protection hidden="1"/>
    </xf>
    <xf numFmtId="0" fontId="1" fillId="16" borderId="8" xfId="2" applyFill="1" applyBorder="1" applyProtection="1">
      <protection hidden="1"/>
    </xf>
    <xf numFmtId="0" fontId="11" fillId="16" borderId="3" xfId="2" applyFont="1" applyFill="1" applyBorder="1" applyAlignment="1" applyProtection="1">
      <protection hidden="1"/>
    </xf>
    <xf numFmtId="0" fontId="11" fillId="16" borderId="0" xfId="2" applyFont="1" applyFill="1" applyBorder="1" applyAlignment="1" applyProtection="1">
      <alignment horizontal="right" vertical="center"/>
      <protection hidden="1"/>
    </xf>
    <xf numFmtId="0" fontId="61" fillId="16" borderId="0" xfId="2" applyFont="1" applyFill="1" applyBorder="1" applyProtection="1">
      <protection hidden="1"/>
    </xf>
    <xf numFmtId="0" fontId="1" fillId="16" borderId="0" xfId="2" applyFill="1" applyBorder="1" applyProtection="1">
      <protection hidden="1"/>
    </xf>
    <xf numFmtId="0" fontId="1" fillId="16" borderId="74" xfId="2" applyFill="1" applyBorder="1" applyProtection="1">
      <protection hidden="1"/>
    </xf>
    <xf numFmtId="0" fontId="1" fillId="16" borderId="3" xfId="2" applyFill="1" applyBorder="1" applyProtection="1">
      <protection hidden="1"/>
    </xf>
    <xf numFmtId="0" fontId="1" fillId="16" borderId="2" xfId="2" applyFill="1" applyBorder="1" applyProtection="1">
      <protection hidden="1"/>
    </xf>
    <xf numFmtId="0" fontId="11" fillId="16" borderId="0" xfId="2" applyFont="1" applyFill="1" applyBorder="1" applyAlignment="1" applyProtection="1">
      <alignment horizontal="right"/>
      <protection hidden="1"/>
    </xf>
    <xf numFmtId="0" fontId="10" fillId="16" borderId="117" xfId="2" applyFont="1" applyFill="1" applyBorder="1" applyAlignment="1" applyProtection="1">
      <alignment horizontal="center"/>
      <protection hidden="1"/>
    </xf>
    <xf numFmtId="0" fontId="7" fillId="16" borderId="73" xfId="2" applyFont="1" applyFill="1" applyBorder="1" applyAlignment="1" applyProtection="1">
      <alignment horizontal="center" vertical="center"/>
      <protection hidden="1"/>
    </xf>
    <xf numFmtId="0" fontId="1" fillId="16" borderId="0" xfId="2" applyFont="1" applyFill="1" applyAlignment="1" applyProtection="1">
      <alignment horizontal="left"/>
      <protection hidden="1"/>
    </xf>
    <xf numFmtId="0" fontId="11" fillId="16" borderId="187" xfId="2" applyFont="1" applyFill="1" applyBorder="1" applyAlignment="1" applyProtection="1">
      <alignment horizontal="right"/>
      <protection hidden="1"/>
    </xf>
    <xf numFmtId="0" fontId="57" fillId="16" borderId="1" xfId="2" applyFont="1" applyFill="1" applyBorder="1" applyAlignment="1">
      <alignment horizontal="center"/>
    </xf>
    <xf numFmtId="0" fontId="11" fillId="15" borderId="41" xfId="2" applyFont="1" applyFill="1" applyBorder="1" applyAlignment="1" applyProtection="1">
      <alignment horizontal="center"/>
      <protection locked="0"/>
    </xf>
    <xf numFmtId="3" fontId="11" fillId="15" borderId="58" xfId="2" applyNumberFormat="1" applyFont="1" applyFill="1" applyBorder="1" applyAlignment="1" applyProtection="1">
      <alignment horizontal="center"/>
      <protection locked="0"/>
    </xf>
    <xf numFmtId="3" fontId="11" fillId="15" borderId="43" xfId="2" applyNumberFormat="1" applyFont="1" applyFill="1" applyBorder="1" applyAlignment="1" applyProtection="1">
      <alignment horizontal="center" vertical="center"/>
    </xf>
    <xf numFmtId="1" fontId="202" fillId="0" borderId="0" xfId="2" applyNumberFormat="1" applyFont="1" applyFill="1" applyBorder="1" applyAlignment="1" applyProtection="1">
      <alignment horizontal="center" vertical="center"/>
      <protection locked="0"/>
    </xf>
    <xf numFmtId="1" fontId="204" fillId="0" borderId="0" xfId="2" applyNumberFormat="1" applyFont="1" applyFill="1" applyBorder="1" applyAlignment="1" applyProtection="1">
      <alignment horizontal="center" vertical="center"/>
      <protection hidden="1"/>
    </xf>
    <xf numFmtId="1" fontId="205" fillId="0" borderId="0" xfId="2" applyNumberFormat="1" applyFont="1" applyFill="1" applyBorder="1" applyAlignment="1" applyProtection="1">
      <alignment horizontal="center" vertical="center"/>
      <protection hidden="1"/>
    </xf>
    <xf numFmtId="0" fontId="11" fillId="48" borderId="41" xfId="2" applyFont="1" applyFill="1" applyBorder="1" applyAlignment="1" applyProtection="1">
      <alignment horizontal="center"/>
      <protection locked="0"/>
    </xf>
    <xf numFmtId="3" fontId="11" fillId="47" borderId="58" xfId="2" applyNumberFormat="1" applyFont="1" applyFill="1" applyBorder="1" applyAlignment="1" applyProtection="1">
      <alignment horizontal="center"/>
      <protection locked="0"/>
    </xf>
    <xf numFmtId="3" fontId="11" fillId="48" borderId="43" xfId="2" applyNumberFormat="1" applyFont="1" applyFill="1" applyBorder="1" applyAlignment="1" applyProtection="1">
      <alignment horizontal="center" vertical="center"/>
    </xf>
    <xf numFmtId="3" fontId="11" fillId="47" borderId="43" xfId="2" applyNumberFormat="1" applyFont="1" applyFill="1" applyBorder="1" applyAlignment="1" applyProtection="1">
      <alignment horizontal="center" vertical="center"/>
    </xf>
    <xf numFmtId="3" fontId="10" fillId="17" borderId="344" xfId="2" applyNumberFormat="1" applyFont="1" applyFill="1" applyBorder="1" applyAlignment="1" applyProtection="1">
      <alignment vertical="center"/>
      <protection hidden="1"/>
    </xf>
    <xf numFmtId="3" fontId="111" fillId="0" borderId="17" xfId="2" applyNumberFormat="1" applyFont="1" applyFill="1" applyBorder="1" applyAlignment="1" applyProtection="1">
      <protection hidden="1"/>
    </xf>
    <xf numFmtId="3" fontId="11" fillId="0" borderId="17" xfId="0" applyNumberFormat="1" applyFont="1" applyBorder="1" applyProtection="1">
      <protection hidden="1"/>
    </xf>
    <xf numFmtId="0" fontId="132" fillId="0" borderId="0" xfId="2" applyFont="1" applyFill="1" applyProtection="1">
      <protection hidden="1"/>
    </xf>
    <xf numFmtId="0" fontId="1" fillId="16" borderId="0" xfId="2" applyFill="1"/>
    <xf numFmtId="0" fontId="11" fillId="16" borderId="0" xfId="2" applyFont="1" applyFill="1" applyBorder="1" applyAlignment="1">
      <alignment horizontal="right"/>
    </xf>
    <xf numFmtId="0" fontId="1" fillId="16" borderId="0" xfId="2" applyFill="1" applyProtection="1">
      <protection locked="0"/>
    </xf>
    <xf numFmtId="0" fontId="16" fillId="16" borderId="4" xfId="2" applyFont="1" applyFill="1" applyBorder="1" applyAlignment="1" applyProtection="1">
      <alignment horizontal="right"/>
      <protection hidden="1"/>
    </xf>
    <xf numFmtId="0" fontId="16" fillId="16" borderId="4" xfId="2" applyFont="1" applyFill="1" applyBorder="1" applyAlignment="1" applyProtection="1">
      <alignment horizontal="right"/>
    </xf>
    <xf numFmtId="0" fontId="7" fillId="15" borderId="58" xfId="2" applyFont="1" applyFill="1" applyBorder="1" applyAlignment="1" applyProtection="1">
      <alignment horizontal="center" vertical="center"/>
    </xf>
    <xf numFmtId="0" fontId="7" fillId="15" borderId="3" xfId="2" applyFont="1" applyFill="1" applyBorder="1" applyAlignment="1" applyProtection="1">
      <alignment horizontal="center" vertical="center"/>
    </xf>
    <xf numFmtId="0" fontId="7" fillId="3" borderId="58" xfId="2" applyFont="1" applyFill="1" applyBorder="1" applyAlignment="1" applyProtection="1">
      <alignment horizontal="center" vertical="center"/>
    </xf>
    <xf numFmtId="3" fontId="7" fillId="3" borderId="58" xfId="2" applyNumberFormat="1" applyFont="1" applyFill="1" applyBorder="1" applyAlignment="1" applyProtection="1">
      <alignment horizontal="center" vertical="center"/>
    </xf>
    <xf numFmtId="0" fontId="7" fillId="3" borderId="2" xfId="2" applyFont="1" applyFill="1" applyBorder="1" applyAlignment="1" applyProtection="1">
      <alignment horizontal="center" vertical="center"/>
    </xf>
    <xf numFmtId="0" fontId="7" fillId="15" borderId="36" xfId="2" applyFont="1" applyFill="1" applyBorder="1" applyAlignment="1" applyProtection="1">
      <alignment horizontal="center"/>
    </xf>
    <xf numFmtId="0" fontId="7" fillId="15" borderId="36" xfId="2" applyFont="1" applyFill="1" applyBorder="1" applyAlignment="1" applyProtection="1">
      <alignment horizontal="center" vertical="top"/>
    </xf>
    <xf numFmtId="1" fontId="7" fillId="15" borderId="43" xfId="2" applyNumberFormat="1" applyFont="1" applyFill="1" applyBorder="1" applyAlignment="1" applyProtection="1">
      <alignment horizontal="center" vertical="center"/>
    </xf>
    <xf numFmtId="1" fontId="7" fillId="15" borderId="13" xfId="2" applyNumberFormat="1" applyFont="1" applyFill="1" applyBorder="1" applyAlignment="1" applyProtection="1">
      <alignment horizontal="center" vertical="center"/>
    </xf>
    <xf numFmtId="1" fontId="7" fillId="3" borderId="43" xfId="2" applyNumberFormat="1" applyFont="1" applyFill="1" applyBorder="1" applyAlignment="1" applyProtection="1">
      <alignment horizontal="center" vertical="center"/>
    </xf>
    <xf numFmtId="1" fontId="7" fillId="3" borderId="16" xfId="2" applyNumberFormat="1" applyFont="1" applyFill="1" applyBorder="1" applyAlignment="1" applyProtection="1">
      <alignment horizontal="center" vertical="center"/>
    </xf>
    <xf numFmtId="0" fontId="7" fillId="15" borderId="0" xfId="2" applyFont="1" applyFill="1" applyBorder="1" applyAlignment="1" applyProtection="1">
      <alignment horizontal="center" vertical="center"/>
    </xf>
    <xf numFmtId="0" fontId="7" fillId="18" borderId="58" xfId="2" applyFont="1" applyFill="1" applyBorder="1" applyAlignment="1" applyProtection="1">
      <alignment horizontal="center" vertical="center"/>
    </xf>
    <xf numFmtId="0" fontId="7" fillId="15" borderId="37" xfId="2" applyFont="1" applyFill="1" applyBorder="1" applyAlignment="1" applyProtection="1">
      <alignment horizontal="center" vertical="center"/>
    </xf>
    <xf numFmtId="0" fontId="7" fillId="18" borderId="37" xfId="2" applyFont="1" applyFill="1" applyBorder="1" applyAlignment="1" applyProtection="1">
      <alignment horizontal="center" vertical="center"/>
    </xf>
    <xf numFmtId="0" fontId="7" fillId="18" borderId="294" xfId="2" applyFont="1" applyFill="1" applyBorder="1" applyAlignment="1" applyProtection="1">
      <alignment horizontal="center" vertical="top"/>
    </xf>
    <xf numFmtId="0" fontId="7" fillId="18" borderId="36" xfId="2" applyFont="1" applyFill="1" applyBorder="1" applyAlignment="1" applyProtection="1">
      <alignment horizontal="center" vertical="top"/>
    </xf>
    <xf numFmtId="0" fontId="7" fillId="18" borderId="36" xfId="2" applyFont="1" applyFill="1" applyBorder="1" applyAlignment="1" applyProtection="1">
      <alignment horizontal="center"/>
    </xf>
    <xf numFmtId="0" fontId="11" fillId="17" borderId="58" xfId="2" applyFont="1" applyFill="1" applyBorder="1" applyProtection="1">
      <protection locked="0"/>
    </xf>
    <xf numFmtId="0" fontId="6" fillId="0" borderId="0" xfId="2" applyFont="1" applyFill="1" applyBorder="1" applyAlignment="1" applyProtection="1">
      <alignment horizontal="center"/>
      <protection locked="0"/>
    </xf>
    <xf numFmtId="0" fontId="6" fillId="0" borderId="0" xfId="2" applyFont="1" applyFill="1" applyAlignment="1" applyProtection="1">
      <alignment horizontal="center"/>
      <protection locked="0"/>
    </xf>
    <xf numFmtId="0" fontId="6" fillId="16" borderId="41" xfId="2" applyFont="1" applyFill="1" applyBorder="1" applyAlignment="1" applyProtection="1">
      <alignment horizontal="center" vertical="center"/>
      <protection hidden="1"/>
    </xf>
    <xf numFmtId="0" fontId="6" fillId="16" borderId="58" xfId="2" applyFont="1" applyFill="1" applyBorder="1" applyAlignment="1" applyProtection="1">
      <alignment horizontal="center" vertical="center"/>
      <protection hidden="1"/>
    </xf>
    <xf numFmtId="0" fontId="16" fillId="16" borderId="58" xfId="2" applyFont="1" applyFill="1" applyBorder="1" applyAlignment="1" applyProtection="1">
      <alignment horizontal="center" vertical="center"/>
      <protection hidden="1"/>
    </xf>
    <xf numFmtId="0" fontId="12" fillId="17" borderId="2" xfId="2" applyFont="1" applyFill="1" applyBorder="1" applyAlignment="1" applyProtection="1"/>
    <xf numFmtId="0" fontId="2" fillId="17" borderId="0" xfId="2" applyFont="1" applyFill="1" applyBorder="1" applyProtection="1">
      <protection locked="0"/>
    </xf>
    <xf numFmtId="0" fontId="4" fillId="17" borderId="0" xfId="2" applyFont="1" applyFill="1" applyBorder="1" applyAlignment="1" applyProtection="1">
      <alignment horizontal="left"/>
      <protection locked="0"/>
    </xf>
    <xf numFmtId="3" fontId="12" fillId="17" borderId="0" xfId="2" applyNumberFormat="1" applyFont="1" applyFill="1" applyBorder="1" applyAlignment="1" applyProtection="1">
      <protection locked="0"/>
    </xf>
    <xf numFmtId="0" fontId="2" fillId="0" borderId="0" xfId="2" applyFont="1" applyAlignment="1" applyProtection="1">
      <alignment vertical="center"/>
      <protection locked="0"/>
    </xf>
    <xf numFmtId="0" fontId="26" fillId="17" borderId="0" xfId="2" applyFont="1" applyFill="1" applyProtection="1">
      <protection locked="0"/>
    </xf>
    <xf numFmtId="0" fontId="12" fillId="17" borderId="0" xfId="2" applyFont="1" applyFill="1" applyProtection="1"/>
    <xf numFmtId="0" fontId="2" fillId="17" borderId="0" xfId="2" applyFont="1" applyFill="1" applyAlignment="1" applyProtection="1">
      <alignment horizontal="center" vertical="center"/>
    </xf>
    <xf numFmtId="0" fontId="26" fillId="17" borderId="0" xfId="2" applyFont="1" applyFill="1" applyAlignment="1" applyProtection="1">
      <alignment wrapText="1"/>
    </xf>
    <xf numFmtId="0" fontId="26" fillId="17" borderId="0" xfId="2" applyFont="1" applyFill="1" applyProtection="1"/>
    <xf numFmtId="0" fontId="12" fillId="17" borderId="0" xfId="2" applyFont="1" applyFill="1" applyBorder="1" applyAlignment="1" applyProtection="1">
      <alignment wrapText="1"/>
    </xf>
    <xf numFmtId="0" fontId="17" fillId="17" borderId="0" xfId="2" applyFont="1" applyFill="1" applyProtection="1"/>
    <xf numFmtId="0" fontId="15" fillId="17" borderId="0" xfId="2" applyFont="1" applyFill="1" applyProtection="1"/>
    <xf numFmtId="3" fontId="78" fillId="17" borderId="70" xfId="2" applyNumberFormat="1" applyFont="1" applyFill="1" applyBorder="1" applyAlignment="1" applyProtection="1">
      <alignment horizontal="right"/>
    </xf>
    <xf numFmtId="9" fontId="16" fillId="17" borderId="4" xfId="11" applyFont="1" applyFill="1" applyBorder="1" applyProtection="1"/>
    <xf numFmtId="9" fontId="16" fillId="17" borderId="8" xfId="11" applyFont="1" applyFill="1" applyBorder="1" applyProtection="1"/>
    <xf numFmtId="9" fontId="16" fillId="17" borderId="0" xfId="11" applyFont="1" applyFill="1" applyBorder="1" applyProtection="1"/>
    <xf numFmtId="9" fontId="11" fillId="17" borderId="0" xfId="11" applyFont="1" applyFill="1" applyBorder="1" applyAlignment="1" applyProtection="1">
      <alignment horizontal="left"/>
    </xf>
    <xf numFmtId="9" fontId="11" fillId="17" borderId="2" xfId="11" applyFont="1" applyFill="1" applyBorder="1" applyProtection="1"/>
    <xf numFmtId="9" fontId="11" fillId="17" borderId="0" xfId="11" applyFont="1" applyFill="1" applyBorder="1" applyProtection="1"/>
    <xf numFmtId="9" fontId="11" fillId="17" borderId="2" xfId="11" applyFont="1" applyFill="1" applyBorder="1" applyAlignment="1" applyProtection="1">
      <alignment horizontal="left"/>
    </xf>
    <xf numFmtId="9" fontId="16" fillId="17" borderId="2" xfId="11" applyFont="1" applyFill="1" applyBorder="1" applyProtection="1"/>
    <xf numFmtId="9" fontId="16" fillId="17" borderId="1" xfId="11" applyFont="1" applyFill="1" applyBorder="1" applyProtection="1"/>
    <xf numFmtId="9" fontId="16" fillId="17" borderId="16" xfId="11" applyFont="1" applyFill="1" applyBorder="1" applyProtection="1"/>
    <xf numFmtId="3" fontId="10" fillId="17" borderId="69" xfId="11" applyNumberFormat="1" applyFont="1" applyFill="1" applyBorder="1" applyProtection="1"/>
    <xf numFmtId="3" fontId="78" fillId="17" borderId="58" xfId="11" applyNumberFormat="1" applyFont="1" applyFill="1" applyBorder="1" applyProtection="1"/>
    <xf numFmtId="3" fontId="10" fillId="17" borderId="41" xfId="2" applyNumberFormat="1" applyFont="1" applyFill="1" applyBorder="1" applyAlignment="1" applyProtection="1">
      <alignment horizontal="left" vertical="center"/>
    </xf>
    <xf numFmtId="3" fontId="11" fillId="17" borderId="58" xfId="2" applyNumberFormat="1" applyFont="1" applyFill="1" applyBorder="1" applyProtection="1"/>
    <xf numFmtId="3" fontId="10" fillId="17" borderId="0" xfId="2" applyNumberFormat="1" applyFont="1" applyFill="1" applyProtection="1"/>
    <xf numFmtId="3" fontId="10" fillId="17" borderId="60" xfId="2" applyNumberFormat="1" applyFont="1" applyFill="1" applyBorder="1" applyProtection="1"/>
    <xf numFmtId="3" fontId="10" fillId="17" borderId="58" xfId="2" applyNumberFormat="1" applyFont="1" applyFill="1" applyBorder="1" applyAlignment="1" applyProtection="1">
      <alignment horizontal="left" vertical="center" indent="1"/>
    </xf>
    <xf numFmtId="3" fontId="10" fillId="17" borderId="41" xfId="11" applyNumberFormat="1" applyFont="1" applyFill="1" applyBorder="1" applyAlignment="1" applyProtection="1">
      <alignment horizontal="left" vertical="center"/>
    </xf>
    <xf numFmtId="3" fontId="11" fillId="17" borderId="58" xfId="11" applyNumberFormat="1" applyFont="1" applyFill="1" applyBorder="1" applyProtection="1"/>
    <xf numFmtId="3" fontId="10" fillId="17" borderId="0" xfId="11" applyNumberFormat="1" applyFont="1" applyFill="1" applyBorder="1" applyProtection="1"/>
    <xf numFmtId="3" fontId="10" fillId="17" borderId="58" xfId="11" applyNumberFormat="1" applyFont="1" applyFill="1" applyBorder="1" applyAlignment="1" applyProtection="1">
      <alignment horizontal="right" vertical="center"/>
    </xf>
    <xf numFmtId="3" fontId="10" fillId="17" borderId="62" xfId="11" applyNumberFormat="1" applyFont="1" applyFill="1" applyBorder="1" applyAlignment="1" applyProtection="1">
      <alignment horizontal="right" vertical="center"/>
    </xf>
    <xf numFmtId="3" fontId="10" fillId="17" borderId="62" xfId="11" applyNumberFormat="1" applyFont="1" applyFill="1" applyBorder="1" applyProtection="1"/>
    <xf numFmtId="3" fontId="10" fillId="17" borderId="58" xfId="11" applyNumberFormat="1" applyFont="1" applyFill="1" applyBorder="1" applyProtection="1"/>
    <xf numFmtId="3" fontId="10" fillId="17" borderId="0" xfId="11" applyNumberFormat="1" applyFont="1" applyFill="1" applyProtection="1"/>
    <xf numFmtId="3" fontId="10" fillId="17" borderId="52" xfId="11" applyNumberFormat="1" applyFont="1" applyFill="1" applyBorder="1" applyProtection="1"/>
    <xf numFmtId="3" fontId="10" fillId="17" borderId="43" xfId="11" applyNumberFormat="1" applyFont="1" applyFill="1" applyBorder="1" applyProtection="1"/>
    <xf numFmtId="3" fontId="10" fillId="17" borderId="0" xfId="11" applyNumberFormat="1" applyFont="1" applyFill="1" applyBorder="1" applyAlignment="1" applyProtection="1">
      <alignment horizontal="center"/>
    </xf>
    <xf numFmtId="3" fontId="10" fillId="17" borderId="58" xfId="11" applyNumberFormat="1" applyFont="1" applyFill="1" applyBorder="1" applyAlignment="1" applyProtection="1">
      <alignment horizontal="left" vertical="center"/>
    </xf>
    <xf numFmtId="3" fontId="11" fillId="17" borderId="3" xfId="11" applyNumberFormat="1" applyFont="1" applyFill="1" applyBorder="1" applyProtection="1"/>
    <xf numFmtId="3" fontId="78" fillId="17" borderId="41" xfId="11" applyNumberFormat="1" applyFont="1" applyFill="1" applyBorder="1" applyProtection="1"/>
    <xf numFmtId="3" fontId="10" fillId="17" borderId="319" xfId="11" applyNumberFormat="1" applyFont="1" applyFill="1" applyBorder="1" applyProtection="1"/>
    <xf numFmtId="3" fontId="78" fillId="17" borderId="43" xfId="11" applyNumberFormat="1" applyFont="1" applyFill="1" applyBorder="1" applyProtection="1"/>
    <xf numFmtId="3" fontId="78" fillId="17" borderId="70" xfId="11" applyNumberFormat="1" applyFont="1" applyFill="1" applyBorder="1" applyAlignment="1" applyProtection="1">
      <alignment horizontal="right"/>
    </xf>
    <xf numFmtId="0" fontId="11" fillId="17" borderId="0" xfId="2" applyFont="1" applyFill="1" applyProtection="1"/>
    <xf numFmtId="0" fontId="9" fillId="17" borderId="0" xfId="2" applyFont="1" applyFill="1" applyProtection="1"/>
    <xf numFmtId="3" fontId="9" fillId="17" borderId="0" xfId="2" applyNumberFormat="1" applyFont="1" applyFill="1" applyProtection="1"/>
    <xf numFmtId="3" fontId="11" fillId="17" borderId="0" xfId="2" applyNumberFormat="1" applyFont="1" applyFill="1" applyAlignment="1" applyProtection="1">
      <alignment horizontal="right"/>
    </xf>
    <xf numFmtId="0" fontId="2" fillId="17" borderId="0" xfId="2" applyFont="1" applyFill="1" applyProtection="1"/>
    <xf numFmtId="0" fontId="109" fillId="0" borderId="74" xfId="2" applyFont="1" applyBorder="1" applyAlignment="1">
      <alignment horizontal="right" vertical="top"/>
    </xf>
    <xf numFmtId="0" fontId="109" fillId="0" borderId="0" xfId="2" applyFont="1" applyAlignment="1">
      <alignment vertical="top"/>
    </xf>
    <xf numFmtId="0" fontId="1" fillId="0" borderId="0" xfId="0" applyFont="1"/>
    <xf numFmtId="0" fontId="15" fillId="0" borderId="0" xfId="2" applyFont="1" applyAlignment="1">
      <alignment horizontal="right" vertical="top"/>
    </xf>
    <xf numFmtId="0" fontId="1" fillId="16" borderId="4" xfId="2" applyFill="1" applyBorder="1"/>
    <xf numFmtId="0" fontId="11" fillId="17" borderId="41" xfId="2" applyFont="1" applyFill="1" applyBorder="1" applyAlignment="1" applyProtection="1">
      <alignment horizontal="center" vertical="center"/>
    </xf>
    <xf numFmtId="0" fontId="11" fillId="17" borderId="58" xfId="2" applyFont="1" applyFill="1" applyBorder="1" applyAlignment="1" applyProtection="1">
      <alignment horizontal="center" vertical="center"/>
    </xf>
    <xf numFmtId="0" fontId="16" fillId="17" borderId="58" xfId="2" applyFont="1" applyFill="1" applyBorder="1" applyAlignment="1" applyProtection="1">
      <alignment horizontal="center" vertical="center"/>
    </xf>
    <xf numFmtId="0" fontId="16" fillId="17" borderId="43" xfId="2" applyFont="1" applyFill="1" applyBorder="1" applyAlignment="1" applyProtection="1">
      <alignment horizontal="center" vertical="center"/>
    </xf>
    <xf numFmtId="0" fontId="16" fillId="17" borderId="23" xfId="2" applyFont="1" applyFill="1" applyBorder="1" applyAlignment="1" applyProtection="1">
      <alignment horizontal="center" vertical="center"/>
    </xf>
    <xf numFmtId="0" fontId="207" fillId="16" borderId="0" xfId="2" applyFont="1" applyFill="1" applyAlignment="1">
      <alignment horizontal="right" vertical="center" indent="1"/>
    </xf>
    <xf numFmtId="0" fontId="208" fillId="0" borderId="0" xfId="2" applyFont="1" applyAlignment="1">
      <alignment vertical="top"/>
    </xf>
    <xf numFmtId="0" fontId="208" fillId="34" borderId="0" xfId="2" applyFont="1" applyFill="1" applyAlignment="1">
      <alignment vertical="top"/>
    </xf>
    <xf numFmtId="0" fontId="209" fillId="0" borderId="0" xfId="2" applyFont="1"/>
    <xf numFmtId="0" fontId="210" fillId="0" borderId="0" xfId="2" applyFont="1" applyFill="1" applyBorder="1" applyAlignment="1" applyProtection="1">
      <alignment horizontal="center" vertical="center" wrapText="1"/>
      <protection locked="0"/>
    </xf>
    <xf numFmtId="0" fontId="16" fillId="0" borderId="17" xfId="2" applyFont="1" applyFill="1" applyBorder="1" applyProtection="1">
      <protection hidden="1"/>
    </xf>
    <xf numFmtId="0" fontId="47" fillId="0" borderId="17" xfId="2" applyFont="1" applyFill="1" applyBorder="1" applyAlignment="1" applyProtection="1">
      <alignment horizontal="center"/>
      <protection hidden="1"/>
    </xf>
    <xf numFmtId="0" fontId="7" fillId="0" borderId="17" xfId="2" applyFont="1" applyFill="1" applyBorder="1" applyProtection="1">
      <protection hidden="1"/>
    </xf>
    <xf numFmtId="0" fontId="7" fillId="0" borderId="15" xfId="2" applyFont="1" applyFill="1" applyBorder="1" applyProtection="1">
      <protection hidden="1"/>
    </xf>
    <xf numFmtId="0" fontId="12" fillId="17" borderId="13" xfId="2" applyFont="1" applyFill="1" applyBorder="1" applyProtection="1"/>
    <xf numFmtId="0" fontId="2" fillId="17" borderId="351" xfId="2" applyFont="1" applyFill="1" applyBorder="1" applyAlignment="1" applyProtection="1">
      <alignment vertical="center"/>
      <protection locked="0"/>
    </xf>
    <xf numFmtId="0" fontId="2" fillId="17" borderId="350" xfId="2" applyFont="1" applyFill="1" applyBorder="1" applyAlignment="1" applyProtection="1">
      <alignment vertical="center"/>
      <protection locked="0"/>
    </xf>
    <xf numFmtId="0" fontId="2" fillId="17" borderId="7" xfId="2" applyFont="1" applyFill="1" applyBorder="1" applyAlignment="1" applyProtection="1">
      <alignment vertical="center"/>
      <protection locked="0"/>
    </xf>
    <xf numFmtId="0" fontId="10" fillId="17" borderId="16" xfId="2" applyFont="1" applyFill="1" applyBorder="1" applyProtection="1"/>
    <xf numFmtId="0" fontId="2" fillId="17" borderId="13" xfId="2" applyFont="1" applyFill="1" applyBorder="1" applyProtection="1"/>
    <xf numFmtId="0" fontId="12" fillId="17" borderId="30" xfId="2" applyFont="1" applyFill="1" applyBorder="1" applyProtection="1"/>
    <xf numFmtId="0" fontId="13" fillId="17" borderId="7" xfId="2" applyFont="1" applyFill="1" applyBorder="1" applyProtection="1">
      <protection locked="0"/>
    </xf>
    <xf numFmtId="0" fontId="2" fillId="17" borderId="351" xfId="2" applyFont="1" applyFill="1" applyBorder="1" applyProtection="1">
      <protection locked="0"/>
    </xf>
    <xf numFmtId="0" fontId="7" fillId="17" borderId="351" xfId="2" applyFont="1" applyFill="1" applyBorder="1" applyAlignment="1" applyProtection="1">
      <alignment horizontal="right"/>
      <protection locked="0"/>
    </xf>
    <xf numFmtId="0" fontId="4" fillId="17" borderId="351" xfId="2" applyFont="1" applyFill="1" applyBorder="1" applyProtection="1">
      <protection locked="0"/>
    </xf>
    <xf numFmtId="0" fontId="12" fillId="17" borderId="351" xfId="2" applyFont="1" applyFill="1" applyBorder="1" applyProtection="1">
      <protection locked="0"/>
    </xf>
    <xf numFmtId="0" fontId="4" fillId="17" borderId="351" xfId="2" applyFont="1" applyFill="1" applyBorder="1" applyAlignment="1" applyProtection="1">
      <alignment horizontal="left"/>
      <protection locked="0"/>
    </xf>
    <xf numFmtId="0" fontId="4" fillId="17" borderId="350" xfId="2" applyFont="1" applyFill="1" applyBorder="1" applyProtection="1">
      <protection locked="0"/>
    </xf>
    <xf numFmtId="0" fontId="4" fillId="17" borderId="3" xfId="2" applyFont="1" applyFill="1" applyBorder="1" applyProtection="1">
      <protection locked="0"/>
    </xf>
    <xf numFmtId="0" fontId="15" fillId="17" borderId="3" xfId="2" applyFont="1" applyFill="1" applyBorder="1" applyAlignment="1" applyProtection="1">
      <alignment horizontal="left" indent="1"/>
      <protection locked="0"/>
    </xf>
    <xf numFmtId="0" fontId="12" fillId="17" borderId="0" xfId="2" applyFont="1" applyFill="1" applyBorder="1" applyAlignment="1" applyProtection="1">
      <alignment horizontal="centerContinuous"/>
      <protection locked="0"/>
    </xf>
    <xf numFmtId="0" fontId="12" fillId="17" borderId="0" xfId="2" applyFont="1" applyFill="1" applyBorder="1" applyAlignment="1" applyProtection="1">
      <alignment horizontal="right"/>
      <protection locked="0"/>
    </xf>
    <xf numFmtId="0" fontId="2" fillId="17" borderId="0" xfId="2" applyFont="1" applyFill="1" applyBorder="1" applyAlignment="1" applyProtection="1">
      <alignment horizontal="centerContinuous"/>
    </xf>
    <xf numFmtId="0" fontId="10" fillId="17" borderId="16" xfId="2" applyFont="1" applyFill="1" applyBorder="1" applyAlignment="1" applyProtection="1">
      <alignment horizontal="right"/>
    </xf>
    <xf numFmtId="0" fontId="10" fillId="17" borderId="13" xfId="2" applyFont="1" applyFill="1" applyBorder="1" applyProtection="1"/>
    <xf numFmtId="0" fontId="132" fillId="17" borderId="3" xfId="2" applyFont="1" applyFill="1" applyBorder="1" applyAlignment="1" applyProtection="1">
      <alignment vertical="center"/>
      <protection hidden="1"/>
    </xf>
    <xf numFmtId="0" fontId="7" fillId="17" borderId="2" xfId="2" applyFont="1" applyFill="1" applyBorder="1" applyAlignment="1" applyProtection="1">
      <alignment horizontal="center" vertical="center"/>
      <protection hidden="1"/>
    </xf>
    <xf numFmtId="0" fontId="6" fillId="16" borderId="58" xfId="2" applyNumberFormat="1" applyFont="1" applyFill="1" applyBorder="1" applyAlignment="1" applyProtection="1">
      <alignment horizontal="center" vertical="center"/>
      <protection hidden="1"/>
    </xf>
    <xf numFmtId="3" fontId="9" fillId="16" borderId="41" xfId="2" applyNumberFormat="1" applyFont="1" applyFill="1" applyBorder="1" applyProtection="1">
      <protection hidden="1"/>
    </xf>
    <xf numFmtId="0" fontId="1" fillId="16" borderId="351" xfId="2" applyFill="1" applyBorder="1" applyProtection="1"/>
    <xf numFmtId="0" fontId="4" fillId="16" borderId="0" xfId="2" applyFont="1" applyFill="1" applyBorder="1" applyAlignment="1" applyProtection="1">
      <alignment horizontal="right"/>
    </xf>
    <xf numFmtId="0" fontId="4" fillId="17" borderId="351" xfId="2" applyFont="1" applyFill="1" applyBorder="1" applyAlignment="1" applyProtection="1">
      <alignment horizontal="right"/>
    </xf>
    <xf numFmtId="0" fontId="16" fillId="17" borderId="351" xfId="2" applyFont="1" applyFill="1" applyBorder="1" applyAlignment="1" applyProtection="1">
      <alignment horizontal="right"/>
    </xf>
    <xf numFmtId="0" fontId="0" fillId="17" borderId="351" xfId="0" applyFill="1" applyBorder="1" applyAlignment="1" applyProtection="1">
      <alignment horizontal="center" wrapText="1"/>
    </xf>
    <xf numFmtId="164" fontId="196" fillId="17" borderId="351" xfId="2" applyNumberFormat="1" applyFont="1" applyFill="1" applyBorder="1" applyAlignment="1" applyProtection="1">
      <alignment horizontal="right" indent="2"/>
      <protection hidden="1"/>
    </xf>
    <xf numFmtId="0" fontId="195" fillId="17" borderId="0" xfId="0" applyFont="1" applyFill="1" applyBorder="1" applyAlignment="1" applyProtection="1">
      <alignment horizontal="center" vertical="center" wrapText="1"/>
    </xf>
    <xf numFmtId="0" fontId="16" fillId="17" borderId="351" xfId="2" applyFont="1" applyFill="1" applyBorder="1" applyAlignment="1" applyProtection="1">
      <alignment horizontal="right" indent="2"/>
    </xf>
    <xf numFmtId="0" fontId="62" fillId="17" borderId="351" xfId="0" applyFont="1" applyFill="1" applyBorder="1" applyAlignment="1" applyProtection="1">
      <alignment horizontal="center" vertical="center" wrapText="1"/>
    </xf>
    <xf numFmtId="49" fontId="59" fillId="0" borderId="351" xfId="0" applyNumberFormat="1" applyFont="1" applyFill="1" applyBorder="1" applyAlignment="1" applyProtection="1">
      <alignment horizontal="center" vertical="center" wrapText="1"/>
      <protection hidden="1"/>
    </xf>
    <xf numFmtId="0" fontId="17" fillId="17" borderId="351" xfId="2" applyFont="1" applyFill="1" applyBorder="1" applyAlignment="1" applyProtection="1">
      <alignment horizontal="right" indent="2"/>
    </xf>
    <xf numFmtId="0" fontId="7" fillId="17" borderId="353" xfId="2" applyFont="1" applyFill="1" applyBorder="1" applyAlignment="1" applyProtection="1"/>
    <xf numFmtId="9" fontId="171" fillId="17" borderId="354" xfId="12" applyNumberFormat="1" applyFont="1" applyFill="1" applyBorder="1" applyAlignment="1" applyProtection="1">
      <protection hidden="1"/>
    </xf>
    <xf numFmtId="0" fontId="170" fillId="17" borderId="181" xfId="2" applyFont="1" applyFill="1" applyBorder="1" applyAlignment="1" applyProtection="1">
      <protection hidden="1"/>
    </xf>
    <xf numFmtId="9" fontId="171" fillId="17" borderId="355" xfId="12" applyFont="1" applyFill="1" applyBorder="1" applyAlignment="1" applyProtection="1">
      <protection hidden="1"/>
    </xf>
    <xf numFmtId="0" fontId="170" fillId="17" borderId="356" xfId="2" applyFont="1" applyFill="1" applyBorder="1" applyAlignment="1" applyProtection="1">
      <alignment horizontal="center"/>
      <protection hidden="1"/>
    </xf>
    <xf numFmtId="9" fontId="171" fillId="17" borderId="357" xfId="12" applyNumberFormat="1" applyFont="1" applyFill="1" applyBorder="1" applyAlignment="1" applyProtection="1">
      <protection hidden="1"/>
    </xf>
    <xf numFmtId="9" fontId="11" fillId="17" borderId="355" xfId="12" applyFont="1" applyFill="1" applyBorder="1" applyAlignment="1" applyProtection="1">
      <alignment horizontal="center"/>
    </xf>
    <xf numFmtId="9" fontId="11" fillId="17" borderId="0" xfId="12" applyFont="1" applyFill="1" applyBorder="1" applyAlignment="1" applyProtection="1">
      <alignment horizontal="center"/>
      <protection locked="0"/>
    </xf>
    <xf numFmtId="9" fontId="7" fillId="17" borderId="210" xfId="12" applyNumberFormat="1" applyFont="1" applyFill="1" applyBorder="1" applyAlignment="1" applyProtection="1">
      <protection locked="0"/>
    </xf>
    <xf numFmtId="9" fontId="7" fillId="17" borderId="354" xfId="12" applyNumberFormat="1" applyFont="1" applyFill="1" applyBorder="1" applyAlignment="1" applyProtection="1">
      <protection locked="0"/>
    </xf>
    <xf numFmtId="9" fontId="11" fillId="0" borderId="138" xfId="12" applyFont="1" applyFill="1" applyBorder="1" applyAlignment="1" applyProtection="1">
      <alignment horizontal="center"/>
      <protection locked="0"/>
    </xf>
    <xf numFmtId="0" fontId="4" fillId="17" borderId="355" xfId="2" applyFont="1" applyFill="1" applyBorder="1" applyProtection="1"/>
    <xf numFmtId="0" fontId="55" fillId="17" borderId="355" xfId="2" applyFont="1" applyFill="1" applyBorder="1" applyAlignment="1" applyProtection="1">
      <alignment readingOrder="1"/>
    </xf>
    <xf numFmtId="9" fontId="7" fillId="17" borderId="355" xfId="12" applyFont="1" applyFill="1" applyBorder="1" applyAlignment="1" applyProtection="1">
      <alignment horizontal="right" vertical="center" indent="2"/>
    </xf>
    <xf numFmtId="9" fontId="7" fillId="17" borderId="358" xfId="12" applyFont="1" applyFill="1" applyBorder="1" applyAlignment="1" applyProtection="1">
      <alignment horizontal="right" vertical="center" indent="2"/>
    </xf>
    <xf numFmtId="0" fontId="170" fillId="17" borderId="353" xfId="2" applyFont="1" applyFill="1" applyBorder="1" applyAlignment="1" applyProtection="1">
      <alignment vertical="center"/>
    </xf>
    <xf numFmtId="0" fontId="59" fillId="16" borderId="351" xfId="0" applyFont="1" applyFill="1" applyBorder="1" applyAlignment="1" applyProtection="1">
      <alignment horizontal="right" vertical="center"/>
    </xf>
    <xf numFmtId="49" fontId="162" fillId="17" borderId="355" xfId="2" applyNumberFormat="1" applyFont="1" applyFill="1" applyBorder="1" applyAlignment="1" applyProtection="1"/>
    <xf numFmtId="0" fontId="11" fillId="17" borderId="355" xfId="2" applyFont="1" applyFill="1" applyBorder="1" applyAlignment="1" applyProtection="1">
      <alignment vertical="top"/>
    </xf>
    <xf numFmtId="3" fontId="111" fillId="16" borderId="54" xfId="2" applyNumberFormat="1" applyFont="1" applyFill="1" applyBorder="1" applyAlignment="1" applyProtection="1"/>
    <xf numFmtId="0" fontId="2" fillId="16" borderId="138" xfId="2" applyFont="1" applyFill="1" applyBorder="1" applyProtection="1">
      <protection hidden="1"/>
    </xf>
    <xf numFmtId="0" fontId="171" fillId="16" borderId="54" xfId="0" applyFont="1" applyFill="1" applyBorder="1" applyAlignment="1" applyProtection="1">
      <alignment horizontal="right" vertical="center"/>
    </xf>
    <xf numFmtId="0" fontId="171" fillId="0" borderId="138" xfId="0" applyFont="1" applyFill="1" applyBorder="1" applyAlignment="1" applyProtection="1">
      <alignment horizontal="right" vertical="center"/>
      <protection hidden="1"/>
    </xf>
    <xf numFmtId="0" fontId="171" fillId="0" borderId="213" xfId="0" applyFont="1" applyFill="1" applyBorder="1" applyAlignment="1" applyProtection="1">
      <alignment horizontal="right" vertical="center"/>
      <protection hidden="1"/>
    </xf>
    <xf numFmtId="0" fontId="171" fillId="16" borderId="234" xfId="0" applyFont="1" applyFill="1" applyBorder="1" applyAlignment="1" applyProtection="1">
      <alignment horizontal="right" vertical="center"/>
    </xf>
    <xf numFmtId="3" fontId="10" fillId="0" borderId="352" xfId="2" applyNumberFormat="1" applyFont="1" applyFill="1" applyBorder="1" applyAlignment="1" applyProtection="1">
      <alignment vertical="center"/>
      <protection locked="0"/>
    </xf>
    <xf numFmtId="3" fontId="10" fillId="0" borderId="163" xfId="2" applyNumberFormat="1" applyFont="1" applyFill="1" applyBorder="1" applyAlignment="1" applyProtection="1">
      <alignment vertical="center"/>
      <protection locked="0"/>
    </xf>
    <xf numFmtId="3" fontId="10" fillId="17" borderId="16" xfId="2" applyNumberFormat="1" applyFont="1" applyFill="1" applyBorder="1" applyProtection="1">
      <protection hidden="1"/>
    </xf>
    <xf numFmtId="3" fontId="9" fillId="17" borderId="30" xfId="2" applyNumberFormat="1" applyFont="1" applyFill="1" applyBorder="1" applyAlignment="1" applyProtection="1">
      <alignment horizontal="right"/>
    </xf>
    <xf numFmtId="3" fontId="10" fillId="0" borderId="134" xfId="2" applyNumberFormat="1" applyFont="1" applyFill="1" applyBorder="1" applyProtection="1">
      <protection locked="0"/>
    </xf>
    <xf numFmtId="3" fontId="108" fillId="0" borderId="0" xfId="2" applyNumberFormat="1" applyFont="1" applyFill="1" applyBorder="1" applyProtection="1">
      <protection hidden="1"/>
    </xf>
    <xf numFmtId="0" fontId="9" fillId="0" borderId="326" xfId="2" applyFont="1" applyFill="1" applyBorder="1" applyAlignment="1" applyProtection="1">
      <alignment vertical="center"/>
      <protection locked="0"/>
    </xf>
    <xf numFmtId="0" fontId="211" fillId="0" borderId="0" xfId="0" applyFont="1" applyFill="1" applyBorder="1" applyAlignment="1" applyProtection="1">
      <alignment textRotation="90"/>
    </xf>
    <xf numFmtId="0" fontId="1" fillId="0" borderId="364" xfId="2" applyFill="1" applyBorder="1"/>
    <xf numFmtId="0" fontId="1" fillId="0" borderId="364" xfId="2" applyFill="1" applyBorder="1" applyProtection="1">
      <protection locked="0"/>
    </xf>
    <xf numFmtId="3" fontId="10" fillId="0" borderId="362" xfId="2" applyNumberFormat="1" applyFont="1" applyFill="1" applyBorder="1" applyAlignment="1" applyProtection="1">
      <alignment vertical="center"/>
      <protection locked="0"/>
    </xf>
    <xf numFmtId="3" fontId="10" fillId="0" borderId="0" xfId="2" applyNumberFormat="1" applyFont="1" applyFill="1" applyBorder="1" applyProtection="1">
      <protection locked="0"/>
    </xf>
    <xf numFmtId="3" fontId="110" fillId="0" borderId="0" xfId="2" applyNumberFormat="1" applyFont="1" applyFill="1" applyBorder="1" applyAlignment="1" applyProtection="1">
      <alignment horizontal="center" vertical="center"/>
      <protection hidden="1"/>
    </xf>
    <xf numFmtId="3" fontId="115" fillId="0" borderId="0" xfId="2" applyNumberFormat="1" applyFont="1" applyFill="1" applyBorder="1" applyAlignment="1" applyProtection="1">
      <alignment horizontal="center"/>
    </xf>
    <xf numFmtId="0" fontId="7" fillId="0" borderId="0" xfId="2" applyFont="1" applyFill="1" applyBorder="1" applyAlignment="1" applyProtection="1">
      <alignment horizontal="center" vertical="center"/>
    </xf>
    <xf numFmtId="1" fontId="7" fillId="0" borderId="0" xfId="2" applyNumberFormat="1" applyFont="1" applyFill="1" applyBorder="1" applyAlignment="1" applyProtection="1">
      <alignment horizontal="center" vertical="center"/>
    </xf>
    <xf numFmtId="0" fontId="2" fillId="0" borderId="0" xfId="2" applyFont="1" applyFill="1" applyBorder="1" applyAlignment="1" applyProtection="1">
      <alignment horizontal="center"/>
    </xf>
    <xf numFmtId="3" fontId="10" fillId="0" borderId="362" xfId="2" applyNumberFormat="1" applyFont="1" applyFill="1" applyBorder="1" applyAlignment="1" applyProtection="1">
      <alignment vertical="center"/>
      <protection hidden="1"/>
    </xf>
    <xf numFmtId="3" fontId="10" fillId="0" borderId="0" xfId="2" applyNumberFormat="1" applyFont="1" applyFill="1" applyBorder="1" applyProtection="1"/>
    <xf numFmtId="164" fontId="9" fillId="0" borderId="0" xfId="2" applyNumberFormat="1" applyFont="1" applyFill="1" applyBorder="1" applyAlignment="1" applyProtection="1">
      <alignment horizontal="right"/>
    </xf>
    <xf numFmtId="3" fontId="9" fillId="0" borderId="0" xfId="2" applyNumberFormat="1" applyFont="1" applyFill="1" applyBorder="1" applyAlignment="1" applyProtection="1">
      <alignment horizontal="right"/>
    </xf>
    <xf numFmtId="3" fontId="2" fillId="0" borderId="0" xfId="2" applyNumberFormat="1" applyFont="1" applyFill="1" applyBorder="1" applyProtection="1"/>
    <xf numFmtId="3" fontId="10" fillId="0" borderId="0" xfId="2" applyNumberFormat="1" applyFont="1" applyFill="1" applyBorder="1" applyAlignment="1" applyProtection="1">
      <alignment wrapText="1"/>
      <protection hidden="1"/>
    </xf>
    <xf numFmtId="3" fontId="139" fillId="0" borderId="0" xfId="2" applyNumberFormat="1" applyFont="1" applyFill="1" applyBorder="1" applyAlignment="1" applyProtection="1">
      <alignment vertical="center"/>
      <protection hidden="1"/>
    </xf>
    <xf numFmtId="3" fontId="10" fillId="0" borderId="0" xfId="2" applyNumberFormat="1" applyFont="1" applyFill="1" applyBorder="1" applyAlignment="1" applyProtection="1">
      <alignment horizontal="right" vertical="center" wrapText="1"/>
    </xf>
    <xf numFmtId="1" fontId="10" fillId="0" borderId="0" xfId="2" applyNumberFormat="1" applyFont="1" applyFill="1" applyBorder="1" applyAlignment="1" applyProtection="1">
      <alignment vertical="center"/>
      <protection hidden="1"/>
    </xf>
    <xf numFmtId="3" fontId="107" fillId="0" borderId="0" xfId="0" applyNumberFormat="1" applyFont="1" applyFill="1" applyBorder="1" applyAlignment="1" applyProtection="1">
      <alignment vertical="center"/>
    </xf>
    <xf numFmtId="3" fontId="107" fillId="0" borderId="0" xfId="0" applyNumberFormat="1" applyFont="1" applyFill="1" applyBorder="1" applyAlignment="1" applyProtection="1">
      <alignment vertical="center"/>
      <protection hidden="1"/>
    </xf>
    <xf numFmtId="3" fontId="161" fillId="0" borderId="0" xfId="2" applyNumberFormat="1" applyFont="1" applyFill="1" applyBorder="1" applyAlignment="1" applyProtection="1">
      <alignment horizontal="center" vertical="center"/>
    </xf>
    <xf numFmtId="3" fontId="192" fillId="0" borderId="0" xfId="2" applyNumberFormat="1" applyFont="1" applyFill="1" applyBorder="1" applyAlignment="1" applyProtection="1">
      <alignment vertical="center"/>
      <protection hidden="1"/>
    </xf>
    <xf numFmtId="3" fontId="192" fillId="0" borderId="0" xfId="2" applyNumberFormat="1" applyFont="1" applyFill="1" applyBorder="1" applyAlignment="1" applyProtection="1">
      <alignment vertical="center"/>
    </xf>
    <xf numFmtId="0" fontId="9" fillId="0" borderId="0" xfId="2" applyFont="1" applyFill="1" applyProtection="1">
      <protection locked="0"/>
    </xf>
    <xf numFmtId="0" fontId="23" fillId="0" borderId="0" xfId="2" applyFont="1" applyFill="1" applyProtection="1">
      <protection locked="0"/>
    </xf>
    <xf numFmtId="0" fontId="4" fillId="0" borderId="11" xfId="2" applyFont="1" applyFill="1" applyBorder="1" applyAlignment="1" applyProtection="1">
      <alignment vertical="center"/>
    </xf>
    <xf numFmtId="0" fontId="7" fillId="0" borderId="11" xfId="2" applyFont="1" applyFill="1" applyBorder="1" applyAlignment="1" applyProtection="1">
      <alignment vertical="center"/>
    </xf>
    <xf numFmtId="0" fontId="2" fillId="0" borderId="11" xfId="2" applyFont="1" applyFill="1" applyBorder="1" applyAlignment="1" applyProtection="1">
      <alignment vertical="center"/>
    </xf>
    <xf numFmtId="9" fontId="7" fillId="0" borderId="365" xfId="12" applyNumberFormat="1" applyFont="1" applyFill="1" applyBorder="1" applyAlignment="1" applyProtection="1">
      <alignment horizontal="center"/>
      <protection locked="0"/>
    </xf>
    <xf numFmtId="9" fontId="7" fillId="0" borderId="322" xfId="12" applyNumberFormat="1" applyFont="1" applyFill="1" applyBorder="1" applyAlignment="1" applyProtection="1">
      <alignment horizontal="center"/>
      <protection locked="0"/>
    </xf>
    <xf numFmtId="0" fontId="68" fillId="0" borderId="0" xfId="0" applyFont="1" applyFill="1" applyBorder="1" applyAlignment="1" applyProtection="1"/>
    <xf numFmtId="3" fontId="9" fillId="24" borderId="302" xfId="2" applyNumberFormat="1" applyFont="1" applyFill="1" applyBorder="1" applyAlignment="1" applyProtection="1">
      <alignment vertical="center"/>
      <protection hidden="1"/>
    </xf>
    <xf numFmtId="0" fontId="212" fillId="17" borderId="17" xfId="2" applyFont="1" applyFill="1" applyBorder="1" applyAlignment="1" applyProtection="1">
      <alignment vertical="top"/>
    </xf>
    <xf numFmtId="0" fontId="213" fillId="17" borderId="17" xfId="2" applyFont="1" applyFill="1" applyBorder="1" applyProtection="1"/>
    <xf numFmtId="0" fontId="214" fillId="17" borderId="364" xfId="2" applyFont="1" applyFill="1" applyBorder="1" applyAlignment="1" applyProtection="1">
      <alignment horizontal="right"/>
    </xf>
    <xf numFmtId="0" fontId="158" fillId="0" borderId="361" xfId="2" applyFont="1" applyFill="1" applyBorder="1" applyAlignment="1">
      <alignment horizontal="center" vertical="center"/>
    </xf>
    <xf numFmtId="3" fontId="80" fillId="0" borderId="367" xfId="2" applyNumberFormat="1" applyFont="1" applyFill="1" applyBorder="1" applyAlignment="1" applyProtection="1">
      <alignment vertical="center"/>
      <protection locked="0"/>
    </xf>
    <xf numFmtId="3" fontId="10" fillId="17" borderId="361" xfId="2" applyNumberFormat="1" applyFont="1" applyFill="1" applyBorder="1" applyAlignment="1" applyProtection="1">
      <alignment vertical="center"/>
    </xf>
    <xf numFmtId="0" fontId="2" fillId="0" borderId="371" xfId="2" applyFont="1" applyFill="1" applyBorder="1" applyProtection="1">
      <protection hidden="1"/>
    </xf>
    <xf numFmtId="3" fontId="59" fillId="0" borderId="371" xfId="0" applyNumberFormat="1" applyFont="1" applyFill="1" applyBorder="1" applyAlignment="1" applyProtection="1">
      <alignment horizontal="center" vertical="center" wrapText="1"/>
      <protection hidden="1"/>
    </xf>
    <xf numFmtId="49" fontId="59" fillId="0" borderId="371" xfId="0" applyNumberFormat="1" applyFont="1" applyFill="1" applyBorder="1" applyAlignment="1" applyProtection="1">
      <alignment horizontal="right"/>
      <protection hidden="1"/>
    </xf>
    <xf numFmtId="3" fontId="10" fillId="0" borderId="371" xfId="2" applyNumberFormat="1" applyFont="1" applyFill="1" applyBorder="1" applyAlignment="1" applyProtection="1">
      <alignment vertical="center"/>
    </xf>
    <xf numFmtId="3" fontId="10" fillId="0" borderId="372" xfId="2" applyNumberFormat="1" applyFont="1" applyFill="1" applyBorder="1" applyAlignment="1" applyProtection="1">
      <alignment vertical="center"/>
    </xf>
    <xf numFmtId="3" fontId="10" fillId="0" borderId="375" xfId="2" applyNumberFormat="1" applyFont="1" applyFill="1" applyBorder="1" applyAlignment="1" applyProtection="1">
      <alignment vertical="center"/>
      <protection locked="0"/>
    </xf>
    <xf numFmtId="0" fontId="158" fillId="0" borderId="376" xfId="2" applyFont="1" applyFill="1" applyBorder="1" applyAlignment="1">
      <alignment horizontal="center" vertical="center"/>
    </xf>
    <xf numFmtId="3" fontId="59" fillId="0" borderId="0" xfId="0" applyNumberFormat="1" applyFont="1" applyFill="1" applyBorder="1" applyAlignment="1" applyProtection="1">
      <alignment horizontal="center" vertical="center" wrapText="1"/>
      <protection hidden="1"/>
    </xf>
    <xf numFmtId="49" fontId="59" fillId="0" borderId="0" xfId="0" applyNumberFormat="1" applyFont="1" applyFill="1" applyBorder="1" applyAlignment="1" applyProtection="1">
      <alignment horizontal="right"/>
      <protection hidden="1"/>
    </xf>
    <xf numFmtId="3" fontId="10" fillId="0" borderId="376" xfId="2" applyNumberFormat="1" applyFont="1" applyFill="1" applyBorder="1" applyAlignment="1" applyProtection="1">
      <alignment vertical="center"/>
    </xf>
    <xf numFmtId="3" fontId="10" fillId="17" borderId="351" xfId="2" applyNumberFormat="1" applyFont="1" applyFill="1" applyBorder="1" applyAlignment="1" applyProtection="1">
      <alignment vertical="center"/>
    </xf>
    <xf numFmtId="3" fontId="10" fillId="17" borderId="350" xfId="2" applyNumberFormat="1" applyFont="1" applyFill="1" applyBorder="1" applyAlignment="1" applyProtection="1">
      <alignment vertical="center"/>
    </xf>
    <xf numFmtId="0" fontId="158" fillId="0" borderId="382" xfId="2" applyFont="1" applyFill="1" applyBorder="1" applyAlignment="1">
      <alignment horizontal="center" vertical="center"/>
    </xf>
    <xf numFmtId="3" fontId="59" fillId="16" borderId="369" xfId="0" applyNumberFormat="1" applyFont="1" applyFill="1" applyBorder="1" applyAlignment="1" applyProtection="1">
      <alignment vertical="center"/>
      <protection hidden="1"/>
    </xf>
    <xf numFmtId="0" fontId="2" fillId="0" borderId="351" xfId="2" applyFont="1" applyFill="1" applyBorder="1" applyProtection="1">
      <protection hidden="1"/>
    </xf>
    <xf numFmtId="49" fontId="7" fillId="0" borderId="351" xfId="2" applyNumberFormat="1" applyFont="1" applyFill="1" applyBorder="1" applyAlignment="1" applyProtection="1">
      <alignment horizontal="right"/>
      <protection hidden="1"/>
    </xf>
    <xf numFmtId="3" fontId="10" fillId="0" borderId="371" xfId="2" applyNumberFormat="1" applyFont="1" applyFill="1" applyBorder="1" applyAlignment="1" applyProtection="1">
      <alignment vertical="center"/>
      <protection hidden="1"/>
    </xf>
    <xf numFmtId="3" fontId="10" fillId="0" borderId="351" xfId="2" applyNumberFormat="1" applyFont="1" applyFill="1" applyBorder="1" applyAlignment="1" applyProtection="1">
      <alignment vertical="center"/>
      <protection hidden="1"/>
    </xf>
    <xf numFmtId="9" fontId="7" fillId="49" borderId="23" xfId="2" applyNumberFormat="1" applyFont="1" applyFill="1" applyBorder="1" applyProtection="1">
      <protection hidden="1"/>
    </xf>
    <xf numFmtId="0" fontId="11" fillId="17" borderId="325" xfId="2" applyFont="1" applyFill="1" applyBorder="1" applyAlignment="1" applyProtection="1">
      <alignment horizontal="left" vertical="center"/>
    </xf>
    <xf numFmtId="0" fontId="11" fillId="17" borderId="369" xfId="2" applyFont="1" applyFill="1" applyBorder="1" applyAlignment="1" applyProtection="1">
      <alignment vertical="top"/>
    </xf>
    <xf numFmtId="0" fontId="1" fillId="17" borderId="369" xfId="2" applyFont="1" applyFill="1" applyBorder="1" applyProtection="1"/>
    <xf numFmtId="9" fontId="6" fillId="17" borderId="74" xfId="2" applyNumberFormat="1" applyFont="1" applyFill="1" applyBorder="1" applyAlignment="1" applyProtection="1">
      <alignment horizontal="center" vertical="center"/>
      <protection locked="0" hidden="1"/>
    </xf>
    <xf numFmtId="0" fontId="4" fillId="17" borderId="369" xfId="2" applyFont="1" applyFill="1" applyBorder="1" applyProtection="1"/>
    <xf numFmtId="0" fontId="1" fillId="0" borderId="351" xfId="2" applyFill="1" applyBorder="1" applyProtection="1">
      <protection hidden="1"/>
    </xf>
    <xf numFmtId="3" fontId="10" fillId="0" borderId="364" xfId="2" applyNumberFormat="1" applyFont="1" applyFill="1" applyBorder="1" applyAlignment="1" applyProtection="1">
      <alignment vertical="center"/>
      <protection hidden="1"/>
    </xf>
    <xf numFmtId="0" fontId="11" fillId="17" borderId="371" xfId="2" applyFont="1" applyFill="1" applyBorder="1" applyAlignment="1" applyProtection="1">
      <alignment horizontal="left" vertical="center"/>
    </xf>
    <xf numFmtId="0" fontId="4" fillId="17" borderId="371" xfId="2" applyFont="1" applyFill="1" applyBorder="1" applyProtection="1"/>
    <xf numFmtId="9" fontId="7" fillId="17" borderId="371" xfId="2" applyNumberFormat="1" applyFont="1" applyFill="1" applyBorder="1" applyAlignment="1" applyProtection="1">
      <alignment horizontal="center"/>
    </xf>
    <xf numFmtId="0" fontId="1" fillId="17" borderId="371" xfId="2" applyFont="1" applyFill="1" applyBorder="1" applyAlignment="1" applyProtection="1"/>
    <xf numFmtId="0" fontId="11" fillId="17" borderId="351" xfId="2" applyFont="1" applyFill="1" applyBorder="1" applyAlignment="1" applyProtection="1">
      <alignment horizontal="left"/>
    </xf>
    <xf numFmtId="0" fontId="2" fillId="17" borderId="351" xfId="2" applyFont="1" applyFill="1" applyBorder="1" applyProtection="1"/>
    <xf numFmtId="0" fontId="7" fillId="17" borderId="351" xfId="2" applyFont="1" applyFill="1" applyBorder="1" applyAlignment="1" applyProtection="1">
      <alignment horizontal="right"/>
    </xf>
    <xf numFmtId="0" fontId="11" fillId="17" borderId="384" xfId="2" applyFont="1" applyFill="1" applyBorder="1" applyAlignment="1" applyProtection="1">
      <alignment vertical="center"/>
    </xf>
    <xf numFmtId="0" fontId="11" fillId="17" borderId="353" xfId="2" applyFont="1" applyFill="1" applyBorder="1" applyAlignment="1" applyProtection="1">
      <alignment vertical="center"/>
    </xf>
    <xf numFmtId="0" fontId="4" fillId="17" borderId="385" xfId="2" applyFont="1" applyFill="1" applyBorder="1" applyProtection="1"/>
    <xf numFmtId="3" fontId="10" fillId="0" borderId="386" xfId="2" applyNumberFormat="1" applyFont="1" applyFill="1" applyBorder="1" applyAlignment="1" applyProtection="1">
      <alignment vertical="center"/>
      <protection locked="0"/>
    </xf>
    <xf numFmtId="0" fontId="16" fillId="17" borderId="362" xfId="2" applyFont="1" applyFill="1" applyBorder="1" applyAlignment="1" applyProtection="1">
      <alignment horizontal="left" indent="1"/>
    </xf>
    <xf numFmtId="0" fontId="16" fillId="17" borderId="387" xfId="2" applyFont="1" applyFill="1" applyBorder="1" applyAlignment="1" applyProtection="1">
      <alignment horizontal="left" indent="1"/>
    </xf>
    <xf numFmtId="0" fontId="11" fillId="17" borderId="3" xfId="2" applyFont="1" applyFill="1" applyBorder="1" applyAlignment="1" applyProtection="1">
      <protection hidden="1"/>
    </xf>
    <xf numFmtId="0" fontId="11" fillId="17" borderId="0" xfId="2" applyFont="1" applyFill="1" applyBorder="1" applyAlignment="1" applyProtection="1">
      <protection hidden="1"/>
    </xf>
    <xf numFmtId="0" fontId="11" fillId="17" borderId="7" xfId="2" applyFont="1" applyFill="1" applyBorder="1" applyAlignment="1" applyProtection="1">
      <protection hidden="1"/>
    </xf>
    <xf numFmtId="0" fontId="11" fillId="17" borderId="4" xfId="2" applyFont="1" applyFill="1" applyBorder="1" applyAlignment="1" applyProtection="1">
      <protection hidden="1"/>
    </xf>
    <xf numFmtId="3" fontId="10" fillId="17" borderId="30" xfId="2" applyNumberFormat="1" applyFont="1" applyFill="1" applyBorder="1" applyAlignment="1" applyProtection="1">
      <alignment vertical="center" wrapText="1"/>
    </xf>
    <xf numFmtId="0" fontId="158" fillId="0" borderId="388" xfId="2" applyFont="1" applyFill="1" applyBorder="1" applyAlignment="1">
      <alignment horizontal="center" vertical="center"/>
    </xf>
    <xf numFmtId="9" fontId="7" fillId="16" borderId="288" xfId="2" applyNumberFormat="1" applyFont="1" applyFill="1" applyBorder="1" applyAlignment="1" applyProtection="1">
      <alignment horizontal="center"/>
      <protection locked="0" hidden="1"/>
    </xf>
    <xf numFmtId="0" fontId="1" fillId="0" borderId="362" xfId="2" applyBorder="1" applyProtection="1"/>
    <xf numFmtId="0" fontId="59" fillId="17" borderId="198" xfId="0" applyFont="1" applyFill="1" applyBorder="1" applyAlignment="1" applyProtection="1">
      <alignment horizontal="center" vertical="center"/>
    </xf>
    <xf numFmtId="0" fontId="59" fillId="17" borderId="199" xfId="0" applyFont="1" applyFill="1" applyBorder="1" applyAlignment="1" applyProtection="1">
      <alignment horizontal="center" vertical="center"/>
    </xf>
    <xf numFmtId="3" fontId="115" fillId="17" borderId="41" xfId="2" applyNumberFormat="1" applyFont="1" applyFill="1" applyBorder="1" applyAlignment="1" applyProtection="1">
      <alignment horizontal="center"/>
      <protection locked="0"/>
    </xf>
    <xf numFmtId="0" fontId="7" fillId="15" borderId="332" xfId="2" applyFont="1" applyFill="1" applyBorder="1" applyAlignment="1" applyProtection="1">
      <alignment horizontal="center" vertical="center"/>
      <protection locked="0"/>
    </xf>
    <xf numFmtId="0" fontId="7" fillId="15" borderId="46" xfId="2" applyFont="1" applyFill="1" applyBorder="1" applyAlignment="1" applyProtection="1">
      <alignment horizontal="center" vertical="center"/>
      <protection locked="0"/>
    </xf>
    <xf numFmtId="0" fontId="7" fillId="15" borderId="59" xfId="2" applyFont="1" applyFill="1" applyBorder="1" applyAlignment="1" applyProtection="1">
      <alignment horizontal="center" vertical="center"/>
      <protection locked="0"/>
    </xf>
    <xf numFmtId="0" fontId="7" fillId="3" borderId="46" xfId="2" applyFont="1" applyFill="1" applyBorder="1" applyAlignment="1" applyProtection="1">
      <alignment horizontal="center" vertical="center"/>
      <protection locked="0"/>
    </xf>
    <xf numFmtId="3" fontId="7" fillId="3" borderId="46" xfId="2" applyNumberFormat="1" applyFont="1" applyFill="1" applyBorder="1" applyAlignment="1" applyProtection="1">
      <alignment horizontal="center" vertical="center"/>
      <protection locked="0"/>
    </xf>
    <xf numFmtId="0" fontId="7" fillId="3" borderId="47" xfId="2" applyFont="1" applyFill="1" applyBorder="1" applyAlignment="1" applyProtection="1">
      <alignment horizontal="center" vertical="center"/>
      <protection locked="0"/>
    </xf>
    <xf numFmtId="3" fontId="7" fillId="15" borderId="43" xfId="2" applyNumberFormat="1" applyFont="1" applyFill="1" applyBorder="1" applyAlignment="1" applyProtection="1">
      <alignment horizontal="center" vertical="center"/>
      <protection locked="0"/>
    </xf>
    <xf numFmtId="0" fontId="7" fillId="18" borderId="43" xfId="2" applyFont="1" applyFill="1" applyBorder="1" applyAlignment="1" applyProtection="1">
      <alignment horizontal="center" vertical="center"/>
      <protection locked="0"/>
    </xf>
    <xf numFmtId="3" fontId="7" fillId="3" borderId="43" xfId="2" applyNumberFormat="1" applyFont="1" applyFill="1" applyBorder="1" applyAlignment="1" applyProtection="1">
      <alignment horizontal="center" vertical="center"/>
      <protection locked="0"/>
    </xf>
    <xf numFmtId="0" fontId="7" fillId="3" borderId="43" xfId="2" applyFont="1" applyFill="1" applyBorder="1" applyAlignment="1" applyProtection="1">
      <alignment horizontal="center" vertical="center"/>
      <protection locked="0"/>
    </xf>
    <xf numFmtId="0" fontId="7" fillId="3" borderId="16" xfId="2" applyFont="1" applyFill="1" applyBorder="1" applyAlignment="1" applyProtection="1">
      <alignment horizontal="center" vertical="center"/>
      <protection locked="0"/>
    </xf>
    <xf numFmtId="3" fontId="193" fillId="17" borderId="32" xfId="2" applyNumberFormat="1" applyFont="1" applyFill="1" applyBorder="1" applyAlignment="1" applyProtection="1">
      <alignment horizontal="center" vertical="center"/>
      <protection locked="0"/>
    </xf>
    <xf numFmtId="3" fontId="193" fillId="17" borderId="17" xfId="2" applyNumberFormat="1" applyFont="1" applyFill="1" applyBorder="1" applyAlignment="1" applyProtection="1">
      <alignment horizontal="center" vertical="center"/>
      <protection locked="0"/>
    </xf>
    <xf numFmtId="3" fontId="10" fillId="17" borderId="30" xfId="2" applyNumberFormat="1" applyFont="1" applyFill="1" applyBorder="1" applyAlignment="1" applyProtection="1">
      <alignment vertical="center"/>
      <protection locked="0"/>
    </xf>
    <xf numFmtId="0" fontId="12" fillId="0" borderId="0" xfId="2" applyFont="1" applyAlignment="1">
      <alignment horizontal="left" vertical="top" indent="1"/>
    </xf>
    <xf numFmtId="0" fontId="39" fillId="17" borderId="0" xfId="1" applyFont="1" applyFill="1" applyAlignment="1" applyProtection="1"/>
    <xf numFmtId="0" fontId="29" fillId="0" borderId="0" xfId="2" applyFont="1" applyFill="1" applyBorder="1" applyAlignment="1" applyProtection="1">
      <alignment vertical="center"/>
    </xf>
    <xf numFmtId="3" fontId="10" fillId="17" borderId="371" xfId="2" applyNumberFormat="1" applyFont="1" applyFill="1" applyBorder="1" applyAlignment="1" applyProtection="1">
      <alignment vertical="center"/>
      <protection locked="0"/>
    </xf>
    <xf numFmtId="3" fontId="10" fillId="17" borderId="372" xfId="2" applyNumberFormat="1" applyFont="1" applyFill="1" applyBorder="1" applyAlignment="1" applyProtection="1">
      <alignment vertical="center"/>
      <protection hidden="1"/>
    </xf>
    <xf numFmtId="3" fontId="192" fillId="17" borderId="43" xfId="2" applyNumberFormat="1" applyFont="1" applyFill="1" applyBorder="1" applyAlignment="1" applyProtection="1">
      <alignment vertical="center"/>
    </xf>
    <xf numFmtId="3" fontId="80" fillId="17" borderId="371" xfId="2" applyNumberFormat="1" applyFont="1" applyFill="1" applyBorder="1" applyAlignment="1" applyProtection="1">
      <alignment vertical="center"/>
    </xf>
    <xf numFmtId="0" fontId="39" fillId="17" borderId="371" xfId="1" applyFont="1" applyFill="1" applyBorder="1" applyAlignment="1" applyProtection="1"/>
    <xf numFmtId="0" fontId="7" fillId="17" borderId="13" xfId="2" applyFont="1" applyFill="1" applyBorder="1" applyAlignment="1" applyProtection="1">
      <alignment vertical="center"/>
    </xf>
    <xf numFmtId="0" fontId="59" fillId="17" borderId="1" xfId="0" applyFont="1" applyFill="1" applyBorder="1" applyAlignment="1" applyProtection="1">
      <alignment horizontal="right" vertical="center"/>
    </xf>
    <xf numFmtId="0" fontId="39" fillId="17" borderId="395" xfId="1" applyFont="1" applyFill="1" applyBorder="1" applyAlignment="1" applyProtection="1"/>
    <xf numFmtId="0" fontId="11" fillId="16" borderId="0" xfId="2" applyFont="1" applyFill="1" applyBorder="1" applyAlignment="1">
      <alignment wrapText="1"/>
    </xf>
    <xf numFmtId="0" fontId="11" fillId="16" borderId="364" xfId="2" applyFont="1" applyFill="1" applyBorder="1" applyAlignment="1">
      <alignment wrapText="1"/>
    </xf>
    <xf numFmtId="0" fontId="136" fillId="0" borderId="0" xfId="2" applyFont="1" applyAlignment="1">
      <alignment vertical="center"/>
    </xf>
    <xf numFmtId="0" fontId="216" fillId="17" borderId="388" xfId="2" applyFont="1" applyFill="1" applyBorder="1" applyAlignment="1" applyProtection="1">
      <alignment vertical="center"/>
      <protection locked="0"/>
    </xf>
    <xf numFmtId="0" fontId="7" fillId="17" borderId="2" xfId="2" applyFont="1" applyFill="1" applyBorder="1" applyAlignment="1" applyProtection="1">
      <alignment horizontal="center"/>
    </xf>
    <xf numFmtId="0" fontId="7" fillId="17" borderId="350" xfId="2" applyFont="1" applyFill="1" applyBorder="1" applyAlignment="1" applyProtection="1">
      <alignment horizontal="center"/>
    </xf>
    <xf numFmtId="0" fontId="7" fillId="17" borderId="2" xfId="2" applyFont="1" applyFill="1" applyBorder="1" applyAlignment="1" applyProtection="1">
      <alignment horizontal="center" vertical="top"/>
    </xf>
    <xf numFmtId="0" fontId="39" fillId="17" borderId="0" xfId="1" applyFont="1" applyFill="1" applyBorder="1" applyAlignment="1" applyProtection="1">
      <protection locked="0"/>
    </xf>
    <xf numFmtId="0" fontId="17" fillId="16" borderId="0" xfId="2" applyFont="1" applyFill="1" applyBorder="1" applyAlignment="1" applyProtection="1">
      <alignment horizontal="left" vertical="center"/>
      <protection hidden="1"/>
    </xf>
    <xf numFmtId="0" fontId="11" fillId="17" borderId="363" xfId="2" applyFont="1" applyFill="1" applyBorder="1" applyAlignment="1" applyProtection="1">
      <alignment horizontal="left" indent="1"/>
    </xf>
    <xf numFmtId="3" fontId="10" fillId="17" borderId="364" xfId="2" applyNumberFormat="1" applyFont="1" applyFill="1" applyBorder="1" applyAlignment="1" applyProtection="1">
      <alignment vertical="center"/>
    </xf>
    <xf numFmtId="3" fontId="10" fillId="0" borderId="396" xfId="2" applyNumberFormat="1" applyFont="1" applyFill="1" applyBorder="1" applyAlignment="1" applyProtection="1">
      <alignment vertical="center"/>
      <protection locked="0"/>
    </xf>
    <xf numFmtId="3" fontId="10" fillId="0" borderId="397" xfId="2" applyNumberFormat="1" applyFont="1" applyFill="1" applyBorder="1" applyAlignment="1" applyProtection="1">
      <alignment vertical="center"/>
      <protection locked="0"/>
    </xf>
    <xf numFmtId="3" fontId="10" fillId="0" borderId="398" xfId="2" applyNumberFormat="1" applyFont="1" applyFill="1" applyBorder="1" applyAlignment="1" applyProtection="1">
      <alignment vertical="center"/>
      <protection locked="0"/>
    </xf>
    <xf numFmtId="3" fontId="10" fillId="0" borderId="399" xfId="2" applyNumberFormat="1" applyFont="1" applyFill="1" applyBorder="1" applyAlignment="1" applyProtection="1">
      <alignment vertical="center"/>
      <protection locked="0"/>
    </xf>
    <xf numFmtId="0" fontId="16" fillId="17" borderId="13" xfId="2" applyFont="1" applyFill="1" applyBorder="1" applyAlignment="1" applyProtection="1">
      <alignment horizontal="left"/>
      <protection hidden="1"/>
    </xf>
    <xf numFmtId="0" fontId="116" fillId="17" borderId="362" xfId="2" applyFont="1" applyFill="1" applyBorder="1" applyAlignment="1" applyProtection="1">
      <alignment horizontal="left"/>
    </xf>
    <xf numFmtId="0" fontId="1" fillId="17" borderId="0" xfId="2" applyFill="1" applyBorder="1" applyAlignment="1" applyProtection="1">
      <alignment horizontal="left"/>
    </xf>
    <xf numFmtId="0" fontId="1" fillId="17" borderId="362" xfId="2" applyFill="1" applyBorder="1" applyAlignment="1" applyProtection="1"/>
    <xf numFmtId="0" fontId="2" fillId="0" borderId="369" xfId="2" applyFont="1" applyFill="1" applyBorder="1" applyProtection="1"/>
    <xf numFmtId="0" fontId="59" fillId="17" borderId="369" xfId="0" applyFont="1" applyFill="1" applyBorder="1" applyAlignment="1" applyProtection="1">
      <alignment horizontal="right" vertical="center"/>
    </xf>
    <xf numFmtId="164" fontId="59" fillId="0" borderId="403" xfId="0" applyNumberFormat="1" applyFont="1" applyFill="1" applyBorder="1" applyAlignment="1" applyProtection="1">
      <alignment horizontal="center" vertical="center" wrapText="1"/>
      <protection locked="0"/>
    </xf>
    <xf numFmtId="3" fontId="10" fillId="0" borderId="404" xfId="2" applyNumberFormat="1" applyFont="1" applyFill="1" applyBorder="1" applyAlignment="1" applyProtection="1">
      <alignment vertical="center"/>
      <protection locked="0"/>
    </xf>
    <xf numFmtId="0" fontId="11" fillId="0" borderId="32" xfId="2" applyFont="1" applyFill="1" applyBorder="1" applyAlignment="1" applyProtection="1">
      <alignment horizontal="left" vertical="center"/>
    </xf>
    <xf numFmtId="49" fontId="59" fillId="0" borderId="371" xfId="0" applyNumberFormat="1" applyFont="1" applyFill="1" applyBorder="1" applyAlignment="1" applyProtection="1">
      <alignment horizontal="right" vertical="center" wrapText="1"/>
    </xf>
    <xf numFmtId="49" fontId="59" fillId="0" borderId="371" xfId="0" applyNumberFormat="1" applyFont="1" applyFill="1" applyBorder="1" applyAlignment="1" applyProtection="1">
      <alignment horizontal="center" vertical="center" wrapText="1"/>
    </xf>
    <xf numFmtId="3" fontId="111" fillId="0" borderId="371" xfId="2" applyNumberFormat="1" applyFont="1" applyFill="1" applyBorder="1" applyAlignment="1" applyProtection="1">
      <alignment horizontal="right"/>
    </xf>
    <xf numFmtId="3" fontId="111" fillId="0" borderId="371" xfId="2" applyNumberFormat="1" applyFont="1" applyFill="1" applyBorder="1" applyAlignment="1" applyProtection="1"/>
    <xf numFmtId="0" fontId="11" fillId="17" borderId="369" xfId="0" applyFont="1" applyFill="1" applyBorder="1" applyAlignment="1" applyProtection="1">
      <alignment horizontal="left" vertical="center"/>
    </xf>
    <xf numFmtId="0" fontId="217" fillId="0" borderId="23" xfId="2" applyNumberFormat="1" applyFont="1" applyBorder="1" applyProtection="1">
      <protection hidden="1"/>
    </xf>
    <xf numFmtId="1" fontId="217" fillId="0" borderId="23" xfId="2" applyNumberFormat="1" applyFont="1" applyBorder="1" applyProtection="1">
      <protection hidden="1"/>
    </xf>
    <xf numFmtId="165" fontId="217" fillId="0" borderId="23" xfId="2" applyNumberFormat="1" applyFont="1" applyBorder="1" applyProtection="1">
      <protection hidden="1"/>
    </xf>
    <xf numFmtId="168" fontId="217" fillId="0" borderId="23" xfId="2" applyNumberFormat="1" applyFont="1" applyBorder="1" applyProtection="1">
      <protection hidden="1"/>
    </xf>
    <xf numFmtId="9" fontId="217" fillId="0" borderId="23" xfId="2" applyNumberFormat="1" applyFont="1" applyBorder="1" applyProtection="1">
      <protection hidden="1"/>
    </xf>
    <xf numFmtId="9" fontId="7" fillId="17" borderId="288" xfId="2" applyNumberFormat="1" applyFont="1" applyFill="1" applyBorder="1" applyAlignment="1" applyProtection="1">
      <alignment horizontal="center" vertical="center"/>
      <protection hidden="1"/>
    </xf>
    <xf numFmtId="0" fontId="159" fillId="42" borderId="388" xfId="2" applyFont="1" applyFill="1" applyBorder="1" applyAlignment="1">
      <alignment horizontal="center" vertical="center"/>
    </xf>
    <xf numFmtId="3" fontId="10" fillId="17" borderId="405" xfId="2" applyNumberFormat="1" applyFont="1" applyFill="1" applyBorder="1" applyAlignment="1" applyProtection="1">
      <protection locked="0"/>
    </xf>
    <xf numFmtId="0" fontId="7" fillId="0" borderId="302" xfId="2" applyFont="1" applyBorder="1" applyAlignment="1" applyProtection="1">
      <alignment horizontal="center"/>
      <protection hidden="1"/>
    </xf>
    <xf numFmtId="1" fontId="9" fillId="0" borderId="302" xfId="2" applyNumberFormat="1" applyFont="1" applyBorder="1" applyAlignment="1" applyProtection="1">
      <alignment horizontal="center"/>
      <protection hidden="1"/>
    </xf>
    <xf numFmtId="9" fontId="7" fillId="5" borderId="40" xfId="12" applyNumberFormat="1" applyFont="1" applyFill="1" applyBorder="1" applyAlignment="1" applyProtection="1">
      <alignment horizontal="center"/>
      <protection hidden="1"/>
    </xf>
    <xf numFmtId="3" fontId="63" fillId="27" borderId="43" xfId="0" applyNumberFormat="1" applyFont="1" applyFill="1" applyBorder="1" applyProtection="1">
      <protection hidden="1"/>
    </xf>
    <xf numFmtId="3" fontId="63" fillId="27" borderId="23" xfId="0" applyNumberFormat="1" applyFont="1" applyFill="1" applyBorder="1" applyProtection="1">
      <protection hidden="1"/>
    </xf>
    <xf numFmtId="3" fontId="9" fillId="27" borderId="23" xfId="0" applyNumberFormat="1" applyFont="1" applyFill="1" applyBorder="1" applyProtection="1">
      <protection hidden="1"/>
    </xf>
    <xf numFmtId="3" fontId="63" fillId="27" borderId="41" xfId="0" applyNumberFormat="1" applyFont="1" applyFill="1" applyBorder="1" applyProtection="1">
      <protection hidden="1"/>
    </xf>
    <xf numFmtId="3" fontId="63" fillId="20" borderId="23" xfId="0" applyNumberFormat="1" applyFont="1" applyFill="1" applyBorder="1" applyProtection="1">
      <protection hidden="1"/>
    </xf>
    <xf numFmtId="0" fontId="11" fillId="0" borderId="406" xfId="2" applyFont="1" applyFill="1" applyBorder="1" applyAlignment="1" applyProtection="1">
      <alignment vertical="top"/>
      <protection locked="0"/>
    </xf>
    <xf numFmtId="0" fontId="11" fillId="0" borderId="407" xfId="2" applyFont="1" applyFill="1" applyBorder="1" applyAlignment="1" applyProtection="1">
      <alignment vertical="top"/>
      <protection locked="0"/>
    </xf>
    <xf numFmtId="9" fontId="7" fillId="7" borderId="40" xfId="12" applyNumberFormat="1" applyFont="1" applyFill="1" applyBorder="1" applyAlignment="1" applyProtection="1">
      <alignment horizontal="center"/>
      <protection hidden="1"/>
    </xf>
    <xf numFmtId="3" fontId="63" fillId="30" borderId="23" xfId="0" applyNumberFormat="1" applyFont="1" applyFill="1" applyBorder="1" applyProtection="1">
      <protection hidden="1"/>
    </xf>
    <xf numFmtId="0" fontId="17" fillId="17" borderId="383" xfId="2" applyFont="1" applyFill="1" applyBorder="1" applyAlignment="1" applyProtection="1">
      <alignment horizontal="left"/>
    </xf>
    <xf numFmtId="9" fontId="7" fillId="0" borderId="360" xfId="12" applyNumberFormat="1" applyFont="1" applyFill="1" applyBorder="1" applyAlignment="1" applyProtection="1">
      <alignment horizontal="center"/>
      <protection locked="0"/>
    </xf>
    <xf numFmtId="3" fontId="10" fillId="0" borderId="367" xfId="2" applyNumberFormat="1" applyFont="1" applyFill="1" applyBorder="1" applyAlignment="1" applyProtection="1">
      <alignment vertical="center"/>
      <protection locked="0"/>
    </xf>
    <xf numFmtId="3" fontId="11" fillId="17" borderId="383" xfId="2" applyNumberFormat="1" applyFont="1" applyFill="1" applyBorder="1" applyAlignment="1" applyProtection="1">
      <alignment horizontal="left" vertical="center" indent="1"/>
    </xf>
    <xf numFmtId="3" fontId="11" fillId="17" borderId="351" xfId="2" applyNumberFormat="1" applyFont="1" applyFill="1" applyBorder="1" applyAlignment="1" applyProtection="1">
      <alignment vertical="center"/>
    </xf>
    <xf numFmtId="3" fontId="11" fillId="17" borderId="0" xfId="2" applyNumberFormat="1" applyFont="1" applyFill="1" applyBorder="1" applyAlignment="1" applyProtection="1">
      <alignment vertical="center"/>
    </xf>
    <xf numFmtId="3" fontId="10" fillId="17" borderId="388" xfId="2" applyNumberFormat="1" applyFont="1" applyFill="1" applyBorder="1" applyAlignment="1" applyProtection="1">
      <alignment vertical="center"/>
    </xf>
    <xf numFmtId="0" fontId="170" fillId="0" borderId="181" xfId="2" applyFont="1" applyFill="1" applyBorder="1" applyAlignment="1" applyProtection="1">
      <alignment horizontal="left"/>
      <protection locked="0"/>
    </xf>
    <xf numFmtId="0" fontId="11" fillId="16" borderId="408" xfId="2" applyFont="1" applyFill="1" applyBorder="1" applyProtection="1"/>
    <xf numFmtId="0" fontId="11" fillId="16" borderId="181" xfId="2" applyFont="1" applyFill="1" applyBorder="1" applyAlignment="1" applyProtection="1">
      <alignment horizontal="right"/>
    </xf>
    <xf numFmtId="0" fontId="171" fillId="16" borderId="181" xfId="0" applyFont="1" applyFill="1" applyBorder="1" applyAlignment="1" applyProtection="1">
      <alignment horizontal="right" vertical="center"/>
    </xf>
    <xf numFmtId="0" fontId="11" fillId="17" borderId="362" xfId="2" applyFont="1" applyFill="1" applyBorder="1" applyAlignment="1" applyProtection="1">
      <alignment horizontal="left" indent="1"/>
    </xf>
    <xf numFmtId="0" fontId="12" fillId="17" borderId="362" xfId="2" applyFont="1" applyFill="1" applyBorder="1" applyProtection="1"/>
    <xf numFmtId="0" fontId="11" fillId="17" borderId="362" xfId="2" applyFont="1" applyFill="1" applyBorder="1" applyAlignment="1" applyProtection="1"/>
    <xf numFmtId="0" fontId="7" fillId="17" borderId="388" xfId="2" applyFont="1" applyFill="1" applyBorder="1" applyAlignment="1" applyProtection="1">
      <alignment horizontal="center"/>
    </xf>
    <xf numFmtId="3" fontId="7" fillId="0" borderId="362" xfId="2" applyNumberFormat="1" applyFont="1" applyFill="1" applyBorder="1" applyProtection="1">
      <protection locked="0"/>
    </xf>
    <xf numFmtId="0" fontId="11" fillId="17" borderId="362" xfId="2" applyFont="1" applyFill="1" applyBorder="1" applyAlignment="1" applyProtection="1">
      <alignment horizontal="left" vertical="center"/>
      <protection hidden="1"/>
    </xf>
    <xf numFmtId="3" fontId="9" fillId="15" borderId="343" xfId="2" applyNumberFormat="1" applyFont="1" applyFill="1" applyBorder="1" applyAlignment="1" applyProtection="1">
      <alignment vertical="center"/>
      <protection hidden="1"/>
    </xf>
    <xf numFmtId="3" fontId="9" fillId="3" borderId="343" xfId="2" applyNumberFormat="1" applyFont="1" applyFill="1" applyBorder="1" applyAlignment="1" applyProtection="1">
      <alignment vertical="center"/>
      <protection hidden="1"/>
    </xf>
    <xf numFmtId="3" fontId="10" fillId="17" borderId="409" xfId="2" applyNumberFormat="1" applyFont="1" applyFill="1" applyBorder="1" applyAlignment="1" applyProtection="1">
      <alignment vertical="center"/>
      <protection hidden="1"/>
    </xf>
    <xf numFmtId="0" fontId="11" fillId="17" borderId="362" xfId="2" applyFont="1" applyFill="1" applyBorder="1" applyProtection="1"/>
    <xf numFmtId="49" fontId="11" fillId="17" borderId="388" xfId="2" applyNumberFormat="1" applyFont="1" applyFill="1" applyBorder="1" applyProtection="1"/>
    <xf numFmtId="0" fontId="11" fillId="17" borderId="388" xfId="2" applyNumberFormat="1" applyFont="1" applyFill="1" applyBorder="1" applyAlignment="1" applyProtection="1">
      <alignment vertical="center"/>
    </xf>
    <xf numFmtId="3" fontId="10" fillId="17" borderId="319" xfId="2" applyNumberFormat="1" applyFont="1" applyFill="1" applyBorder="1" applyAlignment="1" applyProtection="1">
      <alignment vertical="center"/>
    </xf>
    <xf numFmtId="3" fontId="10" fillId="17" borderId="347" xfId="2" applyNumberFormat="1" applyFont="1" applyFill="1" applyBorder="1" applyAlignment="1" applyProtection="1">
      <alignment vertical="center"/>
    </xf>
    <xf numFmtId="3" fontId="10" fillId="17" borderId="52" xfId="2" applyNumberFormat="1" applyFont="1" applyFill="1" applyBorder="1" applyAlignment="1" applyProtection="1">
      <alignment vertical="center"/>
    </xf>
    <xf numFmtId="3" fontId="10" fillId="17" borderId="102" xfId="2" applyNumberFormat="1" applyFont="1" applyFill="1" applyBorder="1" applyAlignment="1" applyProtection="1">
      <alignment vertical="center"/>
    </xf>
    <xf numFmtId="3" fontId="10" fillId="17" borderId="114" xfId="2" applyNumberFormat="1" applyFont="1" applyFill="1" applyBorder="1" applyAlignment="1" applyProtection="1">
      <alignment vertical="center"/>
    </xf>
    <xf numFmtId="3" fontId="10" fillId="17" borderId="53" xfId="2" applyNumberFormat="1" applyFont="1" applyFill="1" applyBorder="1" applyAlignment="1" applyProtection="1">
      <alignment vertical="center"/>
    </xf>
    <xf numFmtId="3" fontId="10" fillId="17" borderId="62" xfId="2" applyNumberFormat="1" applyFont="1" applyFill="1" applyBorder="1" applyAlignment="1" applyProtection="1">
      <alignment vertical="center"/>
    </xf>
    <xf numFmtId="3" fontId="10" fillId="17" borderId="69" xfId="2" applyNumberFormat="1" applyFont="1" applyFill="1" applyBorder="1" applyAlignment="1" applyProtection="1">
      <alignment vertical="center"/>
    </xf>
    <xf numFmtId="3" fontId="10" fillId="17" borderId="23" xfId="2" applyNumberFormat="1" applyFont="1" applyFill="1" applyBorder="1" applyAlignment="1" applyProtection="1">
      <alignment vertical="center"/>
    </xf>
    <xf numFmtId="3" fontId="218" fillId="17" borderId="409" xfId="2" applyNumberFormat="1" applyFont="1" applyFill="1" applyBorder="1" applyAlignment="1" applyProtection="1">
      <alignment horizontal="right" vertical="center"/>
    </xf>
    <xf numFmtId="3" fontId="218" fillId="17" borderId="58" xfId="2" applyNumberFormat="1" applyFont="1" applyFill="1" applyBorder="1" applyProtection="1"/>
    <xf numFmtId="3" fontId="218" fillId="17" borderId="52" xfId="2" applyNumberFormat="1" applyFont="1" applyFill="1" applyBorder="1" applyProtection="1"/>
    <xf numFmtId="3" fontId="161" fillId="17" borderId="58" xfId="2" applyNumberFormat="1" applyFont="1" applyFill="1" applyBorder="1" applyProtection="1"/>
    <xf numFmtId="0" fontId="2" fillId="0" borderId="0" xfId="2" applyFont="1" applyAlignment="1" applyProtection="1">
      <alignment vertical="center"/>
    </xf>
    <xf numFmtId="0" fontId="164" fillId="0" borderId="0" xfId="2" applyFont="1" applyFill="1" applyProtection="1"/>
    <xf numFmtId="3" fontId="10" fillId="17" borderId="319" xfId="2" applyNumberFormat="1" applyFont="1" applyFill="1" applyBorder="1" applyProtection="1"/>
    <xf numFmtId="3" fontId="10" fillId="17" borderId="264" xfId="2" applyNumberFormat="1" applyFont="1" applyFill="1" applyBorder="1" applyProtection="1"/>
    <xf numFmtId="3" fontId="218" fillId="17" borderId="410" xfId="2" applyNumberFormat="1" applyFont="1" applyFill="1" applyBorder="1" applyProtection="1"/>
    <xf numFmtId="0" fontId="110" fillId="0" borderId="0" xfId="2" applyFont="1" applyAlignment="1" applyProtection="1">
      <alignment vertical="center"/>
    </xf>
    <xf numFmtId="0" fontId="11" fillId="16" borderId="362" xfId="2" applyFont="1" applyFill="1" applyBorder="1" applyProtection="1"/>
    <xf numFmtId="0" fontId="171" fillId="16" borderId="0" xfId="0" applyFont="1" applyFill="1" applyBorder="1" applyAlignment="1" applyProtection="1">
      <alignment horizontal="right" vertical="center"/>
    </xf>
    <xf numFmtId="0" fontId="7" fillId="16" borderId="0" xfId="0" applyFont="1" applyFill="1" applyBorder="1" applyAlignment="1" applyProtection="1">
      <alignment horizontal="center" vertical="center"/>
    </xf>
    <xf numFmtId="0" fontId="11" fillId="16" borderId="311" xfId="2" applyFont="1" applyFill="1" applyBorder="1" applyProtection="1"/>
    <xf numFmtId="0" fontId="11" fillId="16" borderId="308" xfId="2" applyFont="1" applyFill="1" applyBorder="1" applyAlignment="1" applyProtection="1">
      <alignment horizontal="right"/>
    </xf>
    <xf numFmtId="0" fontId="170" fillId="16" borderId="308" xfId="2" applyFont="1" applyFill="1" applyBorder="1" applyAlignment="1" applyProtection="1">
      <alignment horizontal="left"/>
    </xf>
    <xf numFmtId="3" fontId="10" fillId="16" borderId="394" xfId="2" applyNumberFormat="1" applyFont="1" applyFill="1" applyBorder="1" applyAlignment="1" applyProtection="1">
      <alignment vertical="top"/>
    </xf>
    <xf numFmtId="0" fontId="16" fillId="17" borderId="0" xfId="2" applyFont="1" applyFill="1" applyBorder="1" applyAlignment="1" applyProtection="1">
      <alignment vertical="center"/>
    </xf>
    <xf numFmtId="0" fontId="16" fillId="17" borderId="383" xfId="2" applyFont="1" applyFill="1" applyBorder="1" applyAlignment="1" applyProtection="1">
      <alignment vertical="center"/>
    </xf>
    <xf numFmtId="9" fontId="7" fillId="17" borderId="0" xfId="12" applyFont="1" applyFill="1" applyBorder="1" applyAlignment="1" applyProtection="1">
      <alignment horizontal="right" vertical="center" indent="2"/>
    </xf>
    <xf numFmtId="0" fontId="10" fillId="17" borderId="388" xfId="2" applyFont="1" applyFill="1" applyBorder="1" applyProtection="1"/>
    <xf numFmtId="3" fontId="10" fillId="17" borderId="332" xfId="2" applyNumberFormat="1" applyFont="1" applyFill="1" applyBorder="1" applyProtection="1"/>
    <xf numFmtId="9" fontId="7" fillId="6" borderId="40" xfId="12" applyNumberFormat="1" applyFont="1" applyFill="1" applyBorder="1" applyAlignment="1" applyProtection="1">
      <alignment horizontal="center"/>
      <protection hidden="1"/>
    </xf>
    <xf numFmtId="0" fontId="17" fillId="16" borderId="383" xfId="2" applyFont="1" applyFill="1" applyBorder="1" applyAlignment="1" applyProtection="1">
      <alignment horizontal="left" vertical="center"/>
    </xf>
    <xf numFmtId="0" fontId="170" fillId="16" borderId="351" xfId="2" applyFont="1" applyFill="1" applyBorder="1" applyAlignment="1" applyProtection="1">
      <alignment horizontal="left"/>
    </xf>
    <xf numFmtId="0" fontId="39" fillId="16" borderId="325" xfId="1" applyFont="1" applyFill="1" applyBorder="1" applyAlignment="1" applyProtection="1"/>
    <xf numFmtId="0" fontId="39" fillId="16" borderId="326" xfId="1" applyFont="1" applyFill="1" applyBorder="1" applyAlignment="1" applyProtection="1"/>
    <xf numFmtId="0" fontId="170" fillId="16" borderId="326" xfId="2" applyFont="1" applyFill="1" applyBorder="1" applyAlignment="1" applyProtection="1">
      <alignment horizontal="left"/>
    </xf>
    <xf numFmtId="0" fontId="11" fillId="16" borderId="326" xfId="2" applyFont="1" applyFill="1" applyBorder="1" applyAlignment="1" applyProtection="1">
      <alignment horizontal="left"/>
    </xf>
    <xf numFmtId="0" fontId="110" fillId="16" borderId="326" xfId="2" applyFont="1" applyFill="1" applyBorder="1" applyAlignment="1" applyProtection="1">
      <alignment horizontal="left"/>
    </xf>
    <xf numFmtId="0" fontId="110" fillId="16" borderId="326" xfId="2" applyFont="1" applyFill="1" applyBorder="1" applyAlignment="1" applyProtection="1">
      <alignment horizontal="right"/>
    </xf>
    <xf numFmtId="0" fontId="7" fillId="16" borderId="0" xfId="2" applyFont="1" applyFill="1" applyBorder="1" applyAlignment="1" applyProtection="1">
      <alignment horizontal="right"/>
    </xf>
    <xf numFmtId="0" fontId="11" fillId="17" borderId="3" xfId="2" applyFont="1" applyFill="1" applyBorder="1" applyAlignment="1" applyProtection="1">
      <alignment vertical="center"/>
    </xf>
    <xf numFmtId="0" fontId="11" fillId="17" borderId="412" xfId="2" applyFont="1" applyFill="1" applyBorder="1" applyAlignment="1" applyProtection="1">
      <alignment horizontal="left"/>
    </xf>
    <xf numFmtId="0" fontId="59" fillId="16" borderId="411" xfId="0" applyFont="1" applyFill="1" applyBorder="1" applyAlignment="1" applyProtection="1">
      <alignment horizontal="center" vertical="center" wrapText="1"/>
    </xf>
    <xf numFmtId="0" fontId="11" fillId="17" borderId="348" xfId="2" applyFont="1" applyFill="1" applyBorder="1" applyAlignment="1" applyProtection="1">
      <alignment horizontal="left" vertical="center"/>
      <protection locked="0"/>
    </xf>
    <xf numFmtId="0" fontId="11" fillId="17" borderId="346" xfId="2" applyFont="1" applyFill="1" applyBorder="1" applyAlignment="1" applyProtection="1">
      <alignment vertical="top"/>
      <protection locked="0"/>
    </xf>
    <xf numFmtId="3" fontId="10" fillId="17" borderId="49" xfId="2" applyNumberFormat="1" applyFont="1" applyFill="1" applyBorder="1" applyAlignment="1" applyProtection="1">
      <alignment vertical="center"/>
    </xf>
    <xf numFmtId="0" fontId="16" fillId="17" borderId="0" xfId="2" applyFont="1" applyFill="1" applyBorder="1" applyProtection="1">
      <protection hidden="1"/>
    </xf>
    <xf numFmtId="3" fontId="9" fillId="17" borderId="0" xfId="2" applyNumberFormat="1" applyFont="1" applyFill="1" applyBorder="1" applyAlignment="1" applyProtection="1">
      <alignment vertical="center"/>
      <protection hidden="1"/>
    </xf>
    <xf numFmtId="3" fontId="9" fillId="17" borderId="351" xfId="2" applyNumberFormat="1" applyFont="1" applyFill="1" applyBorder="1" applyAlignment="1" applyProtection="1">
      <alignment vertical="center"/>
      <protection hidden="1"/>
    </xf>
    <xf numFmtId="0" fontId="11" fillId="50" borderId="0" xfId="2" applyFont="1" applyFill="1" applyBorder="1" applyProtection="1">
      <protection locked="0"/>
    </xf>
    <xf numFmtId="0" fontId="16" fillId="16" borderId="414" xfId="2" applyFont="1" applyFill="1" applyBorder="1" applyProtection="1"/>
    <xf numFmtId="0" fontId="16" fillId="16" borderId="415" xfId="2" applyFont="1" applyFill="1" applyBorder="1" applyProtection="1"/>
    <xf numFmtId="3" fontId="11" fillId="16" borderId="415" xfId="2" applyNumberFormat="1" applyFont="1" applyFill="1" applyBorder="1" applyProtection="1"/>
    <xf numFmtId="3" fontId="11" fillId="16" borderId="416" xfId="2" applyNumberFormat="1" applyFont="1" applyFill="1" applyBorder="1" applyProtection="1"/>
    <xf numFmtId="0" fontId="16" fillId="16" borderId="416" xfId="2" applyFont="1" applyFill="1" applyBorder="1" applyProtection="1"/>
    <xf numFmtId="0" fontId="11" fillId="0" borderId="0" xfId="2" applyFont="1" applyFill="1" applyBorder="1" applyAlignment="1" applyProtection="1">
      <alignment horizontal="left" vertical="center" indent="1"/>
      <protection hidden="1"/>
    </xf>
    <xf numFmtId="3" fontId="9" fillId="16" borderId="151" xfId="2" applyNumberFormat="1" applyFont="1" applyFill="1" applyBorder="1" applyAlignment="1" applyProtection="1">
      <alignment vertical="center"/>
      <protection hidden="1"/>
    </xf>
    <xf numFmtId="0" fontId="11" fillId="16" borderId="414" xfId="2" applyFont="1" applyFill="1" applyBorder="1" applyAlignment="1" applyProtection="1">
      <alignment horizontal="left" vertical="center" indent="1"/>
    </xf>
    <xf numFmtId="49" fontId="59" fillId="16" borderId="415" xfId="0" applyNumberFormat="1" applyFont="1" applyFill="1" applyBorder="1" applyAlignment="1" applyProtection="1">
      <alignment horizontal="right" vertical="center" wrapText="1"/>
    </xf>
    <xf numFmtId="49" fontId="59" fillId="16" borderId="415" xfId="0" applyNumberFormat="1" applyFont="1" applyFill="1" applyBorder="1" applyAlignment="1" applyProtection="1">
      <alignment horizontal="center" vertical="center" wrapText="1"/>
    </xf>
    <xf numFmtId="3" fontId="111" fillId="16" borderId="415" xfId="2" applyNumberFormat="1" applyFont="1" applyFill="1" applyBorder="1" applyAlignment="1" applyProtection="1">
      <alignment horizontal="right"/>
    </xf>
    <xf numFmtId="3" fontId="111" fillId="16" borderId="416" xfId="2" applyNumberFormat="1" applyFont="1" applyFill="1" applyBorder="1" applyAlignment="1" applyProtection="1"/>
    <xf numFmtId="0" fontId="80" fillId="16" borderId="415" xfId="2" applyFont="1" applyFill="1" applyBorder="1" applyAlignment="1" applyProtection="1">
      <alignment horizontal="left"/>
      <protection hidden="1"/>
    </xf>
    <xf numFmtId="0" fontId="10" fillId="16" borderId="415" xfId="2" applyFont="1" applyFill="1" applyBorder="1" applyProtection="1">
      <protection hidden="1"/>
    </xf>
    <xf numFmtId="0" fontId="9" fillId="16" borderId="415" xfId="0" applyFont="1" applyFill="1" applyBorder="1" applyAlignment="1" applyProtection="1">
      <alignment horizontal="right" vertical="center"/>
      <protection hidden="1"/>
    </xf>
    <xf numFmtId="0" fontId="9" fillId="16" borderId="416" xfId="0" applyFont="1" applyFill="1" applyBorder="1" applyAlignment="1" applyProtection="1">
      <alignment horizontal="right" vertical="center"/>
      <protection hidden="1"/>
    </xf>
    <xf numFmtId="0" fontId="11" fillId="16" borderId="414" xfId="2" applyFont="1" applyFill="1" applyBorder="1" applyAlignment="1" applyProtection="1">
      <alignment horizontal="left" vertical="center" indent="1"/>
      <protection hidden="1"/>
    </xf>
    <xf numFmtId="0" fontId="11" fillId="16" borderId="415" xfId="2" applyFont="1" applyFill="1" applyBorder="1" applyAlignment="1" applyProtection="1">
      <alignment horizontal="left"/>
      <protection hidden="1"/>
    </xf>
    <xf numFmtId="0" fontId="2" fillId="16" borderId="415" xfId="2" applyFont="1" applyFill="1" applyBorder="1" applyProtection="1">
      <protection hidden="1"/>
    </xf>
    <xf numFmtId="0" fontId="7" fillId="16" borderId="415" xfId="0" applyFont="1" applyFill="1" applyBorder="1" applyAlignment="1" applyProtection="1">
      <alignment horizontal="right" vertical="center"/>
      <protection hidden="1"/>
    </xf>
    <xf numFmtId="0" fontId="7" fillId="16" borderId="416" xfId="0" applyFont="1" applyFill="1" applyBorder="1" applyAlignment="1" applyProtection="1">
      <alignment horizontal="right" vertical="center"/>
      <protection hidden="1"/>
    </xf>
    <xf numFmtId="0" fontId="16" fillId="0" borderId="414" xfId="2" applyFont="1" applyFill="1" applyBorder="1" applyProtection="1"/>
    <xf numFmtId="0" fontId="16" fillId="0" borderId="415" xfId="2" applyFont="1" applyFill="1" applyBorder="1" applyProtection="1"/>
    <xf numFmtId="3" fontId="11" fillId="0" borderId="415" xfId="2" applyNumberFormat="1" applyFont="1" applyFill="1" applyBorder="1" applyProtection="1"/>
    <xf numFmtId="3" fontId="11" fillId="0" borderId="416" xfId="2" applyNumberFormat="1" applyFont="1" applyFill="1" applyBorder="1" applyProtection="1"/>
    <xf numFmtId="0" fontId="16" fillId="0" borderId="416" xfId="2" applyFont="1" applyFill="1" applyBorder="1" applyProtection="1"/>
    <xf numFmtId="0" fontId="127" fillId="51" borderId="135" xfId="2" applyFont="1" applyFill="1" applyBorder="1" applyAlignment="1">
      <alignment horizontal="center" vertical="center"/>
    </xf>
    <xf numFmtId="0" fontId="127" fillId="52" borderId="417" xfId="2" applyFont="1" applyFill="1" applyBorder="1" applyAlignment="1">
      <alignment horizontal="center" vertical="center"/>
    </xf>
    <xf numFmtId="0" fontId="127" fillId="52" borderId="418" xfId="2" applyFont="1" applyFill="1" applyBorder="1" applyAlignment="1">
      <alignment horizontal="center" vertical="center"/>
    </xf>
    <xf numFmtId="0" fontId="12" fillId="23" borderId="419" xfId="2" applyFont="1" applyFill="1" applyBorder="1" applyAlignment="1">
      <alignment vertical="top"/>
    </xf>
    <xf numFmtId="0" fontId="12" fillId="0" borderId="420" xfId="2" applyFont="1" applyBorder="1" applyAlignment="1">
      <alignment vertical="top"/>
    </xf>
    <xf numFmtId="0" fontId="12" fillId="0" borderId="421" xfId="2" applyFont="1" applyBorder="1" applyAlignment="1">
      <alignment vertical="top"/>
    </xf>
    <xf numFmtId="0" fontId="12" fillId="23" borderId="422" xfId="2" applyFont="1" applyFill="1" applyBorder="1" applyAlignment="1">
      <alignment vertical="top"/>
    </xf>
    <xf numFmtId="0" fontId="12" fillId="0" borderId="423" xfId="2" applyFont="1" applyBorder="1" applyAlignment="1">
      <alignment vertical="top"/>
    </xf>
    <xf numFmtId="0" fontId="175" fillId="17" borderId="424" xfId="0" applyFont="1" applyFill="1" applyBorder="1" applyAlignment="1" applyProtection="1">
      <protection hidden="1"/>
    </xf>
    <xf numFmtId="3" fontId="10" fillId="17" borderId="410" xfId="2" applyNumberFormat="1" applyFont="1" applyFill="1" applyBorder="1" applyProtection="1"/>
    <xf numFmtId="0" fontId="7" fillId="17" borderId="388" xfId="2" applyFont="1" applyFill="1" applyBorder="1" applyProtection="1"/>
    <xf numFmtId="3" fontId="10" fillId="17" borderId="410" xfId="2" applyNumberFormat="1" applyFont="1" applyFill="1" applyBorder="1" applyAlignment="1" applyProtection="1">
      <alignment vertical="center"/>
      <protection hidden="1"/>
    </xf>
    <xf numFmtId="0" fontId="11" fillId="16" borderId="138" xfId="2" applyFont="1" applyFill="1" applyBorder="1" applyProtection="1">
      <protection locked="0"/>
    </xf>
    <xf numFmtId="0" fontId="18" fillId="17" borderId="351" xfId="2" applyFont="1" applyFill="1" applyBorder="1" applyAlignment="1" applyProtection="1">
      <alignment vertical="center"/>
      <protection locked="0"/>
    </xf>
    <xf numFmtId="164" fontId="7" fillId="0" borderId="178" xfId="2" applyNumberFormat="1" applyFont="1" applyFill="1" applyBorder="1" applyAlignment="1" applyProtection="1">
      <alignment horizontal="center" vertical="center"/>
      <protection locked="0"/>
    </xf>
    <xf numFmtId="0" fontId="220" fillId="0" borderId="0" xfId="1" applyFont="1" applyAlignment="1" applyProtection="1">
      <alignment vertical="top"/>
    </xf>
    <xf numFmtId="0" fontId="97" fillId="0" borderId="0" xfId="0" applyFont="1" applyFill="1" applyBorder="1"/>
    <xf numFmtId="0" fontId="121" fillId="0" borderId="0" xfId="0" applyFont="1" applyAlignment="1"/>
    <xf numFmtId="0" fontId="11" fillId="0" borderId="0" xfId="2" applyFont="1" applyFill="1" applyBorder="1" applyAlignment="1" applyProtection="1">
      <alignment horizontal="right"/>
    </xf>
    <xf numFmtId="0" fontId="171" fillId="0" borderId="0" xfId="0" applyFont="1" applyFill="1" applyBorder="1" applyAlignment="1" applyProtection="1">
      <alignment horizontal="right" vertical="center"/>
    </xf>
    <xf numFmtId="0" fontId="7" fillId="0" borderId="0" xfId="0" applyFont="1" applyFill="1" applyBorder="1" applyAlignment="1" applyProtection="1">
      <alignment horizontal="center" vertical="center"/>
    </xf>
    <xf numFmtId="0" fontId="170" fillId="0" borderId="0" xfId="2" applyFont="1" applyFill="1" applyBorder="1" applyAlignment="1" applyProtection="1">
      <alignment horizontal="left"/>
    </xf>
    <xf numFmtId="0" fontId="11" fillId="16" borderId="362" xfId="2" applyFont="1" applyFill="1" applyBorder="1" applyAlignment="1" applyProtection="1">
      <alignment horizontal="left" vertical="center"/>
    </xf>
    <xf numFmtId="164" fontId="7" fillId="17" borderId="425" xfId="2" applyNumberFormat="1" applyFont="1" applyFill="1" applyBorder="1" applyAlignment="1" applyProtection="1">
      <alignment horizontal="center" vertical="center"/>
      <protection hidden="1"/>
    </xf>
    <xf numFmtId="0" fontId="17" fillId="16" borderId="32" xfId="2" applyFont="1" applyFill="1" applyBorder="1" applyAlignment="1" applyProtection="1">
      <alignment vertical="center"/>
    </xf>
    <xf numFmtId="49" fontId="7" fillId="16" borderId="371" xfId="0" applyNumberFormat="1" applyFont="1" applyFill="1" applyBorder="1" applyAlignment="1" applyProtection="1">
      <alignment horizontal="right" vertical="center" wrapText="1"/>
    </xf>
    <xf numFmtId="49" fontId="59" fillId="16" borderId="371" xfId="0" applyNumberFormat="1" applyFont="1" applyFill="1" applyBorder="1" applyAlignment="1" applyProtection="1">
      <alignment horizontal="center" vertical="center" wrapText="1"/>
    </xf>
    <xf numFmtId="3" fontId="111" fillId="16" borderId="371" xfId="2" applyNumberFormat="1" applyFont="1" applyFill="1" applyBorder="1" applyAlignment="1" applyProtection="1">
      <alignment horizontal="right" vertical="center"/>
    </xf>
    <xf numFmtId="3" fontId="111" fillId="16" borderId="371" xfId="2" applyNumberFormat="1" applyFont="1" applyFill="1" applyBorder="1" applyAlignment="1" applyProtection="1">
      <alignment vertical="center"/>
    </xf>
    <xf numFmtId="3" fontId="10" fillId="17" borderId="371" xfId="2" applyNumberFormat="1" applyFont="1" applyFill="1" applyBorder="1" applyAlignment="1" applyProtection="1">
      <alignment vertical="center"/>
      <protection hidden="1"/>
    </xf>
    <xf numFmtId="3" fontId="10" fillId="17" borderId="395" xfId="2" applyNumberFormat="1" applyFont="1" applyFill="1" applyBorder="1" applyAlignment="1" applyProtection="1">
      <alignment vertical="center"/>
      <protection locked="0"/>
    </xf>
    <xf numFmtId="0" fontId="11" fillId="17" borderId="32" xfId="2" applyFont="1" applyFill="1" applyBorder="1" applyAlignment="1" applyProtection="1">
      <alignment horizontal="left" indent="1"/>
    </xf>
    <xf numFmtId="0" fontId="11" fillId="16" borderId="105" xfId="2" applyFont="1" applyFill="1" applyBorder="1" applyProtection="1"/>
    <xf numFmtId="0" fontId="11" fillId="16" borderId="353" xfId="2" applyFont="1" applyFill="1" applyBorder="1" applyAlignment="1" applyProtection="1">
      <alignment horizontal="right"/>
    </xf>
    <xf numFmtId="0" fontId="171" fillId="16" borderId="353" xfId="0" applyFont="1" applyFill="1" applyBorder="1" applyAlignment="1" applyProtection="1">
      <alignment horizontal="right" vertical="center"/>
    </xf>
    <xf numFmtId="0" fontId="7" fillId="16" borderId="426" xfId="0" applyFont="1" applyFill="1" applyBorder="1" applyAlignment="1" applyProtection="1">
      <alignment horizontal="center" vertical="center"/>
    </xf>
    <xf numFmtId="0" fontId="2" fillId="16" borderId="369" xfId="2" applyFont="1" applyFill="1" applyBorder="1" applyProtection="1">
      <protection hidden="1"/>
    </xf>
    <xf numFmtId="0" fontId="17" fillId="16" borderId="3" xfId="2" applyFont="1" applyFill="1" applyBorder="1" applyAlignment="1" applyProtection="1">
      <alignment horizontal="left" vertical="center"/>
      <protection hidden="1"/>
    </xf>
    <xf numFmtId="0" fontId="2" fillId="16" borderId="369" xfId="2" applyFont="1" applyFill="1" applyBorder="1" applyAlignment="1" applyProtection="1">
      <protection hidden="1"/>
    </xf>
    <xf numFmtId="3" fontId="59" fillId="16" borderId="369" xfId="0" applyNumberFormat="1" applyFont="1" applyFill="1" applyBorder="1" applyAlignment="1" applyProtection="1">
      <alignment vertical="center" wrapText="1"/>
      <protection hidden="1"/>
    </xf>
    <xf numFmtId="0" fontId="17" fillId="0" borderId="14" xfId="2" applyFont="1" applyFill="1" applyBorder="1" applyAlignment="1" applyProtection="1">
      <alignment vertical="center"/>
      <protection hidden="1"/>
    </xf>
    <xf numFmtId="0" fontId="11" fillId="0" borderId="14" xfId="2" applyFont="1" applyFill="1" applyBorder="1" applyProtection="1"/>
    <xf numFmtId="9" fontId="7" fillId="0" borderId="434" xfId="12" applyNumberFormat="1" applyFont="1" applyFill="1" applyBorder="1" applyAlignment="1" applyProtection="1">
      <alignment horizontal="center"/>
      <protection locked="0"/>
    </xf>
    <xf numFmtId="0" fontId="2" fillId="16" borderId="138" xfId="2" applyFont="1" applyFill="1" applyBorder="1" applyAlignment="1" applyProtection="1">
      <protection hidden="1"/>
    </xf>
    <xf numFmtId="3" fontId="59" fillId="16" borderId="138" xfId="0" applyNumberFormat="1" applyFont="1" applyFill="1" applyBorder="1" applyAlignment="1" applyProtection="1">
      <alignment vertical="center" wrapText="1"/>
      <protection hidden="1"/>
    </xf>
    <xf numFmtId="0" fontId="2" fillId="0" borderId="138" xfId="2" applyFont="1" applyFill="1" applyBorder="1" applyProtection="1">
      <protection locked="0"/>
    </xf>
    <xf numFmtId="0" fontId="11" fillId="0" borderId="164" xfId="2" applyFont="1" applyFill="1" applyBorder="1" applyAlignment="1" applyProtection="1">
      <alignment vertical="center"/>
      <protection locked="0"/>
    </xf>
    <xf numFmtId="0" fontId="2" fillId="0" borderId="213" xfId="2" applyFont="1" applyFill="1" applyBorder="1" applyProtection="1">
      <protection locked="0"/>
    </xf>
    <xf numFmtId="0" fontId="2" fillId="17" borderId="355" xfId="2" applyFont="1" applyFill="1" applyBorder="1" applyProtection="1"/>
    <xf numFmtId="0" fontId="2" fillId="16" borderId="369" xfId="2" applyFont="1" applyFill="1" applyBorder="1" applyAlignment="1" applyProtection="1"/>
    <xf numFmtId="3" fontId="59" fillId="16" borderId="369" xfId="0" applyNumberFormat="1" applyFont="1" applyFill="1" applyBorder="1" applyAlignment="1" applyProtection="1">
      <alignment vertical="center" wrapText="1"/>
    </xf>
    <xf numFmtId="9" fontId="7" fillId="0" borderId="438" xfId="12" applyNumberFormat="1" applyFont="1" applyFill="1" applyBorder="1" applyAlignment="1" applyProtection="1">
      <alignment horizontal="center"/>
      <protection locked="0"/>
    </xf>
    <xf numFmtId="0" fontId="2" fillId="0" borderId="369" xfId="2" applyFont="1" applyFill="1" applyBorder="1" applyProtection="1">
      <protection hidden="1"/>
    </xf>
    <xf numFmtId="167" fontId="10" fillId="18" borderId="23" xfId="2" applyNumberFormat="1" applyFont="1" applyFill="1" applyBorder="1" applyProtection="1">
      <protection hidden="1"/>
    </xf>
    <xf numFmtId="167" fontId="10" fillId="36" borderId="23" xfId="2" applyNumberFormat="1" applyFont="1" applyFill="1" applyBorder="1" applyProtection="1">
      <protection hidden="1"/>
    </xf>
    <xf numFmtId="0" fontId="7" fillId="17" borderId="369" xfId="2" applyFont="1" applyFill="1" applyBorder="1" applyAlignment="1" applyProtection="1">
      <alignment horizontal="left"/>
    </xf>
    <xf numFmtId="0" fontId="2" fillId="17" borderId="369" xfId="2" applyFont="1" applyFill="1" applyBorder="1" applyAlignment="1" applyProtection="1">
      <alignment horizontal="right"/>
    </xf>
    <xf numFmtId="0" fontId="16" fillId="17" borderId="325" xfId="2" applyFont="1" applyFill="1" applyBorder="1" applyAlignment="1" applyProtection="1">
      <alignment vertical="center"/>
    </xf>
    <xf numFmtId="0" fontId="16" fillId="17" borderId="363" xfId="2" applyFont="1" applyFill="1" applyBorder="1" applyAlignment="1" applyProtection="1">
      <alignment horizontal="left" vertical="center"/>
    </xf>
    <xf numFmtId="0" fontId="7" fillId="17" borderId="364" xfId="2" applyFont="1" applyFill="1" applyBorder="1" applyAlignment="1" applyProtection="1">
      <alignment horizontal="left"/>
    </xf>
    <xf numFmtId="0" fontId="2" fillId="17" borderId="364" xfId="2" applyFont="1" applyFill="1" applyBorder="1" applyAlignment="1" applyProtection="1">
      <alignment horizontal="right"/>
    </xf>
    <xf numFmtId="0" fontId="7" fillId="16" borderId="351" xfId="2" applyFont="1" applyFill="1" applyBorder="1" applyAlignment="1" applyProtection="1"/>
    <xf numFmtId="3" fontId="7" fillId="16" borderId="251" xfId="12" applyNumberFormat="1" applyFont="1" applyFill="1" applyBorder="1" applyAlignment="1" applyProtection="1"/>
    <xf numFmtId="3" fontId="2" fillId="17" borderId="4" xfId="2" applyNumberFormat="1" applyFont="1" applyFill="1" applyBorder="1" applyAlignment="1" applyProtection="1">
      <alignment vertical="center"/>
    </xf>
    <xf numFmtId="0" fontId="12" fillId="0" borderId="0" xfId="2" applyFont="1" applyBorder="1" applyAlignment="1">
      <alignment horizontal="right" vertical="top"/>
    </xf>
    <xf numFmtId="1" fontId="11" fillId="0" borderId="0" xfId="2" applyNumberFormat="1" applyFont="1" applyBorder="1" applyAlignment="1">
      <alignment vertical="top"/>
    </xf>
    <xf numFmtId="169" fontId="11" fillId="0" borderId="0" xfId="2" applyNumberFormat="1" applyFont="1" applyBorder="1" applyAlignment="1">
      <alignment vertical="top"/>
    </xf>
    <xf numFmtId="0" fontId="17" fillId="16" borderId="7" xfId="2" applyFont="1" applyFill="1" applyBorder="1" applyAlignment="1" applyProtection="1">
      <alignment vertical="center"/>
      <protection hidden="1"/>
    </xf>
    <xf numFmtId="3" fontId="109" fillId="17" borderId="405" xfId="2" applyNumberFormat="1" applyFont="1" applyFill="1" applyBorder="1" applyAlignment="1" applyProtection="1">
      <alignment horizontal="center" vertical="center"/>
      <protection locked="0"/>
    </xf>
    <xf numFmtId="0" fontId="170" fillId="17" borderId="364" xfId="2" applyFont="1" applyFill="1" applyBorder="1" applyAlignment="1" applyProtection="1">
      <alignment horizontal="right"/>
      <protection hidden="1"/>
    </xf>
    <xf numFmtId="3" fontId="132" fillId="17" borderId="405" xfId="2" applyNumberFormat="1" applyFont="1" applyFill="1" applyBorder="1" applyAlignment="1" applyProtection="1">
      <alignment horizontal="center" vertical="center"/>
      <protection locked="0"/>
    </xf>
    <xf numFmtId="0" fontId="11" fillId="17" borderId="364" xfId="2" applyFont="1" applyFill="1" applyBorder="1" applyAlignment="1" applyProtection="1">
      <alignment horizontal="right" indent="2"/>
    </xf>
    <xf numFmtId="0" fontId="181" fillId="0" borderId="371" xfId="2" applyFont="1" applyFill="1" applyBorder="1" applyAlignment="1" applyProtection="1">
      <alignment horizontal="right" vertical="center"/>
      <protection hidden="1"/>
    </xf>
    <xf numFmtId="9" fontId="195" fillId="17" borderId="369" xfId="2" applyNumberFormat="1" applyFont="1" applyFill="1" applyBorder="1" applyAlignment="1" applyProtection="1">
      <protection hidden="1"/>
    </xf>
    <xf numFmtId="9" fontId="11" fillId="17" borderId="364" xfId="12" applyFont="1" applyFill="1" applyBorder="1" applyAlignment="1" applyProtection="1">
      <alignment horizontal="center"/>
      <protection hidden="1"/>
    </xf>
    <xf numFmtId="0" fontId="62" fillId="17" borderId="364" xfId="0" applyFont="1" applyFill="1" applyBorder="1" applyAlignment="1" applyProtection="1">
      <alignment horizontal="center" vertical="center" wrapText="1"/>
    </xf>
    <xf numFmtId="0" fontId="4" fillId="17" borderId="439" xfId="2" applyFont="1" applyFill="1" applyBorder="1" applyProtection="1"/>
    <xf numFmtId="0" fontId="170" fillId="17" borderId="353" xfId="0" applyFont="1" applyFill="1" applyBorder="1" applyAlignment="1" applyProtection="1">
      <alignment horizontal="center"/>
    </xf>
    <xf numFmtId="0" fontId="62" fillId="17" borderId="371" xfId="0" applyFont="1" applyFill="1" applyBorder="1" applyAlignment="1" applyProtection="1">
      <alignment horizontal="center" vertical="center" wrapText="1"/>
    </xf>
    <xf numFmtId="49" fontId="59" fillId="17" borderId="371" xfId="0" applyNumberFormat="1" applyFont="1" applyFill="1" applyBorder="1" applyAlignment="1" applyProtection="1">
      <alignment horizontal="center" vertical="center" wrapText="1"/>
    </xf>
    <xf numFmtId="0" fontId="62" fillId="0" borderId="371" xfId="0" applyFont="1" applyFill="1" applyBorder="1" applyAlignment="1" applyProtection="1">
      <alignment horizontal="center" vertical="center" wrapText="1"/>
      <protection locked="0"/>
    </xf>
    <xf numFmtId="0" fontId="16" fillId="17" borderId="364" xfId="2" applyFont="1" applyFill="1" applyBorder="1" applyAlignment="1" applyProtection="1">
      <alignment horizontal="right" indent="2"/>
    </xf>
    <xf numFmtId="0" fontId="62" fillId="17" borderId="369" xfId="0" applyFont="1" applyFill="1" applyBorder="1" applyAlignment="1" applyProtection="1">
      <alignment horizontal="center" vertical="center" wrapText="1"/>
    </xf>
    <xf numFmtId="0" fontId="173" fillId="16" borderId="364" xfId="0" applyFont="1" applyFill="1" applyBorder="1" applyAlignment="1" applyProtection="1">
      <alignment horizontal="right" vertical="center"/>
      <protection hidden="1"/>
    </xf>
    <xf numFmtId="49" fontId="59" fillId="17" borderId="364" xfId="0" applyNumberFormat="1" applyFont="1" applyFill="1" applyBorder="1" applyAlignment="1" applyProtection="1">
      <alignment horizontal="center" vertical="center" wrapText="1"/>
    </xf>
    <xf numFmtId="3" fontId="7" fillId="16" borderId="369" xfId="12" applyNumberFormat="1" applyFont="1" applyFill="1" applyBorder="1" applyAlignment="1" applyProtection="1">
      <alignment horizontal="center" vertical="center"/>
      <protection locked="0"/>
    </xf>
    <xf numFmtId="3" fontId="182" fillId="16" borderId="369" xfId="1" applyNumberFormat="1" applyFont="1" applyFill="1" applyBorder="1" applyAlignment="1" applyProtection="1">
      <alignment horizontal="center" vertical="center"/>
      <protection locked="0"/>
    </xf>
    <xf numFmtId="0" fontId="0" fillId="16" borderId="364" xfId="0" applyFill="1" applyBorder="1" applyAlignment="1"/>
    <xf numFmtId="3" fontId="156" fillId="0" borderId="371" xfId="2" applyNumberFormat="1" applyFont="1" applyFill="1" applyBorder="1" applyAlignment="1" applyProtection="1">
      <alignment vertical="center"/>
    </xf>
    <xf numFmtId="0" fontId="11" fillId="16" borderId="371" xfId="2" applyFont="1" applyFill="1" applyBorder="1" applyAlignment="1" applyProtection="1">
      <alignment vertical="top"/>
      <protection locked="0"/>
    </xf>
    <xf numFmtId="49" fontId="59" fillId="16" borderId="364" xfId="0" applyNumberFormat="1" applyFont="1" applyFill="1" applyBorder="1" applyAlignment="1" applyProtection="1">
      <alignment horizontal="center" vertical="center" wrapText="1"/>
      <protection hidden="1"/>
    </xf>
    <xf numFmtId="0" fontId="171" fillId="16" borderId="369" xfId="0" applyFont="1" applyFill="1" applyBorder="1" applyAlignment="1" applyProtection="1">
      <alignment horizontal="right" vertical="center"/>
      <protection hidden="1"/>
    </xf>
    <xf numFmtId="0" fontId="171" fillId="16" borderId="364" xfId="0" applyFont="1" applyFill="1" applyBorder="1" applyAlignment="1" applyProtection="1">
      <alignment horizontal="right" vertical="center"/>
    </xf>
    <xf numFmtId="0" fontId="171" fillId="0" borderId="371" xfId="0" applyFont="1" applyFill="1" applyBorder="1" applyAlignment="1" applyProtection="1">
      <alignment horizontal="right" vertical="center"/>
    </xf>
    <xf numFmtId="0" fontId="171" fillId="16" borderId="351" xfId="0" applyFont="1" applyFill="1" applyBorder="1" applyAlignment="1" applyProtection="1">
      <alignment horizontal="right" vertical="center"/>
    </xf>
    <xf numFmtId="0" fontId="123" fillId="16" borderId="369" xfId="0" applyFont="1" applyFill="1" applyBorder="1" applyAlignment="1" applyProtection="1">
      <alignment horizontal="right" vertical="center"/>
    </xf>
    <xf numFmtId="0" fontId="171" fillId="0" borderId="181" xfId="0" applyFont="1" applyFill="1" applyBorder="1" applyAlignment="1" applyProtection="1">
      <alignment horizontal="right" vertical="center"/>
      <protection locked="0"/>
    </xf>
    <xf numFmtId="0" fontId="171" fillId="16" borderId="441" xfId="0" applyFont="1" applyFill="1" applyBorder="1" applyAlignment="1" applyProtection="1">
      <alignment horizontal="right" vertical="center"/>
    </xf>
    <xf numFmtId="0" fontId="171" fillId="16" borderId="380" xfId="0" applyFont="1" applyFill="1" applyBorder="1" applyAlignment="1" applyProtection="1">
      <alignment horizontal="right" vertical="center"/>
    </xf>
    <xf numFmtId="49" fontId="59" fillId="16" borderId="369" xfId="0" applyNumberFormat="1" applyFont="1" applyFill="1" applyBorder="1" applyAlignment="1" applyProtection="1">
      <alignment horizontal="right"/>
      <protection hidden="1"/>
    </xf>
    <xf numFmtId="3" fontId="111" fillId="16" borderId="0" xfId="2" applyNumberFormat="1" applyFont="1" applyFill="1" applyBorder="1" applyAlignment="1" applyProtection="1"/>
    <xf numFmtId="3" fontId="111" fillId="16" borderId="364" xfId="2" applyNumberFormat="1" applyFont="1" applyFill="1" applyBorder="1" applyAlignment="1" applyProtection="1"/>
    <xf numFmtId="0" fontId="67" fillId="16" borderId="383" xfId="2" applyFont="1" applyFill="1" applyBorder="1" applyAlignment="1" applyProtection="1">
      <alignment horizontal="right" vertical="center"/>
    </xf>
    <xf numFmtId="0" fontId="11" fillId="16" borderId="362" xfId="2" applyFont="1" applyFill="1" applyBorder="1" applyAlignment="1" applyProtection="1"/>
    <xf numFmtId="0" fontId="11" fillId="16" borderId="362" xfId="2" applyFont="1" applyFill="1" applyBorder="1" applyAlignment="1" applyProtection="1">
      <alignment horizontal="right"/>
    </xf>
    <xf numFmtId="0" fontId="11" fillId="16" borderId="363" xfId="2" applyFont="1" applyFill="1" applyBorder="1" applyAlignment="1" applyProtection="1"/>
    <xf numFmtId="3" fontId="115" fillId="24" borderId="442" xfId="2" applyNumberFormat="1" applyFont="1" applyFill="1" applyBorder="1" applyAlignment="1" applyProtection="1">
      <alignment horizontal="center"/>
    </xf>
    <xf numFmtId="0" fontId="163" fillId="17" borderId="383" xfId="2" applyFont="1" applyFill="1" applyBorder="1" applyAlignment="1" applyProtection="1">
      <alignment horizontal="left" vertical="center" indent="1"/>
    </xf>
    <xf numFmtId="3" fontId="193" fillId="0" borderId="370" xfId="2" applyNumberFormat="1" applyFont="1" applyFill="1" applyBorder="1" applyAlignment="1" applyProtection="1">
      <alignment horizontal="center" vertical="center"/>
      <protection hidden="1"/>
    </xf>
    <xf numFmtId="3" fontId="11" fillId="17" borderId="363" xfId="2" applyNumberFormat="1" applyFont="1" applyFill="1" applyBorder="1" applyAlignment="1" applyProtection="1">
      <alignment horizontal="left" vertical="center" indent="1"/>
    </xf>
    <xf numFmtId="3" fontId="11" fillId="17" borderId="383" xfId="2" applyNumberFormat="1" applyFont="1" applyFill="1" applyBorder="1" applyAlignment="1" applyProtection="1">
      <alignment horizontal="left" indent="1"/>
    </xf>
    <xf numFmtId="3" fontId="11" fillId="17" borderId="362" xfId="2" applyNumberFormat="1" applyFont="1" applyFill="1" applyBorder="1" applyAlignment="1" applyProtection="1">
      <alignment horizontal="left" indent="1"/>
    </xf>
    <xf numFmtId="0" fontId="1" fillId="17" borderId="362" xfId="2" applyFill="1" applyBorder="1" applyProtection="1"/>
    <xf numFmtId="3" fontId="10" fillId="17" borderId="43" xfId="2" applyNumberFormat="1" applyFont="1" applyFill="1" applyBorder="1" applyProtection="1">
      <protection hidden="1"/>
    </xf>
    <xf numFmtId="0" fontId="163" fillId="0" borderId="362" xfId="2" applyFont="1" applyFill="1" applyBorder="1" applyAlignment="1" applyProtection="1">
      <alignment horizontal="left" vertical="center" indent="1"/>
    </xf>
    <xf numFmtId="3" fontId="10" fillId="17" borderId="443" xfId="2" applyNumberFormat="1" applyFont="1" applyFill="1" applyBorder="1" applyProtection="1"/>
    <xf numFmtId="3" fontId="9" fillId="17" borderId="23" xfId="2" applyNumberFormat="1" applyFont="1" applyFill="1" applyBorder="1" applyAlignment="1" applyProtection="1">
      <alignment horizontal="right"/>
    </xf>
    <xf numFmtId="3" fontId="110" fillId="17" borderId="362" xfId="2" applyNumberFormat="1" applyFont="1" applyFill="1" applyBorder="1" applyAlignment="1" applyProtection="1">
      <alignment horizontal="left" indent="1"/>
    </xf>
    <xf numFmtId="3" fontId="10" fillId="17" borderId="23" xfId="2" applyNumberFormat="1" applyFont="1" applyFill="1" applyBorder="1" applyAlignment="1" applyProtection="1">
      <alignment wrapText="1"/>
      <protection hidden="1"/>
    </xf>
    <xf numFmtId="3" fontId="11" fillId="17" borderId="32" xfId="2" applyNumberFormat="1" applyFont="1" applyFill="1" applyBorder="1" applyAlignment="1" applyProtection="1">
      <alignment horizontal="left" vertical="center" indent="1"/>
    </xf>
    <xf numFmtId="0" fontId="11" fillId="17" borderId="32" xfId="2" applyFont="1" applyFill="1" applyBorder="1" applyAlignment="1" applyProtection="1">
      <alignment horizontal="left" vertical="center" indent="1"/>
    </xf>
    <xf numFmtId="3" fontId="10" fillId="0" borderId="32" xfId="2" applyNumberFormat="1" applyFont="1" applyFill="1" applyBorder="1" applyAlignment="1" applyProtection="1">
      <alignment vertical="center"/>
      <protection locked="0"/>
    </xf>
    <xf numFmtId="3" fontId="11" fillId="17" borderId="362" xfId="2" applyNumberFormat="1" applyFont="1" applyFill="1" applyBorder="1" applyAlignment="1" applyProtection="1">
      <alignment horizontal="left" vertical="center" indent="1"/>
    </xf>
    <xf numFmtId="3" fontId="11" fillId="17" borderId="383" xfId="2" applyNumberFormat="1" applyFont="1" applyFill="1" applyBorder="1" applyAlignment="1" applyProtection="1">
      <alignment horizontal="left" vertical="center" indent="1"/>
      <protection hidden="1"/>
    </xf>
    <xf numFmtId="3" fontId="11" fillId="17" borderId="362" xfId="2" applyNumberFormat="1" applyFont="1" applyFill="1" applyBorder="1" applyAlignment="1" applyProtection="1">
      <alignment horizontal="left" vertical="center" indent="1"/>
      <protection hidden="1"/>
    </xf>
    <xf numFmtId="3" fontId="11" fillId="17" borderId="363" xfId="2" applyNumberFormat="1" applyFont="1" applyFill="1" applyBorder="1" applyAlignment="1" applyProtection="1">
      <alignment horizontal="left" vertical="center" indent="1"/>
      <protection hidden="1"/>
    </xf>
    <xf numFmtId="3" fontId="11" fillId="17" borderId="32" xfId="2" applyNumberFormat="1" applyFont="1" applyFill="1" applyBorder="1" applyAlignment="1" applyProtection="1">
      <alignment horizontal="left" vertical="center" indent="1"/>
      <protection hidden="1"/>
    </xf>
    <xf numFmtId="3" fontId="219" fillId="0" borderId="362" xfId="2" applyNumberFormat="1" applyFont="1" applyFill="1" applyBorder="1" applyAlignment="1" applyProtection="1">
      <alignment horizontal="left" vertical="center" indent="1"/>
      <protection hidden="1"/>
    </xf>
    <xf numFmtId="3" fontId="11" fillId="17" borderId="383" xfId="2" applyNumberFormat="1" applyFont="1" applyFill="1" applyBorder="1" applyAlignment="1" applyProtection="1">
      <alignment horizontal="left" vertical="center" indent="3"/>
      <protection hidden="1"/>
    </xf>
    <xf numFmtId="3" fontId="10" fillId="17" borderId="409" xfId="2" applyNumberFormat="1" applyFont="1" applyFill="1" applyBorder="1" applyAlignment="1" applyProtection="1">
      <alignment vertical="center"/>
    </xf>
    <xf numFmtId="3" fontId="10" fillId="17" borderId="410" xfId="2" applyNumberFormat="1" applyFont="1" applyFill="1" applyBorder="1" applyAlignment="1" applyProtection="1">
      <alignment vertical="center"/>
    </xf>
    <xf numFmtId="3" fontId="107" fillId="0" borderId="362" xfId="0" applyNumberFormat="1" applyFont="1" applyBorder="1" applyAlignment="1" applyProtection="1">
      <alignment vertical="center"/>
    </xf>
    <xf numFmtId="3" fontId="11" fillId="17" borderId="32" xfId="0" applyNumberFormat="1" applyFont="1" applyFill="1" applyBorder="1" applyAlignment="1" applyProtection="1">
      <alignment horizontal="left" vertical="center" indent="1"/>
      <protection hidden="1"/>
    </xf>
    <xf numFmtId="3" fontId="11" fillId="17" borderId="362" xfId="0" applyNumberFormat="1" applyFont="1" applyFill="1" applyBorder="1" applyAlignment="1" applyProtection="1">
      <alignment horizontal="left" vertical="center" indent="1"/>
      <protection hidden="1"/>
    </xf>
    <xf numFmtId="0" fontId="11" fillId="17" borderId="383" xfId="2" applyFont="1" applyFill="1" applyBorder="1" applyAlignment="1" applyProtection="1">
      <alignment horizontal="left" indent="1"/>
    </xf>
    <xf numFmtId="3" fontId="10" fillId="0" borderId="444" xfId="2" applyNumberFormat="1" applyFont="1" applyFill="1" applyBorder="1" applyAlignment="1" applyProtection="1">
      <alignment vertical="center"/>
      <protection locked="0"/>
    </xf>
    <xf numFmtId="3" fontId="10" fillId="17" borderId="442" xfId="2" applyNumberFormat="1" applyFont="1" applyFill="1" applyBorder="1" applyProtection="1"/>
    <xf numFmtId="3" fontId="9" fillId="17" borderId="442" xfId="2" applyNumberFormat="1" applyFont="1" applyFill="1" applyBorder="1" applyProtection="1">
      <protection hidden="1"/>
    </xf>
    <xf numFmtId="3" fontId="9" fillId="16" borderId="442" xfId="2" applyNumberFormat="1" applyFont="1" applyFill="1" applyBorder="1" applyProtection="1">
      <protection hidden="1"/>
    </xf>
    <xf numFmtId="3" fontId="133" fillId="17" borderId="442" xfId="0" applyNumberFormat="1" applyFont="1" applyFill="1" applyBorder="1" applyProtection="1">
      <protection hidden="1"/>
    </xf>
    <xf numFmtId="3" fontId="10" fillId="17" borderId="18" xfId="2" applyNumberFormat="1" applyFont="1" applyFill="1" applyBorder="1" applyProtection="1"/>
    <xf numFmtId="0" fontId="11" fillId="17" borderId="9" xfId="2" applyFont="1" applyFill="1" applyBorder="1" applyAlignment="1" applyProtection="1">
      <alignment horizontal="left"/>
    </xf>
    <xf numFmtId="0" fontId="11" fillId="0" borderId="131" xfId="2" applyFont="1" applyFill="1" applyBorder="1" applyAlignment="1" applyProtection="1">
      <protection locked="0"/>
    </xf>
    <xf numFmtId="0" fontId="11" fillId="0" borderId="150" xfId="2" applyFont="1" applyFill="1" applyBorder="1" applyAlignment="1" applyProtection="1">
      <protection locked="0"/>
    </xf>
    <xf numFmtId="0" fontId="0" fillId="0" borderId="351" xfId="0" applyFill="1" applyBorder="1" applyAlignment="1" applyProtection="1">
      <alignment horizontal="center" wrapText="1"/>
    </xf>
    <xf numFmtId="3" fontId="10" fillId="0" borderId="445" xfId="2" applyNumberFormat="1" applyFont="1" applyFill="1" applyBorder="1" applyAlignment="1" applyProtection="1">
      <alignment vertical="center"/>
      <protection locked="0"/>
    </xf>
    <xf numFmtId="3" fontId="10" fillId="0" borderId="388" xfId="2" applyNumberFormat="1" applyFont="1" applyFill="1" applyBorder="1" applyAlignment="1" applyProtection="1">
      <alignment vertical="center"/>
      <protection locked="0"/>
    </xf>
    <xf numFmtId="3" fontId="10" fillId="0" borderId="442" xfId="2" applyNumberFormat="1" applyFont="1" applyFill="1" applyBorder="1" applyAlignment="1" applyProtection="1">
      <alignment vertical="center"/>
      <protection locked="0"/>
    </xf>
    <xf numFmtId="3" fontId="10" fillId="0" borderId="350" xfId="2" applyNumberFormat="1" applyFont="1" applyFill="1" applyBorder="1" applyAlignment="1" applyProtection="1">
      <alignment vertical="center"/>
      <protection locked="0"/>
    </xf>
    <xf numFmtId="3" fontId="107" fillId="17" borderId="351" xfId="0" applyNumberFormat="1" applyFont="1" applyFill="1" applyBorder="1" applyAlignment="1" applyProtection="1">
      <alignment vertical="center"/>
      <protection hidden="1"/>
    </xf>
    <xf numFmtId="3" fontId="24" fillId="17" borderId="351" xfId="1" applyNumberFormat="1" applyFill="1" applyBorder="1" applyAlignment="1" applyProtection="1">
      <alignment vertical="center"/>
      <protection hidden="1"/>
    </xf>
    <xf numFmtId="3" fontId="107" fillId="17" borderId="446" xfId="0" applyNumberFormat="1" applyFont="1" applyFill="1" applyBorder="1" applyAlignment="1" applyProtection="1">
      <alignment vertical="center"/>
      <protection hidden="1"/>
    </xf>
    <xf numFmtId="3" fontId="10" fillId="17" borderId="351" xfId="2" applyNumberFormat="1" applyFont="1" applyFill="1" applyBorder="1" applyAlignment="1" applyProtection="1">
      <alignment vertical="center" wrapText="1"/>
    </xf>
    <xf numFmtId="0" fontId="29" fillId="17" borderId="351" xfId="2" applyFont="1" applyFill="1" applyBorder="1" applyAlignment="1" applyProtection="1">
      <alignment vertical="center"/>
    </xf>
    <xf numFmtId="3" fontId="10" fillId="17" borderId="446" xfId="2" applyNumberFormat="1" applyFont="1" applyFill="1" applyBorder="1" applyAlignment="1" applyProtection="1">
      <alignment vertical="center" wrapText="1"/>
    </xf>
    <xf numFmtId="0" fontId="1" fillId="16" borderId="56" xfId="2" applyFill="1" applyBorder="1" applyProtection="1"/>
    <xf numFmtId="0" fontId="11" fillId="16" borderId="66" xfId="2" applyFont="1" applyFill="1" applyBorder="1" applyAlignment="1" applyProtection="1"/>
    <xf numFmtId="49" fontId="59" fillId="16" borderId="0" xfId="0" applyNumberFormat="1" applyFont="1" applyFill="1" applyBorder="1" applyAlignment="1" applyProtection="1">
      <alignment horizontal="right"/>
      <protection hidden="1"/>
    </xf>
    <xf numFmtId="0" fontId="16" fillId="16" borderId="345" xfId="2" applyFont="1" applyFill="1" applyBorder="1" applyAlignment="1" applyProtection="1">
      <alignment vertical="center"/>
      <protection hidden="1"/>
    </xf>
    <xf numFmtId="0" fontId="2" fillId="16" borderId="355" xfId="2" applyFont="1" applyFill="1" applyBorder="1" applyProtection="1">
      <protection hidden="1"/>
    </xf>
    <xf numFmtId="0" fontId="2" fillId="16" borderId="369" xfId="2" applyFont="1" applyFill="1" applyBorder="1" applyAlignment="1" applyProtection="1">
      <alignment horizontal="right"/>
      <protection hidden="1"/>
    </xf>
    <xf numFmtId="0" fontId="16" fillId="16" borderId="368" xfId="2" applyFont="1" applyFill="1" applyBorder="1" applyAlignment="1" applyProtection="1">
      <alignment vertical="center"/>
      <protection hidden="1"/>
    </xf>
    <xf numFmtId="0" fontId="11" fillId="16" borderId="362" xfId="2" applyFont="1" applyFill="1" applyBorder="1" applyAlignment="1" applyProtection="1">
      <alignment vertical="center"/>
      <protection hidden="1"/>
    </xf>
    <xf numFmtId="0" fontId="2" fillId="16" borderId="0" xfId="2" applyFont="1" applyFill="1" applyBorder="1" applyProtection="1">
      <protection hidden="1"/>
    </xf>
    <xf numFmtId="0" fontId="2" fillId="16" borderId="0" xfId="2" applyFont="1" applyFill="1" applyBorder="1" applyAlignment="1" applyProtection="1">
      <alignment horizontal="right"/>
      <protection hidden="1"/>
    </xf>
    <xf numFmtId="49" fontId="59" fillId="16" borderId="4" xfId="0" applyNumberFormat="1" applyFont="1" applyFill="1" applyBorder="1" applyAlignment="1" applyProtection="1">
      <alignment horizontal="right" vertical="center" wrapText="1"/>
    </xf>
    <xf numFmtId="49" fontId="59" fillId="16" borderId="4" xfId="0" applyNumberFormat="1" applyFont="1" applyFill="1" applyBorder="1" applyAlignment="1" applyProtection="1">
      <alignment horizontal="center" vertical="center" wrapText="1"/>
    </xf>
    <xf numFmtId="0" fontId="11" fillId="16" borderId="311" xfId="2" applyFont="1" applyFill="1" applyBorder="1" applyAlignment="1" applyProtection="1">
      <alignment vertical="center"/>
      <protection hidden="1"/>
    </xf>
    <xf numFmtId="0" fontId="2" fillId="16" borderId="308" xfId="2" applyFont="1" applyFill="1" applyBorder="1" applyProtection="1">
      <protection hidden="1"/>
    </xf>
    <xf numFmtId="0" fontId="2" fillId="16" borderId="328" xfId="2" applyFont="1" applyFill="1" applyBorder="1" applyProtection="1">
      <protection hidden="1"/>
    </xf>
    <xf numFmtId="3" fontId="59" fillId="16" borderId="1" xfId="0" applyNumberFormat="1" applyFont="1" applyFill="1" applyBorder="1" applyAlignment="1" applyProtection="1">
      <alignment vertical="center" wrapText="1"/>
      <protection hidden="1"/>
    </xf>
    <xf numFmtId="3" fontId="59" fillId="16" borderId="1" xfId="0" applyNumberFormat="1" applyFont="1" applyFill="1" applyBorder="1" applyAlignment="1" applyProtection="1">
      <alignment horizontal="center" vertical="center" wrapText="1"/>
      <protection hidden="1"/>
    </xf>
    <xf numFmtId="3" fontId="59" fillId="16" borderId="215" xfId="0" applyNumberFormat="1" applyFont="1" applyFill="1" applyBorder="1" applyAlignment="1" applyProtection="1">
      <alignment horizontal="center" vertical="center" wrapText="1"/>
      <protection hidden="1"/>
    </xf>
    <xf numFmtId="3" fontId="59" fillId="16" borderId="359" xfId="0" applyNumberFormat="1" applyFont="1" applyFill="1" applyBorder="1" applyAlignment="1" applyProtection="1">
      <alignment vertical="center"/>
      <protection hidden="1"/>
    </xf>
    <xf numFmtId="0" fontId="16" fillId="16" borderId="66" xfId="2" applyFont="1" applyFill="1" applyBorder="1" applyAlignment="1" applyProtection="1">
      <alignment vertical="center"/>
      <protection hidden="1"/>
    </xf>
    <xf numFmtId="0" fontId="215" fillId="16" borderId="57" xfId="2" applyFont="1" applyFill="1" applyBorder="1" applyAlignment="1" applyProtection="1">
      <alignment vertical="center"/>
      <protection hidden="1"/>
    </xf>
    <xf numFmtId="0" fontId="16" fillId="16" borderId="3" xfId="2" applyFont="1" applyFill="1" applyBorder="1" applyAlignment="1" applyProtection="1">
      <alignment vertical="center"/>
      <protection hidden="1"/>
    </xf>
    <xf numFmtId="0" fontId="11" fillId="16" borderId="59" xfId="2" applyFont="1" applyFill="1" applyBorder="1" applyAlignment="1" applyProtection="1">
      <alignment vertical="center"/>
      <protection hidden="1"/>
    </xf>
    <xf numFmtId="0" fontId="2" fillId="16" borderId="295" xfId="2" applyFont="1" applyFill="1" applyBorder="1" applyProtection="1">
      <protection hidden="1"/>
    </xf>
    <xf numFmtId="0" fontId="1" fillId="16" borderId="0" xfId="2" applyFill="1" applyProtection="1"/>
    <xf numFmtId="0" fontId="2" fillId="16" borderId="64" xfId="2" applyFont="1" applyFill="1" applyBorder="1" applyProtection="1">
      <protection hidden="1"/>
    </xf>
    <xf numFmtId="49" fontId="7" fillId="16" borderId="60" xfId="0" applyNumberFormat="1" applyFont="1" applyFill="1" applyBorder="1" applyAlignment="1" applyProtection="1">
      <alignment horizontal="center" vertical="center" wrapText="1"/>
      <protection hidden="1"/>
    </xf>
    <xf numFmtId="49" fontId="7" fillId="16" borderId="60" xfId="2" applyNumberFormat="1" applyFont="1" applyFill="1" applyBorder="1" applyAlignment="1" applyProtection="1">
      <alignment horizontal="right"/>
      <protection hidden="1"/>
    </xf>
    <xf numFmtId="49" fontId="7" fillId="16" borderId="355" xfId="0" applyNumberFormat="1" applyFont="1" applyFill="1" applyBorder="1" applyAlignment="1" applyProtection="1">
      <alignment horizontal="center" vertical="center" wrapText="1"/>
      <protection hidden="1"/>
    </xf>
    <xf numFmtId="0" fontId="1" fillId="16" borderId="355" xfId="2" applyFill="1" applyBorder="1" applyProtection="1"/>
    <xf numFmtId="49" fontId="59" fillId="16" borderId="0" xfId="0" applyNumberFormat="1" applyFont="1" applyFill="1" applyBorder="1" applyAlignment="1" applyProtection="1">
      <alignment horizontal="center" vertical="center" wrapText="1"/>
      <protection hidden="1"/>
    </xf>
    <xf numFmtId="49" fontId="7" fillId="16" borderId="0" xfId="2" applyNumberFormat="1" applyFont="1" applyFill="1" applyBorder="1" applyAlignment="1" applyProtection="1">
      <alignment horizontal="right"/>
      <protection hidden="1"/>
    </xf>
    <xf numFmtId="49" fontId="59" fillId="16" borderId="359" xfId="0" applyNumberFormat="1" applyFont="1" applyFill="1" applyBorder="1" applyAlignment="1" applyProtection="1">
      <alignment horizontal="center" vertical="center" wrapText="1"/>
      <protection hidden="1"/>
    </xf>
    <xf numFmtId="0" fontId="16" fillId="16" borderId="55" xfId="2" applyFont="1" applyFill="1" applyBorder="1" applyAlignment="1" applyProtection="1">
      <alignment vertical="center"/>
      <protection hidden="1"/>
    </xf>
    <xf numFmtId="0" fontId="2" fillId="16" borderId="54" xfId="2" applyFont="1" applyFill="1" applyBorder="1" applyProtection="1">
      <protection hidden="1"/>
    </xf>
    <xf numFmtId="0" fontId="2" fillId="16" borderId="293" xfId="2" applyFont="1" applyFill="1" applyBorder="1" applyProtection="1">
      <protection hidden="1"/>
    </xf>
    <xf numFmtId="0" fontId="191" fillId="16" borderId="57" xfId="2" applyFont="1" applyFill="1" applyBorder="1" applyAlignment="1" applyProtection="1">
      <alignment vertical="center"/>
      <protection hidden="1"/>
    </xf>
    <xf numFmtId="0" fontId="16" fillId="16" borderId="57" xfId="2" applyFont="1" applyFill="1" applyBorder="1" applyAlignment="1" applyProtection="1">
      <alignment vertical="center"/>
      <protection hidden="1"/>
    </xf>
    <xf numFmtId="0" fontId="2" fillId="16" borderId="104" xfId="2" applyFont="1" applyFill="1" applyBorder="1" applyProtection="1">
      <protection hidden="1"/>
    </xf>
    <xf numFmtId="49" fontId="59" fillId="16" borderId="440" xfId="0" applyNumberFormat="1" applyFont="1" applyFill="1" applyBorder="1" applyAlignment="1" applyProtection="1">
      <alignment horizontal="right"/>
      <protection hidden="1"/>
    </xf>
    <xf numFmtId="3" fontId="7" fillId="16" borderId="355" xfId="2" applyNumberFormat="1" applyFont="1" applyFill="1" applyBorder="1" applyAlignment="1" applyProtection="1">
      <protection hidden="1"/>
    </xf>
    <xf numFmtId="49" fontId="59" fillId="16" borderId="104" xfId="0" applyNumberFormat="1" applyFont="1" applyFill="1" applyBorder="1" applyAlignment="1" applyProtection="1">
      <alignment horizontal="center" vertical="center" wrapText="1"/>
      <protection hidden="1"/>
    </xf>
    <xf numFmtId="49" fontId="7" fillId="16" borderId="104" xfId="2" applyNumberFormat="1" applyFont="1" applyFill="1" applyBorder="1" applyAlignment="1" applyProtection="1">
      <alignment horizontal="right"/>
      <protection hidden="1"/>
    </xf>
    <xf numFmtId="0" fontId="11" fillId="25" borderId="373" xfId="2" applyFont="1" applyFill="1" applyBorder="1" applyAlignment="1" applyProtection="1">
      <alignment vertical="center"/>
      <protection hidden="1"/>
    </xf>
    <xf numFmtId="0" fontId="2" fillId="25" borderId="374" xfId="2" applyFont="1" applyFill="1" applyBorder="1" applyProtection="1">
      <protection hidden="1"/>
    </xf>
    <xf numFmtId="0" fontId="2" fillId="25" borderId="374" xfId="2" applyFont="1" applyFill="1" applyBorder="1" applyAlignment="1" applyProtection="1">
      <alignment horizontal="right"/>
      <protection hidden="1"/>
    </xf>
    <xf numFmtId="3" fontId="59" fillId="25" borderId="355" xfId="0" applyNumberFormat="1" applyFont="1" applyFill="1" applyBorder="1" applyAlignment="1" applyProtection="1">
      <alignment vertical="center" wrapText="1"/>
      <protection hidden="1"/>
    </xf>
    <xf numFmtId="0" fontId="4" fillId="25" borderId="0" xfId="2" applyFont="1" applyFill="1" applyBorder="1" applyProtection="1"/>
    <xf numFmtId="0" fontId="11" fillId="25" borderId="377" xfId="2" applyFont="1" applyFill="1" applyBorder="1" applyAlignment="1" applyProtection="1">
      <alignment vertical="center"/>
      <protection hidden="1"/>
    </xf>
    <xf numFmtId="0" fontId="2" fillId="25" borderId="378" xfId="2" applyFont="1" applyFill="1" applyBorder="1" applyProtection="1">
      <protection hidden="1"/>
    </xf>
    <xf numFmtId="0" fontId="11" fillId="25" borderId="389" xfId="2" applyFont="1" applyFill="1" applyBorder="1" applyAlignment="1" applyProtection="1">
      <alignment vertical="center"/>
      <protection hidden="1"/>
    </xf>
    <xf numFmtId="0" fontId="2" fillId="25" borderId="380" xfId="2" applyFont="1" applyFill="1" applyBorder="1" applyProtection="1">
      <protection hidden="1"/>
    </xf>
    <xf numFmtId="0" fontId="2" fillId="25" borderId="390" xfId="2" applyFont="1" applyFill="1" applyBorder="1" applyAlignment="1" applyProtection="1">
      <alignment horizontal="right"/>
      <protection hidden="1"/>
    </xf>
    <xf numFmtId="0" fontId="1" fillId="25" borderId="64" xfId="2" applyFont="1" applyFill="1" applyBorder="1" applyAlignment="1"/>
    <xf numFmtId="0" fontId="4" fillId="25" borderId="355" xfId="2" applyFont="1" applyFill="1" applyBorder="1" applyProtection="1"/>
    <xf numFmtId="49" fontId="59" fillId="25" borderId="378" xfId="0" applyNumberFormat="1" applyFont="1" applyFill="1" applyBorder="1" applyAlignment="1" applyProtection="1">
      <alignment horizontal="right"/>
      <protection hidden="1"/>
    </xf>
    <xf numFmtId="49" fontId="59" fillId="25" borderId="424" xfId="0" applyNumberFormat="1" applyFont="1" applyFill="1" applyBorder="1" applyAlignment="1" applyProtection="1">
      <alignment horizontal="right"/>
      <protection hidden="1"/>
    </xf>
    <xf numFmtId="3" fontId="59" fillId="25" borderId="381" xfId="0" applyNumberFormat="1" applyFont="1" applyFill="1" applyBorder="1" applyAlignment="1" applyProtection="1">
      <alignment vertical="center"/>
      <protection hidden="1"/>
    </xf>
    <xf numFmtId="0" fontId="2" fillId="45" borderId="369" xfId="2" applyFont="1" applyFill="1" applyBorder="1" applyProtection="1">
      <protection hidden="1"/>
    </xf>
    <xf numFmtId="3" fontId="59" fillId="45" borderId="369" xfId="0" applyNumberFormat="1" applyFont="1" applyFill="1" applyBorder="1" applyAlignment="1" applyProtection="1">
      <alignment vertical="center"/>
      <protection hidden="1"/>
    </xf>
    <xf numFmtId="0" fontId="11" fillId="46" borderId="373" xfId="2" applyFont="1" applyFill="1" applyBorder="1" applyAlignment="1" applyProtection="1">
      <alignment vertical="center"/>
      <protection hidden="1"/>
    </xf>
    <xf numFmtId="0" fontId="2" fillId="46" borderId="369" xfId="2" applyFont="1" applyFill="1" applyBorder="1" applyProtection="1">
      <protection hidden="1"/>
    </xf>
    <xf numFmtId="3" fontId="59" fillId="46" borderId="369" xfId="0" applyNumberFormat="1" applyFont="1" applyFill="1" applyBorder="1" applyAlignment="1" applyProtection="1">
      <alignment vertical="center"/>
      <protection hidden="1"/>
    </xf>
    <xf numFmtId="0" fontId="4" fillId="46" borderId="355" xfId="2" applyFont="1" applyFill="1" applyBorder="1" applyProtection="1"/>
    <xf numFmtId="49" fontId="59" fillId="46" borderId="378" xfId="0" applyNumberFormat="1" applyFont="1" applyFill="1" applyBorder="1" applyAlignment="1" applyProtection="1">
      <alignment horizontal="right"/>
      <protection hidden="1"/>
    </xf>
    <xf numFmtId="49" fontId="59" fillId="46" borderId="380" xfId="0" applyNumberFormat="1" applyFont="1" applyFill="1" applyBorder="1" applyAlignment="1" applyProtection="1">
      <alignment horizontal="right"/>
      <protection hidden="1"/>
    </xf>
    <xf numFmtId="0" fontId="11" fillId="46" borderId="345" xfId="2" applyFont="1" applyFill="1" applyBorder="1" applyAlignment="1" applyProtection="1">
      <alignment horizontal="left" vertical="center"/>
    </xf>
    <xf numFmtId="0" fontId="11" fillId="46" borderId="346" xfId="2" applyFont="1" applyFill="1" applyBorder="1" applyAlignment="1" applyProtection="1">
      <alignment vertical="top"/>
      <protection locked="0"/>
    </xf>
    <xf numFmtId="0" fontId="4" fillId="46" borderId="0" xfId="2" applyFont="1" applyFill="1" applyBorder="1" applyProtection="1"/>
    <xf numFmtId="0" fontId="11" fillId="46" borderId="377" xfId="2" applyFont="1" applyFill="1" applyBorder="1" applyAlignment="1" applyProtection="1">
      <alignment vertical="center"/>
      <protection hidden="1"/>
    </xf>
    <xf numFmtId="0" fontId="2" fillId="46" borderId="378" xfId="2" applyFont="1" applyFill="1" applyBorder="1" applyProtection="1">
      <protection hidden="1"/>
    </xf>
    <xf numFmtId="0" fontId="11" fillId="46" borderId="379" xfId="2" applyFont="1" applyFill="1" applyBorder="1" applyAlignment="1" applyProtection="1">
      <alignment vertical="center"/>
      <protection hidden="1"/>
    </xf>
    <xf numFmtId="0" fontId="2" fillId="46" borderId="380" xfId="2" applyFont="1" applyFill="1" applyBorder="1" applyProtection="1">
      <protection hidden="1"/>
    </xf>
    <xf numFmtId="0" fontId="1" fillId="46" borderId="64" xfId="2" applyFont="1" applyFill="1" applyBorder="1" applyAlignment="1"/>
    <xf numFmtId="3" fontId="59" fillId="46" borderId="381" xfId="0" applyNumberFormat="1" applyFont="1" applyFill="1" applyBorder="1" applyAlignment="1" applyProtection="1">
      <alignment vertical="center"/>
      <protection hidden="1"/>
    </xf>
    <xf numFmtId="3" fontId="59" fillId="46" borderId="380" xfId="0" applyNumberFormat="1" applyFont="1" applyFill="1" applyBorder="1" applyAlignment="1" applyProtection="1">
      <alignment horizontal="center" vertical="center" wrapText="1"/>
      <protection hidden="1"/>
    </xf>
    <xf numFmtId="0" fontId="11" fillId="45" borderId="368" xfId="2" applyFont="1" applyFill="1" applyBorder="1" applyAlignment="1" applyProtection="1">
      <alignment vertical="center"/>
      <protection hidden="1"/>
    </xf>
    <xf numFmtId="0" fontId="17" fillId="45" borderId="368" xfId="2" applyFont="1" applyFill="1" applyBorder="1" applyAlignment="1" applyProtection="1">
      <alignment horizontal="left" vertical="center"/>
      <protection hidden="1"/>
    </xf>
    <xf numFmtId="0" fontId="17" fillId="45" borderId="0" xfId="2" applyFont="1" applyFill="1" applyBorder="1" applyAlignment="1" applyProtection="1">
      <alignment horizontal="left" vertical="center"/>
      <protection hidden="1"/>
    </xf>
    <xf numFmtId="0" fontId="17" fillId="45" borderId="369" xfId="2" applyFont="1" applyFill="1" applyBorder="1" applyAlignment="1" applyProtection="1">
      <alignment horizontal="left" vertical="center"/>
      <protection hidden="1"/>
    </xf>
    <xf numFmtId="0" fontId="11" fillId="45" borderId="345" xfId="2" applyFont="1" applyFill="1" applyBorder="1" applyAlignment="1" applyProtection="1">
      <alignment horizontal="left" vertical="center"/>
    </xf>
    <xf numFmtId="0" fontId="11" fillId="45" borderId="346" xfId="2" applyFont="1" applyFill="1" applyBorder="1" applyAlignment="1" applyProtection="1">
      <alignment vertical="top"/>
      <protection locked="0"/>
    </xf>
    <xf numFmtId="0" fontId="4" fillId="45" borderId="0" xfId="2" applyFont="1" applyFill="1" applyBorder="1" applyProtection="1"/>
    <xf numFmtId="0" fontId="11" fillId="45" borderId="377" xfId="2" applyFont="1" applyFill="1" applyBorder="1" applyAlignment="1" applyProtection="1">
      <alignment vertical="center"/>
      <protection hidden="1"/>
    </xf>
    <xf numFmtId="0" fontId="2" fillId="45" borderId="378" xfId="2" applyFont="1" applyFill="1" applyBorder="1" applyProtection="1">
      <protection hidden="1"/>
    </xf>
    <xf numFmtId="0" fontId="11" fillId="45" borderId="379" xfId="2" applyFont="1" applyFill="1" applyBorder="1" applyAlignment="1" applyProtection="1">
      <alignment vertical="center"/>
      <protection hidden="1"/>
    </xf>
    <xf numFmtId="0" fontId="2" fillId="45" borderId="380" xfId="2" applyFont="1" applyFill="1" applyBorder="1" applyProtection="1">
      <protection hidden="1"/>
    </xf>
    <xf numFmtId="0" fontId="4" fillId="45" borderId="355" xfId="2" applyFont="1" applyFill="1" applyBorder="1" applyProtection="1"/>
    <xf numFmtId="49" fontId="59" fillId="45" borderId="378" xfId="0" applyNumberFormat="1" applyFont="1" applyFill="1" applyBorder="1" applyAlignment="1" applyProtection="1">
      <alignment horizontal="right"/>
      <protection hidden="1"/>
    </xf>
    <xf numFmtId="49" fontId="59" fillId="45" borderId="380" xfId="0" applyNumberFormat="1" applyFont="1" applyFill="1" applyBorder="1" applyAlignment="1" applyProtection="1">
      <alignment horizontal="right"/>
      <protection hidden="1"/>
    </xf>
    <xf numFmtId="0" fontId="1" fillId="45" borderId="64" xfId="2" applyFont="1" applyFill="1" applyBorder="1" applyAlignment="1"/>
    <xf numFmtId="3" fontId="59" fillId="45" borderId="381" xfId="0" applyNumberFormat="1" applyFont="1" applyFill="1" applyBorder="1" applyAlignment="1" applyProtection="1">
      <alignment vertical="center"/>
      <protection hidden="1"/>
    </xf>
    <xf numFmtId="3" fontId="59" fillId="45" borderId="380" xfId="0" applyNumberFormat="1" applyFont="1" applyFill="1" applyBorder="1" applyAlignment="1" applyProtection="1">
      <alignment horizontal="center" vertical="center" wrapText="1"/>
      <protection hidden="1"/>
    </xf>
    <xf numFmtId="3" fontId="80" fillId="0" borderId="447" xfId="2" applyNumberFormat="1" applyFont="1" applyFill="1" applyBorder="1" applyAlignment="1" applyProtection="1">
      <alignment vertical="center"/>
      <protection locked="0"/>
    </xf>
    <xf numFmtId="0" fontId="11" fillId="17" borderId="384" xfId="2" applyFont="1" applyFill="1" applyBorder="1" applyAlignment="1" applyProtection="1">
      <alignment vertical="center"/>
      <protection hidden="1"/>
    </xf>
    <xf numFmtId="0" fontId="170" fillId="17" borderId="448" xfId="2" applyFont="1" applyFill="1" applyBorder="1" applyAlignment="1" applyProtection="1">
      <alignment horizontal="left"/>
      <protection hidden="1"/>
    </xf>
    <xf numFmtId="0" fontId="171" fillId="17" borderId="103" xfId="0" applyFont="1" applyFill="1" applyBorder="1" applyAlignment="1" applyProtection="1">
      <alignment horizontal="right" vertical="center"/>
      <protection hidden="1"/>
    </xf>
    <xf numFmtId="1" fontId="7" fillId="53" borderId="43" xfId="2" applyNumberFormat="1" applyFont="1" applyFill="1" applyBorder="1" applyAlignment="1" applyProtection="1">
      <alignment horizontal="center" vertical="center"/>
    </xf>
    <xf numFmtId="3" fontId="123" fillId="0" borderId="395" xfId="2" applyNumberFormat="1" applyFont="1" applyFill="1" applyBorder="1" applyAlignment="1" applyProtection="1">
      <alignment horizontal="center" vertical="center"/>
      <protection hidden="1"/>
    </xf>
    <xf numFmtId="3" fontId="10" fillId="0" borderId="14" xfId="2" applyNumberFormat="1" applyFont="1" applyFill="1" applyBorder="1" applyProtection="1">
      <protection hidden="1"/>
    </xf>
    <xf numFmtId="3" fontId="193" fillId="0" borderId="395" xfId="2" applyNumberFormat="1" applyFont="1" applyFill="1" applyBorder="1" applyAlignment="1" applyProtection="1">
      <alignment horizontal="center" vertical="center"/>
      <protection hidden="1"/>
    </xf>
    <xf numFmtId="3" fontId="10" fillId="0" borderId="14" xfId="2" applyNumberFormat="1" applyFont="1" applyFill="1" applyBorder="1" applyAlignment="1" applyProtection="1">
      <alignment vertical="center"/>
      <protection hidden="1"/>
    </xf>
    <xf numFmtId="3" fontId="10" fillId="0" borderId="395" xfId="2" applyNumberFormat="1" applyFont="1" applyFill="1" applyBorder="1" applyAlignment="1" applyProtection="1">
      <alignment vertical="center"/>
      <protection locked="0"/>
    </xf>
    <xf numFmtId="3" fontId="10" fillId="0" borderId="14" xfId="2" applyNumberFormat="1" applyFont="1" applyFill="1" applyBorder="1" applyAlignment="1" applyProtection="1">
      <alignment vertical="center"/>
      <protection locked="0"/>
    </xf>
    <xf numFmtId="3" fontId="222" fillId="0" borderId="395" xfId="2" applyNumberFormat="1" applyFont="1" applyFill="1" applyBorder="1" applyAlignment="1" applyProtection="1">
      <alignment horizontal="center" vertical="center"/>
    </xf>
    <xf numFmtId="3" fontId="10" fillId="0" borderId="14" xfId="2" applyNumberFormat="1" applyFont="1" applyFill="1" applyBorder="1" applyAlignment="1" applyProtection="1">
      <alignment vertical="center"/>
    </xf>
    <xf numFmtId="3" fontId="110" fillId="0" borderId="14" xfId="2" applyNumberFormat="1" applyFont="1" applyFill="1" applyBorder="1" applyAlignment="1" applyProtection="1">
      <alignment horizontal="center" vertical="center"/>
      <protection hidden="1"/>
    </xf>
    <xf numFmtId="3" fontId="128" fillId="0" borderId="395" xfId="2" applyNumberFormat="1" applyFont="1" applyFill="1" applyBorder="1" applyAlignment="1" applyProtection="1">
      <alignment horizontal="center" vertical="center"/>
      <protection hidden="1"/>
    </xf>
    <xf numFmtId="3" fontId="128" fillId="0" borderId="14" xfId="2" applyNumberFormat="1" applyFont="1" applyFill="1" applyBorder="1" applyAlignment="1" applyProtection="1">
      <alignment horizontal="center" vertical="center"/>
      <protection hidden="1"/>
    </xf>
    <xf numFmtId="3" fontId="107" fillId="0" borderId="395" xfId="0" applyNumberFormat="1" applyFont="1" applyBorder="1" applyAlignment="1" applyProtection="1">
      <alignment vertical="center"/>
    </xf>
    <xf numFmtId="3" fontId="107" fillId="0" borderId="14" xfId="0" applyNumberFormat="1" applyFont="1" applyBorder="1" applyAlignment="1" applyProtection="1">
      <alignment vertical="center"/>
    </xf>
    <xf numFmtId="0" fontId="12" fillId="17" borderId="364" xfId="2" applyFont="1" applyFill="1" applyBorder="1" applyAlignment="1">
      <alignment horizontal="center" vertical="top"/>
    </xf>
    <xf numFmtId="0" fontId="12" fillId="17" borderId="364" xfId="2" applyFont="1" applyFill="1" applyBorder="1" applyAlignment="1">
      <alignment vertical="top"/>
    </xf>
    <xf numFmtId="0" fontId="12" fillId="17" borderId="351" xfId="2" applyFont="1" applyFill="1" applyBorder="1" applyAlignment="1">
      <alignment vertical="top"/>
    </xf>
    <xf numFmtId="0" fontId="12" fillId="17" borderId="350" xfId="2" applyFont="1" applyFill="1" applyBorder="1" applyAlignment="1">
      <alignment vertical="top"/>
    </xf>
    <xf numFmtId="0" fontId="12" fillId="17" borderId="0" xfId="2" applyFont="1" applyFill="1" applyBorder="1" applyAlignment="1">
      <alignment horizontal="right" vertical="top"/>
    </xf>
    <xf numFmtId="0" fontId="12" fillId="17" borderId="388" xfId="2" applyFont="1" applyFill="1" applyBorder="1" applyAlignment="1">
      <alignment vertical="top"/>
    </xf>
    <xf numFmtId="0" fontId="16" fillId="17" borderId="0" xfId="2" applyFont="1" applyFill="1" applyBorder="1" applyAlignment="1">
      <alignment vertical="top"/>
    </xf>
    <xf numFmtId="0" fontId="17" fillId="17" borderId="362" xfId="2" applyFont="1" applyFill="1" applyBorder="1" applyAlignment="1" applyProtection="1">
      <alignment horizontal="left" indent="1"/>
    </xf>
    <xf numFmtId="0" fontId="12" fillId="17" borderId="388" xfId="2" applyFont="1" applyFill="1" applyBorder="1" applyProtection="1"/>
    <xf numFmtId="0" fontId="4" fillId="17" borderId="383" xfId="2" applyFont="1" applyFill="1" applyBorder="1" applyProtection="1"/>
    <xf numFmtId="0" fontId="4" fillId="17" borderId="351" xfId="2" applyFont="1" applyFill="1" applyBorder="1" applyProtection="1"/>
    <xf numFmtId="0" fontId="4" fillId="17" borderId="350" xfId="2" applyFont="1" applyFill="1" applyBorder="1" applyProtection="1"/>
    <xf numFmtId="0" fontId="2" fillId="54" borderId="449" xfId="2" applyFont="1" applyFill="1" applyBorder="1" applyAlignment="1" applyProtection="1">
      <alignment horizontal="left" indent="1"/>
    </xf>
    <xf numFmtId="0" fontId="2" fillId="54" borderId="450" xfId="2" applyFont="1" applyFill="1" applyBorder="1" applyAlignment="1" applyProtection="1">
      <alignment horizontal="center"/>
    </xf>
    <xf numFmtId="0" fontId="223" fillId="54" borderId="451" xfId="2" applyFont="1" applyFill="1" applyBorder="1" applyAlignment="1" applyProtection="1">
      <alignment horizontal="left" vertical="top" indent="1"/>
    </xf>
    <xf numFmtId="3" fontId="224" fillId="54" borderId="452" xfId="2" applyNumberFormat="1" applyFont="1" applyFill="1" applyBorder="1" applyAlignment="1" applyProtection="1">
      <alignment vertical="center"/>
    </xf>
    <xf numFmtId="3" fontId="224" fillId="54" borderId="449" xfId="2" applyNumberFormat="1" applyFont="1" applyFill="1" applyBorder="1" applyAlignment="1" applyProtection="1">
      <alignment vertical="center"/>
    </xf>
    <xf numFmtId="3" fontId="224" fillId="54" borderId="453" xfId="2" applyNumberFormat="1" applyFont="1" applyFill="1" applyBorder="1" applyAlignment="1" applyProtection="1">
      <alignment vertical="center"/>
    </xf>
    <xf numFmtId="0" fontId="16" fillId="17" borderId="0" xfId="2" applyFont="1" applyFill="1" applyBorder="1" applyAlignment="1" applyProtection="1">
      <alignment horizontal="left" indent="1"/>
    </xf>
    <xf numFmtId="0" fontId="12" fillId="17" borderId="371" xfId="2" applyFont="1" applyFill="1" applyBorder="1" applyAlignment="1" applyProtection="1">
      <alignment vertical="center"/>
    </xf>
    <xf numFmtId="0" fontId="12" fillId="17" borderId="371" xfId="2" applyFont="1" applyFill="1" applyBorder="1" applyAlignment="1" applyProtection="1">
      <alignment vertical="top"/>
    </xf>
    <xf numFmtId="0" fontId="4" fillId="17" borderId="0" xfId="2" applyFont="1" applyFill="1" applyProtection="1">
      <protection locked="0"/>
    </xf>
    <xf numFmtId="0" fontId="225" fillId="0" borderId="0" xfId="1" applyFont="1" applyFill="1" applyBorder="1" applyAlignment="1" applyProtection="1">
      <alignment horizontal="center" vertical="center"/>
    </xf>
    <xf numFmtId="49" fontId="11" fillId="17" borderId="364" xfId="2" applyNumberFormat="1" applyFont="1" applyFill="1" applyBorder="1" applyAlignment="1">
      <alignment horizontal="center" vertical="center"/>
    </xf>
    <xf numFmtId="49" fontId="11" fillId="17" borderId="388" xfId="2" applyNumberFormat="1" applyFont="1" applyFill="1" applyBorder="1" applyAlignment="1">
      <alignment horizontal="center" vertical="center"/>
    </xf>
    <xf numFmtId="0" fontId="11" fillId="17" borderId="388" xfId="2" applyFont="1" applyFill="1" applyBorder="1" applyAlignment="1">
      <alignment vertical="top"/>
    </xf>
    <xf numFmtId="0" fontId="12" fillId="0" borderId="388" xfId="2" applyFont="1" applyFill="1" applyBorder="1" applyAlignment="1">
      <alignment vertical="top"/>
    </xf>
    <xf numFmtId="0" fontId="11" fillId="17" borderId="0" xfId="2" applyFont="1" applyFill="1" applyBorder="1" applyAlignment="1">
      <alignment horizontal="center" vertical="top"/>
    </xf>
    <xf numFmtId="0" fontId="126" fillId="17" borderId="0" xfId="2" applyFont="1" applyFill="1" applyBorder="1" applyAlignment="1">
      <alignment vertical="top"/>
    </xf>
    <xf numFmtId="0" fontId="116" fillId="17" borderId="0" xfId="2" applyFont="1" applyFill="1" applyBorder="1" applyAlignment="1">
      <alignment horizontal="center" vertical="top"/>
    </xf>
    <xf numFmtId="1" fontId="116" fillId="17" borderId="0" xfId="2" applyNumberFormat="1" applyFont="1" applyFill="1" applyBorder="1" applyAlignment="1">
      <alignment horizontal="center" vertical="top"/>
    </xf>
    <xf numFmtId="0" fontId="132" fillId="17" borderId="0" xfId="2" applyFont="1" applyFill="1" applyBorder="1" applyAlignment="1">
      <alignment horizontal="right" vertical="top"/>
    </xf>
    <xf numFmtId="0" fontId="17" fillId="16" borderId="351" xfId="2" applyFont="1" applyFill="1" applyBorder="1" applyAlignment="1" applyProtection="1">
      <alignment vertical="center"/>
      <protection hidden="1"/>
    </xf>
    <xf numFmtId="0" fontId="39" fillId="16" borderId="351" xfId="1" applyFont="1" applyFill="1" applyBorder="1" applyAlignment="1" applyProtection="1"/>
    <xf numFmtId="0" fontId="0" fillId="16" borderId="350" xfId="0" applyFill="1" applyBorder="1"/>
    <xf numFmtId="3" fontId="109" fillId="17" borderId="9" xfId="2" applyNumberFormat="1" applyFont="1" applyFill="1" applyBorder="1" applyAlignment="1" applyProtection="1">
      <alignment vertical="center"/>
    </xf>
    <xf numFmtId="0" fontId="116" fillId="0" borderId="14" xfId="2" applyFont="1" applyFill="1" applyBorder="1" applyAlignment="1" applyProtection="1">
      <alignment horizontal="left" vertical="center"/>
    </xf>
    <xf numFmtId="3" fontId="39" fillId="17" borderId="1" xfId="1" applyNumberFormat="1" applyFont="1" applyFill="1" applyBorder="1" applyAlignment="1" applyProtection="1">
      <alignment vertical="center"/>
    </xf>
    <xf numFmtId="3" fontId="226" fillId="17" borderId="1" xfId="2" applyNumberFormat="1" applyFont="1" applyFill="1" applyBorder="1" applyAlignment="1" applyProtection="1">
      <alignment vertical="center"/>
    </xf>
    <xf numFmtId="0" fontId="110" fillId="0" borderId="371" xfId="2" applyFont="1" applyFill="1" applyBorder="1" applyAlignment="1" applyProtection="1">
      <alignment horizontal="left" vertical="center"/>
    </xf>
    <xf numFmtId="3" fontId="109" fillId="17" borderId="1" xfId="2" applyNumberFormat="1" applyFont="1" applyFill="1" applyBorder="1" applyAlignment="1" applyProtection="1">
      <alignment vertical="center"/>
    </xf>
    <xf numFmtId="3" fontId="226" fillId="17" borderId="5" xfId="2" applyNumberFormat="1" applyFont="1" applyFill="1" applyBorder="1" applyAlignment="1" applyProtection="1">
      <alignment vertical="center"/>
    </xf>
    <xf numFmtId="0" fontId="28" fillId="0" borderId="0" xfId="1" applyFont="1" applyAlignment="1" applyProtection="1">
      <alignment vertical="top"/>
    </xf>
    <xf numFmtId="164" fontId="214" fillId="17" borderId="364" xfId="0" applyNumberFormat="1" applyFont="1" applyFill="1" applyBorder="1" applyAlignment="1" applyProtection="1">
      <alignment horizontal="center" vertical="center" wrapText="1"/>
      <protection hidden="1"/>
    </xf>
    <xf numFmtId="0" fontId="12" fillId="0" borderId="4" xfId="2" applyFont="1" applyBorder="1" applyAlignment="1">
      <alignment horizontal="center"/>
    </xf>
    <xf numFmtId="0" fontId="32" fillId="11" borderId="110" xfId="2" applyFont="1" applyFill="1" applyBorder="1" applyAlignment="1">
      <alignment horizontal="center"/>
    </xf>
    <xf numFmtId="0" fontId="32" fillId="11" borderId="30" xfId="2" applyFont="1" applyFill="1" applyBorder="1" applyAlignment="1">
      <alignment horizontal="center"/>
    </xf>
    <xf numFmtId="0" fontId="32" fillId="11" borderId="32" xfId="2" applyFont="1" applyFill="1" applyBorder="1" applyAlignment="1">
      <alignment horizontal="center"/>
    </xf>
    <xf numFmtId="0" fontId="32" fillId="11" borderId="111" xfId="2" applyFont="1" applyFill="1" applyBorder="1" applyAlignment="1">
      <alignment horizontal="center"/>
    </xf>
    <xf numFmtId="0" fontId="76" fillId="14" borderId="110" xfId="2" applyFont="1" applyFill="1" applyBorder="1" applyAlignment="1">
      <alignment horizontal="center"/>
    </xf>
    <xf numFmtId="0" fontId="76" fillId="14" borderId="30" xfId="2" applyFont="1" applyFill="1" applyBorder="1" applyAlignment="1">
      <alignment horizontal="center"/>
    </xf>
    <xf numFmtId="0" fontId="76" fillId="14" borderId="32" xfId="2" applyFont="1" applyFill="1" applyBorder="1" applyAlignment="1">
      <alignment horizontal="center"/>
    </xf>
    <xf numFmtId="0" fontId="76" fillId="14" borderId="111" xfId="2" applyFont="1" applyFill="1" applyBorder="1" applyAlignment="1">
      <alignment horizontal="center"/>
    </xf>
    <xf numFmtId="0" fontId="32" fillId="11" borderId="17" xfId="2" applyFont="1" applyFill="1" applyBorder="1" applyAlignment="1">
      <alignment horizontal="center"/>
    </xf>
    <xf numFmtId="0" fontId="76" fillId="13" borderId="32" xfId="2" applyFont="1" applyFill="1" applyBorder="1" applyAlignment="1">
      <alignment horizontal="center"/>
    </xf>
    <xf numFmtId="0" fontId="76" fillId="13" borderId="30" xfId="2" applyFont="1" applyFill="1" applyBorder="1" applyAlignment="1">
      <alignment horizontal="center"/>
    </xf>
    <xf numFmtId="0" fontId="53" fillId="10" borderId="32" xfId="2" applyFont="1" applyFill="1" applyBorder="1" applyAlignment="1">
      <alignment horizontal="center"/>
    </xf>
    <xf numFmtId="0" fontId="53" fillId="10" borderId="30" xfId="2" applyFont="1" applyFill="1" applyBorder="1" applyAlignment="1">
      <alignment horizontal="center"/>
    </xf>
    <xf numFmtId="0" fontId="12" fillId="0" borderId="0" xfId="2" applyFont="1" applyBorder="1" applyAlignment="1">
      <alignment horizontal="center"/>
    </xf>
    <xf numFmtId="0" fontId="12" fillId="0" borderId="1" xfId="2" applyFont="1" applyBorder="1" applyAlignment="1">
      <alignment horizontal="center"/>
    </xf>
    <xf numFmtId="0" fontId="12" fillId="3" borderId="105" xfId="2" applyFont="1" applyFill="1" applyBorder="1" applyAlignment="1">
      <alignment horizontal="center"/>
    </xf>
    <xf numFmtId="0" fontId="12" fillId="3" borderId="103" xfId="2" applyFont="1" applyFill="1" applyBorder="1" applyAlignment="1">
      <alignment horizontal="center"/>
    </xf>
    <xf numFmtId="0" fontId="12" fillId="12" borderId="32" xfId="2" applyFont="1" applyFill="1" applyBorder="1" applyAlignment="1">
      <alignment horizontal="center"/>
    </xf>
    <xf numFmtId="0" fontId="12" fillId="12" borderId="30" xfId="2" applyFont="1" applyFill="1" applyBorder="1" applyAlignment="1">
      <alignment horizontal="center"/>
    </xf>
    <xf numFmtId="0" fontId="34" fillId="3" borderId="32" xfId="2" applyFont="1" applyFill="1" applyBorder="1" applyAlignment="1">
      <alignment horizontal="center"/>
    </xf>
    <xf numFmtId="0" fontId="34" fillId="3" borderId="30" xfId="2" applyFont="1" applyFill="1" applyBorder="1" applyAlignment="1">
      <alignment horizontal="center"/>
    </xf>
    <xf numFmtId="0" fontId="12" fillId="12" borderId="55" xfId="2" applyFont="1" applyFill="1" applyBorder="1" applyAlignment="1">
      <alignment horizontal="center"/>
    </xf>
    <xf numFmtId="0" fontId="12" fillId="12" borderId="49" xfId="2" applyFont="1" applyFill="1" applyBorder="1" applyAlignment="1">
      <alignment horizontal="center"/>
    </xf>
    <xf numFmtId="0" fontId="12" fillId="12" borderId="105" xfId="2" applyFont="1" applyFill="1" applyBorder="1" applyAlignment="1">
      <alignment horizontal="center"/>
    </xf>
    <xf numFmtId="0" fontId="12" fillId="12" borderId="103" xfId="2" applyFont="1" applyFill="1" applyBorder="1" applyAlignment="1">
      <alignment horizontal="center"/>
    </xf>
    <xf numFmtId="0" fontId="12" fillId="6" borderId="32" xfId="2" applyFont="1" applyFill="1" applyBorder="1" applyAlignment="1">
      <alignment horizontal="center"/>
    </xf>
    <xf numFmtId="0" fontId="12" fillId="6" borderId="30" xfId="2" applyFont="1" applyFill="1" applyBorder="1" applyAlignment="1">
      <alignment horizontal="center"/>
    </xf>
    <xf numFmtId="0" fontId="34" fillId="3" borderId="55" xfId="2" applyFont="1" applyFill="1" applyBorder="1" applyAlignment="1">
      <alignment horizontal="center"/>
    </xf>
    <xf numFmtId="0" fontId="34" fillId="3" borderId="49" xfId="2" applyFont="1" applyFill="1" applyBorder="1" applyAlignment="1">
      <alignment horizontal="center"/>
    </xf>
    <xf numFmtId="0" fontId="12" fillId="10" borderId="32" xfId="2" applyFont="1" applyFill="1" applyBorder="1" applyAlignment="1">
      <alignment horizontal="center"/>
    </xf>
    <xf numFmtId="0" fontId="12" fillId="10" borderId="30" xfId="2" applyFont="1" applyFill="1" applyBorder="1" applyAlignment="1">
      <alignment horizontal="center"/>
    </xf>
    <xf numFmtId="9" fontId="7" fillId="0" borderId="107" xfId="2" applyNumberFormat="1" applyFont="1" applyFill="1" applyBorder="1" applyAlignment="1" applyProtection="1">
      <alignment horizontal="center" vertical="center"/>
      <protection hidden="1"/>
    </xf>
    <xf numFmtId="9" fontId="7" fillId="0" borderId="108" xfId="2" applyNumberFormat="1" applyFont="1" applyFill="1" applyBorder="1" applyAlignment="1" applyProtection="1">
      <alignment horizontal="center" vertical="center"/>
      <protection hidden="1"/>
    </xf>
    <xf numFmtId="9" fontId="7" fillId="0" borderId="94" xfId="2" applyNumberFormat="1" applyFont="1" applyFill="1" applyBorder="1" applyAlignment="1" applyProtection="1">
      <alignment horizontal="center" vertical="center"/>
      <protection hidden="1"/>
    </xf>
    <xf numFmtId="3" fontId="10" fillId="0" borderId="131" xfId="2" applyNumberFormat="1" applyFont="1" applyFill="1" applyBorder="1" applyAlignment="1" applyProtection="1">
      <alignment horizontal="right" vertical="top"/>
      <protection hidden="1"/>
    </xf>
    <xf numFmtId="3" fontId="10" fillId="0" borderId="134" xfId="2" applyNumberFormat="1" applyFont="1" applyFill="1" applyBorder="1" applyAlignment="1" applyProtection="1">
      <alignment horizontal="right" vertical="top"/>
      <protection hidden="1"/>
    </xf>
    <xf numFmtId="9" fontId="7" fillId="0" borderId="109" xfId="2" applyNumberFormat="1" applyFont="1" applyFill="1" applyBorder="1" applyAlignment="1" applyProtection="1">
      <alignment horizontal="center" vertical="center"/>
      <protection hidden="1"/>
    </xf>
    <xf numFmtId="0" fontId="12" fillId="0" borderId="131" xfId="2" applyFont="1" applyBorder="1" applyAlignment="1" applyProtection="1">
      <alignment horizontal="center"/>
      <protection hidden="1"/>
    </xf>
    <xf numFmtId="0" fontId="12" fillId="0" borderId="134" xfId="2" applyFont="1" applyBorder="1" applyAlignment="1" applyProtection="1">
      <alignment horizontal="center"/>
      <protection hidden="1"/>
    </xf>
    <xf numFmtId="0" fontId="12" fillId="0" borderId="164" xfId="2" applyFont="1" applyBorder="1" applyAlignment="1" applyProtection="1">
      <alignment horizontal="center"/>
      <protection hidden="1"/>
    </xf>
    <xf numFmtId="0" fontId="12" fillId="0" borderId="163" xfId="2" applyFont="1" applyBorder="1" applyAlignment="1" applyProtection="1">
      <alignment horizontal="center"/>
      <protection hidden="1"/>
    </xf>
    <xf numFmtId="3" fontId="10" fillId="0" borderId="164" xfId="2" applyNumberFormat="1" applyFont="1" applyFill="1" applyBorder="1" applyAlignment="1" applyProtection="1">
      <alignment horizontal="right" vertical="top"/>
      <protection hidden="1"/>
    </xf>
    <xf numFmtId="3" fontId="10" fillId="0" borderId="163" xfId="2" applyNumberFormat="1" applyFont="1" applyFill="1" applyBorder="1" applyAlignment="1" applyProtection="1">
      <alignment horizontal="right" vertical="top"/>
      <protection hidden="1"/>
    </xf>
    <xf numFmtId="0" fontId="7" fillId="0" borderId="1" xfId="2" applyFont="1" applyBorder="1" applyAlignment="1" applyProtection="1">
      <alignment horizontal="center"/>
      <protection hidden="1"/>
    </xf>
    <xf numFmtId="164" fontId="59" fillId="0" borderId="196" xfId="0" applyNumberFormat="1" applyFont="1" applyFill="1" applyBorder="1" applyAlignment="1" applyProtection="1">
      <alignment horizontal="center" vertical="center" wrapText="1"/>
      <protection locked="0"/>
    </xf>
    <xf numFmtId="164" fontId="59" fillId="0" borderId="197" xfId="0" applyNumberFormat="1" applyFont="1" applyFill="1" applyBorder="1" applyAlignment="1" applyProtection="1">
      <alignment horizontal="center" vertical="center" wrapText="1"/>
      <protection locked="0"/>
    </xf>
    <xf numFmtId="0" fontId="11" fillId="0" borderId="0" xfId="2" applyFont="1" applyFill="1" applyBorder="1" applyAlignment="1" applyProtection="1">
      <alignment horizontal="center"/>
    </xf>
    <xf numFmtId="0" fontId="11" fillId="0" borderId="107" xfId="2" applyFont="1" applyFill="1" applyBorder="1" applyAlignment="1" applyProtection="1">
      <alignment horizontal="center" vertical="center" wrapText="1"/>
      <protection locked="0"/>
    </xf>
    <xf numFmtId="0" fontId="11" fillId="0" borderId="94" xfId="2" applyFont="1" applyFill="1" applyBorder="1" applyAlignment="1" applyProtection="1">
      <alignment horizontal="center" vertical="center" wrapText="1"/>
      <protection locked="0"/>
    </xf>
    <xf numFmtId="0" fontId="11" fillId="0" borderId="108" xfId="2" applyFont="1" applyFill="1" applyBorder="1" applyAlignment="1" applyProtection="1">
      <alignment horizontal="center" vertical="center" wrapText="1"/>
      <protection locked="0"/>
    </xf>
    <xf numFmtId="0" fontId="110" fillId="0" borderId="74" xfId="2" applyFont="1" applyBorder="1" applyAlignment="1">
      <alignment horizontal="center"/>
    </xf>
    <xf numFmtId="0" fontId="11" fillId="0" borderId="74" xfId="2" applyFont="1" applyBorder="1" applyAlignment="1">
      <alignment horizontal="center"/>
    </xf>
    <xf numFmtId="0" fontId="137" fillId="0" borderId="0" xfId="2" applyFont="1" applyAlignment="1">
      <alignment horizontal="center" vertical="top"/>
    </xf>
    <xf numFmtId="0" fontId="136" fillId="30" borderId="192" xfId="2" applyFont="1" applyFill="1" applyBorder="1" applyAlignment="1">
      <alignment horizontal="center" vertical="center" wrapText="1"/>
    </xf>
    <xf numFmtId="0" fontId="136" fillId="30" borderId="167" xfId="2" applyFont="1" applyFill="1" applyBorder="1" applyAlignment="1">
      <alignment horizontal="center" vertical="center" wrapText="1"/>
    </xf>
    <xf numFmtId="0" fontId="136" fillId="30" borderId="193" xfId="2" applyFont="1" applyFill="1" applyBorder="1" applyAlignment="1">
      <alignment horizontal="center" vertical="center" wrapText="1"/>
    </xf>
    <xf numFmtId="0" fontId="11" fillId="0" borderId="1" xfId="2" applyFont="1" applyBorder="1" applyAlignment="1">
      <alignment horizontal="center" vertical="top"/>
    </xf>
    <xf numFmtId="0" fontId="120" fillId="24" borderId="136" xfId="2" applyFont="1" applyFill="1" applyBorder="1" applyAlignment="1">
      <alignment horizontal="center"/>
    </xf>
    <xf numFmtId="0" fontId="120" fillId="24" borderId="195" xfId="2" applyFont="1" applyFill="1" applyBorder="1" applyAlignment="1">
      <alignment horizontal="center"/>
    </xf>
    <xf numFmtId="9" fontId="7" fillId="0" borderId="107" xfId="2" applyNumberFormat="1" applyFont="1" applyFill="1" applyBorder="1" applyAlignment="1" applyProtection="1">
      <alignment horizontal="center" vertical="center"/>
      <protection locked="0" hidden="1"/>
    </xf>
    <xf numFmtId="9" fontId="7" fillId="0" borderId="108" xfId="2" applyNumberFormat="1" applyFont="1" applyFill="1" applyBorder="1" applyAlignment="1" applyProtection="1">
      <alignment horizontal="center" vertical="center"/>
      <protection locked="0" hidden="1"/>
    </xf>
    <xf numFmtId="0" fontId="7" fillId="0" borderId="107" xfId="2" applyFont="1" applyFill="1" applyBorder="1" applyAlignment="1" applyProtection="1">
      <alignment horizontal="center" vertical="center"/>
      <protection locked="0"/>
    </xf>
    <xf numFmtId="0" fontId="7" fillId="0" borderId="94" xfId="2" applyFont="1" applyFill="1" applyBorder="1" applyAlignment="1" applyProtection="1">
      <alignment horizontal="center" vertical="center"/>
      <protection locked="0"/>
    </xf>
    <xf numFmtId="0" fontId="7" fillId="0" borderId="108" xfId="2" applyFont="1" applyFill="1" applyBorder="1" applyAlignment="1" applyProtection="1">
      <alignment horizontal="center" vertical="center"/>
      <protection locked="0"/>
    </xf>
    <xf numFmtId="0" fontId="187" fillId="16" borderId="136" xfId="2" applyFont="1" applyFill="1" applyBorder="1" applyAlignment="1">
      <alignment horizontal="center" vertical="top"/>
    </xf>
    <xf numFmtId="0" fontId="187" fillId="16" borderId="284" xfId="2" applyFont="1" applyFill="1" applyBorder="1" applyAlignment="1">
      <alignment horizontal="center" vertical="top"/>
    </xf>
    <xf numFmtId="0" fontId="187" fillId="16" borderId="195" xfId="2" applyFont="1" applyFill="1" applyBorder="1" applyAlignment="1">
      <alignment horizontal="center" vertical="top"/>
    </xf>
    <xf numFmtId="9" fontId="110" fillId="0" borderId="0" xfId="2" applyNumberFormat="1" applyFont="1" applyFill="1" applyBorder="1" applyAlignment="1" applyProtection="1">
      <alignment horizontal="center" vertical="center"/>
      <protection locked="0" hidden="1"/>
    </xf>
    <xf numFmtId="9" fontId="7" fillId="16" borderId="297" xfId="2" applyNumberFormat="1" applyFont="1" applyFill="1" applyBorder="1" applyAlignment="1" applyProtection="1">
      <alignment horizontal="center" vertical="center"/>
      <protection hidden="1"/>
    </xf>
    <xf numFmtId="9" fontId="7" fillId="16" borderId="298" xfId="2" applyNumberFormat="1" applyFont="1" applyFill="1" applyBorder="1" applyAlignment="1" applyProtection="1">
      <alignment horizontal="center" vertical="center"/>
      <protection hidden="1"/>
    </xf>
    <xf numFmtId="0" fontId="207" fillId="0" borderId="0" xfId="2" applyFont="1" applyBorder="1" applyAlignment="1">
      <alignment horizontal="center" vertical="top"/>
    </xf>
    <xf numFmtId="0" fontId="207" fillId="0" borderId="349" xfId="2" applyFont="1" applyBorder="1" applyAlignment="1">
      <alignment horizontal="center" vertical="top"/>
    </xf>
    <xf numFmtId="0" fontId="18" fillId="16" borderId="174" xfId="2" applyFont="1" applyFill="1" applyBorder="1" applyAlignment="1">
      <alignment horizontal="center" vertical="center"/>
    </xf>
    <xf numFmtId="0" fontId="18" fillId="16" borderId="0" xfId="2" applyFont="1" applyFill="1" applyBorder="1" applyAlignment="1">
      <alignment horizontal="center" vertical="center"/>
    </xf>
    <xf numFmtId="0" fontId="136" fillId="30" borderId="188" xfId="2" applyFont="1" applyFill="1" applyBorder="1" applyAlignment="1">
      <alignment horizontal="center" vertical="center" wrapText="1"/>
    </xf>
    <xf numFmtId="0" fontId="136" fillId="30" borderId="189" xfId="2" applyFont="1" applyFill="1" applyBorder="1" applyAlignment="1">
      <alignment horizontal="center" vertical="center" wrapText="1"/>
    </xf>
    <xf numFmtId="0" fontId="136" fillId="30" borderId="179" xfId="2" applyFont="1" applyFill="1" applyBorder="1" applyAlignment="1">
      <alignment horizontal="center" vertical="center" wrapText="1"/>
    </xf>
    <xf numFmtId="0" fontId="136" fillId="30" borderId="190" xfId="2" applyFont="1" applyFill="1" applyBorder="1" applyAlignment="1">
      <alignment horizontal="center" vertical="center" wrapText="1"/>
    </xf>
    <xf numFmtId="0" fontId="136" fillId="30" borderId="191" xfId="2" applyFont="1" applyFill="1" applyBorder="1" applyAlignment="1">
      <alignment horizontal="center" vertical="center" wrapText="1"/>
    </xf>
    <xf numFmtId="0" fontId="136" fillId="30" borderId="180" xfId="2" applyFont="1" applyFill="1" applyBorder="1" applyAlignment="1">
      <alignment horizontal="center" vertical="center" wrapText="1"/>
    </xf>
    <xf numFmtId="9" fontId="59" fillId="0" borderId="196" xfId="0" applyNumberFormat="1" applyFont="1" applyFill="1" applyBorder="1" applyAlignment="1" applyProtection="1">
      <alignment horizontal="center" vertical="center" wrapText="1"/>
      <protection locked="0"/>
    </xf>
    <xf numFmtId="9" fontId="59" fillId="0" borderId="197" xfId="0" applyNumberFormat="1" applyFont="1" applyFill="1" applyBorder="1" applyAlignment="1" applyProtection="1">
      <alignment horizontal="center" vertical="center" wrapText="1"/>
      <protection locked="0"/>
    </xf>
    <xf numFmtId="0" fontId="110" fillId="17" borderId="0" xfId="2" applyFont="1" applyFill="1" applyBorder="1" applyAlignment="1" applyProtection="1">
      <alignment horizontal="left" vertical="center" wrapText="1"/>
    </xf>
    <xf numFmtId="9" fontId="7" fillId="17" borderId="3" xfId="2" applyNumberFormat="1" applyFont="1" applyFill="1" applyBorder="1" applyAlignment="1" applyProtection="1">
      <alignment horizontal="center"/>
    </xf>
    <xf numFmtId="9" fontId="7" fillId="17" borderId="205" xfId="2" applyNumberFormat="1" applyFont="1" applyFill="1" applyBorder="1" applyAlignment="1" applyProtection="1">
      <alignment horizontal="center"/>
    </xf>
    <xf numFmtId="3" fontId="11" fillId="0" borderId="131" xfId="2" applyNumberFormat="1" applyFont="1" applyFill="1" applyBorder="1" applyAlignment="1" applyProtection="1">
      <alignment horizontal="right"/>
      <protection locked="0"/>
    </xf>
    <xf numFmtId="3" fontId="11" fillId="0" borderId="150" xfId="2" applyNumberFormat="1" applyFont="1" applyFill="1" applyBorder="1" applyAlignment="1" applyProtection="1">
      <alignment horizontal="right"/>
      <protection locked="0"/>
    </xf>
    <xf numFmtId="3" fontId="11" fillId="0" borderId="134" xfId="2" applyNumberFormat="1" applyFont="1" applyFill="1" applyBorder="1" applyAlignment="1" applyProtection="1">
      <alignment horizontal="right"/>
      <protection locked="0"/>
    </xf>
    <xf numFmtId="9" fontId="77" fillId="15" borderId="203" xfId="2" applyNumberFormat="1" applyFont="1" applyFill="1" applyBorder="1" applyAlignment="1" applyProtection="1">
      <alignment horizontal="center"/>
      <protection hidden="1"/>
    </xf>
    <xf numFmtId="9" fontId="77" fillId="15" borderId="204" xfId="2" applyNumberFormat="1" applyFont="1" applyFill="1" applyBorder="1" applyAlignment="1" applyProtection="1">
      <alignment horizontal="center"/>
      <protection hidden="1"/>
    </xf>
    <xf numFmtId="9" fontId="113" fillId="15" borderId="56" xfId="2" applyNumberFormat="1" applyFont="1" applyFill="1" applyBorder="1" applyAlignment="1" applyProtection="1">
      <alignment horizontal="center"/>
      <protection hidden="1"/>
    </xf>
    <xf numFmtId="9" fontId="113" fillId="15" borderId="39" xfId="2" applyNumberFormat="1" applyFont="1" applyFill="1" applyBorder="1" applyAlignment="1" applyProtection="1">
      <alignment horizontal="center"/>
      <protection hidden="1"/>
    </xf>
    <xf numFmtId="9" fontId="77" fillId="15" borderId="210" xfId="2" applyNumberFormat="1" applyFont="1" applyFill="1" applyBorder="1" applyAlignment="1" applyProtection="1">
      <alignment horizontal="center"/>
      <protection hidden="1"/>
    </xf>
    <xf numFmtId="9" fontId="77" fillId="15" borderId="39" xfId="2" applyNumberFormat="1" applyFont="1" applyFill="1" applyBorder="1" applyAlignment="1" applyProtection="1">
      <alignment horizontal="center"/>
      <protection hidden="1"/>
    </xf>
    <xf numFmtId="9" fontId="7" fillId="17" borderId="0" xfId="2" applyNumberFormat="1" applyFont="1" applyFill="1" applyBorder="1" applyAlignment="1" applyProtection="1">
      <alignment horizontal="center"/>
    </xf>
    <xf numFmtId="3" fontId="11" fillId="17" borderId="112" xfId="2" applyNumberFormat="1" applyFont="1" applyFill="1" applyBorder="1" applyAlignment="1" applyProtection="1">
      <alignment horizontal="right"/>
    </xf>
    <xf numFmtId="3" fontId="11" fillId="17" borderId="113" xfId="2" applyNumberFormat="1" applyFont="1" applyFill="1" applyBorder="1" applyAlignment="1" applyProtection="1">
      <alignment horizontal="right"/>
    </xf>
    <xf numFmtId="3" fontId="11" fillId="17" borderId="114" xfId="2" applyNumberFormat="1" applyFont="1" applyFill="1" applyBorder="1" applyAlignment="1" applyProtection="1">
      <alignment horizontal="right"/>
    </xf>
    <xf numFmtId="9" fontId="11" fillId="0" borderId="200" xfId="2" applyNumberFormat="1" applyFont="1" applyFill="1" applyBorder="1" applyAlignment="1" applyProtection="1">
      <alignment horizontal="center" vertical="center"/>
      <protection locked="0" hidden="1"/>
    </xf>
    <xf numFmtId="9" fontId="11" fillId="0" borderId="201" xfId="2" applyNumberFormat="1" applyFont="1" applyFill="1" applyBorder="1" applyAlignment="1" applyProtection="1">
      <alignment horizontal="center" vertical="center"/>
      <protection locked="0" hidden="1"/>
    </xf>
    <xf numFmtId="9" fontId="11" fillId="0" borderId="202" xfId="2" applyNumberFormat="1" applyFont="1" applyFill="1" applyBorder="1" applyAlignment="1" applyProtection="1">
      <alignment horizontal="center" vertical="center"/>
      <protection locked="0" hidden="1"/>
    </xf>
    <xf numFmtId="3" fontId="11" fillId="17" borderId="194" xfId="2" applyNumberFormat="1" applyFont="1" applyFill="1" applyBorder="1" applyAlignment="1" applyProtection="1">
      <alignment horizontal="right"/>
    </xf>
    <xf numFmtId="3" fontId="11" fillId="17" borderId="185" xfId="2" applyNumberFormat="1" applyFont="1" applyFill="1" applyBorder="1" applyAlignment="1" applyProtection="1">
      <alignment horizontal="right"/>
    </xf>
    <xf numFmtId="3" fontId="11" fillId="17" borderId="183" xfId="2" applyNumberFormat="1" applyFont="1" applyFill="1" applyBorder="1" applyAlignment="1" applyProtection="1">
      <alignment horizontal="right"/>
    </xf>
    <xf numFmtId="0" fontId="59" fillId="17" borderId="198" xfId="0" applyFont="1" applyFill="1" applyBorder="1" applyAlignment="1" applyProtection="1">
      <alignment horizontal="center" vertical="center" wrapText="1"/>
    </xf>
    <xf numFmtId="0" fontId="140" fillId="16" borderId="152" xfId="2" applyFont="1" applyFill="1" applyBorder="1" applyAlignment="1">
      <alignment horizontal="center" vertical="center"/>
    </xf>
    <xf numFmtId="0" fontId="166" fillId="0" borderId="0" xfId="2" applyFont="1" applyAlignment="1">
      <alignment horizontal="center" vertical="center" wrapText="1"/>
    </xf>
    <xf numFmtId="0" fontId="176" fillId="32" borderId="192" xfId="2" applyFont="1" applyFill="1" applyBorder="1" applyAlignment="1">
      <alignment horizontal="center"/>
    </xf>
    <xf numFmtId="0" fontId="176" fillId="32" borderId="167" xfId="2" applyFont="1" applyFill="1" applyBorder="1" applyAlignment="1">
      <alignment horizontal="center"/>
    </xf>
    <xf numFmtId="0" fontId="176" fillId="32" borderId="193" xfId="2" applyFont="1" applyFill="1" applyBorder="1" applyAlignment="1">
      <alignment horizontal="center"/>
    </xf>
    <xf numFmtId="0" fontId="1" fillId="17" borderId="32" xfId="2" applyFont="1" applyFill="1" applyBorder="1" applyAlignment="1">
      <alignment horizontal="center"/>
    </xf>
    <xf numFmtId="0" fontId="1" fillId="17" borderId="17" xfId="2" applyFont="1" applyFill="1" applyBorder="1" applyAlignment="1">
      <alignment horizontal="center"/>
    </xf>
    <xf numFmtId="0" fontId="1" fillId="17" borderId="30" xfId="2" applyFont="1" applyFill="1" applyBorder="1" applyAlignment="1">
      <alignment horizontal="center"/>
    </xf>
    <xf numFmtId="0" fontId="1" fillId="0" borderId="131" xfId="2" applyFont="1" applyFill="1" applyBorder="1" applyAlignment="1" applyProtection="1">
      <alignment horizontal="center"/>
      <protection locked="0"/>
    </xf>
    <xf numFmtId="0" fontId="1" fillId="0" borderId="150" xfId="2" applyFont="1" applyFill="1" applyBorder="1" applyAlignment="1" applyProtection="1">
      <alignment horizontal="center"/>
      <protection locked="0"/>
    </xf>
    <xf numFmtId="0" fontId="1" fillId="0" borderId="134" xfId="2" applyFont="1" applyFill="1" applyBorder="1" applyAlignment="1" applyProtection="1">
      <alignment horizontal="center"/>
      <protection locked="0"/>
    </xf>
    <xf numFmtId="164" fontId="7" fillId="0" borderId="196" xfId="2" applyNumberFormat="1" applyFont="1" applyFill="1" applyBorder="1" applyAlignment="1" applyProtection="1">
      <alignment horizontal="center" vertical="center"/>
      <protection locked="0"/>
    </xf>
    <xf numFmtId="164" fontId="7" fillId="0" borderId="197" xfId="2" applyNumberFormat="1" applyFont="1" applyFill="1" applyBorder="1" applyAlignment="1" applyProtection="1">
      <alignment horizontal="center" vertical="center"/>
      <protection locked="0"/>
    </xf>
    <xf numFmtId="164" fontId="7" fillId="0" borderId="206" xfId="2" applyNumberFormat="1" applyFont="1" applyFill="1" applyBorder="1" applyAlignment="1" applyProtection="1">
      <alignment horizontal="center" vertical="center"/>
      <protection locked="0"/>
    </xf>
    <xf numFmtId="164" fontId="7" fillId="0" borderId="207" xfId="2" applyNumberFormat="1" applyFont="1" applyFill="1" applyBorder="1" applyAlignment="1" applyProtection="1">
      <alignment horizontal="center" vertical="center"/>
      <protection locked="0"/>
    </xf>
    <xf numFmtId="9" fontId="11" fillId="0" borderId="208" xfId="2" applyNumberFormat="1" applyFont="1" applyFill="1" applyBorder="1" applyAlignment="1" applyProtection="1">
      <alignment horizontal="center"/>
      <protection locked="0"/>
    </xf>
    <xf numFmtId="9" fontId="11" fillId="0" borderId="209" xfId="2" applyNumberFormat="1" applyFont="1" applyFill="1" applyBorder="1" applyAlignment="1" applyProtection="1">
      <alignment horizontal="center"/>
      <protection locked="0"/>
    </xf>
    <xf numFmtId="9" fontId="11" fillId="0" borderId="211" xfId="2" applyNumberFormat="1" applyFont="1" applyFill="1" applyBorder="1" applyAlignment="1" applyProtection="1">
      <alignment horizontal="center"/>
      <protection locked="0"/>
    </xf>
    <xf numFmtId="9" fontId="11" fillId="0" borderId="212" xfId="2" applyNumberFormat="1" applyFont="1" applyFill="1" applyBorder="1" applyAlignment="1" applyProtection="1">
      <alignment horizontal="center"/>
      <protection locked="0"/>
    </xf>
    <xf numFmtId="0" fontId="120" fillId="33" borderId="136" xfId="2" applyFont="1" applyFill="1" applyBorder="1" applyAlignment="1">
      <alignment horizontal="center"/>
    </xf>
    <xf numFmtId="0" fontId="120" fillId="33" borderId="195" xfId="2" applyFont="1" applyFill="1" applyBorder="1" applyAlignment="1">
      <alignment horizontal="center"/>
    </xf>
    <xf numFmtId="0" fontId="9" fillId="0" borderId="0" xfId="2" applyFont="1" applyBorder="1" applyAlignment="1" applyProtection="1">
      <alignment horizontal="center"/>
      <protection hidden="1"/>
    </xf>
    <xf numFmtId="0" fontId="7" fillId="0" borderId="32" xfId="2" applyFont="1" applyBorder="1" applyAlignment="1" applyProtection="1">
      <alignment horizontal="center"/>
      <protection hidden="1"/>
    </xf>
    <xf numFmtId="0" fontId="7" fillId="0" borderId="30" xfId="2" applyFont="1" applyBorder="1" applyAlignment="1" applyProtection="1">
      <alignment horizontal="center"/>
      <protection hidden="1"/>
    </xf>
    <xf numFmtId="0" fontId="7" fillId="16" borderId="107" xfId="2" applyFont="1" applyFill="1" applyBorder="1" applyAlignment="1" applyProtection="1">
      <alignment horizontal="center" vertical="center"/>
      <protection locked="0"/>
    </xf>
    <xf numFmtId="0" fontId="7" fillId="16" borderId="94" xfId="2" applyFont="1" applyFill="1" applyBorder="1" applyAlignment="1" applyProtection="1">
      <alignment horizontal="center" vertical="center"/>
      <protection locked="0"/>
    </xf>
    <xf numFmtId="0" fontId="7" fillId="16" borderId="108" xfId="2" applyFont="1" applyFill="1" applyBorder="1" applyAlignment="1" applyProtection="1">
      <alignment horizontal="center" vertical="center"/>
      <protection locked="0"/>
    </xf>
    <xf numFmtId="0" fontId="7" fillId="16" borderId="107" xfId="2" applyFont="1" applyFill="1" applyBorder="1" applyAlignment="1" applyProtection="1">
      <alignment horizontal="center"/>
      <protection locked="0"/>
    </xf>
    <xf numFmtId="0" fontId="7" fillId="16" borderId="94" xfId="2" applyFont="1" applyFill="1" applyBorder="1" applyAlignment="1" applyProtection="1">
      <alignment horizontal="center"/>
      <protection locked="0"/>
    </xf>
    <xf numFmtId="0" fontId="7" fillId="16" borderId="108" xfId="2" applyFont="1" applyFill="1" applyBorder="1" applyAlignment="1" applyProtection="1">
      <alignment horizontal="center"/>
      <protection locked="0"/>
    </xf>
    <xf numFmtId="0" fontId="7" fillId="16" borderId="107" xfId="2" applyFont="1" applyFill="1" applyBorder="1" applyAlignment="1" applyProtection="1">
      <alignment horizontal="center" vertical="center"/>
      <protection hidden="1"/>
    </xf>
    <xf numFmtId="0" fontId="7" fillId="16" borderId="108" xfId="2" applyFont="1" applyFill="1" applyBorder="1" applyAlignment="1" applyProtection="1">
      <alignment horizontal="center" vertical="center"/>
      <protection hidden="1"/>
    </xf>
    <xf numFmtId="3" fontId="10" fillId="17" borderId="435" xfId="2" applyNumberFormat="1" applyFont="1" applyFill="1" applyBorder="1" applyAlignment="1" applyProtection="1">
      <alignment vertical="top"/>
    </xf>
    <xf numFmtId="3" fontId="10" fillId="17" borderId="436" xfId="2" applyNumberFormat="1" applyFont="1" applyFill="1" applyBorder="1" applyAlignment="1" applyProtection="1">
      <alignment vertical="top"/>
    </xf>
    <xf numFmtId="3" fontId="10" fillId="17" borderId="437" xfId="2" applyNumberFormat="1" applyFont="1" applyFill="1" applyBorder="1" applyAlignment="1" applyProtection="1">
      <alignment vertical="top"/>
    </xf>
    <xf numFmtId="3" fontId="10" fillId="17" borderId="224" xfId="2" applyNumberFormat="1" applyFont="1" applyFill="1" applyBorder="1" applyAlignment="1" applyProtection="1">
      <alignment horizontal="right" vertical="top"/>
    </xf>
    <xf numFmtId="3" fontId="10" fillId="17" borderId="225" xfId="2" applyNumberFormat="1" applyFont="1" applyFill="1" applyBorder="1" applyAlignment="1" applyProtection="1">
      <alignment horizontal="right" vertical="top"/>
    </xf>
    <xf numFmtId="3" fontId="10" fillId="17" borderId="226" xfId="2" applyNumberFormat="1" applyFont="1" applyFill="1" applyBorder="1" applyAlignment="1" applyProtection="1">
      <alignment horizontal="right" vertical="top"/>
    </xf>
    <xf numFmtId="0" fontId="17" fillId="16" borderId="7" xfId="2" applyFont="1" applyFill="1" applyBorder="1" applyAlignment="1" applyProtection="1">
      <alignment horizontal="left" vertical="center"/>
      <protection hidden="1"/>
    </xf>
    <xf numFmtId="0" fontId="17" fillId="16" borderId="4" xfId="2" applyFont="1" applyFill="1" applyBorder="1" applyAlignment="1" applyProtection="1">
      <alignment horizontal="left" vertical="center"/>
      <protection hidden="1"/>
    </xf>
    <xf numFmtId="0" fontId="17" fillId="16" borderId="351" xfId="2" applyFont="1" applyFill="1" applyBorder="1" applyAlignment="1" applyProtection="1">
      <alignment horizontal="left" vertical="center"/>
      <protection hidden="1"/>
    </xf>
    <xf numFmtId="3" fontId="10" fillId="0" borderId="432" xfId="2" applyNumberFormat="1" applyFont="1" applyFill="1" applyBorder="1" applyAlignment="1" applyProtection="1">
      <alignment horizontal="right" vertical="top"/>
      <protection locked="0"/>
    </xf>
    <xf numFmtId="3" fontId="10" fillId="0" borderId="138" xfId="2" applyNumberFormat="1" applyFont="1" applyFill="1" applyBorder="1" applyAlignment="1" applyProtection="1">
      <alignment horizontal="right" vertical="top"/>
      <protection locked="0"/>
    </xf>
    <xf numFmtId="3" fontId="10" fillId="0" borderId="433" xfId="2" applyNumberFormat="1" applyFont="1" applyFill="1" applyBorder="1" applyAlignment="1" applyProtection="1">
      <alignment horizontal="right" vertical="top"/>
      <protection locked="0"/>
    </xf>
    <xf numFmtId="3" fontId="10" fillId="0" borderId="427" xfId="2" applyNumberFormat="1" applyFont="1" applyFill="1" applyBorder="1" applyAlignment="1" applyProtection="1">
      <alignment horizontal="right" vertical="top"/>
      <protection locked="0"/>
    </xf>
    <xf numFmtId="3" fontId="10" fillId="0" borderId="213" xfId="2" applyNumberFormat="1" applyFont="1" applyFill="1" applyBorder="1" applyAlignment="1" applyProtection="1">
      <alignment horizontal="right" vertical="top"/>
      <protection locked="0"/>
    </xf>
    <xf numFmtId="3" fontId="10" fillId="0" borderId="428" xfId="2" applyNumberFormat="1" applyFont="1" applyFill="1" applyBorder="1" applyAlignment="1" applyProtection="1">
      <alignment horizontal="right" vertical="top"/>
      <protection locked="0"/>
    </xf>
    <xf numFmtId="3" fontId="10" fillId="0" borderId="427" xfId="2" applyNumberFormat="1" applyFont="1" applyFill="1" applyBorder="1" applyAlignment="1" applyProtection="1">
      <alignment horizontal="center" vertical="top"/>
    </xf>
    <xf numFmtId="3" fontId="10" fillId="0" borderId="213" xfId="2" applyNumberFormat="1" applyFont="1" applyFill="1" applyBorder="1" applyAlignment="1" applyProtection="1">
      <alignment horizontal="center" vertical="top"/>
    </xf>
    <xf numFmtId="3" fontId="10" fillId="0" borderId="428" xfId="2" applyNumberFormat="1" applyFont="1" applyFill="1" applyBorder="1" applyAlignment="1" applyProtection="1">
      <alignment horizontal="center" vertical="top"/>
    </xf>
    <xf numFmtId="9" fontId="116" fillId="17" borderId="0" xfId="2" applyNumberFormat="1" applyFont="1" applyFill="1" applyBorder="1" applyAlignment="1" applyProtection="1">
      <alignment horizontal="left"/>
      <protection locked="0" hidden="1"/>
    </xf>
    <xf numFmtId="0" fontId="11" fillId="0" borderId="164" xfId="2" applyFont="1" applyFill="1" applyBorder="1" applyAlignment="1" applyProtection="1">
      <alignment horizontal="left"/>
      <protection locked="0"/>
    </xf>
    <xf numFmtId="0" fontId="11" fillId="0" borderId="213" xfId="2" applyFont="1" applyFill="1" applyBorder="1" applyAlignment="1" applyProtection="1">
      <alignment horizontal="left"/>
      <protection locked="0"/>
    </xf>
    <xf numFmtId="3" fontId="10" fillId="16" borderId="233" xfId="12" applyNumberFormat="1" applyFont="1" applyFill="1" applyBorder="1" applyAlignment="1" applyProtection="1">
      <alignment horizontal="right" vertical="top"/>
    </xf>
    <xf numFmtId="3" fontId="10" fillId="16" borderId="234" xfId="12" applyNumberFormat="1" applyFont="1" applyFill="1" applyBorder="1" applyAlignment="1" applyProtection="1">
      <alignment horizontal="right" vertical="top"/>
    </xf>
    <xf numFmtId="3" fontId="10" fillId="16" borderId="235" xfId="12" applyNumberFormat="1" applyFont="1" applyFill="1" applyBorder="1" applyAlignment="1" applyProtection="1">
      <alignment horizontal="right" vertical="top"/>
    </xf>
    <xf numFmtId="3" fontId="10" fillId="16" borderId="238" xfId="2" applyNumberFormat="1" applyFont="1" applyFill="1" applyBorder="1" applyAlignment="1" applyProtection="1">
      <alignment horizontal="right"/>
      <protection hidden="1"/>
    </xf>
    <xf numFmtId="3" fontId="10" fillId="16" borderId="64" xfId="2" applyNumberFormat="1" applyFont="1" applyFill="1" applyBorder="1" applyAlignment="1" applyProtection="1">
      <alignment horizontal="right"/>
      <protection hidden="1"/>
    </xf>
    <xf numFmtId="3" fontId="10" fillId="16" borderId="239" xfId="2" applyNumberFormat="1" applyFont="1" applyFill="1" applyBorder="1" applyAlignment="1" applyProtection="1">
      <alignment horizontal="right"/>
      <protection hidden="1"/>
    </xf>
    <xf numFmtId="3" fontId="10" fillId="0" borderId="217" xfId="12" applyNumberFormat="1" applyFont="1" applyFill="1" applyBorder="1" applyAlignment="1" applyProtection="1">
      <alignment horizontal="right" vertical="top"/>
      <protection locked="0"/>
    </xf>
    <xf numFmtId="3" fontId="10" fillId="0" borderId="213" xfId="12" applyNumberFormat="1" applyFont="1" applyFill="1" applyBorder="1" applyAlignment="1" applyProtection="1">
      <alignment horizontal="right" vertical="top"/>
      <protection locked="0"/>
    </xf>
    <xf numFmtId="3" fontId="10" fillId="0" borderId="218" xfId="12" applyNumberFormat="1" applyFont="1" applyFill="1" applyBorder="1" applyAlignment="1" applyProtection="1">
      <alignment horizontal="right" vertical="top"/>
      <protection locked="0"/>
    </xf>
    <xf numFmtId="3" fontId="78" fillId="16" borderId="230" xfId="2" applyNumberFormat="1" applyFont="1" applyFill="1" applyBorder="1" applyAlignment="1" applyProtection="1">
      <alignment horizontal="right" vertical="center"/>
    </xf>
    <xf numFmtId="3" fontId="78" fillId="16" borderId="231" xfId="2" applyNumberFormat="1" applyFont="1" applyFill="1" applyBorder="1" applyAlignment="1" applyProtection="1">
      <alignment horizontal="right" vertical="center"/>
    </xf>
    <xf numFmtId="3" fontId="78" fillId="16" borderId="232" xfId="2" applyNumberFormat="1" applyFont="1" applyFill="1" applyBorder="1" applyAlignment="1" applyProtection="1">
      <alignment horizontal="right" vertical="center"/>
    </xf>
    <xf numFmtId="164" fontId="7" fillId="0" borderId="196" xfId="12" applyNumberFormat="1" applyFont="1" applyFill="1" applyBorder="1" applyAlignment="1" applyProtection="1">
      <alignment horizontal="center"/>
      <protection locked="0"/>
    </xf>
    <xf numFmtId="164" fontId="7" fillId="0" borderId="197" xfId="12" applyNumberFormat="1" applyFont="1" applyFill="1" applyBorder="1" applyAlignment="1" applyProtection="1">
      <alignment horizontal="center"/>
      <protection locked="0"/>
    </xf>
    <xf numFmtId="164" fontId="7" fillId="0" borderId="240" xfId="12" applyNumberFormat="1" applyFont="1" applyFill="1" applyBorder="1" applyAlignment="1" applyProtection="1">
      <alignment horizontal="center"/>
      <protection locked="0"/>
    </xf>
    <xf numFmtId="164" fontId="7" fillId="0" borderId="241" xfId="12" applyNumberFormat="1" applyFont="1" applyFill="1" applyBorder="1" applyAlignment="1" applyProtection="1">
      <alignment horizontal="center"/>
      <protection locked="0"/>
    </xf>
    <xf numFmtId="0" fontId="59" fillId="17" borderId="4" xfId="0" applyFont="1" applyFill="1" applyBorder="1" applyAlignment="1" applyProtection="1">
      <alignment horizontal="center" vertical="center" wrapText="1"/>
    </xf>
    <xf numFmtId="0" fontId="59" fillId="17" borderId="351" xfId="0" applyFont="1" applyFill="1" applyBorder="1" applyAlignment="1" applyProtection="1">
      <alignment horizontal="center" vertical="center" wrapText="1"/>
    </xf>
    <xf numFmtId="0" fontId="11" fillId="17" borderId="1" xfId="2" applyFont="1" applyFill="1" applyBorder="1" applyAlignment="1" applyProtection="1">
      <alignment horizontal="left"/>
      <protection locked="0"/>
    </xf>
    <xf numFmtId="3" fontId="10" fillId="0" borderId="222" xfId="12" applyNumberFormat="1" applyFont="1" applyFill="1" applyBorder="1" applyAlignment="1" applyProtection="1">
      <alignment horizontal="right" vertical="top"/>
      <protection locked="0"/>
    </xf>
    <xf numFmtId="3" fontId="10" fillId="0" borderId="138" xfId="12" applyNumberFormat="1" applyFont="1" applyFill="1" applyBorder="1" applyAlignment="1" applyProtection="1">
      <alignment horizontal="right" vertical="top"/>
      <protection locked="0"/>
    </xf>
    <xf numFmtId="3" fontId="10" fillId="0" borderId="223" xfId="12" applyNumberFormat="1" applyFont="1" applyFill="1" applyBorder="1" applyAlignment="1" applyProtection="1">
      <alignment horizontal="right" vertical="top"/>
      <protection locked="0"/>
    </xf>
    <xf numFmtId="9" fontId="116" fillId="17" borderId="4" xfId="2" applyNumberFormat="1" applyFont="1" applyFill="1" applyBorder="1" applyAlignment="1" applyProtection="1">
      <alignment horizontal="center" vertical="center"/>
      <protection locked="0" hidden="1"/>
    </xf>
    <xf numFmtId="9" fontId="116" fillId="17" borderId="351" xfId="2" applyNumberFormat="1" applyFont="1" applyFill="1" applyBorder="1" applyAlignment="1" applyProtection="1">
      <alignment horizontal="center" vertical="center"/>
      <protection locked="0" hidden="1"/>
    </xf>
    <xf numFmtId="0" fontId="11" fillId="0" borderId="166" xfId="2" applyFont="1" applyFill="1" applyBorder="1" applyAlignment="1" applyProtection="1">
      <alignment horizontal="left" vertical="center"/>
      <protection locked="0"/>
    </xf>
    <xf numFmtId="0" fontId="11" fillId="0" borderId="138" xfId="2" applyFont="1" applyFill="1" applyBorder="1" applyAlignment="1" applyProtection="1">
      <alignment horizontal="left" vertical="center"/>
      <protection locked="0"/>
    </xf>
    <xf numFmtId="0" fontId="11" fillId="0" borderId="29" xfId="2" applyFont="1" applyFill="1" applyBorder="1" applyAlignment="1" applyProtection="1">
      <alignment horizontal="left"/>
      <protection locked="0"/>
    </xf>
    <xf numFmtId="0" fontId="11" fillId="0" borderId="138" xfId="2" applyFont="1" applyFill="1" applyBorder="1" applyAlignment="1" applyProtection="1">
      <alignment horizontal="left"/>
      <protection locked="0"/>
    </xf>
    <xf numFmtId="0" fontId="7" fillId="16" borderId="181" xfId="0" applyFont="1" applyFill="1" applyBorder="1" applyAlignment="1" applyProtection="1">
      <alignment horizontal="center" vertical="center"/>
    </xf>
    <xf numFmtId="3" fontId="10" fillId="0" borderId="454" xfId="2" applyNumberFormat="1" applyFont="1" applyFill="1" applyBorder="1" applyAlignment="1" applyProtection="1">
      <alignment horizontal="right" vertical="top"/>
      <protection locked="0"/>
    </xf>
    <xf numFmtId="3" fontId="10" fillId="0" borderId="455" xfId="2" applyNumberFormat="1" applyFont="1" applyFill="1" applyBorder="1" applyAlignment="1" applyProtection="1">
      <alignment horizontal="right" vertical="top"/>
      <protection locked="0"/>
    </xf>
    <xf numFmtId="3" fontId="10" fillId="0" borderId="456" xfId="2" applyNumberFormat="1" applyFont="1" applyFill="1" applyBorder="1" applyAlignment="1" applyProtection="1">
      <alignment horizontal="right" vertical="top"/>
      <protection locked="0"/>
    </xf>
    <xf numFmtId="3" fontId="10" fillId="16" borderId="224" xfId="2" applyNumberFormat="1" applyFont="1" applyFill="1" applyBorder="1" applyAlignment="1" applyProtection="1">
      <alignment horizontal="right"/>
      <protection hidden="1"/>
    </xf>
    <xf numFmtId="3" fontId="10" fillId="16" borderId="225" xfId="2" applyNumberFormat="1" applyFont="1" applyFill="1" applyBorder="1" applyAlignment="1" applyProtection="1">
      <alignment horizontal="right"/>
      <protection hidden="1"/>
    </xf>
    <xf numFmtId="3" fontId="10" fillId="16" borderId="226" xfId="2" applyNumberFormat="1" applyFont="1" applyFill="1" applyBorder="1" applyAlignment="1" applyProtection="1">
      <alignment horizontal="right"/>
      <protection hidden="1"/>
    </xf>
    <xf numFmtId="3" fontId="10" fillId="16" borderId="219" xfId="2" applyNumberFormat="1" applyFont="1" applyFill="1" applyBorder="1" applyAlignment="1" applyProtection="1">
      <alignment horizontal="right"/>
      <protection hidden="1"/>
    </xf>
    <xf numFmtId="3" fontId="10" fillId="16" borderId="220" xfId="2" applyNumberFormat="1" applyFont="1" applyFill="1" applyBorder="1" applyAlignment="1" applyProtection="1">
      <alignment horizontal="right"/>
      <protection hidden="1"/>
    </xf>
    <xf numFmtId="3" fontId="10" fillId="16" borderId="221" xfId="2" applyNumberFormat="1" applyFont="1" applyFill="1" applyBorder="1" applyAlignment="1" applyProtection="1">
      <alignment horizontal="right"/>
      <protection hidden="1"/>
    </xf>
    <xf numFmtId="4" fontId="174" fillId="0" borderId="1" xfId="2" applyNumberFormat="1" applyFont="1" applyFill="1" applyBorder="1" applyAlignment="1" applyProtection="1">
      <alignment horizontal="right" vertical="center"/>
    </xf>
    <xf numFmtId="3" fontId="10" fillId="17" borderId="371" xfId="0" applyNumberFormat="1" applyFont="1" applyFill="1" applyBorder="1" applyAlignment="1" applyProtection="1">
      <alignment horizontal="right" vertical="center"/>
      <protection hidden="1"/>
    </xf>
    <xf numFmtId="3" fontId="78" fillId="16" borderId="252" xfId="12" applyNumberFormat="1" applyFont="1" applyFill="1" applyBorder="1" applyAlignment="1" applyProtection="1">
      <alignment horizontal="right" vertical="center"/>
    </xf>
    <xf numFmtId="3" fontId="78" fillId="16" borderId="253" xfId="12" applyNumberFormat="1" applyFont="1" applyFill="1" applyBorder="1" applyAlignment="1" applyProtection="1">
      <alignment horizontal="right" vertical="center"/>
    </xf>
    <xf numFmtId="3" fontId="78" fillId="16" borderId="254" xfId="12" applyNumberFormat="1" applyFont="1" applyFill="1" applyBorder="1" applyAlignment="1" applyProtection="1">
      <alignment horizontal="right" vertical="center"/>
    </xf>
    <xf numFmtId="0" fontId="11" fillId="17" borderId="333" xfId="2" applyFont="1" applyFill="1" applyBorder="1" applyAlignment="1" applyProtection="1">
      <alignment horizontal="left" wrapText="1" indent="1"/>
      <protection locked="0"/>
    </xf>
    <xf numFmtId="0" fontId="11" fillId="17" borderId="0" xfId="2" applyFont="1" applyFill="1" applyBorder="1" applyAlignment="1" applyProtection="1">
      <alignment horizontal="left" wrapText="1" indent="1"/>
      <protection locked="0"/>
    </xf>
    <xf numFmtId="0" fontId="11" fillId="17" borderId="2" xfId="2" applyFont="1" applyFill="1" applyBorder="1" applyAlignment="1" applyProtection="1">
      <alignment horizontal="left" wrapText="1" indent="1"/>
      <protection locked="0"/>
    </xf>
    <xf numFmtId="0" fontId="11" fillId="17" borderId="333" xfId="2" applyFont="1" applyFill="1" applyBorder="1" applyAlignment="1" applyProtection="1">
      <alignment horizontal="left" vertical="center" wrapText="1" indent="1"/>
      <protection locked="0"/>
    </xf>
    <xf numFmtId="0" fontId="11" fillId="17" borderId="0" xfId="2" applyFont="1" applyFill="1" applyBorder="1" applyAlignment="1" applyProtection="1">
      <alignment horizontal="left" vertical="center" wrapText="1" indent="1"/>
      <protection locked="0"/>
    </xf>
    <xf numFmtId="0" fontId="197" fillId="16" borderId="4" xfId="2" applyFont="1" applyFill="1" applyBorder="1" applyAlignment="1">
      <alignment horizontal="center"/>
    </xf>
    <xf numFmtId="0" fontId="197" fillId="16" borderId="0" xfId="2" applyFont="1" applyFill="1" applyBorder="1" applyAlignment="1">
      <alignment horizontal="center"/>
    </xf>
    <xf numFmtId="0" fontId="7" fillId="0" borderId="107" xfId="2" applyFont="1" applyFill="1" applyBorder="1" applyAlignment="1" applyProtection="1">
      <alignment horizontal="center" vertical="center" wrapText="1"/>
      <protection locked="0"/>
    </xf>
    <xf numFmtId="0" fontId="7" fillId="0" borderId="108" xfId="2" applyFont="1" applyFill="1" applyBorder="1" applyAlignment="1" applyProtection="1">
      <alignment horizontal="center" vertical="center" wrapText="1"/>
      <protection locked="0"/>
    </xf>
    <xf numFmtId="0" fontId="7" fillId="15" borderId="366" xfId="2" applyFont="1" applyFill="1" applyBorder="1" applyAlignment="1" applyProtection="1">
      <alignment horizontal="center"/>
    </xf>
    <xf numFmtId="0" fontId="7" fillId="15" borderId="36" xfId="2" applyFont="1" applyFill="1" applyBorder="1" applyAlignment="1" applyProtection="1">
      <alignment horizontal="center"/>
    </xf>
    <xf numFmtId="0" fontId="16" fillId="16" borderId="0" xfId="2" applyFont="1" applyFill="1" applyBorder="1" applyAlignment="1">
      <alignment horizontal="left" vertical="center" wrapText="1"/>
    </xf>
    <xf numFmtId="0" fontId="16" fillId="16" borderId="364" xfId="2" applyFont="1" applyFill="1" applyBorder="1" applyAlignment="1">
      <alignment horizontal="left" wrapText="1"/>
    </xf>
    <xf numFmtId="9" fontId="116" fillId="17" borderId="0" xfId="2" applyNumberFormat="1" applyFont="1" applyFill="1" applyBorder="1" applyAlignment="1" applyProtection="1">
      <alignment horizontal="left" vertical="center"/>
      <protection locked="0" hidden="1"/>
    </xf>
    <xf numFmtId="0" fontId="7" fillId="0" borderId="294" xfId="2" applyFont="1" applyBorder="1" applyAlignment="1" applyProtection="1">
      <alignment horizontal="center" vertical="center" wrapText="1"/>
      <protection hidden="1"/>
    </xf>
    <xf numFmtId="0" fontId="7" fillId="0" borderId="37" xfId="2" applyFont="1" applyBorder="1" applyAlignment="1" applyProtection="1">
      <alignment horizontal="center" vertical="center" wrapText="1"/>
      <protection hidden="1"/>
    </xf>
    <xf numFmtId="3" fontId="10" fillId="16" borderId="219" xfId="2" applyNumberFormat="1" applyFont="1" applyFill="1" applyBorder="1" applyAlignment="1" applyProtection="1">
      <alignment horizontal="right" vertical="center"/>
    </xf>
    <xf numFmtId="3" fontId="10" fillId="16" borderId="220" xfId="2" applyNumberFormat="1" applyFont="1" applyFill="1" applyBorder="1" applyAlignment="1" applyProtection="1">
      <alignment horizontal="right" vertical="center"/>
    </xf>
    <xf numFmtId="3" fontId="10" fillId="16" borderId="221" xfId="2" applyNumberFormat="1" applyFont="1" applyFill="1" applyBorder="1" applyAlignment="1" applyProtection="1">
      <alignment horizontal="right" vertical="center"/>
    </xf>
    <xf numFmtId="3" fontId="177" fillId="0" borderId="14" xfId="2" applyNumberFormat="1" applyFont="1" applyFill="1" applyBorder="1" applyAlignment="1" applyProtection="1">
      <alignment horizontal="right"/>
    </xf>
    <xf numFmtId="3" fontId="177" fillId="0" borderId="17" xfId="2" applyNumberFormat="1" applyFont="1" applyFill="1" applyBorder="1" applyAlignment="1" applyProtection="1">
      <alignment horizontal="right"/>
    </xf>
    <xf numFmtId="3" fontId="10" fillId="16" borderId="219" xfId="2" applyNumberFormat="1" applyFont="1" applyFill="1" applyBorder="1" applyAlignment="1" applyProtection="1">
      <alignment horizontal="right" vertical="center"/>
      <protection hidden="1"/>
    </xf>
    <xf numFmtId="3" fontId="10" fillId="16" borderId="220" xfId="2" applyNumberFormat="1" applyFont="1" applyFill="1" applyBorder="1" applyAlignment="1" applyProtection="1">
      <alignment horizontal="right" vertical="center"/>
      <protection hidden="1"/>
    </xf>
    <xf numFmtId="3" fontId="10" fillId="16" borderId="221" xfId="2" applyNumberFormat="1" applyFont="1" applyFill="1" applyBorder="1" applyAlignment="1" applyProtection="1">
      <alignment horizontal="right" vertical="center"/>
      <protection hidden="1"/>
    </xf>
    <xf numFmtId="0" fontId="17" fillId="25" borderId="55" xfId="2" applyFont="1" applyFill="1" applyBorder="1" applyAlignment="1" applyProtection="1">
      <alignment horizontal="left" vertical="center"/>
      <protection hidden="1"/>
    </xf>
    <xf numFmtId="0" fontId="17" fillId="25" borderId="54" xfId="2" applyFont="1" applyFill="1" applyBorder="1" applyAlignment="1" applyProtection="1">
      <alignment horizontal="left" vertical="center"/>
      <protection hidden="1"/>
    </xf>
    <xf numFmtId="3" fontId="10" fillId="0" borderId="457" xfId="2" applyNumberFormat="1" applyFont="1" applyFill="1" applyBorder="1" applyAlignment="1" applyProtection="1">
      <alignment horizontal="right" vertical="top"/>
      <protection locked="0"/>
    </xf>
    <xf numFmtId="3" fontId="10" fillId="0" borderId="150" xfId="2" applyNumberFormat="1" applyFont="1" applyFill="1" applyBorder="1" applyAlignment="1" applyProtection="1">
      <alignment horizontal="right" vertical="top"/>
      <protection locked="0"/>
    </xf>
    <xf numFmtId="3" fontId="10" fillId="0" borderId="458" xfId="2" applyNumberFormat="1" applyFont="1" applyFill="1" applyBorder="1" applyAlignment="1" applyProtection="1">
      <alignment horizontal="right" vertical="top"/>
      <protection locked="0"/>
    </xf>
    <xf numFmtId="3" fontId="10" fillId="16" borderId="219" xfId="2" applyNumberFormat="1" applyFont="1" applyFill="1" applyBorder="1" applyAlignment="1" applyProtection="1">
      <alignment horizontal="right" vertical="top"/>
    </xf>
    <xf numFmtId="3" fontId="10" fillId="16" borderId="220" xfId="2" applyNumberFormat="1" applyFont="1" applyFill="1" applyBorder="1" applyAlignment="1" applyProtection="1">
      <alignment horizontal="right" vertical="top"/>
    </xf>
    <xf numFmtId="3" fontId="10" fillId="16" borderId="221" xfId="2" applyNumberFormat="1" applyFont="1" applyFill="1" applyBorder="1" applyAlignment="1" applyProtection="1">
      <alignment horizontal="right" vertical="top"/>
    </xf>
    <xf numFmtId="0" fontId="17" fillId="46" borderId="55" xfId="2" applyFont="1" applyFill="1" applyBorder="1" applyAlignment="1" applyProtection="1">
      <alignment horizontal="left" vertical="center"/>
      <protection hidden="1"/>
    </xf>
    <xf numFmtId="0" fontId="17" fillId="46" borderId="54" xfId="2" applyFont="1" applyFill="1" applyBorder="1" applyAlignment="1" applyProtection="1">
      <alignment horizontal="left" vertical="center"/>
      <protection hidden="1"/>
    </xf>
    <xf numFmtId="0" fontId="17" fillId="46" borderId="351" xfId="2" applyFont="1" applyFill="1" applyBorder="1" applyAlignment="1" applyProtection="1">
      <alignment horizontal="left" vertical="center"/>
      <protection hidden="1"/>
    </xf>
    <xf numFmtId="0" fontId="11" fillId="25" borderId="345" xfId="2" applyFont="1" applyFill="1" applyBorder="1" applyAlignment="1" applyProtection="1">
      <alignment horizontal="left" vertical="center"/>
    </xf>
    <xf numFmtId="0" fontId="11" fillId="25" borderId="355" xfId="2" applyFont="1" applyFill="1" applyBorder="1" applyAlignment="1" applyProtection="1">
      <alignment horizontal="left" vertical="center"/>
    </xf>
    <xf numFmtId="3" fontId="10" fillId="16" borderId="391" xfId="2" applyNumberFormat="1" applyFont="1" applyFill="1" applyBorder="1" applyAlignment="1" applyProtection="1">
      <alignment horizontal="right" vertical="center"/>
      <protection hidden="1"/>
    </xf>
    <xf numFmtId="3" fontId="10" fillId="16" borderId="392" xfId="2" applyNumberFormat="1" applyFont="1" applyFill="1" applyBorder="1" applyAlignment="1" applyProtection="1">
      <alignment horizontal="right" vertical="center"/>
      <protection hidden="1"/>
    </xf>
    <xf numFmtId="3" fontId="10" fillId="16" borderId="393" xfId="2" applyNumberFormat="1" applyFont="1" applyFill="1" applyBorder="1" applyAlignment="1" applyProtection="1">
      <alignment horizontal="right" vertical="center"/>
      <protection hidden="1"/>
    </xf>
    <xf numFmtId="0" fontId="17" fillId="45" borderId="383" xfId="2" applyFont="1" applyFill="1" applyBorder="1" applyAlignment="1" applyProtection="1">
      <alignment horizontal="left" vertical="center"/>
      <protection hidden="1"/>
    </xf>
    <xf numFmtId="0" fontId="17" fillId="45" borderId="351" xfId="2" applyFont="1" applyFill="1" applyBorder="1" applyAlignment="1" applyProtection="1">
      <alignment horizontal="left" vertical="center"/>
      <protection hidden="1"/>
    </xf>
    <xf numFmtId="3" fontId="10" fillId="0" borderId="429" xfId="2" applyNumberFormat="1" applyFont="1" applyFill="1" applyBorder="1" applyAlignment="1" applyProtection="1">
      <alignment horizontal="center" vertical="top"/>
    </xf>
    <xf numFmtId="3" fontId="10" fillId="0" borderId="430" xfId="2" applyNumberFormat="1" applyFont="1" applyFill="1" applyBorder="1" applyAlignment="1" applyProtection="1">
      <alignment horizontal="center" vertical="top"/>
    </xf>
    <xf numFmtId="3" fontId="10" fillId="0" borderId="431" xfId="2" applyNumberFormat="1" applyFont="1" applyFill="1" applyBorder="1" applyAlignment="1" applyProtection="1">
      <alignment horizontal="center" vertical="top"/>
    </xf>
    <xf numFmtId="9" fontId="7" fillId="17" borderId="237" xfId="12" applyFont="1" applyFill="1" applyBorder="1" applyAlignment="1" applyProtection="1">
      <alignment horizontal="center"/>
    </xf>
    <xf numFmtId="0" fontId="2" fillId="16" borderId="236" xfId="2" applyFont="1" applyFill="1" applyBorder="1" applyAlignment="1" applyProtection="1">
      <alignment horizontal="left"/>
    </xf>
    <xf numFmtId="3" fontId="10" fillId="16" borderId="412" xfId="0" applyNumberFormat="1" applyFont="1" applyFill="1" applyBorder="1" applyAlignment="1" applyProtection="1">
      <alignment horizontal="right" vertical="center" wrapText="1"/>
    </xf>
    <xf numFmtId="3" fontId="10" fillId="16" borderId="0" xfId="0" applyNumberFormat="1" applyFont="1" applyFill="1" applyBorder="1" applyAlignment="1" applyProtection="1">
      <alignment horizontal="right" vertical="center" wrapText="1"/>
    </xf>
    <xf numFmtId="3" fontId="10" fillId="16" borderId="413" xfId="0" applyNumberFormat="1" applyFont="1" applyFill="1" applyBorder="1" applyAlignment="1" applyProtection="1">
      <alignment horizontal="right" vertical="center" wrapText="1"/>
    </xf>
    <xf numFmtId="9" fontId="11" fillId="0" borderId="400" xfId="2" applyNumberFormat="1" applyFont="1" applyFill="1" applyBorder="1" applyAlignment="1" applyProtection="1">
      <alignment horizontal="center"/>
      <protection locked="0" hidden="1"/>
    </xf>
    <xf numFmtId="9" fontId="11" fillId="0" borderId="401" xfId="2" applyNumberFormat="1" applyFont="1" applyFill="1" applyBorder="1" applyAlignment="1" applyProtection="1">
      <alignment horizontal="center"/>
      <protection locked="0" hidden="1"/>
    </xf>
    <xf numFmtId="9" fontId="11" fillId="0" borderId="402" xfId="2" applyNumberFormat="1" applyFont="1" applyFill="1" applyBorder="1" applyAlignment="1" applyProtection="1">
      <alignment horizontal="center"/>
      <protection locked="0" hidden="1"/>
    </xf>
    <xf numFmtId="3" fontId="10" fillId="17" borderId="364" xfId="0" applyNumberFormat="1" applyFont="1" applyFill="1" applyBorder="1" applyAlignment="1" applyProtection="1">
      <alignment horizontal="right" vertical="top"/>
      <protection hidden="1"/>
    </xf>
    <xf numFmtId="3" fontId="10" fillId="0" borderId="227" xfId="12" applyNumberFormat="1" applyFont="1" applyFill="1" applyBorder="1" applyAlignment="1" applyProtection="1">
      <alignment horizontal="right" vertical="top"/>
      <protection locked="0"/>
    </xf>
    <xf numFmtId="3" fontId="10" fillId="0" borderId="228" xfId="12" applyNumberFormat="1" applyFont="1" applyFill="1" applyBorder="1" applyAlignment="1" applyProtection="1">
      <alignment horizontal="right" vertical="top"/>
      <protection locked="0"/>
    </xf>
    <xf numFmtId="3" fontId="10" fillId="0" borderId="229" xfId="12" applyNumberFormat="1" applyFont="1" applyFill="1" applyBorder="1" applyAlignment="1" applyProtection="1">
      <alignment horizontal="right" vertical="top"/>
      <protection locked="0"/>
    </xf>
    <xf numFmtId="0" fontId="11" fillId="0" borderId="131" xfId="2" applyFont="1" applyFill="1" applyBorder="1" applyAlignment="1" applyProtection="1">
      <alignment horizontal="left" vertical="center"/>
      <protection locked="0"/>
    </xf>
    <xf numFmtId="0" fontId="11" fillId="0" borderId="150" xfId="2" applyFont="1" applyFill="1" applyBorder="1" applyAlignment="1" applyProtection="1">
      <alignment horizontal="left" vertical="center"/>
      <protection locked="0"/>
    </xf>
    <xf numFmtId="3" fontId="10" fillId="16" borderId="214" xfId="2" applyNumberFormat="1" applyFont="1" applyFill="1" applyBorder="1" applyAlignment="1" applyProtection="1">
      <alignment horizontal="right"/>
      <protection hidden="1"/>
    </xf>
    <xf numFmtId="3" fontId="10" fillId="16" borderId="215" xfId="2" applyNumberFormat="1" applyFont="1" applyFill="1" applyBorder="1" applyAlignment="1" applyProtection="1">
      <alignment horizontal="right"/>
      <protection hidden="1"/>
    </xf>
    <xf numFmtId="3" fontId="10" fillId="16" borderId="216" xfId="2" applyNumberFormat="1" applyFont="1" applyFill="1" applyBorder="1" applyAlignment="1" applyProtection="1">
      <alignment horizontal="right"/>
      <protection hidden="1"/>
    </xf>
    <xf numFmtId="0" fontId="7" fillId="17" borderId="4" xfId="2" applyFont="1" applyFill="1" applyBorder="1" applyAlignment="1" applyProtection="1">
      <alignment horizontal="center" vertical="center"/>
    </xf>
    <xf numFmtId="3" fontId="10" fillId="16" borderId="313" xfId="2" applyNumberFormat="1" applyFont="1" applyFill="1" applyBorder="1" applyAlignment="1" applyProtection="1">
      <alignment horizontal="right" vertical="center"/>
      <protection hidden="1"/>
    </xf>
    <xf numFmtId="3" fontId="10" fillId="16" borderId="0" xfId="2" applyNumberFormat="1" applyFont="1" applyFill="1" applyBorder="1" applyAlignment="1" applyProtection="1">
      <alignment horizontal="right" vertical="center"/>
      <protection hidden="1"/>
    </xf>
    <xf numFmtId="3" fontId="10" fillId="16" borderId="314" xfId="2" applyNumberFormat="1" applyFont="1" applyFill="1" applyBorder="1" applyAlignment="1" applyProtection="1">
      <alignment horizontal="right" vertical="center"/>
      <protection hidden="1"/>
    </xf>
    <xf numFmtId="0" fontId="11" fillId="15" borderId="38" xfId="2" applyFont="1" applyFill="1" applyBorder="1" applyAlignment="1" applyProtection="1">
      <alignment horizontal="left" vertical="top"/>
      <protection hidden="1"/>
    </xf>
    <xf numFmtId="0" fontId="11" fillId="15" borderId="102" xfId="2" applyFont="1" applyFill="1" applyBorder="1" applyAlignment="1" applyProtection="1">
      <alignment horizontal="left" vertical="top"/>
      <protection hidden="1"/>
    </xf>
    <xf numFmtId="0" fontId="7" fillId="0" borderId="107" xfId="2" applyFont="1" applyFill="1" applyBorder="1" applyAlignment="1" applyProtection="1">
      <alignment horizontal="center"/>
      <protection locked="0"/>
    </xf>
    <xf numFmtId="0" fontId="7" fillId="0" borderId="94" xfId="2" applyFont="1" applyFill="1" applyBorder="1" applyAlignment="1" applyProtection="1">
      <alignment horizontal="center"/>
      <protection locked="0"/>
    </xf>
    <xf numFmtId="0" fontId="7" fillId="0" borderId="108" xfId="2" applyFont="1" applyFill="1" applyBorder="1" applyAlignment="1" applyProtection="1">
      <alignment horizontal="center"/>
      <protection locked="0"/>
    </xf>
    <xf numFmtId="0" fontId="16" fillId="17" borderId="7" xfId="2" applyFont="1" applyFill="1" applyBorder="1" applyAlignment="1" applyProtection="1">
      <alignment horizontal="left" vertical="center" wrapText="1"/>
    </xf>
    <xf numFmtId="0" fontId="16" fillId="17" borderId="3" xfId="2" applyFont="1" applyFill="1" applyBorder="1" applyAlignment="1" applyProtection="1">
      <alignment horizontal="left" vertical="center" wrapText="1"/>
    </xf>
    <xf numFmtId="0" fontId="11" fillId="0" borderId="166" xfId="2" applyFont="1" applyFill="1" applyBorder="1" applyAlignment="1" applyProtection="1">
      <alignment horizontal="left"/>
      <protection locked="0"/>
    </xf>
    <xf numFmtId="0" fontId="0" fillId="0" borderId="138" xfId="0" applyBorder="1" applyProtection="1">
      <protection locked="0"/>
    </xf>
    <xf numFmtId="0" fontId="11" fillId="15" borderId="56" xfId="2" applyFont="1" applyFill="1" applyBorder="1" applyAlignment="1" applyProtection="1">
      <alignment horizontal="left" vertical="top"/>
      <protection hidden="1"/>
    </xf>
    <xf numFmtId="0" fontId="116" fillId="0" borderId="362" xfId="2" applyFont="1" applyFill="1" applyBorder="1" applyAlignment="1" applyProtection="1">
      <alignment horizontal="left" vertical="center"/>
      <protection locked="0"/>
    </xf>
    <xf numFmtId="0" fontId="116" fillId="0" borderId="0" xfId="2" applyFont="1" applyFill="1" applyBorder="1" applyAlignment="1" applyProtection="1">
      <alignment horizontal="left" vertical="center"/>
      <protection locked="0"/>
    </xf>
    <xf numFmtId="0" fontId="116" fillId="0" borderId="363" xfId="2" applyFont="1" applyFill="1" applyBorder="1" applyAlignment="1" applyProtection="1">
      <alignment horizontal="left" vertical="center"/>
      <protection locked="0"/>
    </xf>
    <xf numFmtId="0" fontId="116" fillId="0" borderId="364" xfId="2" applyFont="1" applyFill="1" applyBorder="1" applyAlignment="1" applyProtection="1">
      <alignment horizontal="left" vertical="center"/>
      <protection locked="0"/>
    </xf>
    <xf numFmtId="0" fontId="16" fillId="17" borderId="13" xfId="2" applyFont="1" applyFill="1" applyBorder="1" applyAlignment="1" applyProtection="1">
      <alignment horizontal="center" vertical="center"/>
    </xf>
    <xf numFmtId="0" fontId="16" fillId="17" borderId="1" xfId="2" applyFont="1" applyFill="1" applyBorder="1" applyAlignment="1" applyProtection="1">
      <alignment horizontal="center" vertical="center"/>
    </xf>
    <xf numFmtId="0" fontId="16" fillId="17" borderId="16" xfId="2" applyFont="1" applyFill="1" applyBorder="1" applyAlignment="1" applyProtection="1">
      <alignment horizontal="center" vertical="center"/>
    </xf>
    <xf numFmtId="0" fontId="15" fillId="17" borderId="3" xfId="2" applyFont="1" applyFill="1" applyBorder="1" applyAlignment="1" applyProtection="1">
      <alignment horizontal="left" vertical="center"/>
      <protection locked="0"/>
    </xf>
    <xf numFmtId="0" fontId="15" fillId="17" borderId="13" xfId="2" applyFont="1" applyFill="1" applyBorder="1" applyAlignment="1" applyProtection="1">
      <alignment horizontal="left" vertical="center"/>
      <protection locked="0"/>
    </xf>
    <xf numFmtId="0" fontId="109" fillId="17" borderId="362" xfId="2" applyFont="1" applyFill="1" applyBorder="1" applyAlignment="1" applyProtection="1">
      <alignment horizontal="left" vertical="center" wrapText="1"/>
      <protection locked="0"/>
    </xf>
    <xf numFmtId="0" fontId="12" fillId="17" borderId="0" xfId="2" applyFont="1" applyFill="1" applyBorder="1" applyAlignment="1" applyProtection="1">
      <alignment horizontal="left" vertical="center" wrapText="1"/>
      <protection locked="0"/>
    </xf>
    <xf numFmtId="0" fontId="12" fillId="17" borderId="362" xfId="2" applyFont="1" applyFill="1" applyBorder="1" applyAlignment="1" applyProtection="1">
      <alignment horizontal="left" vertical="center" wrapText="1"/>
      <protection locked="0"/>
    </xf>
    <xf numFmtId="0" fontId="16" fillId="17" borderId="3" xfId="2" applyFont="1" applyFill="1" applyBorder="1" applyAlignment="1" applyProtection="1">
      <alignment horizontal="center" wrapText="1"/>
    </xf>
    <xf numFmtId="0" fontId="16" fillId="17" borderId="0" xfId="2" applyFont="1" applyFill="1" applyBorder="1" applyAlignment="1" applyProtection="1">
      <alignment horizontal="center" wrapText="1"/>
    </xf>
    <xf numFmtId="0" fontId="16" fillId="17" borderId="2" xfId="2" applyFont="1" applyFill="1" applyBorder="1" applyAlignment="1" applyProtection="1">
      <alignment horizontal="center" wrapText="1"/>
    </xf>
    <xf numFmtId="0" fontId="11" fillId="17" borderId="7" xfId="2" applyFont="1" applyFill="1" applyBorder="1" applyAlignment="1" applyProtection="1">
      <alignment horizontal="center" vertical="top"/>
    </xf>
    <xf numFmtId="0" fontId="11" fillId="17" borderId="351" xfId="2" applyFont="1" applyFill="1" applyBorder="1" applyAlignment="1" applyProtection="1">
      <alignment horizontal="center" vertical="top"/>
    </xf>
    <xf numFmtId="0" fontId="11" fillId="17" borderId="350" xfId="2" applyFont="1" applyFill="1" applyBorder="1" applyAlignment="1" applyProtection="1">
      <alignment horizontal="center" vertical="top"/>
    </xf>
    <xf numFmtId="0" fontId="11" fillId="17" borderId="3" xfId="2" applyFont="1" applyFill="1" applyBorder="1" applyAlignment="1" applyProtection="1">
      <alignment horizontal="center" vertical="top"/>
    </xf>
    <xf numFmtId="0" fontId="11" fillId="17" borderId="0" xfId="2" applyFont="1" applyFill="1" applyBorder="1" applyAlignment="1" applyProtection="1">
      <alignment horizontal="center" vertical="top"/>
    </xf>
    <xf numFmtId="0" fontId="11" fillId="17" borderId="2" xfId="2" applyFont="1" applyFill="1" applyBorder="1" applyAlignment="1" applyProtection="1">
      <alignment horizontal="center" vertical="top"/>
    </xf>
    <xf numFmtId="0" fontId="11" fillId="17" borderId="3" xfId="2" applyFont="1" applyFill="1" applyBorder="1" applyAlignment="1" applyProtection="1">
      <alignment horizontal="center" vertical="center"/>
    </xf>
    <xf numFmtId="0" fontId="11" fillId="17" borderId="0" xfId="2" applyFont="1" applyFill="1" applyBorder="1" applyAlignment="1" applyProtection="1">
      <alignment horizontal="center" vertical="center"/>
    </xf>
    <xf numFmtId="0" fontId="11" fillId="17" borderId="2" xfId="2" applyFont="1" applyFill="1" applyBorder="1" applyAlignment="1" applyProtection="1">
      <alignment horizontal="center" vertical="center"/>
    </xf>
    <xf numFmtId="3" fontId="114" fillId="17" borderId="58" xfId="0" applyNumberFormat="1" applyFont="1" applyFill="1" applyBorder="1" applyAlignment="1" applyProtection="1">
      <alignment horizontal="center" vertical="center"/>
      <protection hidden="1"/>
    </xf>
    <xf numFmtId="0" fontId="4" fillId="0" borderId="0" xfId="2" applyFont="1" applyFill="1" applyBorder="1" applyAlignment="1" applyProtection="1">
      <alignment horizontal="center"/>
      <protection locked="0"/>
    </xf>
    <xf numFmtId="0" fontId="13" fillId="17" borderId="7" xfId="2" applyFont="1" applyFill="1" applyBorder="1" applyAlignment="1" applyProtection="1">
      <alignment horizontal="left" vertical="center"/>
      <protection hidden="1"/>
    </xf>
    <xf numFmtId="0" fontId="13" fillId="17" borderId="3" xfId="2" applyFont="1" applyFill="1" applyBorder="1" applyAlignment="1" applyProtection="1">
      <alignment horizontal="left" vertical="center"/>
      <protection hidden="1"/>
    </xf>
    <xf numFmtId="3" fontId="7" fillId="17" borderId="41" xfId="0" applyNumberFormat="1" applyFont="1" applyFill="1" applyBorder="1" applyAlignment="1" applyProtection="1">
      <alignment horizontal="center" vertical="center"/>
      <protection hidden="1"/>
    </xf>
    <xf numFmtId="3" fontId="7" fillId="17" borderId="58" xfId="0" applyNumberFormat="1" applyFont="1" applyFill="1" applyBorder="1" applyAlignment="1" applyProtection="1">
      <alignment horizontal="center" vertical="center"/>
      <protection hidden="1"/>
    </xf>
    <xf numFmtId="0" fontId="7" fillId="17" borderId="41" xfId="0" applyFont="1" applyFill="1" applyBorder="1" applyAlignment="1" applyProtection="1">
      <alignment horizontal="center" vertical="center"/>
      <protection hidden="1"/>
    </xf>
    <xf numFmtId="0" fontId="7" fillId="17" borderId="58" xfId="0" applyFont="1" applyFill="1" applyBorder="1" applyAlignment="1" applyProtection="1">
      <alignment horizontal="center" vertical="center"/>
      <protection hidden="1"/>
    </xf>
    <xf numFmtId="0" fontId="15" fillId="17" borderId="0" xfId="2" applyFont="1" applyFill="1" applyAlignment="1" applyProtection="1">
      <alignment horizontal="left"/>
    </xf>
    <xf numFmtId="0" fontId="109" fillId="17" borderId="0" xfId="2" applyFont="1" applyFill="1" applyBorder="1" applyAlignment="1" applyProtection="1">
      <alignment horizontal="left" vertical="center" wrapText="1"/>
      <protection locked="0"/>
    </xf>
    <xf numFmtId="0" fontId="13" fillId="17" borderId="4" xfId="2" applyFont="1" applyFill="1" applyBorder="1" applyAlignment="1" applyProtection="1">
      <alignment horizontal="left" vertical="center"/>
      <protection hidden="1"/>
    </xf>
    <xf numFmtId="0" fontId="13" fillId="17" borderId="0" xfId="2" applyFont="1" applyFill="1" applyBorder="1" applyAlignment="1" applyProtection="1">
      <alignment horizontal="left" vertical="center"/>
      <protection hidden="1"/>
    </xf>
    <xf numFmtId="0" fontId="11" fillId="0" borderId="248" xfId="2" applyFont="1" applyBorder="1" applyAlignment="1" applyProtection="1">
      <alignment horizontal="left"/>
      <protection locked="0"/>
    </xf>
    <xf numFmtId="0" fontId="11" fillId="0" borderId="213" xfId="2" applyFont="1" applyBorder="1" applyAlignment="1" applyProtection="1">
      <alignment horizontal="left"/>
      <protection locked="0"/>
    </xf>
    <xf numFmtId="0" fontId="11" fillId="0" borderId="249" xfId="2" applyFont="1" applyBorder="1" applyAlignment="1" applyProtection="1">
      <alignment horizontal="left"/>
      <protection locked="0"/>
    </xf>
    <xf numFmtId="0" fontId="11" fillId="0" borderId="242" xfId="2" applyFont="1" applyBorder="1" applyAlignment="1" applyProtection="1">
      <alignment horizontal="left"/>
      <protection locked="0"/>
    </xf>
    <xf numFmtId="0" fontId="11" fillId="0" borderId="243" xfId="2" applyFont="1" applyBorder="1" applyAlignment="1" applyProtection="1">
      <alignment horizontal="left"/>
      <protection locked="0"/>
    </xf>
    <xf numFmtId="0" fontId="11" fillId="0" borderId="244" xfId="2" applyFont="1" applyBorder="1" applyAlignment="1" applyProtection="1">
      <alignment horizontal="left"/>
      <protection locked="0"/>
    </xf>
    <xf numFmtId="49" fontId="11" fillId="17" borderId="3" xfId="2" applyNumberFormat="1" applyFont="1" applyFill="1" applyBorder="1" applyAlignment="1" applyProtection="1">
      <alignment horizontal="left"/>
      <protection hidden="1"/>
    </xf>
    <xf numFmtId="49" fontId="11" fillId="17" borderId="0" xfId="2" applyNumberFormat="1" applyFont="1" applyFill="1" applyBorder="1" applyAlignment="1" applyProtection="1">
      <alignment horizontal="left"/>
      <protection hidden="1"/>
    </xf>
    <xf numFmtId="0" fontId="16" fillId="0" borderId="245" xfId="2" applyFont="1" applyBorder="1" applyAlignment="1" applyProtection="1">
      <alignment horizontal="left"/>
      <protection locked="0"/>
    </xf>
    <xf numFmtId="0" fontId="16" fillId="0" borderId="246" xfId="2" applyFont="1" applyBorder="1" applyAlignment="1" applyProtection="1">
      <alignment horizontal="left"/>
      <protection locked="0"/>
    </xf>
    <xf numFmtId="0" fontId="16" fillId="0" borderId="247" xfId="2" applyFont="1" applyBorder="1" applyAlignment="1" applyProtection="1">
      <alignment horizontal="left"/>
      <protection locked="0"/>
    </xf>
    <xf numFmtId="0" fontId="11" fillId="17" borderId="3" xfId="2" applyFont="1" applyFill="1" applyBorder="1" applyAlignment="1" applyProtection="1">
      <alignment horizontal="left"/>
      <protection hidden="1"/>
    </xf>
    <xf numFmtId="0" fontId="11" fillId="17" borderId="0" xfId="2" applyFont="1" applyFill="1" applyBorder="1" applyAlignment="1" applyProtection="1">
      <alignment horizontal="left"/>
      <protection hidden="1"/>
    </xf>
  </cellXfs>
  <cellStyles count="13">
    <cellStyle name="Hyperlink" xfId="1" builtinId="8"/>
    <cellStyle name="Normal" xfId="0" builtinId="0"/>
    <cellStyle name="Normal 2" xfId="2"/>
    <cellStyle name="Normal 3" xfId="3"/>
    <cellStyle name="Normal 3 2" xfId="4"/>
    <cellStyle name="Normal 4" xfId="5"/>
    <cellStyle name="Normal 4 2" xfId="6"/>
    <cellStyle name="Normal 5" xfId="7"/>
    <cellStyle name="Normal 5 2" xfId="8"/>
    <cellStyle name="Normal 6" xfId="9"/>
    <cellStyle name="Normal 7" xfId="10"/>
    <cellStyle name="Percent" xfId="11" builtinId="5"/>
    <cellStyle name="Procent 2" xfId="12"/>
  </cellStyles>
  <dxfs count="343">
    <dxf>
      <border>
        <left style="hair">
          <color auto="1"/>
        </left>
        <right style="hair">
          <color auto="1"/>
        </right>
        <top style="hair">
          <color auto="1"/>
        </top>
        <bottom style="hair">
          <color auto="1"/>
        </bottom>
        <vertical/>
        <horizontal/>
      </border>
    </dxf>
    <dxf>
      <font>
        <color rgb="FFFFFFCC"/>
      </font>
    </dxf>
    <dxf>
      <fill>
        <patternFill>
          <bgColor rgb="FFFFFFCC"/>
        </patternFill>
      </fill>
    </dxf>
    <dxf>
      <fill>
        <patternFill>
          <bgColor rgb="FFDAEEF3"/>
        </patternFill>
      </fill>
    </dxf>
    <dxf>
      <font>
        <strike/>
        <color rgb="FFFF0000"/>
      </font>
    </dxf>
    <dxf>
      <font>
        <strike/>
        <color rgb="FFFF0000"/>
      </font>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fill>
        <patternFill patternType="none">
          <bgColor auto="1"/>
        </patternFill>
      </fill>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fill>
        <patternFill patternType="none">
          <bgColor auto="1"/>
        </patternFill>
      </fill>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fill>
        <patternFill patternType="none">
          <bgColor auto="1"/>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ill>
        <patternFill>
          <bgColor rgb="FFFF0000"/>
        </patternFill>
      </fill>
    </dxf>
    <dxf>
      <fill>
        <patternFill>
          <bgColor rgb="FFFF000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ont>
        <strike/>
        <color rgb="FFFF0000"/>
      </font>
    </dxf>
    <dxf>
      <font>
        <strike val="0"/>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fill>
        <patternFill patternType="none">
          <bgColor auto="1"/>
        </patternFill>
      </fill>
    </dxf>
    <dxf>
      <font>
        <strike val="0"/>
        <color theme="0"/>
      </font>
      <fill>
        <patternFill>
          <bgColor rgb="FFC00000"/>
        </patternFill>
      </fill>
    </dxf>
    <dxf>
      <font>
        <strike val="0"/>
        <color rgb="FFFF0000"/>
      </font>
    </dxf>
    <dxf>
      <fill>
        <patternFill patternType="solid">
          <fgColor auto="1"/>
          <bgColor rgb="FFFF0000"/>
        </patternFill>
      </fill>
    </dxf>
  </dxfs>
  <tableStyles count="0" defaultTableStyle="TableStyleMedium9" defaultPivotStyle="PivotStyleLight16"/>
  <colors>
    <mruColors>
      <color rgb="FFFFFFCC"/>
      <color rgb="FFDAEEF3"/>
      <color rgb="FFFF9900"/>
      <color rgb="FFFFE36D"/>
      <color rgb="FFFFCC99"/>
      <color rgb="FF95B3E3"/>
      <color rgb="FFE6FEF6"/>
      <color rgb="FFFF0066"/>
      <color rgb="FFF2F2F2"/>
      <color rgb="FFDB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defRPr sz="1800" b="1" i="0" u="none" strike="noStrike" baseline="0">
                <a:solidFill>
                  <a:srgbClr val="000000"/>
                </a:solidFill>
                <a:latin typeface="Calibri"/>
                <a:ea typeface="Calibri"/>
                <a:cs typeface="Calibri"/>
              </a:defRPr>
            </a:pPr>
            <a:r>
              <a:rPr lang="sv-SE"/>
              <a:t>Resultatbudget</a:t>
            </a:r>
          </a:p>
        </c:rich>
      </c:tx>
      <c:overlay val="1"/>
      <c:spPr>
        <a:ln>
          <a:solidFill>
            <a:schemeClr val="accent1">
              <a:alpha val="93000"/>
            </a:schemeClr>
          </a:solidFill>
        </a:ln>
      </c:spPr>
    </c:title>
    <c:autoTitleDeleted val="0"/>
    <c:plotArea>
      <c:layout>
        <c:manualLayout>
          <c:layoutTarget val="inner"/>
          <c:xMode val="edge"/>
          <c:yMode val="edge"/>
          <c:x val="6.8033257587767973E-2"/>
          <c:y val="0.1560401103708193"/>
          <c:w val="0.678709124194395"/>
          <c:h val="0.55380043299279391"/>
        </c:manualLayout>
      </c:layout>
      <c:lineChart>
        <c:grouping val="standard"/>
        <c:varyColors val="0"/>
        <c:ser>
          <c:idx val="0"/>
          <c:order val="0"/>
          <c:tx>
            <c:strRef>
              <c:f>Resultatbudget_Månad!$B$7</c:f>
              <c:strCache>
                <c:ptCount val="1"/>
                <c:pt idx="0">
                  <c:v>Försäljningsintäkter</c:v>
                </c:pt>
              </c:strCache>
            </c:strRef>
          </c:tx>
          <c:marker>
            <c:symbol val="none"/>
          </c:marker>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Resultatbudget_Månad!$D$7:$AA$7</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DB5B-418D-9495-3F037B79B202}"/>
            </c:ext>
          </c:extLst>
        </c:ser>
        <c:ser>
          <c:idx val="1"/>
          <c:order val="1"/>
          <c:tx>
            <c:strRef>
              <c:f>Resultatbudget_Månad!$B$10</c:f>
              <c:strCache>
                <c:ptCount val="1"/>
                <c:pt idx="0">
                  <c:v>Rörliga kostnader </c:v>
                </c:pt>
              </c:strCache>
            </c:strRef>
          </c:tx>
          <c:spPr>
            <a:ln>
              <a:solidFill>
                <a:srgbClr val="C00000"/>
              </a:solidFill>
            </a:ln>
          </c:spPr>
          <c:marker>
            <c:symbol val="none"/>
          </c:marker>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Resultatbudget_Månad!$D$10:$AA$10</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DB5B-418D-9495-3F037B79B202}"/>
            </c:ext>
          </c:extLst>
        </c:ser>
        <c:ser>
          <c:idx val="27"/>
          <c:order val="2"/>
          <c:tx>
            <c:strRef>
              <c:f>Resultatbudget_Månad!$B$44</c:f>
              <c:strCache>
                <c:ptCount val="1"/>
                <c:pt idx="0">
                  <c:v>  Summa omkostnader</c:v>
                </c:pt>
              </c:strCache>
            </c:strRef>
          </c:tx>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Resultatbudget_Månad!$D$44:$AA$44</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DB5B-418D-9495-3F037B79B202}"/>
            </c:ext>
          </c:extLst>
        </c:ser>
        <c:ser>
          <c:idx val="28"/>
          <c:order val="3"/>
          <c:tx>
            <c:strRef>
              <c:f>Resultatbudget_Månad!$B$45</c:f>
              <c:strCache>
                <c:ptCount val="1"/>
                <c:pt idx="0">
                  <c:v>Resultat</c:v>
                </c:pt>
              </c:strCache>
            </c:strRef>
          </c:tx>
          <c:spPr>
            <a:ln>
              <a:solidFill>
                <a:srgbClr val="00B0F0"/>
              </a:solidFill>
            </a:ln>
          </c:spPr>
          <c:marker>
            <c:symbol val="none"/>
          </c:marker>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Resultatbudget_Månad!$D$45:$AA$45</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DB5B-418D-9495-3F037B79B202}"/>
            </c:ext>
          </c:extLst>
        </c:ser>
        <c:dLbls>
          <c:showLegendKey val="0"/>
          <c:showVal val="0"/>
          <c:showCatName val="0"/>
          <c:showSerName val="0"/>
          <c:showPercent val="0"/>
          <c:showBubbleSize val="0"/>
        </c:dLbls>
        <c:marker val="1"/>
        <c:smooth val="0"/>
        <c:axId val="153197184"/>
        <c:axId val="153207168"/>
      </c:lineChart>
      <c:catAx>
        <c:axId val="153197184"/>
        <c:scaling>
          <c:orientation val="minMax"/>
        </c:scaling>
        <c:delete val="0"/>
        <c:axPos val="b"/>
        <c:numFmt formatCode="General" sourceLinked="1"/>
        <c:majorTickMark val="none"/>
        <c:minorTickMark val="none"/>
        <c:tickLblPos val="low"/>
        <c:txPr>
          <a:bodyPr rot="-5400000" vert="horz"/>
          <a:lstStyle/>
          <a:p>
            <a:pPr>
              <a:defRPr sz="800" b="0" i="0" u="none" strike="noStrike" baseline="0">
                <a:solidFill>
                  <a:srgbClr val="000000"/>
                </a:solidFill>
                <a:latin typeface="Arial Narrow" panose="020B0606020202030204" pitchFamily="34" charset="0"/>
                <a:ea typeface="Calibri"/>
                <a:cs typeface="Calibri"/>
              </a:defRPr>
            </a:pPr>
            <a:endParaRPr lang="sv-SE"/>
          </a:p>
        </c:txPr>
        <c:crossAx val="153207168"/>
        <c:crosses val="autoZero"/>
        <c:auto val="1"/>
        <c:lblAlgn val="ctr"/>
        <c:lblOffset val="100"/>
        <c:noMultiLvlLbl val="0"/>
      </c:catAx>
      <c:valAx>
        <c:axId val="153207168"/>
        <c:scaling>
          <c:orientation val="minMax"/>
        </c:scaling>
        <c:delete val="0"/>
        <c:axPos val="l"/>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15319718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sv-SE"/>
        </a:p>
      </c:txPr>
    </c:legend>
    <c:plotVisOnly val="1"/>
    <c:dispBlanksAs val="gap"/>
    <c:showDLblsOverMax val="0"/>
  </c:chart>
  <c:spPr>
    <a:ln>
      <a:noFill/>
    </a:ln>
  </c:spPr>
  <c:txPr>
    <a:bodyPr rot="-5400000" vert="horz"/>
    <a:lstStyle/>
    <a:p>
      <a:pPr>
        <a:defRPr sz="1000" b="0" i="0" u="none" strike="noStrike" baseline="0">
          <a:solidFill>
            <a:srgbClr val="000000"/>
          </a:solidFill>
          <a:latin typeface="Calibri"/>
          <a:ea typeface="Calibri"/>
          <a:cs typeface="Calibri"/>
        </a:defRPr>
      </a:pPr>
      <a:endParaRPr lang="sv-SE"/>
    </a:p>
  </c:txPr>
  <c:printSettings>
    <c:headerFooter>
      <c:oddFooter>&amp;C© Almi Företagspartner AB 2015-08-25</c:oddFooter>
    </c:headerFooter>
    <c:pageMargins b="0.74803149606299291" l="0.70866141732283561" r="0.70866141732283561" t="0.74803149606299291" header="0.3149606299212605" footer="0.31496062992126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0942593446921439"/>
          <c:y val="4.3426220658587894E-2"/>
        </c:manualLayout>
      </c:layout>
      <c:overlay val="0"/>
      <c:txPr>
        <a:bodyPr/>
        <a:lstStyle/>
        <a:p>
          <a:pPr>
            <a:defRPr sz="1800" b="1" i="0" u="none" strike="noStrike" baseline="0">
              <a:solidFill>
                <a:srgbClr val="000000"/>
              </a:solidFill>
              <a:latin typeface="Calibri"/>
              <a:ea typeface="Calibri"/>
              <a:cs typeface="Calibri"/>
            </a:defRPr>
          </a:pPr>
          <a:endParaRPr lang="sv-SE"/>
        </a:p>
      </c:txPr>
    </c:title>
    <c:autoTitleDeleted val="0"/>
    <c:plotArea>
      <c:layout>
        <c:manualLayout>
          <c:layoutTarget val="inner"/>
          <c:xMode val="edge"/>
          <c:yMode val="edge"/>
          <c:x val="0.10202546772715806"/>
          <c:y val="0.198948269764152"/>
          <c:w val="0.63292834601408543"/>
          <c:h val="0.59488952178849952"/>
        </c:manualLayout>
      </c:layout>
      <c:lineChart>
        <c:grouping val="standard"/>
        <c:varyColors val="0"/>
        <c:ser>
          <c:idx val="5"/>
          <c:order val="0"/>
          <c:tx>
            <c:strRef>
              <c:f>Likviditetsbudget!$B$38</c:f>
              <c:strCache>
                <c:ptCount val="1"/>
                <c:pt idx="0">
                  <c:v> Utgående kassa</c:v>
                </c:pt>
              </c:strCache>
            </c:strRef>
          </c:tx>
          <c:marker>
            <c:symbol val="none"/>
          </c:marker>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Likviditetsbudget!$I$38:$AF$38</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5154-41B2-93D3-73E443135783}"/>
            </c:ext>
          </c:extLst>
        </c:ser>
        <c:dLbls>
          <c:showLegendKey val="0"/>
          <c:showVal val="0"/>
          <c:showCatName val="0"/>
          <c:showSerName val="0"/>
          <c:showPercent val="0"/>
          <c:showBubbleSize val="0"/>
        </c:dLbls>
        <c:marker val="1"/>
        <c:smooth val="0"/>
        <c:axId val="155387392"/>
        <c:axId val="155388928"/>
      </c:lineChart>
      <c:catAx>
        <c:axId val="155387392"/>
        <c:scaling>
          <c:orientation val="minMax"/>
        </c:scaling>
        <c:delete val="0"/>
        <c:axPos val="b"/>
        <c:numFmt formatCode="General" sourceLinked="1"/>
        <c:majorTickMark val="out"/>
        <c:minorTickMark val="none"/>
        <c:tickLblPos val="low"/>
        <c:txPr>
          <a:bodyPr rot="-5400000" vert="horz"/>
          <a:lstStyle/>
          <a:p>
            <a:pPr>
              <a:defRPr sz="800" baseline="0">
                <a:latin typeface="Arial Narrow" panose="020B0606020202030204" pitchFamily="34" charset="0"/>
              </a:defRPr>
            </a:pPr>
            <a:endParaRPr lang="sv-SE"/>
          </a:p>
        </c:txPr>
        <c:crossAx val="155388928"/>
        <c:crosses val="autoZero"/>
        <c:auto val="1"/>
        <c:lblAlgn val="ctr"/>
        <c:lblOffset val="100"/>
        <c:noMultiLvlLbl val="0"/>
      </c:catAx>
      <c:valAx>
        <c:axId val="155388928"/>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155387392"/>
        <c:crosses val="autoZero"/>
        <c:crossBetween val="between"/>
      </c:valAx>
    </c:plotArea>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sv-SE"/>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sv-SE"/>
              <a:t>Resultatbudget</a:t>
            </a:r>
          </a:p>
        </c:rich>
      </c:tx>
      <c:layout>
        <c:manualLayout>
          <c:xMode val="edge"/>
          <c:yMode val="edge"/>
          <c:x val="1.1722845812349224E-3"/>
          <c:y val="4.3521266073194786E-2"/>
        </c:manualLayout>
      </c:layout>
      <c:overlay val="0"/>
    </c:title>
    <c:autoTitleDeleted val="0"/>
    <c:plotArea>
      <c:layout>
        <c:manualLayout>
          <c:layoutTarget val="inner"/>
          <c:xMode val="edge"/>
          <c:yMode val="edge"/>
          <c:x val="0.16679607562029036"/>
          <c:y val="0.16299654873181527"/>
          <c:w val="0.82294277738061838"/>
          <c:h val="0.62503275120824886"/>
        </c:manualLayout>
      </c:layout>
      <c:lineChart>
        <c:grouping val="standard"/>
        <c:varyColors val="0"/>
        <c:ser>
          <c:idx val="0"/>
          <c:order val="0"/>
          <c:tx>
            <c:strRef>
              <c:f>Resultatbudget_Månad!$B$7</c:f>
              <c:strCache>
                <c:ptCount val="1"/>
                <c:pt idx="0">
                  <c:v>Försäljningsintäkter</c:v>
                </c:pt>
              </c:strCache>
            </c:strRef>
          </c:tx>
          <c:spPr>
            <a:ln>
              <a:solidFill>
                <a:schemeClr val="tx2">
                  <a:lumMod val="50000"/>
                </a:schemeClr>
              </a:solidFill>
            </a:ln>
          </c:spPr>
          <c:marker>
            <c:symbol val="none"/>
          </c:marker>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Resultatbudget_Månad!$D$7:$AA$7</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4F5E-4CCA-8ACE-28E495F755E5}"/>
            </c:ext>
          </c:extLst>
        </c:ser>
        <c:ser>
          <c:idx val="1"/>
          <c:order val="1"/>
          <c:tx>
            <c:strRef>
              <c:f>Resultatbudget_Månad!$B$10</c:f>
              <c:strCache>
                <c:ptCount val="1"/>
                <c:pt idx="0">
                  <c:v>Rörliga kostnader </c:v>
                </c:pt>
              </c:strCache>
            </c:strRef>
          </c:tx>
          <c:spPr>
            <a:ln>
              <a:solidFill>
                <a:srgbClr val="C00000"/>
              </a:solidFill>
            </a:ln>
          </c:spPr>
          <c:marker>
            <c:symbol val="none"/>
          </c:marker>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Resultatbudget_Månad!$D$10:$AA$10</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1-4F5E-4CCA-8ACE-28E495F755E5}"/>
            </c:ext>
          </c:extLst>
        </c:ser>
        <c:ser>
          <c:idx val="27"/>
          <c:order val="2"/>
          <c:tx>
            <c:strRef>
              <c:f>Resultatbudget_Månad!$B$44</c:f>
              <c:strCache>
                <c:ptCount val="1"/>
                <c:pt idx="0">
                  <c:v>  Summa omkostnader</c:v>
                </c:pt>
              </c:strCache>
            </c:strRef>
          </c:tx>
          <c:spPr>
            <a:ln>
              <a:solidFill>
                <a:schemeClr val="accent3">
                  <a:lumMod val="50000"/>
                </a:schemeClr>
              </a:solidFill>
            </a:ln>
          </c:spPr>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Resultatbudget_Månad!$D$44:$AA$44</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4F5E-4CCA-8ACE-28E495F755E5}"/>
            </c:ext>
          </c:extLst>
        </c:ser>
        <c:ser>
          <c:idx val="28"/>
          <c:order val="3"/>
          <c:tx>
            <c:strRef>
              <c:f>Resultatbudget_Månad!$B$45</c:f>
              <c:strCache>
                <c:ptCount val="1"/>
                <c:pt idx="0">
                  <c:v>Resultat</c:v>
                </c:pt>
              </c:strCache>
            </c:strRef>
          </c:tx>
          <c:spPr>
            <a:ln>
              <a:solidFill>
                <a:srgbClr val="00B0F0"/>
              </a:solidFill>
            </a:ln>
          </c:spPr>
          <c:marker>
            <c:symbol val="none"/>
          </c:marker>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Resultatbudget_Månad!$D$45:$AA$45</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4F5E-4CCA-8ACE-28E495F755E5}"/>
            </c:ext>
          </c:extLst>
        </c:ser>
        <c:dLbls>
          <c:showLegendKey val="0"/>
          <c:showVal val="0"/>
          <c:showCatName val="0"/>
          <c:showSerName val="0"/>
          <c:showPercent val="0"/>
          <c:showBubbleSize val="0"/>
        </c:dLbls>
        <c:marker val="1"/>
        <c:smooth val="0"/>
        <c:axId val="151418368"/>
        <c:axId val="151419904"/>
      </c:lineChart>
      <c:catAx>
        <c:axId val="151418368"/>
        <c:scaling>
          <c:orientation val="minMax"/>
        </c:scaling>
        <c:delete val="0"/>
        <c:axPos val="b"/>
        <c:numFmt formatCode="General" sourceLinked="1"/>
        <c:majorTickMark val="none"/>
        <c:minorTickMark val="none"/>
        <c:tickLblPos val="low"/>
        <c:txPr>
          <a:bodyPr rot="-5400000" vert="horz"/>
          <a:lstStyle/>
          <a:p>
            <a:pPr>
              <a:defRPr sz="800" b="0" i="0" u="none" strike="noStrike" baseline="0">
                <a:solidFill>
                  <a:srgbClr val="000000"/>
                </a:solidFill>
                <a:latin typeface="Arial Narrow" panose="020B0606020202030204" pitchFamily="34" charset="0"/>
                <a:ea typeface="Calibri"/>
                <a:cs typeface="Calibri"/>
              </a:defRPr>
            </a:pPr>
            <a:endParaRPr lang="sv-SE"/>
          </a:p>
        </c:txPr>
        <c:crossAx val="151419904"/>
        <c:crosses val="autoZero"/>
        <c:auto val="1"/>
        <c:lblAlgn val="ctr"/>
        <c:lblOffset val="100"/>
        <c:noMultiLvlLbl val="0"/>
      </c:catAx>
      <c:valAx>
        <c:axId val="151419904"/>
        <c:scaling>
          <c:orientation val="minMax"/>
        </c:scaling>
        <c:delete val="0"/>
        <c:axPos val="l"/>
        <c:majorGridlines/>
        <c:numFmt formatCode="#,##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151418368"/>
        <c:crosses val="autoZero"/>
        <c:crossBetween val="between"/>
      </c:valAx>
    </c:plotArea>
    <c:legend>
      <c:legendPos val="l"/>
      <c:overlay val="0"/>
      <c:txPr>
        <a:bodyPr/>
        <a:lstStyle/>
        <a:p>
          <a:pPr>
            <a:defRPr sz="920" b="0" i="0" u="none" strike="noStrike" baseline="0">
              <a:solidFill>
                <a:srgbClr val="000000"/>
              </a:solidFill>
              <a:latin typeface="Calibri"/>
              <a:ea typeface="Calibri"/>
              <a:cs typeface="Calibri"/>
            </a:defRPr>
          </a:pPr>
          <a:endParaRPr lang="sv-SE"/>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sv-SE"/>
    </a:p>
  </c:txPr>
  <c:printSettings>
    <c:headerFooter>
      <c:oddFooter>&amp;C© Almi Företagspartner AB 2015-06-24</c:oddFooter>
    </c:headerFooter>
    <c:pageMargins b="0.74803149606299302" l="0.70866141732283572" r="0.70866141732283572" t="0.74803149606299302" header="0.31496062992126062" footer="0.3149606299212606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ln>
                <a:noFill/>
              </a:ln>
              <a:solidFill>
                <a:srgbClr val="000000"/>
              </a:solidFill>
              <a:latin typeface="Calibri"/>
              <a:ea typeface="Calibri"/>
              <a:cs typeface="Calibri"/>
            </a:defRPr>
          </a:pPr>
          <a:endParaRPr lang="sv-SE"/>
        </a:p>
      </c:txPr>
    </c:title>
    <c:autoTitleDeleted val="0"/>
    <c:plotArea>
      <c:layout/>
      <c:lineChart>
        <c:grouping val="standard"/>
        <c:varyColors val="0"/>
        <c:ser>
          <c:idx val="5"/>
          <c:order val="0"/>
          <c:tx>
            <c:strRef>
              <c:f>Likviditetsbudget!$B$38</c:f>
              <c:strCache>
                <c:ptCount val="1"/>
                <c:pt idx="0">
                  <c:v> Utgående kassa</c:v>
                </c:pt>
              </c:strCache>
            </c:strRef>
          </c:tx>
          <c:marker>
            <c:symbol val="none"/>
          </c:marker>
          <c:cat>
            <c:multiLvlStrRef>
              <c:f>Resultatbudget_Månad!$D$2:$AA$6</c:f>
              <c:multiLvlStrCache>
                <c:ptCount val="24"/>
                <c:lvl>
                  <c:pt idx="0">
                    <c:v>2016</c:v>
                  </c:pt>
                  <c:pt idx="1">
                    <c:v>2016</c:v>
                  </c:pt>
                  <c:pt idx="2">
                    <c:v>2016</c:v>
                  </c:pt>
                  <c:pt idx="3">
                    <c:v>2016</c:v>
                  </c:pt>
                  <c:pt idx="4">
                    <c:v>2016</c:v>
                  </c:pt>
                  <c:pt idx="5">
                    <c:v>2016</c:v>
                  </c:pt>
                  <c:pt idx="6">
                    <c:v>2016</c:v>
                  </c:pt>
                  <c:pt idx="7">
                    <c:v>2016</c:v>
                  </c:pt>
                  <c:pt idx="8">
                    <c:v>2016</c:v>
                  </c:pt>
                  <c:pt idx="9">
                    <c:v>2016</c:v>
                  </c:pt>
                  <c:pt idx="10">
                    <c:v>2016</c:v>
                  </c:pt>
                  <c:pt idx="11">
                    <c:v>2016</c:v>
                  </c:pt>
                  <c:pt idx="12">
                    <c:v>2017</c:v>
                  </c:pt>
                  <c:pt idx="13">
                    <c:v>2017</c:v>
                  </c:pt>
                  <c:pt idx="14">
                    <c:v>2017</c:v>
                  </c:pt>
                  <c:pt idx="15">
                    <c:v>2017</c:v>
                  </c:pt>
                  <c:pt idx="16">
                    <c:v>2017</c:v>
                  </c:pt>
                  <c:pt idx="17">
                    <c:v>2017</c:v>
                  </c:pt>
                  <c:pt idx="18">
                    <c:v>2017</c:v>
                  </c:pt>
                  <c:pt idx="19">
                    <c:v>2017</c:v>
                  </c:pt>
                  <c:pt idx="20">
                    <c:v>2017</c:v>
                  </c:pt>
                  <c:pt idx="21">
                    <c:v>2017</c:v>
                  </c:pt>
                  <c:pt idx="22">
                    <c:v>2017</c:v>
                  </c:pt>
                  <c:pt idx="23">
                    <c:v>2017</c:v>
                  </c:pt>
                </c:lvl>
                <c:lvl>
                  <c:pt idx="0">
                    <c:v>Januari</c:v>
                  </c:pt>
                  <c:pt idx="1">
                    <c:v>Februari</c:v>
                  </c:pt>
                  <c:pt idx="2">
                    <c:v>Mars</c:v>
                  </c:pt>
                  <c:pt idx="3">
                    <c:v>April</c:v>
                  </c:pt>
                  <c:pt idx="4">
                    <c:v>Maj</c:v>
                  </c:pt>
                  <c:pt idx="5">
                    <c:v>Juni</c:v>
                  </c:pt>
                  <c:pt idx="6">
                    <c:v>Juli</c:v>
                  </c:pt>
                  <c:pt idx="7">
                    <c:v>Augusti</c:v>
                  </c:pt>
                  <c:pt idx="8">
                    <c:v>September</c:v>
                  </c:pt>
                  <c:pt idx="9">
                    <c:v>Oktober</c:v>
                  </c:pt>
                  <c:pt idx="10">
                    <c:v>November</c:v>
                  </c:pt>
                  <c:pt idx="11">
                    <c:v>December</c:v>
                  </c:pt>
                  <c:pt idx="12">
                    <c:v>Januari</c:v>
                  </c:pt>
                  <c:pt idx="13">
                    <c:v>Februari</c:v>
                  </c:pt>
                  <c:pt idx="14">
                    <c:v>Mars</c:v>
                  </c:pt>
                  <c:pt idx="15">
                    <c:v>April</c:v>
                  </c:pt>
                  <c:pt idx="16">
                    <c:v>Maj</c:v>
                  </c:pt>
                  <c:pt idx="17">
                    <c:v>Juni</c:v>
                  </c:pt>
                  <c:pt idx="18">
                    <c:v>Juli</c:v>
                  </c:pt>
                  <c:pt idx="19">
                    <c:v>Augusti</c:v>
                  </c:pt>
                  <c:pt idx="20">
                    <c:v>September</c:v>
                  </c:pt>
                  <c:pt idx="21">
                    <c:v>Oktober</c:v>
                  </c:pt>
                  <c:pt idx="22">
                    <c:v>November</c:v>
                  </c:pt>
                  <c:pt idx="23">
                    <c:v>December</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lvl>
              </c:multiLvlStrCache>
            </c:multiLvlStrRef>
          </c:cat>
          <c:val>
            <c:numRef>
              <c:f>Likviditetsbudget!$I$38:$AF$38</c:f>
              <c:numCache>
                <c:formatCode>#,##0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0-A535-4046-AE3E-6CFB38166C07}"/>
            </c:ext>
          </c:extLst>
        </c:ser>
        <c:dLbls>
          <c:showLegendKey val="0"/>
          <c:showVal val="0"/>
          <c:showCatName val="0"/>
          <c:showSerName val="0"/>
          <c:showPercent val="0"/>
          <c:showBubbleSize val="0"/>
        </c:dLbls>
        <c:marker val="1"/>
        <c:smooth val="0"/>
        <c:axId val="155171456"/>
        <c:axId val="155173632"/>
      </c:lineChart>
      <c:catAx>
        <c:axId val="155171456"/>
        <c:scaling>
          <c:orientation val="minMax"/>
        </c:scaling>
        <c:delete val="0"/>
        <c:axPos val="b"/>
        <c:title>
          <c:overlay val="0"/>
        </c:title>
        <c:numFmt formatCode="General" sourceLinked="1"/>
        <c:majorTickMark val="out"/>
        <c:minorTickMark val="none"/>
        <c:tickLblPos val="low"/>
        <c:txPr>
          <a:bodyPr rot="-5400000" vert="horz"/>
          <a:lstStyle/>
          <a:p>
            <a:pPr>
              <a:defRPr sz="800" b="0" i="0" u="none" strike="noStrike" baseline="0">
                <a:solidFill>
                  <a:srgbClr val="000000"/>
                </a:solidFill>
                <a:latin typeface="Arial Narrow" panose="020B0606020202030204" pitchFamily="34" charset="0"/>
                <a:ea typeface="Calibri"/>
                <a:cs typeface="Calibri"/>
              </a:defRPr>
            </a:pPr>
            <a:endParaRPr lang="sv-SE"/>
          </a:p>
        </c:txPr>
        <c:crossAx val="155173632"/>
        <c:crosses val="autoZero"/>
        <c:auto val="0"/>
        <c:lblAlgn val="ctr"/>
        <c:lblOffset val="100"/>
        <c:noMultiLvlLbl val="0"/>
      </c:catAx>
      <c:valAx>
        <c:axId val="155173632"/>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sv-SE"/>
          </a:p>
        </c:txPr>
        <c:crossAx val="155171456"/>
        <c:crosses val="autoZero"/>
        <c:crossBetween val="between"/>
      </c:valAx>
    </c:plotArea>
    <c:legend>
      <c:legendPos val="r"/>
      <c:overlay val="0"/>
    </c:legend>
    <c:plotVisOnly val="1"/>
    <c:dispBlanksAs val="zero"/>
    <c:showDLblsOverMax val="0"/>
  </c:chart>
  <c:spPr>
    <a:ln>
      <a:noFill/>
    </a:ln>
  </c:spPr>
  <c:txPr>
    <a:bodyPr/>
    <a:lstStyle/>
    <a:p>
      <a:pPr>
        <a:defRPr sz="1000" b="0" i="0" u="none" strike="noStrike" baseline="0">
          <a:solidFill>
            <a:srgbClr val="000000"/>
          </a:solidFill>
          <a:latin typeface="Calibri"/>
          <a:ea typeface="Calibri"/>
          <a:cs typeface="Calibri"/>
        </a:defRPr>
      </a:pPr>
      <a:endParaRPr lang="sv-SE"/>
    </a:p>
  </c:txPr>
  <c:printSettings>
    <c:headerFooter>
      <c:oddFooter>&amp;C© Almi Företagspartner AB 2015-08-25</c:oddFooter>
    </c:headerFooter>
    <c:pageMargins b="0.74803149606299291" l="0.70866141732283561" r="0.70866141732283561" t="0.74803149606299291" header="0.3149606299212605" footer="0.31496062992126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Instruktion!A84"/><Relationship Id="rId1" Type="http://schemas.openxmlformats.org/officeDocument/2006/relationships/hyperlink" Target="#Instruktion!A210"/></Relationships>
</file>

<file path=xl/drawings/_rels/drawing4.xml.rels><?xml version="1.0" encoding="UTF-8" standalone="yes"?>
<Relationships xmlns="http://schemas.openxmlformats.org/package/2006/relationships"><Relationship Id="rId8" Type="http://schemas.openxmlformats.org/officeDocument/2006/relationships/hyperlink" Target="#Instruktion!A80"/><Relationship Id="rId13" Type="http://schemas.openxmlformats.org/officeDocument/2006/relationships/hyperlink" Target="#Instruktion!A196"/><Relationship Id="rId18" Type="http://schemas.openxmlformats.org/officeDocument/2006/relationships/hyperlink" Target="#Instruktion!A273"/><Relationship Id="rId3" Type="http://schemas.openxmlformats.org/officeDocument/2006/relationships/hyperlink" Target="#Instruktion!A39"/><Relationship Id="rId21" Type="http://schemas.openxmlformats.org/officeDocument/2006/relationships/hyperlink" Target="#'Fr&#229;gor &amp; Svar'!A166"/><Relationship Id="rId7" Type="http://schemas.openxmlformats.org/officeDocument/2006/relationships/hyperlink" Target="#Instruktion!A70"/><Relationship Id="rId12" Type="http://schemas.openxmlformats.org/officeDocument/2006/relationships/hyperlink" Target="#Instruktion!A190"/><Relationship Id="rId17" Type="http://schemas.openxmlformats.org/officeDocument/2006/relationships/hyperlink" Target="#Instruktion!A266"/><Relationship Id="rId2" Type="http://schemas.openxmlformats.org/officeDocument/2006/relationships/chart" Target="../charts/chart2.xml"/><Relationship Id="rId16" Type="http://schemas.openxmlformats.org/officeDocument/2006/relationships/hyperlink" Target="#Instruktion!A252"/><Relationship Id="rId20" Type="http://schemas.openxmlformats.org/officeDocument/2006/relationships/hyperlink" Target="#Instruktion!A321"/><Relationship Id="rId1" Type="http://schemas.openxmlformats.org/officeDocument/2006/relationships/chart" Target="../charts/chart1.xml"/><Relationship Id="rId6" Type="http://schemas.openxmlformats.org/officeDocument/2006/relationships/hyperlink" Target="#Instruktion!A67"/><Relationship Id="rId11" Type="http://schemas.openxmlformats.org/officeDocument/2006/relationships/hyperlink" Target="#Instruktion!A163"/><Relationship Id="rId5" Type="http://schemas.openxmlformats.org/officeDocument/2006/relationships/hyperlink" Target="#Instruktion!A25"/><Relationship Id="rId15" Type="http://schemas.openxmlformats.org/officeDocument/2006/relationships/hyperlink" Target="#Instruktion!A245"/><Relationship Id="rId23" Type="http://schemas.openxmlformats.org/officeDocument/2006/relationships/hyperlink" Target="#Instruktion!A171"/><Relationship Id="rId10" Type="http://schemas.openxmlformats.org/officeDocument/2006/relationships/hyperlink" Target="#Instruktion!A128"/><Relationship Id="rId19" Type="http://schemas.openxmlformats.org/officeDocument/2006/relationships/hyperlink" Target="#Instruktion!A283"/><Relationship Id="rId4" Type="http://schemas.openxmlformats.org/officeDocument/2006/relationships/hyperlink" Target="#Instruktion!A44"/><Relationship Id="rId9" Type="http://schemas.openxmlformats.org/officeDocument/2006/relationships/hyperlink" Target="#Instruktion!A102"/><Relationship Id="rId14" Type="http://schemas.openxmlformats.org/officeDocument/2006/relationships/hyperlink" Target="#Instruktion!A221"/><Relationship Id="rId22" Type="http://schemas.openxmlformats.org/officeDocument/2006/relationships/hyperlink" Target="#Instruktion!A87"/></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152400</xdr:colOff>
      <xdr:row>1</xdr:row>
      <xdr:rowOff>0</xdr:rowOff>
    </xdr:from>
    <xdr:to>
      <xdr:col>7</xdr:col>
      <xdr:colOff>161925</xdr:colOff>
      <xdr:row>1</xdr:row>
      <xdr:rowOff>400050</xdr:rowOff>
    </xdr:to>
    <xdr:pic>
      <xdr:nvPicPr>
        <xdr:cNvPr id="9929731" name="Bildobjekt 2" descr="ALMI_Fp_RGB.png"/>
        <xdr:cNvPicPr>
          <a:picLocks noChangeAspect="1"/>
        </xdr:cNvPicPr>
      </xdr:nvPicPr>
      <xdr:blipFill>
        <a:blip xmlns:r="http://schemas.openxmlformats.org/officeDocument/2006/relationships" r:embed="rId1" cstate="print"/>
        <a:srcRect/>
        <a:stretch>
          <a:fillRect/>
        </a:stretch>
      </xdr:blipFill>
      <xdr:spPr bwMode="auto">
        <a:xfrm>
          <a:off x="228600" y="66675"/>
          <a:ext cx="1323975" cy="4000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36</xdr:col>
      <xdr:colOff>204788</xdr:colOff>
      <xdr:row>7</xdr:row>
      <xdr:rowOff>71438</xdr:rowOff>
    </xdr:from>
    <xdr:to>
      <xdr:col>39</xdr:col>
      <xdr:colOff>200025</xdr:colOff>
      <xdr:row>8</xdr:row>
      <xdr:rowOff>147638</xdr:rowOff>
    </xdr:to>
    <xdr:cxnSp macro="">
      <xdr:nvCxnSpPr>
        <xdr:cNvPr id="24" name="Rak 23"/>
        <xdr:cNvCxnSpPr/>
      </xdr:nvCxnSpPr>
      <xdr:spPr>
        <a:xfrm>
          <a:off x="7862888" y="1119188"/>
          <a:ext cx="652462" cy="238125"/>
        </a:xfrm>
        <a:prstGeom prst="line">
          <a:avLst/>
        </a:prstGeom>
        <a:ln>
          <a:solidFill>
            <a:srgbClr val="00736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200025</xdr:colOff>
      <xdr:row>7</xdr:row>
      <xdr:rowOff>61913</xdr:rowOff>
    </xdr:from>
    <xdr:to>
      <xdr:col>44</xdr:col>
      <xdr:colOff>200025</xdr:colOff>
      <xdr:row>8</xdr:row>
      <xdr:rowOff>152400</xdr:rowOff>
    </xdr:to>
    <xdr:cxnSp macro="">
      <xdr:nvCxnSpPr>
        <xdr:cNvPr id="26" name="Rak 25"/>
        <xdr:cNvCxnSpPr/>
      </xdr:nvCxnSpPr>
      <xdr:spPr>
        <a:xfrm>
          <a:off x="7858125" y="1109663"/>
          <a:ext cx="1752600" cy="252412"/>
        </a:xfrm>
        <a:prstGeom prst="line">
          <a:avLst/>
        </a:prstGeom>
        <a:ln>
          <a:solidFill>
            <a:srgbClr val="00736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200025</xdr:colOff>
      <xdr:row>7</xdr:row>
      <xdr:rowOff>66675</xdr:rowOff>
    </xdr:from>
    <xdr:to>
      <xdr:col>49</xdr:col>
      <xdr:colOff>200025</xdr:colOff>
      <xdr:row>8</xdr:row>
      <xdr:rowOff>152400</xdr:rowOff>
    </xdr:to>
    <xdr:cxnSp macro="">
      <xdr:nvCxnSpPr>
        <xdr:cNvPr id="28" name="Rak 27"/>
        <xdr:cNvCxnSpPr/>
      </xdr:nvCxnSpPr>
      <xdr:spPr>
        <a:xfrm>
          <a:off x="7858125" y="1114425"/>
          <a:ext cx="2847975" cy="247650"/>
        </a:xfrm>
        <a:prstGeom prst="line">
          <a:avLst/>
        </a:prstGeom>
        <a:ln>
          <a:solidFill>
            <a:srgbClr val="00736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200025</xdr:colOff>
      <xdr:row>7</xdr:row>
      <xdr:rowOff>61913</xdr:rowOff>
    </xdr:from>
    <xdr:to>
      <xdr:col>38</xdr:col>
      <xdr:colOff>4763</xdr:colOff>
      <xdr:row>8</xdr:row>
      <xdr:rowOff>152400</xdr:rowOff>
    </xdr:to>
    <xdr:cxnSp macro="">
      <xdr:nvCxnSpPr>
        <xdr:cNvPr id="34" name="Rak 33"/>
        <xdr:cNvCxnSpPr/>
      </xdr:nvCxnSpPr>
      <xdr:spPr>
        <a:xfrm>
          <a:off x="7858125" y="1109663"/>
          <a:ext cx="242888" cy="252412"/>
        </a:xfrm>
        <a:prstGeom prst="line">
          <a:avLst/>
        </a:prstGeom>
        <a:ln>
          <a:solidFill>
            <a:srgbClr val="007363"/>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xdr:colOff>
      <xdr:row>24</xdr:row>
      <xdr:rowOff>85725</xdr:rowOff>
    </xdr:from>
    <xdr:to>
      <xdr:col>32</xdr:col>
      <xdr:colOff>9525</xdr:colOff>
      <xdr:row>26</xdr:row>
      <xdr:rowOff>123825</xdr:rowOff>
    </xdr:to>
    <xdr:cxnSp macro="">
      <xdr:nvCxnSpPr>
        <xdr:cNvPr id="20" name="Rak pil 19"/>
        <xdr:cNvCxnSpPr/>
      </xdr:nvCxnSpPr>
      <xdr:spPr>
        <a:xfrm flipH="1" flipV="1">
          <a:off x="6124577" y="4962525"/>
          <a:ext cx="666748" cy="342900"/>
        </a:xfrm>
        <a:prstGeom prst="straightConnector1">
          <a:avLst/>
        </a:prstGeom>
        <a:ln>
          <a:solidFill>
            <a:srgbClr val="00736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85725</xdr:colOff>
      <xdr:row>1</xdr:row>
      <xdr:rowOff>57150</xdr:rowOff>
    </xdr:from>
    <xdr:to>
      <xdr:col>7</xdr:col>
      <xdr:colOff>95250</xdr:colOff>
      <xdr:row>1</xdr:row>
      <xdr:rowOff>457200</xdr:rowOff>
    </xdr:to>
    <xdr:pic>
      <xdr:nvPicPr>
        <xdr:cNvPr id="9928723" name="Bildobjekt 2" descr="ALMI_Fp_RGB.png"/>
        <xdr:cNvPicPr>
          <a:picLocks noChangeAspect="1"/>
        </xdr:cNvPicPr>
      </xdr:nvPicPr>
      <xdr:blipFill>
        <a:blip xmlns:r="http://schemas.openxmlformats.org/officeDocument/2006/relationships" r:embed="rId1" cstate="print"/>
        <a:srcRect/>
        <a:stretch>
          <a:fillRect/>
        </a:stretch>
      </xdr:blipFill>
      <xdr:spPr bwMode="auto">
        <a:xfrm>
          <a:off x="247650" y="104775"/>
          <a:ext cx="1323975" cy="4000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933450</xdr:colOff>
      <xdr:row>8</xdr:row>
      <xdr:rowOff>0</xdr:rowOff>
    </xdr:from>
    <xdr:ext cx="144000" cy="144000"/>
    <xdr:sp macro="" textlink="">
      <xdr:nvSpPr>
        <xdr:cNvPr id="20" name="Rektangel 19">
          <a:hlinkClick xmlns:r="http://schemas.openxmlformats.org/officeDocument/2006/relationships" r:id="rId1" tooltip="&gt;&gt;Instruktion Checkräkningskredit"/>
        </xdr:cNvPr>
        <xdr:cNvSpPr/>
      </xdr:nvSpPr>
      <xdr:spPr>
        <a:xfrm>
          <a:off x="1028700" y="15335251"/>
          <a:ext cx="144000" cy="144000"/>
        </a:xfrm>
        <a:prstGeom prst="rect">
          <a:avLst/>
        </a:prstGeom>
        <a:noFill/>
      </xdr:spPr>
      <xdr:txBody>
        <a:bodyPr wrap="square" lIns="91440" tIns="45720" rIns="91440" bIns="45720" anchor="ctr">
          <a:noAutofit/>
        </a:bodyPr>
        <a:lstStyle/>
        <a:p>
          <a:pPr algn="ctr"/>
          <a:endPar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endParaRPr>
        </a:p>
      </xdr:txBody>
    </xdr:sp>
    <xdr:clientData/>
  </xdr:oneCellAnchor>
  <xdr:oneCellAnchor>
    <xdr:from>
      <xdr:col>2</xdr:col>
      <xdr:colOff>257175</xdr:colOff>
      <xdr:row>471</xdr:row>
      <xdr:rowOff>0</xdr:rowOff>
    </xdr:from>
    <xdr:ext cx="180000" cy="180000"/>
    <xdr:sp macro="" textlink="">
      <xdr:nvSpPr>
        <xdr:cNvPr id="27" name="Rektangel 26">
          <a:hlinkClick xmlns:r="http://schemas.openxmlformats.org/officeDocument/2006/relationships" r:id="rId2" tooltip="&gt;&gt; Instruktion Om det behövs fler rader"/>
        </xdr:cNvPr>
        <xdr:cNvSpPr/>
      </xdr:nvSpPr>
      <xdr:spPr>
        <a:xfrm>
          <a:off x="1400175" y="981075"/>
          <a:ext cx="180000" cy="180000"/>
        </a:xfrm>
        <a:prstGeom prst="rect">
          <a:avLst/>
        </a:prstGeom>
        <a:noFill/>
      </xdr:spPr>
      <xdr:txBody>
        <a:bodyPr wrap="square" lIns="91440" tIns="45720" rIns="91440" bIns="45720" anchor="ctr">
          <a:noAutofit/>
        </a:bodyPr>
        <a:lstStyle/>
        <a:p>
          <a:pPr algn="ctr"/>
          <a:endPar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endParaRPr>
        </a:p>
      </xdr:txBody>
    </xdr:sp>
    <xdr:clientData/>
  </xdr:oneCellAnchor>
  <xdr:oneCellAnchor>
    <xdr:from>
      <xdr:col>1</xdr:col>
      <xdr:colOff>933450</xdr:colOff>
      <xdr:row>0</xdr:row>
      <xdr:rowOff>0</xdr:rowOff>
    </xdr:from>
    <xdr:ext cx="144000" cy="144000"/>
    <xdr:sp macro="" textlink="">
      <xdr:nvSpPr>
        <xdr:cNvPr id="4" name="Rektangel 3">
          <a:hlinkClick xmlns:r="http://schemas.openxmlformats.org/officeDocument/2006/relationships" r:id="rId1" tooltip="&gt;&gt;Instruktion Checkräkningskredit"/>
        </xdr:cNvPr>
        <xdr:cNvSpPr/>
      </xdr:nvSpPr>
      <xdr:spPr>
        <a:xfrm>
          <a:off x="1028700" y="504825"/>
          <a:ext cx="144000" cy="144000"/>
        </a:xfrm>
        <a:prstGeom prst="rect">
          <a:avLst/>
        </a:prstGeom>
        <a:noFill/>
      </xdr:spPr>
      <xdr:txBody>
        <a:bodyPr wrap="square" lIns="91440" tIns="45720" rIns="91440" bIns="45720" anchor="ctr">
          <a:noAutofit/>
        </a:bodyPr>
        <a:lstStyle/>
        <a:p>
          <a:pPr algn="ctr"/>
          <a:endPar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657225</xdr:colOff>
      <xdr:row>322</xdr:row>
      <xdr:rowOff>114301</xdr:rowOff>
    </xdr:from>
    <xdr:to>
      <xdr:col>37</xdr:col>
      <xdr:colOff>476250</xdr:colOff>
      <xdr:row>358</xdr:row>
      <xdr:rowOff>38101</xdr:rowOff>
    </xdr:to>
    <xdr:graphicFrame macro="">
      <xdr:nvGraphicFramePr>
        <xdr:cNvPr id="989100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542923</xdr:colOff>
      <xdr:row>360</xdr:row>
      <xdr:rowOff>76201</xdr:rowOff>
    </xdr:from>
    <xdr:to>
      <xdr:col>38</xdr:col>
      <xdr:colOff>0</xdr:colOff>
      <xdr:row>382</xdr:row>
      <xdr:rowOff>133351</xdr:rowOff>
    </xdr:to>
    <xdr:graphicFrame macro="">
      <xdr:nvGraphicFramePr>
        <xdr:cNvPr id="989100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18</xdr:col>
      <xdr:colOff>238125</xdr:colOff>
      <xdr:row>1</xdr:row>
      <xdr:rowOff>161924</xdr:rowOff>
    </xdr:from>
    <xdr:ext cx="285750" cy="257175"/>
    <xdr:sp macro="" textlink="">
      <xdr:nvSpPr>
        <xdr:cNvPr id="5" name="Rektangel 4">
          <a:hlinkClick xmlns:r="http://schemas.openxmlformats.org/officeDocument/2006/relationships" r:id="rId3" tooltip="&gt;&gt;Instruktion Räkenskapsårets sista månad"/>
        </xdr:cNvPr>
        <xdr:cNvSpPr/>
      </xdr:nvSpPr>
      <xdr:spPr>
        <a:xfrm>
          <a:off x="8734425" y="200024"/>
          <a:ext cx="285750" cy="257175"/>
        </a:xfrm>
        <a:prstGeom prst="rect">
          <a:avLst/>
        </a:prstGeom>
        <a:noFill/>
      </xdr:spPr>
      <xdr:txBody>
        <a:bodyPr wrap="square" lIns="91440" tIns="45720" rIns="91440" bIns="45720">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12</xdr:col>
      <xdr:colOff>66675</xdr:colOff>
      <xdr:row>0</xdr:row>
      <xdr:rowOff>0</xdr:rowOff>
    </xdr:from>
    <xdr:ext cx="285750" cy="257175"/>
    <xdr:sp macro="" textlink="">
      <xdr:nvSpPr>
        <xdr:cNvPr id="6" name="Rektangel 5">
          <a:hlinkClick xmlns:r="http://schemas.openxmlformats.org/officeDocument/2006/relationships" r:id="rId4" tooltip="&gt;&gt;Instruktion Startmånad och Startår"/>
        </xdr:cNvPr>
        <xdr:cNvSpPr/>
      </xdr:nvSpPr>
      <xdr:spPr>
        <a:xfrm>
          <a:off x="5172075" y="0"/>
          <a:ext cx="285750" cy="257175"/>
        </a:xfrm>
        <a:prstGeom prst="rect">
          <a:avLst/>
        </a:prstGeom>
        <a:noFill/>
      </xdr:spPr>
      <xdr:txBody>
        <a:bodyPr wrap="square" lIns="91440" tIns="45720" rIns="91440" bIns="45720">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17</xdr:col>
      <xdr:colOff>19050</xdr:colOff>
      <xdr:row>1</xdr:row>
      <xdr:rowOff>133350</xdr:rowOff>
    </xdr:from>
    <xdr:ext cx="285750" cy="257175"/>
    <xdr:sp macro="" textlink="">
      <xdr:nvSpPr>
        <xdr:cNvPr id="7" name="Rektangel 6">
          <a:hlinkClick xmlns:r="http://schemas.openxmlformats.org/officeDocument/2006/relationships" r:id="rId5" tooltip="&gt;&gt; Instruktion Räkenskapsår "/>
        </xdr:cNvPr>
        <xdr:cNvSpPr/>
      </xdr:nvSpPr>
      <xdr:spPr>
        <a:xfrm>
          <a:off x="7981950" y="171450"/>
          <a:ext cx="285750" cy="257175"/>
        </a:xfrm>
        <a:prstGeom prst="rect">
          <a:avLst/>
        </a:prstGeom>
        <a:noFill/>
      </xdr:spPr>
      <xdr:txBody>
        <a:bodyPr wrap="square" lIns="91440" tIns="45720" rIns="91440" bIns="45720">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57150</xdr:colOff>
      <xdr:row>1</xdr:row>
      <xdr:rowOff>123825</xdr:rowOff>
    </xdr:from>
    <xdr:ext cx="216000" cy="216000"/>
    <xdr:sp macro="" textlink="">
      <xdr:nvSpPr>
        <xdr:cNvPr id="8" name="Rektangel 7">
          <a:hlinkClick xmlns:r="http://schemas.openxmlformats.org/officeDocument/2006/relationships" r:id="rId6" tooltip="&gt;&gt; Instruktion Bokföringsmetod"/>
        </xdr:cNvPr>
        <xdr:cNvSpPr/>
      </xdr:nvSpPr>
      <xdr:spPr>
        <a:xfrm>
          <a:off x="2438400" y="200025"/>
          <a:ext cx="216000" cy="216000"/>
        </a:xfrm>
        <a:prstGeom prst="rect">
          <a:avLst/>
        </a:prstGeom>
        <a:noFill/>
      </xdr:spPr>
      <xdr:txBody>
        <a:bodyPr wrap="square" lIns="91440" tIns="45720" rIns="91440" bIns="45720">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57150</xdr:colOff>
      <xdr:row>4</xdr:row>
      <xdr:rowOff>9525</xdr:rowOff>
    </xdr:from>
    <xdr:ext cx="216000" cy="216000"/>
    <xdr:sp macro="" textlink="">
      <xdr:nvSpPr>
        <xdr:cNvPr id="9" name="Rektangel 8">
          <a:hlinkClick xmlns:r="http://schemas.openxmlformats.org/officeDocument/2006/relationships" r:id="rId7" tooltip="&gt;&gt;Instruktion Momsredovisning"/>
        </xdr:cNvPr>
        <xdr:cNvSpPr/>
      </xdr:nvSpPr>
      <xdr:spPr>
        <a:xfrm>
          <a:off x="2438400" y="447675"/>
          <a:ext cx="216000" cy="216000"/>
        </a:xfrm>
        <a:prstGeom prst="rect">
          <a:avLst/>
        </a:prstGeom>
        <a:noFill/>
      </xdr:spPr>
      <xdr:txBody>
        <a:bodyPr wrap="square" lIns="91440" tIns="45720" rIns="91440" bIns="45720">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2</xdr:col>
      <xdr:colOff>104775</xdr:colOff>
      <xdr:row>8</xdr:row>
      <xdr:rowOff>19050</xdr:rowOff>
    </xdr:from>
    <xdr:ext cx="180000" cy="180000"/>
    <xdr:sp macro="" textlink="">
      <xdr:nvSpPr>
        <xdr:cNvPr id="10" name="Rektangel 9">
          <a:hlinkClick xmlns:r="http://schemas.openxmlformats.org/officeDocument/2006/relationships" r:id="rId8" tooltip="&gt;&gt;Instruktion Försäljning"/>
        </xdr:cNvPr>
        <xdr:cNvSpPr/>
      </xdr:nvSpPr>
      <xdr:spPr>
        <a:xfrm>
          <a:off x="1247775" y="866775"/>
          <a:ext cx="180000" cy="180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123825</xdr:colOff>
      <xdr:row>34</xdr:row>
      <xdr:rowOff>0</xdr:rowOff>
    </xdr:from>
    <xdr:ext cx="216000" cy="180000"/>
    <xdr:sp macro="" textlink="">
      <xdr:nvSpPr>
        <xdr:cNvPr id="11" name="Rektangel 10">
          <a:hlinkClick xmlns:r="http://schemas.openxmlformats.org/officeDocument/2006/relationships" r:id="rId9" tooltip="&gt;&gt;Instruktion Inköp av varor, material och främmande tjänster"/>
        </xdr:cNvPr>
        <xdr:cNvSpPr/>
      </xdr:nvSpPr>
      <xdr:spPr>
        <a:xfrm>
          <a:off x="2543175" y="2133600"/>
          <a:ext cx="216000" cy="180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95250</xdr:colOff>
      <xdr:row>60</xdr:row>
      <xdr:rowOff>85726</xdr:rowOff>
    </xdr:from>
    <xdr:ext cx="217170" cy="218599"/>
    <xdr:sp macro="" textlink="">
      <xdr:nvSpPr>
        <xdr:cNvPr id="12" name="Rektangel 11">
          <a:hlinkClick xmlns:r="http://schemas.openxmlformats.org/officeDocument/2006/relationships" r:id="rId10" tooltip="&gt;&gt;Instruktion Förbrukning av varor, material och främmande tjänster"/>
        </xdr:cNvPr>
        <xdr:cNvSpPr/>
      </xdr:nvSpPr>
      <xdr:spPr>
        <a:xfrm>
          <a:off x="2514600" y="3514726"/>
          <a:ext cx="217170" cy="218599"/>
        </a:xfrm>
        <a:prstGeom prst="rect">
          <a:avLst/>
        </a:prstGeom>
        <a:noFill/>
      </xdr:spPr>
      <xdr:txBody>
        <a:bodyPr wrap="square" lIns="91440" tIns="45720" rIns="91440" bIns="45720">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142875</xdr:colOff>
      <xdr:row>80</xdr:row>
      <xdr:rowOff>123826</xdr:rowOff>
    </xdr:from>
    <xdr:ext cx="217170" cy="218599"/>
    <xdr:sp macro="" textlink="">
      <xdr:nvSpPr>
        <xdr:cNvPr id="13" name="Rektangel 12">
          <a:hlinkClick xmlns:r="http://schemas.openxmlformats.org/officeDocument/2006/relationships" r:id="rId11" tooltip="&gt;&gt;Instruktion Lagernivå"/>
        </xdr:cNvPr>
        <xdr:cNvSpPr/>
      </xdr:nvSpPr>
      <xdr:spPr>
        <a:xfrm>
          <a:off x="2562225" y="5514976"/>
          <a:ext cx="217170" cy="218599"/>
        </a:xfrm>
        <a:prstGeom prst="rect">
          <a:avLst/>
        </a:prstGeom>
        <a:noFill/>
      </xdr:spPr>
      <xdr:txBody>
        <a:bodyPr wrap="square" lIns="91440" tIns="45720" rIns="91440" bIns="45720">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171450</xdr:colOff>
      <xdr:row>109</xdr:row>
      <xdr:rowOff>19051</xdr:rowOff>
    </xdr:from>
    <xdr:ext cx="180000" cy="180000"/>
    <xdr:sp macro="" textlink="">
      <xdr:nvSpPr>
        <xdr:cNvPr id="15" name="Rektangel 14">
          <a:hlinkClick xmlns:r="http://schemas.openxmlformats.org/officeDocument/2006/relationships" r:id="rId12" tooltip="&gt;&gt;Instruktion Ägaruttag. Egna uttag."/>
        </xdr:cNvPr>
        <xdr:cNvSpPr/>
      </xdr:nvSpPr>
      <xdr:spPr>
        <a:xfrm>
          <a:off x="2552700" y="9001126"/>
          <a:ext cx="180000" cy="180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latin typeface="+mn-lt"/>
              <a:cs typeface="Arial" pitchFamily="34" charset="0"/>
            </a:rPr>
            <a:t>?</a:t>
          </a:r>
        </a:p>
      </xdr:txBody>
    </xdr:sp>
    <xdr:clientData/>
  </xdr:oneCellAnchor>
  <xdr:oneCellAnchor>
    <xdr:from>
      <xdr:col>2</xdr:col>
      <xdr:colOff>409575</xdr:colOff>
      <xdr:row>112</xdr:row>
      <xdr:rowOff>28576</xdr:rowOff>
    </xdr:from>
    <xdr:ext cx="217170" cy="144000"/>
    <xdr:sp macro="" textlink="">
      <xdr:nvSpPr>
        <xdr:cNvPr id="16" name="Rektangel 15">
          <a:hlinkClick xmlns:r="http://schemas.openxmlformats.org/officeDocument/2006/relationships" r:id="rId13" tooltip="&gt;&gt;Instruktion Övriga kostnader. Inköp"/>
        </xdr:cNvPr>
        <xdr:cNvSpPr/>
      </xdr:nvSpPr>
      <xdr:spPr>
        <a:xfrm>
          <a:off x="1590675" y="8991601"/>
          <a:ext cx="217170" cy="144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85725</xdr:colOff>
      <xdr:row>136</xdr:row>
      <xdr:rowOff>1</xdr:rowOff>
    </xdr:from>
    <xdr:ext cx="217170" cy="180000"/>
    <xdr:sp macro="" textlink="">
      <xdr:nvSpPr>
        <xdr:cNvPr id="17" name="Rektangel 16">
          <a:hlinkClick xmlns:r="http://schemas.openxmlformats.org/officeDocument/2006/relationships" r:id="rId14" tooltip="&gt;&gt;Instruktion Investeringar i anläggningstillgångar"/>
        </xdr:cNvPr>
        <xdr:cNvSpPr/>
      </xdr:nvSpPr>
      <xdr:spPr>
        <a:xfrm>
          <a:off x="2466975" y="11753851"/>
          <a:ext cx="217170" cy="180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2</xdr:col>
      <xdr:colOff>685800</xdr:colOff>
      <xdr:row>155</xdr:row>
      <xdr:rowOff>1</xdr:rowOff>
    </xdr:from>
    <xdr:ext cx="217170" cy="144000"/>
    <xdr:sp macro="" textlink="">
      <xdr:nvSpPr>
        <xdr:cNvPr id="18" name="Rektangel 17">
          <a:hlinkClick xmlns:r="http://schemas.openxmlformats.org/officeDocument/2006/relationships" r:id="rId15" tooltip="&gt;&gt;Instruktion Avskrivning"/>
        </xdr:cNvPr>
        <xdr:cNvSpPr/>
      </xdr:nvSpPr>
      <xdr:spPr>
        <a:xfrm>
          <a:off x="1859280" y="16306801"/>
          <a:ext cx="217170" cy="144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133350</xdr:colOff>
      <xdr:row>161</xdr:row>
      <xdr:rowOff>19051</xdr:rowOff>
    </xdr:from>
    <xdr:ext cx="217170" cy="180000"/>
    <xdr:sp macro="" textlink="">
      <xdr:nvSpPr>
        <xdr:cNvPr id="19" name="Rektangel 18">
          <a:hlinkClick xmlns:r="http://schemas.openxmlformats.org/officeDocument/2006/relationships" r:id="rId16" tooltip="&gt;&gt;Instruktion Lån och Egen insats av pengar"/>
        </xdr:cNvPr>
        <xdr:cNvSpPr/>
      </xdr:nvSpPr>
      <xdr:spPr>
        <a:xfrm>
          <a:off x="2514600" y="14363701"/>
          <a:ext cx="217170" cy="180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114300</xdr:colOff>
      <xdr:row>169</xdr:row>
      <xdr:rowOff>142876</xdr:rowOff>
    </xdr:from>
    <xdr:ext cx="217170" cy="180000"/>
    <xdr:sp macro="" textlink="">
      <xdr:nvSpPr>
        <xdr:cNvPr id="20" name="Rektangel 19">
          <a:hlinkClick xmlns:r="http://schemas.openxmlformats.org/officeDocument/2006/relationships" r:id="rId17" tooltip="&gt;&gt;Instruktion Amortering"/>
        </xdr:cNvPr>
        <xdr:cNvSpPr/>
      </xdr:nvSpPr>
      <xdr:spPr>
        <a:xfrm>
          <a:off x="2495550" y="15478126"/>
          <a:ext cx="217170" cy="180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133350</xdr:colOff>
      <xdr:row>189</xdr:row>
      <xdr:rowOff>1</xdr:rowOff>
    </xdr:from>
    <xdr:ext cx="217170" cy="180000"/>
    <xdr:sp macro="" textlink="">
      <xdr:nvSpPr>
        <xdr:cNvPr id="22" name="Rektangel 21">
          <a:hlinkClick xmlns:r="http://schemas.openxmlformats.org/officeDocument/2006/relationships" r:id="rId18" tooltip="&gt;&gt;Instruktion Ränta"/>
        </xdr:cNvPr>
        <xdr:cNvSpPr/>
      </xdr:nvSpPr>
      <xdr:spPr>
        <a:xfrm>
          <a:off x="2514600" y="16544926"/>
          <a:ext cx="217170" cy="180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6</xdr:col>
      <xdr:colOff>133350</xdr:colOff>
      <xdr:row>194</xdr:row>
      <xdr:rowOff>19051</xdr:rowOff>
    </xdr:from>
    <xdr:ext cx="217170" cy="180000"/>
    <xdr:sp macro="" textlink="">
      <xdr:nvSpPr>
        <xdr:cNvPr id="23" name="Rektangel 22">
          <a:hlinkClick xmlns:r="http://schemas.openxmlformats.org/officeDocument/2006/relationships" r:id="rId19" tooltip="&gt;&gt;Instruktion Preliminär F-skatt"/>
        </xdr:cNvPr>
        <xdr:cNvSpPr/>
      </xdr:nvSpPr>
      <xdr:spPr>
        <a:xfrm>
          <a:off x="2514600" y="17173576"/>
          <a:ext cx="217170" cy="180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8</xdr:col>
      <xdr:colOff>47625</xdr:colOff>
      <xdr:row>198</xdr:row>
      <xdr:rowOff>209550</xdr:rowOff>
    </xdr:from>
    <xdr:ext cx="216000" cy="216000"/>
    <xdr:sp macro="" textlink="">
      <xdr:nvSpPr>
        <xdr:cNvPr id="24" name="Rektangel 23">
          <a:hlinkClick xmlns:r="http://schemas.openxmlformats.org/officeDocument/2006/relationships" r:id="rId20" tooltip="&gt;&gt;Instruktion Ingående balans"/>
        </xdr:cNvPr>
        <xdr:cNvSpPr/>
      </xdr:nvSpPr>
      <xdr:spPr>
        <a:xfrm>
          <a:off x="2867025" y="29879925"/>
          <a:ext cx="216000" cy="216000"/>
        </a:xfrm>
        <a:prstGeom prst="rect">
          <a:avLst/>
        </a:prstGeom>
        <a:noFill/>
      </xdr:spPr>
      <xdr:txBody>
        <a:bodyPr wrap="square" lIns="91440" tIns="45720" rIns="91440" bIns="45720">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4</xdr:col>
      <xdr:colOff>104775</xdr:colOff>
      <xdr:row>194</xdr:row>
      <xdr:rowOff>19048</xdr:rowOff>
    </xdr:from>
    <xdr:ext cx="468000" cy="180000"/>
    <xdr:sp macro="" textlink="">
      <xdr:nvSpPr>
        <xdr:cNvPr id="26" name="Rektangel 25">
          <a:hlinkClick xmlns:r="http://schemas.openxmlformats.org/officeDocument/2006/relationships" r:id="rId21" tooltip="Se betalningsschema för preliminär F-skatt på fliken Frågor &amp; Svar"/>
        </xdr:cNvPr>
        <xdr:cNvSpPr/>
      </xdr:nvSpPr>
      <xdr:spPr>
        <a:xfrm>
          <a:off x="2066925" y="17173573"/>
          <a:ext cx="468000" cy="180000"/>
        </a:xfrm>
        <a:prstGeom prst="rect">
          <a:avLst/>
        </a:prstGeom>
        <a:noFill/>
      </xdr:spPr>
      <xdr:txBody>
        <a:bodyPr wrap="square" lIns="91440" tIns="45720" rIns="91440" bIns="45720" anchor="ctr">
          <a:noAutofit/>
        </a:bodyPr>
        <a:lstStyle/>
        <a:p>
          <a:pPr algn="ctr"/>
          <a:r>
            <a:rPr lang="sv-SE" sz="1200" b="0"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F&amp;S</a:t>
          </a:r>
        </a:p>
      </xdr:txBody>
    </xdr:sp>
    <xdr:clientData/>
  </xdr:oneCellAnchor>
  <xdr:oneCellAnchor>
    <xdr:from>
      <xdr:col>2</xdr:col>
      <xdr:colOff>428625</xdr:colOff>
      <xdr:row>8</xdr:row>
      <xdr:rowOff>19050</xdr:rowOff>
    </xdr:from>
    <xdr:ext cx="180000" cy="180000"/>
    <xdr:sp macro="" textlink="">
      <xdr:nvSpPr>
        <xdr:cNvPr id="27" name="Rektangel 26">
          <a:hlinkClick xmlns:r="http://schemas.openxmlformats.org/officeDocument/2006/relationships" r:id="rId22" tooltip="&gt;&gt; Instruktion Helt andra momssatser"/>
        </xdr:cNvPr>
        <xdr:cNvSpPr/>
      </xdr:nvSpPr>
      <xdr:spPr>
        <a:xfrm>
          <a:off x="1571625" y="866775"/>
          <a:ext cx="180000" cy="180000"/>
        </a:xfrm>
        <a:prstGeom prst="rect">
          <a:avLst/>
        </a:prstGeom>
        <a:noFill/>
      </xdr:spPr>
      <xdr:txBody>
        <a:bodyPr wrap="square" lIns="91440" tIns="45720" rIns="91440" bIns="45720" anchor="ctr">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18</xdr:col>
      <xdr:colOff>552450</xdr:colOff>
      <xdr:row>62</xdr:row>
      <xdr:rowOff>85726</xdr:rowOff>
    </xdr:from>
    <xdr:ext cx="217170" cy="218599"/>
    <xdr:sp macro="" textlink="">
      <xdr:nvSpPr>
        <xdr:cNvPr id="28" name="Rektangel 27">
          <a:hlinkClick xmlns:r="http://schemas.openxmlformats.org/officeDocument/2006/relationships" r:id="rId10" tooltip="&gt;&gt;Instruktion Förbrukning av varor, material och främmande tjänster"/>
        </xdr:cNvPr>
        <xdr:cNvSpPr/>
      </xdr:nvSpPr>
      <xdr:spPr>
        <a:xfrm>
          <a:off x="9086850" y="3838576"/>
          <a:ext cx="217170" cy="218599"/>
        </a:xfrm>
        <a:prstGeom prst="rect">
          <a:avLst/>
        </a:prstGeom>
        <a:noFill/>
      </xdr:spPr>
      <xdr:txBody>
        <a:bodyPr wrap="square" lIns="91440" tIns="45720" rIns="91440" bIns="45720">
          <a:noAutofit/>
        </a:bodyPr>
        <a:lstStyle/>
        <a:p>
          <a:pPr algn="ctr"/>
          <a:r>
            <a:rPr lang="sv-SE" sz="12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rPr>
            <a:t>?</a:t>
          </a:r>
        </a:p>
      </xdr:txBody>
    </xdr:sp>
    <xdr:clientData/>
  </xdr:oneCellAnchor>
  <xdr:oneCellAnchor>
    <xdr:from>
      <xdr:col>2</xdr:col>
      <xdr:colOff>542925</xdr:colOff>
      <xdr:row>85</xdr:row>
      <xdr:rowOff>123826</xdr:rowOff>
    </xdr:from>
    <xdr:ext cx="180000" cy="216000"/>
    <xdr:sp macro="" textlink="">
      <xdr:nvSpPr>
        <xdr:cNvPr id="31" name="Rektangel 30">
          <a:hlinkClick xmlns:r="http://schemas.openxmlformats.org/officeDocument/2006/relationships" r:id="rId23" tooltip="&gt;&gt;Instruktion Lön och sociala kostnader"/>
        </xdr:cNvPr>
        <xdr:cNvSpPr/>
      </xdr:nvSpPr>
      <xdr:spPr>
        <a:xfrm>
          <a:off x="1685925" y="6324601"/>
          <a:ext cx="180000" cy="216000"/>
        </a:xfrm>
        <a:prstGeom prst="rect">
          <a:avLst/>
        </a:prstGeom>
        <a:noFill/>
      </xdr:spPr>
      <xdr:txBody>
        <a:bodyPr wrap="square" lIns="91440" tIns="45720" rIns="91440" bIns="45720" anchor="ctr">
          <a:noAutofit/>
        </a:bodyPr>
        <a:lstStyle/>
        <a:p>
          <a:pPr algn="ctr"/>
          <a:r>
            <a:rPr lang="sv-SE" sz="1100" b="1" cap="none" spc="0">
              <a:ln w="1905"/>
              <a:gradFill>
                <a:gsLst>
                  <a:gs pos="0">
                    <a:schemeClr val="accent6">
                      <a:shade val="20000"/>
                      <a:satMod val="200000"/>
                    </a:schemeClr>
                  </a:gs>
                  <a:gs pos="78000">
                    <a:schemeClr val="accent6">
                      <a:tint val="90000"/>
                      <a:shade val="89000"/>
                      <a:satMod val="220000"/>
                    </a:schemeClr>
                  </a:gs>
                  <a:gs pos="100000">
                    <a:schemeClr val="accent6">
                      <a:tint val="12000"/>
                      <a:satMod val="255000"/>
                    </a:schemeClr>
                  </a:gs>
                </a:gsLst>
                <a:lin ang="5400000"/>
              </a:gradFill>
              <a:effectLst>
                <a:innerShdw blurRad="69850" dist="43180" dir="5400000">
                  <a:srgbClr val="000000">
                    <a:alpha val="65000"/>
                  </a:srgbClr>
                </a:innerShdw>
              </a:effectLst>
              <a:latin typeface="+mn-lt"/>
              <a:cs typeface="Arial" pitchFamily="34" charset="0"/>
            </a:rPr>
            <a:t>?</a:t>
          </a:r>
        </a:p>
      </xdr:txBody>
    </xdr:sp>
    <xdr:clientData/>
  </xdr:oneCellAnchor>
  <xdr:twoCellAnchor>
    <xdr:from>
      <xdr:col>68</xdr:col>
      <xdr:colOff>514349</xdr:colOff>
      <xdr:row>1</xdr:row>
      <xdr:rowOff>38101</xdr:rowOff>
    </xdr:from>
    <xdr:to>
      <xdr:col>77</xdr:col>
      <xdr:colOff>104775</xdr:colOff>
      <xdr:row>7</xdr:row>
      <xdr:rowOff>104775</xdr:rowOff>
    </xdr:to>
    <xdr:sp macro="" textlink="">
      <xdr:nvSpPr>
        <xdr:cNvPr id="36" name="Rundad rektangulär 35"/>
        <xdr:cNvSpPr/>
      </xdr:nvSpPr>
      <xdr:spPr>
        <a:xfrm>
          <a:off x="19545299" y="76201"/>
          <a:ext cx="5076826" cy="714374"/>
        </a:xfrm>
        <a:prstGeom prst="wedgeRoundRectCallout">
          <a:avLst>
            <a:gd name="adj1" fmla="val -62391"/>
            <a:gd name="adj2" fmla="val -53421"/>
            <a:gd name="adj3" fmla="val 16667"/>
          </a:avLst>
        </a:prstGeom>
        <a:solidFill>
          <a:schemeClr val="lt1">
            <a:alpha val="97000"/>
          </a:schemeClr>
        </a:solidFill>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lang="sv-SE" sz="800" b="1" baseline="0">
              <a:solidFill>
                <a:srgbClr val="007363"/>
              </a:solidFill>
            </a:rPr>
            <a:t>Skapa fler inmatningsrader och gör egna beräkningar på  området som finns på de dolda kolumnerna, AM till BM.</a:t>
          </a:r>
        </a:p>
        <a:p>
          <a:pPr algn="l"/>
          <a:r>
            <a:rPr lang="sv-SE" sz="800" b="1" baseline="0">
              <a:solidFill>
                <a:srgbClr val="007363"/>
              </a:solidFill>
            </a:rPr>
            <a:t>Markera kolumnerna AL till BN, klicka på muspekarens högerknapp och sedan på T</a:t>
          </a:r>
          <a:r>
            <a:rPr lang="sv-SE" sz="800" b="1" u="sng" baseline="0">
              <a:solidFill>
                <a:srgbClr val="007363"/>
              </a:solidFill>
            </a:rPr>
            <a:t>a</a:t>
          </a:r>
          <a:r>
            <a:rPr lang="sv-SE" sz="800" b="1" baseline="0">
              <a:solidFill>
                <a:srgbClr val="007363"/>
              </a:solidFill>
            </a:rPr>
            <a:t> fram.</a:t>
          </a:r>
          <a:br>
            <a:rPr lang="sv-SE" sz="800" b="1" baseline="0">
              <a:solidFill>
                <a:srgbClr val="007363"/>
              </a:solidFill>
            </a:rPr>
          </a:br>
          <a:endParaRPr lang="sv-SE" sz="800" b="1">
            <a:solidFill>
              <a:srgbClr val="007363"/>
            </a:solidFill>
          </a:endParaRPr>
        </a:p>
        <a:p>
          <a:pPr algn="l"/>
          <a:r>
            <a:rPr lang="sv-SE" sz="800" b="1">
              <a:solidFill>
                <a:srgbClr val="007363"/>
              </a:solidFill>
            </a:rPr>
            <a:t>När du har läst denna pratbubbla, markera kantlinjen och tryck </a:t>
          </a:r>
          <a:r>
            <a:rPr lang="sv-SE" sz="800" b="1">
              <a:solidFill>
                <a:srgbClr val="C00000"/>
              </a:solidFill>
            </a:rPr>
            <a:t>delete!</a:t>
          </a:r>
        </a:p>
      </xdr:txBody>
    </xdr:sp>
    <xdr:clientData/>
  </xdr:twoCellAnchor>
  <xdr:twoCellAnchor>
    <xdr:from>
      <xdr:col>1</xdr:col>
      <xdr:colOff>323850</xdr:colOff>
      <xdr:row>11</xdr:row>
      <xdr:rowOff>142875</xdr:rowOff>
    </xdr:from>
    <xdr:to>
      <xdr:col>4</xdr:col>
      <xdr:colOff>219075</xdr:colOff>
      <xdr:row>60</xdr:row>
      <xdr:rowOff>0</xdr:rowOff>
    </xdr:to>
    <xdr:sp macro="" textlink="">
      <xdr:nvSpPr>
        <xdr:cNvPr id="32" name="Rundad rektangulär 31"/>
        <xdr:cNvSpPr/>
      </xdr:nvSpPr>
      <xdr:spPr>
        <a:xfrm>
          <a:off x="419100" y="1504950"/>
          <a:ext cx="1762125" cy="1962150"/>
        </a:xfrm>
        <a:prstGeom prst="wedgeRoundRectCallout">
          <a:avLst>
            <a:gd name="adj1" fmla="val -69208"/>
            <a:gd name="adj2" fmla="val -29736"/>
            <a:gd name="adj3" fmla="val 16667"/>
          </a:avLst>
        </a:prstGeom>
        <a:solidFill>
          <a:schemeClr val="lt1">
            <a:alpha val="97000"/>
          </a:schemeClr>
        </a:solidFill>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lang="sv-SE" sz="1100" b="1" baseline="0">
              <a:solidFill>
                <a:srgbClr val="007363"/>
              </a:solidFill>
            </a:rPr>
            <a:t>Ta fram fler rader vid gula markeringar i kolumn A! </a:t>
          </a:r>
        </a:p>
        <a:p>
          <a:pPr algn="l">
            <a:lnSpc>
              <a:spcPts val="1200"/>
            </a:lnSpc>
          </a:pPr>
          <a:r>
            <a:rPr lang="sv-SE" sz="1100" b="1" baseline="0">
              <a:solidFill>
                <a:srgbClr val="007363"/>
              </a:solidFill>
            </a:rPr>
            <a:t>Läs kommentarer i kolumn A!</a:t>
          </a:r>
          <a:endParaRPr lang="sv-SE" sz="1100" b="1">
            <a:solidFill>
              <a:srgbClr val="007363"/>
            </a:solidFill>
          </a:endParaRPr>
        </a:p>
        <a:p>
          <a:pPr algn="l">
            <a:lnSpc>
              <a:spcPts val="1100"/>
            </a:lnSpc>
          </a:pPr>
          <a:endParaRPr lang="sv-SE" sz="1100" b="1">
            <a:solidFill>
              <a:srgbClr val="007363"/>
            </a:solidFill>
          </a:endParaRPr>
        </a:p>
        <a:p>
          <a:pPr algn="l">
            <a:lnSpc>
              <a:spcPts val="1100"/>
            </a:lnSpc>
          </a:pPr>
          <a:r>
            <a:rPr lang="sv-SE" sz="1100" b="1">
              <a:solidFill>
                <a:srgbClr val="007363"/>
              </a:solidFill>
            </a:rPr>
            <a:t>När du har läst denna pratbubbla,  markera </a:t>
          </a:r>
          <a:r>
            <a:rPr lang="sv-SE" sz="1100" b="1" baseline="0">
              <a:solidFill>
                <a:srgbClr val="007363"/>
              </a:solidFill>
            </a:rPr>
            <a:t> pratbubblans kantlinje </a:t>
          </a:r>
          <a:r>
            <a:rPr lang="sv-SE" sz="1100" b="1">
              <a:solidFill>
                <a:srgbClr val="007363"/>
              </a:solidFill>
            </a:rPr>
            <a:t>och tryck </a:t>
          </a:r>
          <a:r>
            <a:rPr lang="sv-SE" sz="1100" b="1">
              <a:solidFill>
                <a:srgbClr val="C00000"/>
              </a:solidFill>
            </a:rPr>
            <a:t>delete!</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30</xdr:col>
      <xdr:colOff>299083</xdr:colOff>
      <xdr:row>6</xdr:row>
      <xdr:rowOff>38097</xdr:rowOff>
    </xdr:from>
    <xdr:to>
      <xdr:col>36</xdr:col>
      <xdr:colOff>137160</xdr:colOff>
      <xdr:row>16</xdr:row>
      <xdr:rowOff>76200</xdr:rowOff>
    </xdr:to>
    <xdr:sp macro="" textlink="">
      <xdr:nvSpPr>
        <xdr:cNvPr id="2" name="textruta 1"/>
        <xdr:cNvSpPr txBox="1">
          <a:spLocks noChangeAspect="1"/>
        </xdr:cNvSpPr>
      </xdr:nvSpPr>
      <xdr:spPr>
        <a:xfrm>
          <a:off x="17506948" y="781047"/>
          <a:ext cx="2781302" cy="1704978"/>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tIns="0" bIns="36000" rtlCol="0" anchor="ctr"/>
        <a:lstStyle/>
        <a:p>
          <a:r>
            <a:rPr lang="sv-SE" sz="800" baseline="0">
              <a:solidFill>
                <a:sysClr val="windowText" lastClr="000000"/>
              </a:solidFill>
              <a:latin typeface="Arial" pitchFamily="34" charset="0"/>
              <a:ea typeface="+mn-ea"/>
              <a:cs typeface="Arial" pitchFamily="34" charset="0"/>
            </a:rPr>
            <a:t>Utan att ta bort dokumentskyddet på denna sida kan du göra följande ändringar:</a:t>
          </a:r>
        </a:p>
        <a:p>
          <a:endParaRPr lang="sv-SE" sz="800" baseline="0">
            <a:solidFill>
              <a:sysClr val="windowText" lastClr="000000"/>
            </a:solidFill>
            <a:latin typeface="Arial" pitchFamily="34" charset="0"/>
            <a:ea typeface="+mn-ea"/>
            <a:cs typeface="Arial" pitchFamily="34" charset="0"/>
          </a:endParaRPr>
        </a:p>
        <a:p>
          <a:r>
            <a:rPr lang="sv-SE" sz="800" baseline="0">
              <a:solidFill>
                <a:sysClr val="windowText" lastClr="000000"/>
              </a:solidFill>
              <a:latin typeface="Arial" pitchFamily="34" charset="0"/>
              <a:ea typeface="+mn-ea"/>
              <a:cs typeface="Arial" pitchFamily="34" charset="0"/>
            </a:rPr>
            <a:t>Så här kan du dölja kolumner: </a:t>
          </a:r>
        </a:p>
        <a:p>
          <a:r>
            <a:rPr lang="sv-SE" sz="800" baseline="0">
              <a:solidFill>
                <a:sysClr val="windowText" lastClr="000000"/>
              </a:solidFill>
              <a:latin typeface="Arial" pitchFamily="34" charset="0"/>
              <a:ea typeface="+mn-ea"/>
              <a:cs typeface="Arial" pitchFamily="34" charset="0"/>
            </a:rPr>
            <a:t>Markera kolumnen eller kolumnerna på bokstavslinjalen ovan. Klicka med musens högerknapp. Välj </a:t>
          </a:r>
          <a:r>
            <a:rPr lang="sv-SE" sz="800" u="sng" baseline="0">
              <a:solidFill>
                <a:sysClr val="windowText" lastClr="000000"/>
              </a:solidFill>
              <a:latin typeface="Arial" pitchFamily="34" charset="0"/>
              <a:ea typeface="+mn-ea"/>
              <a:cs typeface="Arial" pitchFamily="34" charset="0"/>
            </a:rPr>
            <a:t>D</a:t>
          </a:r>
          <a:r>
            <a:rPr lang="sv-SE" sz="800" baseline="0">
              <a:solidFill>
                <a:sysClr val="windowText" lastClr="000000"/>
              </a:solidFill>
              <a:latin typeface="Arial" pitchFamily="34" charset="0"/>
              <a:ea typeface="+mn-ea"/>
              <a:cs typeface="Arial" pitchFamily="34" charset="0"/>
            </a:rPr>
            <a:t>ölj.      </a:t>
          </a:r>
        </a:p>
        <a:p>
          <a:endParaRPr lang="sv-SE" sz="800" baseline="0">
            <a:solidFill>
              <a:sysClr val="windowText" lastClr="000000"/>
            </a:solidFill>
            <a:latin typeface="Arial" pitchFamily="34" charset="0"/>
            <a:ea typeface="+mn-ea"/>
            <a:cs typeface="Arial" pitchFamily="34" charset="0"/>
          </a:endParaRPr>
        </a:p>
        <a:p>
          <a:r>
            <a:rPr lang="sv-SE" sz="800" baseline="0">
              <a:solidFill>
                <a:sysClr val="windowText" lastClr="000000"/>
              </a:solidFill>
              <a:latin typeface="Arial" pitchFamily="34" charset="0"/>
              <a:ea typeface="+mn-ea"/>
              <a:cs typeface="Arial" pitchFamily="34" charset="0"/>
            </a:rPr>
            <a:t>Så här kan du ta fram kolumner: </a:t>
          </a:r>
        </a:p>
        <a:p>
          <a:r>
            <a:rPr lang="sv-SE" sz="800" baseline="0">
              <a:solidFill>
                <a:sysClr val="windowText" lastClr="000000"/>
              </a:solidFill>
              <a:latin typeface="Arial" pitchFamily="34" charset="0"/>
              <a:ea typeface="+mn-ea"/>
              <a:cs typeface="Arial" pitchFamily="34" charset="0"/>
            </a:rPr>
            <a:t>Markera kolumnerna på bokstavslinjalen till höger och vänster om den kolumn eller de kolumner som ska visas. Klicka på musens högerknapp och välj T</a:t>
          </a:r>
          <a:r>
            <a:rPr lang="sv-SE" sz="800" u="sng" baseline="0">
              <a:solidFill>
                <a:sysClr val="windowText" lastClr="000000"/>
              </a:solidFill>
              <a:latin typeface="Arial" pitchFamily="34" charset="0"/>
              <a:ea typeface="+mn-ea"/>
              <a:cs typeface="Arial" pitchFamily="34" charset="0"/>
            </a:rPr>
            <a:t>a</a:t>
          </a:r>
          <a:r>
            <a:rPr lang="sv-SE" sz="800" baseline="0">
              <a:solidFill>
                <a:sysClr val="windowText" lastClr="000000"/>
              </a:solidFill>
              <a:latin typeface="Arial" pitchFamily="34" charset="0"/>
              <a:ea typeface="+mn-ea"/>
              <a:cs typeface="Arial" pitchFamily="34" charset="0"/>
            </a:rPr>
            <a:t> fram</a:t>
          </a:r>
        </a:p>
        <a:p>
          <a:endParaRPr lang="sv-SE" sz="800" baseline="0">
            <a:solidFill>
              <a:schemeClr val="accent1">
                <a:lumMod val="50000"/>
              </a:schemeClr>
            </a:solidFill>
            <a:latin typeface="Arial" pitchFamily="34" charset="0"/>
            <a:ea typeface="+mn-ea"/>
            <a:cs typeface="Arial" pitchFamily="34" charset="0"/>
          </a:endParaRPr>
        </a:p>
      </xdr:txBody>
    </xdr:sp>
    <xdr:clientData fPrintsWithSheet="0"/>
  </xdr:twoCellAnchor>
  <xdr:twoCellAnchor>
    <xdr:from>
      <xdr:col>1</xdr:col>
      <xdr:colOff>19051</xdr:colOff>
      <xdr:row>49</xdr:row>
      <xdr:rowOff>19050</xdr:rowOff>
    </xdr:from>
    <xdr:to>
      <xdr:col>20</xdr:col>
      <xdr:colOff>333375</xdr:colOff>
      <xdr:row>67</xdr:row>
      <xdr:rowOff>142875</xdr:rowOff>
    </xdr:to>
    <xdr:graphicFrame macro="">
      <xdr:nvGraphicFramePr>
        <xdr:cNvPr id="951945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32</xdr:col>
      <xdr:colOff>152400</xdr:colOff>
      <xdr:row>5</xdr:row>
      <xdr:rowOff>38100</xdr:rowOff>
    </xdr:from>
    <xdr:to>
      <xdr:col>36</xdr:col>
      <xdr:colOff>381000</xdr:colOff>
      <xdr:row>16</xdr:row>
      <xdr:rowOff>66675</xdr:rowOff>
    </xdr:to>
    <xdr:sp macro="" textlink="">
      <xdr:nvSpPr>
        <xdr:cNvPr id="4" name="textruta 1"/>
        <xdr:cNvSpPr txBox="1"/>
      </xdr:nvSpPr>
      <xdr:spPr>
        <a:xfrm>
          <a:off x="16640175" y="638175"/>
          <a:ext cx="2667000" cy="1400175"/>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tIns="0" bIns="36000" rtlCol="0" anchor="ctr"/>
        <a:lstStyle/>
        <a:p>
          <a:r>
            <a:rPr lang="sv-SE" sz="800" baseline="0">
              <a:solidFill>
                <a:sysClr val="windowText" lastClr="000000"/>
              </a:solidFill>
              <a:latin typeface="Arial" pitchFamily="34" charset="0"/>
              <a:ea typeface="+mn-ea"/>
              <a:cs typeface="Arial" pitchFamily="34" charset="0"/>
            </a:rPr>
            <a:t>Så här kan du dölja kolumner: </a:t>
          </a:r>
        </a:p>
        <a:p>
          <a:r>
            <a:rPr lang="sv-SE" sz="800" baseline="0">
              <a:solidFill>
                <a:sysClr val="windowText" lastClr="000000"/>
              </a:solidFill>
              <a:latin typeface="Arial" pitchFamily="34" charset="0"/>
              <a:ea typeface="+mn-ea"/>
              <a:cs typeface="Arial" pitchFamily="34" charset="0"/>
            </a:rPr>
            <a:t>Markera kolumnen eller kolumnerna på bokstavslinjalen ovan. Klicka med musens högerknapp. Välj </a:t>
          </a:r>
          <a:r>
            <a:rPr lang="sv-SE" sz="800" u="sng" baseline="0">
              <a:solidFill>
                <a:sysClr val="windowText" lastClr="000000"/>
              </a:solidFill>
              <a:latin typeface="Arial" pitchFamily="34" charset="0"/>
              <a:ea typeface="+mn-ea"/>
              <a:cs typeface="Arial" pitchFamily="34" charset="0"/>
            </a:rPr>
            <a:t>D</a:t>
          </a:r>
          <a:r>
            <a:rPr lang="sv-SE" sz="800" baseline="0">
              <a:solidFill>
                <a:sysClr val="windowText" lastClr="000000"/>
              </a:solidFill>
              <a:latin typeface="Arial" pitchFamily="34" charset="0"/>
              <a:ea typeface="+mn-ea"/>
              <a:cs typeface="Arial" pitchFamily="34" charset="0"/>
            </a:rPr>
            <a:t>ölj.      </a:t>
          </a:r>
        </a:p>
        <a:p>
          <a:endParaRPr lang="sv-SE" sz="800" baseline="0">
            <a:solidFill>
              <a:sysClr val="windowText" lastClr="000000"/>
            </a:solidFill>
            <a:latin typeface="Arial" pitchFamily="34" charset="0"/>
            <a:ea typeface="+mn-ea"/>
            <a:cs typeface="Arial" pitchFamily="34" charset="0"/>
          </a:endParaRPr>
        </a:p>
        <a:p>
          <a:r>
            <a:rPr lang="sv-SE" sz="800" baseline="0">
              <a:solidFill>
                <a:sysClr val="windowText" lastClr="000000"/>
              </a:solidFill>
              <a:latin typeface="Arial" pitchFamily="34" charset="0"/>
              <a:ea typeface="+mn-ea"/>
              <a:cs typeface="Arial" pitchFamily="34" charset="0"/>
            </a:rPr>
            <a:t>Så här kan du ta fram kolumner: </a:t>
          </a:r>
        </a:p>
        <a:p>
          <a:r>
            <a:rPr lang="sv-SE" sz="800" baseline="0">
              <a:solidFill>
                <a:sysClr val="windowText" lastClr="000000"/>
              </a:solidFill>
              <a:latin typeface="Arial" pitchFamily="34" charset="0"/>
              <a:ea typeface="+mn-ea"/>
              <a:cs typeface="Arial" pitchFamily="34" charset="0"/>
            </a:rPr>
            <a:t>Markera kolumnerna på bokstavslinjalen till höger och vänster om den kolumn eller de kolumner som ska visas. Klicka på musens högerknapp och välj T</a:t>
          </a:r>
          <a:r>
            <a:rPr lang="sv-SE" sz="800" u="sng" baseline="0">
              <a:solidFill>
                <a:sysClr val="windowText" lastClr="000000"/>
              </a:solidFill>
              <a:latin typeface="Arial" pitchFamily="34" charset="0"/>
              <a:ea typeface="+mn-ea"/>
              <a:cs typeface="Arial" pitchFamily="34" charset="0"/>
            </a:rPr>
            <a:t>a</a:t>
          </a:r>
          <a:r>
            <a:rPr lang="sv-SE" sz="800" baseline="0">
              <a:solidFill>
                <a:sysClr val="windowText" lastClr="000000"/>
              </a:solidFill>
              <a:latin typeface="Arial" pitchFamily="34" charset="0"/>
              <a:ea typeface="+mn-ea"/>
              <a:cs typeface="Arial" pitchFamily="34" charset="0"/>
            </a:rPr>
            <a:t> fram. </a:t>
          </a:r>
        </a:p>
        <a:p>
          <a:endParaRPr lang="sv-SE" sz="800" baseline="0">
            <a:solidFill>
              <a:sysClr val="windowText" lastClr="000000"/>
            </a:solidFill>
            <a:latin typeface="Arial" pitchFamily="34" charset="0"/>
            <a:ea typeface="+mn-ea"/>
            <a:cs typeface="Arial" pitchFamily="34" charset="0"/>
          </a:endParaRPr>
        </a:p>
      </xdr:txBody>
    </xdr:sp>
    <xdr:clientData fPrintsWithSheet="0"/>
  </xdr:twoCellAnchor>
  <xdr:twoCellAnchor>
    <xdr:from>
      <xdr:col>3</xdr:col>
      <xdr:colOff>895350</xdr:colOff>
      <xdr:row>53</xdr:row>
      <xdr:rowOff>123826</xdr:rowOff>
    </xdr:from>
    <xdr:to>
      <xdr:col>27</xdr:col>
      <xdr:colOff>409575</xdr:colOff>
      <xdr:row>72</xdr:row>
      <xdr:rowOff>133351</xdr:rowOff>
    </xdr:to>
    <xdr:graphicFrame macro="">
      <xdr:nvGraphicFramePr>
        <xdr:cNvPr id="9525513"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w="9525" cmpd="sng">
          <a:noFill/>
        </a:ln>
      </a:spPr>
      <a:bodyPr vertOverflow="clip" wrap="square" tIns="0" bIns="36000" rtlCol="0" anchor="t"/>
      <a:lstStyle>
        <a:defPPr>
          <a:defRPr sz="800" baseline="0">
            <a:solidFill>
              <a:schemeClr val="accent1">
                <a:lumMod val="50000"/>
              </a:schemeClr>
            </a:solidFill>
            <a:latin typeface="Arial" pitchFamily="34" charset="0"/>
            <a:ea typeface="+mn-ea"/>
            <a:cs typeface="Arial" pitchFamily="34"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katteverket.se/foretagorganisationer/blanketterbroschyrer/broschyrer/info/418.4.6efe6285127ab4f1d2580007662.html" TargetMode="External"/><Relationship Id="rId2" Type="http://schemas.openxmlformats.org/officeDocument/2006/relationships/hyperlink" Target="http://www.skatteverket.se/download/18.353fa3f313ec5f91b951e8c/1371194608639/41830.pdf" TargetMode="External"/><Relationship Id="rId1" Type="http://schemas.openxmlformats.org/officeDocument/2006/relationships/hyperlink" Target="http://www.skatteverket.se/foretagorganisationer/moms/vadarmoms/omvandskattskyldighet.4.47eb30f51122b1aaad28000258292.html?posid=1&amp;sv.search.query.allwords=omv%C3%A4nd%20mom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ake.olsson@almi.se"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verksamt.se/alla-e-tjanster/rakna-ut/rakna-ut-lon-och-forsakringar" TargetMode="External"/><Relationship Id="rId7" Type="http://schemas.openxmlformats.org/officeDocument/2006/relationships/hyperlink" Target="mailto:ake.olsson@almi.se" TargetMode="External"/><Relationship Id="rId2" Type="http://schemas.openxmlformats.org/officeDocument/2006/relationships/hyperlink" Target="https://www.verksamt.se/alla-e-tjanster/rakna-ut/rakna-ut-lon-och-forsakringar?p_auth=EuqCM65m&amp;p_p_id=tvv_webcalc_WAR_tvv_webcalc&amp;p_p_lifecycle=1&amp;p_p_state=normal&amp;p_p_mode=view&amp;p_p_col_id=column-1&amp;p_p_col_count=1&amp;_tvv_webcalc_WAR_tvv_webcalc_com.sun.faces" TargetMode="External"/><Relationship Id="rId1" Type="http://schemas.openxmlformats.org/officeDocument/2006/relationships/hyperlink" Target="mailto:ake.olsson@almi.se" TargetMode="External"/><Relationship Id="rId6" Type="http://schemas.openxmlformats.org/officeDocument/2006/relationships/hyperlink" Target="http://www.skatteverket.se/foretagorganisationer/blanketterbroschyrer/broschyrer/info/418.4.6efe6285127ab4f1d2580007662.html" TargetMode="External"/><Relationship Id="rId11" Type="http://schemas.openxmlformats.org/officeDocument/2006/relationships/comments" Target="../comments1.xml"/><Relationship Id="rId5" Type="http://schemas.openxmlformats.org/officeDocument/2006/relationships/hyperlink" Target="http://www.skatteverket.se/foretagorganisationer/moms/redovisabetalamoms.4.7459477810df5bccdd480006935.html" TargetMode="External"/><Relationship Id="rId10" Type="http://schemas.openxmlformats.org/officeDocument/2006/relationships/vmlDrawing" Target="../drawings/vmlDrawing1.vml"/><Relationship Id="rId4" Type="http://schemas.openxmlformats.org/officeDocument/2006/relationships/hyperlink" Target="http://www.skatteverket.se/foretagorganisationer/moms/redovisabetalamoms.4.7459477810df5bccdd480006935.html"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skatteverket.se/webdav/files/servicetjanster/skatteutrakning2014/prelskut14ink1.html" TargetMode="External"/><Relationship Id="rId1" Type="http://schemas.openxmlformats.org/officeDocument/2006/relationships/hyperlink" Target="http://www.skatteverket.se/webdav/files/servicetjanster/skatteutrakning2015/prelskut15ink1.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BJ261"/>
  <sheetViews>
    <sheetView showGridLines="0" workbookViewId="0">
      <selection activeCell="AK189" sqref="AK189"/>
    </sheetView>
  </sheetViews>
  <sheetFormatPr defaultRowHeight="14.4"/>
  <cols>
    <col min="1" max="1" width="1.109375" style="638" customWidth="1"/>
    <col min="2" max="26" width="3.33203125" customWidth="1"/>
    <col min="27" max="27" width="0.88671875" customWidth="1"/>
    <col min="28" max="28" width="1.5546875" customWidth="1"/>
    <col min="29" max="53" width="3.33203125" customWidth="1"/>
    <col min="54" max="54" width="2.6640625" customWidth="1"/>
    <col min="55" max="55" width="0.88671875" customWidth="1"/>
    <col min="56" max="56" width="1.5546875" customWidth="1"/>
  </cols>
  <sheetData>
    <row r="1" spans="1:62" ht="5.25" customHeight="1"/>
    <row r="2" spans="1:62" ht="37.5" customHeight="1"/>
    <row r="3" spans="1:62" ht="30.75" customHeight="1">
      <c r="A3" s="673"/>
      <c r="B3" s="690" t="s">
        <v>724</v>
      </c>
      <c r="C3" s="674"/>
      <c r="D3" s="674"/>
      <c r="E3" s="675"/>
      <c r="F3" s="674"/>
      <c r="G3" s="674"/>
      <c r="H3" s="676"/>
      <c r="I3" s="675"/>
      <c r="J3" s="674"/>
      <c r="K3" s="676"/>
      <c r="L3" s="674"/>
      <c r="M3" s="674"/>
      <c r="N3" s="674"/>
      <c r="O3" s="674"/>
      <c r="P3" s="674"/>
      <c r="Q3" s="674"/>
      <c r="R3" s="674"/>
      <c r="S3" s="674"/>
      <c r="T3" s="674"/>
      <c r="U3" s="674"/>
      <c r="V3" s="674"/>
      <c r="W3" s="674"/>
      <c r="X3" s="674"/>
      <c r="Y3" s="674"/>
      <c r="Z3" s="674"/>
      <c r="AA3" s="676"/>
      <c r="AB3" s="676"/>
      <c r="AC3" s="676"/>
      <c r="AD3" s="676"/>
      <c r="AE3" s="676"/>
      <c r="AF3" s="676"/>
      <c r="AG3" s="676"/>
      <c r="AH3" s="676"/>
      <c r="AI3" s="676"/>
      <c r="AJ3" s="676"/>
      <c r="AK3" s="676"/>
      <c r="AL3" s="676"/>
      <c r="AM3" s="676"/>
      <c r="AN3" s="676"/>
      <c r="AO3" s="676"/>
      <c r="AP3" s="676"/>
      <c r="AQ3" s="761"/>
      <c r="AR3" s="762" t="s">
        <v>733</v>
      </c>
      <c r="AS3" s="676"/>
      <c r="AT3" s="676"/>
      <c r="AU3" s="676"/>
      <c r="AV3" s="676"/>
      <c r="AW3" s="676"/>
      <c r="AX3" s="676"/>
      <c r="AY3" s="676"/>
      <c r="AZ3" s="676"/>
      <c r="BA3" s="676"/>
      <c r="BB3" s="676"/>
      <c r="BC3" s="676"/>
      <c r="BD3" s="676"/>
      <c r="BE3" s="676"/>
      <c r="BF3" s="676"/>
      <c r="BG3" s="676"/>
      <c r="BH3" s="676"/>
      <c r="BI3" s="676"/>
      <c r="BJ3" s="677"/>
    </row>
    <row r="4" spans="1:62" s="701" customFormat="1" ht="12" customHeight="1">
      <c r="A4" s="702"/>
      <c r="B4" s="703"/>
      <c r="C4" s="702"/>
      <c r="D4" s="702"/>
      <c r="E4" s="704"/>
      <c r="F4" s="702"/>
      <c r="G4" s="702"/>
      <c r="H4" s="705"/>
      <c r="I4" s="704"/>
      <c r="J4" s="702"/>
      <c r="K4" s="705"/>
      <c r="L4" s="702"/>
      <c r="M4" s="702"/>
      <c r="N4" s="702"/>
      <c r="O4" s="702"/>
      <c r="P4" s="702"/>
      <c r="Q4" s="702"/>
      <c r="R4" s="702"/>
      <c r="S4" s="702"/>
      <c r="T4" s="702"/>
      <c r="U4" s="702"/>
      <c r="V4" s="702"/>
      <c r="W4" s="702"/>
      <c r="X4" s="702"/>
      <c r="Y4" s="702"/>
      <c r="Z4" s="702"/>
      <c r="AA4" s="706"/>
      <c r="AB4" s="705"/>
      <c r="AC4" s="706"/>
      <c r="AD4" s="706"/>
      <c r="AE4" s="706"/>
      <c r="AF4" s="706"/>
      <c r="AG4" s="706"/>
      <c r="AH4" s="706"/>
      <c r="AI4" s="706"/>
      <c r="AJ4" s="706"/>
      <c r="AK4" s="706"/>
      <c r="AL4" s="706"/>
      <c r="AM4" s="706"/>
      <c r="AN4" s="706"/>
      <c r="AO4" s="706"/>
      <c r="AP4" s="706"/>
      <c r="AQ4" s="706"/>
      <c r="AR4" s="706"/>
      <c r="AS4" s="706"/>
      <c r="AT4" s="706"/>
      <c r="AU4" s="706"/>
      <c r="AV4" s="706"/>
      <c r="AW4" s="706"/>
      <c r="AX4" s="706"/>
      <c r="AY4" s="706"/>
      <c r="AZ4" s="706"/>
      <c r="BA4" s="706"/>
      <c r="BB4" s="706"/>
      <c r="BC4" s="706"/>
      <c r="BD4" s="706"/>
      <c r="BE4" s="706"/>
      <c r="BF4" s="706"/>
      <c r="BG4" s="706"/>
      <c r="BH4" s="706"/>
      <c r="BI4" s="706"/>
      <c r="BJ4" s="706"/>
    </row>
    <row r="5" spans="1:62" s="632" customFormat="1">
      <c r="A5" s="678"/>
      <c r="B5" s="718" t="s">
        <v>717</v>
      </c>
      <c r="C5" s="685"/>
      <c r="D5" s="685"/>
      <c r="E5" s="685"/>
      <c r="F5" s="685"/>
      <c r="G5" s="685"/>
      <c r="H5" s="685"/>
      <c r="I5" s="685"/>
      <c r="J5" s="685"/>
      <c r="K5" s="685"/>
      <c r="L5" s="685"/>
      <c r="M5" s="685"/>
      <c r="N5" s="685"/>
      <c r="O5" s="685"/>
      <c r="P5" s="685"/>
      <c r="Q5" s="686"/>
      <c r="R5" s="707" t="s">
        <v>723</v>
      </c>
      <c r="S5" s="679"/>
      <c r="T5" s="679"/>
      <c r="U5" s="678"/>
      <c r="V5" s="678"/>
      <c r="W5" s="678"/>
      <c r="X5" s="678"/>
      <c r="Y5" s="678"/>
      <c r="Z5" s="678"/>
      <c r="AA5" s="708"/>
      <c r="AB5" s="732"/>
      <c r="AC5" s="717" t="s">
        <v>700</v>
      </c>
      <c r="AD5" s="716"/>
      <c r="AE5" s="714"/>
      <c r="AF5" s="714"/>
      <c r="AG5" s="714"/>
      <c r="AH5" s="714"/>
      <c r="AI5" s="714"/>
      <c r="AJ5" s="714"/>
      <c r="AK5" s="714"/>
      <c r="AL5" s="714"/>
      <c r="AM5" s="714"/>
      <c r="AN5" s="714"/>
      <c r="AO5" s="714"/>
      <c r="AP5" s="714"/>
      <c r="AQ5" s="714"/>
      <c r="AR5" s="714"/>
      <c r="AS5" s="714"/>
      <c r="AT5" s="714"/>
      <c r="AU5" s="714"/>
      <c r="AV5" s="714"/>
      <c r="AW5" s="714"/>
      <c r="AX5" s="714"/>
      <c r="AY5" s="714"/>
      <c r="AZ5" s="714"/>
      <c r="BA5" s="714"/>
      <c r="BB5" s="714"/>
      <c r="BD5" s="732"/>
    </row>
    <row r="6" spans="1:62" s="632" customFormat="1" ht="5.25" customHeight="1">
      <c r="A6" s="678"/>
      <c r="B6" s="709"/>
      <c r="C6" s="685"/>
      <c r="D6" s="685"/>
      <c r="E6" s="685"/>
      <c r="F6" s="685"/>
      <c r="G6" s="685"/>
      <c r="H6" s="685"/>
      <c r="I6" s="685"/>
      <c r="J6" s="685"/>
      <c r="K6" s="685"/>
      <c r="L6" s="685"/>
      <c r="M6" s="685"/>
      <c r="N6" s="685"/>
      <c r="O6" s="685"/>
      <c r="P6" s="685"/>
      <c r="Q6" s="686"/>
      <c r="R6" s="707"/>
      <c r="S6" s="679"/>
      <c r="T6" s="679"/>
      <c r="U6" s="678"/>
      <c r="V6" s="678"/>
      <c r="W6" s="678"/>
      <c r="X6" s="678"/>
      <c r="Y6" s="678"/>
      <c r="Z6" s="678"/>
      <c r="AA6" s="708"/>
      <c r="AB6" s="732"/>
      <c r="AC6" s="647"/>
      <c r="AD6" s="647"/>
      <c r="AM6" s="710"/>
      <c r="AN6" s="710"/>
      <c r="AO6" s="710"/>
      <c r="AP6" s="710"/>
      <c r="AQ6" s="710"/>
      <c r="AR6" s="710"/>
      <c r="AS6" s="710"/>
      <c r="AT6" s="710"/>
      <c r="AU6" s="710"/>
      <c r="AV6" s="710"/>
      <c r="AW6" s="710"/>
      <c r="AX6" s="710"/>
      <c r="AY6" s="710"/>
      <c r="AZ6" s="710"/>
      <c r="BA6" s="710"/>
      <c r="BB6" s="710"/>
      <c r="BD6" s="732"/>
    </row>
    <row r="7" spans="1:62" s="632" customFormat="1" ht="12.75" customHeight="1">
      <c r="A7" s="678"/>
      <c r="B7" s="692" t="s">
        <v>718</v>
      </c>
      <c r="C7" s="692"/>
      <c r="D7" s="693"/>
      <c r="E7" s="693"/>
      <c r="F7" s="693"/>
      <c r="G7" s="693"/>
      <c r="H7" s="693"/>
      <c r="I7" s="725"/>
      <c r="J7" s="685"/>
      <c r="K7" s="685"/>
      <c r="L7" s="685"/>
      <c r="M7" s="685"/>
      <c r="N7" s="685"/>
      <c r="O7" s="685"/>
      <c r="P7" s="685"/>
      <c r="Q7" s="686"/>
      <c r="R7" s="694" t="s">
        <v>710</v>
      </c>
      <c r="S7" s="679"/>
      <c r="T7" s="679"/>
      <c r="U7" s="678"/>
      <c r="V7" s="678"/>
      <c r="W7" s="678"/>
      <c r="X7" s="678"/>
      <c r="Y7" s="678"/>
      <c r="Z7" s="678"/>
      <c r="AB7" s="732"/>
      <c r="BC7" s="708"/>
      <c r="BD7" s="732"/>
    </row>
    <row r="8" spans="1:62" s="632" customFormat="1" ht="12.75" customHeight="1">
      <c r="A8" s="678"/>
      <c r="B8" s="692" t="s">
        <v>719</v>
      </c>
      <c r="C8" s="695"/>
      <c r="D8" s="696"/>
      <c r="E8" s="696"/>
      <c r="F8" s="695"/>
      <c r="G8" s="696"/>
      <c r="H8" s="696"/>
      <c r="I8" s="696"/>
      <c r="J8" s="696"/>
      <c r="K8" s="696"/>
      <c r="L8" s="696"/>
      <c r="M8" s="696"/>
      <c r="N8" s="696"/>
      <c r="O8" s="696"/>
      <c r="P8" s="697"/>
      <c r="Q8" s="686"/>
      <c r="R8" s="694" t="s">
        <v>711</v>
      </c>
      <c r="S8" s="678"/>
      <c r="T8" s="678"/>
      <c r="U8" s="679"/>
      <c r="V8" s="678"/>
      <c r="W8" s="678"/>
      <c r="X8" s="678"/>
      <c r="Y8" s="678"/>
      <c r="Z8" s="678"/>
      <c r="AB8" s="732"/>
      <c r="AC8" s="239" t="s">
        <v>709</v>
      </c>
      <c r="AD8" s="647"/>
      <c r="BC8" s="708"/>
      <c r="BD8" s="732"/>
    </row>
    <row r="9" spans="1:62" s="632" customFormat="1" ht="12.75" customHeight="1">
      <c r="A9" s="678"/>
      <c r="B9" s="692" t="s">
        <v>720</v>
      </c>
      <c r="C9" s="696"/>
      <c r="D9" s="696"/>
      <c r="E9" s="696"/>
      <c r="F9" s="695"/>
      <c r="G9" s="695"/>
      <c r="H9" s="695"/>
      <c r="I9" s="698"/>
      <c r="J9" s="699"/>
      <c r="K9" s="700"/>
      <c r="L9" s="699"/>
      <c r="M9" s="699"/>
      <c r="N9" s="699"/>
      <c r="O9" s="699"/>
      <c r="P9" s="700"/>
      <c r="Q9" s="686"/>
      <c r="R9" s="694" t="s">
        <v>712</v>
      </c>
      <c r="S9" s="679"/>
      <c r="T9" s="679"/>
      <c r="U9" s="679"/>
      <c r="V9" s="679"/>
      <c r="W9" s="679"/>
      <c r="X9" s="679"/>
      <c r="Y9" s="679"/>
      <c r="Z9" s="679"/>
      <c r="AB9" s="732"/>
      <c r="AC9" s="82" t="s">
        <v>439</v>
      </c>
      <c r="AD9" s="626"/>
      <c r="BC9" s="708"/>
      <c r="BD9" s="732"/>
    </row>
    <row r="10" spans="1:62" ht="12.75" customHeight="1">
      <c r="A10" s="678"/>
      <c r="B10" s="692" t="s">
        <v>721</v>
      </c>
      <c r="C10" s="696"/>
      <c r="D10" s="696"/>
      <c r="E10" s="696"/>
      <c r="F10" s="696"/>
      <c r="G10" s="696"/>
      <c r="H10" s="696"/>
      <c r="I10" s="696"/>
      <c r="J10" s="696"/>
      <c r="K10" s="696"/>
      <c r="L10" s="696"/>
      <c r="M10" s="696"/>
      <c r="N10" s="696"/>
      <c r="O10" s="696"/>
      <c r="P10" s="695"/>
      <c r="Q10" s="689"/>
      <c r="R10" s="691" t="s">
        <v>713</v>
      </c>
      <c r="S10" s="679"/>
      <c r="T10" s="679"/>
      <c r="U10" s="679"/>
      <c r="V10" s="681"/>
      <c r="W10" s="682"/>
      <c r="X10" s="682"/>
      <c r="Y10" s="682"/>
      <c r="Z10" s="682"/>
      <c r="AA10" s="632"/>
      <c r="AB10" s="732"/>
      <c r="AC10" s="3"/>
      <c r="AD10" s="626"/>
      <c r="BC10" s="638"/>
      <c r="BD10" s="733"/>
    </row>
    <row r="11" spans="1:62" ht="12.75" customHeight="1">
      <c r="A11" s="678"/>
      <c r="B11" s="692" t="s">
        <v>722</v>
      </c>
      <c r="C11" s="693"/>
      <c r="D11" s="693"/>
      <c r="E11" s="693"/>
      <c r="F11" s="693"/>
      <c r="G11" s="693"/>
      <c r="H11" s="693"/>
      <c r="I11" s="687"/>
      <c r="J11" s="687"/>
      <c r="K11" s="687"/>
      <c r="L11" s="687"/>
      <c r="M11" s="687"/>
      <c r="N11" s="687"/>
      <c r="O11" s="687"/>
      <c r="P11" s="688"/>
      <c r="Q11" s="689"/>
      <c r="R11" s="724" t="s">
        <v>704</v>
      </c>
      <c r="S11" s="679"/>
      <c r="T11" s="679"/>
      <c r="U11" s="679"/>
      <c r="V11" s="681"/>
      <c r="W11" s="682"/>
      <c r="X11" s="682"/>
      <c r="Y11" s="682"/>
      <c r="Z11" s="682"/>
      <c r="AA11" s="632"/>
      <c r="AB11" s="732"/>
      <c r="AC11" s="321" t="s">
        <v>682</v>
      </c>
      <c r="AD11" s="626"/>
      <c r="BC11" s="638"/>
      <c r="BD11" s="733"/>
    </row>
    <row r="12" spans="1:62" ht="12.75" customHeight="1">
      <c r="A12" s="678"/>
      <c r="B12" s="683"/>
      <c r="C12" s="683"/>
      <c r="D12" s="683"/>
      <c r="E12" s="683"/>
      <c r="F12" s="683"/>
      <c r="G12" s="683"/>
      <c r="H12" s="683"/>
      <c r="I12" s="683"/>
      <c r="J12" s="683"/>
      <c r="K12" s="683"/>
      <c r="L12" s="683"/>
      <c r="M12" s="683"/>
      <c r="N12" s="683"/>
      <c r="O12" s="683"/>
      <c r="P12" s="684"/>
      <c r="Q12" s="680"/>
      <c r="R12" s="679"/>
      <c r="S12" s="679"/>
      <c r="T12" s="679"/>
      <c r="U12" s="679"/>
      <c r="V12" s="679"/>
      <c r="W12" s="679"/>
      <c r="X12" s="679"/>
      <c r="Y12" s="679"/>
      <c r="Z12" s="679"/>
      <c r="AA12" s="632"/>
      <c r="AB12" s="732"/>
      <c r="AC12" s="321" t="s">
        <v>685</v>
      </c>
      <c r="AD12" s="628"/>
      <c r="BC12" s="638"/>
      <c r="BD12" s="733"/>
    </row>
    <row r="13" spans="1:62" ht="12.75" customHeight="1">
      <c r="A13" s="637"/>
      <c r="B13" s="631"/>
      <c r="C13" s="275"/>
      <c r="D13" s="275"/>
      <c r="E13" s="275"/>
      <c r="F13" s="275"/>
      <c r="G13" s="275"/>
      <c r="H13" s="632"/>
      <c r="I13" s="625"/>
      <c r="J13" s="275"/>
      <c r="K13" s="632"/>
      <c r="L13" s="275"/>
      <c r="M13" s="275"/>
      <c r="N13" s="726"/>
      <c r="O13" s="727"/>
      <c r="P13" s="728"/>
      <c r="Q13" s="728"/>
      <c r="R13" s="728"/>
      <c r="S13" s="728"/>
      <c r="T13" s="728"/>
      <c r="U13" s="728"/>
      <c r="V13" s="729" t="s">
        <v>698</v>
      </c>
      <c r="W13" s="81" t="s">
        <v>461</v>
      </c>
      <c r="X13" s="25"/>
      <c r="Y13" s="25"/>
      <c r="Z13" s="25"/>
      <c r="AB13" s="733"/>
      <c r="AC13" s="239" t="s">
        <v>683</v>
      </c>
      <c r="AD13" s="626"/>
      <c r="BC13" s="638"/>
      <c r="BD13" s="733"/>
    </row>
    <row r="14" spans="1:62" ht="12.75" customHeight="1">
      <c r="A14" s="17"/>
      <c r="B14" s="647"/>
      <c r="C14" s="647"/>
      <c r="D14" s="647"/>
      <c r="E14" s="647"/>
      <c r="F14" s="647"/>
      <c r="G14" s="647"/>
      <c r="H14" s="647"/>
      <c r="I14" s="647"/>
      <c r="J14" s="647"/>
      <c r="K14" s="647"/>
      <c r="L14" s="647"/>
      <c r="M14" s="647"/>
      <c r="N14" s="647"/>
      <c r="O14" s="647"/>
      <c r="P14" s="647"/>
      <c r="Q14" s="647"/>
      <c r="R14" s="25"/>
      <c r="S14" s="25"/>
      <c r="T14" s="25"/>
      <c r="U14" s="25"/>
      <c r="V14" s="25"/>
      <c r="W14" s="25"/>
      <c r="X14" s="25"/>
      <c r="Y14" s="25"/>
      <c r="Z14" s="25"/>
      <c r="AB14" s="733"/>
      <c r="AC14" s="239" t="s">
        <v>684</v>
      </c>
      <c r="AD14" s="626"/>
      <c r="BC14" s="638"/>
      <c r="BD14" s="733"/>
    </row>
    <row r="15" spans="1:62" ht="12.75" customHeight="1">
      <c r="A15" s="17"/>
      <c r="B15" s="717" t="s">
        <v>678</v>
      </c>
      <c r="C15" s="716"/>
      <c r="D15" s="716"/>
      <c r="E15" s="716"/>
      <c r="F15" s="716"/>
      <c r="G15" s="716"/>
      <c r="H15" s="716"/>
      <c r="I15" s="716"/>
      <c r="J15" s="716"/>
      <c r="K15" s="716"/>
      <c r="L15" s="716"/>
      <c r="M15" s="716"/>
      <c r="N15" s="716"/>
      <c r="O15" s="716"/>
      <c r="P15" s="716"/>
      <c r="Q15" s="716"/>
      <c r="R15" s="674"/>
      <c r="S15" s="674"/>
      <c r="T15" s="674"/>
      <c r="U15" s="674"/>
      <c r="V15" s="674"/>
      <c r="W15" s="674"/>
      <c r="X15" s="674"/>
      <c r="Y15" s="674"/>
      <c r="Z15" s="674"/>
      <c r="AB15" s="733"/>
      <c r="AC15" s="25"/>
      <c r="AD15" s="626"/>
      <c r="BC15" s="638"/>
      <c r="BD15" s="733"/>
    </row>
    <row r="16" spans="1:62" ht="12.75" customHeight="1">
      <c r="A16" s="17"/>
      <c r="B16" s="647"/>
      <c r="C16" s="647"/>
      <c r="D16" s="647"/>
      <c r="E16" s="647"/>
      <c r="F16" s="647"/>
      <c r="G16" s="647"/>
      <c r="H16" s="647"/>
      <c r="I16" s="647"/>
      <c r="J16" s="647"/>
      <c r="K16" s="647"/>
      <c r="L16" s="647"/>
      <c r="M16" s="647"/>
      <c r="N16" s="647"/>
      <c r="O16" s="647"/>
      <c r="P16" s="647"/>
      <c r="Q16" s="647"/>
      <c r="R16" s="25"/>
      <c r="S16" s="25"/>
      <c r="T16" s="25"/>
      <c r="U16" s="25"/>
      <c r="V16" s="25"/>
      <c r="W16" s="25"/>
      <c r="X16" s="25"/>
      <c r="Y16" s="25"/>
      <c r="Z16" s="25"/>
      <c r="AB16" s="733"/>
      <c r="AC16" s="275" t="s">
        <v>703</v>
      </c>
      <c r="AD16" s="626"/>
      <c r="BC16" s="638"/>
      <c r="BD16" s="733"/>
    </row>
    <row r="17" spans="1:56" ht="12" customHeight="1">
      <c r="A17" s="17"/>
      <c r="B17" s="30" t="s">
        <v>609</v>
      </c>
      <c r="C17" s="25"/>
      <c r="D17" s="25"/>
      <c r="E17" s="25"/>
      <c r="F17" s="25"/>
      <c r="G17" s="25"/>
      <c r="H17" s="25"/>
      <c r="I17" s="25"/>
      <c r="J17" s="25"/>
      <c r="K17" s="25"/>
      <c r="L17" s="25"/>
      <c r="M17" s="25"/>
      <c r="N17" s="25"/>
      <c r="O17" s="25"/>
      <c r="P17" s="25"/>
      <c r="Q17" s="25"/>
      <c r="R17" s="25"/>
      <c r="S17" s="25"/>
      <c r="T17" s="25"/>
      <c r="U17" s="25"/>
      <c r="V17" s="25"/>
      <c r="W17" s="25"/>
      <c r="X17" s="25"/>
      <c r="Y17" s="25"/>
      <c r="Z17" s="25"/>
      <c r="AB17" s="733"/>
      <c r="AC17" s="25" t="s">
        <v>672</v>
      </c>
      <c r="AD17" s="669"/>
      <c r="BC17" s="638"/>
      <c r="BD17" s="733"/>
    </row>
    <row r="18" spans="1:56" ht="12" customHeight="1">
      <c r="A18" s="17"/>
      <c r="B18" s="410" t="s">
        <v>606</v>
      </c>
      <c r="C18" s="25"/>
      <c r="D18" s="25"/>
      <c r="E18" s="25"/>
      <c r="F18" s="25"/>
      <c r="G18" s="25"/>
      <c r="H18" s="25"/>
      <c r="I18" s="25"/>
      <c r="J18" s="25"/>
      <c r="K18" s="25"/>
      <c r="L18" s="25"/>
      <c r="M18" s="25"/>
      <c r="N18" s="25"/>
      <c r="O18" s="25"/>
      <c r="P18" s="25"/>
      <c r="Q18" s="25"/>
      <c r="R18" s="25"/>
      <c r="S18" s="25"/>
      <c r="T18" s="25"/>
      <c r="U18" s="25"/>
      <c r="V18" s="25"/>
      <c r="W18" s="25"/>
      <c r="X18" s="25"/>
      <c r="Y18" s="25"/>
      <c r="Z18" s="25"/>
      <c r="AB18" s="733"/>
      <c r="AC18" s="25"/>
      <c r="AD18" s="626"/>
      <c r="BC18" s="638"/>
      <c r="BD18" s="733"/>
    </row>
    <row r="19" spans="1:56" ht="12" customHeight="1">
      <c r="A19" s="17"/>
      <c r="B19" s="410" t="s">
        <v>607</v>
      </c>
      <c r="C19" s="25"/>
      <c r="D19" s="25"/>
      <c r="E19" s="25"/>
      <c r="F19" s="25"/>
      <c r="G19" s="25"/>
      <c r="H19" s="25"/>
      <c r="I19" s="25"/>
      <c r="J19" s="25"/>
      <c r="K19" s="25"/>
      <c r="L19" s="25"/>
      <c r="M19" s="25"/>
      <c r="N19" s="25"/>
      <c r="O19" s="25"/>
      <c r="P19" s="25"/>
      <c r="Q19" s="25"/>
      <c r="R19" s="25"/>
      <c r="S19" s="25"/>
      <c r="T19" s="25"/>
      <c r="U19" s="25"/>
      <c r="V19" s="25"/>
      <c r="W19" s="25"/>
      <c r="X19" s="25"/>
      <c r="Y19" s="25"/>
      <c r="Z19" s="25"/>
      <c r="AB19" s="733"/>
      <c r="AC19" s="268" t="s">
        <v>440</v>
      </c>
      <c r="AD19" s="629"/>
      <c r="BC19" s="638"/>
      <c r="BD19" s="733"/>
    </row>
    <row r="20" spans="1:56" ht="12" customHeight="1">
      <c r="A20" s="17"/>
      <c r="B20" s="410" t="s">
        <v>818</v>
      </c>
      <c r="C20" s="25"/>
      <c r="D20" s="25"/>
      <c r="E20" s="25"/>
      <c r="F20" s="25"/>
      <c r="G20" s="25"/>
      <c r="H20" s="25"/>
      <c r="I20" s="25"/>
      <c r="J20" s="25"/>
      <c r="K20" s="25"/>
      <c r="L20" s="25"/>
      <c r="M20" s="25"/>
      <c r="N20" s="25"/>
      <c r="O20" s="25"/>
      <c r="P20" s="25"/>
      <c r="Q20" s="25"/>
      <c r="R20" s="25"/>
      <c r="S20" s="25"/>
      <c r="T20" s="25"/>
      <c r="U20" s="25"/>
      <c r="V20" s="25"/>
      <c r="W20" s="25"/>
      <c r="X20" s="25"/>
      <c r="Y20" s="25"/>
      <c r="Z20" s="25"/>
      <c r="AB20" s="733"/>
      <c r="AC20" s="267" t="s">
        <v>705</v>
      </c>
      <c r="AD20" s="629"/>
      <c r="BC20" s="638"/>
      <c r="BD20" s="733"/>
    </row>
    <row r="21" spans="1:56" ht="12" customHeight="1">
      <c r="A21" s="17"/>
      <c r="B21" s="410"/>
      <c r="C21" s="25"/>
      <c r="D21" s="25"/>
      <c r="E21" s="25"/>
      <c r="F21" s="25"/>
      <c r="G21" s="25"/>
      <c r="H21" s="25"/>
      <c r="I21" s="25"/>
      <c r="J21" s="25"/>
      <c r="K21" s="25"/>
      <c r="L21" s="25"/>
      <c r="M21" s="25"/>
      <c r="N21" s="25"/>
      <c r="O21" s="25"/>
      <c r="P21" s="25"/>
      <c r="Q21" s="25"/>
      <c r="R21" s="25"/>
      <c r="S21" s="25"/>
      <c r="T21" s="25"/>
      <c r="U21" s="25"/>
      <c r="V21" s="25"/>
      <c r="W21" s="25"/>
      <c r="X21" s="25"/>
      <c r="Y21" s="25"/>
      <c r="Z21" s="25"/>
      <c r="AB21" s="733"/>
      <c r="AC21" s="25" t="s">
        <v>706</v>
      </c>
      <c r="AD21" s="629"/>
      <c r="BC21" s="638"/>
      <c r="BD21" s="733"/>
    </row>
    <row r="22" spans="1:56" ht="12" customHeight="1">
      <c r="A22" s="17"/>
      <c r="B22" s="25" t="s">
        <v>608</v>
      </c>
      <c r="C22" s="25"/>
      <c r="D22" s="25"/>
      <c r="E22" s="25"/>
      <c r="F22" s="25"/>
      <c r="G22" s="25"/>
      <c r="H22" s="25"/>
      <c r="I22" s="25"/>
      <c r="J22" s="25"/>
      <c r="K22" s="25"/>
      <c r="L22" s="25"/>
      <c r="M22" s="25"/>
      <c r="N22" s="25"/>
      <c r="O22" s="25"/>
      <c r="P22" s="25"/>
      <c r="Q22" s="25"/>
      <c r="R22" s="25"/>
      <c r="S22" s="25"/>
      <c r="T22" s="25"/>
      <c r="U22" s="25"/>
      <c r="V22" s="25"/>
      <c r="W22" s="25"/>
      <c r="X22" s="25"/>
      <c r="Y22" s="25"/>
      <c r="Z22" s="25"/>
      <c r="AB22" s="733"/>
      <c r="AC22" s="25" t="s">
        <v>708</v>
      </c>
      <c r="AD22" s="629"/>
      <c r="BC22" s="638"/>
      <c r="BD22" s="733"/>
    </row>
    <row r="23" spans="1:56" ht="12" customHeight="1">
      <c r="A23" s="17"/>
      <c r="B23" s="25" t="s">
        <v>610</v>
      </c>
      <c r="C23" s="25"/>
      <c r="D23" s="25"/>
      <c r="E23" s="25"/>
      <c r="F23" s="25"/>
      <c r="G23" s="25"/>
      <c r="H23" s="25"/>
      <c r="I23" s="25"/>
      <c r="J23" s="25"/>
      <c r="K23" s="25"/>
      <c r="L23" s="25"/>
      <c r="M23" s="25"/>
      <c r="N23" s="25"/>
      <c r="O23" s="25"/>
      <c r="P23" s="25"/>
      <c r="Q23" s="25"/>
      <c r="R23" s="25"/>
      <c r="S23" s="25"/>
      <c r="T23" s="25"/>
      <c r="U23" s="25"/>
      <c r="V23" s="25"/>
      <c r="W23" s="25"/>
      <c r="X23" s="25"/>
      <c r="Y23" s="25"/>
      <c r="Z23" s="25"/>
      <c r="AB23" s="733"/>
      <c r="AC23" s="239" t="s">
        <v>707</v>
      </c>
      <c r="AD23" s="629"/>
      <c r="BC23" s="638"/>
      <c r="BD23" s="733"/>
    </row>
    <row r="24" spans="1:56" s="632" customFormat="1" ht="12" customHeight="1">
      <c r="A24" s="17"/>
      <c r="B24" s="25" t="s">
        <v>611</v>
      </c>
      <c r="C24" s="25"/>
      <c r="D24" s="25"/>
      <c r="E24" s="25"/>
      <c r="F24" s="25"/>
      <c r="G24" s="25"/>
      <c r="H24" s="25"/>
      <c r="I24" s="25"/>
      <c r="J24" s="25"/>
      <c r="K24" s="25"/>
      <c r="L24" s="25"/>
      <c r="M24" s="25"/>
      <c r="N24" s="25"/>
      <c r="O24" s="25"/>
      <c r="P24" s="25"/>
      <c r="Q24" s="25"/>
      <c r="R24" s="25"/>
      <c r="S24" s="25"/>
      <c r="T24" s="25"/>
      <c r="U24" s="25"/>
      <c r="V24" s="25"/>
      <c r="W24" s="25"/>
      <c r="X24" s="25"/>
      <c r="Y24" s="25"/>
      <c r="Z24" s="25"/>
      <c r="AA24"/>
      <c r="AB24" s="732"/>
      <c r="AC24" s="82"/>
      <c r="AD24" s="626"/>
      <c r="BC24" s="708"/>
      <c r="BD24" s="732"/>
    </row>
    <row r="25" spans="1:56" ht="12" customHeight="1">
      <c r="A25" s="17"/>
      <c r="B25" s="25" t="s">
        <v>613</v>
      </c>
      <c r="C25" s="25"/>
      <c r="D25" s="25"/>
      <c r="E25" s="25"/>
      <c r="F25" s="25"/>
      <c r="G25" s="25"/>
      <c r="H25" s="25"/>
      <c r="I25" s="25"/>
      <c r="J25" s="25"/>
      <c r="K25" s="25"/>
      <c r="L25" s="25"/>
      <c r="M25" s="25"/>
      <c r="N25" s="25"/>
      <c r="O25" s="25"/>
      <c r="P25" s="25"/>
      <c r="Q25" s="25"/>
      <c r="R25" s="25"/>
      <c r="S25" s="25"/>
      <c r="T25" s="25"/>
      <c r="U25" s="25"/>
      <c r="V25" s="25"/>
      <c r="W25" s="25"/>
      <c r="X25" s="25"/>
      <c r="Y25" s="25"/>
      <c r="Z25" s="25"/>
      <c r="AB25" s="733"/>
      <c r="AC25" s="638"/>
      <c r="AD25" s="711"/>
      <c r="AE25" s="638"/>
      <c r="AF25" s="638"/>
      <c r="AG25" s="638"/>
      <c r="AH25" s="638"/>
      <c r="AI25" s="638"/>
      <c r="AJ25" s="638"/>
      <c r="AK25" s="638"/>
      <c r="AL25" s="638"/>
      <c r="AM25" s="638"/>
      <c r="AN25" s="638"/>
      <c r="AO25" s="638"/>
      <c r="AP25" s="638"/>
      <c r="AQ25" s="638"/>
      <c r="AR25" s="638"/>
      <c r="AS25" s="638"/>
      <c r="AT25" s="638"/>
      <c r="AU25" s="638"/>
      <c r="AV25" s="638"/>
      <c r="AW25" s="638"/>
      <c r="AX25" s="638"/>
      <c r="AY25" s="638"/>
      <c r="AZ25" s="638"/>
      <c r="BA25" s="638"/>
      <c r="BB25" s="638"/>
      <c r="BD25" s="733"/>
    </row>
    <row r="26" spans="1:56" ht="12" customHeight="1">
      <c r="A26" s="17"/>
      <c r="B26" s="25" t="s">
        <v>614</v>
      </c>
      <c r="C26" s="25"/>
      <c r="D26" s="25"/>
      <c r="E26" s="25"/>
      <c r="F26" s="25"/>
      <c r="G26" s="25"/>
      <c r="H26" s="25"/>
      <c r="I26" s="25"/>
      <c r="J26" s="25"/>
      <c r="K26" s="25"/>
      <c r="L26" s="25"/>
      <c r="M26" s="25"/>
      <c r="N26" s="25"/>
      <c r="O26" s="25"/>
      <c r="P26" s="25"/>
      <c r="Q26" s="25"/>
      <c r="R26" s="25"/>
      <c r="S26" s="25"/>
      <c r="T26" s="25"/>
      <c r="U26" s="25"/>
      <c r="V26" s="25"/>
      <c r="W26" s="25"/>
      <c r="X26" s="25"/>
      <c r="Y26" s="25"/>
      <c r="Z26" s="25"/>
      <c r="AB26" s="733"/>
      <c r="AC26" s="712"/>
      <c r="AD26" s="712"/>
      <c r="AE26" s="712"/>
      <c r="AF26" s="712"/>
      <c r="AG26" s="712"/>
      <c r="AH26" s="712"/>
      <c r="AI26" s="712"/>
      <c r="AJ26" s="712"/>
      <c r="AK26" s="712"/>
      <c r="AL26" s="712"/>
      <c r="AM26" s="712"/>
      <c r="AN26" s="712"/>
      <c r="AO26" s="712"/>
      <c r="AP26" s="712"/>
      <c r="AQ26" s="712"/>
      <c r="AR26" s="712"/>
      <c r="AS26" s="712"/>
      <c r="AT26" s="712"/>
      <c r="AU26" s="712"/>
      <c r="AV26" s="712"/>
      <c r="AW26" s="712"/>
      <c r="AX26" s="712"/>
      <c r="AY26" s="712"/>
      <c r="AZ26" s="712"/>
      <c r="BA26" s="712"/>
      <c r="BB26" s="712"/>
      <c r="BD26" s="733"/>
    </row>
    <row r="27" spans="1:56" ht="12" customHeight="1" thickBot="1">
      <c r="A27" s="17"/>
      <c r="B27" s="454"/>
      <c r="C27" s="454"/>
      <c r="D27" s="454"/>
      <c r="E27" s="454"/>
      <c r="F27" s="454"/>
      <c r="G27" s="454"/>
      <c r="H27" s="454"/>
      <c r="I27" s="454"/>
      <c r="J27" s="454"/>
      <c r="K27" s="454"/>
      <c r="L27" s="454"/>
      <c r="M27" s="454"/>
      <c r="N27" s="454"/>
      <c r="O27" s="2816" t="s">
        <v>35</v>
      </c>
      <c r="P27" s="2816"/>
      <c r="Q27" s="2816" t="s">
        <v>36</v>
      </c>
      <c r="R27" s="2816"/>
      <c r="S27" s="2816" t="s">
        <v>37</v>
      </c>
      <c r="T27" s="2816"/>
      <c r="U27" s="25"/>
      <c r="V27" s="25"/>
      <c r="W27" s="25"/>
      <c r="X27" s="25"/>
      <c r="Y27" s="25"/>
      <c r="Z27" s="25"/>
      <c r="AB27" s="733"/>
      <c r="AC27" s="719" t="s">
        <v>686</v>
      </c>
      <c r="AD27" s="713"/>
      <c r="AE27" s="713"/>
      <c r="AF27" s="713"/>
      <c r="AG27" s="713"/>
      <c r="AH27" s="713"/>
      <c r="AI27" s="713"/>
      <c r="AJ27" s="713"/>
      <c r="AK27" s="713"/>
      <c r="AL27" s="713"/>
      <c r="AM27" s="713"/>
      <c r="AN27" s="713"/>
      <c r="AO27" s="713"/>
      <c r="AP27" s="713"/>
      <c r="AQ27" s="713"/>
      <c r="AR27" s="713"/>
      <c r="AS27" s="713"/>
      <c r="AT27" s="713"/>
      <c r="AU27" s="713"/>
      <c r="AV27" s="713"/>
      <c r="AW27" s="713"/>
      <c r="AX27" s="713"/>
      <c r="AY27" s="713"/>
      <c r="AZ27" s="713"/>
      <c r="BA27" s="713"/>
      <c r="BB27" s="713"/>
      <c r="BC27" s="638"/>
      <c r="BD27" s="733"/>
    </row>
    <row r="28" spans="1:56" ht="12" customHeight="1" thickBot="1">
      <c r="A28" s="17"/>
      <c r="B28" s="517" t="s">
        <v>616</v>
      </c>
      <c r="C28" s="518"/>
      <c r="D28" s="518"/>
      <c r="E28" s="518"/>
      <c r="F28" s="518"/>
      <c r="G28" s="518"/>
      <c r="H28" s="518"/>
      <c r="I28" s="519"/>
      <c r="J28" s="2804" t="s">
        <v>0</v>
      </c>
      <c r="K28" s="2805"/>
      <c r="L28" s="520"/>
      <c r="M28" s="2804" t="s">
        <v>187</v>
      </c>
      <c r="N28" s="2806"/>
      <c r="O28" s="2810"/>
      <c r="P28" s="2811"/>
      <c r="Q28" s="2807"/>
      <c r="R28" s="2808"/>
      <c r="S28" s="2807">
        <v>10000</v>
      </c>
      <c r="T28" s="2808"/>
      <c r="U28" s="25"/>
      <c r="V28" s="25"/>
      <c r="W28" s="25"/>
      <c r="X28" s="25"/>
      <c r="Y28" s="25"/>
      <c r="Z28" s="25"/>
      <c r="AB28" s="733"/>
      <c r="AD28" s="8"/>
      <c r="AE28" s="8"/>
      <c r="AF28" s="8"/>
      <c r="AG28" s="8"/>
      <c r="AH28" s="8"/>
      <c r="AI28" s="8"/>
      <c r="AJ28" s="8"/>
      <c r="AK28" s="8"/>
      <c r="AL28" s="8"/>
      <c r="BC28" s="638"/>
      <c r="BD28" s="733"/>
    </row>
    <row r="29" spans="1:56" ht="12" customHeight="1" thickBot="1">
      <c r="A29" s="17"/>
      <c r="B29" s="517" t="s">
        <v>617</v>
      </c>
      <c r="C29" s="518"/>
      <c r="D29" s="518"/>
      <c r="E29" s="518"/>
      <c r="F29" s="518"/>
      <c r="G29" s="518"/>
      <c r="H29" s="518"/>
      <c r="I29" s="519"/>
      <c r="J29" s="2804" t="s">
        <v>0</v>
      </c>
      <c r="K29" s="2805"/>
      <c r="L29" s="520"/>
      <c r="M29" s="2804" t="s">
        <v>495</v>
      </c>
      <c r="N29" s="2806"/>
      <c r="O29" s="2812"/>
      <c r="P29" s="2813"/>
      <c r="Q29" s="2814"/>
      <c r="R29" s="2815"/>
      <c r="S29" s="2814">
        <f>10000*0.8</f>
        <v>8000</v>
      </c>
      <c r="T29" s="2815"/>
      <c r="U29" s="25"/>
      <c r="V29" s="25"/>
      <c r="W29" s="25"/>
      <c r="X29" s="25"/>
      <c r="Y29" s="25"/>
      <c r="Z29" s="25"/>
      <c r="AB29" s="733"/>
      <c r="AC29" s="37" t="s">
        <v>922</v>
      </c>
      <c r="AD29" s="8"/>
      <c r="AE29" s="8"/>
      <c r="AF29" s="8"/>
      <c r="AG29" s="8"/>
      <c r="AH29" s="8"/>
      <c r="AI29" s="8"/>
      <c r="AJ29" s="8"/>
      <c r="AK29" s="8"/>
      <c r="AL29" s="8"/>
      <c r="AM29" s="952"/>
      <c r="AN29" s="952"/>
      <c r="AO29" s="952"/>
      <c r="AP29" s="952"/>
      <c r="AQ29" s="952"/>
      <c r="AR29" s="952"/>
      <c r="AS29" s="952"/>
      <c r="AT29" s="952"/>
      <c r="AU29" s="952"/>
      <c r="AV29" s="952"/>
      <c r="AW29" s="952"/>
      <c r="AX29" s="952"/>
      <c r="AY29" s="952"/>
      <c r="AZ29" s="952"/>
      <c r="BA29" s="952"/>
      <c r="BB29" s="952"/>
      <c r="BC29" s="638"/>
      <c r="BD29" s="733"/>
    </row>
    <row r="30" spans="1:56" ht="12" customHeight="1" thickBot="1">
      <c r="A30" s="17"/>
      <c r="B30" s="454"/>
      <c r="C30" s="454"/>
      <c r="D30" s="454"/>
      <c r="E30" s="454"/>
      <c r="F30" s="454"/>
      <c r="G30" s="454"/>
      <c r="H30" s="454"/>
      <c r="I30" s="454"/>
      <c r="J30" s="454"/>
      <c r="K30" s="454"/>
      <c r="L30" s="454"/>
      <c r="M30" s="454"/>
      <c r="N30" s="454"/>
      <c r="O30" s="454"/>
      <c r="P30" s="454"/>
      <c r="Q30" s="454"/>
      <c r="R30" s="454"/>
      <c r="S30" s="25"/>
      <c r="T30" s="25"/>
      <c r="U30" s="25"/>
      <c r="V30" s="25"/>
      <c r="W30" s="25"/>
      <c r="X30" s="25"/>
      <c r="Y30" s="25"/>
      <c r="Z30" s="25"/>
      <c r="AB30" s="733"/>
      <c r="AC30" s="239" t="s">
        <v>923</v>
      </c>
      <c r="AD30" s="8"/>
      <c r="AE30" s="8"/>
      <c r="AF30" s="8"/>
      <c r="AG30" s="8"/>
      <c r="AH30" s="8"/>
      <c r="AI30" s="8"/>
      <c r="AJ30" s="8"/>
      <c r="AK30" s="8"/>
      <c r="AL30" s="8"/>
      <c r="AM30" s="952"/>
      <c r="AN30" s="952"/>
      <c r="AO30" s="952"/>
      <c r="AP30" s="952"/>
      <c r="AQ30" s="952"/>
      <c r="AR30" s="952"/>
      <c r="AS30" s="952"/>
      <c r="AT30" s="952"/>
      <c r="AU30" s="952"/>
      <c r="AV30" s="952"/>
      <c r="AW30" s="952"/>
      <c r="AX30" s="952"/>
      <c r="AY30" s="952"/>
      <c r="AZ30" s="952"/>
      <c r="BA30" s="952"/>
      <c r="BB30" s="952"/>
      <c r="BC30" s="638"/>
      <c r="BD30" s="733"/>
    </row>
    <row r="31" spans="1:56" ht="12" customHeight="1" thickBot="1">
      <c r="A31" s="17"/>
      <c r="B31" s="517" t="s">
        <v>612</v>
      </c>
      <c r="C31" s="518"/>
      <c r="D31" s="518"/>
      <c r="E31" s="518"/>
      <c r="F31" s="518"/>
      <c r="G31" s="518"/>
      <c r="H31" s="518"/>
      <c r="I31" s="519"/>
      <c r="J31" s="2804" t="s">
        <v>0</v>
      </c>
      <c r="K31" s="2805"/>
      <c r="L31" s="520"/>
      <c r="M31" s="2804" t="s">
        <v>187</v>
      </c>
      <c r="N31" s="2806"/>
      <c r="O31" s="2807">
        <v>10000</v>
      </c>
      <c r="P31" s="2808"/>
      <c r="Q31" s="2807"/>
      <c r="R31" s="2808"/>
      <c r="S31" s="2807"/>
      <c r="T31" s="2808"/>
      <c r="U31" s="25"/>
      <c r="V31" s="25"/>
      <c r="W31" s="25"/>
      <c r="X31" s="25"/>
      <c r="Y31" s="25"/>
      <c r="Z31" s="25"/>
      <c r="AB31" s="733"/>
      <c r="AC31" s="239" t="s">
        <v>924</v>
      </c>
      <c r="AD31" s="8"/>
      <c r="AE31" s="8"/>
      <c r="AF31" s="8"/>
      <c r="AG31" s="8"/>
      <c r="AH31" s="8"/>
      <c r="AI31" s="8"/>
      <c r="AJ31" s="8"/>
      <c r="AK31" s="8"/>
      <c r="AL31" s="8"/>
      <c r="AM31" s="952"/>
      <c r="AN31" s="952"/>
      <c r="AO31" s="952"/>
      <c r="AP31" s="952"/>
      <c r="AQ31" s="952"/>
      <c r="AR31" s="952"/>
      <c r="AS31" s="952"/>
      <c r="AT31" s="952"/>
      <c r="AU31" s="952"/>
      <c r="AV31" s="952"/>
      <c r="AW31" s="952"/>
      <c r="AX31" s="952"/>
      <c r="AY31" s="952"/>
      <c r="AZ31" s="952"/>
      <c r="BA31" s="952"/>
      <c r="BB31" s="952"/>
      <c r="BC31" s="638"/>
      <c r="BD31" s="733"/>
    </row>
    <row r="32" spans="1:56" ht="12" customHeight="1">
      <c r="A32" s="17"/>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B32" s="733"/>
      <c r="AC32" s="239" t="s">
        <v>925</v>
      </c>
      <c r="AD32" s="8"/>
      <c r="AE32" s="8"/>
      <c r="AF32" s="8"/>
      <c r="AG32" s="8"/>
      <c r="AH32" s="8"/>
      <c r="AI32" s="8"/>
      <c r="AJ32" s="8"/>
      <c r="AK32" s="8"/>
      <c r="AL32" s="8"/>
      <c r="AM32" s="952"/>
      <c r="AN32" s="952"/>
      <c r="AO32" s="952"/>
      <c r="AP32" s="952"/>
      <c r="AQ32" s="952"/>
      <c r="AR32" s="952"/>
      <c r="AS32" s="952"/>
      <c r="AT32" s="952"/>
      <c r="AU32" s="952"/>
      <c r="AV32" s="952"/>
      <c r="AW32" s="952"/>
      <c r="AX32" s="952"/>
      <c r="AY32" s="952"/>
      <c r="AZ32" s="952"/>
      <c r="BA32" s="952"/>
      <c r="BB32" s="952"/>
      <c r="BC32" s="638"/>
      <c r="BD32" s="733"/>
    </row>
    <row r="33" spans="1:56" ht="12" customHeight="1">
      <c r="A33" s="17"/>
      <c r="B33" s="25" t="s">
        <v>615</v>
      </c>
      <c r="C33" s="25"/>
      <c r="D33" s="25"/>
      <c r="E33" s="25"/>
      <c r="F33" s="25"/>
      <c r="G33" s="25"/>
      <c r="H33" s="25"/>
      <c r="I33" s="25"/>
      <c r="J33" s="25"/>
      <c r="K33" s="25"/>
      <c r="L33" s="25"/>
      <c r="M33" s="25"/>
      <c r="N33" s="25"/>
      <c r="O33" s="25"/>
      <c r="P33" s="25"/>
      <c r="Q33" s="25"/>
      <c r="R33" s="25"/>
      <c r="S33" s="25"/>
      <c r="T33" s="25"/>
      <c r="U33" s="25"/>
      <c r="V33" s="25"/>
      <c r="W33" s="25"/>
      <c r="X33" s="25"/>
      <c r="Y33" s="25"/>
      <c r="Z33" s="25"/>
      <c r="AB33" s="733"/>
      <c r="AC33" s="952"/>
      <c r="AD33" s="8"/>
      <c r="AE33" s="8"/>
      <c r="AF33" s="8"/>
      <c r="AG33" s="8"/>
      <c r="AH33" s="8"/>
      <c r="AI33" s="8"/>
      <c r="AJ33" s="8"/>
      <c r="AK33" s="8"/>
      <c r="AL33" s="8"/>
      <c r="AM33" s="952"/>
      <c r="AN33" s="952"/>
      <c r="AO33" s="952"/>
      <c r="AP33" s="952"/>
      <c r="AQ33" s="952"/>
      <c r="AR33" s="952"/>
      <c r="AS33" s="952"/>
      <c r="AT33" s="952"/>
      <c r="AU33" s="952"/>
      <c r="AV33" s="952"/>
      <c r="AW33" s="952"/>
      <c r="AX33" s="952"/>
      <c r="AY33" s="952"/>
      <c r="AZ33" s="952"/>
      <c r="BA33" s="952"/>
      <c r="BB33" s="952"/>
      <c r="BC33" s="638"/>
      <c r="BD33" s="733"/>
    </row>
    <row r="34" spans="1:56" ht="12" customHeight="1">
      <c r="A34" s="17"/>
      <c r="B34" s="25" t="s">
        <v>618</v>
      </c>
      <c r="C34" s="25"/>
      <c r="D34" s="25"/>
      <c r="E34" s="25"/>
      <c r="F34" s="25"/>
      <c r="G34" s="25"/>
      <c r="H34" s="25"/>
      <c r="I34" s="25"/>
      <c r="J34" s="25"/>
      <c r="K34" s="25"/>
      <c r="L34" s="25"/>
      <c r="M34" s="25"/>
      <c r="N34" s="25"/>
      <c r="O34" s="25"/>
      <c r="P34" s="25"/>
      <c r="Q34" s="25"/>
      <c r="R34" s="25"/>
      <c r="S34" s="25"/>
      <c r="T34" s="25"/>
      <c r="U34" s="25"/>
      <c r="V34" s="25"/>
      <c r="W34" s="25"/>
      <c r="X34" s="25"/>
      <c r="Y34" s="25"/>
      <c r="Z34" s="25"/>
      <c r="AB34" s="733"/>
      <c r="AC34" s="37" t="s">
        <v>926</v>
      </c>
      <c r="AD34" s="8"/>
      <c r="AE34" s="8"/>
      <c r="AF34" s="8"/>
      <c r="AG34" s="8"/>
      <c r="AH34" s="8"/>
      <c r="AI34" s="8"/>
      <c r="AJ34" s="8"/>
      <c r="AK34" s="8"/>
      <c r="AL34" s="8"/>
      <c r="AM34" s="952"/>
      <c r="AN34" s="952"/>
      <c r="AO34" s="952"/>
      <c r="AP34" s="952"/>
      <c r="AQ34" s="952"/>
      <c r="AR34" s="952"/>
      <c r="AS34" s="952"/>
      <c r="AT34" s="952"/>
      <c r="AU34" s="952"/>
      <c r="AV34" s="952"/>
      <c r="AW34" s="952"/>
      <c r="AX34" s="952"/>
      <c r="AY34" s="952"/>
      <c r="AZ34" s="952"/>
      <c r="BA34" s="952"/>
      <c r="BB34" s="952"/>
      <c r="BC34" s="638"/>
      <c r="BD34" s="733"/>
    </row>
    <row r="35" spans="1:56" ht="12" customHeight="1">
      <c r="A35" s="17"/>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B35" s="733"/>
      <c r="AC35" s="239" t="s">
        <v>927</v>
      </c>
      <c r="AD35" s="8"/>
      <c r="AE35" s="8"/>
      <c r="AF35" s="8"/>
      <c r="AG35" s="8"/>
      <c r="AH35" s="8"/>
      <c r="AI35" s="8"/>
      <c r="AJ35" s="8"/>
      <c r="AK35" s="8"/>
      <c r="AL35" s="8"/>
      <c r="AM35" s="952"/>
      <c r="AN35" s="952"/>
      <c r="AO35" s="952"/>
      <c r="AP35" s="952"/>
      <c r="AQ35" s="952"/>
      <c r="AR35" s="952"/>
      <c r="AS35" s="952"/>
      <c r="AT35" s="952"/>
      <c r="AU35" s="952"/>
      <c r="AV35" s="952"/>
      <c r="AW35" s="952"/>
      <c r="AX35" s="952"/>
      <c r="AY35" s="952"/>
      <c r="AZ35" s="952"/>
      <c r="BA35" s="952"/>
      <c r="BB35" s="952"/>
      <c r="BC35" s="638"/>
      <c r="BD35" s="733"/>
    </row>
    <row r="36" spans="1:56" ht="12.75" customHeight="1">
      <c r="A36" s="17"/>
      <c r="B36" s="30" t="s">
        <v>620</v>
      </c>
      <c r="C36" s="25"/>
      <c r="D36" s="25"/>
      <c r="E36" s="25"/>
      <c r="F36" s="25"/>
      <c r="G36" s="25"/>
      <c r="H36" s="25"/>
      <c r="I36" s="25"/>
      <c r="J36" s="25"/>
      <c r="K36" s="25"/>
      <c r="L36" s="25"/>
      <c r="M36" s="25"/>
      <c r="N36" s="25"/>
      <c r="O36" s="25"/>
      <c r="P36" s="25"/>
      <c r="Q36" s="25"/>
      <c r="R36" s="25"/>
      <c r="S36" s="25"/>
      <c r="T36" s="25"/>
      <c r="U36" s="25"/>
      <c r="V36" s="25"/>
      <c r="W36" s="25"/>
      <c r="X36" s="25"/>
      <c r="Y36" s="25"/>
      <c r="Z36" s="25"/>
      <c r="AB36" s="733"/>
      <c r="AC36" s="239" t="s">
        <v>928</v>
      </c>
      <c r="AD36" s="8"/>
      <c r="AE36" s="8"/>
      <c r="AF36" s="8"/>
      <c r="AG36" s="8"/>
      <c r="AH36" s="8"/>
      <c r="AI36" s="8"/>
      <c r="AJ36" s="8"/>
      <c r="AK36" s="8"/>
      <c r="AL36" s="8"/>
      <c r="AM36" s="952"/>
      <c r="AN36" s="952"/>
      <c r="AO36" s="952"/>
      <c r="AP36" s="952"/>
      <c r="AQ36" s="952"/>
      <c r="AR36" s="952"/>
      <c r="AS36" s="952"/>
      <c r="AT36" s="952"/>
      <c r="AU36" s="952"/>
      <c r="AV36" s="952"/>
      <c r="AW36" s="952"/>
      <c r="AX36" s="952"/>
      <c r="AY36" s="952"/>
      <c r="AZ36" s="952"/>
      <c r="BA36" s="952"/>
      <c r="BB36" s="952"/>
      <c r="BC36" s="638"/>
      <c r="BD36" s="733"/>
    </row>
    <row r="37" spans="1:56" ht="12" customHeight="1">
      <c r="A37" s="17"/>
      <c r="B37" s="410" t="s">
        <v>622</v>
      </c>
      <c r="C37" s="25"/>
      <c r="D37" s="25"/>
      <c r="E37" s="25"/>
      <c r="F37" s="25"/>
      <c r="G37" s="25"/>
      <c r="H37" s="25"/>
      <c r="I37" s="25"/>
      <c r="J37" s="25"/>
      <c r="K37" s="25"/>
      <c r="L37" s="25"/>
      <c r="M37" s="25"/>
      <c r="N37" s="25"/>
      <c r="O37" s="25"/>
      <c r="P37" s="25"/>
      <c r="Q37" s="25"/>
      <c r="R37" s="25"/>
      <c r="S37" s="25"/>
      <c r="T37" s="25"/>
      <c r="U37" s="25"/>
      <c r="V37" s="25"/>
      <c r="W37" s="25"/>
      <c r="X37" s="25"/>
      <c r="Y37" s="25"/>
      <c r="Z37" s="25"/>
      <c r="AB37" s="733"/>
      <c r="AC37" s="952" t="s">
        <v>930</v>
      </c>
      <c r="AD37" s="8"/>
      <c r="AE37" s="8"/>
      <c r="AF37" s="8"/>
      <c r="AG37" s="8"/>
      <c r="AH37" s="8"/>
      <c r="AI37" s="8"/>
      <c r="AJ37" s="8"/>
      <c r="AK37" s="8"/>
      <c r="AL37" s="8"/>
      <c r="AM37" s="952"/>
      <c r="AN37" s="952"/>
      <c r="AO37" s="952"/>
      <c r="AP37" s="952"/>
      <c r="AQ37" s="952"/>
      <c r="AR37" s="952"/>
      <c r="AS37" s="952"/>
      <c r="AT37" s="952"/>
      <c r="AU37" s="952"/>
      <c r="AV37" s="952"/>
      <c r="AW37" s="952"/>
      <c r="AX37" s="952"/>
      <c r="AY37" s="952"/>
      <c r="AZ37" s="952"/>
      <c r="BA37" s="952"/>
      <c r="BB37" s="952"/>
      <c r="BC37" s="638"/>
      <c r="BD37" s="733"/>
    </row>
    <row r="38" spans="1:56" ht="12" customHeight="1">
      <c r="A38" s="17"/>
      <c r="B38" s="410" t="s">
        <v>621</v>
      </c>
      <c r="C38" s="25"/>
      <c r="D38" s="25"/>
      <c r="E38" s="25"/>
      <c r="F38" s="25"/>
      <c r="G38" s="25"/>
      <c r="H38" s="25"/>
      <c r="I38" s="25"/>
      <c r="J38" s="25"/>
      <c r="K38" s="25"/>
      <c r="L38" s="25"/>
      <c r="M38" s="25"/>
      <c r="N38" s="25"/>
      <c r="O38" s="25"/>
      <c r="P38" s="25"/>
      <c r="Q38" s="25"/>
      <c r="R38" s="25"/>
      <c r="S38" s="25"/>
      <c r="T38" s="25"/>
      <c r="U38" s="25"/>
      <c r="V38" s="25"/>
      <c r="W38" s="25"/>
      <c r="X38" s="25"/>
      <c r="Y38" s="25"/>
      <c r="Z38" s="25"/>
      <c r="AB38" s="733"/>
      <c r="AC38" s="239"/>
      <c r="AD38" s="8"/>
      <c r="AE38" s="8"/>
      <c r="AF38" s="8"/>
      <c r="AG38" s="8"/>
      <c r="AH38" s="8"/>
      <c r="AI38" s="8"/>
      <c r="AJ38" s="8"/>
      <c r="AK38" s="8"/>
      <c r="AL38" s="8"/>
      <c r="AM38" s="952"/>
      <c r="AN38" s="952"/>
      <c r="AO38" s="952"/>
      <c r="AP38" s="952"/>
      <c r="AQ38" s="952"/>
      <c r="AR38" s="952"/>
      <c r="AS38" s="952"/>
      <c r="AT38" s="952"/>
      <c r="AU38" s="952"/>
      <c r="AV38" s="952"/>
      <c r="AW38" s="952"/>
      <c r="AX38" s="952"/>
      <c r="AY38" s="952"/>
      <c r="AZ38" s="952"/>
      <c r="BA38" s="952"/>
      <c r="BB38" s="952"/>
      <c r="BC38" s="638"/>
      <c r="BD38" s="733"/>
    </row>
    <row r="39" spans="1:56" ht="12" customHeight="1">
      <c r="A39" s="17"/>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B39" s="733"/>
      <c r="AC39" s="37" t="s">
        <v>929</v>
      </c>
      <c r="AD39" s="8"/>
      <c r="AE39" s="8"/>
      <c r="AF39" s="8"/>
      <c r="AG39" s="8"/>
      <c r="AH39" s="8"/>
      <c r="AI39" s="8"/>
      <c r="AJ39" s="8"/>
      <c r="AK39" s="8"/>
      <c r="AL39" s="8"/>
      <c r="AM39" s="952"/>
      <c r="AN39" s="952"/>
      <c r="AO39" s="952"/>
      <c r="AP39" s="952"/>
      <c r="AQ39" s="952"/>
      <c r="AR39" s="952"/>
      <c r="AS39" s="952"/>
      <c r="AT39" s="952"/>
      <c r="AU39" s="952"/>
      <c r="AV39" s="952"/>
      <c r="AW39" s="952"/>
      <c r="AX39" s="952"/>
      <c r="AY39" s="952"/>
      <c r="AZ39" s="952"/>
      <c r="BA39" s="952"/>
      <c r="BB39" s="952"/>
      <c r="BC39" s="638"/>
      <c r="BD39" s="733"/>
    </row>
    <row r="40" spans="1:56" ht="12" customHeight="1">
      <c r="A40" s="17"/>
      <c r="B40" s="25" t="s">
        <v>623</v>
      </c>
      <c r="C40" s="25"/>
      <c r="D40" s="25"/>
      <c r="E40" s="25"/>
      <c r="F40" s="25"/>
      <c r="G40" s="25"/>
      <c r="H40" s="25"/>
      <c r="I40" s="25"/>
      <c r="J40" s="25"/>
      <c r="K40" s="25"/>
      <c r="L40" s="25"/>
      <c r="M40" s="25"/>
      <c r="N40" s="25"/>
      <c r="O40" s="25"/>
      <c r="P40" s="25"/>
      <c r="Q40" s="25"/>
      <c r="R40" s="25"/>
      <c r="S40" s="25"/>
      <c r="T40" s="25"/>
      <c r="U40" s="25"/>
      <c r="V40" s="25"/>
      <c r="W40" s="25"/>
      <c r="X40" s="25"/>
      <c r="Y40" s="25"/>
      <c r="Z40" s="25"/>
      <c r="AB40" s="733"/>
      <c r="AC40" s="239" t="s">
        <v>931</v>
      </c>
      <c r="AD40" s="8"/>
      <c r="AE40" s="8"/>
      <c r="AF40" s="8"/>
      <c r="AG40" s="8"/>
      <c r="AH40" s="8"/>
      <c r="AI40" s="8"/>
      <c r="AJ40" s="8"/>
      <c r="AK40" s="8"/>
      <c r="AL40" s="8"/>
      <c r="AM40" s="952"/>
      <c r="AN40" s="952"/>
      <c r="AO40" s="952"/>
      <c r="AP40" s="952"/>
      <c r="AQ40" s="952"/>
      <c r="AR40" s="952"/>
      <c r="AS40" s="952"/>
      <c r="AT40" s="952"/>
      <c r="AU40" s="952"/>
      <c r="AV40" s="952"/>
      <c r="AW40" s="952"/>
      <c r="AX40" s="952"/>
      <c r="AY40" s="952"/>
      <c r="AZ40" s="952"/>
      <c r="BA40" s="952"/>
      <c r="BB40" s="952"/>
      <c r="BC40" s="638"/>
      <c r="BD40" s="733"/>
    </row>
    <row r="41" spans="1:56" ht="12" customHeight="1">
      <c r="A41" s="17"/>
      <c r="B41" s="25" t="s">
        <v>624</v>
      </c>
      <c r="C41" s="25"/>
      <c r="D41" s="25"/>
      <c r="E41" s="25"/>
      <c r="F41" s="25"/>
      <c r="G41" s="25"/>
      <c r="H41" s="25"/>
      <c r="I41" s="25"/>
      <c r="J41" s="25"/>
      <c r="K41" s="25"/>
      <c r="L41" s="25"/>
      <c r="M41" s="25"/>
      <c r="N41" s="25"/>
      <c r="O41" s="25"/>
      <c r="P41" s="25"/>
      <c r="Q41" s="25"/>
      <c r="R41" s="25"/>
      <c r="S41" s="25"/>
      <c r="T41" s="25"/>
      <c r="U41" s="25"/>
      <c r="V41" s="25"/>
      <c r="W41" s="25"/>
      <c r="X41" s="25"/>
      <c r="Y41" s="25"/>
      <c r="Z41" s="25"/>
      <c r="AB41" s="733"/>
      <c r="AC41" s="239" t="s">
        <v>932</v>
      </c>
      <c r="AD41" s="8"/>
      <c r="AE41" s="8"/>
      <c r="AF41" s="8"/>
      <c r="AG41" s="8"/>
      <c r="AH41" s="8"/>
      <c r="AI41" s="8"/>
      <c r="AJ41" s="8"/>
      <c r="AK41" s="8"/>
      <c r="AL41" s="8"/>
      <c r="AM41" s="952"/>
      <c r="AN41" s="952"/>
      <c r="AO41" s="952"/>
      <c r="AP41" s="952"/>
      <c r="AQ41" s="952"/>
      <c r="AR41" s="952"/>
      <c r="AS41" s="952"/>
      <c r="AT41" s="952"/>
      <c r="AU41" s="952"/>
      <c r="AV41" s="952"/>
      <c r="AW41" s="952"/>
      <c r="AX41" s="952"/>
      <c r="AY41" s="952"/>
      <c r="AZ41" s="952"/>
      <c r="BA41" s="952"/>
      <c r="BB41" s="952"/>
      <c r="BC41" s="638"/>
      <c r="BD41" s="733"/>
    </row>
    <row r="42" spans="1:56" ht="12" customHeight="1">
      <c r="A42" s="17"/>
      <c r="B42" s="25" t="s">
        <v>625</v>
      </c>
      <c r="C42" s="25"/>
      <c r="D42" s="25"/>
      <c r="E42" s="25"/>
      <c r="F42" s="25"/>
      <c r="G42" s="25"/>
      <c r="H42" s="25"/>
      <c r="I42" s="25"/>
      <c r="J42" s="25"/>
      <c r="K42" s="25"/>
      <c r="L42" s="25"/>
      <c r="M42" s="25"/>
      <c r="N42" s="25"/>
      <c r="O42" s="25"/>
      <c r="P42" s="25"/>
      <c r="Q42" s="25"/>
      <c r="R42" s="25"/>
      <c r="S42" s="25"/>
      <c r="T42" s="25"/>
      <c r="U42" s="25"/>
      <c r="V42" s="25"/>
      <c r="W42" s="25"/>
      <c r="X42" s="25"/>
      <c r="Y42" s="25"/>
      <c r="Z42" s="25"/>
      <c r="AB42" s="733"/>
      <c r="AC42" s="952"/>
      <c r="AD42" s="8"/>
      <c r="AE42" s="8"/>
      <c r="AF42" s="8"/>
      <c r="AG42" s="8"/>
      <c r="AH42" s="8"/>
      <c r="AI42" s="8"/>
      <c r="AJ42" s="8"/>
      <c r="AK42" s="8"/>
      <c r="AL42" s="8"/>
      <c r="AM42" s="952"/>
      <c r="AN42" s="952"/>
      <c r="AO42" s="952"/>
      <c r="AP42" s="952"/>
      <c r="AQ42" s="952"/>
      <c r="AR42" s="952"/>
      <c r="AS42" s="952"/>
      <c r="AT42" s="952"/>
      <c r="AU42" s="952"/>
      <c r="AV42" s="952"/>
      <c r="AW42" s="952"/>
      <c r="AX42" s="952"/>
      <c r="AY42" s="952"/>
      <c r="AZ42" s="952"/>
      <c r="BA42" s="952"/>
      <c r="BB42" s="952"/>
      <c r="BC42" s="638"/>
      <c r="BD42" s="733"/>
    </row>
    <row r="43" spans="1:56" ht="12" customHeight="1">
      <c r="A43" s="17"/>
      <c r="B43" s="25" t="s">
        <v>626</v>
      </c>
      <c r="C43" s="25"/>
      <c r="D43" s="25"/>
      <c r="E43" s="25"/>
      <c r="F43" s="25"/>
      <c r="G43" s="25"/>
      <c r="H43" s="25"/>
      <c r="I43" s="25"/>
      <c r="J43" s="25"/>
      <c r="K43" s="25"/>
      <c r="L43" s="25"/>
      <c r="M43" s="25"/>
      <c r="N43" s="25"/>
      <c r="O43" s="25"/>
      <c r="P43" s="25"/>
      <c r="Q43" s="25"/>
      <c r="R43" s="25"/>
      <c r="S43" s="25"/>
      <c r="T43" s="25"/>
      <c r="U43" s="25"/>
      <c r="V43" s="25"/>
      <c r="W43" s="25"/>
      <c r="X43" s="25"/>
      <c r="Y43" s="25"/>
      <c r="Z43" s="25"/>
      <c r="AB43" s="733"/>
      <c r="AC43" s="37" t="s">
        <v>401</v>
      </c>
      <c r="AD43" s="11"/>
      <c r="AE43" s="11"/>
      <c r="AF43" s="11"/>
      <c r="AG43" s="11"/>
      <c r="AH43" s="11"/>
      <c r="AI43" s="11"/>
      <c r="AJ43" s="11"/>
      <c r="AK43" s="11"/>
      <c r="AL43" s="11"/>
      <c r="BC43" s="638"/>
      <c r="BD43" s="733"/>
    </row>
    <row r="44" spans="1:56" ht="12" customHeight="1">
      <c r="A44" s="17"/>
      <c r="B44" s="456"/>
      <c r="C44" s="25"/>
      <c r="D44" s="25"/>
      <c r="E44" s="25"/>
      <c r="F44" s="25"/>
      <c r="G44" s="25"/>
      <c r="H44" s="25"/>
      <c r="I44" s="25"/>
      <c r="J44" s="25"/>
      <c r="K44" s="25"/>
      <c r="L44" s="25"/>
      <c r="M44" s="25"/>
      <c r="N44" s="25"/>
      <c r="O44" s="25"/>
      <c r="P44" s="25"/>
      <c r="Q44" s="25"/>
      <c r="R44" s="25"/>
      <c r="S44" s="25"/>
      <c r="T44" s="25"/>
      <c r="U44" s="25"/>
      <c r="V44" s="25"/>
      <c r="W44" s="25"/>
      <c r="X44" s="25"/>
      <c r="Y44" s="25"/>
      <c r="Z44" s="25"/>
      <c r="AB44" s="733"/>
      <c r="AC44" s="11" t="s">
        <v>673</v>
      </c>
      <c r="AD44" s="11"/>
      <c r="AE44" s="11"/>
      <c r="AF44" s="11"/>
      <c r="AG44" s="11"/>
      <c r="AH44" s="11"/>
      <c r="AI44" s="11"/>
      <c r="AJ44" s="11"/>
      <c r="AK44" s="11"/>
      <c r="AL44" s="11"/>
      <c r="BC44" s="638"/>
      <c r="BD44" s="733"/>
    </row>
    <row r="45" spans="1:56" ht="12" customHeight="1">
      <c r="A45" s="17"/>
      <c r="B45" s="30" t="s">
        <v>619</v>
      </c>
      <c r="C45" s="25"/>
      <c r="D45" s="25"/>
      <c r="E45" s="25"/>
      <c r="F45" s="25"/>
      <c r="G45" s="25"/>
      <c r="H45" s="25"/>
      <c r="I45" s="25"/>
      <c r="J45" s="25"/>
      <c r="K45" s="25"/>
      <c r="L45" s="25"/>
      <c r="M45" s="25"/>
      <c r="N45" s="25"/>
      <c r="O45" s="25"/>
      <c r="P45" s="25"/>
      <c r="Q45" s="25"/>
      <c r="R45" s="25"/>
      <c r="S45" s="25"/>
      <c r="T45" s="25"/>
      <c r="U45" s="25"/>
      <c r="V45" s="25"/>
      <c r="W45" s="25"/>
      <c r="X45" s="25"/>
      <c r="Y45" s="25"/>
      <c r="Z45" s="25"/>
      <c r="AB45" s="733"/>
      <c r="AC45" s="11" t="s">
        <v>599</v>
      </c>
      <c r="AD45" s="11"/>
      <c r="AE45" s="11"/>
      <c r="AF45" s="11"/>
      <c r="AG45" s="11"/>
      <c r="AH45" s="11"/>
      <c r="AI45" s="11"/>
      <c r="AJ45" s="11"/>
      <c r="AK45" s="11"/>
      <c r="AL45" s="11"/>
      <c r="BC45" s="638"/>
      <c r="BD45" s="733"/>
    </row>
    <row r="46" spans="1:56" ht="12" customHeight="1">
      <c r="A46" s="17"/>
      <c r="B46" s="476" t="s">
        <v>638</v>
      </c>
      <c r="C46" s="25"/>
      <c r="D46" s="25"/>
      <c r="E46" s="25"/>
      <c r="F46" s="25"/>
      <c r="G46" s="25"/>
      <c r="H46" s="25"/>
      <c r="I46" s="25"/>
      <c r="J46" s="25"/>
      <c r="K46" s="25"/>
      <c r="L46" s="25"/>
      <c r="M46" s="25"/>
      <c r="N46" s="25"/>
      <c r="O46" s="25"/>
      <c r="P46" s="25"/>
      <c r="Q46" s="25"/>
      <c r="R46" s="25"/>
      <c r="S46" s="25"/>
      <c r="T46" s="25"/>
      <c r="U46" s="25"/>
      <c r="V46" s="25"/>
      <c r="W46" s="25"/>
      <c r="X46" s="25"/>
      <c r="Y46" s="25"/>
      <c r="Z46" s="25"/>
      <c r="AB46" s="733"/>
      <c r="AC46" s="11"/>
      <c r="AD46" s="11"/>
      <c r="AE46" s="11"/>
      <c r="AF46" s="11"/>
      <c r="AG46" s="11"/>
      <c r="AH46" s="11"/>
      <c r="AI46" s="11"/>
      <c r="AJ46" s="11"/>
      <c r="AK46" s="11"/>
      <c r="AL46" s="11"/>
      <c r="BC46" s="638"/>
      <c r="BD46" s="733"/>
    </row>
    <row r="47" spans="1:56" ht="12" customHeight="1">
      <c r="A47" s="17"/>
      <c r="B47" s="17"/>
      <c r="C47" s="25"/>
      <c r="D47" s="25"/>
      <c r="E47" s="25"/>
      <c r="F47" s="25"/>
      <c r="G47" s="25"/>
      <c r="H47" s="25"/>
      <c r="I47" s="25"/>
      <c r="J47" s="25"/>
      <c r="K47" s="25"/>
      <c r="L47" s="25"/>
      <c r="M47" s="25"/>
      <c r="N47" s="25"/>
      <c r="O47" s="25"/>
      <c r="P47" s="25"/>
      <c r="Q47" s="25"/>
      <c r="R47" s="25"/>
      <c r="S47" s="25"/>
      <c r="T47" s="25"/>
      <c r="U47" s="25"/>
      <c r="V47" s="25"/>
      <c r="W47" s="25"/>
      <c r="X47" s="25"/>
      <c r="Y47" s="25"/>
      <c r="Z47" s="25"/>
      <c r="AB47" s="733"/>
      <c r="AC47" s="640" t="s">
        <v>394</v>
      </c>
      <c r="AD47" s="641"/>
      <c r="AE47" s="641"/>
      <c r="AF47" s="641"/>
      <c r="AG47" s="641"/>
      <c r="AH47" s="641"/>
      <c r="AI47" s="641"/>
      <c r="AJ47" s="641"/>
      <c r="AK47" s="11"/>
      <c r="AL47" s="11"/>
      <c r="BC47" s="638"/>
      <c r="BD47" s="733"/>
    </row>
    <row r="48" spans="1:56" ht="12" customHeight="1">
      <c r="A48" s="17"/>
      <c r="B48" s="25" t="s">
        <v>628</v>
      </c>
      <c r="C48" s="25"/>
      <c r="D48" s="25"/>
      <c r="E48" s="25"/>
      <c r="F48" s="25"/>
      <c r="G48" s="25"/>
      <c r="H48" s="25"/>
      <c r="I48" s="25"/>
      <c r="J48" s="25"/>
      <c r="K48" s="25"/>
      <c r="L48" s="25"/>
      <c r="M48" s="25"/>
      <c r="N48" s="25"/>
      <c r="O48" s="25"/>
      <c r="P48" s="25"/>
      <c r="Q48" s="25"/>
      <c r="R48" s="25"/>
      <c r="S48" s="25"/>
      <c r="T48" s="25"/>
      <c r="U48" s="25"/>
      <c r="V48" s="25"/>
      <c r="W48" s="25"/>
      <c r="X48" s="25"/>
      <c r="Y48" s="25"/>
      <c r="Z48" s="25"/>
      <c r="AB48" s="733"/>
      <c r="AC48" s="642" t="s">
        <v>674</v>
      </c>
      <c r="AD48" s="11"/>
      <c r="AE48" s="11"/>
      <c r="AF48" s="11"/>
      <c r="AG48" s="11"/>
      <c r="AH48" s="11"/>
      <c r="AI48" s="11"/>
      <c r="AJ48" s="11"/>
      <c r="AK48" s="11"/>
      <c r="AL48" s="11"/>
      <c r="BC48" s="638"/>
      <c r="BD48" s="733"/>
    </row>
    <row r="49" spans="1:56" ht="12" customHeight="1">
      <c r="A49" s="17"/>
      <c r="B49" s="25" t="s">
        <v>639</v>
      </c>
      <c r="C49" s="25"/>
      <c r="D49" s="25"/>
      <c r="E49" s="25"/>
      <c r="F49" s="25"/>
      <c r="G49" s="25"/>
      <c r="H49" s="25"/>
      <c r="I49" s="25"/>
      <c r="J49" s="25"/>
      <c r="K49" s="25"/>
      <c r="L49" s="25"/>
      <c r="M49" s="25"/>
      <c r="N49" s="25"/>
      <c r="O49" s="25"/>
      <c r="P49" s="25"/>
      <c r="Q49" s="25"/>
      <c r="R49" s="25"/>
      <c r="S49" s="25"/>
      <c r="T49" s="25"/>
      <c r="U49" s="25"/>
      <c r="V49" s="25"/>
      <c r="W49" s="25"/>
      <c r="X49" s="25"/>
      <c r="Y49" s="25"/>
      <c r="Z49" s="25"/>
      <c r="AB49" s="733"/>
      <c r="AC49" s="11" t="s">
        <v>675</v>
      </c>
      <c r="AD49" s="11"/>
      <c r="AE49" s="11"/>
      <c r="AF49" s="11"/>
      <c r="AG49" s="11"/>
      <c r="AH49" s="11"/>
      <c r="AI49" s="11"/>
      <c r="AJ49" s="11"/>
      <c r="AK49" s="11"/>
      <c r="AL49" s="11"/>
      <c r="BC49" s="638"/>
      <c r="BD49" s="733"/>
    </row>
    <row r="50" spans="1:56" ht="12" customHeight="1">
      <c r="A50" s="17"/>
      <c r="B50" s="25" t="s">
        <v>640</v>
      </c>
      <c r="C50" s="456"/>
      <c r="D50" s="25"/>
      <c r="E50" s="25"/>
      <c r="F50" s="25"/>
      <c r="G50" s="25"/>
      <c r="H50" s="25"/>
      <c r="I50" s="25"/>
      <c r="J50" s="25"/>
      <c r="K50" s="25"/>
      <c r="L50" s="25"/>
      <c r="M50" s="25"/>
      <c r="N50" s="25"/>
      <c r="O50" s="25"/>
      <c r="P50" s="25"/>
      <c r="Q50" s="25"/>
      <c r="R50" s="25"/>
      <c r="S50" s="25"/>
      <c r="T50" s="25"/>
      <c r="U50" s="25"/>
      <c r="V50" s="25"/>
      <c r="W50" s="25"/>
      <c r="X50" s="25"/>
      <c r="Y50" s="25"/>
      <c r="Z50" s="25"/>
      <c r="AB50" s="733"/>
      <c r="AC50" s="11" t="s">
        <v>676</v>
      </c>
      <c r="AD50" s="11"/>
      <c r="AE50" s="11"/>
      <c r="AF50" s="11"/>
      <c r="AG50" s="11"/>
      <c r="AH50" s="11"/>
      <c r="AI50" s="11"/>
      <c r="AJ50" s="11"/>
      <c r="AK50" s="11"/>
      <c r="AL50" s="11"/>
      <c r="BC50" s="638"/>
      <c r="BD50" s="733"/>
    </row>
    <row r="51" spans="1:56" ht="12" customHeight="1">
      <c r="A51" s="17"/>
      <c r="B51" s="25" t="s">
        <v>641</v>
      </c>
      <c r="C51" s="456"/>
      <c r="D51" s="25"/>
      <c r="E51" s="25"/>
      <c r="F51" s="25"/>
      <c r="G51" s="25"/>
      <c r="H51" s="25"/>
      <c r="I51" s="25"/>
      <c r="J51" s="25"/>
      <c r="K51" s="25"/>
      <c r="L51" s="25"/>
      <c r="M51" s="25"/>
      <c r="N51" s="25"/>
      <c r="O51" s="25"/>
      <c r="P51" s="25"/>
      <c r="Q51" s="25"/>
      <c r="R51" s="25"/>
      <c r="S51" s="25"/>
      <c r="T51" s="25"/>
      <c r="U51" s="25"/>
      <c r="V51" s="25"/>
      <c r="W51" s="25"/>
      <c r="X51" s="25"/>
      <c r="Y51" s="25"/>
      <c r="Z51" s="25"/>
      <c r="AB51" s="733"/>
      <c r="AC51" s="11" t="s">
        <v>677</v>
      </c>
      <c r="AD51" s="11"/>
      <c r="AE51" s="11"/>
      <c r="AF51" s="11"/>
      <c r="AG51" s="11"/>
      <c r="AH51" s="11"/>
      <c r="AI51" s="11"/>
      <c r="AJ51" s="11"/>
      <c r="AK51" s="11"/>
      <c r="AL51" s="11"/>
      <c r="BC51" s="638"/>
      <c r="BD51" s="733"/>
    </row>
    <row r="52" spans="1:56" ht="12" customHeight="1">
      <c r="A52" s="17"/>
      <c r="B52" s="25" t="s">
        <v>643</v>
      </c>
      <c r="C52" s="456"/>
      <c r="D52" s="25"/>
      <c r="E52" s="25"/>
      <c r="F52" s="25"/>
      <c r="G52" s="25"/>
      <c r="H52" s="25"/>
      <c r="I52" s="25"/>
      <c r="J52" s="25"/>
      <c r="K52" s="25"/>
      <c r="L52" s="25"/>
      <c r="M52" s="25"/>
      <c r="N52" s="25"/>
      <c r="O52" s="25"/>
      <c r="P52" s="25"/>
      <c r="Q52" s="25"/>
      <c r="R52" s="25"/>
      <c r="S52" s="25"/>
      <c r="T52" s="25"/>
      <c r="U52" s="25"/>
      <c r="V52" s="25"/>
      <c r="W52" s="25"/>
      <c r="X52" s="25"/>
      <c r="Y52" s="25"/>
      <c r="Z52" s="25"/>
      <c r="AB52" s="733"/>
      <c r="AC52" s="640" t="s">
        <v>395</v>
      </c>
      <c r="AD52" s="11"/>
      <c r="AE52" s="11"/>
      <c r="AF52" s="11"/>
      <c r="AG52" s="11"/>
      <c r="AH52" s="11"/>
      <c r="AI52" s="11"/>
      <c r="AJ52" s="11"/>
      <c r="AK52" s="11"/>
      <c r="AL52" s="11"/>
      <c r="BC52" s="638"/>
      <c r="BD52" s="733"/>
    </row>
    <row r="53" spans="1:56" ht="12" customHeight="1">
      <c r="A53" s="17"/>
      <c r="B53" s="25" t="s">
        <v>642</v>
      </c>
      <c r="C53" s="456"/>
      <c r="D53" s="25"/>
      <c r="E53" s="25"/>
      <c r="F53" s="25"/>
      <c r="G53" s="25"/>
      <c r="H53" s="25"/>
      <c r="I53" s="25"/>
      <c r="J53" s="25"/>
      <c r="K53" s="25"/>
      <c r="L53" s="25"/>
      <c r="M53" s="25"/>
      <c r="N53" s="25"/>
      <c r="O53" s="25"/>
      <c r="P53" s="25"/>
      <c r="Q53" s="25"/>
      <c r="R53" s="25"/>
      <c r="S53" s="25"/>
      <c r="T53" s="25"/>
      <c r="U53" s="25"/>
      <c r="V53" s="25"/>
      <c r="W53" s="25"/>
      <c r="X53" s="25"/>
      <c r="Y53" s="25"/>
      <c r="Z53" s="25"/>
      <c r="AB53" s="733"/>
      <c r="AC53" s="11" t="s">
        <v>396</v>
      </c>
      <c r="AD53" s="11"/>
      <c r="AE53" s="11"/>
      <c r="AF53" s="11"/>
      <c r="AG53" s="11"/>
      <c r="AH53" s="11"/>
      <c r="AI53" s="11"/>
      <c r="AJ53" s="11"/>
      <c r="AK53" s="11"/>
      <c r="AL53" s="11"/>
      <c r="BC53" s="638"/>
      <c r="BD53" s="733"/>
    </row>
    <row r="54" spans="1:56" ht="12" customHeight="1">
      <c r="A54" s="17"/>
      <c r="B54" s="25"/>
      <c r="C54" s="456"/>
      <c r="D54" s="25"/>
      <c r="E54" s="25"/>
      <c r="F54" s="25"/>
      <c r="G54" s="25"/>
      <c r="H54" s="25"/>
      <c r="I54" s="25"/>
      <c r="J54" s="25"/>
      <c r="K54" s="25"/>
      <c r="L54" s="25"/>
      <c r="M54" s="25"/>
      <c r="N54" s="25"/>
      <c r="O54" s="25"/>
      <c r="P54" s="25"/>
      <c r="Q54" s="25"/>
      <c r="R54" s="25"/>
      <c r="S54" s="25"/>
      <c r="T54" s="25"/>
      <c r="U54" s="25"/>
      <c r="V54" s="25"/>
      <c r="W54" s="25"/>
      <c r="X54" s="25"/>
      <c r="Y54" s="25"/>
      <c r="Z54" s="25"/>
      <c r="AB54" s="733"/>
      <c r="AC54" s="11" t="s">
        <v>397</v>
      </c>
      <c r="AD54" s="11"/>
      <c r="AE54" s="11"/>
      <c r="AF54" s="11"/>
      <c r="AG54" s="11"/>
      <c r="AH54" s="11"/>
      <c r="AI54" s="11"/>
      <c r="AJ54" s="11"/>
      <c r="AK54" s="11"/>
      <c r="AL54" s="11"/>
      <c r="BC54" s="638"/>
      <c r="BD54" s="733"/>
    </row>
    <row r="55" spans="1:56" ht="12" customHeight="1">
      <c r="A55" s="17"/>
      <c r="B55" s="25" t="s">
        <v>644</v>
      </c>
      <c r="C55" s="25"/>
      <c r="D55" s="25"/>
      <c r="E55" s="25"/>
      <c r="F55" s="25"/>
      <c r="G55" s="25"/>
      <c r="H55" s="25"/>
      <c r="I55" s="25"/>
      <c r="J55" s="25"/>
      <c r="K55" s="25"/>
      <c r="L55" s="25"/>
      <c r="M55" s="25"/>
      <c r="N55" s="25"/>
      <c r="O55" s="25"/>
      <c r="P55" s="25"/>
      <c r="Q55" s="25"/>
      <c r="R55" s="25"/>
      <c r="S55" s="25"/>
      <c r="T55" s="25"/>
      <c r="U55" s="25"/>
      <c r="V55" s="25"/>
      <c r="W55" s="25"/>
      <c r="X55" s="25"/>
      <c r="Y55" s="25"/>
      <c r="Z55" s="25"/>
      <c r="AB55" s="733"/>
      <c r="AC55" s="11" t="s">
        <v>398</v>
      </c>
      <c r="AD55" s="11"/>
      <c r="AE55" s="11"/>
      <c r="AF55" s="11"/>
      <c r="AG55" s="11"/>
      <c r="AH55" s="11"/>
      <c r="AI55" s="11"/>
      <c r="AJ55" s="11"/>
      <c r="AK55" s="11"/>
      <c r="AL55" s="11"/>
      <c r="BC55" s="638"/>
      <c r="BD55" s="733"/>
    </row>
    <row r="56" spans="1:56" ht="12" customHeight="1" thickBot="1">
      <c r="A56" s="17"/>
      <c r="B56" s="25"/>
      <c r="C56" s="456"/>
      <c r="D56" s="25"/>
      <c r="E56" s="25"/>
      <c r="F56" s="25"/>
      <c r="G56" s="25"/>
      <c r="H56" s="25"/>
      <c r="I56" s="25"/>
      <c r="J56" s="25"/>
      <c r="K56" s="25"/>
      <c r="L56" s="25"/>
      <c r="M56" s="25"/>
      <c r="N56" s="25"/>
      <c r="O56" s="25"/>
      <c r="P56" s="25"/>
      <c r="Q56" s="25"/>
      <c r="R56" s="25"/>
      <c r="S56" s="25"/>
      <c r="T56" s="25"/>
      <c r="U56" s="25"/>
      <c r="V56" s="25"/>
      <c r="W56" s="25"/>
      <c r="X56" s="25"/>
      <c r="Y56" s="25"/>
      <c r="Z56" s="25"/>
      <c r="AB56" s="733"/>
      <c r="AC56" s="11" t="s">
        <v>399</v>
      </c>
      <c r="AD56" s="11"/>
      <c r="AE56" s="11"/>
      <c r="AF56" s="11"/>
      <c r="AG56" s="11"/>
      <c r="AH56" s="11"/>
      <c r="AI56" s="11"/>
      <c r="AJ56" s="11"/>
      <c r="AK56" s="11"/>
      <c r="AL56" s="11"/>
      <c r="BC56" s="638"/>
      <c r="BD56" s="733"/>
    </row>
    <row r="57" spans="1:56" ht="12" customHeight="1" thickBot="1">
      <c r="A57" s="17"/>
      <c r="B57" s="455" t="s">
        <v>645</v>
      </c>
      <c r="C57" s="518"/>
      <c r="D57" s="518"/>
      <c r="E57" s="518"/>
      <c r="F57" s="518"/>
      <c r="G57" s="518"/>
      <c r="H57" s="518"/>
      <c r="I57" s="519"/>
      <c r="J57" s="2804" t="s">
        <v>0</v>
      </c>
      <c r="K57" s="2805"/>
      <c r="L57" s="520"/>
      <c r="M57" s="2804" t="s">
        <v>494</v>
      </c>
      <c r="N57" s="2809"/>
      <c r="O57" s="2807">
        <f>10000*1.125</f>
        <v>11250</v>
      </c>
      <c r="P57" s="2808"/>
      <c r="Q57" s="2807">
        <f>10000*1.125</f>
        <v>11250</v>
      </c>
      <c r="R57" s="2808"/>
      <c r="S57" s="2807">
        <f>10000*1.125</f>
        <v>11250</v>
      </c>
      <c r="T57" s="2808"/>
      <c r="U57" s="25"/>
      <c r="V57" s="25"/>
      <c r="W57" s="25"/>
      <c r="X57" s="25"/>
      <c r="Y57" s="25"/>
      <c r="Z57" s="25"/>
      <c r="AB57" s="733"/>
      <c r="AC57" s="11" t="s">
        <v>400</v>
      </c>
      <c r="AD57" s="11"/>
      <c r="AE57" s="11"/>
      <c r="AF57" s="11"/>
      <c r="AG57" s="11"/>
      <c r="AH57" s="11"/>
      <c r="AI57" s="11"/>
      <c r="AJ57" s="11"/>
      <c r="AK57" s="11"/>
      <c r="AL57" s="11"/>
      <c r="BC57" s="638"/>
      <c r="BD57" s="733"/>
    </row>
    <row r="58" spans="1:56" ht="12" customHeight="1">
      <c r="A58" s="17"/>
      <c r="B58" s="456"/>
      <c r="C58" s="456"/>
      <c r="D58" s="25"/>
      <c r="E58" s="25"/>
      <c r="F58" s="25"/>
      <c r="G58" s="25"/>
      <c r="H58" s="25"/>
      <c r="I58" s="25"/>
      <c r="J58" s="25"/>
      <c r="K58" s="25"/>
      <c r="L58" s="25"/>
      <c r="M58" s="25"/>
      <c r="N58" s="25"/>
      <c r="O58" s="25"/>
      <c r="P58" s="25"/>
      <c r="Q58" s="25"/>
      <c r="R58" s="25"/>
      <c r="S58" s="25"/>
      <c r="T58" s="25"/>
      <c r="U58" s="25"/>
      <c r="V58" s="25"/>
      <c r="W58" s="25"/>
      <c r="X58" s="25"/>
      <c r="Y58" s="25"/>
      <c r="Z58" s="25"/>
      <c r="AB58" s="733"/>
      <c r="AC58" s="640" t="s">
        <v>687</v>
      </c>
      <c r="AD58" s="11"/>
      <c r="AE58" s="11"/>
      <c r="AF58" s="11"/>
      <c r="AG58" s="11"/>
      <c r="AH58" s="11"/>
      <c r="AI58" s="11"/>
      <c r="AJ58" s="11"/>
      <c r="AK58" s="11"/>
      <c r="AL58" s="11"/>
      <c r="BC58" s="638"/>
      <c r="BD58" s="733"/>
    </row>
    <row r="59" spans="1:56" ht="12" customHeight="1">
      <c r="A59" s="13"/>
      <c r="B59" s="30" t="s">
        <v>646</v>
      </c>
      <c r="C59" s="456"/>
      <c r="D59" s="25"/>
      <c r="E59" s="25"/>
      <c r="F59" s="25"/>
      <c r="G59" s="25"/>
      <c r="H59" s="25"/>
      <c r="I59" s="25"/>
      <c r="J59" s="25"/>
      <c r="K59" s="25"/>
      <c r="L59" s="25"/>
      <c r="M59" s="25"/>
      <c r="N59" s="25"/>
      <c r="O59" s="25"/>
      <c r="P59" s="25"/>
      <c r="Q59" s="25"/>
      <c r="R59" s="25"/>
      <c r="S59" s="25"/>
      <c r="T59" s="25"/>
      <c r="U59" s="25"/>
      <c r="V59" s="25"/>
      <c r="W59" s="25"/>
      <c r="X59" s="25"/>
      <c r="Y59" s="25"/>
      <c r="Z59" s="25"/>
      <c r="AB59" s="733"/>
      <c r="AC59" s="11" t="s">
        <v>688</v>
      </c>
      <c r="AD59" s="11"/>
      <c r="AE59" s="11"/>
      <c r="AF59" s="11"/>
      <c r="AG59" s="11"/>
      <c r="AH59" s="11"/>
      <c r="AI59" s="11"/>
      <c r="AJ59" s="11"/>
      <c r="AK59" s="11"/>
      <c r="AL59" s="11"/>
      <c r="BC59" s="638"/>
      <c r="BD59" s="733"/>
    </row>
    <row r="60" spans="1:56" ht="12" customHeight="1">
      <c r="A60" s="13"/>
      <c r="B60" s="23" t="s">
        <v>651</v>
      </c>
      <c r="C60" s="3"/>
      <c r="D60" s="3"/>
      <c r="E60" s="3"/>
      <c r="F60" s="3"/>
      <c r="G60" s="3"/>
      <c r="H60" s="3"/>
      <c r="I60" s="3"/>
      <c r="J60" s="3"/>
      <c r="K60" s="3"/>
      <c r="L60" s="3"/>
      <c r="M60" s="3"/>
      <c r="N60" s="3"/>
      <c r="O60" s="3"/>
      <c r="P60" s="3"/>
      <c r="Q60" s="3"/>
      <c r="R60" s="3"/>
      <c r="S60" s="3"/>
      <c r="T60" s="3"/>
      <c r="U60" s="3"/>
      <c r="V60" s="3"/>
      <c r="W60" s="3"/>
      <c r="X60" s="3"/>
      <c r="Y60" s="3"/>
      <c r="Z60" s="3"/>
      <c r="AB60" s="733"/>
      <c r="AC60" s="408"/>
      <c r="AD60" s="408"/>
      <c r="AE60" s="408"/>
      <c r="AF60" s="408"/>
      <c r="AG60" s="408"/>
      <c r="AH60" s="408"/>
      <c r="AI60" s="408"/>
      <c r="AJ60" s="408"/>
      <c r="AK60" s="408"/>
      <c r="AL60" s="408"/>
      <c r="BC60" s="638"/>
      <c r="BD60" s="733"/>
    </row>
    <row r="61" spans="1:56" ht="12" customHeight="1">
      <c r="A61" s="13"/>
      <c r="B61" s="3" t="s">
        <v>650</v>
      </c>
      <c r="C61" s="3"/>
      <c r="D61" s="3"/>
      <c r="E61" s="3"/>
      <c r="F61" s="3"/>
      <c r="G61" s="3"/>
      <c r="H61" s="3"/>
      <c r="I61" s="3"/>
      <c r="J61" s="3"/>
      <c r="K61" s="3"/>
      <c r="L61" s="3"/>
      <c r="M61" s="3"/>
      <c r="N61" s="3"/>
      <c r="O61" s="3"/>
      <c r="P61" s="3"/>
      <c r="Q61" s="3"/>
      <c r="R61" s="3"/>
      <c r="S61" s="3"/>
      <c r="T61" s="3"/>
      <c r="U61" s="3"/>
      <c r="V61" s="3"/>
      <c r="W61" s="3"/>
      <c r="X61" s="3"/>
      <c r="Y61" s="3"/>
      <c r="Z61" s="3"/>
      <c r="AB61" s="733"/>
      <c r="AC61" s="643" t="s">
        <v>662</v>
      </c>
      <c r="AD61" s="408"/>
      <c r="AE61" s="408"/>
      <c r="AF61" s="408"/>
      <c r="AG61" s="408"/>
      <c r="AH61" s="408"/>
      <c r="AI61" s="408"/>
      <c r="AJ61" s="408"/>
      <c r="AK61" s="408"/>
      <c r="AL61" s="408"/>
      <c r="BC61" s="638"/>
      <c r="BD61" s="733"/>
    </row>
    <row r="62" spans="1:56" ht="12" customHeight="1">
      <c r="A62" s="13"/>
      <c r="B62" s="3"/>
      <c r="C62" s="3"/>
      <c r="D62" s="3"/>
      <c r="E62" s="3"/>
      <c r="F62" s="3"/>
      <c r="G62" s="3"/>
      <c r="H62" s="3"/>
      <c r="I62" s="3"/>
      <c r="J62" s="3"/>
      <c r="K62" s="3"/>
      <c r="L62" s="3"/>
      <c r="M62" s="3"/>
      <c r="N62" s="3"/>
      <c r="O62" s="3"/>
      <c r="P62" s="3"/>
      <c r="Q62" s="3"/>
      <c r="R62" s="3"/>
      <c r="S62" s="3"/>
      <c r="T62" s="3"/>
      <c r="U62" s="3"/>
      <c r="V62" s="3"/>
      <c r="W62" s="3"/>
      <c r="X62" s="3"/>
      <c r="Y62" s="3"/>
      <c r="Z62" s="3"/>
      <c r="AB62" s="733"/>
      <c r="AC62" s="408" t="s">
        <v>656</v>
      </c>
      <c r="AD62" s="408"/>
      <c r="AE62" s="408"/>
      <c r="AF62" s="408"/>
      <c r="AG62" s="408"/>
      <c r="AH62" s="408"/>
      <c r="AI62" s="408"/>
      <c r="AJ62" s="408"/>
      <c r="AK62" s="408"/>
      <c r="AL62" s="408"/>
      <c r="BC62" s="638"/>
      <c r="BD62" s="733"/>
    </row>
    <row r="63" spans="1:56" ht="12" customHeight="1">
      <c r="A63" s="13"/>
      <c r="B63" s="25" t="s">
        <v>647</v>
      </c>
      <c r="C63" s="3"/>
      <c r="D63" s="3"/>
      <c r="E63" s="3"/>
      <c r="F63" s="3"/>
      <c r="G63" s="3"/>
      <c r="H63" s="3"/>
      <c r="I63" s="3"/>
      <c r="J63" s="3"/>
      <c r="K63" s="3"/>
      <c r="L63" s="3"/>
      <c r="M63" s="3"/>
      <c r="N63" s="3"/>
      <c r="O63" s="3"/>
      <c r="P63" s="3"/>
      <c r="Q63" s="3"/>
      <c r="R63" s="3"/>
      <c r="S63" s="3"/>
      <c r="T63" s="3"/>
      <c r="U63" s="3"/>
      <c r="V63" s="3"/>
      <c r="W63" s="3"/>
      <c r="X63" s="3"/>
      <c r="Y63" s="3"/>
      <c r="Z63" s="3"/>
      <c r="AB63" s="733"/>
      <c r="AC63" s="11" t="s">
        <v>657</v>
      </c>
      <c r="AD63" s="408"/>
      <c r="AE63" s="408"/>
      <c r="AF63" s="408"/>
      <c r="AG63" s="408"/>
      <c r="AH63" s="408"/>
      <c r="AI63" s="408"/>
      <c r="AJ63" s="408"/>
      <c r="AK63" s="408"/>
      <c r="AL63" s="408"/>
      <c r="BC63" s="638"/>
      <c r="BD63" s="733"/>
    </row>
    <row r="64" spans="1:56" ht="12" customHeight="1">
      <c r="A64" s="13"/>
      <c r="B64" s="25" t="s">
        <v>648</v>
      </c>
      <c r="C64" s="3"/>
      <c r="D64" s="3"/>
      <c r="E64" s="3"/>
      <c r="F64" s="3"/>
      <c r="G64" s="3"/>
      <c r="H64" s="3"/>
      <c r="I64" s="3"/>
      <c r="J64" s="3"/>
      <c r="K64" s="3"/>
      <c r="L64" s="3"/>
      <c r="M64" s="3"/>
      <c r="N64" s="3"/>
      <c r="O64" s="3"/>
      <c r="P64" s="3"/>
      <c r="Q64" s="3"/>
      <c r="R64" s="3"/>
      <c r="S64" s="3"/>
      <c r="T64" s="3"/>
      <c r="U64" s="3"/>
      <c r="V64" s="3"/>
      <c r="W64" s="3"/>
      <c r="X64" s="3"/>
      <c r="Y64" s="3"/>
      <c r="Z64" s="3"/>
      <c r="AB64" s="733"/>
      <c r="AC64" s="11" t="s">
        <v>659</v>
      </c>
      <c r="AD64" s="408"/>
      <c r="AE64" s="408"/>
      <c r="AF64" s="408"/>
      <c r="AG64" s="408"/>
      <c r="AH64" s="408"/>
      <c r="AI64" s="408"/>
      <c r="AJ64" s="408"/>
      <c r="AK64" s="408"/>
      <c r="AL64" s="408"/>
      <c r="BC64" s="638"/>
      <c r="BD64" s="733"/>
    </row>
    <row r="65" spans="1:56" ht="12" customHeight="1">
      <c r="A65" s="13"/>
      <c r="B65" s="25" t="s">
        <v>649</v>
      </c>
      <c r="C65" s="3"/>
      <c r="D65" s="3"/>
      <c r="E65" s="3"/>
      <c r="F65" s="3"/>
      <c r="G65" s="3"/>
      <c r="H65" s="3"/>
      <c r="I65" s="3"/>
      <c r="J65" s="3"/>
      <c r="K65" s="3"/>
      <c r="L65" s="3"/>
      <c r="M65" s="3"/>
      <c r="N65" s="3"/>
      <c r="O65" s="3"/>
      <c r="P65" s="3"/>
      <c r="Q65" s="3"/>
      <c r="R65" s="3"/>
      <c r="S65" s="3"/>
      <c r="T65" s="3"/>
      <c r="U65" s="3"/>
      <c r="V65" s="3"/>
      <c r="W65" s="3"/>
      <c r="X65" s="3"/>
      <c r="Y65" s="3"/>
      <c r="Z65" s="3"/>
      <c r="AB65" s="733"/>
      <c r="AC65" s="11" t="s">
        <v>660</v>
      </c>
      <c r="AD65" s="11"/>
      <c r="AE65" s="11"/>
      <c r="AF65" s="11"/>
      <c r="AG65" s="11"/>
      <c r="AH65" s="11"/>
      <c r="AI65" s="11"/>
      <c r="AJ65" s="11"/>
      <c r="AK65" s="11"/>
      <c r="AL65" s="11"/>
      <c r="BC65" s="638"/>
      <c r="BD65" s="733"/>
    </row>
    <row r="66" spans="1:56" ht="12" customHeight="1">
      <c r="A66" s="13"/>
      <c r="B66" s="25" t="s">
        <v>652</v>
      </c>
      <c r="C66" s="3"/>
      <c r="D66" s="3"/>
      <c r="E66" s="3"/>
      <c r="F66" s="3"/>
      <c r="G66" s="3"/>
      <c r="H66" s="3"/>
      <c r="I66" s="3"/>
      <c r="J66" s="3"/>
      <c r="K66" s="3"/>
      <c r="L66" s="3"/>
      <c r="M66" s="3"/>
      <c r="N66" s="3"/>
      <c r="O66" s="3"/>
      <c r="P66" s="3"/>
      <c r="Q66" s="34" t="s">
        <v>653</v>
      </c>
      <c r="R66" s="34"/>
      <c r="S66" s="34"/>
      <c r="T66" s="34"/>
      <c r="U66" s="34"/>
      <c r="V66" s="34"/>
      <c r="W66" s="3"/>
      <c r="X66" s="3"/>
      <c r="Y66" s="3"/>
      <c r="Z66" s="3"/>
      <c r="AB66" s="733"/>
      <c r="AC66" s="11" t="s">
        <v>661</v>
      </c>
      <c r="AD66" s="11"/>
      <c r="AE66" s="11"/>
      <c r="AF66" s="11"/>
      <c r="AG66" s="11"/>
      <c r="AH66" s="11"/>
      <c r="AI66" s="11"/>
      <c r="AJ66" s="11"/>
      <c r="AK66" s="11"/>
      <c r="AL66" s="11"/>
      <c r="BC66" s="638"/>
      <c r="BD66" s="733"/>
    </row>
    <row r="67" spans="1:56" ht="12" customHeight="1">
      <c r="A67" s="13"/>
      <c r="B67" s="25" t="s">
        <v>819</v>
      </c>
      <c r="C67" s="3"/>
      <c r="D67" s="3"/>
      <c r="E67" s="3"/>
      <c r="F67" s="3"/>
      <c r="G67" s="3"/>
      <c r="H67" s="3"/>
      <c r="I67" s="3"/>
      <c r="J67" s="3"/>
      <c r="K67" s="3"/>
      <c r="L67" s="3"/>
      <c r="M67" s="3"/>
      <c r="N67" s="3"/>
      <c r="O67" s="3"/>
      <c r="P67" s="3"/>
      <c r="Q67" s="3"/>
      <c r="R67" s="3"/>
      <c r="S67" s="3"/>
      <c r="T67" s="3"/>
      <c r="U67" s="3"/>
      <c r="V67" s="3"/>
      <c r="W67" s="3"/>
      <c r="X67" s="3"/>
      <c r="Y67" s="3"/>
      <c r="Z67" s="3"/>
      <c r="AB67" s="733"/>
      <c r="AC67" s="408"/>
      <c r="AD67" s="408"/>
      <c r="AE67" s="408"/>
      <c r="AF67" s="408"/>
      <c r="AG67" s="408"/>
      <c r="AH67" s="408"/>
      <c r="AI67" s="408"/>
      <c r="AJ67" s="408"/>
      <c r="AK67" s="408"/>
      <c r="AL67" s="408"/>
      <c r="BC67" s="638"/>
      <c r="BD67" s="733"/>
    </row>
    <row r="68" spans="1:56" ht="12" customHeight="1">
      <c r="A68" s="13"/>
      <c r="B68" s="521"/>
      <c r="C68" s="3"/>
      <c r="D68" s="3"/>
      <c r="E68" s="3"/>
      <c r="F68" s="3"/>
      <c r="G68" s="3"/>
      <c r="H68" s="3"/>
      <c r="I68" s="3"/>
      <c r="J68" s="3"/>
      <c r="K68" s="3"/>
      <c r="L68" s="3"/>
      <c r="M68" s="3"/>
      <c r="N68" s="3"/>
      <c r="O68" s="3"/>
      <c r="P68" s="3"/>
      <c r="Q68" s="3"/>
      <c r="R68" s="3"/>
      <c r="S68" s="3"/>
      <c r="T68" s="3"/>
      <c r="U68" s="3"/>
      <c r="V68" s="3"/>
      <c r="W68" s="3"/>
      <c r="X68" s="3"/>
      <c r="Y68" s="3"/>
      <c r="Z68" s="3"/>
      <c r="AA68" s="943"/>
      <c r="AB68" s="733"/>
      <c r="AC68" s="643" t="s">
        <v>402</v>
      </c>
      <c r="AD68" s="408"/>
      <c r="AE68" s="408"/>
      <c r="AF68" s="408"/>
      <c r="AG68" s="408"/>
      <c r="AH68" s="408"/>
      <c r="AI68" s="408"/>
      <c r="AJ68" s="408"/>
      <c r="AK68" s="408"/>
      <c r="AL68" s="408"/>
      <c r="BC68" s="638"/>
      <c r="BD68" s="733"/>
    </row>
    <row r="69" spans="1:56" ht="12" customHeight="1">
      <c r="A69" s="13"/>
      <c r="B69" s="275" t="s">
        <v>984</v>
      </c>
      <c r="C69" s="25"/>
      <c r="D69" s="3"/>
      <c r="E69" s="3"/>
      <c r="F69" s="3"/>
      <c r="G69" s="3"/>
      <c r="H69" s="3"/>
      <c r="I69" s="3"/>
      <c r="J69" s="3"/>
      <c r="K69" s="3"/>
      <c r="L69" s="3"/>
      <c r="M69" s="3"/>
      <c r="N69" s="3"/>
      <c r="O69" s="3"/>
      <c r="P69" s="3"/>
      <c r="Q69" s="3"/>
      <c r="R69" s="3"/>
      <c r="S69" s="3"/>
      <c r="T69" s="3"/>
      <c r="U69" s="3"/>
      <c r="V69" s="3"/>
      <c r="W69" s="3"/>
      <c r="X69" s="3"/>
      <c r="Y69" s="3"/>
      <c r="Z69" s="3"/>
      <c r="AB69" s="733"/>
      <c r="AC69" s="644" t="s">
        <v>600</v>
      </c>
      <c r="AD69" s="408"/>
      <c r="AE69" s="408"/>
      <c r="AF69" s="408"/>
      <c r="AG69" s="408"/>
      <c r="AH69" s="408"/>
      <c r="AI69" s="408"/>
      <c r="AJ69" s="408"/>
      <c r="AK69" s="408"/>
      <c r="AL69" s="408"/>
      <c r="BC69" s="638"/>
      <c r="BD69" s="733"/>
    </row>
    <row r="70" spans="1:56" ht="12" customHeight="1">
      <c r="A70" s="13"/>
      <c r="B70" s="275" t="s">
        <v>654</v>
      </c>
      <c r="C70" s="25"/>
      <c r="D70" s="3"/>
      <c r="E70" s="3"/>
      <c r="F70" s="3"/>
      <c r="G70" s="3"/>
      <c r="H70" s="3"/>
      <c r="I70" s="3"/>
      <c r="J70" s="3"/>
      <c r="K70" s="3"/>
      <c r="L70" s="3"/>
      <c r="M70" s="3"/>
      <c r="N70" s="3"/>
      <c r="O70" s="3"/>
      <c r="P70" s="3"/>
      <c r="Q70" s="3"/>
      <c r="R70" s="3"/>
      <c r="S70" s="3"/>
      <c r="T70" s="3"/>
      <c r="U70" s="3"/>
      <c r="V70" s="3"/>
      <c r="W70" s="3"/>
      <c r="X70" s="3"/>
      <c r="Y70" s="3"/>
      <c r="Z70" s="3"/>
      <c r="AB70" s="733"/>
      <c r="AC70" s="644" t="s">
        <v>601</v>
      </c>
      <c r="AD70" s="408"/>
      <c r="AE70" s="408"/>
      <c r="AF70" s="408"/>
      <c r="AG70" s="408"/>
      <c r="AH70" s="408"/>
      <c r="AI70" s="408"/>
      <c r="AJ70" s="408"/>
      <c r="AK70" s="408"/>
      <c r="AL70" s="408"/>
      <c r="BC70" s="638"/>
      <c r="BD70" s="733"/>
    </row>
    <row r="71" spans="1:56" ht="12" customHeight="1">
      <c r="A71" s="13"/>
      <c r="B71" s="275" t="s">
        <v>655</v>
      </c>
      <c r="C71" s="25"/>
      <c r="D71" s="3"/>
      <c r="E71" s="3"/>
      <c r="F71" s="3"/>
      <c r="G71" s="3"/>
      <c r="H71" s="3"/>
      <c r="I71" s="3"/>
      <c r="J71" s="3"/>
      <c r="K71" s="3"/>
      <c r="L71" s="3"/>
      <c r="M71" s="3"/>
      <c r="N71" s="3"/>
      <c r="O71" s="3"/>
      <c r="P71" s="3"/>
      <c r="Q71" s="3"/>
      <c r="R71" s="3"/>
      <c r="S71" s="3"/>
      <c r="T71" s="3"/>
      <c r="U71" s="3"/>
      <c r="V71" s="3"/>
      <c r="W71" s="3"/>
      <c r="X71" s="3"/>
      <c r="Y71" s="3"/>
      <c r="Z71" s="3"/>
      <c r="AB71" s="733"/>
      <c r="AC71" s="644" t="s">
        <v>403</v>
      </c>
      <c r="AD71" s="408"/>
      <c r="AE71" s="408"/>
      <c r="AF71" s="408"/>
      <c r="AG71" s="408"/>
      <c r="AH71" s="408"/>
      <c r="AI71" s="408"/>
      <c r="AJ71" s="408"/>
      <c r="AK71" s="408"/>
      <c r="AL71" s="408"/>
      <c r="BC71" s="638"/>
      <c r="BD71" s="733"/>
    </row>
    <row r="72" spans="1:56" ht="12" customHeight="1">
      <c r="A72" s="13"/>
      <c r="B72" s="25"/>
      <c r="C72" s="25"/>
      <c r="D72" s="3"/>
      <c r="E72" s="3"/>
      <c r="F72" s="3"/>
      <c r="G72" s="3"/>
      <c r="H72" s="3"/>
      <c r="I72" s="3"/>
      <c r="J72" s="3"/>
      <c r="K72" s="3"/>
      <c r="L72" s="3"/>
      <c r="M72" s="3"/>
      <c r="N72" s="3"/>
      <c r="O72" s="3"/>
      <c r="P72" s="3"/>
      <c r="Q72" s="3"/>
      <c r="R72" s="3"/>
      <c r="S72" s="3"/>
      <c r="T72" s="3"/>
      <c r="U72" s="3"/>
      <c r="V72" s="3"/>
      <c r="W72" s="3"/>
      <c r="X72" s="3"/>
      <c r="Y72" s="3"/>
      <c r="Z72" s="3"/>
      <c r="AA72" s="811"/>
      <c r="AB72" s="733"/>
      <c r="AC72" s="11" t="s">
        <v>404</v>
      </c>
      <c r="AD72" s="11"/>
      <c r="AE72" s="11"/>
      <c r="AF72" s="11"/>
      <c r="AG72" s="11"/>
      <c r="AH72" s="11"/>
      <c r="AI72" s="11"/>
      <c r="AJ72" s="11"/>
      <c r="AK72" s="11"/>
      <c r="AL72" s="11"/>
      <c r="BC72" s="638"/>
      <c r="BD72" s="733"/>
    </row>
    <row r="73" spans="1:56" ht="12" customHeight="1">
      <c r="A73" s="17"/>
      <c r="B73" s="717" t="s">
        <v>679</v>
      </c>
      <c r="C73" s="715"/>
      <c r="D73" s="715"/>
      <c r="E73" s="715"/>
      <c r="F73" s="715"/>
      <c r="G73" s="715"/>
      <c r="H73" s="715"/>
      <c r="I73" s="715"/>
      <c r="J73" s="715"/>
      <c r="K73" s="715"/>
      <c r="L73" s="715"/>
      <c r="M73" s="715"/>
      <c r="N73" s="715"/>
      <c r="O73" s="715"/>
      <c r="P73" s="715"/>
      <c r="Q73" s="715"/>
      <c r="R73" s="715"/>
      <c r="S73" s="715"/>
      <c r="T73" s="715"/>
      <c r="U73" s="715"/>
      <c r="V73" s="715"/>
      <c r="W73" s="715"/>
      <c r="X73" s="715"/>
      <c r="Y73" s="715"/>
      <c r="Z73" s="715"/>
      <c r="AB73" s="733"/>
      <c r="AC73" s="11"/>
      <c r="AD73" s="11"/>
      <c r="AE73" s="11"/>
      <c r="AF73" s="11"/>
      <c r="AG73" s="11"/>
      <c r="AH73" s="11"/>
      <c r="AI73" s="11"/>
      <c r="AJ73" s="11"/>
      <c r="AK73" s="11"/>
      <c r="AL73" s="11"/>
      <c r="BC73" s="638"/>
      <c r="BD73" s="733"/>
    </row>
    <row r="74" spans="1:56" ht="12" customHeight="1">
      <c r="A74" s="17"/>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B74" s="733"/>
      <c r="AC74" s="644" t="s">
        <v>689</v>
      </c>
      <c r="AD74" s="11"/>
      <c r="AE74" s="11"/>
      <c r="AF74" s="11"/>
      <c r="AG74" s="11"/>
      <c r="AH74" s="11"/>
      <c r="AI74" s="11"/>
      <c r="AJ74" s="11"/>
      <c r="AK74" s="11"/>
      <c r="AL74" s="11"/>
      <c r="BC74" s="638"/>
      <c r="BD74" s="733"/>
    </row>
    <row r="75" spans="1:56" ht="12" customHeight="1">
      <c r="A75" s="17"/>
      <c r="B75" s="30" t="s">
        <v>6</v>
      </c>
      <c r="C75" s="25"/>
      <c r="D75" s="25"/>
      <c r="E75" s="25"/>
      <c r="F75" s="25"/>
      <c r="G75" s="25"/>
      <c r="H75" s="25"/>
      <c r="I75" s="25"/>
      <c r="J75" s="25"/>
      <c r="K75" s="25"/>
      <c r="L75" s="25"/>
      <c r="M75" s="25"/>
      <c r="N75" s="25"/>
      <c r="O75" s="25"/>
      <c r="P75" s="25"/>
      <c r="Q75" s="25"/>
      <c r="R75" s="25"/>
      <c r="S75" s="25"/>
      <c r="T75" s="25"/>
      <c r="U75" s="25"/>
      <c r="V75" s="25"/>
      <c r="W75" s="25"/>
      <c r="X75" s="25"/>
      <c r="Y75" s="25"/>
      <c r="Z75" s="25"/>
      <c r="AB75" s="733"/>
      <c r="AC75" s="644" t="s">
        <v>690</v>
      </c>
      <c r="AD75" s="11"/>
      <c r="AE75" s="11"/>
      <c r="AF75" s="11"/>
      <c r="AG75" s="11"/>
      <c r="AH75" s="11"/>
      <c r="AI75" s="11"/>
      <c r="AJ75" s="11"/>
      <c r="AK75" s="11"/>
      <c r="AL75" s="11"/>
      <c r="BC75" s="638"/>
      <c r="BD75" s="733"/>
    </row>
    <row r="76" spans="1:56" ht="12" customHeight="1">
      <c r="A76" s="17"/>
      <c r="B76" s="1761" t="s">
        <v>69</v>
      </c>
      <c r="C76" s="83"/>
      <c r="D76" s="83"/>
      <c r="E76" s="83"/>
      <c r="F76" s="83"/>
      <c r="G76" s="83"/>
      <c r="H76" s="83"/>
      <c r="I76" s="83"/>
      <c r="J76" s="83"/>
      <c r="K76" s="83"/>
      <c r="L76" s="83"/>
      <c r="M76" s="83"/>
      <c r="N76" s="83"/>
      <c r="O76" s="83"/>
      <c r="P76" s="83"/>
      <c r="Q76" s="83"/>
      <c r="R76" s="83"/>
      <c r="S76" s="83"/>
      <c r="T76" s="83"/>
      <c r="U76" s="83"/>
      <c r="V76" s="83"/>
      <c r="W76" s="83"/>
      <c r="X76" s="83"/>
      <c r="Y76" s="83"/>
      <c r="Z76" s="84"/>
      <c r="AB76" s="733"/>
      <c r="AC76" s="644" t="s">
        <v>691</v>
      </c>
      <c r="AD76" s="11"/>
      <c r="AE76" s="11"/>
      <c r="AF76" s="11"/>
      <c r="AG76" s="11"/>
      <c r="AH76" s="11"/>
      <c r="AI76" s="11"/>
      <c r="AJ76" s="11"/>
      <c r="AK76" s="11"/>
      <c r="AL76" s="11"/>
      <c r="BC76" s="638"/>
      <c r="BD76" s="733"/>
    </row>
    <row r="77" spans="1:56" ht="12" customHeight="1">
      <c r="A77" s="17"/>
      <c r="B77" s="659" t="s">
        <v>70</v>
      </c>
      <c r="C77" s="85"/>
      <c r="D77" s="85"/>
      <c r="E77" s="85"/>
      <c r="F77" s="85"/>
      <c r="G77" s="85"/>
      <c r="H77" s="85"/>
      <c r="I77" s="85"/>
      <c r="J77" s="85"/>
      <c r="K77" s="85"/>
      <c r="L77" s="85"/>
      <c r="M77" s="85"/>
      <c r="N77" s="85"/>
      <c r="O77" s="85"/>
      <c r="P77" s="85"/>
      <c r="Q77" s="85"/>
      <c r="R77" s="85"/>
      <c r="S77" s="85"/>
      <c r="T77" s="85"/>
      <c r="U77" s="85"/>
      <c r="V77" s="85"/>
      <c r="W77" s="85"/>
      <c r="X77" s="85"/>
      <c r="Y77" s="85"/>
      <c r="Z77" s="86"/>
      <c r="AB77" s="733"/>
      <c r="AC77" s="644" t="s">
        <v>602</v>
      </c>
      <c r="AD77" s="11"/>
      <c r="AE77" s="11"/>
      <c r="AF77" s="11"/>
      <c r="AG77" s="11"/>
      <c r="AH77" s="11"/>
      <c r="AI77" s="11"/>
      <c r="AJ77" s="11"/>
      <c r="AK77" s="11"/>
      <c r="AL77" s="11"/>
      <c r="BC77" s="638"/>
      <c r="BD77" s="733"/>
    </row>
    <row r="78" spans="1:56" ht="12" customHeight="1">
      <c r="A78" s="17"/>
      <c r="B78" s="659" t="s">
        <v>71</v>
      </c>
      <c r="C78" s="85"/>
      <c r="D78" s="85"/>
      <c r="E78" s="85"/>
      <c r="F78" s="85"/>
      <c r="G78" s="85"/>
      <c r="H78" s="85"/>
      <c r="I78" s="85"/>
      <c r="J78" s="85"/>
      <c r="K78" s="85"/>
      <c r="L78" s="85"/>
      <c r="M78" s="85"/>
      <c r="N78" s="85"/>
      <c r="O78" s="85"/>
      <c r="P78" s="85"/>
      <c r="Q78" s="85"/>
      <c r="R78" s="85"/>
      <c r="S78" s="85"/>
      <c r="T78" s="85"/>
      <c r="U78" s="85"/>
      <c r="V78" s="85"/>
      <c r="W78" s="85"/>
      <c r="X78" s="85"/>
      <c r="Y78" s="85"/>
      <c r="Z78" s="86"/>
      <c r="AB78" s="733"/>
      <c r="AC78" s="644" t="s">
        <v>692</v>
      </c>
      <c r="AD78" s="11"/>
      <c r="AE78" s="11"/>
      <c r="AF78" s="11"/>
      <c r="AG78" s="11"/>
      <c r="AH78" s="11"/>
      <c r="AI78" s="11"/>
      <c r="AJ78" s="11"/>
      <c r="AK78" s="11"/>
      <c r="AL78" s="11"/>
      <c r="BC78" s="638"/>
      <c r="BD78" s="733"/>
    </row>
    <row r="79" spans="1:56" ht="12" customHeight="1">
      <c r="A79" s="17"/>
      <c r="B79" s="659"/>
      <c r="C79" s="85"/>
      <c r="D79" s="85"/>
      <c r="E79" s="85"/>
      <c r="F79" s="85"/>
      <c r="G79" s="85"/>
      <c r="H79" s="85"/>
      <c r="I79" s="85"/>
      <c r="J79" s="85"/>
      <c r="K79" s="85"/>
      <c r="L79" s="85"/>
      <c r="M79" s="85"/>
      <c r="N79" s="85"/>
      <c r="O79" s="85"/>
      <c r="P79" s="85"/>
      <c r="Q79" s="85"/>
      <c r="R79" s="85"/>
      <c r="S79" s="85"/>
      <c r="T79" s="85"/>
      <c r="U79" s="85"/>
      <c r="V79" s="85"/>
      <c r="W79" s="85"/>
      <c r="X79" s="85"/>
      <c r="Y79" s="85"/>
      <c r="Z79" s="86"/>
      <c r="AB79" s="733"/>
      <c r="AC79" s="644" t="s">
        <v>693</v>
      </c>
      <c r="AD79" s="11"/>
      <c r="AE79" s="11"/>
      <c r="AF79" s="11"/>
      <c r="AG79" s="11"/>
      <c r="AH79" s="11"/>
      <c r="AI79" s="11"/>
      <c r="AJ79" s="11"/>
      <c r="AK79" s="11"/>
      <c r="AL79" s="11"/>
      <c r="BC79" s="638"/>
      <c r="BD79" s="733"/>
    </row>
    <row r="80" spans="1:56" ht="12" customHeight="1">
      <c r="A80" s="17"/>
      <c r="B80" s="660" t="s">
        <v>72</v>
      </c>
      <c r="C80" s="85"/>
      <c r="D80" s="85"/>
      <c r="E80" s="85"/>
      <c r="F80" s="85"/>
      <c r="G80" s="85"/>
      <c r="H80" s="85"/>
      <c r="I80" s="85"/>
      <c r="J80" s="85"/>
      <c r="K80" s="85"/>
      <c r="L80" s="85"/>
      <c r="M80" s="85"/>
      <c r="N80" s="85"/>
      <c r="O80" s="85"/>
      <c r="P80" s="85"/>
      <c r="Q80" s="85"/>
      <c r="R80" s="85"/>
      <c r="S80" s="85"/>
      <c r="T80" s="85"/>
      <c r="U80" s="85"/>
      <c r="V80" s="85"/>
      <c r="W80" s="85"/>
      <c r="X80" s="85"/>
      <c r="Y80" s="85"/>
      <c r="Z80" s="86"/>
      <c r="AB80" s="733"/>
      <c r="AC80" s="11"/>
      <c r="AD80" s="7"/>
      <c r="AE80" s="7"/>
      <c r="AF80" s="7"/>
      <c r="AG80" s="7"/>
      <c r="AH80" s="7"/>
      <c r="AI80" s="7"/>
      <c r="AJ80" s="7"/>
      <c r="AK80" s="8"/>
      <c r="AL80" s="8"/>
      <c r="BC80" s="638"/>
      <c r="BD80" s="733"/>
    </row>
    <row r="81" spans="1:56" ht="12" customHeight="1">
      <c r="A81" s="17"/>
      <c r="B81" s="661" t="s">
        <v>73</v>
      </c>
      <c r="C81" s="87"/>
      <c r="D81" s="87"/>
      <c r="E81" s="87"/>
      <c r="F81" s="87"/>
      <c r="G81" s="87"/>
      <c r="H81" s="87"/>
      <c r="I81" s="87"/>
      <c r="J81" s="87"/>
      <c r="K81" s="87"/>
      <c r="L81" s="87"/>
      <c r="M81" s="87"/>
      <c r="N81" s="87"/>
      <c r="O81" s="87"/>
      <c r="P81" s="87"/>
      <c r="Q81" s="87"/>
      <c r="R81" s="87"/>
      <c r="S81" s="87"/>
      <c r="T81" s="87"/>
      <c r="U81" s="87"/>
      <c r="V81" s="87"/>
      <c r="W81" s="87"/>
      <c r="X81" s="87"/>
      <c r="Y81" s="87"/>
      <c r="Z81" s="93"/>
      <c r="AB81" s="733"/>
      <c r="AC81" s="645" t="s">
        <v>408</v>
      </c>
      <c r="AD81" s="7"/>
      <c r="AE81" s="7"/>
      <c r="AF81" s="7"/>
      <c r="AG81" s="7"/>
      <c r="AH81" s="7"/>
      <c r="AI81" s="7"/>
      <c r="AJ81" s="7"/>
      <c r="AK81" s="8"/>
      <c r="AL81" s="8"/>
      <c r="BC81" s="638"/>
      <c r="BD81" s="733"/>
    </row>
    <row r="82" spans="1:56" ht="12" customHeight="1">
      <c r="A82" s="17"/>
      <c r="B82" s="661" t="s">
        <v>74</v>
      </c>
      <c r="C82" s="87"/>
      <c r="D82" s="87"/>
      <c r="E82" s="87"/>
      <c r="F82" s="87"/>
      <c r="G82" s="87"/>
      <c r="H82" s="87"/>
      <c r="I82" s="87"/>
      <c r="J82" s="87"/>
      <c r="K82" s="87"/>
      <c r="L82" s="87"/>
      <c r="M82" s="87"/>
      <c r="N82" s="87"/>
      <c r="O82" s="87"/>
      <c r="P82" s="87"/>
      <c r="Q82" s="87"/>
      <c r="R82" s="87"/>
      <c r="S82" s="87"/>
      <c r="T82" s="87"/>
      <c r="U82" s="87"/>
      <c r="V82" s="87"/>
      <c r="W82" s="87"/>
      <c r="X82" s="87"/>
      <c r="Y82" s="87"/>
      <c r="Z82" s="93"/>
      <c r="AB82" s="733"/>
      <c r="AC82" s="11" t="s">
        <v>410</v>
      </c>
      <c r="AD82" s="7"/>
      <c r="AE82" s="7"/>
      <c r="AF82" s="7"/>
      <c r="AG82" s="7"/>
      <c r="AH82" s="7"/>
      <c r="AI82" s="7"/>
      <c r="AJ82" s="7"/>
      <c r="AK82" s="8"/>
      <c r="AL82" s="8"/>
      <c r="BC82" s="638"/>
      <c r="BD82" s="733"/>
    </row>
    <row r="83" spans="1:56" ht="12" customHeight="1">
      <c r="A83" s="17"/>
      <c r="B83" s="661" t="s">
        <v>75</v>
      </c>
      <c r="C83" s="87"/>
      <c r="D83" s="87"/>
      <c r="E83" s="87"/>
      <c r="F83" s="87"/>
      <c r="G83" s="87"/>
      <c r="H83" s="87"/>
      <c r="I83" s="87"/>
      <c r="J83" s="87"/>
      <c r="K83" s="87"/>
      <c r="L83" s="87"/>
      <c r="M83" s="87"/>
      <c r="N83" s="87"/>
      <c r="O83" s="87"/>
      <c r="P83" s="87"/>
      <c r="Q83" s="87"/>
      <c r="R83" s="87"/>
      <c r="S83" s="87"/>
      <c r="T83" s="87"/>
      <c r="U83" s="87"/>
      <c r="V83" s="87"/>
      <c r="W83" s="87"/>
      <c r="X83" s="87"/>
      <c r="Y83" s="87"/>
      <c r="Z83" s="93"/>
      <c r="AB83" s="733"/>
      <c r="AC83" s="11" t="s">
        <v>409</v>
      </c>
      <c r="AD83" s="7"/>
      <c r="AE83" s="7"/>
      <c r="AF83" s="7"/>
      <c r="AG83" s="7"/>
      <c r="AH83" s="7"/>
      <c r="AI83" s="7"/>
      <c r="AJ83" s="7"/>
      <c r="AK83" s="8"/>
      <c r="AL83" s="8"/>
      <c r="BC83" s="638"/>
      <c r="BD83" s="733"/>
    </row>
    <row r="84" spans="1:56" ht="12" customHeight="1">
      <c r="A84" s="17"/>
      <c r="B84" s="661" t="s">
        <v>76</v>
      </c>
      <c r="C84" s="87"/>
      <c r="D84" s="87"/>
      <c r="E84" s="87"/>
      <c r="F84" s="87"/>
      <c r="G84" s="87"/>
      <c r="H84" s="87"/>
      <c r="I84" s="87"/>
      <c r="J84" s="87"/>
      <c r="K84" s="87"/>
      <c r="L84" s="87"/>
      <c r="M84" s="87"/>
      <c r="N84" s="87"/>
      <c r="O84" s="87"/>
      <c r="P84" s="87"/>
      <c r="Q84" s="87"/>
      <c r="R84" s="87"/>
      <c r="S84" s="87"/>
      <c r="T84" s="87"/>
      <c r="U84" s="87"/>
      <c r="V84" s="87"/>
      <c r="W84" s="87"/>
      <c r="X84" s="87"/>
      <c r="Y84" s="87"/>
      <c r="Z84" s="93"/>
      <c r="AB84" s="733"/>
      <c r="AC84" s="11" t="s">
        <v>605</v>
      </c>
      <c r="AD84" s="7"/>
      <c r="AE84" s="7"/>
      <c r="AF84" s="7"/>
      <c r="AG84" s="7"/>
      <c r="AH84" s="7"/>
      <c r="AI84" s="7"/>
      <c r="AJ84" s="7"/>
      <c r="AK84" s="8"/>
      <c r="AL84" s="8"/>
      <c r="BC84" s="638"/>
      <c r="BD84" s="733"/>
    </row>
    <row r="85" spans="1:56" ht="12" customHeight="1">
      <c r="A85" s="17"/>
      <c r="B85" s="661" t="s">
        <v>77</v>
      </c>
      <c r="C85" s="87"/>
      <c r="D85" s="87"/>
      <c r="E85" s="87"/>
      <c r="F85" s="87"/>
      <c r="G85" s="87"/>
      <c r="H85" s="87"/>
      <c r="I85" s="87"/>
      <c r="J85" s="87"/>
      <c r="K85" s="87"/>
      <c r="L85" s="87"/>
      <c r="M85" s="87"/>
      <c r="N85" s="87"/>
      <c r="O85" s="87"/>
      <c r="P85" s="87"/>
      <c r="Q85" s="87"/>
      <c r="R85" s="87"/>
      <c r="S85" s="87"/>
      <c r="T85" s="87"/>
      <c r="U85" s="87"/>
      <c r="V85" s="87"/>
      <c r="W85" s="87"/>
      <c r="X85" s="87"/>
      <c r="Y85" s="87"/>
      <c r="Z85" s="93"/>
      <c r="AB85" s="733"/>
      <c r="AC85" s="11" t="s">
        <v>694</v>
      </c>
      <c r="AD85" s="7"/>
      <c r="AE85" s="7"/>
      <c r="AF85" s="7"/>
      <c r="AG85" s="7"/>
      <c r="AH85" s="7"/>
      <c r="AI85" s="7"/>
      <c r="AJ85" s="7"/>
      <c r="AK85" s="8"/>
      <c r="AL85" s="8"/>
      <c r="BC85" s="638"/>
      <c r="BD85" s="638"/>
    </row>
    <row r="86" spans="1:56" ht="12" customHeight="1">
      <c r="A86" s="17"/>
      <c r="B86" s="661" t="s">
        <v>78</v>
      </c>
      <c r="C86" s="87"/>
      <c r="D86" s="87"/>
      <c r="E86" s="87"/>
      <c r="F86" s="87"/>
      <c r="G86" s="87"/>
      <c r="H86" s="87"/>
      <c r="I86" s="87"/>
      <c r="J86" s="87"/>
      <c r="K86" s="87"/>
      <c r="L86" s="87"/>
      <c r="M86" s="87"/>
      <c r="N86" s="87"/>
      <c r="O86" s="87"/>
      <c r="P86" s="87"/>
      <c r="Q86" s="87"/>
      <c r="R86" s="87"/>
      <c r="S86" s="87"/>
      <c r="T86" s="87"/>
      <c r="U86" s="87"/>
      <c r="V86" s="87"/>
      <c r="W86" s="87"/>
      <c r="X86" s="87"/>
      <c r="Y86" s="87"/>
      <c r="Z86" s="93"/>
      <c r="AB86" s="733"/>
      <c r="AC86" s="7" t="s">
        <v>695</v>
      </c>
      <c r="AD86" s="7"/>
      <c r="AE86" s="7"/>
      <c r="AF86" s="7"/>
      <c r="AG86" s="7"/>
      <c r="AH86" s="7"/>
      <c r="AI86" s="7"/>
      <c r="AJ86" s="7"/>
      <c r="AK86" s="8"/>
      <c r="AL86" s="8"/>
      <c r="BC86" s="638"/>
    </row>
    <row r="87" spans="1:56" ht="15.75" customHeight="1">
      <c r="A87" s="17"/>
      <c r="B87" s="661" t="s">
        <v>79</v>
      </c>
      <c r="C87" s="87"/>
      <c r="D87" s="87"/>
      <c r="E87" s="87"/>
      <c r="F87" s="87"/>
      <c r="G87" s="87"/>
      <c r="H87" s="87"/>
      <c r="I87" s="87"/>
      <c r="J87" s="87"/>
      <c r="K87" s="87"/>
      <c r="L87" s="87"/>
      <c r="M87" s="87"/>
      <c r="N87" s="87"/>
      <c r="O87" s="87"/>
      <c r="P87" s="87"/>
      <c r="Q87" s="87"/>
      <c r="R87" s="87"/>
      <c r="S87" s="87"/>
      <c r="T87" s="87"/>
      <c r="U87" s="87"/>
      <c r="V87" s="87"/>
      <c r="W87" s="87"/>
      <c r="X87" s="87"/>
      <c r="Y87" s="87"/>
      <c r="Z87" s="93"/>
      <c r="AB87" s="733"/>
      <c r="AC87" s="408"/>
      <c r="AD87" s="7"/>
      <c r="AE87" s="7"/>
      <c r="AF87" s="7"/>
      <c r="AG87" s="7"/>
      <c r="AH87" s="7"/>
      <c r="AI87" s="7"/>
      <c r="AJ87" s="7"/>
      <c r="AK87" s="8"/>
      <c r="AL87" s="8"/>
      <c r="BC87" s="638"/>
    </row>
    <row r="88" spans="1:56" ht="16.5" customHeight="1">
      <c r="A88" s="17"/>
      <c r="B88" s="661" t="s">
        <v>80</v>
      </c>
      <c r="C88" s="87"/>
      <c r="D88" s="87"/>
      <c r="E88" s="87"/>
      <c r="F88" s="87"/>
      <c r="G88" s="87"/>
      <c r="H88" s="87"/>
      <c r="I88" s="87"/>
      <c r="J88" s="87"/>
      <c r="K88" s="87"/>
      <c r="L88" s="87"/>
      <c r="M88" s="87"/>
      <c r="N88" s="87"/>
      <c r="O88" s="87"/>
      <c r="P88" s="87"/>
      <c r="Q88" s="87"/>
      <c r="R88" s="87"/>
      <c r="S88" s="87"/>
      <c r="T88" s="87"/>
      <c r="U88" s="87"/>
      <c r="V88" s="87"/>
      <c r="W88" s="87"/>
      <c r="X88" s="87"/>
      <c r="Y88" s="87"/>
      <c r="Z88" s="93"/>
      <c r="AB88" s="733"/>
      <c r="AC88" s="7" t="s">
        <v>696</v>
      </c>
      <c r="AD88" s="7"/>
      <c r="AE88" s="7"/>
      <c r="AF88" s="7"/>
      <c r="AG88" s="7"/>
      <c r="AH88" s="7"/>
      <c r="AI88" s="7"/>
      <c r="AJ88" s="7"/>
      <c r="AK88" s="8"/>
      <c r="AL88" s="8"/>
      <c r="BC88" s="638"/>
    </row>
    <row r="89" spans="1:56" ht="12" customHeight="1">
      <c r="A89" s="17"/>
      <c r="B89" s="661" t="s">
        <v>405</v>
      </c>
      <c r="C89" s="87"/>
      <c r="D89" s="87"/>
      <c r="E89" s="87"/>
      <c r="F89" s="87"/>
      <c r="G89" s="87"/>
      <c r="H89" s="87"/>
      <c r="I89" s="87"/>
      <c r="J89" s="87"/>
      <c r="K89" s="87"/>
      <c r="L89" s="87"/>
      <c r="M89" s="87"/>
      <c r="N89" s="87"/>
      <c r="O89" s="87"/>
      <c r="P89" s="87"/>
      <c r="Q89" s="87"/>
      <c r="R89" s="87"/>
      <c r="S89" s="87"/>
      <c r="T89" s="87"/>
      <c r="U89" s="87"/>
      <c r="V89" s="87"/>
      <c r="W89" s="87"/>
      <c r="X89" s="87"/>
      <c r="Y89" s="87"/>
      <c r="Z89" s="734"/>
      <c r="AB89" s="733"/>
      <c r="AC89" s="7"/>
      <c r="AD89" s="7"/>
      <c r="AE89" s="7"/>
      <c r="AF89" s="7"/>
      <c r="AG89" s="7"/>
      <c r="AH89" s="7"/>
      <c r="AI89" s="7"/>
      <c r="AJ89" s="7"/>
      <c r="AK89" s="8"/>
      <c r="AL89" s="8"/>
      <c r="AM89" s="943"/>
      <c r="AN89" s="943"/>
      <c r="AO89" s="943"/>
      <c r="AP89" s="943"/>
      <c r="AQ89" s="943"/>
      <c r="AR89" s="943"/>
      <c r="AS89" s="943"/>
      <c r="AT89" s="943"/>
      <c r="AU89" s="943"/>
      <c r="AV89" s="943"/>
      <c r="AW89" s="943"/>
      <c r="AX89" s="943"/>
      <c r="AY89" s="943"/>
      <c r="AZ89" s="943"/>
      <c r="BA89" s="943"/>
      <c r="BB89" s="943"/>
      <c r="BC89" s="638"/>
    </row>
    <row r="90" spans="1:56" ht="12" customHeight="1">
      <c r="A90" s="17"/>
      <c r="B90" s="661" t="s">
        <v>406</v>
      </c>
      <c r="C90" s="87"/>
      <c r="D90" s="87"/>
      <c r="E90" s="87"/>
      <c r="F90" s="87"/>
      <c r="G90" s="87"/>
      <c r="H90" s="87"/>
      <c r="I90" s="87"/>
      <c r="J90" s="87"/>
      <c r="K90" s="87"/>
      <c r="L90" s="87"/>
      <c r="M90" s="87"/>
      <c r="N90" s="87"/>
      <c r="O90" s="87"/>
      <c r="P90" s="87"/>
      <c r="Q90" s="87"/>
      <c r="R90" s="87"/>
      <c r="S90" s="87"/>
      <c r="T90" s="87"/>
      <c r="U90" s="241"/>
      <c r="V90" s="241"/>
      <c r="W90" s="241"/>
      <c r="X90" s="241"/>
      <c r="Y90" s="241"/>
      <c r="Z90" s="735"/>
      <c r="AB90" s="733"/>
      <c r="AC90" s="7" t="s">
        <v>821</v>
      </c>
      <c r="AD90" s="7"/>
      <c r="AE90" s="7"/>
      <c r="AF90" s="7"/>
      <c r="AG90" s="7"/>
      <c r="AH90" s="7"/>
      <c r="AI90" s="7"/>
      <c r="AJ90" s="7"/>
      <c r="AK90" s="8"/>
      <c r="AL90" s="8"/>
      <c r="BC90" s="638"/>
    </row>
    <row r="91" spans="1:56" ht="12" customHeight="1">
      <c r="A91" s="17"/>
      <c r="B91" s="662"/>
      <c r="C91" s="240"/>
      <c r="D91" s="240"/>
      <c r="E91" s="240"/>
      <c r="F91" s="240"/>
      <c r="G91" s="240"/>
      <c r="H91" s="240"/>
      <c r="I91" s="240"/>
      <c r="J91" s="240"/>
      <c r="K91" s="240"/>
      <c r="L91" s="240"/>
      <c r="M91" s="240"/>
      <c r="N91" s="240"/>
      <c r="O91" s="240"/>
      <c r="P91" s="240"/>
      <c r="Q91" s="240"/>
      <c r="R91" s="240"/>
      <c r="S91" s="736"/>
      <c r="T91" s="737"/>
      <c r="U91" s="737"/>
      <c r="V91" s="738"/>
      <c r="W91" s="738"/>
      <c r="X91" s="738"/>
      <c r="Y91" s="738"/>
      <c r="Z91" s="739"/>
      <c r="AB91" s="733"/>
      <c r="AC91" s="7" t="s">
        <v>820</v>
      </c>
      <c r="AD91" s="7"/>
      <c r="AE91" s="7"/>
      <c r="AF91" s="7"/>
      <c r="AG91" s="7"/>
      <c r="AH91" s="7"/>
      <c r="AI91" s="7"/>
      <c r="AJ91" s="7"/>
      <c r="AK91" s="8"/>
      <c r="AL91" s="8"/>
      <c r="AM91" s="943"/>
      <c r="AN91" s="943"/>
      <c r="AO91" s="943"/>
      <c r="AP91" s="943"/>
      <c r="AQ91" s="943"/>
      <c r="AR91" s="943"/>
      <c r="AS91" s="943"/>
      <c r="AT91" s="943"/>
      <c r="AU91" s="943"/>
      <c r="AV91" s="943"/>
      <c r="AW91" s="943"/>
      <c r="AX91" s="943"/>
      <c r="AY91" s="943"/>
      <c r="AZ91" s="943"/>
      <c r="BA91" s="943"/>
      <c r="BB91" s="943"/>
      <c r="BC91" s="638"/>
    </row>
    <row r="92" spans="1:56" ht="12" customHeight="1">
      <c r="A92" s="17"/>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B92" s="733"/>
      <c r="AC92" s="7" t="s">
        <v>1015</v>
      </c>
      <c r="AD92" s="7"/>
      <c r="AE92" s="7"/>
      <c r="AF92" s="7"/>
      <c r="AG92" s="7"/>
      <c r="AH92" s="7"/>
      <c r="AI92" s="7"/>
      <c r="AJ92" s="7"/>
      <c r="AK92" s="8"/>
      <c r="AL92" s="8"/>
      <c r="AM92" s="943"/>
      <c r="AN92" s="943"/>
      <c r="AO92" s="943"/>
      <c r="AP92" s="943"/>
      <c r="AQ92" s="943"/>
      <c r="AR92" s="943"/>
      <c r="AS92" s="943"/>
      <c r="AT92" s="943"/>
      <c r="AU92" s="943"/>
      <c r="AV92" s="943"/>
      <c r="AW92" s="943"/>
      <c r="AX92" s="943"/>
      <c r="AY92" s="943"/>
      <c r="AZ92" s="943"/>
      <c r="BA92" s="943"/>
      <c r="BB92" s="943"/>
      <c r="BC92" s="638"/>
    </row>
    <row r="93" spans="1:56" ht="12" customHeight="1">
      <c r="A93" s="17"/>
      <c r="B93" s="37" t="s">
        <v>6</v>
      </c>
      <c r="C93" s="17"/>
      <c r="D93" s="17"/>
      <c r="E93" s="38"/>
      <c r="F93" s="17"/>
      <c r="G93" s="17"/>
      <c r="H93" s="25"/>
      <c r="I93" s="25"/>
      <c r="J93" s="25"/>
      <c r="K93" s="25"/>
      <c r="L93" s="25"/>
      <c r="M93" s="3"/>
      <c r="N93" s="3"/>
      <c r="O93" s="3"/>
      <c r="P93" s="3"/>
      <c r="Q93" s="3"/>
      <c r="R93" s="3"/>
      <c r="S93" s="3"/>
      <c r="T93" s="3"/>
      <c r="U93" s="3"/>
      <c r="V93" s="3"/>
      <c r="W93" s="3"/>
      <c r="X93" s="3"/>
      <c r="Y93" s="3"/>
      <c r="Z93" s="3"/>
      <c r="AB93" s="733"/>
      <c r="AC93" s="7"/>
      <c r="AD93" s="7"/>
      <c r="AE93" s="7"/>
      <c r="AF93" s="7"/>
      <c r="AG93" s="7"/>
      <c r="AH93" s="7"/>
      <c r="AI93" s="7"/>
      <c r="AJ93" s="7"/>
      <c r="AK93" s="8"/>
      <c r="AL93" s="8"/>
      <c r="BC93" s="638"/>
    </row>
    <row r="94" spans="1:56" ht="12" customHeight="1">
      <c r="A94" s="17"/>
      <c r="B94" s="37"/>
      <c r="C94" s="17"/>
      <c r="D94" s="17"/>
      <c r="E94" s="38"/>
      <c r="F94" s="17"/>
      <c r="G94" s="17"/>
      <c r="H94" s="25"/>
      <c r="I94" s="25"/>
      <c r="J94" s="25"/>
      <c r="K94" s="25"/>
      <c r="L94" s="25"/>
      <c r="M94" s="3"/>
      <c r="N94" s="3"/>
      <c r="O94" s="3"/>
      <c r="P94" s="3"/>
      <c r="Q94" s="3"/>
      <c r="R94" s="3"/>
      <c r="S94" s="3"/>
      <c r="T94" s="3"/>
      <c r="U94" s="3"/>
      <c r="V94" s="3"/>
      <c r="W94" s="3"/>
      <c r="X94" s="3"/>
      <c r="Y94" s="3"/>
      <c r="Z94" s="3"/>
      <c r="AB94" s="733"/>
      <c r="AC94" s="646" t="s">
        <v>407</v>
      </c>
      <c r="AD94" s="7"/>
      <c r="AE94" s="7"/>
      <c r="AF94" s="7"/>
      <c r="AG94" s="7"/>
      <c r="AH94" s="7"/>
      <c r="AI94" s="7"/>
      <c r="AJ94" s="7"/>
      <c r="AK94" s="8"/>
      <c r="AL94" s="8"/>
      <c r="BC94" s="638"/>
    </row>
    <row r="95" spans="1:56" ht="12" customHeight="1">
      <c r="A95" s="17"/>
      <c r="B95" s="25"/>
      <c r="C95" s="2798" t="s">
        <v>54</v>
      </c>
      <c r="D95" s="2799"/>
      <c r="E95" s="2798" t="s">
        <v>55</v>
      </c>
      <c r="F95" s="2799"/>
      <c r="G95" s="2798" t="s">
        <v>56</v>
      </c>
      <c r="H95" s="2799"/>
      <c r="I95" s="2798" t="s">
        <v>57</v>
      </c>
      <c r="J95" s="2799"/>
      <c r="K95" s="2798" t="s">
        <v>39</v>
      </c>
      <c r="L95" s="2799"/>
      <c r="M95" s="2802" t="s">
        <v>58</v>
      </c>
      <c r="N95" s="2803"/>
      <c r="O95" s="2790" t="s">
        <v>59</v>
      </c>
      <c r="P95" s="2791"/>
      <c r="Q95" s="2798" t="s">
        <v>60</v>
      </c>
      <c r="R95" s="2799"/>
      <c r="S95" s="2798" t="s">
        <v>61</v>
      </c>
      <c r="T95" s="2799"/>
      <c r="U95" s="2798" t="s">
        <v>62</v>
      </c>
      <c r="V95" s="2799"/>
      <c r="W95" s="2798" t="s">
        <v>63</v>
      </c>
      <c r="X95" s="2799"/>
      <c r="Y95" s="2798" t="s">
        <v>64</v>
      </c>
      <c r="Z95" s="2799"/>
      <c r="AB95" s="733"/>
      <c r="AC95" s="7" t="s">
        <v>1014</v>
      </c>
      <c r="AD95" s="7"/>
      <c r="AE95" s="7"/>
      <c r="AF95" s="7"/>
      <c r="AG95" s="7"/>
      <c r="AH95" s="7"/>
      <c r="AI95" s="7"/>
      <c r="AJ95" s="7"/>
      <c r="AK95" s="8"/>
      <c r="AL95" s="8"/>
      <c r="BC95" s="638"/>
    </row>
    <row r="96" spans="1:56" ht="12" customHeight="1">
      <c r="A96" s="17"/>
      <c r="B96" s="25"/>
      <c r="C96" s="36"/>
      <c r="D96" s="36"/>
      <c r="E96" s="36"/>
      <c r="F96" s="36"/>
      <c r="G96" s="36"/>
      <c r="H96" s="36"/>
      <c r="I96" s="36"/>
      <c r="J96" s="36"/>
      <c r="K96" s="36"/>
      <c r="L96" s="36"/>
      <c r="M96" s="47"/>
      <c r="N96" s="48"/>
      <c r="O96" s="36"/>
      <c r="P96" s="36"/>
      <c r="Q96" s="36"/>
      <c r="R96" s="36"/>
      <c r="S96" s="36"/>
      <c r="T96" s="36"/>
      <c r="U96" s="36"/>
      <c r="V96" s="36"/>
      <c r="W96" s="36"/>
      <c r="X96" s="36"/>
      <c r="Y96" s="36"/>
      <c r="Z96" s="36"/>
      <c r="AB96" s="733"/>
      <c r="AC96" s="7" t="s">
        <v>603</v>
      </c>
      <c r="AD96" s="7"/>
      <c r="AE96" s="7"/>
      <c r="AF96" s="7"/>
      <c r="AG96" s="7"/>
      <c r="AH96" s="7"/>
      <c r="AI96" s="7"/>
      <c r="AJ96" s="7"/>
      <c r="AK96" s="8"/>
      <c r="AL96" s="8"/>
      <c r="BC96" s="638"/>
    </row>
    <row r="97" spans="1:55" ht="12" customHeight="1">
      <c r="A97" s="17"/>
      <c r="B97" s="11"/>
      <c r="C97" s="49" t="s">
        <v>87</v>
      </c>
      <c r="D97" s="50"/>
      <c r="E97" s="51"/>
      <c r="F97" s="51"/>
      <c r="G97" s="51"/>
      <c r="H97" s="51"/>
      <c r="I97" s="51"/>
      <c r="J97" s="51"/>
      <c r="K97" s="51"/>
      <c r="L97" s="51"/>
      <c r="M97" s="51"/>
      <c r="N97" s="47"/>
      <c r="O97" s="48"/>
      <c r="P97" s="51"/>
      <c r="Q97" s="51"/>
      <c r="R97" s="51"/>
      <c r="S97" s="51"/>
      <c r="T97" s="51"/>
      <c r="U97" s="51"/>
      <c r="V97" s="51"/>
      <c r="W97" s="51"/>
      <c r="X97" s="51"/>
      <c r="Y97" s="51"/>
      <c r="Z97" s="52"/>
      <c r="AB97" s="733"/>
      <c r="AC97" s="7" t="s">
        <v>604</v>
      </c>
      <c r="AD97" s="7"/>
      <c r="AE97" s="7"/>
      <c r="AF97" s="7"/>
      <c r="AG97" s="7"/>
      <c r="AH97" s="7"/>
      <c r="AI97" s="7"/>
      <c r="AJ97" s="7"/>
      <c r="AK97" s="8"/>
      <c r="AL97" s="8"/>
      <c r="BC97" s="638"/>
    </row>
    <row r="98" spans="1:55" ht="12" customHeight="1">
      <c r="A98" s="17"/>
      <c r="B98" s="8"/>
      <c r="C98" s="53"/>
      <c r="D98" s="36"/>
      <c r="E98" s="36"/>
      <c r="F98" s="36"/>
      <c r="G98" s="36"/>
      <c r="H98" s="36"/>
      <c r="I98" s="36"/>
      <c r="J98" s="36"/>
      <c r="K98" s="36"/>
      <c r="L98" s="8"/>
      <c r="M98" s="54"/>
      <c r="N98" s="36"/>
      <c r="O98" s="55"/>
      <c r="P98" s="56"/>
      <c r="Q98" s="36"/>
      <c r="R98" s="36"/>
      <c r="S98" s="36"/>
      <c r="T98" s="36"/>
      <c r="U98" s="36"/>
      <c r="V98" s="36"/>
      <c r="W98" s="36"/>
      <c r="X98" s="36"/>
      <c r="Y98" s="36"/>
      <c r="Z98" s="57"/>
      <c r="AB98" s="733"/>
      <c r="AC98" s="7" t="s">
        <v>139</v>
      </c>
      <c r="AD98" s="7"/>
      <c r="AE98" s="7"/>
      <c r="AF98" s="7"/>
      <c r="AG98" s="7"/>
      <c r="AH98" s="7"/>
      <c r="AI98" s="7"/>
      <c r="AJ98" s="7"/>
      <c r="AK98" s="8"/>
      <c r="AL98" s="8"/>
      <c r="BC98" s="638"/>
    </row>
    <row r="99" spans="1:55" ht="12" customHeight="1">
      <c r="A99" s="17"/>
      <c r="B99" s="8"/>
      <c r="C99" s="58" t="s">
        <v>88</v>
      </c>
      <c r="D99" s="10"/>
      <c r="E99" s="36"/>
      <c r="F99" s="36"/>
      <c r="G99" s="36"/>
      <c r="H99" s="36"/>
      <c r="I99" s="36"/>
      <c r="J99" s="36"/>
      <c r="K99" s="36"/>
      <c r="L99" s="8"/>
      <c r="M99" s="2800" t="s">
        <v>89</v>
      </c>
      <c r="N99" s="2801"/>
      <c r="O99" s="59"/>
      <c r="P99" s="56"/>
      <c r="Q99" s="36"/>
      <c r="R99" s="36"/>
      <c r="S99" s="36"/>
      <c r="T99" s="36"/>
      <c r="U99" s="36"/>
      <c r="V99" s="36"/>
      <c r="W99" s="36"/>
      <c r="X99" s="36"/>
      <c r="Y99" s="36"/>
      <c r="Z99" s="57"/>
      <c r="AB99" s="733"/>
      <c r="AC99" s="7"/>
      <c r="BC99" s="638"/>
    </row>
    <row r="100" spans="1:55" ht="12" customHeight="1">
      <c r="A100" s="17"/>
      <c r="B100" s="8"/>
      <c r="C100" s="53"/>
      <c r="D100" s="36"/>
      <c r="E100" s="36"/>
      <c r="F100" s="36"/>
      <c r="G100" s="36"/>
      <c r="H100" s="36"/>
      <c r="I100" s="36"/>
      <c r="J100" s="36"/>
      <c r="K100" s="36"/>
      <c r="L100" s="8"/>
      <c r="M100" s="2788" t="s">
        <v>90</v>
      </c>
      <c r="N100" s="2789"/>
      <c r="O100" s="60" t="s">
        <v>91</v>
      </c>
      <c r="P100" s="56"/>
      <c r="Q100" s="36"/>
      <c r="R100" s="36"/>
      <c r="S100" s="36"/>
      <c r="T100" s="36"/>
      <c r="U100" s="36"/>
      <c r="V100" s="36"/>
      <c r="W100" s="36"/>
      <c r="X100" s="36"/>
      <c r="Y100" s="36"/>
      <c r="Z100" s="57"/>
      <c r="AB100" s="733"/>
      <c r="AD100" s="408"/>
      <c r="AE100" s="408"/>
      <c r="AF100" s="408"/>
      <c r="AG100" s="408"/>
      <c r="AH100" s="408"/>
      <c r="AI100" s="408"/>
      <c r="AJ100" s="408"/>
      <c r="AK100" s="408"/>
      <c r="AL100" s="408"/>
      <c r="BC100" s="638"/>
    </row>
    <row r="101" spans="1:55" ht="12" customHeight="1">
      <c r="A101" s="17"/>
      <c r="B101" s="8"/>
      <c r="C101" s="53"/>
      <c r="D101" s="36"/>
      <c r="E101" s="36"/>
      <c r="F101" s="36"/>
      <c r="G101" s="36"/>
      <c r="H101" s="36"/>
      <c r="I101" s="36"/>
      <c r="J101" s="36"/>
      <c r="K101" s="36"/>
      <c r="L101" s="8"/>
      <c r="M101" s="47"/>
      <c r="N101" s="36"/>
      <c r="O101" s="55"/>
      <c r="P101" s="56"/>
      <c r="Q101" s="36"/>
      <c r="R101" s="36"/>
      <c r="S101" s="36"/>
      <c r="T101" s="36"/>
      <c r="U101" s="36"/>
      <c r="V101" s="36"/>
      <c r="W101" s="36"/>
      <c r="X101" s="36"/>
      <c r="Y101" s="36"/>
      <c r="Z101" s="57"/>
      <c r="AB101" s="733"/>
      <c r="AC101" s="7" t="s">
        <v>697</v>
      </c>
      <c r="AD101" s="92"/>
      <c r="AE101" s="92"/>
      <c r="AF101" s="92"/>
      <c r="AG101" s="92"/>
      <c r="AH101" s="92"/>
      <c r="AI101" s="92"/>
      <c r="AJ101" s="92"/>
      <c r="AK101" s="92"/>
      <c r="AL101" s="92"/>
      <c r="AM101" s="638"/>
      <c r="AN101" s="638"/>
      <c r="AO101" s="638"/>
      <c r="AP101" s="638"/>
      <c r="AQ101" s="638"/>
      <c r="AR101" s="638"/>
      <c r="AS101" s="638"/>
      <c r="AT101" s="638"/>
      <c r="AU101" s="638"/>
      <c r="AV101" s="638"/>
      <c r="AW101" s="638"/>
      <c r="AX101" s="638"/>
      <c r="AY101" s="638"/>
      <c r="AZ101" s="638"/>
      <c r="BA101" s="638"/>
      <c r="BB101" s="638"/>
      <c r="BC101" s="638"/>
    </row>
    <row r="102" spans="1:55" ht="12" customHeight="1">
      <c r="A102" s="17"/>
      <c r="B102" s="8"/>
      <c r="C102" s="58" t="s">
        <v>92</v>
      </c>
      <c r="D102" s="36"/>
      <c r="E102" s="36"/>
      <c r="F102" s="36"/>
      <c r="G102" s="36"/>
      <c r="H102" s="36"/>
      <c r="I102" s="36"/>
      <c r="J102" s="36"/>
      <c r="K102" s="36"/>
      <c r="L102" s="8"/>
      <c r="M102" s="55"/>
      <c r="N102" s="36"/>
      <c r="O102" s="2790" t="s">
        <v>93</v>
      </c>
      <c r="P102" s="2791"/>
      <c r="Q102" s="36"/>
      <c r="R102" s="36"/>
      <c r="S102" s="36"/>
      <c r="T102" s="36"/>
      <c r="U102" s="36"/>
      <c r="V102" s="36"/>
      <c r="W102" s="36"/>
      <c r="X102" s="36"/>
      <c r="Y102" s="36"/>
      <c r="Z102" s="57"/>
      <c r="AB102" s="733"/>
      <c r="AC102" s="92" t="s">
        <v>411</v>
      </c>
      <c r="AD102" s="638"/>
      <c r="AE102" s="638"/>
      <c r="AF102" s="638"/>
      <c r="AG102" s="638"/>
      <c r="AH102" s="638"/>
      <c r="AI102" s="638"/>
      <c r="AJ102" s="638"/>
      <c r="AK102" s="638"/>
      <c r="AL102" s="638"/>
      <c r="AM102" s="638"/>
      <c r="AN102" s="638"/>
      <c r="AO102" s="638"/>
      <c r="AP102" s="638"/>
      <c r="AQ102" s="638"/>
      <c r="AR102" s="638"/>
      <c r="AS102" s="638"/>
      <c r="AT102" s="638"/>
      <c r="AU102" s="638"/>
      <c r="AV102" s="638"/>
      <c r="AW102" s="638"/>
      <c r="AX102" s="638"/>
      <c r="AY102" s="638"/>
      <c r="AZ102" s="638"/>
      <c r="BA102" s="638"/>
      <c r="BB102" s="638"/>
    </row>
    <row r="103" spans="1:55" ht="12" customHeight="1">
      <c r="A103" s="17"/>
      <c r="B103" s="8"/>
      <c r="C103" s="61"/>
      <c r="D103" s="62"/>
      <c r="E103" s="62"/>
      <c r="F103" s="62"/>
      <c r="G103" s="62"/>
      <c r="H103" s="62"/>
      <c r="I103" s="62"/>
      <c r="J103" s="62"/>
      <c r="K103" s="62"/>
      <c r="L103" s="8"/>
      <c r="M103" s="54"/>
      <c r="N103" s="62"/>
      <c r="O103" s="63"/>
      <c r="P103" s="64"/>
      <c r="Q103" s="62"/>
      <c r="R103" s="62"/>
      <c r="S103" s="62"/>
      <c r="T103" s="62"/>
      <c r="U103" s="62"/>
      <c r="V103" s="62"/>
      <c r="W103" s="62"/>
      <c r="X103" s="62"/>
      <c r="Y103" s="62"/>
      <c r="Z103" s="65"/>
      <c r="AB103" s="733"/>
      <c r="AC103" s="717"/>
      <c r="AD103" s="715"/>
      <c r="AE103" s="715"/>
      <c r="AF103" s="715"/>
      <c r="AG103" s="715"/>
      <c r="AH103" s="715"/>
      <c r="AI103" s="715"/>
      <c r="AJ103" s="715"/>
      <c r="AK103" s="715"/>
      <c r="AL103" s="715"/>
      <c r="AM103" s="715"/>
      <c r="AN103" s="715"/>
      <c r="AO103" s="715"/>
      <c r="AP103" s="715"/>
      <c r="AQ103" s="715"/>
      <c r="AR103" s="715"/>
      <c r="AS103" s="715"/>
      <c r="AT103" s="715"/>
      <c r="AU103" s="715"/>
      <c r="AV103" s="715"/>
      <c r="AW103" s="715"/>
      <c r="AX103" s="715"/>
      <c r="AY103" s="715"/>
      <c r="AZ103" s="715"/>
      <c r="BA103" s="715"/>
      <c r="BB103" s="715"/>
    </row>
    <row r="104" spans="1:55" ht="12" customHeight="1">
      <c r="A104" s="17"/>
      <c r="B104" s="8"/>
      <c r="C104" s="11"/>
      <c r="D104" s="36"/>
      <c r="E104" s="36"/>
      <c r="F104" s="36"/>
      <c r="G104" s="36"/>
      <c r="H104" s="36"/>
      <c r="I104" s="36"/>
      <c r="J104" s="36"/>
      <c r="K104" s="36"/>
      <c r="L104" s="66"/>
      <c r="M104" s="55"/>
      <c r="N104" s="36"/>
      <c r="O104" s="55"/>
      <c r="P104" s="56"/>
      <c r="Q104" s="36"/>
      <c r="R104" s="36"/>
      <c r="S104" s="36"/>
      <c r="T104" s="36"/>
      <c r="U104" s="36"/>
      <c r="V104" s="36"/>
      <c r="W104" s="36"/>
      <c r="X104" s="36"/>
      <c r="Y104" s="36"/>
      <c r="Z104" s="36"/>
      <c r="AB104" s="733"/>
      <c r="AC104" s="638"/>
      <c r="AD104" s="638"/>
    </row>
    <row r="105" spans="1:55" ht="12" customHeight="1">
      <c r="A105" s="17"/>
      <c r="B105" s="8"/>
      <c r="C105" s="49" t="s">
        <v>94</v>
      </c>
      <c r="D105" s="51"/>
      <c r="E105" s="51"/>
      <c r="F105" s="51"/>
      <c r="G105" s="51"/>
      <c r="H105" s="51"/>
      <c r="I105" s="51"/>
      <c r="J105" s="51"/>
      <c r="K105" s="51"/>
      <c r="L105" s="8"/>
      <c r="M105" s="47"/>
      <c r="N105" s="51"/>
      <c r="O105" s="47"/>
      <c r="P105" s="48"/>
      <c r="Q105" s="51"/>
      <c r="R105" s="51"/>
      <c r="S105" s="51"/>
      <c r="T105" s="51"/>
      <c r="U105" s="51"/>
      <c r="V105" s="51"/>
      <c r="W105" s="51"/>
      <c r="X105" s="51"/>
      <c r="Y105" s="51"/>
      <c r="Z105" s="52"/>
      <c r="AB105" s="733"/>
      <c r="AY105" s="25"/>
      <c r="AZ105" s="25"/>
      <c r="BA105" s="25"/>
    </row>
    <row r="106" spans="1:55" ht="12" customHeight="1">
      <c r="A106" s="17"/>
      <c r="B106" s="8"/>
      <c r="C106" s="53"/>
      <c r="D106" s="36"/>
      <c r="E106" s="36"/>
      <c r="F106" s="36"/>
      <c r="G106" s="36"/>
      <c r="H106" s="36"/>
      <c r="I106" s="36"/>
      <c r="J106" s="36"/>
      <c r="K106" s="36"/>
      <c r="L106" s="8"/>
      <c r="M106" s="54"/>
      <c r="N106" s="36"/>
      <c r="O106" s="55"/>
      <c r="P106" s="56"/>
      <c r="Q106" s="36"/>
      <c r="R106" s="36"/>
      <c r="S106" s="36"/>
      <c r="T106" s="36"/>
      <c r="U106" s="36"/>
      <c r="V106" s="36"/>
      <c r="W106" s="36"/>
      <c r="X106" s="36"/>
      <c r="Y106" s="36"/>
      <c r="Z106" s="57"/>
      <c r="AB106" s="733"/>
      <c r="AC106" s="638"/>
      <c r="AD106" s="638"/>
    </row>
    <row r="107" spans="1:55" ht="12" customHeight="1">
      <c r="A107" s="17"/>
      <c r="B107" s="8"/>
      <c r="C107" s="58" t="s">
        <v>88</v>
      </c>
      <c r="D107" s="17"/>
      <c r="E107" s="17"/>
      <c r="F107" s="38"/>
      <c r="G107" s="17"/>
      <c r="H107" s="17"/>
      <c r="I107" s="17"/>
      <c r="J107" s="17"/>
      <c r="K107" s="17"/>
      <c r="L107" s="3"/>
      <c r="M107" s="2792" t="s">
        <v>89</v>
      </c>
      <c r="N107" s="2793"/>
      <c r="O107" s="18"/>
      <c r="P107" s="67"/>
      <c r="Q107" s="13"/>
      <c r="R107" s="13"/>
      <c r="S107" s="13"/>
      <c r="T107" s="13"/>
      <c r="U107" s="13"/>
      <c r="V107" s="13"/>
      <c r="W107" s="13"/>
      <c r="X107" s="13"/>
      <c r="Y107" s="13"/>
      <c r="Z107" s="14"/>
      <c r="AB107" s="733"/>
      <c r="AC107" s="638"/>
      <c r="AD107" s="638"/>
    </row>
    <row r="108" spans="1:55" ht="12" customHeight="1">
      <c r="A108" s="17"/>
      <c r="B108" s="3"/>
      <c r="C108" s="68"/>
      <c r="D108" s="17"/>
      <c r="E108" s="17"/>
      <c r="F108" s="38"/>
      <c r="G108" s="17"/>
      <c r="H108" s="17"/>
      <c r="I108" s="17"/>
      <c r="J108" s="17"/>
      <c r="K108" s="17"/>
      <c r="L108" s="3"/>
      <c r="M108" s="17"/>
      <c r="N108" s="17"/>
      <c r="O108" s="69"/>
      <c r="P108" s="70"/>
      <c r="Q108" s="13"/>
      <c r="R108" s="13"/>
      <c r="S108" s="13"/>
      <c r="T108" s="13"/>
      <c r="U108" s="13"/>
      <c r="V108" s="13"/>
      <c r="W108" s="13"/>
      <c r="X108" s="13"/>
      <c r="Y108" s="13"/>
      <c r="Z108" s="14"/>
      <c r="AB108" s="733"/>
      <c r="AC108" s="638"/>
      <c r="AD108" s="638"/>
    </row>
    <row r="109" spans="1:55" ht="12" customHeight="1">
      <c r="A109" s="17"/>
      <c r="B109" s="3"/>
      <c r="C109" s="58" t="s">
        <v>92</v>
      </c>
      <c r="D109" s="17"/>
      <c r="E109" s="17"/>
      <c r="F109" s="38"/>
      <c r="G109" s="17"/>
      <c r="H109" s="17"/>
      <c r="I109" s="17"/>
      <c r="J109" s="17"/>
      <c r="K109" s="17"/>
      <c r="L109" s="3"/>
      <c r="M109" s="17"/>
      <c r="N109" s="17"/>
      <c r="O109" s="2794" t="s">
        <v>93</v>
      </c>
      <c r="P109" s="2795"/>
      <c r="Q109" s="13"/>
      <c r="R109" s="13"/>
      <c r="S109" s="13"/>
      <c r="T109" s="13"/>
      <c r="U109" s="13"/>
      <c r="V109" s="13"/>
      <c r="W109" s="13"/>
      <c r="X109" s="13"/>
      <c r="Y109" s="13"/>
      <c r="Z109" s="14"/>
      <c r="AB109" s="733"/>
      <c r="AC109" s="638"/>
      <c r="AD109" s="638"/>
    </row>
    <row r="110" spans="1:55" ht="12" customHeight="1">
      <c r="A110" s="17"/>
      <c r="B110" s="3"/>
      <c r="C110" s="71"/>
      <c r="D110" s="13"/>
      <c r="E110" s="17"/>
      <c r="F110" s="38"/>
      <c r="G110" s="17"/>
      <c r="H110" s="17"/>
      <c r="I110" s="17"/>
      <c r="J110" s="17"/>
      <c r="K110" s="17"/>
      <c r="L110" s="3"/>
      <c r="M110" s="17"/>
      <c r="N110" s="17"/>
      <c r="O110" s="2796" t="s">
        <v>90</v>
      </c>
      <c r="P110" s="2797"/>
      <c r="Q110" s="72" t="s">
        <v>95</v>
      </c>
      <c r="R110" s="13"/>
      <c r="S110" s="13"/>
      <c r="T110" s="13"/>
      <c r="U110" s="13"/>
      <c r="V110" s="13"/>
      <c r="W110" s="13"/>
      <c r="X110" s="13"/>
      <c r="Y110" s="13"/>
      <c r="Z110" s="14"/>
      <c r="AB110" s="733"/>
      <c r="AC110" s="638"/>
      <c r="AD110" s="638"/>
    </row>
    <row r="111" spans="1:55" ht="12" customHeight="1">
      <c r="A111" s="17"/>
      <c r="B111" s="3"/>
      <c r="C111" s="73"/>
      <c r="D111" s="32"/>
      <c r="E111" s="32"/>
      <c r="F111" s="74"/>
      <c r="G111" s="32"/>
      <c r="H111" s="32"/>
      <c r="I111" s="32"/>
      <c r="J111" s="32"/>
      <c r="K111" s="32"/>
      <c r="L111" s="32"/>
      <c r="M111" s="32"/>
      <c r="N111" s="75"/>
      <c r="O111" s="75"/>
      <c r="P111" s="75"/>
      <c r="Q111" s="75"/>
      <c r="R111" s="75"/>
      <c r="S111" s="75"/>
      <c r="T111" s="75"/>
      <c r="U111" s="75"/>
      <c r="V111" s="75"/>
      <c r="W111" s="75"/>
      <c r="X111" s="75"/>
      <c r="Y111" s="75"/>
      <c r="Z111" s="76"/>
      <c r="AB111" s="733"/>
      <c r="AC111" s="638"/>
      <c r="AD111" s="638"/>
    </row>
    <row r="112" spans="1:55" ht="12" customHeight="1">
      <c r="A112" s="17"/>
      <c r="B112" s="3"/>
      <c r="C112" s="77" t="s">
        <v>96</v>
      </c>
      <c r="D112" s="17"/>
      <c r="E112" s="38"/>
      <c r="F112" s="17"/>
      <c r="G112" s="17"/>
      <c r="H112" s="25"/>
      <c r="I112" s="25"/>
      <c r="J112" s="25"/>
      <c r="K112" s="25"/>
      <c r="L112" s="25"/>
      <c r="M112" s="3"/>
      <c r="N112" s="3"/>
      <c r="O112" s="3"/>
      <c r="P112" s="3"/>
      <c r="Q112" s="3"/>
      <c r="R112" s="3"/>
      <c r="S112" s="3"/>
      <c r="T112" s="3"/>
      <c r="U112" s="3"/>
      <c r="V112" s="3"/>
      <c r="W112" s="3"/>
      <c r="X112" s="3"/>
      <c r="Y112" s="3"/>
      <c r="Z112" s="3"/>
      <c r="AB112" s="733"/>
      <c r="AC112" s="638"/>
      <c r="AD112" s="638"/>
    </row>
    <row r="113" spans="1:30" ht="12" customHeight="1">
      <c r="A113" s="17"/>
      <c r="B113" s="3"/>
      <c r="C113" s="77"/>
      <c r="D113" s="17"/>
      <c r="E113" s="38"/>
      <c r="F113" s="17"/>
      <c r="G113" s="17"/>
      <c r="H113" s="25"/>
      <c r="I113" s="25"/>
      <c r="J113" s="25"/>
      <c r="K113" s="25"/>
      <c r="L113" s="25"/>
      <c r="M113" s="3"/>
      <c r="N113" s="3"/>
      <c r="O113" s="3"/>
      <c r="P113" s="3"/>
      <c r="Q113" s="3"/>
      <c r="R113" s="3"/>
      <c r="S113" s="3"/>
      <c r="T113" s="3"/>
      <c r="U113" s="3"/>
      <c r="V113" s="3"/>
      <c r="W113" s="3"/>
      <c r="X113" s="3"/>
      <c r="Y113" s="3"/>
      <c r="Z113" s="3"/>
      <c r="AB113" s="733"/>
      <c r="AC113" s="638"/>
      <c r="AD113" s="638"/>
    </row>
    <row r="114" spans="1:30" ht="12" customHeight="1">
      <c r="A114" s="17"/>
      <c r="B114" s="31" t="s">
        <v>137</v>
      </c>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B114" s="733"/>
      <c r="AC114" s="638"/>
      <c r="AD114" s="638"/>
    </row>
    <row r="115" spans="1:30" ht="12" customHeight="1">
      <c r="A115" s="17"/>
      <c r="B115" s="648">
        <v>1</v>
      </c>
      <c r="C115" s="458" t="s">
        <v>67</v>
      </c>
      <c r="D115" s="459"/>
      <c r="E115" s="459"/>
      <c r="F115" s="459"/>
      <c r="G115" s="459"/>
      <c r="H115" s="460"/>
      <c r="I115" s="461"/>
      <c r="J115" s="459"/>
      <c r="K115" s="462"/>
      <c r="L115" s="459"/>
      <c r="M115" s="459"/>
      <c r="N115" s="459"/>
      <c r="O115" s="459"/>
      <c r="P115" s="459"/>
      <c r="Q115" s="458"/>
      <c r="R115" s="459"/>
      <c r="S115" s="462"/>
      <c r="T115" s="459"/>
      <c r="U115" s="459"/>
      <c r="V115" s="459"/>
      <c r="W115" s="459"/>
      <c r="X115" s="459"/>
      <c r="Y115" s="463"/>
      <c r="Z115" s="464"/>
      <c r="AB115" s="733"/>
      <c r="AC115" s="638"/>
      <c r="AD115" s="638"/>
    </row>
    <row r="116" spans="1:30" ht="12" customHeight="1">
      <c r="A116" s="17"/>
      <c r="B116" s="649">
        <v>2</v>
      </c>
      <c r="C116" s="465" t="s">
        <v>65</v>
      </c>
      <c r="D116" s="459"/>
      <c r="E116" s="459"/>
      <c r="F116" s="459"/>
      <c r="G116" s="459"/>
      <c r="H116" s="460"/>
      <c r="I116" s="466" t="s">
        <v>66</v>
      </c>
      <c r="J116" s="459"/>
      <c r="K116" s="467"/>
      <c r="L116" s="459"/>
      <c r="M116" s="459"/>
      <c r="N116" s="459"/>
      <c r="O116" s="459"/>
      <c r="P116" s="459"/>
      <c r="Q116" s="468" t="s">
        <v>433</v>
      </c>
      <c r="R116" s="459"/>
      <c r="S116" s="467"/>
      <c r="T116" s="459"/>
      <c r="U116" s="459"/>
      <c r="V116" s="459"/>
      <c r="W116" s="459"/>
      <c r="X116" s="459"/>
      <c r="Y116" s="463"/>
      <c r="Z116" s="464"/>
      <c r="AB116" s="733"/>
      <c r="AC116" s="638"/>
      <c r="AD116" s="638"/>
    </row>
    <row r="117" spans="1:30" ht="12" customHeight="1">
      <c r="A117" s="17"/>
      <c r="B117" s="650">
        <v>3</v>
      </c>
      <c r="C117" s="469" t="s">
        <v>136</v>
      </c>
      <c r="D117" s="470"/>
      <c r="E117" s="470"/>
      <c r="F117" s="470"/>
      <c r="G117" s="470"/>
      <c r="H117" s="471"/>
      <c r="I117" s="472" t="s">
        <v>68</v>
      </c>
      <c r="J117" s="470"/>
      <c r="K117" s="473"/>
      <c r="L117" s="470"/>
      <c r="M117" s="470"/>
      <c r="N117" s="470"/>
      <c r="O117" s="470"/>
      <c r="P117" s="470"/>
      <c r="Q117" s="469" t="s">
        <v>138</v>
      </c>
      <c r="R117" s="470"/>
      <c r="S117" s="473"/>
      <c r="T117" s="470"/>
      <c r="U117" s="470"/>
      <c r="V117" s="470"/>
      <c r="W117" s="470"/>
      <c r="X117" s="470"/>
      <c r="Y117" s="474"/>
      <c r="Z117" s="475"/>
      <c r="AB117" s="733"/>
      <c r="AC117" s="638"/>
      <c r="AD117" s="638"/>
    </row>
    <row r="118" spans="1:30" ht="12" customHeight="1">
      <c r="A118" s="13"/>
      <c r="B118" s="28"/>
      <c r="C118" s="3"/>
      <c r="D118" s="3"/>
      <c r="E118" s="3"/>
      <c r="F118" s="3"/>
      <c r="G118" s="3"/>
      <c r="H118" s="3"/>
      <c r="I118" s="3"/>
      <c r="J118" s="3"/>
      <c r="K118" s="3"/>
      <c r="L118" s="3"/>
      <c r="M118" s="3"/>
      <c r="N118" s="3"/>
      <c r="O118" s="3"/>
      <c r="P118" s="3"/>
      <c r="Q118" s="3"/>
      <c r="R118" s="3"/>
      <c r="S118" s="3"/>
      <c r="T118" s="3"/>
      <c r="U118" s="3"/>
      <c r="V118" s="3"/>
      <c r="W118" s="3"/>
      <c r="X118" s="3"/>
      <c r="Y118" s="3"/>
      <c r="Z118" s="3"/>
      <c r="AB118" s="733"/>
      <c r="AC118" s="638"/>
      <c r="AD118" s="638"/>
    </row>
    <row r="119" spans="1:30" ht="12" customHeight="1">
      <c r="A119" s="13"/>
      <c r="B119" s="37" t="s">
        <v>627</v>
      </c>
      <c r="C119" s="3"/>
      <c r="D119" s="3"/>
      <c r="E119" s="3"/>
      <c r="F119" s="3"/>
      <c r="G119" s="3"/>
      <c r="H119" s="3"/>
      <c r="I119" s="3"/>
      <c r="J119" s="3"/>
      <c r="K119" s="3"/>
      <c r="L119" s="3"/>
      <c r="M119" s="3"/>
      <c r="N119" s="3"/>
      <c r="O119" s="3"/>
      <c r="P119" s="3"/>
      <c r="Q119" s="3"/>
      <c r="R119" s="3"/>
      <c r="S119" s="3"/>
      <c r="T119" s="3"/>
      <c r="U119" s="3"/>
      <c r="V119" s="3"/>
      <c r="W119" s="3"/>
      <c r="X119" s="3"/>
      <c r="Y119" s="3"/>
      <c r="Z119" s="3"/>
      <c r="AB119" s="733"/>
      <c r="AC119" s="638"/>
      <c r="AD119" s="638"/>
    </row>
    <row r="120" spans="1:30" ht="12" customHeight="1">
      <c r="A120" s="13"/>
      <c r="B120" s="37"/>
      <c r="C120" s="3"/>
      <c r="D120" s="3"/>
      <c r="E120" s="3"/>
      <c r="F120" s="3"/>
      <c r="G120" s="3"/>
      <c r="H120" s="3"/>
      <c r="I120" s="3"/>
      <c r="J120" s="3"/>
      <c r="K120" s="3"/>
      <c r="L120" s="3"/>
      <c r="M120" s="3"/>
      <c r="N120" s="3"/>
      <c r="O120" s="3"/>
      <c r="P120" s="3"/>
      <c r="Q120" s="3"/>
      <c r="R120" s="3"/>
      <c r="S120" s="3"/>
      <c r="T120" s="3"/>
      <c r="U120" s="3"/>
      <c r="V120" s="3"/>
      <c r="W120" s="3"/>
      <c r="X120" s="3"/>
      <c r="Y120" s="3"/>
      <c r="Z120" s="3"/>
      <c r="AB120" s="733"/>
      <c r="AC120" s="638"/>
      <c r="AD120" s="638"/>
    </row>
    <row r="121" spans="1:30" ht="12" customHeight="1">
      <c r="A121" s="13"/>
      <c r="B121" s="42" t="s">
        <v>434</v>
      </c>
      <c r="C121" s="42"/>
      <c r="D121" s="17"/>
      <c r="E121" s="38"/>
      <c r="F121" s="17"/>
      <c r="G121" s="17"/>
      <c r="H121" s="17"/>
      <c r="I121" s="3"/>
      <c r="J121" s="17"/>
      <c r="K121" s="17"/>
      <c r="L121" s="17"/>
      <c r="M121" s="3"/>
      <c r="N121" s="3"/>
      <c r="O121" s="3"/>
      <c r="P121" s="3"/>
      <c r="Q121" s="3"/>
      <c r="R121" s="3"/>
      <c r="S121" s="3"/>
      <c r="T121" s="3"/>
      <c r="U121" s="3"/>
      <c r="V121" s="3"/>
      <c r="W121" s="3"/>
      <c r="X121" s="3"/>
      <c r="Y121" s="3"/>
      <c r="Z121" s="3"/>
      <c r="AB121" s="733"/>
      <c r="AC121" s="638"/>
      <c r="AD121" s="638"/>
    </row>
    <row r="122" spans="1:30" ht="12" customHeight="1">
      <c r="A122" s="13"/>
      <c r="B122" s="42"/>
      <c r="C122" s="42"/>
      <c r="D122" s="17"/>
      <c r="E122" s="38"/>
      <c r="F122" s="17"/>
      <c r="G122" s="17"/>
      <c r="H122" s="17"/>
      <c r="I122" s="3"/>
      <c r="J122" s="17"/>
      <c r="K122" s="17"/>
      <c r="L122" s="17"/>
      <c r="M122" s="3"/>
      <c r="N122" s="3"/>
      <c r="O122" s="3"/>
      <c r="P122" s="3"/>
      <c r="Q122" s="3"/>
      <c r="R122" s="3"/>
      <c r="S122" s="3"/>
      <c r="T122" s="3"/>
      <c r="U122" s="3"/>
      <c r="V122" s="3"/>
      <c r="W122" s="3"/>
      <c r="X122" s="3"/>
      <c r="Y122" s="3"/>
      <c r="Z122" s="3"/>
      <c r="AB122" s="733"/>
      <c r="AC122" s="638"/>
      <c r="AD122" s="638"/>
    </row>
    <row r="123" spans="1:30" ht="12" customHeight="1">
      <c r="A123" s="13"/>
      <c r="B123" s="42"/>
      <c r="C123" s="42"/>
      <c r="D123" s="17"/>
      <c r="E123" s="2786" t="s">
        <v>149</v>
      </c>
      <c r="F123" s="2786"/>
      <c r="G123" s="17"/>
      <c r="H123" s="17"/>
      <c r="I123" s="2786" t="s">
        <v>152</v>
      </c>
      <c r="J123" s="2786"/>
      <c r="K123" s="17"/>
      <c r="L123" s="17"/>
      <c r="M123" s="2786" t="s">
        <v>153</v>
      </c>
      <c r="N123" s="2786"/>
      <c r="O123" s="3"/>
      <c r="P123" s="3"/>
      <c r="Q123" s="2786" t="s">
        <v>154</v>
      </c>
      <c r="R123" s="2786"/>
      <c r="S123" s="3"/>
      <c r="T123" s="3"/>
      <c r="U123" s="2786" t="s">
        <v>155</v>
      </c>
      <c r="V123" s="2786"/>
      <c r="W123" s="3"/>
      <c r="X123" s="3"/>
      <c r="Y123" s="2786" t="s">
        <v>156</v>
      </c>
      <c r="Z123" s="2786"/>
      <c r="AB123" s="733"/>
      <c r="AC123" s="638"/>
      <c r="AD123" s="638"/>
    </row>
    <row r="124" spans="1:30" ht="12" customHeight="1">
      <c r="A124" s="13"/>
      <c r="B124" s="25"/>
      <c r="C124" s="35"/>
      <c r="D124" s="17"/>
      <c r="E124" s="2787" t="s">
        <v>140</v>
      </c>
      <c r="F124" s="2787"/>
      <c r="G124" s="17"/>
      <c r="H124" s="17"/>
      <c r="I124" s="2787" t="s">
        <v>140</v>
      </c>
      <c r="J124" s="2787"/>
      <c r="K124" s="17"/>
      <c r="L124" s="17"/>
      <c r="M124" s="2787" t="s">
        <v>140</v>
      </c>
      <c r="N124" s="2787"/>
      <c r="O124" s="3"/>
      <c r="P124" s="3"/>
      <c r="Q124" s="2787" t="s">
        <v>140</v>
      </c>
      <c r="R124" s="2787"/>
      <c r="S124" s="3"/>
      <c r="T124" s="3"/>
      <c r="U124" s="2787" t="s">
        <v>140</v>
      </c>
      <c r="V124" s="2787"/>
      <c r="W124" s="3"/>
      <c r="X124" s="3"/>
      <c r="Y124" s="2787" t="s">
        <v>140</v>
      </c>
      <c r="Z124" s="2787"/>
      <c r="AB124" s="733"/>
      <c r="AC124" s="638"/>
      <c r="AD124" s="638"/>
    </row>
    <row r="125" spans="1:30" ht="12" customHeight="1">
      <c r="A125" s="13"/>
      <c r="B125" s="25"/>
      <c r="C125" s="2782" t="s">
        <v>54</v>
      </c>
      <c r="D125" s="2783"/>
      <c r="E125" s="2784" t="s">
        <v>55</v>
      </c>
      <c r="F125" s="2785"/>
      <c r="G125" s="2782" t="s">
        <v>56</v>
      </c>
      <c r="H125" s="2783"/>
      <c r="I125" s="2784" t="s">
        <v>57</v>
      </c>
      <c r="J125" s="2785"/>
      <c r="K125" s="2782" t="s">
        <v>39</v>
      </c>
      <c r="L125" s="2783"/>
      <c r="M125" s="2784" t="s">
        <v>58</v>
      </c>
      <c r="N125" s="2785"/>
      <c r="O125" s="2782" t="s">
        <v>59</v>
      </c>
      <c r="P125" s="2783"/>
      <c r="Q125" s="2784" t="s">
        <v>60</v>
      </c>
      <c r="R125" s="2785"/>
      <c r="S125" s="2782" t="s">
        <v>61</v>
      </c>
      <c r="T125" s="2783"/>
      <c r="U125" s="2784" t="s">
        <v>62</v>
      </c>
      <c r="V125" s="2785"/>
      <c r="W125" s="2782" t="s">
        <v>63</v>
      </c>
      <c r="X125" s="2783"/>
      <c r="Y125" s="2784" t="s">
        <v>64</v>
      </c>
      <c r="Z125" s="2785"/>
      <c r="AB125" s="733"/>
      <c r="AC125" s="638"/>
      <c r="AD125" s="638"/>
    </row>
    <row r="126" spans="1:30" ht="12" customHeight="1">
      <c r="A126" s="13"/>
      <c r="B126" s="25"/>
      <c r="C126" s="2772" t="s">
        <v>141</v>
      </c>
      <c r="D126" s="2772"/>
      <c r="E126" s="90"/>
      <c r="F126" s="90"/>
      <c r="G126" s="2772" t="s">
        <v>141</v>
      </c>
      <c r="H126" s="2772"/>
      <c r="I126" s="90"/>
      <c r="J126" s="90"/>
      <c r="K126" s="2772" t="s">
        <v>141</v>
      </c>
      <c r="L126" s="2772"/>
      <c r="M126" s="90"/>
      <c r="N126" s="90"/>
      <c r="O126" s="2772" t="s">
        <v>141</v>
      </c>
      <c r="P126" s="2772"/>
      <c r="Q126" s="90"/>
      <c r="R126" s="90"/>
      <c r="S126" s="2772" t="s">
        <v>141</v>
      </c>
      <c r="T126" s="2772"/>
      <c r="U126" s="90"/>
      <c r="V126" s="90"/>
      <c r="W126" s="2772" t="s">
        <v>141</v>
      </c>
      <c r="X126" s="2772"/>
      <c r="Y126" s="3"/>
      <c r="Z126" s="3"/>
      <c r="AB126" s="733"/>
      <c r="AC126" s="638"/>
      <c r="AD126" s="638"/>
    </row>
    <row r="127" spans="1:30" ht="12" customHeight="1">
      <c r="A127" s="13"/>
      <c r="B127" s="25"/>
      <c r="C127" s="2786" t="s">
        <v>146</v>
      </c>
      <c r="D127" s="2786"/>
      <c r="E127" s="91"/>
      <c r="F127" s="91"/>
      <c r="G127" s="2786" t="s">
        <v>147</v>
      </c>
      <c r="H127" s="2786"/>
      <c r="I127" s="91"/>
      <c r="J127" s="91"/>
      <c r="K127" s="2786" t="s">
        <v>148</v>
      </c>
      <c r="L127" s="2786"/>
      <c r="M127" s="91"/>
      <c r="N127" s="91"/>
      <c r="O127" s="2786" t="s">
        <v>150</v>
      </c>
      <c r="P127" s="2786"/>
      <c r="Q127" s="91"/>
      <c r="R127" s="91"/>
      <c r="S127" s="2786" t="s">
        <v>151</v>
      </c>
      <c r="T127" s="2786"/>
      <c r="U127" s="91"/>
      <c r="V127" s="91"/>
      <c r="W127" s="2786" t="s">
        <v>144</v>
      </c>
      <c r="X127" s="2786"/>
      <c r="Y127" s="3"/>
      <c r="Z127" s="3"/>
      <c r="AB127" s="733"/>
      <c r="AC127" s="638"/>
      <c r="AD127" s="638"/>
    </row>
    <row r="128" spans="1:30" ht="12" customHeight="1">
      <c r="A128" s="13"/>
      <c r="B128" s="17"/>
      <c r="C128" s="3"/>
      <c r="D128" s="38"/>
      <c r="E128" s="17"/>
      <c r="F128" s="17"/>
      <c r="G128" s="17"/>
      <c r="H128" s="25"/>
      <c r="I128" s="25"/>
      <c r="J128" s="25"/>
      <c r="K128" s="25"/>
      <c r="L128" s="25"/>
      <c r="M128" s="3"/>
      <c r="N128" s="3"/>
      <c r="O128" s="3"/>
      <c r="P128" s="3"/>
      <c r="Q128" s="3"/>
      <c r="R128" s="3"/>
      <c r="S128" s="3"/>
      <c r="T128" s="3"/>
      <c r="U128" s="3"/>
      <c r="V128" s="3"/>
      <c r="W128" s="3"/>
      <c r="X128" s="3"/>
      <c r="Y128" s="3"/>
      <c r="Z128" s="3"/>
      <c r="AB128" s="733"/>
      <c r="AC128" s="638"/>
      <c r="AD128" s="638"/>
    </row>
    <row r="129" spans="1:30" ht="12" customHeight="1">
      <c r="A129" s="13"/>
      <c r="B129" s="39" t="s">
        <v>435</v>
      </c>
      <c r="C129" s="25"/>
      <c r="D129" s="38"/>
      <c r="E129" s="17"/>
      <c r="F129" s="17"/>
      <c r="G129" s="17"/>
      <c r="H129" s="25"/>
      <c r="I129" s="25"/>
      <c r="J129" s="25"/>
      <c r="K129" s="25"/>
      <c r="L129" s="25"/>
      <c r="M129" s="3"/>
      <c r="N129" s="3"/>
      <c r="O129" s="3"/>
      <c r="P129" s="3"/>
      <c r="Q129" s="3"/>
      <c r="R129" s="3"/>
      <c r="S129" s="3"/>
      <c r="T129" s="3"/>
      <c r="U129" s="3"/>
      <c r="V129" s="3"/>
      <c r="W129" s="3"/>
      <c r="X129" s="3"/>
      <c r="Y129" s="3"/>
      <c r="Z129" s="3"/>
      <c r="AB129" s="733"/>
      <c r="AC129" s="638"/>
      <c r="AD129" s="638"/>
    </row>
    <row r="130" spans="1:30" ht="12" customHeight="1">
      <c r="A130" s="13"/>
      <c r="B130" s="25"/>
      <c r="C130" s="3"/>
      <c r="D130" s="38"/>
      <c r="E130" s="17"/>
      <c r="F130" s="17"/>
      <c r="G130" s="17"/>
      <c r="H130" s="25"/>
      <c r="I130" s="25"/>
      <c r="J130" s="25"/>
      <c r="K130" s="25"/>
      <c r="L130" s="25"/>
      <c r="M130" s="3"/>
      <c r="N130" s="3"/>
      <c r="O130" s="3"/>
      <c r="P130" s="3"/>
      <c r="Q130" s="3"/>
      <c r="R130" s="3"/>
      <c r="S130" s="3"/>
      <c r="T130" s="3"/>
      <c r="U130" s="3"/>
      <c r="V130" s="3"/>
      <c r="W130" s="3"/>
      <c r="X130" s="3"/>
      <c r="Y130" s="3"/>
      <c r="Z130" s="3"/>
      <c r="AB130" s="733"/>
      <c r="AC130" s="638"/>
      <c r="AD130" s="638"/>
    </row>
    <row r="131" spans="1:30" ht="12" customHeight="1">
      <c r="A131" s="13"/>
      <c r="B131" s="25"/>
      <c r="C131" s="2775" t="s">
        <v>54</v>
      </c>
      <c r="D131" s="2774"/>
      <c r="E131" s="2775" t="s">
        <v>55</v>
      </c>
      <c r="F131" s="2774"/>
      <c r="G131" s="2775" t="s">
        <v>56</v>
      </c>
      <c r="H131" s="2781"/>
      <c r="I131" s="2777" t="s">
        <v>57</v>
      </c>
      <c r="J131" s="2778"/>
      <c r="K131" s="2779" t="s">
        <v>39</v>
      </c>
      <c r="L131" s="2778"/>
      <c r="M131" s="2779" t="s">
        <v>58</v>
      </c>
      <c r="N131" s="2780"/>
      <c r="O131" s="2773" t="s">
        <v>59</v>
      </c>
      <c r="P131" s="2774"/>
      <c r="Q131" s="2775" t="s">
        <v>60</v>
      </c>
      <c r="R131" s="2774"/>
      <c r="S131" s="2775" t="s">
        <v>61</v>
      </c>
      <c r="T131" s="2776"/>
      <c r="U131" s="2777" t="s">
        <v>62</v>
      </c>
      <c r="V131" s="2778"/>
      <c r="W131" s="2779" t="s">
        <v>63</v>
      </c>
      <c r="X131" s="2778"/>
      <c r="Y131" s="2779" t="s">
        <v>64</v>
      </c>
      <c r="Z131" s="2778"/>
      <c r="AB131" s="733"/>
      <c r="AC131" s="638"/>
      <c r="AD131" s="638"/>
    </row>
    <row r="132" spans="1:30" ht="12" customHeight="1">
      <c r="A132" s="13"/>
      <c r="B132" s="25"/>
      <c r="C132" s="40"/>
      <c r="D132" s="41"/>
      <c r="E132" s="2772" t="s">
        <v>141</v>
      </c>
      <c r="F132" s="2772"/>
      <c r="G132" s="40"/>
      <c r="H132" s="40"/>
      <c r="I132" s="40"/>
      <c r="J132" s="40"/>
      <c r="K132" s="2772" t="s">
        <v>141</v>
      </c>
      <c r="L132" s="2772"/>
      <c r="M132" s="3"/>
      <c r="N132" s="3"/>
      <c r="O132" s="3"/>
      <c r="P132" s="3"/>
      <c r="Q132" s="2772" t="s">
        <v>141</v>
      </c>
      <c r="R132" s="2772"/>
      <c r="S132" s="3"/>
      <c r="T132" s="3"/>
      <c r="U132" s="3"/>
      <c r="V132" s="3"/>
      <c r="W132" s="2772" t="s">
        <v>141</v>
      </c>
      <c r="X132" s="2772"/>
      <c r="Y132" s="3"/>
      <c r="Z132" s="3"/>
      <c r="AB132" s="733"/>
      <c r="AC132" s="638"/>
      <c r="AD132" s="638"/>
    </row>
    <row r="133" spans="1:30" ht="12" customHeight="1">
      <c r="A133" s="13"/>
      <c r="B133" s="25"/>
      <c r="C133" s="17"/>
      <c r="D133" s="17"/>
      <c r="E133" s="25" t="s">
        <v>142</v>
      </c>
      <c r="F133" s="25"/>
      <c r="G133" s="17"/>
      <c r="H133" s="17"/>
      <c r="I133" s="17"/>
      <c r="J133" s="17"/>
      <c r="K133" s="25" t="s">
        <v>159</v>
      </c>
      <c r="L133" s="25"/>
      <c r="M133" s="3"/>
      <c r="N133" s="3"/>
      <c r="O133" s="3"/>
      <c r="P133" s="3"/>
      <c r="Q133" s="25" t="s">
        <v>143</v>
      </c>
      <c r="R133" s="25"/>
      <c r="S133" s="3"/>
      <c r="T133" s="3"/>
      <c r="U133" s="3"/>
      <c r="V133" s="3"/>
      <c r="W133" s="25" t="s">
        <v>145</v>
      </c>
      <c r="X133" s="25"/>
      <c r="Y133" s="3"/>
      <c r="Z133" s="3"/>
      <c r="AB133" s="733"/>
      <c r="AC133" s="638"/>
      <c r="AD133" s="638"/>
    </row>
    <row r="134" spans="1:30" ht="12" customHeight="1">
      <c r="A134" s="13"/>
      <c r="B134" s="25"/>
      <c r="C134" s="17"/>
      <c r="D134" s="17"/>
      <c r="E134" s="38"/>
      <c r="F134" s="17"/>
      <c r="G134" s="17"/>
      <c r="H134" s="17"/>
      <c r="I134" s="17"/>
      <c r="J134" s="17"/>
      <c r="K134" s="17"/>
      <c r="L134" s="17"/>
      <c r="M134" s="3"/>
      <c r="N134" s="3"/>
      <c r="O134" s="3"/>
      <c r="P134" s="3"/>
      <c r="Q134" s="3"/>
      <c r="R134" s="3"/>
      <c r="S134" s="3"/>
      <c r="T134" s="3"/>
      <c r="U134" s="3"/>
      <c r="V134" s="3"/>
      <c r="W134" s="3"/>
      <c r="X134" s="3"/>
      <c r="Y134" s="3"/>
      <c r="Z134" s="3"/>
      <c r="AB134" s="733"/>
      <c r="AC134" s="638"/>
      <c r="AD134" s="638"/>
    </row>
    <row r="135" spans="1:30" ht="12" customHeight="1">
      <c r="A135" s="13"/>
      <c r="B135" s="89" t="s">
        <v>86</v>
      </c>
      <c r="C135" s="35"/>
      <c r="D135" s="17"/>
      <c r="E135" s="38"/>
      <c r="F135" s="17"/>
      <c r="G135" s="17"/>
      <c r="H135" s="17"/>
      <c r="I135" s="3"/>
      <c r="J135" s="17"/>
      <c r="K135" s="17"/>
      <c r="L135" s="17"/>
      <c r="M135" s="3"/>
      <c r="N135" s="3"/>
      <c r="O135" s="3"/>
      <c r="P135" s="3"/>
      <c r="Q135" s="3"/>
      <c r="R135" s="3"/>
      <c r="S135" s="3"/>
      <c r="T135" s="3"/>
      <c r="U135" s="3"/>
      <c r="V135" s="3"/>
      <c r="W135" s="3"/>
      <c r="X135" s="3"/>
      <c r="Y135" s="3"/>
      <c r="Z135" s="3"/>
      <c r="AB135" s="733"/>
      <c r="AC135" s="638"/>
      <c r="AD135" s="638"/>
    </row>
    <row r="136" spans="1:30" ht="12" customHeight="1">
      <c r="A136" s="13"/>
      <c r="B136" s="89"/>
      <c r="C136" s="35"/>
      <c r="D136" s="17"/>
      <c r="E136" s="38"/>
      <c r="F136" s="17"/>
      <c r="G136" s="17"/>
      <c r="H136" s="17"/>
      <c r="I136" s="3"/>
      <c r="J136" s="17"/>
      <c r="K136" s="17"/>
      <c r="L136" s="17"/>
      <c r="M136" s="3"/>
      <c r="N136" s="3"/>
      <c r="O136" s="3"/>
      <c r="P136" s="3"/>
      <c r="Q136" s="3"/>
      <c r="R136" s="3"/>
      <c r="S136" s="3"/>
      <c r="T136" s="3"/>
      <c r="U136" s="3"/>
      <c r="V136" s="3"/>
      <c r="W136" s="3"/>
      <c r="X136" s="3"/>
      <c r="Y136" s="3"/>
      <c r="Z136" s="3"/>
      <c r="AB136" s="733"/>
      <c r="AC136" s="638"/>
      <c r="AD136" s="638"/>
    </row>
    <row r="137" spans="1:30" ht="12" customHeight="1">
      <c r="A137" s="13"/>
      <c r="B137" s="391" t="s">
        <v>663</v>
      </c>
      <c r="C137" s="3"/>
      <c r="D137" s="17"/>
      <c r="E137" s="38"/>
      <c r="F137" s="17"/>
      <c r="G137" s="17"/>
      <c r="H137" s="17"/>
      <c r="I137" s="3"/>
      <c r="J137" s="17"/>
      <c r="K137" s="17"/>
      <c r="L137" s="17"/>
      <c r="M137" s="3"/>
      <c r="N137" s="3"/>
      <c r="O137" s="3"/>
      <c r="P137" s="3"/>
      <c r="Q137" s="3"/>
      <c r="R137" s="3"/>
      <c r="S137" s="3"/>
      <c r="T137" s="3"/>
      <c r="U137" s="3"/>
      <c r="V137" s="3"/>
      <c r="W137" s="3"/>
      <c r="X137" s="3"/>
      <c r="Y137" s="3"/>
      <c r="Z137" s="3"/>
      <c r="AB137" s="733"/>
      <c r="AC137" s="638"/>
      <c r="AD137" s="638"/>
    </row>
    <row r="138" spans="1:30" ht="12" customHeight="1">
      <c r="A138" s="13"/>
      <c r="B138" s="44" t="s">
        <v>664</v>
      </c>
      <c r="C138" s="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B138" s="733"/>
      <c r="AC138" s="638"/>
      <c r="AD138" s="638"/>
    </row>
    <row r="139" spans="1:30" ht="12" customHeight="1">
      <c r="A139" s="13"/>
      <c r="B139" s="44" t="s">
        <v>665</v>
      </c>
      <c r="C139" s="3"/>
      <c r="D139" s="3"/>
      <c r="E139" s="3"/>
      <c r="F139" s="3"/>
      <c r="G139" s="3"/>
      <c r="H139" s="3"/>
      <c r="I139" s="3"/>
      <c r="J139" s="3"/>
      <c r="K139" s="3"/>
      <c r="L139" s="3"/>
      <c r="M139" s="3"/>
      <c r="N139" s="3"/>
      <c r="O139" s="3"/>
      <c r="P139" s="3"/>
      <c r="Q139" s="3"/>
      <c r="R139" s="3"/>
      <c r="S139" s="3"/>
      <c r="T139" s="3"/>
      <c r="U139" s="3"/>
      <c r="V139" s="3"/>
      <c r="W139" s="3"/>
      <c r="X139" s="3"/>
      <c r="Y139" s="3"/>
      <c r="Z139" s="3"/>
      <c r="AB139" s="733"/>
      <c r="AC139" s="638"/>
      <c r="AD139" s="638"/>
    </row>
    <row r="140" spans="1:30" ht="12" customHeight="1">
      <c r="A140" s="13"/>
      <c r="B140" s="44"/>
      <c r="C140" s="45"/>
      <c r="D140" s="3"/>
      <c r="E140" s="3"/>
      <c r="F140" s="3"/>
      <c r="G140" s="3"/>
      <c r="H140" s="3"/>
      <c r="I140" s="3"/>
      <c r="J140" s="3"/>
      <c r="K140" s="3"/>
      <c r="L140" s="3"/>
      <c r="M140" s="3"/>
      <c r="N140" s="3"/>
      <c r="O140" s="3"/>
      <c r="P140" s="3"/>
      <c r="Q140" s="3"/>
      <c r="R140" s="3"/>
      <c r="S140" s="3"/>
      <c r="T140" s="3"/>
      <c r="U140" s="3"/>
      <c r="V140" s="3"/>
      <c r="W140" s="3"/>
      <c r="X140" s="3"/>
      <c r="Y140" s="3"/>
      <c r="Z140" s="3"/>
      <c r="AB140" s="733"/>
      <c r="AC140" s="638"/>
      <c r="AD140" s="638"/>
    </row>
    <row r="141" spans="1:30" ht="12" customHeight="1">
      <c r="A141" s="13"/>
      <c r="B141" s="25"/>
      <c r="C141" s="541" t="s">
        <v>54</v>
      </c>
      <c r="D141" s="541" t="s">
        <v>55</v>
      </c>
      <c r="E141" s="541" t="s">
        <v>56</v>
      </c>
      <c r="F141" s="541" t="s">
        <v>57</v>
      </c>
      <c r="G141" s="541" t="s">
        <v>39</v>
      </c>
      <c r="H141" s="541" t="s">
        <v>58</v>
      </c>
      <c r="I141" s="541" t="s">
        <v>59</v>
      </c>
      <c r="J141" s="541" t="s">
        <v>60</v>
      </c>
      <c r="K141" s="541" t="s">
        <v>61</v>
      </c>
      <c r="L141" s="541" t="s">
        <v>62</v>
      </c>
      <c r="M141" s="541" t="s">
        <v>63</v>
      </c>
      <c r="N141" s="542" t="s">
        <v>64</v>
      </c>
      <c r="O141" s="543" t="s">
        <v>54</v>
      </c>
      <c r="P141" s="543" t="s">
        <v>55</v>
      </c>
      <c r="Q141" s="543" t="s">
        <v>56</v>
      </c>
      <c r="R141" s="543" t="s">
        <v>57</v>
      </c>
      <c r="S141" s="543" t="s">
        <v>39</v>
      </c>
      <c r="T141" s="43"/>
      <c r="U141" s="43"/>
      <c r="V141" s="43"/>
      <c r="W141" s="43"/>
      <c r="X141" s="43"/>
      <c r="Y141" s="43"/>
      <c r="Z141" s="43"/>
      <c r="AB141" s="733"/>
      <c r="AC141" s="638"/>
      <c r="AD141" s="638"/>
    </row>
    <row r="142" spans="1:30" ht="12" customHeight="1">
      <c r="A142" s="13"/>
      <c r="B142" s="25"/>
      <c r="C142" s="43"/>
      <c r="D142" s="43"/>
      <c r="E142" s="43"/>
      <c r="F142" s="43"/>
      <c r="G142" s="43"/>
      <c r="H142" s="43"/>
      <c r="I142" s="43"/>
      <c r="J142" s="43"/>
      <c r="K142" s="43"/>
      <c r="L142" s="43"/>
      <c r="M142" s="43"/>
      <c r="N142" s="43"/>
      <c r="O142" s="43"/>
      <c r="P142" s="1"/>
      <c r="Q142" s="43"/>
      <c r="R142" s="43"/>
      <c r="S142" s="43" t="s">
        <v>141</v>
      </c>
      <c r="T142" s="43"/>
      <c r="U142" s="43"/>
      <c r="V142" s="43"/>
      <c r="W142" s="43"/>
      <c r="X142" s="43"/>
      <c r="Y142" s="43"/>
      <c r="Z142" s="43"/>
      <c r="AB142" s="733"/>
      <c r="AC142" s="638"/>
      <c r="AD142" s="638"/>
    </row>
    <row r="143" spans="1:30" ht="12" customHeight="1">
      <c r="A143" s="13"/>
      <c r="B143" s="25"/>
      <c r="C143" s="43"/>
      <c r="D143" s="43"/>
      <c r="E143" s="43"/>
      <c r="F143" s="43"/>
      <c r="G143" s="43"/>
      <c r="H143" s="43"/>
      <c r="I143" s="43"/>
      <c r="J143" s="43"/>
      <c r="K143" s="43"/>
      <c r="L143" s="43"/>
      <c r="M143" s="43"/>
      <c r="N143" s="43"/>
      <c r="O143" s="43"/>
      <c r="P143" s="1"/>
      <c r="Q143" s="43"/>
      <c r="R143" s="43"/>
      <c r="S143" s="43" t="s">
        <v>666</v>
      </c>
      <c r="T143" s="43"/>
      <c r="U143" s="43"/>
      <c r="V143" s="43"/>
      <c r="W143" s="43"/>
      <c r="X143" s="43"/>
      <c r="Y143" s="43"/>
      <c r="Z143" s="43"/>
      <c r="AB143" s="733"/>
      <c r="AC143" s="638"/>
      <c r="AD143" s="638"/>
    </row>
    <row r="144" spans="1:30" ht="12" customHeight="1">
      <c r="A144" s="13"/>
      <c r="B144" s="25"/>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B144" s="733"/>
      <c r="AC144" s="638"/>
      <c r="AD144" s="638"/>
    </row>
    <row r="145" spans="1:57" ht="12" customHeight="1">
      <c r="A145" s="13"/>
      <c r="B145" s="391" t="s">
        <v>667</v>
      </c>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B145" s="733"/>
      <c r="AC145" s="638"/>
      <c r="AD145" s="638"/>
    </row>
    <row r="146" spans="1:57" ht="12" customHeight="1">
      <c r="A146" s="13"/>
      <c r="B146" s="391" t="s">
        <v>668</v>
      </c>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B146" s="733"/>
      <c r="AC146" s="638"/>
      <c r="AD146" s="638"/>
    </row>
    <row r="147" spans="1:57" ht="12" customHeight="1">
      <c r="A147" s="13"/>
      <c r="B147" s="391" t="s">
        <v>669</v>
      </c>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B147" s="733"/>
      <c r="AC147" s="638"/>
      <c r="AD147" s="638"/>
    </row>
    <row r="148" spans="1:57" ht="12" customHeight="1">
      <c r="A148" s="13"/>
      <c r="B148" s="44" t="s">
        <v>670</v>
      </c>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B148" s="733"/>
      <c r="AC148" s="638"/>
      <c r="AD148" s="638"/>
    </row>
    <row r="149" spans="1:57" ht="12" customHeight="1">
      <c r="A149" s="13"/>
      <c r="B149" s="88"/>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B149" s="733"/>
      <c r="AC149" s="638"/>
      <c r="AD149" s="638"/>
    </row>
    <row r="150" spans="1:57" ht="12" customHeight="1">
      <c r="A150" s="13"/>
      <c r="B150" s="25"/>
      <c r="C150" s="541" t="s">
        <v>671</v>
      </c>
      <c r="D150" s="541" t="s">
        <v>55</v>
      </c>
      <c r="E150" s="541" t="s">
        <v>56</v>
      </c>
      <c r="F150" s="541" t="s">
        <v>57</v>
      </c>
      <c r="G150" s="541" t="s">
        <v>39</v>
      </c>
      <c r="H150" s="541" t="s">
        <v>58</v>
      </c>
      <c r="I150" s="541" t="s">
        <v>59</v>
      </c>
      <c r="J150" s="541" t="s">
        <v>60</v>
      </c>
      <c r="K150" s="541" t="s">
        <v>61</v>
      </c>
      <c r="L150" s="541" t="s">
        <v>62</v>
      </c>
      <c r="M150" s="541" t="s">
        <v>63</v>
      </c>
      <c r="N150" s="541" t="s">
        <v>64</v>
      </c>
      <c r="O150" s="543" t="s">
        <v>54</v>
      </c>
      <c r="P150" s="543" t="s">
        <v>55</v>
      </c>
      <c r="Q150" s="543" t="s">
        <v>56</v>
      </c>
      <c r="R150" s="543" t="s">
        <v>57</v>
      </c>
      <c r="S150" s="543" t="s">
        <v>39</v>
      </c>
      <c r="T150" s="543" t="s">
        <v>58</v>
      </c>
      <c r="U150" s="543" t="s">
        <v>59</v>
      </c>
      <c r="V150" s="543" t="s">
        <v>60</v>
      </c>
      <c r="W150" s="543" t="s">
        <v>61</v>
      </c>
      <c r="X150" s="43"/>
      <c r="Y150" s="43"/>
      <c r="Z150" s="43"/>
      <c r="AB150" s="733"/>
      <c r="AC150" s="638"/>
      <c r="AD150" s="638"/>
    </row>
    <row r="151" spans="1:57" ht="12" customHeight="1">
      <c r="A151" s="13"/>
      <c r="B151" s="25"/>
      <c r="C151" s="43"/>
      <c r="D151" s="43"/>
      <c r="E151" s="43"/>
      <c r="F151" s="43"/>
      <c r="G151" s="43"/>
      <c r="H151" s="43"/>
      <c r="I151" s="43"/>
      <c r="J151" s="43"/>
      <c r="K151" s="43"/>
      <c r="L151" s="43"/>
      <c r="M151" s="43"/>
      <c r="N151" s="43"/>
      <c r="O151" s="43"/>
      <c r="P151" s="1"/>
      <c r="Q151" s="43"/>
      <c r="R151" s="1"/>
      <c r="S151" s="43"/>
      <c r="T151" s="43"/>
      <c r="U151" s="43" t="s">
        <v>141</v>
      </c>
      <c r="V151" s="43"/>
      <c r="W151" s="43"/>
      <c r="X151" s="43"/>
      <c r="Y151" s="43"/>
      <c r="Z151" s="43"/>
      <c r="AB151" s="733"/>
      <c r="AC151" s="638"/>
      <c r="AD151" s="638"/>
    </row>
    <row r="152" spans="1:57" ht="12.75" customHeight="1">
      <c r="A152" s="13"/>
      <c r="B152" s="25"/>
      <c r="C152" s="43"/>
      <c r="D152" s="43"/>
      <c r="E152" s="43"/>
      <c r="F152" s="43"/>
      <c r="G152" s="43"/>
      <c r="H152" s="43"/>
      <c r="I152" s="43"/>
      <c r="J152" s="43"/>
      <c r="K152" s="43"/>
      <c r="L152" s="43"/>
      <c r="M152" s="43"/>
      <c r="N152" s="43"/>
      <c r="O152" s="43"/>
      <c r="P152" s="1"/>
      <c r="Q152" s="43"/>
      <c r="R152" s="1"/>
      <c r="S152" s="43"/>
      <c r="T152" s="43"/>
      <c r="U152" s="43" t="s">
        <v>666</v>
      </c>
      <c r="V152" s="43"/>
      <c r="W152" s="43"/>
      <c r="X152" s="43"/>
      <c r="Y152" s="43"/>
      <c r="Z152" s="43"/>
      <c r="AB152" s="733"/>
      <c r="AC152" s="638"/>
      <c r="AD152" s="638"/>
      <c r="BE152" s="82"/>
    </row>
    <row r="153" spans="1:57" ht="12" customHeight="1">
      <c r="A153" s="1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B153" s="733"/>
      <c r="AC153" s="638"/>
      <c r="AD153" s="638"/>
      <c r="BE153" s="82"/>
    </row>
    <row r="154" spans="1:57" ht="15" customHeight="1">
      <c r="A154" s="13"/>
      <c r="B154" s="30" t="s">
        <v>97</v>
      </c>
      <c r="C154" s="78"/>
      <c r="D154" s="78"/>
      <c r="E154" s="78"/>
      <c r="F154" s="78"/>
      <c r="G154" s="78"/>
      <c r="H154" s="78"/>
      <c r="I154" s="78"/>
      <c r="J154" s="78"/>
      <c r="K154" s="78"/>
      <c r="L154" s="78"/>
      <c r="M154" s="1"/>
      <c r="N154" s="1"/>
      <c r="O154" s="1"/>
      <c r="P154" s="1"/>
      <c r="Q154" s="1"/>
      <c r="R154" s="1"/>
      <c r="S154" s="1"/>
      <c r="T154" s="1"/>
      <c r="U154" s="1"/>
      <c r="V154" s="1"/>
      <c r="W154" s="1"/>
      <c r="X154" s="1"/>
      <c r="Y154" s="1"/>
      <c r="Z154" s="1"/>
      <c r="AB154" s="733"/>
      <c r="AC154" s="638"/>
      <c r="AD154" s="638"/>
      <c r="BE154" s="3"/>
    </row>
    <row r="155" spans="1:57" ht="12" customHeight="1">
      <c r="A155" s="13"/>
      <c r="B155" s="30"/>
      <c r="C155" s="78"/>
      <c r="D155" s="78"/>
      <c r="E155" s="78"/>
      <c r="F155" s="78"/>
      <c r="G155" s="78"/>
      <c r="H155" s="78"/>
      <c r="I155" s="78"/>
      <c r="J155" s="78"/>
      <c r="K155" s="78"/>
      <c r="L155" s="78"/>
      <c r="M155" s="1"/>
      <c r="N155" s="1"/>
      <c r="O155" s="1"/>
      <c r="P155" s="1"/>
      <c r="Q155" s="1"/>
      <c r="R155" s="1"/>
      <c r="S155" s="1"/>
      <c r="T155" s="1"/>
      <c r="U155" s="1"/>
      <c r="V155" s="1"/>
      <c r="W155" s="1"/>
      <c r="X155" s="1"/>
      <c r="Y155" s="1"/>
      <c r="Z155" s="1"/>
      <c r="AB155" s="733"/>
      <c r="AC155" s="638"/>
      <c r="AD155" s="638"/>
      <c r="BE155" s="25"/>
    </row>
    <row r="156" spans="1:57" ht="12" customHeight="1">
      <c r="A156" s="13"/>
      <c r="B156" s="82" t="s">
        <v>98</v>
      </c>
      <c r="C156" s="1"/>
      <c r="D156" s="1"/>
      <c r="E156" s="1"/>
      <c r="F156" s="1"/>
      <c r="G156" s="1"/>
      <c r="H156" s="1"/>
      <c r="I156" s="1"/>
      <c r="J156" s="1"/>
      <c r="K156" s="1"/>
      <c r="L156" s="1"/>
      <c r="M156" s="1"/>
      <c r="N156" s="1"/>
      <c r="O156" s="1"/>
      <c r="P156" s="1"/>
      <c r="Q156" s="1"/>
      <c r="R156" s="1"/>
      <c r="S156" s="1"/>
      <c r="T156" s="1"/>
      <c r="U156" s="1"/>
      <c r="V156" s="1"/>
      <c r="W156" s="1"/>
      <c r="X156" s="1"/>
      <c r="Y156" s="1"/>
      <c r="Z156" s="1"/>
      <c r="AB156" s="733"/>
      <c r="AC156" s="638"/>
      <c r="AD156" s="638"/>
      <c r="BE156" s="25"/>
    </row>
    <row r="157" spans="1:57" ht="12" customHeight="1">
      <c r="A157" s="13"/>
      <c r="B157" s="653"/>
      <c r="C157" s="479"/>
      <c r="D157" s="479"/>
      <c r="E157" s="479"/>
      <c r="F157" s="479"/>
      <c r="G157" s="480" t="s">
        <v>99</v>
      </c>
      <c r="H157" s="479"/>
      <c r="I157" s="479"/>
      <c r="J157" s="479"/>
      <c r="K157" s="479"/>
      <c r="L157" s="479"/>
      <c r="M157" s="479"/>
      <c r="N157" s="481"/>
      <c r="O157" s="479"/>
      <c r="P157" s="479"/>
      <c r="Q157" s="479"/>
      <c r="R157" s="479"/>
      <c r="S157" s="482" t="s">
        <v>100</v>
      </c>
      <c r="T157" s="479"/>
      <c r="U157" s="479"/>
      <c r="V157" s="479"/>
      <c r="W157" s="479"/>
      <c r="X157" s="479"/>
      <c r="Y157" s="483"/>
      <c r="Z157" s="484" t="s">
        <v>101</v>
      </c>
      <c r="AB157" s="733"/>
      <c r="AC157" s="638"/>
      <c r="AD157" s="638"/>
      <c r="BE157" s="25"/>
    </row>
    <row r="158" spans="1:57" ht="12" customHeight="1">
      <c r="A158" s="13"/>
      <c r="B158" s="654">
        <v>1</v>
      </c>
      <c r="C158" s="633">
        <v>2</v>
      </c>
      <c r="D158" s="485">
        <v>3</v>
      </c>
      <c r="E158" s="485">
        <v>4</v>
      </c>
      <c r="F158" s="485">
        <v>5</v>
      </c>
      <c r="G158" s="485">
        <v>6</v>
      </c>
      <c r="H158" s="485">
        <v>7</v>
      </c>
      <c r="I158" s="485">
        <v>8</v>
      </c>
      <c r="J158" s="485">
        <v>9</v>
      </c>
      <c r="K158" s="485">
        <v>10</v>
      </c>
      <c r="L158" s="485">
        <v>11</v>
      </c>
      <c r="M158" s="486">
        <v>12</v>
      </c>
      <c r="N158" s="487">
        <v>1</v>
      </c>
      <c r="O158" s="488">
        <v>2</v>
      </c>
      <c r="P158" s="488">
        <v>3</v>
      </c>
      <c r="Q158" s="488">
        <v>4</v>
      </c>
      <c r="R158" s="488">
        <v>5</v>
      </c>
      <c r="S158" s="488">
        <v>6</v>
      </c>
      <c r="T158" s="488">
        <v>7</v>
      </c>
      <c r="U158" s="488">
        <v>8</v>
      </c>
      <c r="V158" s="488">
        <v>9</v>
      </c>
      <c r="W158" s="488">
        <v>10</v>
      </c>
      <c r="X158" s="489">
        <v>11</v>
      </c>
      <c r="Y158" s="489">
        <v>12</v>
      </c>
      <c r="Z158" s="490">
        <v>1</v>
      </c>
      <c r="AB158" s="733"/>
      <c r="AC158" s="638"/>
      <c r="AD158" s="638"/>
      <c r="BE158" s="27"/>
    </row>
    <row r="159" spans="1:57" ht="12" customHeight="1">
      <c r="A159" s="13"/>
      <c r="B159" s="655"/>
      <c r="C159" s="651"/>
      <c r="D159" s="491"/>
      <c r="E159" s="491"/>
      <c r="F159" s="491"/>
      <c r="G159" s="491"/>
      <c r="H159" s="491"/>
      <c r="I159" s="491"/>
      <c r="J159" s="491"/>
      <c r="K159" s="491"/>
      <c r="L159" s="491"/>
      <c r="M159" s="492"/>
      <c r="N159" s="493"/>
      <c r="O159" s="491"/>
      <c r="P159" s="491"/>
      <c r="Q159" s="491"/>
      <c r="R159" s="491"/>
      <c r="S159" s="491"/>
      <c r="T159" s="491"/>
      <c r="U159" s="491"/>
      <c r="V159" s="491"/>
      <c r="W159" s="491"/>
      <c r="X159" s="492"/>
      <c r="Y159" s="492"/>
      <c r="Z159" s="493"/>
      <c r="AB159" s="733"/>
      <c r="AC159" s="638"/>
      <c r="AD159" s="638"/>
      <c r="BE159" s="25"/>
    </row>
    <row r="160" spans="1:57" ht="12" customHeight="1">
      <c r="A160" s="13"/>
      <c r="B160" s="656"/>
      <c r="C160" s="635"/>
      <c r="D160" s="512"/>
      <c r="E160" s="512"/>
      <c r="F160" s="512"/>
      <c r="G160" s="512" t="s">
        <v>102</v>
      </c>
      <c r="H160" s="512"/>
      <c r="I160" s="512"/>
      <c r="J160" s="512"/>
      <c r="K160" s="512"/>
      <c r="L160" s="512"/>
      <c r="M160" s="513"/>
      <c r="N160" s="490"/>
      <c r="O160" s="494"/>
      <c r="P160" s="494"/>
      <c r="Q160" s="494"/>
      <c r="R160" s="494"/>
      <c r="S160" s="494"/>
      <c r="T160" s="494"/>
      <c r="U160" s="494"/>
      <c r="V160" s="494"/>
      <c r="W160" s="494"/>
      <c r="X160" s="495"/>
      <c r="Y160" s="495"/>
      <c r="Z160" s="490"/>
      <c r="AB160" s="733"/>
      <c r="AC160" s="638"/>
      <c r="AD160" s="638"/>
      <c r="BE160" s="25"/>
    </row>
    <row r="161" spans="1:57" ht="12" customHeight="1">
      <c r="A161" s="13"/>
      <c r="B161" s="657"/>
      <c r="C161" s="652" t="s">
        <v>629</v>
      </c>
      <c r="D161" s="497"/>
      <c r="E161" s="497"/>
      <c r="F161" s="497"/>
      <c r="G161" s="497"/>
      <c r="H161" s="497"/>
      <c r="I161" s="497"/>
      <c r="J161" s="497"/>
      <c r="K161" s="497"/>
      <c r="L161" s="497"/>
      <c r="M161" s="498"/>
      <c r="N161" s="499"/>
      <c r="O161" s="25"/>
      <c r="P161" s="494"/>
      <c r="Q161" s="494"/>
      <c r="R161" s="494"/>
      <c r="S161" s="500" t="s">
        <v>103</v>
      </c>
      <c r="T161" s="494"/>
      <c r="U161" s="494"/>
      <c r="V161" s="494"/>
      <c r="W161" s="494"/>
      <c r="X161" s="495"/>
      <c r="Y161" s="501"/>
      <c r="Z161" s="490"/>
      <c r="AB161" s="733"/>
      <c r="AC161" s="638"/>
      <c r="AD161" s="638"/>
      <c r="BE161" s="25"/>
    </row>
    <row r="162" spans="1:57" ht="12" customHeight="1">
      <c r="A162" s="13"/>
      <c r="B162" s="658" t="s">
        <v>104</v>
      </c>
      <c r="C162" s="636"/>
      <c r="D162" s="494"/>
      <c r="E162" s="494"/>
      <c r="F162" s="503" t="s">
        <v>105</v>
      </c>
      <c r="G162" s="497"/>
      <c r="H162" s="497"/>
      <c r="I162" s="497"/>
      <c r="J162" s="497"/>
      <c r="K162" s="497"/>
      <c r="L162" s="497"/>
      <c r="M162" s="498"/>
      <c r="N162" s="497"/>
      <c r="O162" s="500" t="s">
        <v>103</v>
      </c>
      <c r="P162" s="494"/>
      <c r="Q162" s="494"/>
      <c r="R162" s="494"/>
      <c r="S162" s="500"/>
      <c r="T162" s="494"/>
      <c r="U162" s="494"/>
      <c r="V162" s="494"/>
      <c r="W162" s="494"/>
      <c r="X162" s="495"/>
      <c r="Y162" s="501"/>
      <c r="Z162" s="490"/>
      <c r="AB162" s="733"/>
      <c r="AC162" s="638"/>
      <c r="AD162" s="638"/>
      <c r="BE162" s="25"/>
    </row>
    <row r="163" spans="1:57" ht="12" customHeight="1">
      <c r="A163" s="13"/>
      <c r="B163" s="658"/>
      <c r="C163" s="25"/>
      <c r="D163" s="500"/>
      <c r="E163" s="25"/>
      <c r="F163" s="494"/>
      <c r="G163" s="494"/>
      <c r="H163" s="494"/>
      <c r="I163" s="494"/>
      <c r="J163" s="494"/>
      <c r="K163" s="494"/>
      <c r="L163" s="494"/>
      <c r="M163" s="495"/>
      <c r="N163" s="490"/>
      <c r="O163" s="494"/>
      <c r="P163" s="494"/>
      <c r="Q163" s="494"/>
      <c r="R163" s="494"/>
      <c r="S163" s="494"/>
      <c r="T163" s="494"/>
      <c r="U163" s="494"/>
      <c r="V163" s="494"/>
      <c r="W163" s="494"/>
      <c r="X163" s="495"/>
      <c r="Y163" s="495"/>
      <c r="Z163" s="490"/>
      <c r="AB163" s="733"/>
      <c r="AC163" s="638"/>
      <c r="AD163" s="638"/>
      <c r="BE163" s="92"/>
    </row>
    <row r="164" spans="1:57" ht="12" customHeight="1">
      <c r="A164" s="13"/>
      <c r="B164" s="657"/>
      <c r="C164" s="636"/>
      <c r="D164" s="477"/>
      <c r="E164" s="477"/>
      <c r="F164" s="477"/>
      <c r="G164" s="512"/>
      <c r="H164" s="512"/>
      <c r="I164" s="512"/>
      <c r="J164" s="512" t="s">
        <v>106</v>
      </c>
      <c r="K164" s="512"/>
      <c r="L164" s="512"/>
      <c r="M164" s="513"/>
      <c r="N164" s="490"/>
      <c r="O164" s="477"/>
      <c r="P164" s="477"/>
      <c r="Q164" s="477"/>
      <c r="R164" s="477"/>
      <c r="S164" s="477"/>
      <c r="T164" s="477"/>
      <c r="U164" s="477"/>
      <c r="V164" s="477"/>
      <c r="W164" s="477"/>
      <c r="X164" s="495"/>
      <c r="Y164" s="495"/>
      <c r="Z164" s="79"/>
      <c r="AB164" s="733"/>
      <c r="AC164" s="638"/>
      <c r="AD164" s="638"/>
      <c r="BE164" s="92"/>
    </row>
    <row r="165" spans="1:57" ht="12" customHeight="1">
      <c r="A165" s="13"/>
      <c r="B165" s="657"/>
      <c r="C165" s="634"/>
      <c r="D165" s="477"/>
      <c r="E165" s="477"/>
      <c r="F165" s="477"/>
      <c r="G165" s="477"/>
      <c r="H165" s="496" t="s">
        <v>107</v>
      </c>
      <c r="I165" s="497"/>
      <c r="J165" s="497"/>
      <c r="K165" s="497"/>
      <c r="L165" s="497"/>
      <c r="M165" s="498"/>
      <c r="N165" s="499"/>
      <c r="O165" s="500" t="s">
        <v>103</v>
      </c>
      <c r="P165" s="477"/>
      <c r="Q165" s="494"/>
      <c r="R165" s="494"/>
      <c r="S165" s="494"/>
      <c r="T165" s="25"/>
      <c r="U165" s="494"/>
      <c r="V165" s="500"/>
      <c r="W165" s="25"/>
      <c r="X165" s="495"/>
      <c r="Y165" s="495"/>
      <c r="Z165" s="490"/>
      <c r="AB165" s="733"/>
      <c r="AC165" s="638"/>
      <c r="AD165" s="638"/>
      <c r="BE165" s="92"/>
    </row>
    <row r="166" spans="1:57" ht="12" customHeight="1">
      <c r="A166" s="13"/>
      <c r="B166" s="657"/>
      <c r="C166" s="634"/>
      <c r="D166" s="477"/>
      <c r="E166" s="477"/>
      <c r="F166" s="477" t="s">
        <v>108</v>
      </c>
      <c r="G166" s="477"/>
      <c r="H166" s="494"/>
      <c r="I166" s="494"/>
      <c r="J166" s="494"/>
      <c r="K166" s="496" t="s">
        <v>630</v>
      </c>
      <c r="L166" s="497"/>
      <c r="M166" s="498"/>
      <c r="N166" s="499"/>
      <c r="O166" s="500"/>
      <c r="P166" s="477"/>
      <c r="Q166" s="494"/>
      <c r="R166" s="494"/>
      <c r="S166" s="500" t="s">
        <v>103</v>
      </c>
      <c r="T166" s="500"/>
      <c r="U166" s="494"/>
      <c r="V166" s="500"/>
      <c r="W166" s="500"/>
      <c r="X166" s="495"/>
      <c r="Y166" s="495"/>
      <c r="Z166" s="490"/>
      <c r="AB166" s="733"/>
      <c r="AC166" s="638"/>
      <c r="AD166" s="638"/>
      <c r="BE166" s="92"/>
    </row>
    <row r="167" spans="1:57" ht="12" customHeight="1">
      <c r="A167" s="13"/>
      <c r="B167" s="657"/>
      <c r="C167" s="636"/>
      <c r="D167" s="494"/>
      <c r="E167" s="504"/>
      <c r="F167" s="494"/>
      <c r="G167" s="494"/>
      <c r="H167" s="25"/>
      <c r="I167" s="500"/>
      <c r="J167" s="25"/>
      <c r="K167" s="494"/>
      <c r="L167" s="494"/>
      <c r="M167" s="495"/>
      <c r="N167" s="490"/>
      <c r="O167" s="494"/>
      <c r="P167" s="494"/>
      <c r="Q167" s="494"/>
      <c r="R167" s="494"/>
      <c r="S167" s="494"/>
      <c r="T167" s="494"/>
      <c r="U167" s="494"/>
      <c r="V167" s="494"/>
      <c r="W167" s="494"/>
      <c r="X167" s="495"/>
      <c r="Y167" s="495"/>
      <c r="Z167" s="490"/>
      <c r="AB167" s="733"/>
      <c r="AC167" s="638"/>
      <c r="AD167" s="638"/>
      <c r="BE167" s="92"/>
    </row>
    <row r="168" spans="1:57" ht="12" customHeight="1">
      <c r="A168" s="13"/>
      <c r="B168" s="657"/>
      <c r="C168" s="636"/>
      <c r="D168" s="477"/>
      <c r="E168" s="477"/>
      <c r="F168" s="477"/>
      <c r="G168" s="494"/>
      <c r="H168" s="494"/>
      <c r="I168" s="494"/>
      <c r="J168" s="477"/>
      <c r="K168" s="505"/>
      <c r="L168" s="516" t="s">
        <v>637</v>
      </c>
      <c r="M168" s="515" t="s">
        <v>635</v>
      </c>
      <c r="N168" s="506" t="s">
        <v>636</v>
      </c>
      <c r="O168" s="477"/>
      <c r="P168" s="477"/>
      <c r="Q168" s="477"/>
      <c r="R168" s="477"/>
      <c r="S168" s="477"/>
      <c r="T168" s="477"/>
      <c r="U168" s="494"/>
      <c r="V168" s="494"/>
      <c r="W168" s="494"/>
      <c r="X168" s="495"/>
      <c r="Y168" s="495"/>
      <c r="Z168" s="79"/>
      <c r="AB168" s="733"/>
      <c r="AC168" s="638"/>
      <c r="AD168" s="638"/>
      <c r="BE168" s="92"/>
    </row>
    <row r="169" spans="1:57" ht="12" customHeight="1">
      <c r="A169" s="13"/>
      <c r="B169" s="657"/>
      <c r="C169" s="634"/>
      <c r="D169" s="477"/>
      <c r="E169" s="477"/>
      <c r="F169" s="477"/>
      <c r="G169" s="477"/>
      <c r="H169" s="477"/>
      <c r="I169" s="477"/>
      <c r="J169" s="477"/>
      <c r="K169" s="477"/>
      <c r="L169" s="477"/>
      <c r="M169" s="507"/>
      <c r="N169" s="496" t="s">
        <v>631</v>
      </c>
      <c r="O169" s="478"/>
      <c r="P169" s="494"/>
      <c r="Q169" s="494"/>
      <c r="R169" s="494"/>
      <c r="S169" s="494"/>
      <c r="T169" s="500" t="s">
        <v>103</v>
      </c>
      <c r="U169" s="477"/>
      <c r="V169" s="477"/>
      <c r="W169" s="477"/>
      <c r="X169" s="495"/>
      <c r="Y169" s="495"/>
      <c r="Z169" s="490"/>
      <c r="AB169" s="733"/>
      <c r="AC169" s="638"/>
      <c r="AD169" s="638"/>
      <c r="BE169" s="92"/>
    </row>
    <row r="170" spans="1:57" ht="12" customHeight="1">
      <c r="A170" s="13"/>
      <c r="B170" s="657"/>
      <c r="C170" s="636"/>
      <c r="D170" s="494"/>
      <c r="E170" s="504"/>
      <c r="F170" s="494"/>
      <c r="G170" s="494"/>
      <c r="H170" s="494"/>
      <c r="I170" s="494"/>
      <c r="J170" s="494"/>
      <c r="K170" s="494"/>
      <c r="L170" s="494"/>
      <c r="M170" s="495"/>
      <c r="N170" s="508"/>
      <c r="O170" s="494"/>
      <c r="P170" s="494"/>
      <c r="Q170" s="494"/>
      <c r="R170" s="494"/>
      <c r="S170" s="494"/>
      <c r="T170" s="494"/>
      <c r="U170" s="494"/>
      <c r="V170" s="494"/>
      <c r="W170" s="494"/>
      <c r="X170" s="495"/>
      <c r="Y170" s="495"/>
      <c r="Z170" s="79"/>
      <c r="AB170" s="733"/>
      <c r="AC170" s="638"/>
      <c r="AD170" s="638"/>
      <c r="BE170" s="7"/>
    </row>
    <row r="171" spans="1:57" ht="12" customHeight="1">
      <c r="A171" s="13"/>
      <c r="B171" s="657"/>
      <c r="C171" s="636"/>
      <c r="D171" s="494"/>
      <c r="E171" s="504"/>
      <c r="F171" s="494"/>
      <c r="G171" s="494"/>
      <c r="H171" s="512"/>
      <c r="I171" s="512"/>
      <c r="J171" s="514" t="s">
        <v>109</v>
      </c>
      <c r="K171" s="512"/>
      <c r="L171" s="512"/>
      <c r="M171" s="512"/>
      <c r="N171" s="512"/>
      <c r="O171" s="512"/>
      <c r="P171" s="512"/>
      <c r="Q171" s="512"/>
      <c r="R171" s="512"/>
      <c r="S171" s="512"/>
      <c r="T171" s="512"/>
      <c r="U171" s="512"/>
      <c r="V171" s="512"/>
      <c r="W171" s="512"/>
      <c r="X171" s="512"/>
      <c r="Y171" s="512"/>
      <c r="Z171" s="79"/>
      <c r="AB171" s="733"/>
      <c r="AC171" s="638"/>
      <c r="AD171" s="638"/>
      <c r="BE171" s="7"/>
    </row>
    <row r="172" spans="1:57" ht="12" customHeight="1">
      <c r="A172" s="17"/>
      <c r="B172" s="657"/>
      <c r="C172" s="636"/>
      <c r="D172" s="494"/>
      <c r="E172" s="504"/>
      <c r="F172" s="494"/>
      <c r="G172" s="494"/>
      <c r="H172" s="494"/>
      <c r="I172" s="504"/>
      <c r="J172" s="494"/>
      <c r="K172" s="494"/>
      <c r="L172" s="494"/>
      <c r="M172" s="504"/>
      <c r="N172" s="508"/>
      <c r="O172" s="509" t="s">
        <v>110</v>
      </c>
      <c r="P172" s="497"/>
      <c r="Q172" s="497"/>
      <c r="R172" s="497"/>
      <c r="S172" s="497"/>
      <c r="T172" s="497"/>
      <c r="U172" s="497"/>
      <c r="V172" s="497"/>
      <c r="W172" s="497"/>
      <c r="X172" s="497"/>
      <c r="Y172" s="497"/>
      <c r="Z172" s="497"/>
      <c r="AB172" s="733"/>
      <c r="AC172" s="638"/>
      <c r="AD172" s="638"/>
      <c r="BE172" s="7"/>
    </row>
    <row r="173" spans="1:57" ht="12" customHeight="1">
      <c r="A173" s="17"/>
      <c r="B173" s="657"/>
      <c r="C173" s="636"/>
      <c r="D173" s="494"/>
      <c r="E173" s="504"/>
      <c r="F173" s="494"/>
      <c r="G173" s="494"/>
      <c r="H173" s="494"/>
      <c r="I173" s="504"/>
      <c r="J173" s="494"/>
      <c r="K173" s="494"/>
      <c r="L173" s="494"/>
      <c r="M173" s="504"/>
      <c r="N173" s="508"/>
      <c r="O173" s="502" t="s">
        <v>111</v>
      </c>
      <c r="P173" s="494"/>
      <c r="Q173" s="494"/>
      <c r="R173" s="500" t="s">
        <v>103</v>
      </c>
      <c r="S173" s="494"/>
      <c r="T173" s="494"/>
      <c r="U173" s="494"/>
      <c r="V173" s="504"/>
      <c r="W173" s="494"/>
      <c r="X173" s="494"/>
      <c r="Y173" s="494"/>
      <c r="Z173" s="490"/>
      <c r="AB173" s="733"/>
      <c r="AC173" s="638"/>
      <c r="AD173" s="638"/>
      <c r="BE173" s="7"/>
    </row>
    <row r="174" spans="1:57" ht="12" customHeight="1">
      <c r="A174" s="17"/>
      <c r="B174" s="510" t="s">
        <v>112</v>
      </c>
      <c r="C174" s="510"/>
      <c r="D174" s="510"/>
      <c r="E174" s="510"/>
      <c r="F174" s="510"/>
      <c r="G174" s="510"/>
      <c r="H174" s="510"/>
      <c r="I174" s="510"/>
      <c r="J174" s="510"/>
      <c r="K174" s="510"/>
      <c r="L174" s="510"/>
      <c r="M174" s="510"/>
      <c r="N174" s="510"/>
      <c r="O174" s="510"/>
      <c r="P174" s="510"/>
      <c r="Q174" s="510"/>
      <c r="R174" s="510"/>
      <c r="S174" s="510"/>
      <c r="T174" s="510"/>
      <c r="U174" s="510"/>
      <c r="V174" s="510"/>
      <c r="W174" s="510"/>
      <c r="X174" s="510"/>
      <c r="Y174" s="510"/>
      <c r="Z174" s="510"/>
      <c r="AB174" s="733"/>
      <c r="AC174" s="638"/>
      <c r="AD174" s="638"/>
      <c r="BE174" s="7"/>
    </row>
    <row r="175" spans="1:57" ht="12" customHeight="1">
      <c r="A175" s="17"/>
      <c r="B175" s="510" t="s">
        <v>113</v>
      </c>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B175" s="733"/>
      <c r="AC175" s="638"/>
      <c r="AD175" s="638"/>
      <c r="BE175" s="7"/>
    </row>
    <row r="176" spans="1:57" ht="12" customHeight="1">
      <c r="A176" s="17"/>
      <c r="B176" s="510" t="s">
        <v>114</v>
      </c>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B176" s="733"/>
      <c r="AC176" s="638"/>
      <c r="AD176" s="638"/>
      <c r="BE176" s="7"/>
    </row>
    <row r="177" spans="1:57" ht="12" customHeight="1">
      <c r="A177" s="17"/>
      <c r="B177" s="511"/>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B177" s="733"/>
      <c r="AC177" s="638"/>
      <c r="AD177" s="638"/>
      <c r="BE177" s="7"/>
    </row>
    <row r="178" spans="1:57" ht="12" customHeight="1">
      <c r="A178" s="17"/>
      <c r="B178" s="35" t="s">
        <v>634</v>
      </c>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B178" s="733"/>
      <c r="AC178" s="638"/>
      <c r="AD178" s="638"/>
      <c r="BE178" s="7"/>
    </row>
    <row r="179" spans="1:57" ht="12" customHeight="1">
      <c r="A179" s="17"/>
      <c r="B179" s="17" t="s">
        <v>632</v>
      </c>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B179" s="733"/>
      <c r="AC179" s="638"/>
      <c r="AD179" s="638"/>
      <c r="BE179" s="7"/>
    </row>
    <row r="180" spans="1:57" ht="12" customHeight="1">
      <c r="A180" s="17"/>
      <c r="B180" s="25" t="s">
        <v>633</v>
      </c>
      <c r="C180" s="25"/>
      <c r="D180" s="25"/>
      <c r="E180" s="25"/>
      <c r="F180" s="25"/>
      <c r="G180" s="25"/>
      <c r="H180" s="25"/>
      <c r="I180" s="25"/>
      <c r="J180" s="25"/>
      <c r="K180" s="25"/>
      <c r="L180" s="25"/>
      <c r="M180" s="25"/>
      <c r="N180" s="25"/>
      <c r="O180" s="25"/>
      <c r="P180" s="25"/>
      <c r="Q180" s="457"/>
      <c r="R180" s="25"/>
      <c r="S180" s="25"/>
      <c r="T180" s="25"/>
      <c r="U180" s="25"/>
      <c r="V180" s="25"/>
      <c r="W180" s="25"/>
      <c r="X180" s="25"/>
      <c r="Y180" s="25"/>
      <c r="Z180" s="25"/>
      <c r="AB180" s="733"/>
      <c r="AC180" s="638"/>
      <c r="AD180" s="638"/>
      <c r="BE180" s="7"/>
    </row>
    <row r="181" spans="1:57" ht="12" customHeight="1">
      <c r="A181" s="639"/>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B181" s="733"/>
      <c r="AC181" s="638"/>
      <c r="AD181" s="638"/>
      <c r="BE181" s="7"/>
    </row>
    <row r="182" spans="1:57" ht="12" customHeight="1">
      <c r="A182" s="13"/>
      <c r="B182" s="511" t="s">
        <v>157</v>
      </c>
      <c r="C182" s="33"/>
      <c r="D182" s="33"/>
      <c r="E182" s="33"/>
      <c r="F182" s="33"/>
      <c r="G182" s="33"/>
      <c r="H182" s="33"/>
      <c r="I182" s="33"/>
      <c r="J182" s="33"/>
      <c r="K182" s="33"/>
      <c r="L182" s="33"/>
      <c r="M182" s="34" t="s">
        <v>158</v>
      </c>
      <c r="N182" s="34"/>
      <c r="O182" s="34"/>
      <c r="P182" s="34"/>
      <c r="Q182" s="34"/>
      <c r="R182" s="33"/>
      <c r="S182" s="33"/>
      <c r="T182" s="33"/>
      <c r="U182" s="33"/>
      <c r="V182" s="33"/>
      <c r="W182" s="33"/>
      <c r="X182" s="33"/>
      <c r="Y182" s="33"/>
      <c r="Z182" s="33"/>
      <c r="AB182" s="733"/>
      <c r="AC182" s="638"/>
      <c r="AD182" s="638"/>
      <c r="BE182" s="7"/>
    </row>
    <row r="183" spans="1:57" ht="12" customHeight="1">
      <c r="AB183" s="733"/>
      <c r="AC183" s="638"/>
      <c r="AD183" s="638"/>
      <c r="BE183" s="7"/>
    </row>
    <row r="184" spans="1:57" ht="12" customHeight="1">
      <c r="B184" s="717"/>
      <c r="C184" s="715"/>
      <c r="D184" s="715"/>
      <c r="E184" s="715"/>
      <c r="F184" s="715"/>
      <c r="G184" s="715"/>
      <c r="H184" s="715"/>
      <c r="I184" s="715"/>
      <c r="J184" s="715"/>
      <c r="K184" s="715"/>
      <c r="L184" s="715"/>
      <c r="M184" s="715"/>
      <c r="N184" s="715"/>
      <c r="O184" s="715"/>
      <c r="P184" s="715"/>
      <c r="Q184" s="715"/>
      <c r="R184" s="715"/>
      <c r="S184" s="715"/>
      <c r="T184" s="715"/>
      <c r="U184" s="715"/>
      <c r="V184" s="715"/>
      <c r="W184" s="715"/>
      <c r="X184" s="715"/>
      <c r="Y184" s="715"/>
      <c r="Z184" s="715"/>
      <c r="AB184" s="733"/>
      <c r="AC184" s="638"/>
      <c r="AD184" s="638"/>
      <c r="BE184" s="7"/>
    </row>
    <row r="185" spans="1:57" ht="12" customHeight="1">
      <c r="AB185" s="733"/>
      <c r="AC185" s="638"/>
      <c r="AD185" s="638"/>
      <c r="BE185" s="7"/>
    </row>
    <row r="186" spans="1:57" ht="12" customHeight="1">
      <c r="AB186" s="733"/>
      <c r="AC186" s="638"/>
      <c r="AD186" s="638"/>
      <c r="BE186" s="7"/>
    </row>
    <row r="187" spans="1:57" ht="12" customHeight="1">
      <c r="AB187" s="733"/>
      <c r="AC187" s="638"/>
      <c r="AD187" s="638"/>
      <c r="BE187" s="7"/>
    </row>
    <row r="188" spans="1:57" ht="12" customHeight="1">
      <c r="AB188" s="733"/>
      <c r="AC188" s="638"/>
      <c r="AD188" s="638"/>
      <c r="BE188" s="7"/>
    </row>
    <row r="189" spans="1:57" ht="12" customHeight="1">
      <c r="AB189" s="733"/>
      <c r="AC189" s="638"/>
      <c r="AD189" s="638"/>
      <c r="BE189" s="7"/>
    </row>
    <row r="190" spans="1:57" ht="12" customHeight="1">
      <c r="AB190" s="733"/>
      <c r="AC190" s="638"/>
      <c r="AD190" s="638"/>
      <c r="BE190" s="7"/>
    </row>
    <row r="191" spans="1:57" ht="12" customHeight="1">
      <c r="AB191" s="733"/>
      <c r="AC191" s="638"/>
      <c r="AD191" s="638"/>
      <c r="BE191" s="7"/>
    </row>
    <row r="192" spans="1:57" ht="12" customHeight="1">
      <c r="AB192" s="733"/>
      <c r="AC192" s="638"/>
      <c r="AD192" s="638"/>
      <c r="BE192" s="7"/>
    </row>
    <row r="193" spans="28:57" ht="12" customHeight="1">
      <c r="AB193" s="733"/>
      <c r="AC193" s="638"/>
      <c r="AD193" s="638"/>
      <c r="BE193" s="7"/>
    </row>
    <row r="194" spans="28:57" ht="12" customHeight="1">
      <c r="AB194" s="733"/>
      <c r="AC194" s="638"/>
      <c r="AD194" s="638"/>
      <c r="BE194" s="7"/>
    </row>
    <row r="195" spans="28:57" ht="12" customHeight="1">
      <c r="AB195" s="733"/>
      <c r="AC195" s="638"/>
      <c r="AD195" s="638"/>
      <c r="BE195" s="7"/>
    </row>
    <row r="196" spans="28:57" ht="12" customHeight="1">
      <c r="AB196" s="733"/>
      <c r="AC196" s="638"/>
      <c r="AD196" s="638"/>
      <c r="BE196" s="7"/>
    </row>
    <row r="197" spans="28:57" ht="12" customHeight="1">
      <c r="AB197" s="733"/>
      <c r="AC197" s="638"/>
      <c r="AD197" s="638"/>
      <c r="BE197" s="10"/>
    </row>
    <row r="198" spans="28:57" ht="12" customHeight="1">
      <c r="AB198" s="733"/>
      <c r="AC198" s="638"/>
      <c r="AD198" s="638"/>
      <c r="BE198" s="10"/>
    </row>
    <row r="199" spans="28:57" ht="12" customHeight="1">
      <c r="AB199" s="733"/>
      <c r="AC199" s="638"/>
      <c r="AD199" s="638"/>
      <c r="BE199" s="10"/>
    </row>
    <row r="200" spans="28:57" ht="12" customHeight="1">
      <c r="AB200" s="638"/>
      <c r="AC200" s="638"/>
      <c r="AD200" s="638"/>
      <c r="BE200" s="10"/>
    </row>
    <row r="201" spans="28:57" ht="12" customHeight="1">
      <c r="AB201" s="638"/>
      <c r="AC201" s="638"/>
      <c r="BE201" s="10"/>
    </row>
    <row r="202" spans="28:57" ht="12" customHeight="1">
      <c r="BE202" s="10"/>
    </row>
    <row r="203" spans="28:57" ht="12" customHeight="1">
      <c r="BE203" s="10"/>
    </row>
    <row r="204" spans="28:57" ht="12" customHeight="1">
      <c r="BE204" s="10"/>
    </row>
    <row r="205" spans="28:57" ht="12" customHeight="1">
      <c r="BE205" s="10"/>
    </row>
    <row r="206" spans="28:57" ht="12" customHeight="1">
      <c r="BE206" s="10"/>
    </row>
    <row r="207" spans="28:57" ht="12" customHeight="1">
      <c r="BE207" s="10"/>
    </row>
    <row r="208" spans="28:57" ht="12" customHeight="1">
      <c r="BE208" s="10"/>
    </row>
    <row r="209" spans="57:57" ht="12" customHeight="1">
      <c r="BE209" s="10"/>
    </row>
    <row r="210" spans="57:57" ht="12" customHeight="1">
      <c r="BE210" s="10"/>
    </row>
    <row r="211" spans="57:57" ht="12" customHeight="1">
      <c r="BE211" s="10"/>
    </row>
    <row r="212" spans="57:57" ht="12" customHeight="1">
      <c r="BE212" s="3"/>
    </row>
    <row r="213" spans="57:57" ht="12" customHeight="1">
      <c r="BE213" s="3"/>
    </row>
    <row r="214" spans="57:57" ht="12" customHeight="1">
      <c r="BE214" s="3"/>
    </row>
    <row r="215" spans="57:57" ht="12" customHeight="1">
      <c r="BE215" s="3"/>
    </row>
    <row r="216" spans="57:57" ht="12" customHeight="1">
      <c r="BE216" s="3"/>
    </row>
    <row r="217" spans="57:57" ht="12" customHeight="1">
      <c r="BE217" s="3"/>
    </row>
    <row r="218" spans="57:57" ht="12" customHeight="1">
      <c r="BE218" s="3"/>
    </row>
    <row r="219" spans="57:57" ht="12" customHeight="1">
      <c r="BE219" s="3"/>
    </row>
    <row r="220" spans="57:57" ht="12" customHeight="1">
      <c r="BE220" s="3"/>
    </row>
    <row r="221" spans="57:57" ht="12" customHeight="1">
      <c r="BE221" s="3"/>
    </row>
    <row r="222" spans="57:57" ht="12" customHeight="1">
      <c r="BE222" s="3"/>
    </row>
    <row r="223" spans="57:57" ht="12" customHeight="1">
      <c r="BE223" s="3"/>
    </row>
    <row r="224" spans="57:57" ht="12" customHeight="1">
      <c r="BE224" s="3"/>
    </row>
    <row r="225" spans="57:57" ht="12" customHeight="1">
      <c r="BE225" s="3"/>
    </row>
    <row r="226" spans="57:57" ht="12" customHeight="1">
      <c r="BE226" s="3"/>
    </row>
    <row r="227" spans="57:57" ht="12" customHeight="1">
      <c r="BE227" s="3"/>
    </row>
    <row r="228" spans="57:57" ht="12" customHeight="1">
      <c r="BE228" s="3"/>
    </row>
    <row r="229" spans="57:57" ht="12" customHeight="1">
      <c r="BE229" s="3"/>
    </row>
    <row r="230" spans="57:57" ht="12" customHeight="1">
      <c r="BE230" s="3"/>
    </row>
    <row r="231" spans="57:57" ht="12" customHeight="1">
      <c r="BE231" s="3"/>
    </row>
    <row r="232" spans="57:57" ht="12" customHeight="1">
      <c r="BE232" s="3"/>
    </row>
    <row r="233" spans="57:57" ht="12" customHeight="1">
      <c r="BE233" s="3"/>
    </row>
    <row r="234" spans="57:57" ht="12" customHeight="1">
      <c r="BE234" s="3"/>
    </row>
    <row r="235" spans="57:57" ht="12" customHeight="1">
      <c r="BE235" s="3"/>
    </row>
    <row r="236" spans="57:57" ht="12" customHeight="1">
      <c r="BE236" s="3"/>
    </row>
    <row r="237" spans="57:57" ht="12" customHeight="1">
      <c r="BE237" s="3"/>
    </row>
    <row r="238" spans="57:57" ht="12" customHeight="1">
      <c r="BE238" s="3"/>
    </row>
    <row r="239" spans="57:57" ht="12" customHeight="1">
      <c r="BE239" s="3"/>
    </row>
    <row r="240" spans="57:57" ht="12" customHeight="1">
      <c r="BE240" s="8"/>
    </row>
    <row r="241" spans="57:57" ht="12" customHeight="1">
      <c r="BE241" s="8"/>
    </row>
    <row r="242" spans="57:57" ht="12" customHeight="1">
      <c r="BE242" s="8"/>
    </row>
    <row r="243" spans="57:57" ht="12" customHeight="1">
      <c r="BE243" s="8"/>
    </row>
    <row r="244" spans="57:57" ht="12" customHeight="1">
      <c r="BE244" s="8"/>
    </row>
    <row r="245" spans="57:57" ht="12" customHeight="1">
      <c r="BE245" s="8"/>
    </row>
    <row r="246" spans="57:57" ht="12" customHeight="1">
      <c r="BE246" s="8"/>
    </row>
    <row r="247" spans="57:57" ht="12" customHeight="1">
      <c r="BE247" s="8"/>
    </row>
    <row r="248" spans="57:57" ht="12" customHeight="1">
      <c r="BE248" s="8"/>
    </row>
    <row r="249" spans="57:57" ht="12" customHeight="1">
      <c r="BE249" s="8"/>
    </row>
    <row r="250" spans="57:57" ht="12" customHeight="1">
      <c r="BE250" s="8"/>
    </row>
    <row r="251" spans="57:57" ht="12" customHeight="1">
      <c r="BE251" s="25"/>
    </row>
    <row r="252" spans="57:57" ht="12" customHeight="1">
      <c r="BE252" s="25"/>
    </row>
    <row r="253" spans="57:57" ht="12" customHeight="1">
      <c r="BE253" s="25"/>
    </row>
    <row r="254" spans="57:57" ht="12" customHeight="1">
      <c r="BE254" s="25"/>
    </row>
    <row r="255" spans="57:57" ht="12" customHeight="1">
      <c r="BE255" s="25"/>
    </row>
    <row r="256" spans="57:57" ht="12" customHeight="1">
      <c r="BE256" s="25"/>
    </row>
    <row r="257" spans="57:57" ht="12" customHeight="1">
      <c r="BE257" s="25"/>
    </row>
    <row r="258" spans="57:57" ht="12" customHeight="1">
      <c r="BE258" s="25"/>
    </row>
    <row r="259" spans="57:57" ht="12" customHeight="1">
      <c r="BE259" s="25"/>
    </row>
    <row r="260" spans="57:57" ht="12" customHeight="1">
      <c r="BE260" s="3"/>
    </row>
    <row r="261" spans="57:57">
      <c r="BE261" s="33"/>
    </row>
  </sheetData>
  <sheetProtection algorithmName="SHA-512" hashValue="E8LJyOaPo5O9SuR+eaA7tPMGCmlnOMjokhykiaBcUkNVNvOIaEkRXsxRujFFXOf85XxIJ8q0nheDxdl2HkhsXQ==" saltValue="+r8x+6JxaKv/G1TAo5nfyQ==" spinCount="100000" sheet="1" objects="1" scenarios="1"/>
  <mergeCells count="93">
    <mergeCell ref="O27:P27"/>
    <mergeCell ref="Q27:R27"/>
    <mergeCell ref="S27:T27"/>
    <mergeCell ref="O95:P95"/>
    <mergeCell ref="Q95:R95"/>
    <mergeCell ref="S95:T95"/>
    <mergeCell ref="J29:K29"/>
    <mergeCell ref="M29:N29"/>
    <mergeCell ref="O29:P29"/>
    <mergeCell ref="Q29:R29"/>
    <mergeCell ref="S29:T29"/>
    <mergeCell ref="J28:K28"/>
    <mergeCell ref="M28:N28"/>
    <mergeCell ref="O28:P28"/>
    <mergeCell ref="Q28:R28"/>
    <mergeCell ref="S28:T28"/>
    <mergeCell ref="J57:K57"/>
    <mergeCell ref="M57:N57"/>
    <mergeCell ref="O57:P57"/>
    <mergeCell ref="Q57:R57"/>
    <mergeCell ref="S57:T57"/>
    <mergeCell ref="J31:K31"/>
    <mergeCell ref="M31:N31"/>
    <mergeCell ref="O31:P31"/>
    <mergeCell ref="Q31:R31"/>
    <mergeCell ref="S31:T31"/>
    <mergeCell ref="U95:V95"/>
    <mergeCell ref="W95:X95"/>
    <mergeCell ref="Y95:Z95"/>
    <mergeCell ref="M99:N99"/>
    <mergeCell ref="C95:D95"/>
    <mergeCell ref="E95:F95"/>
    <mergeCell ref="G95:H95"/>
    <mergeCell ref="I95:J95"/>
    <mergeCell ref="K95:L95"/>
    <mergeCell ref="M95:N95"/>
    <mergeCell ref="M100:N100"/>
    <mergeCell ref="O102:P102"/>
    <mergeCell ref="M107:N107"/>
    <mergeCell ref="O109:P109"/>
    <mergeCell ref="O110:P110"/>
    <mergeCell ref="I123:J123"/>
    <mergeCell ref="M123:N123"/>
    <mergeCell ref="Q123:R123"/>
    <mergeCell ref="U123:V123"/>
    <mergeCell ref="W125:X125"/>
    <mergeCell ref="Y125:Z125"/>
    <mergeCell ref="I125:J125"/>
    <mergeCell ref="K125:L125"/>
    <mergeCell ref="Y123:Z123"/>
    <mergeCell ref="E124:F124"/>
    <mergeCell ref="I124:J124"/>
    <mergeCell ref="M124:N124"/>
    <mergeCell ref="Q124:R124"/>
    <mergeCell ref="U124:V124"/>
    <mergeCell ref="Y124:Z124"/>
    <mergeCell ref="E123:F123"/>
    <mergeCell ref="M125:N125"/>
    <mergeCell ref="O125:P125"/>
    <mergeCell ref="Q125:R125"/>
    <mergeCell ref="S125:T125"/>
    <mergeCell ref="U125:V125"/>
    <mergeCell ref="W126:X126"/>
    <mergeCell ref="C125:D125"/>
    <mergeCell ref="E125:F125"/>
    <mergeCell ref="G125:H125"/>
    <mergeCell ref="W127:X127"/>
    <mergeCell ref="C127:D127"/>
    <mergeCell ref="G127:H127"/>
    <mergeCell ref="K127:L127"/>
    <mergeCell ref="O127:P127"/>
    <mergeCell ref="S127:T127"/>
    <mergeCell ref="C126:D126"/>
    <mergeCell ref="G126:H126"/>
    <mergeCell ref="K126:L126"/>
    <mergeCell ref="O126:P126"/>
    <mergeCell ref="S126:T126"/>
    <mergeCell ref="Y131:Z131"/>
    <mergeCell ref="C131:D131"/>
    <mergeCell ref="E131:F131"/>
    <mergeCell ref="G131:H131"/>
    <mergeCell ref="I131:J131"/>
    <mergeCell ref="K131:L131"/>
    <mergeCell ref="E132:F132"/>
    <mergeCell ref="K132:L132"/>
    <mergeCell ref="Q132:R132"/>
    <mergeCell ref="W132:X132"/>
    <mergeCell ref="O131:P131"/>
    <mergeCell ref="Q131:R131"/>
    <mergeCell ref="S131:T131"/>
    <mergeCell ref="U131:V131"/>
    <mergeCell ref="W131:X131"/>
    <mergeCell ref="M131:N131"/>
  </mergeCells>
  <dataValidations disablePrompts="1" count="1">
    <dataValidation type="list" allowBlank="1" showInputMessage="1" showErrorMessage="1" sqref="J57 J28:K29 J31:K31 M57 M28:M29 M31">
      <formula1>#REF!</formula1>
    </dataValidation>
  </dataValidations>
  <hyperlinks>
    <hyperlink ref="Q66:V66" r:id="rId1" display="Omvänd skattskyldighet."/>
    <hyperlink ref="L180:Q180" r:id="rId2" display="Företagsregistrering"/>
    <hyperlink ref="M182:Q182" r:id="rId3" display="Företagsregistrering"/>
    <hyperlink ref="B9:H9" location="'Frågor &amp; Svar'!BI44" display="Exceltips som underlättar"/>
    <hyperlink ref="B10:O10" location="'Frågor &amp; Svar'!A137" display="Om bokföringsmetod, momsredovisning och momssatser"/>
    <hyperlink ref="B10:P10" location="'Frågor &amp; Svar'!A100" display="Om bokföringsmetod, momsredovisning och momssatser"/>
    <hyperlink ref="B8:K8" location="'Frågor &amp; Svar'!A48" display="Frågor och svar om speciella situationer"/>
    <hyperlink ref="B9:D9" location="'Frågor &amp; Svar'!A117" display="Exceltips"/>
    <hyperlink ref="W13" r:id="rId4"/>
    <hyperlink ref="B11" location="Instruktion!A1" display="Instruktion steg för steg"/>
    <hyperlink ref="B11:H11" location="Instruktion!A1" display="Instruktion steg för steg"/>
    <hyperlink ref="B8:O8" location="'Frågor &amp; Svar'!B42" display="Frågor och svar om speciella situationer, t.ex. VMB"/>
    <hyperlink ref="B7:H7" location="'Frågor &amp; Svar'!BH1" display="Om Almis budgetmallar &gt;&gt;"/>
  </hyperlinks>
  <pageMargins left="0.70866141732283472" right="0.70866141732283472" top="0.74803149606299213" bottom="0.74803149606299213" header="0.31496062992125984" footer="0.31496062992125984"/>
  <pageSetup paperSize="9" orientation="portrait" r:id="rId5"/>
  <headerFooter>
    <oddFooter>&amp;C&amp;"Araial Narrow,Normal"&amp;8© Almi Företagspartner AB 2016-04-18</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79998168889431442"/>
  </sheetPr>
  <dimension ref="A1:CE542"/>
  <sheetViews>
    <sheetView showGridLines="0" showZeros="0" tabSelected="1" zoomScaleNormal="100" workbookViewId="0">
      <selection activeCell="AK23" sqref="AK23"/>
    </sheetView>
  </sheetViews>
  <sheetFormatPr defaultColWidth="9.109375" defaultRowHeight="13.2"/>
  <cols>
    <col min="1" max="1" width="1.33203125" style="3" customWidth="1"/>
    <col min="2" max="27" width="3.33203125" style="3" customWidth="1"/>
    <col min="28" max="28" width="0.6640625" style="3" customWidth="1"/>
    <col min="29" max="55" width="3.33203125" style="3" customWidth="1"/>
    <col min="56" max="56" width="1" style="3" customWidth="1"/>
    <col min="57" max="105" width="3.33203125" style="3" customWidth="1"/>
    <col min="106" max="16384" width="9.109375" style="3"/>
  </cols>
  <sheetData>
    <row r="1" spans="1:83" s="8" customFormat="1" ht="3.75" customHeight="1"/>
    <row r="2" spans="1:83" ht="41.25" customHeight="1">
      <c r="A2" s="668"/>
      <c r="B2" s="844"/>
      <c r="C2" s="844"/>
      <c r="D2" s="844"/>
      <c r="E2" s="844"/>
      <c r="F2" s="844"/>
      <c r="G2" s="844"/>
      <c r="H2" s="844"/>
      <c r="I2" s="844"/>
      <c r="J2" s="2878" t="s">
        <v>1038</v>
      </c>
      <c r="K2" s="2878"/>
      <c r="L2" s="2878"/>
      <c r="M2" s="2878"/>
      <c r="N2" s="2878"/>
      <c r="O2" s="2878"/>
      <c r="P2" s="2878"/>
      <c r="Q2" s="2878"/>
      <c r="R2" s="2878"/>
      <c r="S2" s="2878"/>
      <c r="T2" s="2878"/>
      <c r="U2" s="2878"/>
      <c r="V2" s="2878"/>
      <c r="W2" s="2878"/>
      <c r="X2" s="2878"/>
      <c r="Y2" s="2878"/>
      <c r="Z2" s="2878"/>
      <c r="AA2" s="2878"/>
      <c r="AB2" s="844"/>
      <c r="AC2" s="664"/>
      <c r="AD2" s="762" t="s">
        <v>1000</v>
      </c>
      <c r="AE2" s="845"/>
      <c r="AF2" s="845"/>
      <c r="AG2" s="845"/>
      <c r="AH2" s="845"/>
      <c r="AI2" s="845"/>
      <c r="AJ2" s="845"/>
      <c r="AK2" s="665"/>
      <c r="AL2" s="665"/>
      <c r="AM2" s="665"/>
      <c r="AN2" s="665"/>
      <c r="AO2" s="665"/>
      <c r="AP2" s="665"/>
      <c r="AQ2" s="762" t="s">
        <v>732</v>
      </c>
      <c r="AR2" s="761"/>
      <c r="AS2" s="761"/>
      <c r="AT2" s="665"/>
      <c r="AU2" s="665"/>
      <c r="AV2" s="665"/>
      <c r="AW2" s="665"/>
      <c r="AX2" s="665"/>
      <c r="AY2" s="665"/>
      <c r="AZ2" s="665"/>
      <c r="BA2" s="665"/>
      <c r="BB2" s="665"/>
      <c r="BC2" s="665"/>
      <c r="BD2" s="665"/>
      <c r="BE2" s="670"/>
      <c r="BF2" s="671"/>
      <c r="BG2" s="670"/>
      <c r="BH2" s="670"/>
      <c r="BI2" s="670"/>
      <c r="BJ2" s="670"/>
      <c r="BK2" s="670"/>
      <c r="BL2" s="670"/>
      <c r="BM2" s="670"/>
      <c r="BN2" s="670"/>
      <c r="BO2" s="670"/>
      <c r="BP2" s="670"/>
      <c r="BQ2" s="670"/>
      <c r="BR2" s="670"/>
      <c r="BS2" s="670"/>
      <c r="BT2" s="670"/>
      <c r="BU2" s="670"/>
      <c r="BV2" s="670"/>
      <c r="BW2" s="670"/>
      <c r="BX2" s="670"/>
      <c r="BY2" s="672"/>
      <c r="BZ2" s="8"/>
      <c r="CA2" s="8"/>
      <c r="CB2" s="8"/>
      <c r="CC2" s="8"/>
      <c r="CD2" s="8"/>
      <c r="CE2" s="8"/>
    </row>
    <row r="3" spans="1:83" ht="12.75" customHeight="1" thickBot="1">
      <c r="B3" s="387"/>
      <c r="AA3" s="1849" t="s">
        <v>1486</v>
      </c>
      <c r="AC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row>
    <row r="4" spans="1:83" ht="5.25" customHeight="1">
      <c r="B4" s="847"/>
      <c r="C4" s="848"/>
      <c r="D4" s="848"/>
      <c r="E4" s="848"/>
      <c r="F4" s="848"/>
      <c r="G4" s="848"/>
      <c r="H4" s="848"/>
      <c r="I4" s="848"/>
      <c r="J4" s="848"/>
      <c r="K4" s="848"/>
      <c r="L4" s="848"/>
      <c r="M4" s="848"/>
      <c r="N4" s="848"/>
      <c r="O4" s="848"/>
      <c r="P4" s="848"/>
      <c r="Q4" s="848"/>
      <c r="R4" s="848"/>
      <c r="S4" s="848"/>
      <c r="T4" s="848"/>
      <c r="U4" s="848"/>
      <c r="V4" s="848"/>
      <c r="W4" s="848"/>
      <c r="X4" s="848"/>
      <c r="Y4" s="848"/>
      <c r="Z4" s="848"/>
      <c r="AA4" s="849"/>
      <c r="AC4" s="8"/>
      <c r="AD4" s="831"/>
      <c r="AE4" s="831"/>
      <c r="AF4" s="831"/>
      <c r="AG4" s="831"/>
      <c r="AH4" s="831"/>
      <c r="AI4" s="831"/>
      <c r="AJ4" s="831"/>
      <c r="AK4" s="831"/>
      <c r="AL4" s="831"/>
      <c r="AM4" s="831"/>
      <c r="AN4" s="831"/>
      <c r="AO4" s="831"/>
      <c r="AP4" s="831"/>
      <c r="AQ4" s="831"/>
      <c r="AR4" s="831"/>
      <c r="AS4" s="831"/>
      <c r="AT4" s="831"/>
      <c r="AU4" s="831"/>
      <c r="AV4" s="831"/>
      <c r="AW4" s="831"/>
      <c r="AX4" s="831"/>
      <c r="AY4" s="831"/>
      <c r="AZ4" s="831"/>
      <c r="BA4" s="831"/>
      <c r="BB4" s="831"/>
      <c r="BC4" s="8"/>
      <c r="BD4" s="8"/>
      <c r="BE4" s="11"/>
      <c r="BF4" s="627"/>
      <c r="BG4" s="8"/>
      <c r="BH4" s="8"/>
      <c r="BI4" s="8"/>
      <c r="BJ4" s="8"/>
      <c r="BK4" s="8"/>
      <c r="BL4" s="8"/>
      <c r="BM4" s="8"/>
      <c r="BN4" s="8"/>
      <c r="BO4" s="8"/>
      <c r="BP4" s="8"/>
      <c r="BQ4" s="8"/>
      <c r="BR4" s="8"/>
      <c r="BS4" s="8"/>
      <c r="BT4" s="8"/>
      <c r="BU4" s="8"/>
      <c r="BV4" s="8"/>
      <c r="BW4" s="8"/>
      <c r="BX4" s="8"/>
      <c r="BY4" s="8"/>
      <c r="BZ4" s="8"/>
      <c r="CA4" s="8"/>
      <c r="CB4" s="8"/>
      <c r="CC4" s="8"/>
      <c r="CD4" s="8"/>
      <c r="CE4" s="8"/>
    </row>
    <row r="5" spans="1:83" ht="19.5" customHeight="1">
      <c r="B5" s="2845" t="s">
        <v>773</v>
      </c>
      <c r="C5" s="2846"/>
      <c r="D5" s="2846"/>
      <c r="E5" s="2846"/>
      <c r="F5" s="2846"/>
      <c r="G5" s="2846"/>
      <c r="H5" s="2846"/>
      <c r="I5" s="2846"/>
      <c r="J5" s="850"/>
      <c r="K5" s="850"/>
      <c r="L5" s="850"/>
      <c r="M5" s="850"/>
      <c r="N5" s="850"/>
      <c r="O5" s="850"/>
      <c r="P5" s="850"/>
      <c r="Q5" s="850"/>
      <c r="R5" s="850"/>
      <c r="S5" s="850"/>
      <c r="T5" s="850"/>
      <c r="U5" s="850"/>
      <c r="V5" s="850"/>
      <c r="W5" s="850"/>
      <c r="X5" s="850"/>
      <c r="Y5" s="850"/>
      <c r="Z5" s="850"/>
      <c r="AA5" s="851"/>
      <c r="AC5" s="10"/>
      <c r="BC5" s="8"/>
      <c r="BD5" s="722"/>
      <c r="BE5" s="626"/>
      <c r="BF5" s="265"/>
      <c r="BH5" s="8"/>
      <c r="BI5" s="8"/>
      <c r="BJ5" s="8"/>
      <c r="BK5" s="8"/>
      <c r="BL5" s="8"/>
      <c r="BM5" s="8"/>
      <c r="BN5" s="8"/>
      <c r="BO5" s="8"/>
      <c r="BP5" s="8"/>
      <c r="BQ5" s="8"/>
      <c r="BR5" s="8"/>
      <c r="BS5" s="8"/>
      <c r="BT5" s="8"/>
      <c r="BU5" s="8"/>
      <c r="BV5" s="8"/>
      <c r="BW5" s="8"/>
      <c r="BX5" s="8"/>
      <c r="BY5" s="8"/>
      <c r="BZ5" s="8"/>
      <c r="CA5" s="8"/>
      <c r="CB5" s="8"/>
      <c r="CC5" s="8"/>
      <c r="CD5" s="8"/>
      <c r="CE5" s="8"/>
    </row>
    <row r="6" spans="1:83" ht="12.75" customHeight="1">
      <c r="B6" s="852" t="s">
        <v>774</v>
      </c>
      <c r="C6" s="850"/>
      <c r="D6" s="850"/>
      <c r="E6" s="850"/>
      <c r="F6" s="850"/>
      <c r="G6" s="850"/>
      <c r="H6" s="850"/>
      <c r="I6" s="850"/>
      <c r="J6" s="850"/>
      <c r="K6" s="850"/>
      <c r="L6" s="850"/>
      <c r="M6" s="850"/>
      <c r="N6" s="850"/>
      <c r="O6" s="850"/>
      <c r="P6" s="850"/>
      <c r="Q6" s="850"/>
      <c r="R6" s="850"/>
      <c r="S6" s="850"/>
      <c r="T6" s="850"/>
      <c r="U6" s="850"/>
      <c r="V6" s="850"/>
      <c r="W6" s="850"/>
      <c r="X6" s="850"/>
      <c r="Y6" s="850"/>
      <c r="Z6" s="850"/>
      <c r="AA6" s="851"/>
      <c r="AC6" s="10"/>
      <c r="BC6" s="8"/>
      <c r="BD6" s="722"/>
      <c r="BE6" s="626"/>
      <c r="BF6" s="265"/>
      <c r="BH6" s="8"/>
      <c r="BI6" s="8"/>
      <c r="BJ6" s="8"/>
      <c r="BK6" s="8"/>
      <c r="BL6" s="8"/>
      <c r="BM6" s="8"/>
      <c r="BN6" s="8"/>
      <c r="BO6" s="8"/>
      <c r="BP6" s="8"/>
      <c r="BQ6" s="8"/>
      <c r="BR6" s="8"/>
      <c r="BS6" s="8"/>
      <c r="BT6" s="8"/>
      <c r="BU6" s="8"/>
      <c r="BV6" s="8"/>
      <c r="BW6" s="8"/>
      <c r="BX6" s="8"/>
      <c r="BY6" s="8"/>
      <c r="BZ6" s="8"/>
      <c r="CA6" s="8"/>
      <c r="CB6" s="8"/>
      <c r="CC6" s="8"/>
      <c r="CD6" s="8"/>
      <c r="CE6" s="8"/>
    </row>
    <row r="7" spans="1:83" ht="12.75" customHeight="1" thickBot="1">
      <c r="B7" s="852" t="s">
        <v>775</v>
      </c>
      <c r="C7" s="850"/>
      <c r="D7" s="850"/>
      <c r="E7" s="850"/>
      <c r="F7" s="850"/>
      <c r="G7" s="850"/>
      <c r="H7" s="850"/>
      <c r="I7" s="850"/>
      <c r="J7" s="850"/>
      <c r="K7" s="850"/>
      <c r="L7" s="850"/>
      <c r="M7" s="850"/>
      <c r="N7" s="850"/>
      <c r="O7" s="850"/>
      <c r="P7" s="850"/>
      <c r="Q7" s="850"/>
      <c r="R7" s="850"/>
      <c r="S7" s="850"/>
      <c r="T7" s="850"/>
      <c r="U7" s="850"/>
      <c r="V7" s="850"/>
      <c r="W7" s="850"/>
      <c r="X7" s="850"/>
      <c r="Y7" s="850"/>
      <c r="Z7" s="850"/>
      <c r="AA7" s="851"/>
      <c r="AC7" s="10"/>
      <c r="BC7" s="8"/>
      <c r="BD7" s="722"/>
      <c r="BE7" s="626"/>
      <c r="BF7" s="82"/>
      <c r="BH7" s="8"/>
      <c r="BI7" s="8"/>
      <c r="BJ7" s="8"/>
      <c r="BK7" s="8"/>
      <c r="BL7" s="8"/>
      <c r="BM7" s="8"/>
      <c r="BN7" s="8"/>
      <c r="BO7" s="8"/>
      <c r="BP7" s="8"/>
      <c r="BQ7" s="8"/>
      <c r="BR7" s="8"/>
      <c r="BS7" s="8"/>
      <c r="BT7" s="8"/>
      <c r="BU7" s="8"/>
      <c r="BV7" s="8"/>
      <c r="BW7" s="8"/>
      <c r="BX7" s="8"/>
      <c r="BY7" s="8"/>
      <c r="BZ7" s="8"/>
      <c r="CA7" s="8"/>
      <c r="CB7" s="8"/>
      <c r="CC7" s="8"/>
      <c r="CD7" s="8"/>
      <c r="CE7" s="8"/>
    </row>
    <row r="8" spans="1:83" ht="12.75" customHeight="1" thickBot="1">
      <c r="B8" s="852" t="s">
        <v>776</v>
      </c>
      <c r="C8" s="850"/>
      <c r="D8" s="850"/>
      <c r="E8" s="850"/>
      <c r="F8" s="850"/>
      <c r="G8" s="850"/>
      <c r="H8" s="850"/>
      <c r="I8" s="850"/>
      <c r="J8" s="850"/>
      <c r="K8" s="850"/>
      <c r="L8" s="850"/>
      <c r="M8" s="850"/>
      <c r="N8" s="850"/>
      <c r="O8" s="850"/>
      <c r="P8" s="850"/>
      <c r="Q8" s="850"/>
      <c r="R8" s="850"/>
      <c r="S8" s="850"/>
      <c r="T8" s="850"/>
      <c r="U8" s="850"/>
      <c r="V8" s="850"/>
      <c r="W8" s="2883"/>
      <c r="X8" s="2884"/>
      <c r="Y8" s="2885"/>
      <c r="Z8" s="850"/>
      <c r="AA8" s="851"/>
      <c r="AC8" s="7"/>
      <c r="AD8" s="843" t="s">
        <v>421</v>
      </c>
      <c r="AE8" s="831"/>
      <c r="AF8" s="831"/>
      <c r="AG8" s="831"/>
      <c r="AH8" s="2880" t="s">
        <v>420</v>
      </c>
      <c r="AI8" s="2881"/>
      <c r="AJ8" s="2881"/>
      <c r="AK8" s="2882"/>
      <c r="AL8" s="835"/>
      <c r="AM8" s="835"/>
      <c r="AN8" s="834"/>
      <c r="AO8" s="834"/>
      <c r="AP8" s="834"/>
      <c r="AQ8" s="834"/>
      <c r="AR8" s="2879" t="s">
        <v>424</v>
      </c>
      <c r="AS8" s="2879"/>
      <c r="AT8" s="2879"/>
      <c r="AU8" s="2879"/>
      <c r="AV8" s="2879"/>
      <c r="AW8" s="2879"/>
      <c r="AX8" s="2879"/>
      <c r="AY8" s="2879"/>
      <c r="AZ8" s="2879"/>
      <c r="BA8" s="2879"/>
      <c r="BB8" s="2879"/>
      <c r="BC8" s="8"/>
      <c r="BD8" s="722"/>
      <c r="BE8" s="11"/>
      <c r="BF8" s="265"/>
      <c r="BH8" s="8"/>
      <c r="BI8" s="8"/>
      <c r="BJ8" s="8"/>
      <c r="BK8" s="8"/>
      <c r="BL8" s="8"/>
      <c r="BM8" s="8"/>
      <c r="BN8" s="8"/>
      <c r="BO8" s="8"/>
      <c r="BP8" s="8"/>
      <c r="BQ8" s="8"/>
      <c r="BR8" s="8"/>
      <c r="BS8" s="8"/>
      <c r="BT8" s="8"/>
      <c r="BU8" s="8"/>
      <c r="BV8" s="8"/>
      <c r="BW8" s="8"/>
      <c r="BX8" s="8"/>
      <c r="BY8" s="8"/>
      <c r="BZ8" s="8"/>
      <c r="CA8" s="8"/>
      <c r="CB8" s="8"/>
      <c r="CC8" s="8"/>
      <c r="CD8" s="8"/>
      <c r="CE8" s="8"/>
    </row>
    <row r="9" spans="1:83" ht="12.75" customHeight="1" thickBot="1">
      <c r="B9" s="852" t="s">
        <v>777</v>
      </c>
      <c r="C9" s="850"/>
      <c r="D9" s="850"/>
      <c r="E9" s="850"/>
      <c r="F9" s="850"/>
      <c r="G9" s="850"/>
      <c r="H9" s="850"/>
      <c r="I9" s="850"/>
      <c r="J9" s="850"/>
      <c r="K9" s="850"/>
      <c r="L9" s="850"/>
      <c r="M9" s="850"/>
      <c r="N9" s="850"/>
      <c r="O9" s="850"/>
      <c r="P9" s="850"/>
      <c r="Q9" s="850"/>
      <c r="R9" s="850"/>
      <c r="S9" s="850"/>
      <c r="T9" s="850"/>
      <c r="U9" s="850"/>
      <c r="V9" s="850"/>
      <c r="W9" s="2886"/>
      <c r="X9" s="2887"/>
      <c r="Y9" s="2888"/>
      <c r="Z9" s="850"/>
      <c r="AA9" s="851"/>
      <c r="AC9" s="10"/>
      <c r="AD9" s="832"/>
      <c r="AE9" s="831"/>
      <c r="AF9" s="831"/>
      <c r="AG9" s="831"/>
      <c r="AH9" s="831"/>
      <c r="AI9" s="840"/>
      <c r="AJ9" s="835"/>
      <c r="AK9" s="839"/>
      <c r="AL9" s="835"/>
      <c r="AM9" s="835"/>
      <c r="AN9" s="831"/>
      <c r="AO9" s="831"/>
      <c r="AP9" s="831"/>
      <c r="AQ9" s="831"/>
      <c r="AR9" s="831"/>
      <c r="AS9" s="831"/>
      <c r="AT9" s="831"/>
      <c r="AU9" s="831"/>
      <c r="AV9" s="831"/>
      <c r="AW9" s="831"/>
      <c r="AX9" s="831"/>
      <c r="AY9" s="831"/>
      <c r="AZ9" s="831"/>
      <c r="BA9" s="831"/>
      <c r="BB9" s="831"/>
      <c r="BC9" s="8"/>
      <c r="BD9" s="722"/>
      <c r="BE9" s="11"/>
      <c r="BF9" s="25"/>
      <c r="BH9" s="8"/>
      <c r="BI9" s="8"/>
      <c r="BJ9" s="8"/>
      <c r="BK9" s="8"/>
      <c r="BL9" s="8"/>
      <c r="BM9" s="8"/>
      <c r="BN9" s="8"/>
      <c r="BO9" s="8"/>
      <c r="BP9" s="8"/>
      <c r="BQ9" s="8"/>
      <c r="BR9" s="8"/>
      <c r="BS9" s="8"/>
      <c r="BT9" s="8"/>
      <c r="BU9" s="8"/>
      <c r="BV9" s="8"/>
      <c r="BW9" s="8"/>
      <c r="BX9" s="8"/>
      <c r="BY9" s="9"/>
      <c r="BZ9" s="9"/>
      <c r="CA9" s="9"/>
      <c r="CB9" s="9"/>
      <c r="CC9" s="9"/>
      <c r="CD9" s="8"/>
      <c r="CE9" s="8"/>
    </row>
    <row r="10" spans="1:83" s="25" customFormat="1" ht="12.75" customHeight="1">
      <c r="B10" s="860"/>
      <c r="C10" s="846"/>
      <c r="D10" s="846"/>
      <c r="E10" s="846"/>
      <c r="F10" s="846"/>
      <c r="G10" s="846"/>
      <c r="H10" s="846"/>
      <c r="I10" s="846"/>
      <c r="J10" s="846"/>
      <c r="K10" s="846"/>
      <c r="L10" s="846"/>
      <c r="M10" s="846"/>
      <c r="N10" s="846"/>
      <c r="O10" s="846"/>
      <c r="P10" s="846"/>
      <c r="Q10" s="846"/>
      <c r="R10" s="846"/>
      <c r="S10" s="846"/>
      <c r="T10" s="846"/>
      <c r="U10" s="846"/>
      <c r="V10" s="846"/>
      <c r="W10" s="846"/>
      <c r="X10" s="846"/>
      <c r="Y10" s="846"/>
      <c r="Z10" s="853"/>
      <c r="AA10" s="854"/>
      <c r="AB10" s="3"/>
      <c r="AC10" s="7"/>
      <c r="AE10" s="843" t="s">
        <v>772</v>
      </c>
      <c r="AF10" s="939"/>
      <c r="AG10" s="939"/>
      <c r="AI10" s="841"/>
      <c r="AJ10" s="2847" t="s">
        <v>425</v>
      </c>
      <c r="AK10" s="2848"/>
      <c r="AL10" s="2848"/>
      <c r="AM10" s="2849"/>
      <c r="AN10" s="239"/>
      <c r="AO10" s="2847" t="s">
        <v>426</v>
      </c>
      <c r="AP10" s="2848"/>
      <c r="AQ10" s="2848"/>
      <c r="AR10" s="2849"/>
      <c r="AS10" s="239"/>
      <c r="AT10" s="2847" t="s">
        <v>423</v>
      </c>
      <c r="AU10" s="2848"/>
      <c r="AV10" s="2848"/>
      <c r="AW10" s="937"/>
      <c r="AX10" s="833"/>
      <c r="AY10" s="2847" t="s">
        <v>422</v>
      </c>
      <c r="AZ10" s="2848"/>
      <c r="BA10" s="2848"/>
      <c r="BB10" s="2849"/>
      <c r="BC10" s="8"/>
      <c r="BD10" s="722"/>
      <c r="BE10" s="11"/>
      <c r="BF10" s="8"/>
      <c r="BH10" s="8"/>
      <c r="BI10" s="8"/>
      <c r="BJ10" s="8"/>
      <c r="BK10" s="8"/>
      <c r="BL10" s="8"/>
      <c r="BM10" s="8"/>
      <c r="BN10" s="8"/>
      <c r="BO10" s="8"/>
      <c r="BP10" s="8"/>
      <c r="BQ10" s="8"/>
      <c r="BR10" s="8"/>
      <c r="BS10" s="8"/>
      <c r="BT10" s="8"/>
      <c r="BU10" s="8"/>
      <c r="BV10" s="8"/>
      <c r="BW10" s="8"/>
      <c r="BX10" s="8"/>
      <c r="BY10" s="9"/>
      <c r="BZ10" s="9"/>
      <c r="CA10" s="12"/>
      <c r="CB10" s="109"/>
      <c r="CC10" s="109"/>
      <c r="CD10" s="8"/>
      <c r="CE10" s="11"/>
    </row>
    <row r="11" spans="1:83" s="25" customFormat="1" ht="12.75" customHeight="1" thickBot="1">
      <c r="B11" s="942" t="s">
        <v>817</v>
      </c>
      <c r="C11" s="853"/>
      <c r="D11" s="853"/>
      <c r="E11" s="853"/>
      <c r="F11" s="853"/>
      <c r="G11" s="853"/>
      <c r="H11" s="853"/>
      <c r="I11" s="853"/>
      <c r="J11" s="853"/>
      <c r="K11" s="853"/>
      <c r="L11" s="853"/>
      <c r="M11" s="853"/>
      <c r="N11" s="853"/>
      <c r="O11" s="853"/>
      <c r="P11" s="853"/>
      <c r="Q11" s="853"/>
      <c r="R11" s="853"/>
      <c r="S11" s="853"/>
      <c r="T11" s="853"/>
      <c r="U11" s="853"/>
      <c r="V11" s="853"/>
      <c r="W11" s="853"/>
      <c r="X11" s="853"/>
      <c r="Y11" s="853"/>
      <c r="Z11" s="853"/>
      <c r="AA11" s="854"/>
      <c r="AB11" s="3"/>
      <c r="AC11" s="7"/>
      <c r="AE11" s="843" t="s">
        <v>756</v>
      </c>
      <c r="AF11" s="939"/>
      <c r="AG11" s="939"/>
      <c r="AI11" s="841"/>
      <c r="AJ11" s="2850"/>
      <c r="AK11" s="2851"/>
      <c r="AL11" s="2851"/>
      <c r="AM11" s="2852"/>
      <c r="AN11" s="836"/>
      <c r="AO11" s="2850"/>
      <c r="AP11" s="2851"/>
      <c r="AQ11" s="2851"/>
      <c r="AR11" s="2852"/>
      <c r="AS11" s="837"/>
      <c r="AT11" s="2850"/>
      <c r="AU11" s="2851"/>
      <c r="AV11" s="2851"/>
      <c r="AW11" s="938"/>
      <c r="AX11" s="833"/>
      <c r="AY11" s="2850"/>
      <c r="AZ11" s="2851"/>
      <c r="BA11" s="2851"/>
      <c r="BB11" s="2852"/>
      <c r="BC11" s="10"/>
      <c r="BD11" s="722"/>
      <c r="BE11" s="11"/>
      <c r="BF11" s="763"/>
      <c r="BG11" s="7"/>
      <c r="BH11" s="10"/>
      <c r="BI11" s="10"/>
      <c r="BJ11" s="10"/>
      <c r="BK11" s="10"/>
      <c r="BL11" s="10"/>
      <c r="BM11" s="10"/>
      <c r="BN11" s="10"/>
      <c r="BO11" s="10"/>
      <c r="BP11" s="10"/>
      <c r="BQ11" s="10"/>
      <c r="BR11" s="10"/>
      <c r="BS11" s="10"/>
      <c r="BT11" s="10"/>
      <c r="BU11" s="10"/>
      <c r="BV11" s="10"/>
      <c r="BW11" s="10"/>
      <c r="BX11" s="10"/>
      <c r="BY11" s="861"/>
      <c r="BZ11" s="862"/>
      <c r="CA11" s="862"/>
      <c r="CB11" s="862"/>
      <c r="CC11" s="862"/>
      <c r="CD11" s="10"/>
      <c r="CE11" s="11"/>
    </row>
    <row r="12" spans="1:83" s="25" customFormat="1" ht="12.75" customHeight="1" thickBot="1">
      <c r="B12" s="942" t="s">
        <v>778</v>
      </c>
      <c r="C12" s="853"/>
      <c r="D12" s="853"/>
      <c r="E12" s="853"/>
      <c r="F12" s="853"/>
      <c r="G12" s="853"/>
      <c r="H12" s="853"/>
      <c r="I12" s="853"/>
      <c r="J12" s="853"/>
      <c r="K12" s="853"/>
      <c r="L12" s="853"/>
      <c r="M12" s="853"/>
      <c r="N12" s="853"/>
      <c r="O12" s="853"/>
      <c r="P12" s="853"/>
      <c r="Q12" s="853"/>
      <c r="R12" s="853"/>
      <c r="S12" s="853"/>
      <c r="T12" s="853"/>
      <c r="U12" s="853"/>
      <c r="V12" s="853"/>
      <c r="W12" s="853"/>
      <c r="X12" s="853"/>
      <c r="Y12" s="853"/>
      <c r="Z12" s="853"/>
      <c r="AA12" s="854"/>
      <c r="AB12" s="3"/>
      <c r="AC12" s="7"/>
      <c r="AD12" s="3"/>
      <c r="AE12" s="3"/>
      <c r="AF12" s="3"/>
      <c r="AG12" s="3"/>
      <c r="AH12" s="3"/>
      <c r="AI12" s="842"/>
      <c r="AJ12" s="3"/>
      <c r="AK12" s="3"/>
      <c r="AL12" s="1249"/>
      <c r="AM12" s="1250"/>
      <c r="AN12" s="3"/>
      <c r="AO12" s="3"/>
      <c r="AP12" s="3"/>
      <c r="AQ12" s="3"/>
      <c r="AR12" s="3"/>
      <c r="AS12" s="3"/>
      <c r="AT12" s="3"/>
      <c r="AU12" s="3"/>
      <c r="AV12" s="3"/>
      <c r="AW12" s="3"/>
      <c r="AX12" s="3"/>
      <c r="AY12" s="3"/>
      <c r="AZ12" s="3"/>
      <c r="BA12" s="3"/>
      <c r="BB12" s="3"/>
      <c r="BC12" s="10"/>
      <c r="BD12" s="722"/>
      <c r="BE12" s="11"/>
      <c r="BF12" s="785"/>
      <c r="BG12" s="783"/>
      <c r="BH12" s="740"/>
      <c r="BI12" s="740"/>
      <c r="BJ12" s="740"/>
      <c r="BK12" s="740"/>
      <c r="BL12" s="740"/>
      <c r="BM12" s="740"/>
      <c r="BN12" s="740"/>
      <c r="BO12" s="740"/>
      <c r="BP12" s="10"/>
      <c r="BQ12" s="10"/>
      <c r="BR12" s="10"/>
      <c r="BS12" s="10"/>
      <c r="BT12" s="10"/>
      <c r="BU12" s="10"/>
      <c r="BV12" s="10"/>
      <c r="BW12" s="10"/>
      <c r="BX12" s="10"/>
      <c r="BY12" s="12"/>
      <c r="BZ12" s="863"/>
      <c r="CA12" s="864"/>
      <c r="CB12" s="864"/>
      <c r="CC12" s="864"/>
      <c r="CD12" s="10"/>
      <c r="CE12" s="11"/>
    </row>
    <row r="13" spans="1:83" s="25" customFormat="1" ht="12.75" customHeight="1" thickBot="1">
      <c r="B13" s="942" t="s">
        <v>779</v>
      </c>
      <c r="C13" s="855"/>
      <c r="D13" s="855"/>
      <c r="E13" s="853"/>
      <c r="F13" s="853"/>
      <c r="G13" s="853"/>
      <c r="H13" s="853"/>
      <c r="I13" s="853"/>
      <c r="J13" s="853"/>
      <c r="K13" s="853"/>
      <c r="L13" s="853"/>
      <c r="M13" s="853"/>
      <c r="N13" s="853"/>
      <c r="O13" s="853"/>
      <c r="P13" s="853"/>
      <c r="Q13" s="853"/>
      <c r="R13" s="853"/>
      <c r="S13" s="853"/>
      <c r="T13" s="853"/>
      <c r="U13" s="853"/>
      <c r="V13" s="853"/>
      <c r="W13" s="853"/>
      <c r="X13" s="853"/>
      <c r="Y13" s="853"/>
      <c r="Z13" s="853"/>
      <c r="AA13" s="854"/>
      <c r="AB13" s="3"/>
      <c r="AC13" s="726" t="s">
        <v>833</v>
      </c>
      <c r="AG13" s="2826" t="s">
        <v>586</v>
      </c>
      <c r="AH13" s="2827"/>
      <c r="AI13" s="2827"/>
      <c r="AJ13" s="2828"/>
      <c r="AL13" s="2826" t="s">
        <v>864</v>
      </c>
      <c r="AM13" s="2827"/>
      <c r="AN13" s="2827"/>
      <c r="AO13" s="2828"/>
      <c r="BC13" s="10"/>
      <c r="BD13" s="722"/>
      <c r="BE13" s="11"/>
      <c r="BF13" s="785"/>
      <c r="BG13" s="784"/>
      <c r="BH13" s="10"/>
      <c r="BI13" s="10"/>
      <c r="BJ13" s="10"/>
      <c r="BK13" s="10"/>
      <c r="BL13" s="10"/>
      <c r="BM13" s="10"/>
      <c r="BN13" s="10"/>
      <c r="BO13" s="10"/>
      <c r="BP13" s="10"/>
      <c r="BQ13" s="10"/>
      <c r="BR13" s="10"/>
      <c r="BS13" s="10"/>
      <c r="BT13" s="10"/>
      <c r="BU13" s="10"/>
      <c r="BV13" s="10"/>
      <c r="BW13" s="10"/>
      <c r="BX13" s="10"/>
      <c r="BY13" s="862"/>
      <c r="BZ13" s="863"/>
      <c r="CA13" s="865"/>
      <c r="CB13" s="865"/>
      <c r="CC13" s="865"/>
      <c r="CD13" s="10"/>
      <c r="CE13" s="11"/>
    </row>
    <row r="14" spans="1:83" s="25" customFormat="1" ht="12.75" customHeight="1">
      <c r="B14" s="852"/>
      <c r="C14" s="855"/>
      <c r="D14" s="855"/>
      <c r="E14" s="853"/>
      <c r="F14" s="853"/>
      <c r="G14" s="853"/>
      <c r="H14" s="853"/>
      <c r="I14" s="853"/>
      <c r="J14" s="853"/>
      <c r="K14" s="853"/>
      <c r="L14" s="853"/>
      <c r="M14" s="853"/>
      <c r="N14" s="853"/>
      <c r="O14" s="853"/>
      <c r="P14" s="853"/>
      <c r="Q14" s="853"/>
      <c r="R14" s="853"/>
      <c r="S14" s="853"/>
      <c r="T14" s="853"/>
      <c r="U14" s="853"/>
      <c r="V14" s="853"/>
      <c r="W14" s="853"/>
      <c r="X14" s="853"/>
      <c r="Y14" s="853"/>
      <c r="Z14" s="853"/>
      <c r="AA14" s="854"/>
      <c r="AB14" s="3"/>
      <c r="AC14" s="7"/>
      <c r="AF14" s="838"/>
      <c r="AG14" s="2315" t="s">
        <v>1225</v>
      </c>
      <c r="AW14" s="3"/>
      <c r="BC14" s="10"/>
      <c r="BD14" s="722"/>
      <c r="BE14" s="11"/>
      <c r="BF14" s="785"/>
      <c r="BG14" s="784"/>
      <c r="BH14" s="10"/>
      <c r="BI14" s="10"/>
      <c r="BJ14" s="10"/>
      <c r="BK14" s="10"/>
      <c r="BL14" s="10"/>
      <c r="BM14" s="10"/>
      <c r="BN14" s="10"/>
      <c r="BO14" s="10"/>
      <c r="BP14" s="10"/>
      <c r="BQ14" s="10"/>
      <c r="BR14" s="10"/>
      <c r="BS14" s="10"/>
      <c r="BT14" s="10"/>
      <c r="BU14" s="10"/>
      <c r="BV14" s="10"/>
      <c r="BW14" s="10"/>
      <c r="BX14" s="10"/>
      <c r="BY14" s="862"/>
      <c r="BZ14" s="863"/>
      <c r="CA14" s="865"/>
      <c r="CB14" s="865"/>
      <c r="CC14" s="865"/>
      <c r="CD14" s="10"/>
      <c r="CE14" s="11"/>
    </row>
    <row r="15" spans="1:83" s="25" customFormat="1" ht="12.75" customHeight="1">
      <c r="B15" s="941" t="s">
        <v>836</v>
      </c>
      <c r="C15" s="855"/>
      <c r="D15" s="855"/>
      <c r="E15" s="853"/>
      <c r="F15" s="853"/>
      <c r="G15" s="853"/>
      <c r="H15" s="853"/>
      <c r="I15" s="853"/>
      <c r="J15" s="853"/>
      <c r="K15" s="853"/>
      <c r="L15" s="853"/>
      <c r="M15" s="853"/>
      <c r="N15" s="853"/>
      <c r="O15" s="853"/>
      <c r="P15" s="853"/>
      <c r="Q15" s="853"/>
      <c r="R15" s="853"/>
      <c r="S15" s="853"/>
      <c r="T15" s="853"/>
      <c r="U15" s="853"/>
      <c r="V15" s="853"/>
      <c r="W15" s="853"/>
      <c r="X15" s="853"/>
      <c r="Y15" s="853"/>
      <c r="Z15" s="853"/>
      <c r="AA15" s="854"/>
      <c r="AB15" s="3"/>
      <c r="AC15" s="7"/>
      <c r="AP15" s="77" t="s">
        <v>698</v>
      </c>
      <c r="AY15" s="81" t="s">
        <v>461</v>
      </c>
      <c r="AZ15" s="81"/>
      <c r="BA15" s="81"/>
      <c r="BB15" s="81"/>
      <c r="BC15" s="81"/>
      <c r="BD15" s="722"/>
      <c r="BE15" s="11"/>
      <c r="BF15" s="785"/>
      <c r="BG15" s="784"/>
      <c r="BH15" s="10"/>
      <c r="BI15" s="10"/>
      <c r="BJ15" s="10"/>
      <c r="BK15" s="10"/>
      <c r="BL15" s="10"/>
      <c r="BM15" s="10"/>
      <c r="BN15" s="10"/>
      <c r="BO15" s="10"/>
      <c r="BP15" s="10"/>
      <c r="BQ15" s="10"/>
      <c r="BR15" s="10"/>
      <c r="BS15" s="10"/>
      <c r="BT15" s="10"/>
      <c r="BU15" s="10"/>
      <c r="BV15" s="10"/>
      <c r="BW15" s="10"/>
      <c r="BX15" s="10"/>
      <c r="BY15" s="862"/>
      <c r="BZ15" s="863"/>
      <c r="CA15" s="865"/>
      <c r="CB15" s="865"/>
      <c r="CC15" s="865"/>
      <c r="CD15" s="10"/>
      <c r="CE15" s="11"/>
    </row>
    <row r="16" spans="1:83" s="25" customFormat="1" ht="12.75" customHeight="1">
      <c r="B16" s="941" t="s">
        <v>835</v>
      </c>
      <c r="C16" s="855"/>
      <c r="D16" s="855"/>
      <c r="E16" s="853"/>
      <c r="F16" s="853"/>
      <c r="G16" s="853"/>
      <c r="H16" s="853"/>
      <c r="I16" s="853"/>
      <c r="J16" s="853"/>
      <c r="K16" s="853"/>
      <c r="L16" s="853"/>
      <c r="M16" s="853"/>
      <c r="N16" s="853"/>
      <c r="O16" s="853"/>
      <c r="P16" s="853"/>
      <c r="Q16" s="853"/>
      <c r="R16" s="853"/>
      <c r="S16" s="853"/>
      <c r="T16" s="853"/>
      <c r="U16" s="853"/>
      <c r="V16" s="853"/>
      <c r="W16" s="853"/>
      <c r="X16" s="853"/>
      <c r="Y16" s="853"/>
      <c r="Z16" s="853"/>
      <c r="AA16" s="854"/>
      <c r="AB16" s="3"/>
      <c r="AC16" s="7"/>
      <c r="AP16" s="77" t="s">
        <v>1487</v>
      </c>
      <c r="BC16" s="10"/>
      <c r="BD16" s="722"/>
      <c r="BE16" s="11"/>
      <c r="BF16" s="785"/>
      <c r="BG16" s="784"/>
      <c r="BH16" s="10"/>
      <c r="BI16" s="10"/>
      <c r="BJ16" s="10"/>
      <c r="BK16" s="10"/>
      <c r="BL16" s="10"/>
      <c r="BM16" s="10"/>
      <c r="BN16" s="10"/>
      <c r="BO16" s="10"/>
      <c r="BP16" s="10"/>
      <c r="BQ16" s="10"/>
      <c r="BR16" s="10"/>
      <c r="BS16" s="10"/>
      <c r="BT16" s="10"/>
      <c r="BU16" s="10"/>
      <c r="BV16" s="10"/>
      <c r="BW16" s="10"/>
      <c r="BX16" s="10"/>
      <c r="BY16" s="862"/>
      <c r="BZ16" s="863"/>
      <c r="CA16" s="865"/>
      <c r="CB16" s="865"/>
      <c r="CC16" s="865"/>
      <c r="CD16" s="10"/>
      <c r="CE16" s="11"/>
    </row>
    <row r="17" spans="2:83" s="25" customFormat="1" ht="5.25" customHeight="1" thickBot="1">
      <c r="B17" s="856"/>
      <c r="C17" s="857"/>
      <c r="D17" s="858"/>
      <c r="E17" s="858"/>
      <c r="F17" s="858"/>
      <c r="G17" s="858"/>
      <c r="H17" s="858"/>
      <c r="I17" s="858"/>
      <c r="J17" s="857"/>
      <c r="K17" s="857"/>
      <c r="L17" s="857"/>
      <c r="M17" s="857"/>
      <c r="N17" s="857"/>
      <c r="O17" s="857"/>
      <c r="P17" s="858"/>
      <c r="Q17" s="858"/>
      <c r="R17" s="858"/>
      <c r="S17" s="858"/>
      <c r="T17" s="858"/>
      <c r="U17" s="857"/>
      <c r="V17" s="857"/>
      <c r="W17" s="857"/>
      <c r="X17" s="857"/>
      <c r="Y17" s="857"/>
      <c r="Z17" s="1228"/>
      <c r="AA17" s="859"/>
      <c r="AC17" s="7"/>
      <c r="BC17" s="10"/>
      <c r="BD17" s="722"/>
      <c r="BE17" s="408"/>
      <c r="BH17" s="10"/>
      <c r="BI17" s="10"/>
      <c r="BJ17" s="10"/>
      <c r="BK17" s="10"/>
      <c r="BL17" s="10"/>
      <c r="BM17" s="10"/>
      <c r="BN17" s="10"/>
      <c r="BO17" s="10"/>
      <c r="BP17" s="10"/>
      <c r="BQ17" s="10"/>
      <c r="BR17" s="10"/>
      <c r="BS17" s="10"/>
      <c r="BT17" s="10"/>
      <c r="BU17" s="10"/>
      <c r="BV17" s="10"/>
      <c r="BW17" s="10"/>
      <c r="BX17" s="10"/>
      <c r="BY17" s="861"/>
      <c r="BZ17" s="861"/>
      <c r="CA17" s="861"/>
      <c r="CB17" s="861"/>
      <c r="CC17" s="861"/>
      <c r="CD17" s="10"/>
      <c r="CE17" s="11"/>
    </row>
    <row r="18" spans="2:83" s="25" customFormat="1" ht="12.75" customHeight="1">
      <c r="AC18" s="7"/>
      <c r="BC18" s="10"/>
      <c r="BD18" s="722"/>
      <c r="BE18" s="408"/>
      <c r="BF18" s="764"/>
      <c r="BG18" s="7"/>
      <c r="BH18" s="10"/>
      <c r="BI18" s="10"/>
      <c r="BJ18" s="10"/>
      <c r="BK18" s="10"/>
      <c r="BL18" s="10"/>
      <c r="BM18" s="10"/>
      <c r="BN18" s="10"/>
      <c r="BO18" s="10"/>
      <c r="BP18" s="10"/>
      <c r="BQ18" s="10"/>
      <c r="BR18" s="10"/>
      <c r="BS18" s="10"/>
      <c r="BT18" s="10"/>
      <c r="BU18" s="10"/>
      <c r="BV18" s="10"/>
      <c r="BW18" s="10"/>
      <c r="BX18" s="10"/>
      <c r="BY18" s="861"/>
      <c r="BZ18" s="861"/>
      <c r="CA18" s="2819"/>
      <c r="CB18" s="2819"/>
      <c r="CC18" s="2819"/>
      <c r="CD18" s="10"/>
      <c r="CE18" s="11"/>
    </row>
    <row r="19" spans="2:83" s="82" customFormat="1" ht="13.8">
      <c r="B19" s="723" t="s">
        <v>702</v>
      </c>
      <c r="C19" s="674"/>
      <c r="D19" s="674"/>
      <c r="E19" s="674"/>
      <c r="F19" s="674"/>
      <c r="G19" s="674"/>
      <c r="H19" s="674"/>
      <c r="I19" s="715"/>
      <c r="J19" s="715"/>
      <c r="K19" s="715"/>
      <c r="L19" s="715"/>
      <c r="M19" s="715"/>
      <c r="N19" s="715"/>
      <c r="O19" s="715"/>
      <c r="P19" s="715"/>
      <c r="Q19" s="715"/>
      <c r="R19" s="715"/>
      <c r="S19" s="715"/>
      <c r="T19" s="715"/>
      <c r="U19" s="715"/>
      <c r="V19" s="715"/>
      <c r="W19" s="715"/>
      <c r="X19" s="674"/>
      <c r="Y19" s="674"/>
      <c r="Z19" s="674"/>
      <c r="AA19" s="674"/>
      <c r="AB19" s="25"/>
      <c r="AC19" s="408"/>
      <c r="AD19" s="674"/>
      <c r="AE19" s="674"/>
      <c r="AF19" s="674"/>
      <c r="AG19" s="674"/>
      <c r="AH19" s="674"/>
      <c r="AI19" s="674"/>
      <c r="AJ19" s="674"/>
      <c r="AK19" s="715"/>
      <c r="AL19" s="715"/>
      <c r="AM19" s="715"/>
      <c r="AN19" s="715"/>
      <c r="AO19" s="715"/>
      <c r="AP19" s="715"/>
      <c r="AQ19" s="715"/>
      <c r="AR19" s="715"/>
      <c r="AS19" s="715"/>
      <c r="AT19" s="715"/>
      <c r="AU19" s="715"/>
      <c r="AV19" s="715"/>
      <c r="AW19" s="715"/>
      <c r="AX19" s="715"/>
      <c r="AY19" s="715"/>
      <c r="AZ19" s="715"/>
      <c r="BA19" s="715"/>
      <c r="BB19" s="674"/>
      <c r="BD19" s="730"/>
      <c r="BE19" s="92"/>
      <c r="BF19" s="630"/>
      <c r="BG19" s="408"/>
      <c r="BH19" s="408"/>
      <c r="BI19" s="408"/>
      <c r="BJ19" s="408"/>
      <c r="BK19" s="408"/>
      <c r="BL19" s="408"/>
      <c r="BM19" s="408"/>
      <c r="BN19" s="408"/>
      <c r="BO19" s="408"/>
      <c r="BP19" s="408"/>
      <c r="BQ19" s="408"/>
      <c r="BR19" s="408"/>
      <c r="BS19" s="408"/>
      <c r="BT19" s="408"/>
      <c r="BU19" s="408"/>
      <c r="BV19" s="408"/>
      <c r="BW19" s="408"/>
      <c r="BX19" s="408"/>
      <c r="BY19" s="408"/>
      <c r="BZ19" s="408"/>
      <c r="CA19" s="408"/>
      <c r="CB19" s="408"/>
      <c r="CC19" s="408"/>
      <c r="CD19" s="408"/>
      <c r="CE19" s="408"/>
    </row>
    <row r="20" spans="2:83" s="82" customFormat="1" ht="12" customHeight="1">
      <c r="AC20" s="8"/>
      <c r="AD20" s="8"/>
      <c r="BD20" s="730"/>
      <c r="BE20" s="92"/>
      <c r="BF20" s="629"/>
      <c r="BG20" s="408"/>
      <c r="BH20" s="408"/>
      <c r="BI20" s="408"/>
      <c r="BJ20" s="408"/>
      <c r="BK20" s="408"/>
      <c r="BL20" s="408"/>
      <c r="BM20" s="408"/>
      <c r="BN20" s="408"/>
      <c r="BO20" s="408"/>
      <c r="BP20" s="408"/>
      <c r="BQ20" s="408"/>
      <c r="BR20" s="408"/>
      <c r="BS20" s="408"/>
      <c r="BT20" s="408"/>
      <c r="BU20" s="408"/>
      <c r="BV20" s="408"/>
      <c r="BW20" s="408"/>
      <c r="BX20" s="408"/>
      <c r="BY20" s="408"/>
      <c r="BZ20" s="408"/>
      <c r="CA20" s="408"/>
      <c r="CB20" s="408"/>
      <c r="CC20" s="408"/>
      <c r="CD20" s="408"/>
      <c r="CE20" s="408"/>
    </row>
    <row r="21" spans="2:83" s="82" customFormat="1" ht="12" customHeight="1">
      <c r="B21" s="266" t="s">
        <v>443</v>
      </c>
      <c r="AC21" s="393"/>
      <c r="AD21" s="408"/>
      <c r="AE21" s="390"/>
      <c r="AF21" s="390"/>
      <c r="AO21" s="741"/>
      <c r="AP21" s="742"/>
      <c r="AQ21" s="742"/>
      <c r="AR21" s="742"/>
      <c r="AS21" s="742"/>
      <c r="AT21" s="742"/>
      <c r="AU21" s="742"/>
      <c r="AV21" s="742"/>
      <c r="AW21" s="742"/>
      <c r="AX21" s="742"/>
      <c r="AY21" s="742"/>
      <c r="AZ21" s="743"/>
      <c r="BA21" s="743"/>
      <c r="BB21" s="744"/>
      <c r="BD21" s="730"/>
      <c r="BE21" s="92"/>
      <c r="BF21" s="408"/>
      <c r="BG21" s="408"/>
      <c r="BH21" s="408"/>
      <c r="BI21" s="408"/>
      <c r="BJ21" s="408"/>
      <c r="BK21" s="408"/>
      <c r="BL21" s="408"/>
      <c r="BM21" s="408"/>
      <c r="BN21" s="408"/>
      <c r="BO21" s="408"/>
      <c r="BP21" s="408"/>
      <c r="BQ21" s="408"/>
      <c r="BR21" s="408"/>
      <c r="BS21" s="408"/>
      <c r="BT21" s="408"/>
      <c r="BU21" s="408"/>
      <c r="BV21" s="408"/>
      <c r="BW21" s="408"/>
      <c r="BX21" s="408"/>
      <c r="BY21" s="408"/>
      <c r="BZ21" s="408"/>
      <c r="CA21" s="408"/>
      <c r="CB21" s="408"/>
      <c r="CC21" s="408"/>
      <c r="CD21" s="408"/>
      <c r="CE21" s="408"/>
    </row>
    <row r="22" spans="2:83" s="82" customFormat="1" ht="12" customHeight="1">
      <c r="B22" s="267" t="s">
        <v>441</v>
      </c>
      <c r="AC22" s="393"/>
      <c r="AD22" s="408"/>
      <c r="AO22" s="750" t="s">
        <v>716</v>
      </c>
      <c r="AP22" s="409"/>
      <c r="AQ22" s="390"/>
      <c r="AR22" s="390"/>
      <c r="AS22" s="390"/>
      <c r="AT22" s="390"/>
      <c r="AU22" s="390"/>
      <c r="AV22" s="389"/>
      <c r="AW22" s="389"/>
      <c r="AX22" s="389"/>
      <c r="AY22" s="389"/>
      <c r="AZ22" s="10"/>
      <c r="BA22" s="10"/>
      <c r="BB22" s="745"/>
      <c r="BD22" s="730"/>
      <c r="BE22" s="3"/>
      <c r="BF22" s="3"/>
      <c r="BG22" s="25"/>
      <c r="BH22" s="25"/>
      <c r="BI22" s="25"/>
    </row>
    <row r="23" spans="2:83" s="82" customFormat="1" ht="12" customHeight="1">
      <c r="B23" s="82" t="s">
        <v>442</v>
      </c>
      <c r="AC23" s="393"/>
      <c r="AO23" s="750" t="s">
        <v>701</v>
      </c>
      <c r="AP23" s="409"/>
      <c r="AQ23" s="390"/>
      <c r="AR23" s="390"/>
      <c r="AS23" s="390"/>
      <c r="AT23" s="390"/>
      <c r="AU23" s="390"/>
      <c r="AV23" s="389"/>
      <c r="AW23" s="389"/>
      <c r="AX23" s="389"/>
      <c r="AY23" s="389"/>
      <c r="AZ23" s="10"/>
      <c r="BA23" s="10"/>
      <c r="BB23" s="745"/>
      <c r="BC23" s="3"/>
      <c r="BD23" s="731"/>
      <c r="BE23" s="3"/>
      <c r="BF23" s="3"/>
      <c r="BG23" s="25"/>
      <c r="BH23" s="25"/>
      <c r="BI23" s="25"/>
    </row>
    <row r="24" spans="2:83" s="82" customFormat="1" ht="12" customHeight="1">
      <c r="AC24" s="393"/>
      <c r="AO24" s="746"/>
      <c r="AP24" s="747"/>
      <c r="AQ24" s="748"/>
      <c r="AR24" s="748"/>
      <c r="AS24" s="748"/>
      <c r="AT24" s="748"/>
      <c r="AU24" s="748"/>
      <c r="AV24" s="666"/>
      <c r="AW24" s="666"/>
      <c r="AX24" s="666"/>
      <c r="AY24" s="666"/>
      <c r="AZ24" s="667"/>
      <c r="BA24" s="667"/>
      <c r="BB24" s="749"/>
      <c r="BC24" s="3"/>
      <c r="BD24" s="731"/>
    </row>
    <row r="25" spans="2:83" s="82" customFormat="1" ht="12" customHeight="1">
      <c r="B25" s="15" t="s">
        <v>453</v>
      </c>
      <c r="AC25" s="271">
        <v>4</v>
      </c>
      <c r="BD25" s="730"/>
    </row>
    <row r="26" spans="2:83" s="82" customFormat="1" ht="12" customHeight="1">
      <c r="B26" s="26" t="s">
        <v>444</v>
      </c>
      <c r="AC26" s="393"/>
      <c r="AG26" s="751"/>
      <c r="AH26" s="752"/>
      <c r="AI26" s="753"/>
      <c r="AJ26" s="753"/>
      <c r="AK26" s="753"/>
      <c r="AL26" s="753"/>
      <c r="AM26" s="753"/>
      <c r="AN26" s="753"/>
      <c r="AO26" s="753"/>
      <c r="AP26" s="753"/>
      <c r="AQ26" s="753"/>
      <c r="AR26" s="753"/>
      <c r="AS26" s="753"/>
      <c r="AT26" s="754"/>
      <c r="BD26" s="730"/>
    </row>
    <row r="27" spans="2:83" s="82" customFormat="1" ht="12" customHeight="1">
      <c r="B27" s="25" t="s">
        <v>445</v>
      </c>
      <c r="AC27" s="393"/>
      <c r="AG27" s="755"/>
      <c r="AH27" s="756" t="s">
        <v>532</v>
      </c>
      <c r="AI27" s="630"/>
      <c r="AJ27" s="630"/>
      <c r="AK27" s="630"/>
      <c r="AL27" s="630"/>
      <c r="AM27" s="630"/>
      <c r="AN27" s="630"/>
      <c r="AO27" s="630"/>
      <c r="AP27" s="630"/>
      <c r="AQ27" s="630"/>
      <c r="AR27" s="630"/>
      <c r="AS27" s="630"/>
      <c r="AT27" s="757"/>
      <c r="BD27" s="730"/>
    </row>
    <row r="28" spans="2:83" s="82" customFormat="1" ht="12" customHeight="1">
      <c r="B28" s="25" t="s">
        <v>1122</v>
      </c>
      <c r="AC28" s="393"/>
      <c r="AG28" s="755"/>
      <c r="AH28" s="756" t="s">
        <v>533</v>
      </c>
      <c r="AI28" s="630"/>
      <c r="AJ28" s="630"/>
      <c r="AK28" s="630"/>
      <c r="AL28" s="630"/>
      <c r="AM28" s="630"/>
      <c r="AN28" s="630"/>
      <c r="AO28" s="630"/>
      <c r="AP28" s="630"/>
      <c r="AQ28" s="630"/>
      <c r="AR28" s="630"/>
      <c r="AS28" s="630"/>
      <c r="AT28" s="757"/>
      <c r="BD28" s="730"/>
    </row>
    <row r="29" spans="2:83" s="82" customFormat="1" ht="12" customHeight="1">
      <c r="B29" s="272" t="s">
        <v>1123</v>
      </c>
      <c r="AC29" s="393"/>
      <c r="AG29" s="758"/>
      <c r="AH29" s="759"/>
      <c r="AI29" s="759"/>
      <c r="AJ29" s="759"/>
      <c r="AK29" s="759"/>
      <c r="AL29" s="759"/>
      <c r="AM29" s="759"/>
      <c r="AN29" s="759"/>
      <c r="AO29" s="759"/>
      <c r="AP29" s="759"/>
      <c r="AQ29" s="759"/>
      <c r="AR29" s="759"/>
      <c r="AS29" s="759"/>
      <c r="AT29" s="760"/>
      <c r="BD29" s="730"/>
      <c r="BF29" s="17"/>
      <c r="BG29" s="17"/>
      <c r="BH29" s="17"/>
      <c r="BI29" s="17"/>
      <c r="BJ29" s="17"/>
      <c r="BK29" s="17"/>
      <c r="BL29" s="17"/>
      <c r="BM29" s="3"/>
      <c r="BN29" s="3"/>
      <c r="BO29" s="3"/>
      <c r="BP29" s="3"/>
      <c r="BQ29" s="3"/>
      <c r="BR29" s="3"/>
      <c r="BS29" s="3"/>
      <c r="BT29" s="3"/>
      <c r="BU29" s="3"/>
      <c r="BV29" s="3"/>
      <c r="BW29" s="3"/>
      <c r="BX29" s="3"/>
      <c r="BY29" s="3"/>
      <c r="BZ29" s="3"/>
      <c r="CA29" s="3"/>
      <c r="CB29" s="3"/>
      <c r="CC29" s="25"/>
      <c r="CD29" s="25"/>
      <c r="CE29" s="25"/>
    </row>
    <row r="30" spans="2:83" s="82" customFormat="1" ht="12" customHeight="1">
      <c r="B30" s="272" t="s">
        <v>446</v>
      </c>
      <c r="AC30" s="393"/>
      <c r="AK30" s="388"/>
      <c r="AL30" s="388"/>
      <c r="AM30" s="388"/>
      <c r="AN30" s="388"/>
      <c r="AO30" s="388"/>
      <c r="BD30" s="730"/>
      <c r="BF30" s="17"/>
      <c r="BG30" s="17"/>
      <c r="BH30" s="17"/>
      <c r="BI30" s="17"/>
      <c r="BJ30" s="17"/>
      <c r="BK30" s="17"/>
      <c r="BL30" s="17"/>
      <c r="BM30" s="3"/>
      <c r="BN30" s="3"/>
      <c r="BO30" s="3"/>
      <c r="BP30" s="3"/>
      <c r="BQ30" s="3"/>
      <c r="BR30" s="3"/>
      <c r="BS30" s="3"/>
      <c r="BT30" s="3"/>
      <c r="BU30" s="3"/>
      <c r="BV30" s="3"/>
      <c r="BW30" s="3"/>
      <c r="BX30" s="3"/>
      <c r="BY30" s="3"/>
      <c r="BZ30" s="3"/>
      <c r="CA30" s="3"/>
      <c r="CB30" s="3"/>
      <c r="CC30" s="25"/>
      <c r="CD30" s="25"/>
      <c r="CE30" s="25"/>
    </row>
    <row r="31" spans="2:83" s="82" customFormat="1" ht="12" customHeight="1" thickBot="1">
      <c r="B31" s="25" t="s">
        <v>447</v>
      </c>
      <c r="AC31" s="393"/>
      <c r="AG31" s="273" t="s">
        <v>429</v>
      </c>
      <c r="AN31" s="388"/>
      <c r="AO31" s="388"/>
      <c r="BD31" s="730"/>
      <c r="BF31" s="17"/>
      <c r="BG31" s="17"/>
      <c r="BH31" s="17"/>
      <c r="BI31" s="17"/>
      <c r="BJ31" s="17"/>
      <c r="BK31" s="17"/>
      <c r="BL31" s="17"/>
      <c r="BM31" s="3"/>
      <c r="BN31" s="3"/>
      <c r="BO31" s="3"/>
      <c r="BP31" s="3"/>
      <c r="BQ31" s="3"/>
      <c r="BR31" s="3"/>
      <c r="BS31" s="3"/>
      <c r="BT31" s="3"/>
      <c r="BU31" s="3"/>
      <c r="BV31" s="3"/>
      <c r="BW31" s="3"/>
      <c r="BX31" s="3"/>
      <c r="BY31" s="3"/>
      <c r="BZ31" s="3"/>
      <c r="CA31" s="3"/>
      <c r="CB31" s="3"/>
      <c r="CC31" s="25"/>
      <c r="CD31" s="25"/>
      <c r="CE31" s="25"/>
    </row>
    <row r="32" spans="2:83" s="82" customFormat="1" ht="12" customHeight="1" thickBot="1">
      <c r="B32" s="25" t="s">
        <v>448</v>
      </c>
      <c r="AC32" s="393"/>
      <c r="AI32" s="2834" t="s">
        <v>4</v>
      </c>
      <c r="AJ32" s="2835"/>
      <c r="AK32" s="2835"/>
      <c r="AL32" s="2835"/>
      <c r="AM32" s="2836"/>
      <c r="AN32" s="388"/>
      <c r="AO32" s="388"/>
      <c r="AP32" s="388"/>
      <c r="AQ32" s="388"/>
      <c r="AR32" s="388"/>
      <c r="AS32" s="388"/>
      <c r="AT32" s="388"/>
      <c r="AU32" s="388"/>
      <c r="AV32" s="388"/>
      <c r="BD32" s="730"/>
      <c r="BF32" s="17"/>
      <c r="BG32" s="17"/>
      <c r="BH32" s="17"/>
      <c r="BI32" s="17"/>
      <c r="BJ32" s="17"/>
      <c r="BK32" s="17"/>
      <c r="BL32" s="17"/>
      <c r="BM32" s="3"/>
      <c r="BN32" s="3"/>
      <c r="BO32" s="3"/>
      <c r="BP32" s="3"/>
      <c r="BQ32" s="3"/>
      <c r="BR32" s="3"/>
      <c r="BS32" s="3"/>
      <c r="BT32" s="3"/>
      <c r="BU32" s="3"/>
      <c r="BV32" s="3"/>
      <c r="BW32" s="3"/>
      <c r="BX32" s="3"/>
      <c r="BY32" s="3"/>
      <c r="BZ32" s="3"/>
      <c r="CA32" s="3"/>
      <c r="CB32" s="3"/>
      <c r="CC32" s="25"/>
      <c r="CD32" s="25"/>
      <c r="CE32" s="25"/>
    </row>
    <row r="33" spans="2:83" s="82" customFormat="1" ht="12" customHeight="1">
      <c r="AC33" s="393"/>
      <c r="AG33" s="388"/>
      <c r="AH33" s="388"/>
      <c r="AI33" s="388"/>
      <c r="AJ33" s="388"/>
      <c r="AK33" s="388"/>
      <c r="AL33" s="388"/>
      <c r="AM33" s="388"/>
      <c r="AN33" s="388"/>
      <c r="AO33" s="388"/>
      <c r="AP33" s="388"/>
      <c r="AQ33" s="388"/>
      <c r="AR33" s="388"/>
      <c r="AS33" s="388"/>
      <c r="AT33" s="388"/>
      <c r="AU33" s="388"/>
      <c r="AV33" s="388"/>
      <c r="BD33" s="730"/>
      <c r="BF33" s="17"/>
      <c r="BG33" s="17"/>
      <c r="BH33" s="17"/>
      <c r="BI33" s="17"/>
      <c r="BJ33" s="17"/>
      <c r="BK33" s="17"/>
      <c r="BL33" s="17"/>
      <c r="BM33" s="3"/>
      <c r="BN33" s="3"/>
      <c r="BO33" s="3"/>
      <c r="BP33" s="3"/>
      <c r="BQ33" s="3"/>
      <c r="BR33" s="3"/>
      <c r="BS33" s="3"/>
      <c r="BT33" s="3"/>
      <c r="BU33" s="3"/>
      <c r="BV33" s="3"/>
      <c r="BW33" s="3"/>
      <c r="BX33" s="3"/>
      <c r="BY33" s="3"/>
      <c r="BZ33" s="3"/>
      <c r="CA33" s="3"/>
      <c r="CB33" s="3"/>
      <c r="CC33" s="25"/>
      <c r="CD33" s="25"/>
      <c r="CE33" s="25"/>
    </row>
    <row r="34" spans="2:83" s="82" customFormat="1" ht="12" customHeight="1">
      <c r="B34" s="25" t="s">
        <v>449</v>
      </c>
      <c r="AC34" s="393"/>
      <c r="AG34" s="388"/>
      <c r="AH34" s="279" t="s">
        <v>4</v>
      </c>
      <c r="AI34" s="279"/>
      <c r="AJ34" s="279"/>
      <c r="AK34" s="279"/>
      <c r="AL34" s="279"/>
      <c r="AM34" s="279"/>
      <c r="AN34" s="279">
        <f>IF(AI32="12 månader eller mindre",1,2)</f>
        <v>1</v>
      </c>
      <c r="AO34" s="396"/>
      <c r="AP34" s="388"/>
      <c r="AQ34" s="388"/>
      <c r="AR34" s="388"/>
      <c r="AS34" s="388"/>
      <c r="AT34" s="388"/>
      <c r="AU34" s="388"/>
      <c r="AV34" s="388"/>
      <c r="BD34" s="730"/>
      <c r="BF34" s="17"/>
      <c r="BG34" s="17"/>
      <c r="BH34" s="17"/>
      <c r="BI34" s="17"/>
      <c r="BJ34" s="17"/>
      <c r="BK34" s="17"/>
      <c r="BL34" s="17"/>
      <c r="BM34" s="3"/>
      <c r="BN34" s="3"/>
      <c r="BO34" s="3"/>
      <c r="BP34" s="3"/>
      <c r="BQ34" s="3"/>
      <c r="BR34" s="3"/>
      <c r="BS34" s="3"/>
      <c r="BT34" s="3"/>
      <c r="BU34" s="3"/>
      <c r="BV34" s="3"/>
      <c r="BW34" s="3"/>
      <c r="BX34" s="3"/>
      <c r="BY34" s="3"/>
      <c r="BZ34" s="3"/>
      <c r="CA34" s="3"/>
      <c r="CB34" s="3"/>
      <c r="CC34" s="25"/>
      <c r="CD34" s="25"/>
      <c r="CE34" s="25"/>
    </row>
    <row r="35" spans="2:83" s="82" customFormat="1" ht="12" customHeight="1">
      <c r="B35" s="25" t="s">
        <v>450</v>
      </c>
      <c r="AC35" s="393"/>
      <c r="AG35" s="388"/>
      <c r="AH35" s="279" t="s">
        <v>34</v>
      </c>
      <c r="AI35" s="279"/>
      <c r="AJ35" s="279"/>
      <c r="AK35" s="279"/>
      <c r="AL35" s="279"/>
      <c r="AM35" s="279"/>
      <c r="AN35" s="279"/>
      <c r="AO35" s="396"/>
      <c r="AP35" s="388"/>
      <c r="AQ35" s="388"/>
      <c r="AR35" s="388"/>
      <c r="AS35" s="388"/>
      <c r="AT35" s="388"/>
      <c r="AU35" s="388"/>
      <c r="AV35" s="388"/>
      <c r="BD35" s="730"/>
      <c r="BF35" s="17"/>
      <c r="BG35" s="17"/>
      <c r="BH35" s="17"/>
      <c r="BI35" s="17"/>
      <c r="BJ35" s="17"/>
      <c r="BK35" s="17"/>
      <c r="BL35" s="17"/>
      <c r="BM35" s="3"/>
      <c r="BN35" s="3"/>
      <c r="BO35" s="3"/>
      <c r="BP35" s="3"/>
      <c r="BQ35" s="3"/>
      <c r="BR35" s="3"/>
      <c r="BS35" s="3"/>
      <c r="BT35" s="3"/>
      <c r="BU35" s="3"/>
      <c r="BV35" s="3"/>
      <c r="BW35" s="3"/>
      <c r="BX35" s="3"/>
      <c r="BY35" s="3"/>
      <c r="BZ35" s="3"/>
      <c r="CA35" s="3"/>
      <c r="CB35" s="3"/>
      <c r="CC35" s="25"/>
      <c r="CD35" s="25"/>
      <c r="CE35" s="25"/>
    </row>
    <row r="36" spans="2:83" s="82" customFormat="1" ht="12" customHeight="1">
      <c r="B36" s="25" t="s">
        <v>451</v>
      </c>
      <c r="AC36" s="393"/>
      <c r="AM36" s="388"/>
      <c r="AN36" s="388"/>
      <c r="AO36" s="388"/>
      <c r="AP36" s="388"/>
      <c r="AQ36" s="388"/>
      <c r="BD36" s="730"/>
      <c r="BF36" s="17"/>
      <c r="BG36" s="17"/>
      <c r="BH36" s="17"/>
      <c r="BI36" s="17"/>
      <c r="BJ36" s="17"/>
      <c r="BK36" s="17"/>
      <c r="BL36" s="17"/>
      <c r="BM36" s="3"/>
      <c r="BN36" s="3"/>
      <c r="BO36" s="3"/>
      <c r="BP36" s="3"/>
      <c r="BQ36" s="3"/>
      <c r="BR36" s="3"/>
      <c r="BS36" s="3"/>
      <c r="BT36" s="3"/>
      <c r="BU36" s="3"/>
      <c r="BV36" s="3"/>
      <c r="BW36" s="3"/>
      <c r="BX36" s="3"/>
      <c r="BY36" s="3"/>
      <c r="BZ36" s="3"/>
      <c r="CA36" s="3"/>
      <c r="CB36" s="3"/>
      <c r="CC36" s="25"/>
      <c r="CD36" s="25"/>
      <c r="CE36" s="25"/>
    </row>
    <row r="37" spans="2:83" s="82" customFormat="1" ht="12" customHeight="1">
      <c r="B37" s="82" t="s">
        <v>452</v>
      </c>
      <c r="AC37" s="393"/>
      <c r="BD37" s="730"/>
      <c r="BF37" s="17"/>
      <c r="BG37" s="17"/>
      <c r="BH37" s="17"/>
      <c r="BI37" s="17"/>
      <c r="BJ37" s="17"/>
      <c r="BK37" s="17"/>
      <c r="BL37" s="17"/>
      <c r="BM37" s="3"/>
      <c r="BN37" s="3"/>
      <c r="BO37" s="3"/>
      <c r="BP37" s="3"/>
      <c r="BQ37" s="3"/>
      <c r="BR37" s="3"/>
      <c r="BS37" s="3"/>
      <c r="BT37" s="3"/>
      <c r="BU37" s="3"/>
      <c r="BV37" s="3"/>
      <c r="BW37" s="3"/>
      <c r="BX37" s="3"/>
      <c r="BY37" s="3"/>
      <c r="BZ37" s="3"/>
      <c r="CA37" s="3"/>
      <c r="CB37" s="3"/>
      <c r="CC37" s="25"/>
      <c r="CD37" s="25"/>
      <c r="CE37" s="25"/>
    </row>
    <row r="38" spans="2:83" s="82" customFormat="1" ht="12" customHeight="1">
      <c r="B38" s="267"/>
      <c r="AC38" s="393"/>
      <c r="AG38" s="400" t="s">
        <v>590</v>
      </c>
      <c r="AH38" s="397" t="s">
        <v>589</v>
      </c>
      <c r="AT38" s="388"/>
      <c r="AU38" s="388"/>
      <c r="AV38" s="388"/>
      <c r="AW38" s="388"/>
      <c r="AX38" s="388"/>
      <c r="AY38" s="388"/>
      <c r="BD38" s="730"/>
      <c r="BF38" s="17"/>
      <c r="BG38" s="17"/>
      <c r="BH38" s="17"/>
      <c r="BI38" s="17"/>
      <c r="BJ38" s="17"/>
      <c r="BK38" s="17"/>
      <c r="BL38" s="17"/>
      <c r="BM38" s="3"/>
      <c r="BN38" s="3"/>
      <c r="BO38" s="3"/>
      <c r="BP38" s="3"/>
      <c r="BQ38" s="3"/>
      <c r="BR38" s="3"/>
      <c r="BS38" s="3"/>
      <c r="BT38" s="3"/>
      <c r="BU38" s="3"/>
      <c r="BV38" s="3"/>
      <c r="BW38" s="3"/>
      <c r="BX38" s="3"/>
      <c r="BY38" s="3"/>
      <c r="BZ38" s="3"/>
      <c r="CA38" s="3"/>
      <c r="CB38" s="3"/>
      <c r="CC38" s="25"/>
      <c r="CD38" s="25"/>
      <c r="CE38" s="25"/>
    </row>
    <row r="39" spans="2:83" s="82" customFormat="1" ht="12" customHeight="1">
      <c r="B39" s="274" t="s">
        <v>454</v>
      </c>
      <c r="AC39" s="314">
        <v>4</v>
      </c>
      <c r="AH39" s="397" t="s">
        <v>591</v>
      </c>
      <c r="BD39" s="829"/>
      <c r="BF39" s="17"/>
      <c r="BG39" s="17"/>
      <c r="BH39" s="17"/>
      <c r="BI39" s="17"/>
      <c r="BJ39" s="17"/>
      <c r="BK39" s="17"/>
      <c r="BL39" s="17"/>
      <c r="BM39" s="3"/>
      <c r="BN39" s="3"/>
      <c r="BO39" s="3"/>
      <c r="BP39" s="3"/>
      <c r="BQ39" s="3"/>
      <c r="BR39" s="3"/>
      <c r="BS39" s="3"/>
      <c r="BT39" s="3"/>
      <c r="BU39" s="3"/>
      <c r="BV39" s="3"/>
      <c r="BW39" s="3"/>
      <c r="BX39" s="3"/>
      <c r="BY39" s="3"/>
      <c r="BZ39" s="3"/>
      <c r="CA39" s="3"/>
      <c r="CB39" s="3"/>
      <c r="CC39" s="25"/>
      <c r="CD39" s="25"/>
      <c r="CE39" s="25"/>
    </row>
    <row r="40" spans="2:83" s="82" customFormat="1" ht="12" customHeight="1">
      <c r="B40" s="82" t="s">
        <v>455</v>
      </c>
      <c r="AC40" s="828"/>
      <c r="BD40" s="829"/>
      <c r="BF40" s="17"/>
      <c r="BG40" s="17"/>
      <c r="BH40" s="17"/>
      <c r="BI40" s="17"/>
      <c r="BJ40" s="17"/>
      <c r="BK40" s="17"/>
      <c r="BL40" s="17"/>
      <c r="BM40" s="3"/>
      <c r="BN40" s="3"/>
      <c r="BO40" s="3"/>
      <c r="BP40" s="3"/>
      <c r="BQ40" s="3"/>
      <c r="BR40" s="3"/>
      <c r="BS40" s="3"/>
      <c r="BT40" s="3"/>
      <c r="BU40" s="3"/>
      <c r="BV40" s="3"/>
      <c r="BW40" s="3"/>
      <c r="BX40" s="3"/>
      <c r="BY40" s="3"/>
      <c r="BZ40" s="3"/>
      <c r="CA40" s="3"/>
      <c r="CB40" s="3"/>
      <c r="CC40" s="25"/>
      <c r="CD40" s="25"/>
      <c r="CE40" s="25"/>
    </row>
    <row r="41" spans="2:83" s="82" customFormat="1" ht="12" customHeight="1" thickBot="1">
      <c r="B41" s="82" t="s">
        <v>456</v>
      </c>
      <c r="AC41" s="828"/>
      <c r="AL41" s="269" t="s">
        <v>430</v>
      </c>
      <c r="BD41" s="829"/>
      <c r="BF41" s="17"/>
      <c r="BG41" s="17"/>
      <c r="BH41" s="17"/>
      <c r="BI41" s="17"/>
      <c r="BJ41" s="17"/>
      <c r="BK41" s="17"/>
      <c r="BL41" s="17"/>
      <c r="BM41" s="3"/>
      <c r="BN41" s="3"/>
      <c r="BO41" s="3"/>
      <c r="BP41" s="3"/>
      <c r="BQ41" s="3"/>
      <c r="BR41" s="3"/>
      <c r="BS41" s="3"/>
      <c r="BT41" s="3"/>
      <c r="BU41" s="3"/>
      <c r="BV41" s="3"/>
      <c r="BW41" s="3"/>
      <c r="BX41" s="3"/>
      <c r="BY41" s="3"/>
      <c r="BZ41" s="3"/>
      <c r="CA41" s="3"/>
      <c r="CB41" s="3"/>
      <c r="CC41" s="25"/>
      <c r="CD41" s="25"/>
      <c r="CE41" s="25"/>
    </row>
    <row r="42" spans="2:83" s="82" customFormat="1" ht="12" customHeight="1" thickBot="1">
      <c r="B42" s="82" t="s">
        <v>457</v>
      </c>
      <c r="AC42" s="828"/>
      <c r="AK42" s="2834" t="s">
        <v>5</v>
      </c>
      <c r="AL42" s="2835"/>
      <c r="AM42" s="2836"/>
      <c r="BD42" s="829"/>
      <c r="BF42" s="17"/>
      <c r="BG42" s="17"/>
      <c r="BH42" s="17"/>
      <c r="BI42" s="17"/>
      <c r="BJ42" s="17"/>
      <c r="BK42" s="17"/>
      <c r="BL42" s="17"/>
      <c r="BM42" s="3"/>
      <c r="BN42" s="3"/>
      <c r="BO42" s="3"/>
      <c r="BP42" s="3"/>
      <c r="BQ42" s="3"/>
      <c r="BR42" s="3"/>
      <c r="BS42" s="3"/>
      <c r="BT42" s="3"/>
      <c r="BU42" s="3"/>
      <c r="BV42" s="3"/>
      <c r="BW42" s="3"/>
      <c r="BX42" s="3"/>
      <c r="BY42" s="3"/>
      <c r="BZ42" s="3"/>
      <c r="CA42" s="3"/>
      <c r="CB42" s="3"/>
      <c r="CC42" s="25"/>
      <c r="CD42" s="25"/>
      <c r="CE42" s="25"/>
    </row>
    <row r="43" spans="2:83" s="82" customFormat="1" ht="12" customHeight="1">
      <c r="B43" s="267"/>
      <c r="AC43" s="828"/>
      <c r="BD43" s="829"/>
      <c r="BF43" s="17"/>
      <c r="BG43" s="17"/>
      <c r="BH43" s="17"/>
      <c r="BI43" s="17"/>
      <c r="BJ43" s="17"/>
      <c r="BK43" s="17"/>
      <c r="BL43" s="17"/>
      <c r="BM43" s="3"/>
      <c r="BN43" s="3"/>
      <c r="BO43" s="3"/>
      <c r="BP43" s="3"/>
      <c r="BQ43" s="3"/>
      <c r="BR43" s="3"/>
      <c r="BS43" s="3"/>
      <c r="BT43" s="3"/>
      <c r="BU43" s="3"/>
      <c r="BV43" s="3"/>
      <c r="BW43" s="3"/>
      <c r="BX43" s="3"/>
      <c r="BY43" s="3"/>
      <c r="BZ43" s="3"/>
      <c r="CA43" s="3"/>
      <c r="CB43" s="3"/>
      <c r="CC43" s="25"/>
      <c r="CD43" s="25"/>
      <c r="CE43" s="25"/>
    </row>
    <row r="44" spans="2:83" s="82" customFormat="1" ht="12" customHeight="1">
      <c r="B44" s="15" t="s">
        <v>1120</v>
      </c>
      <c r="AC44" s="271">
        <v>4</v>
      </c>
      <c r="AT44" s="388"/>
      <c r="AU44" s="388"/>
      <c r="AV44" s="388"/>
      <c r="AW44" s="388"/>
      <c r="AX44" s="388"/>
      <c r="AY44" s="388"/>
      <c r="BD44" s="730"/>
      <c r="BG44" s="17"/>
      <c r="BH44" s="17"/>
      <c r="BI44" s="17"/>
      <c r="BJ44" s="17"/>
      <c r="BK44" s="17"/>
      <c r="BL44" s="17"/>
      <c r="BM44" s="3"/>
      <c r="BN44" s="3"/>
      <c r="BO44" s="3"/>
      <c r="BP44" s="3"/>
      <c r="BQ44" s="3"/>
      <c r="BR44" s="3"/>
      <c r="BS44" s="3"/>
      <c r="BT44" s="3"/>
      <c r="BU44" s="3"/>
      <c r="BV44" s="3"/>
      <c r="BW44" s="3"/>
      <c r="BX44" s="3"/>
      <c r="BY44" s="3"/>
      <c r="BZ44" s="3"/>
      <c r="CA44" s="3"/>
      <c r="CB44" s="3"/>
      <c r="CC44" s="25"/>
      <c r="CD44" s="25"/>
      <c r="CE44" s="25"/>
    </row>
    <row r="45" spans="2:83" s="82" customFormat="1" ht="12" customHeight="1">
      <c r="B45" s="2114" t="s">
        <v>890</v>
      </c>
      <c r="AC45" s="393"/>
      <c r="AT45" s="388"/>
      <c r="AU45" s="388"/>
      <c r="AV45" s="388"/>
      <c r="AW45" s="388"/>
      <c r="AX45" s="388"/>
      <c r="AY45" s="388"/>
      <c r="BD45" s="730"/>
      <c r="BG45" s="17"/>
      <c r="BH45" s="17"/>
      <c r="BI45" s="17"/>
      <c r="BJ45" s="17"/>
      <c r="BK45" s="17"/>
      <c r="BL45" s="17"/>
      <c r="BM45" s="3"/>
      <c r="BN45" s="3"/>
      <c r="BO45" s="3"/>
      <c r="BP45" s="3"/>
      <c r="BQ45" s="3"/>
      <c r="BR45" s="3"/>
      <c r="BS45" s="3"/>
      <c r="BT45" s="3"/>
      <c r="BU45" s="3"/>
      <c r="BV45" s="3"/>
      <c r="BW45" s="3"/>
      <c r="BX45" s="3"/>
      <c r="BY45" s="3"/>
      <c r="BZ45" s="3"/>
      <c r="CA45" s="3"/>
      <c r="CB45" s="3"/>
      <c r="CC45" s="25"/>
      <c r="CD45" s="25"/>
      <c r="CE45" s="25"/>
    </row>
    <row r="46" spans="2:83" s="82" customFormat="1" ht="12" customHeight="1">
      <c r="B46" s="82" t="s">
        <v>1116</v>
      </c>
      <c r="AC46" s="393"/>
      <c r="AD46" s="2115" t="s">
        <v>587</v>
      </c>
      <c r="AE46" s="1847" t="s">
        <v>894</v>
      </c>
      <c r="AS46" s="388"/>
      <c r="AT46" s="1225">
        <f>IF($AN$34=1,1,0)</f>
        <v>1</v>
      </c>
      <c r="AU46" s="1225" t="s">
        <v>1129</v>
      </c>
      <c r="AV46" s="1225" t="s">
        <v>35</v>
      </c>
      <c r="AW46" s="1225"/>
      <c r="AX46" s="1225"/>
      <c r="AY46" s="1225"/>
      <c r="BD46" s="730"/>
      <c r="BG46" s="17"/>
      <c r="BH46" s="17"/>
      <c r="BI46" s="17"/>
      <c r="BJ46" s="17"/>
      <c r="BK46" s="17"/>
      <c r="BL46" s="17"/>
      <c r="BM46" s="3"/>
      <c r="BN46" s="3"/>
      <c r="BO46" s="3"/>
      <c r="BP46" s="3"/>
      <c r="BQ46" s="3"/>
      <c r="BR46" s="3"/>
      <c r="BS46" s="3"/>
      <c r="BT46" s="3"/>
      <c r="BU46" s="3"/>
      <c r="BV46" s="3"/>
      <c r="BW46" s="3"/>
      <c r="BX46" s="3"/>
      <c r="BY46" s="3"/>
      <c r="BZ46" s="3"/>
      <c r="CA46" s="3"/>
      <c r="CB46" s="3"/>
      <c r="CC46" s="25"/>
      <c r="CD46" s="25"/>
      <c r="CE46" s="25"/>
    </row>
    <row r="47" spans="2:83" s="82" customFormat="1" ht="12" customHeight="1">
      <c r="B47" s="275" t="s">
        <v>891</v>
      </c>
      <c r="AC47" s="393"/>
      <c r="AE47" s="1847" t="s">
        <v>588</v>
      </c>
      <c r="AM47" s="388"/>
      <c r="AN47" s="388"/>
      <c r="AO47" s="388"/>
      <c r="AP47" s="388"/>
      <c r="AQ47" s="388"/>
      <c r="AR47" s="388"/>
      <c r="AS47" s="388"/>
      <c r="AT47" s="1225">
        <f>IF($AN$34=1,2,0)</f>
        <v>2</v>
      </c>
      <c r="AU47" s="1225" t="s">
        <v>1130</v>
      </c>
      <c r="AV47" s="1225" t="s">
        <v>36</v>
      </c>
      <c r="AW47" s="1225"/>
      <c r="AX47" s="1225"/>
      <c r="AY47" s="1225"/>
      <c r="BD47" s="730"/>
      <c r="BG47" s="17"/>
      <c r="BH47" s="17"/>
      <c r="BI47" s="17"/>
      <c r="BJ47" s="17"/>
      <c r="BK47" s="17"/>
      <c r="BL47" s="17"/>
      <c r="BM47" s="3"/>
      <c r="BN47" s="3"/>
      <c r="BO47" s="3"/>
      <c r="BP47" s="3"/>
      <c r="BQ47" s="3"/>
      <c r="BR47" s="3"/>
      <c r="BS47" s="3"/>
      <c r="BT47" s="3"/>
      <c r="BU47" s="3"/>
      <c r="BV47" s="3"/>
      <c r="BW47" s="3"/>
      <c r="BX47" s="3"/>
      <c r="BY47" s="3"/>
      <c r="BZ47" s="3"/>
      <c r="CA47" s="3"/>
      <c r="CB47" s="3"/>
      <c r="CC47" s="25"/>
      <c r="CD47" s="25"/>
      <c r="CE47" s="25"/>
    </row>
    <row r="48" spans="2:83" s="82" customFormat="1" ht="12" customHeight="1">
      <c r="B48" s="275" t="s">
        <v>1141</v>
      </c>
      <c r="AC48" s="393"/>
      <c r="AE48" s="1847" t="s">
        <v>1128</v>
      </c>
      <c r="AM48" s="388"/>
      <c r="AN48" s="388"/>
      <c r="AO48" s="388"/>
      <c r="AP48" s="388"/>
      <c r="AQ48" s="388"/>
      <c r="AR48" s="388"/>
      <c r="AS48" s="388"/>
      <c r="AT48" s="1225">
        <f>IF($AN$34=1,3,0)</f>
        <v>3</v>
      </c>
      <c r="AU48" s="1225" t="s">
        <v>1131</v>
      </c>
      <c r="AV48" s="1225" t="s">
        <v>37</v>
      </c>
      <c r="AW48" s="1225"/>
      <c r="AX48" s="1225"/>
      <c r="AY48" s="1225"/>
      <c r="BD48" s="730"/>
      <c r="BF48" s="17"/>
      <c r="BG48" s="17"/>
      <c r="BH48" s="17"/>
      <c r="BI48" s="17"/>
      <c r="BJ48" s="17"/>
      <c r="BK48" s="17"/>
      <c r="BL48" s="17"/>
      <c r="BM48" s="3"/>
      <c r="BN48" s="3"/>
      <c r="BO48" s="3"/>
      <c r="BP48" s="3"/>
      <c r="BQ48" s="3"/>
      <c r="BR48" s="3"/>
      <c r="BS48" s="3"/>
      <c r="BT48" s="3"/>
      <c r="BU48" s="3"/>
      <c r="BV48" s="3"/>
      <c r="BW48" s="3"/>
      <c r="BX48" s="3"/>
      <c r="BY48" s="3"/>
      <c r="BZ48" s="3"/>
      <c r="CA48" s="3"/>
      <c r="CB48" s="3"/>
      <c r="CC48" s="25"/>
      <c r="CD48" s="25"/>
      <c r="CE48" s="25"/>
    </row>
    <row r="49" spans="2:83" s="82" customFormat="1" ht="12" customHeight="1">
      <c r="B49" s="522" t="s">
        <v>1142</v>
      </c>
      <c r="AC49" s="393"/>
      <c r="AE49" s="397"/>
      <c r="AM49" s="388"/>
      <c r="AN49" s="388"/>
      <c r="AT49" s="1225">
        <f>IF($AN$34=1,4,0)</f>
        <v>4</v>
      </c>
      <c r="AU49" s="1225" t="s">
        <v>1132</v>
      </c>
      <c r="AV49" s="1225" t="s">
        <v>38</v>
      </c>
      <c r="AW49" s="1225"/>
      <c r="AX49" s="1225"/>
      <c r="AY49" s="1225"/>
      <c r="BD49" s="730"/>
      <c r="BF49" s="17"/>
      <c r="BG49" s="17"/>
      <c r="BH49" s="17"/>
      <c r="BI49" s="17"/>
      <c r="BJ49" s="17"/>
      <c r="BK49" s="17"/>
      <c r="BL49" s="17"/>
      <c r="BM49" s="3"/>
      <c r="BN49" s="3"/>
      <c r="BO49" s="3"/>
      <c r="BP49" s="3"/>
      <c r="BQ49" s="3"/>
      <c r="BR49" s="3"/>
      <c r="BS49" s="3"/>
      <c r="BT49" s="3"/>
      <c r="BU49" s="3"/>
      <c r="BV49" s="3"/>
      <c r="BW49" s="3"/>
      <c r="BX49" s="3"/>
      <c r="BY49" s="3"/>
      <c r="BZ49" s="3"/>
      <c r="CA49" s="3"/>
      <c r="CB49" s="3"/>
      <c r="CC49" s="25"/>
      <c r="CD49" s="25"/>
      <c r="CE49" s="25"/>
    </row>
    <row r="50" spans="2:83" s="82" customFormat="1" ht="12" customHeight="1" thickBot="1">
      <c r="B50" s="275" t="s">
        <v>892</v>
      </c>
      <c r="AC50" s="393"/>
      <c r="AM50" s="2112" t="str">
        <f>IF(AND(AN34=2,AM51&lt;7),"Välj startmånad (startkolumn) 7-12 ▼","Välj startmånad (startkolumn) 1-12 ▼")</f>
        <v>Välj startmånad (startkolumn) 1-12 ▼</v>
      </c>
      <c r="AN50" s="399"/>
      <c r="AT50" s="1225">
        <f>IF($AN$34=1,5,0)</f>
        <v>5</v>
      </c>
      <c r="AU50" s="1225" t="s">
        <v>1133</v>
      </c>
      <c r="AV50" s="1225" t="s">
        <v>39</v>
      </c>
      <c r="AW50" s="1225"/>
      <c r="AX50" s="1225"/>
      <c r="AY50" s="1225"/>
      <c r="BD50" s="730"/>
      <c r="BF50" s="17"/>
      <c r="BG50" s="17"/>
      <c r="BH50" s="17"/>
      <c r="BI50" s="17"/>
      <c r="BJ50" s="17"/>
      <c r="BK50" s="17"/>
      <c r="BL50" s="17"/>
      <c r="BM50" s="3"/>
      <c r="BN50" s="3"/>
      <c r="BO50" s="3"/>
      <c r="BP50" s="3"/>
      <c r="BQ50" s="3"/>
      <c r="BR50" s="3"/>
      <c r="BS50" s="3"/>
      <c r="BT50" s="3"/>
      <c r="BU50" s="3"/>
      <c r="BV50" s="3"/>
      <c r="BW50" s="3"/>
      <c r="BX50" s="3"/>
      <c r="BY50" s="3"/>
      <c r="BZ50" s="3"/>
      <c r="CA50" s="3"/>
      <c r="CB50" s="3"/>
      <c r="CC50" s="25"/>
      <c r="CD50" s="25"/>
      <c r="CE50" s="25"/>
    </row>
    <row r="51" spans="2:83" s="82" customFormat="1" ht="12" customHeight="1" thickBot="1">
      <c r="B51" s="275" t="s">
        <v>893</v>
      </c>
      <c r="AC51" s="393"/>
      <c r="AG51" s="2843" t="str">
        <f>LOOKUP(AM51,AT46:AT57,AU46:AU57)</f>
        <v>Budgetstart i kolumn N</v>
      </c>
      <c r="AH51" s="2843"/>
      <c r="AI51" s="2843"/>
      <c r="AJ51" s="2843"/>
      <c r="AK51" s="2843"/>
      <c r="AL51" s="2844"/>
      <c r="AM51" s="2834">
        <v>6</v>
      </c>
      <c r="AN51" s="2836"/>
      <c r="AT51" s="1225">
        <f>IF($AN$34=1,6,0)</f>
        <v>6</v>
      </c>
      <c r="AU51" s="1225" t="s">
        <v>1134</v>
      </c>
      <c r="AV51" s="1225" t="s">
        <v>40</v>
      </c>
      <c r="AW51" s="1225"/>
      <c r="AX51" s="1225"/>
      <c r="AY51" s="1225"/>
      <c r="BD51" s="730"/>
      <c r="BF51" s="17"/>
      <c r="BG51" s="17"/>
      <c r="BH51" s="17"/>
      <c r="BI51" s="17"/>
      <c r="BJ51" s="17"/>
      <c r="BK51" s="17"/>
      <c r="BL51" s="17"/>
      <c r="BM51" s="3"/>
      <c r="BN51" s="3"/>
      <c r="BO51" s="3"/>
      <c r="BP51" s="3"/>
      <c r="BQ51" s="3"/>
      <c r="BR51" s="3"/>
      <c r="BS51" s="3"/>
      <c r="BT51" s="3"/>
      <c r="BU51" s="3"/>
      <c r="BV51" s="3"/>
      <c r="BW51" s="3"/>
      <c r="BX51" s="3"/>
      <c r="BY51" s="3"/>
      <c r="BZ51" s="3"/>
      <c r="CA51" s="3"/>
      <c r="CB51" s="3"/>
      <c r="CC51" s="25"/>
      <c r="CD51" s="25"/>
      <c r="CE51" s="25"/>
    </row>
    <row r="52" spans="2:83" s="82" customFormat="1" ht="12" customHeight="1">
      <c r="B52" s="275" t="s">
        <v>458</v>
      </c>
      <c r="AC52" s="393"/>
      <c r="AG52" s="388"/>
      <c r="AH52" s="388"/>
      <c r="AI52" s="388"/>
      <c r="AJ52" s="388"/>
      <c r="AK52" s="388"/>
      <c r="AL52" s="388"/>
      <c r="AM52" s="2123"/>
      <c r="AN52" s="2123"/>
      <c r="AO52" s="2123"/>
      <c r="AP52" s="2123"/>
      <c r="AQ52" s="2123"/>
      <c r="AR52" s="2123"/>
      <c r="AS52" s="2123"/>
      <c r="AT52" s="1225">
        <v>7</v>
      </c>
      <c r="AU52" s="1225" t="s">
        <v>1135</v>
      </c>
      <c r="AV52" s="1225" t="s">
        <v>41</v>
      </c>
      <c r="AW52" s="1225"/>
      <c r="AX52" s="1225"/>
      <c r="AY52" s="2124"/>
      <c r="AZ52" s="2123"/>
      <c r="BA52" s="2123"/>
      <c r="BB52" s="2123"/>
      <c r="BC52" s="2123"/>
      <c r="BD52" s="730"/>
      <c r="BF52" s="17"/>
      <c r="BG52" s="17"/>
      <c r="BH52" s="17"/>
      <c r="BI52" s="17"/>
      <c r="BJ52" s="17"/>
      <c r="BK52" s="17"/>
      <c r="BL52" s="17"/>
      <c r="BM52" s="3"/>
      <c r="BN52" s="3"/>
      <c r="BO52" s="3"/>
      <c r="BP52" s="3"/>
      <c r="BQ52" s="3"/>
      <c r="BR52" s="3"/>
      <c r="BS52" s="3"/>
      <c r="BT52" s="3"/>
      <c r="BU52" s="3"/>
      <c r="BV52" s="3"/>
      <c r="BW52" s="3"/>
      <c r="BX52" s="3"/>
      <c r="BY52" s="3"/>
      <c r="BZ52" s="3"/>
      <c r="CA52" s="3"/>
      <c r="CB52" s="3"/>
      <c r="CC52" s="25"/>
      <c r="CD52" s="25"/>
      <c r="CE52" s="25"/>
    </row>
    <row r="53" spans="2:83" s="82" customFormat="1" ht="12" customHeight="1">
      <c r="B53" s="275" t="s">
        <v>1113</v>
      </c>
      <c r="AC53" s="828"/>
      <c r="AG53" s="388"/>
      <c r="AH53" s="388"/>
      <c r="AI53" s="388"/>
      <c r="AJ53" s="388"/>
      <c r="AK53" s="388"/>
      <c r="AL53" s="388"/>
      <c r="AM53" s="2123"/>
      <c r="AN53" s="2123"/>
      <c r="AO53" s="2123"/>
      <c r="AP53" s="2123"/>
      <c r="AQ53" s="2123"/>
      <c r="AR53" s="2123"/>
      <c r="AS53" s="2123"/>
      <c r="AT53" s="1226">
        <v>8</v>
      </c>
      <c r="AU53" s="1225" t="s">
        <v>1136</v>
      </c>
      <c r="AV53" s="1225" t="s">
        <v>42</v>
      </c>
      <c r="AW53" s="1225"/>
      <c r="AX53" s="1225"/>
      <c r="AY53" s="2124"/>
      <c r="AZ53" s="2123"/>
      <c r="BA53" s="2123"/>
      <c r="BB53" s="2123"/>
      <c r="BC53" s="2123"/>
      <c r="BD53" s="829"/>
      <c r="BF53" s="17"/>
      <c r="BG53" s="17"/>
      <c r="BH53" s="17"/>
      <c r="BI53" s="17"/>
      <c r="BJ53" s="17"/>
      <c r="BK53" s="17"/>
      <c r="BL53" s="17"/>
      <c r="BM53" s="3"/>
      <c r="BN53" s="3"/>
      <c r="BO53" s="3"/>
      <c r="BP53" s="3"/>
      <c r="BQ53" s="3"/>
      <c r="BR53" s="3"/>
      <c r="BS53" s="3"/>
      <c r="BT53" s="3"/>
      <c r="BU53" s="3"/>
      <c r="BV53" s="3"/>
      <c r="BW53" s="3"/>
      <c r="BX53" s="3"/>
      <c r="BY53" s="3"/>
      <c r="BZ53" s="3"/>
      <c r="CA53" s="3"/>
      <c r="CB53" s="3"/>
      <c r="CC53" s="25"/>
      <c r="CD53" s="25"/>
      <c r="CE53" s="25"/>
    </row>
    <row r="54" spans="2:83" s="82" customFormat="1" ht="12" customHeight="1">
      <c r="B54" s="275" t="s">
        <v>1114</v>
      </c>
      <c r="AC54" s="828"/>
      <c r="AG54" s="388"/>
      <c r="AH54" s="388"/>
      <c r="AI54" s="388"/>
      <c r="AJ54" s="388"/>
      <c r="AK54" s="388"/>
      <c r="AL54" s="388"/>
      <c r="AM54" s="2123"/>
      <c r="AN54" s="2123"/>
      <c r="AO54" s="2123"/>
      <c r="AP54" s="2123"/>
      <c r="AQ54" s="2123"/>
      <c r="AR54" s="2123"/>
      <c r="AS54" s="2123"/>
      <c r="AT54" s="1225">
        <v>9</v>
      </c>
      <c r="AU54" s="1225" t="s">
        <v>1137</v>
      </c>
      <c r="AV54" s="1225" t="s">
        <v>43</v>
      </c>
      <c r="AW54" s="1225"/>
      <c r="AX54" s="1225"/>
      <c r="AY54" s="2124"/>
      <c r="AZ54" s="2123"/>
      <c r="BA54" s="2123"/>
      <c r="BB54" s="2123"/>
      <c r="BC54" s="2123"/>
      <c r="BD54" s="829"/>
      <c r="BF54" s="17"/>
      <c r="BG54" s="17"/>
      <c r="BH54" s="17"/>
      <c r="BI54" s="17"/>
      <c r="BJ54" s="17"/>
      <c r="BK54" s="17"/>
      <c r="BL54" s="17"/>
      <c r="BM54" s="3"/>
      <c r="BN54" s="3"/>
      <c r="BO54" s="3"/>
      <c r="BP54" s="3"/>
      <c r="BQ54" s="3"/>
      <c r="BR54" s="3"/>
      <c r="BS54" s="3"/>
      <c r="BT54" s="3"/>
      <c r="BU54" s="3"/>
      <c r="BV54" s="3"/>
      <c r="BW54" s="3"/>
      <c r="BX54" s="3"/>
      <c r="BY54" s="3"/>
      <c r="BZ54" s="3"/>
      <c r="CA54" s="3"/>
      <c r="CB54" s="3"/>
      <c r="CC54" s="25"/>
      <c r="CD54" s="25"/>
      <c r="CE54" s="25"/>
    </row>
    <row r="55" spans="2:83" s="82" customFormat="1" ht="12" customHeight="1">
      <c r="AC55" s="828"/>
      <c r="AG55" s="388"/>
      <c r="AH55" s="388"/>
      <c r="AI55" s="388"/>
      <c r="AJ55" s="388"/>
      <c r="AK55" s="388"/>
      <c r="AL55" s="388"/>
      <c r="AM55" s="2123"/>
      <c r="AN55" s="2123"/>
      <c r="AO55" s="2123"/>
      <c r="AP55" s="2123"/>
      <c r="AQ55" s="2123"/>
      <c r="AR55" s="2123"/>
      <c r="AS55" s="2123"/>
      <c r="AT55" s="1225">
        <v>10</v>
      </c>
      <c r="AU55" s="1225" t="s">
        <v>1138</v>
      </c>
      <c r="AV55" s="1225" t="s">
        <v>44</v>
      </c>
      <c r="AW55" s="1225"/>
      <c r="AX55" s="1225"/>
      <c r="AY55" s="2124"/>
      <c r="AZ55" s="2123"/>
      <c r="BA55" s="2123"/>
      <c r="BB55" s="2123"/>
      <c r="BC55" s="2123"/>
      <c r="BD55" s="829"/>
      <c r="BF55" s="17"/>
      <c r="BG55" s="17"/>
      <c r="BH55" s="17"/>
      <c r="BI55" s="17"/>
      <c r="BJ55" s="17"/>
      <c r="BK55" s="17"/>
      <c r="BL55" s="17"/>
      <c r="BM55" s="3"/>
      <c r="BN55" s="3"/>
      <c r="BO55" s="3"/>
      <c r="BP55" s="3"/>
      <c r="BQ55" s="3"/>
      <c r="BR55" s="3"/>
      <c r="BS55" s="3"/>
      <c r="BT55" s="3"/>
      <c r="BU55" s="3"/>
      <c r="BV55" s="3"/>
      <c r="BW55" s="3"/>
      <c r="BX55" s="3"/>
      <c r="BY55" s="3"/>
      <c r="BZ55" s="3"/>
      <c r="CA55" s="3"/>
      <c r="CB55" s="3"/>
      <c r="CC55" s="25"/>
      <c r="CD55" s="25"/>
      <c r="CE55" s="25"/>
    </row>
    <row r="56" spans="2:83" s="82" customFormat="1" ht="12" customHeight="1">
      <c r="B56" s="82" t="s">
        <v>1124</v>
      </c>
      <c r="AC56" s="828"/>
      <c r="AG56" s="388"/>
      <c r="AH56" s="388"/>
      <c r="AI56" s="388"/>
      <c r="AJ56" s="388"/>
      <c r="AK56" s="388"/>
      <c r="AL56" s="388"/>
      <c r="AM56" s="2123"/>
      <c r="AN56" s="2123"/>
      <c r="AO56" s="2123"/>
      <c r="AP56" s="2123"/>
      <c r="AQ56" s="2123"/>
      <c r="AR56" s="2123"/>
      <c r="AS56" s="2123"/>
      <c r="AT56" s="1225">
        <v>11</v>
      </c>
      <c r="AU56" s="1225" t="s">
        <v>1139</v>
      </c>
      <c r="AV56" s="1225" t="s">
        <v>45</v>
      </c>
      <c r="AW56" s="1225"/>
      <c r="AX56" s="1225"/>
      <c r="AY56" s="2124"/>
      <c r="AZ56" s="2123"/>
      <c r="BA56" s="2123"/>
      <c r="BB56" s="2123"/>
      <c r="BC56" s="2123"/>
      <c r="BD56" s="829"/>
      <c r="BF56" s="17"/>
      <c r="BG56" s="17"/>
      <c r="BH56" s="17"/>
      <c r="BI56" s="17"/>
      <c r="BJ56" s="17"/>
      <c r="BK56" s="17"/>
      <c r="BL56" s="17"/>
      <c r="BM56" s="3"/>
      <c r="BN56" s="3"/>
      <c r="BO56" s="3"/>
      <c r="BP56" s="3"/>
      <c r="BQ56" s="3"/>
      <c r="BR56" s="3"/>
      <c r="BS56" s="3"/>
      <c r="BT56" s="3"/>
      <c r="BU56" s="3"/>
      <c r="BV56" s="3"/>
      <c r="BW56" s="3"/>
      <c r="BX56" s="3"/>
      <c r="BY56" s="3"/>
      <c r="BZ56" s="3"/>
      <c r="CA56" s="3"/>
      <c r="CB56" s="3"/>
      <c r="CC56" s="25"/>
      <c r="CD56" s="25"/>
      <c r="CE56" s="25"/>
    </row>
    <row r="57" spans="2:83" s="82" customFormat="1" ht="12" customHeight="1">
      <c r="B57" s="82" t="s">
        <v>1115</v>
      </c>
      <c r="AC57" s="828"/>
      <c r="AG57" s="388"/>
      <c r="AH57" s="388"/>
      <c r="AI57" s="388"/>
      <c r="AJ57" s="388"/>
      <c r="AK57" s="388"/>
      <c r="AL57" s="388"/>
      <c r="AM57" s="2123"/>
      <c r="AN57" s="2123"/>
      <c r="AO57" s="2123"/>
      <c r="AP57" s="2123"/>
      <c r="AQ57" s="2123"/>
      <c r="AR57" s="2123"/>
      <c r="AS57" s="2123"/>
      <c r="AT57" s="1225">
        <v>12</v>
      </c>
      <c r="AU57" s="1225" t="s">
        <v>1140</v>
      </c>
      <c r="AV57" s="1225" t="s">
        <v>5</v>
      </c>
      <c r="AW57" s="1225"/>
      <c r="AX57" s="1225"/>
      <c r="AY57" s="2124"/>
      <c r="AZ57" s="2123"/>
      <c r="BA57" s="2123"/>
      <c r="BB57" s="2123"/>
      <c r="BC57" s="2123"/>
      <c r="BD57" s="829"/>
      <c r="BF57" s="17"/>
      <c r="BG57" s="17"/>
      <c r="BH57" s="17"/>
      <c r="BI57" s="17"/>
      <c r="BJ57" s="17"/>
      <c r="BK57" s="17"/>
      <c r="BL57" s="17"/>
      <c r="BM57" s="3"/>
      <c r="BN57" s="3"/>
      <c r="BO57" s="3"/>
      <c r="BP57" s="3"/>
      <c r="BQ57" s="3"/>
      <c r="BR57" s="3"/>
      <c r="BS57" s="3"/>
      <c r="BT57" s="3"/>
      <c r="BU57" s="3"/>
      <c r="BV57" s="3"/>
      <c r="BW57" s="3"/>
      <c r="BX57" s="3"/>
      <c r="BY57" s="3"/>
      <c r="BZ57" s="3"/>
      <c r="CA57" s="3"/>
      <c r="CB57" s="3"/>
      <c r="CC57" s="25"/>
      <c r="CD57" s="25"/>
      <c r="CE57" s="25"/>
    </row>
    <row r="58" spans="2:83" s="82" customFormat="1" ht="12" customHeight="1">
      <c r="B58" s="82" t="s">
        <v>1125</v>
      </c>
      <c r="AC58" s="393"/>
      <c r="AM58" s="2123"/>
      <c r="AN58" s="2123"/>
      <c r="AO58" s="2123"/>
      <c r="AP58" s="2123"/>
      <c r="AQ58" s="2123"/>
      <c r="AR58" s="2123"/>
      <c r="AS58" s="2123"/>
      <c r="AT58" s="396"/>
      <c r="AU58" s="396"/>
      <c r="AV58" s="396"/>
      <c r="AW58" s="396"/>
      <c r="AX58" s="396"/>
      <c r="AY58" s="2123"/>
      <c r="AZ58" s="2123"/>
      <c r="BA58" s="2123"/>
      <c r="BB58" s="2123"/>
      <c r="BC58" s="2123"/>
      <c r="BD58" s="730"/>
      <c r="BF58" s="17"/>
      <c r="BG58" s="17"/>
      <c r="BH58" s="17"/>
      <c r="BI58" s="17"/>
      <c r="BJ58" s="17"/>
      <c r="BK58" s="17"/>
      <c r="BL58" s="17"/>
      <c r="BM58" s="3"/>
      <c r="BN58" s="3"/>
      <c r="BO58" s="3"/>
      <c r="BP58" s="3"/>
      <c r="BQ58" s="3"/>
      <c r="BR58" s="3"/>
      <c r="BS58" s="3"/>
      <c r="BT58" s="3"/>
      <c r="BU58" s="3"/>
      <c r="BV58" s="3"/>
      <c r="BW58" s="3"/>
      <c r="BX58" s="3"/>
      <c r="BY58" s="3"/>
      <c r="BZ58" s="3"/>
      <c r="CA58" s="3"/>
      <c r="CB58" s="3"/>
      <c r="CC58" s="25"/>
      <c r="CD58" s="25"/>
      <c r="CE58" s="25"/>
    </row>
    <row r="59" spans="2:83" s="82" customFormat="1" ht="12" customHeight="1">
      <c r="B59" s="82" t="s">
        <v>1117</v>
      </c>
      <c r="AC59" s="828"/>
      <c r="AM59" s="2123"/>
      <c r="AN59" s="2123"/>
      <c r="AO59" s="2123"/>
      <c r="AP59" s="2123"/>
      <c r="AQ59" s="2123"/>
      <c r="AR59" s="2123"/>
      <c r="AS59" s="2123"/>
      <c r="AT59" s="396"/>
      <c r="AU59" s="396"/>
      <c r="AV59" s="396"/>
      <c r="AW59" s="2825">
        <v>2014</v>
      </c>
      <c r="AX59" s="2825"/>
      <c r="AY59" s="2123"/>
      <c r="AZ59" s="2123"/>
      <c r="BA59" s="2123"/>
      <c r="BB59" s="2123"/>
      <c r="BC59" s="2123"/>
      <c r="BD59" s="730"/>
      <c r="BF59" s="17"/>
      <c r="BG59" s="17"/>
      <c r="BH59" s="17"/>
      <c r="BI59" s="17"/>
      <c r="BJ59" s="17"/>
      <c r="BK59" s="17"/>
      <c r="BL59" s="17"/>
      <c r="BM59" s="3"/>
      <c r="BN59" s="3"/>
      <c r="BO59" s="3"/>
      <c r="BP59" s="3"/>
      <c r="BQ59" s="3"/>
      <c r="BR59" s="3"/>
      <c r="BS59" s="3"/>
      <c r="BT59" s="3"/>
      <c r="BU59" s="3"/>
      <c r="BV59" s="3"/>
      <c r="BW59" s="3"/>
      <c r="BX59" s="3"/>
      <c r="BY59" s="3"/>
      <c r="BZ59" s="3"/>
      <c r="CA59" s="3"/>
      <c r="CB59" s="3"/>
      <c r="CC59" s="25"/>
      <c r="CD59" s="25"/>
      <c r="CE59" s="25"/>
    </row>
    <row r="60" spans="2:83" s="82" customFormat="1" ht="12" customHeight="1">
      <c r="B60" s="82" t="s">
        <v>1126</v>
      </c>
      <c r="AC60" s="828"/>
      <c r="AM60" s="2123"/>
      <c r="AN60" s="2123"/>
      <c r="AO60" s="2123"/>
      <c r="AP60" s="2123"/>
      <c r="AQ60" s="2123"/>
      <c r="AR60" s="2123"/>
      <c r="AS60" s="2123"/>
      <c r="AT60" s="396"/>
      <c r="AU60" s="396"/>
      <c r="AV60" s="396"/>
      <c r="AW60" s="2825">
        <v>2015</v>
      </c>
      <c r="AX60" s="2825"/>
      <c r="AY60" s="2123"/>
      <c r="AZ60" s="2123"/>
      <c r="BA60" s="2123"/>
      <c r="BB60" s="2123"/>
      <c r="BC60" s="2123"/>
      <c r="BD60" s="829"/>
      <c r="BF60" s="17"/>
      <c r="BG60" s="17"/>
      <c r="BH60" s="17"/>
      <c r="BI60" s="17"/>
      <c r="BJ60" s="17"/>
      <c r="BK60" s="17"/>
      <c r="BL60" s="17"/>
      <c r="BM60" s="3"/>
      <c r="BN60" s="3"/>
      <c r="BO60" s="3"/>
      <c r="BP60" s="3"/>
      <c r="BQ60" s="3"/>
      <c r="BR60" s="3"/>
      <c r="BS60" s="3"/>
      <c r="BT60" s="3"/>
      <c r="BU60" s="3"/>
      <c r="BV60" s="3"/>
      <c r="BW60" s="3"/>
      <c r="BX60" s="3"/>
      <c r="BY60" s="3"/>
      <c r="BZ60" s="3"/>
      <c r="CA60" s="3"/>
      <c r="CB60" s="3"/>
      <c r="CC60" s="25"/>
      <c r="CD60" s="25"/>
      <c r="CE60" s="25"/>
    </row>
    <row r="61" spans="2:83" s="82" customFormat="1" ht="12" customHeight="1">
      <c r="B61" s="82" t="s">
        <v>1118</v>
      </c>
      <c r="AC61" s="828"/>
      <c r="AM61" s="2123"/>
      <c r="AN61" s="2123"/>
      <c r="AO61" s="2123"/>
      <c r="AP61" s="2123"/>
      <c r="AQ61" s="2123"/>
      <c r="AR61" s="2123"/>
      <c r="AS61" s="2123"/>
      <c r="AT61" s="396"/>
      <c r="AU61" s="396"/>
      <c r="AV61" s="396"/>
      <c r="AW61" s="2825">
        <v>2016</v>
      </c>
      <c r="AX61" s="2825"/>
      <c r="AY61" s="2123"/>
      <c r="AZ61" s="2123"/>
      <c r="BA61" s="2123"/>
      <c r="BB61" s="2123"/>
      <c r="BC61" s="2123"/>
      <c r="BD61" s="829"/>
      <c r="BF61" s="17"/>
      <c r="BG61" s="17"/>
      <c r="BH61" s="17"/>
      <c r="BI61" s="17"/>
      <c r="BJ61" s="17"/>
      <c r="BK61" s="17"/>
      <c r="BL61" s="17"/>
      <c r="BM61" s="3"/>
      <c r="BN61" s="3"/>
      <c r="BO61" s="3"/>
      <c r="BP61" s="3"/>
      <c r="BQ61" s="3"/>
      <c r="BR61" s="3"/>
      <c r="BS61" s="3"/>
      <c r="BT61" s="3"/>
      <c r="BU61" s="3"/>
      <c r="BV61" s="3"/>
      <c r="BW61" s="3"/>
      <c r="BX61" s="3"/>
      <c r="BY61" s="3"/>
      <c r="BZ61" s="3"/>
      <c r="CA61" s="3"/>
      <c r="CB61" s="3"/>
      <c r="CC61" s="25"/>
      <c r="CD61" s="25"/>
      <c r="CE61" s="25"/>
    </row>
    <row r="62" spans="2:83" s="82" customFormat="1" ht="12" customHeight="1">
      <c r="B62" s="82" t="s">
        <v>1119</v>
      </c>
      <c r="AC62" s="828"/>
      <c r="AM62" s="2123"/>
      <c r="AN62" s="2123"/>
      <c r="AO62" s="2123"/>
      <c r="AP62" s="2123"/>
      <c r="AQ62" s="2123"/>
      <c r="AR62" s="2123"/>
      <c r="AS62" s="2123"/>
      <c r="AT62" s="396"/>
      <c r="AU62" s="396"/>
      <c r="AV62" s="396"/>
      <c r="AW62" s="2825">
        <v>2017</v>
      </c>
      <c r="AX62" s="2825"/>
      <c r="AY62" s="2123"/>
      <c r="AZ62" s="2123"/>
      <c r="BA62" s="2123"/>
      <c r="BB62" s="2123"/>
      <c r="BC62" s="2123"/>
      <c r="BD62" s="829"/>
      <c r="BF62" s="17"/>
      <c r="BG62" s="17"/>
      <c r="BH62" s="17"/>
      <c r="BI62" s="17"/>
      <c r="BJ62" s="17"/>
      <c r="BK62" s="17"/>
      <c r="BL62" s="17"/>
      <c r="BM62" s="3"/>
      <c r="BN62" s="3"/>
      <c r="BO62" s="3"/>
      <c r="BP62" s="3"/>
      <c r="BQ62" s="3"/>
      <c r="BR62" s="3"/>
      <c r="BS62" s="3"/>
      <c r="BT62" s="3"/>
      <c r="BU62" s="3"/>
      <c r="BV62" s="3"/>
      <c r="BW62" s="3"/>
      <c r="BX62" s="3"/>
      <c r="BY62" s="3"/>
      <c r="BZ62" s="3"/>
      <c r="CA62" s="3"/>
      <c r="CB62" s="3"/>
      <c r="CC62" s="25"/>
      <c r="CD62" s="25"/>
      <c r="CE62" s="25"/>
    </row>
    <row r="63" spans="2:83" s="82" customFormat="1" ht="12" customHeight="1">
      <c r="AC63" s="393"/>
      <c r="AD63" s="1"/>
      <c r="AE63" s="1"/>
      <c r="AF63" s="1"/>
      <c r="AG63" s="1"/>
      <c r="AM63" s="2123"/>
      <c r="AN63" s="2123"/>
      <c r="AO63" s="2123"/>
      <c r="AP63" s="2123"/>
      <c r="AQ63" s="2123"/>
      <c r="AR63" s="2123"/>
      <c r="AS63" s="2123"/>
      <c r="AT63" s="396"/>
      <c r="AU63" s="396"/>
      <c r="AV63" s="396"/>
      <c r="AW63" s="2825">
        <v>2018</v>
      </c>
      <c r="AX63" s="2825"/>
      <c r="AY63" s="2123"/>
      <c r="AZ63" s="2123"/>
      <c r="BA63" s="2123"/>
      <c r="BB63" s="2123"/>
      <c r="BC63" s="2123"/>
      <c r="BD63" s="730"/>
      <c r="BF63" s="17"/>
      <c r="BG63" s="17"/>
      <c r="BH63" s="17"/>
      <c r="BI63" s="17"/>
      <c r="BJ63" s="17"/>
      <c r="BK63" s="17"/>
      <c r="BL63" s="17"/>
      <c r="BM63" s="3"/>
      <c r="BN63" s="3"/>
      <c r="BO63" s="3"/>
      <c r="BP63" s="3"/>
      <c r="BQ63" s="3"/>
      <c r="BR63" s="3"/>
      <c r="BS63" s="3"/>
      <c r="BT63" s="3"/>
      <c r="BU63" s="3"/>
      <c r="BV63" s="3"/>
      <c r="BW63" s="3"/>
      <c r="BX63" s="3"/>
      <c r="BY63" s="3"/>
      <c r="BZ63" s="3"/>
      <c r="CA63" s="3"/>
      <c r="CB63" s="3"/>
      <c r="CC63" s="25"/>
      <c r="CD63" s="25"/>
      <c r="CE63" s="25"/>
    </row>
    <row r="64" spans="2:83" s="82" customFormat="1" ht="12" customHeight="1" thickBot="1">
      <c r="B64" s="82" t="s">
        <v>1127</v>
      </c>
      <c r="AC64" s="828"/>
      <c r="AD64" s="1"/>
      <c r="AE64" s="1"/>
      <c r="AF64" s="2113" t="s">
        <v>1111</v>
      </c>
      <c r="AG64" s="399"/>
      <c r="AH64" s="399"/>
      <c r="AM64" s="2123"/>
      <c r="AN64" s="2123"/>
      <c r="AO64" s="2123"/>
      <c r="AP64" s="2123"/>
      <c r="AQ64" s="2123"/>
      <c r="AR64" s="2123"/>
      <c r="AS64" s="2123"/>
      <c r="AT64" s="396"/>
      <c r="AU64" s="396"/>
      <c r="AV64" s="396"/>
      <c r="AW64" s="2825">
        <v>2019</v>
      </c>
      <c r="AX64" s="2825"/>
      <c r="AY64" s="2123"/>
      <c r="AZ64" s="2123"/>
      <c r="BA64" s="2123"/>
      <c r="BB64" s="2123"/>
      <c r="BC64" s="2123"/>
      <c r="BD64" s="829"/>
      <c r="BF64" s="17"/>
      <c r="BG64" s="17"/>
      <c r="BH64" s="17"/>
      <c r="BI64" s="17"/>
      <c r="BJ64" s="17"/>
      <c r="BK64" s="17"/>
      <c r="BL64" s="17"/>
      <c r="BM64" s="3"/>
      <c r="BN64" s="3"/>
      <c r="BO64" s="3"/>
      <c r="BP64" s="3"/>
      <c r="BQ64" s="3"/>
      <c r="BR64" s="3"/>
      <c r="BS64" s="3"/>
      <c r="BT64" s="3"/>
      <c r="BU64" s="3"/>
      <c r="BV64" s="3"/>
      <c r="BW64" s="3"/>
      <c r="BX64" s="3"/>
      <c r="BY64" s="3"/>
      <c r="BZ64" s="3"/>
      <c r="CA64" s="3"/>
      <c r="CB64" s="3"/>
      <c r="CC64" s="25"/>
      <c r="CD64" s="25"/>
      <c r="CE64" s="25"/>
    </row>
    <row r="65" spans="2:83" s="82" customFormat="1" ht="12" customHeight="1" thickBot="1">
      <c r="B65" s="82" t="s">
        <v>1121</v>
      </c>
      <c r="AC65" s="828"/>
      <c r="AD65" s="1"/>
      <c r="AE65" s="1"/>
      <c r="AG65" s="2834">
        <v>2016</v>
      </c>
      <c r="AH65" s="2836"/>
      <c r="AM65" s="2123"/>
      <c r="AN65" s="2123"/>
      <c r="AO65" s="2123"/>
      <c r="AP65" s="2123"/>
      <c r="AQ65" s="2123"/>
      <c r="AR65" s="2123"/>
      <c r="AS65" s="2123"/>
      <c r="AT65" s="396"/>
      <c r="AU65" s="396"/>
      <c r="AV65" s="396"/>
      <c r="AW65" s="2825">
        <v>2020</v>
      </c>
      <c r="AX65" s="2825"/>
      <c r="AY65" s="2123"/>
      <c r="AZ65" s="2123"/>
      <c r="BA65" s="2123"/>
      <c r="BB65" s="2123"/>
      <c r="BC65" s="2123"/>
      <c r="BD65" s="829"/>
      <c r="BF65" s="17"/>
      <c r="BG65" s="17"/>
      <c r="BH65" s="17"/>
      <c r="BI65" s="17"/>
      <c r="BJ65" s="17"/>
      <c r="BK65" s="17"/>
      <c r="BL65" s="17"/>
      <c r="BM65" s="3"/>
      <c r="BN65" s="3"/>
      <c r="BO65" s="3"/>
      <c r="BP65" s="3"/>
      <c r="BQ65" s="3"/>
      <c r="BR65" s="3"/>
      <c r="BS65" s="3"/>
      <c r="BT65" s="3"/>
      <c r="BU65" s="3"/>
      <c r="BV65" s="3"/>
      <c r="BW65" s="3"/>
      <c r="BX65" s="3"/>
      <c r="BY65" s="3"/>
      <c r="BZ65" s="3"/>
      <c r="CA65" s="3"/>
      <c r="CB65" s="3"/>
      <c r="CC65" s="25"/>
      <c r="CD65" s="25"/>
      <c r="CE65" s="25"/>
    </row>
    <row r="66" spans="2:83" s="82" customFormat="1" ht="12" customHeight="1">
      <c r="AC66" s="828"/>
      <c r="AD66" s="1"/>
      <c r="AE66" s="1"/>
      <c r="AF66" s="1"/>
      <c r="AG66" s="1"/>
      <c r="AT66" s="396"/>
      <c r="AU66" s="396"/>
      <c r="AV66" s="396"/>
      <c r="AW66" s="2825">
        <v>2021</v>
      </c>
      <c r="AX66" s="2825"/>
      <c r="AY66" s="396"/>
      <c r="BD66" s="829"/>
      <c r="BF66" s="17"/>
      <c r="BG66" s="17"/>
      <c r="BH66" s="17"/>
      <c r="BI66" s="17"/>
      <c r="BJ66" s="17"/>
      <c r="BK66" s="17"/>
      <c r="BL66" s="17"/>
      <c r="BM66" s="3"/>
      <c r="BN66" s="3"/>
      <c r="BO66" s="3"/>
      <c r="BP66" s="3"/>
      <c r="BQ66" s="3"/>
      <c r="BR66" s="3"/>
      <c r="BS66" s="3"/>
      <c r="BT66" s="3"/>
      <c r="BU66" s="3"/>
      <c r="BV66" s="3"/>
      <c r="BW66" s="3"/>
      <c r="BX66" s="3"/>
      <c r="BY66" s="3"/>
      <c r="BZ66" s="3"/>
      <c r="CA66" s="3"/>
      <c r="CB66" s="3"/>
      <c r="CC66" s="25"/>
      <c r="CD66" s="25"/>
      <c r="CE66" s="25"/>
    </row>
    <row r="67" spans="2:83" s="82" customFormat="1" ht="12" customHeight="1" thickBot="1">
      <c r="B67" s="15" t="s">
        <v>523</v>
      </c>
      <c r="C67" s="37"/>
      <c r="D67" s="37"/>
      <c r="E67" s="37"/>
      <c r="F67" s="37"/>
      <c r="G67" s="37"/>
      <c r="H67" s="37"/>
      <c r="I67" s="37"/>
      <c r="J67" s="37"/>
      <c r="K67" s="37"/>
      <c r="L67" s="37"/>
      <c r="M67" s="37"/>
      <c r="N67" s="37"/>
      <c r="O67" s="37"/>
      <c r="P67" s="37"/>
      <c r="Q67" s="37"/>
      <c r="R67" s="37"/>
      <c r="S67" s="37"/>
      <c r="T67" s="37"/>
      <c r="U67" s="37"/>
      <c r="V67" s="37"/>
      <c r="W67" s="37"/>
      <c r="X67" s="37"/>
      <c r="Y67" s="37"/>
      <c r="Z67" s="37"/>
      <c r="AA67" s="1"/>
      <c r="AC67" s="314">
        <v>4</v>
      </c>
      <c r="AD67" s="1"/>
      <c r="AE67" s="315" t="s">
        <v>6</v>
      </c>
      <c r="AF67" s="1"/>
      <c r="AG67" s="1"/>
      <c r="AH67" s="1"/>
      <c r="AI67" s="1"/>
      <c r="AJ67" s="1"/>
      <c r="AK67" s="1"/>
      <c r="AL67" s="1"/>
      <c r="AM67" s="1"/>
      <c r="AN67" s="1"/>
      <c r="AO67" s="2824" t="s">
        <v>520</v>
      </c>
      <c r="AP67" s="2824"/>
      <c r="AQ67" s="2824"/>
      <c r="AR67" s="2824"/>
      <c r="AS67" s="2824"/>
      <c r="AT67" s="2824"/>
      <c r="AU67" s="2824"/>
      <c r="AW67" s="2825">
        <v>2022</v>
      </c>
      <c r="AX67" s="2825"/>
      <c r="BD67" s="730"/>
      <c r="BF67" s="17"/>
      <c r="BG67" s="17"/>
      <c r="BH67" s="17"/>
      <c r="BI67" s="17"/>
      <c r="BJ67" s="17"/>
      <c r="BK67" s="17"/>
      <c r="BL67" s="17"/>
      <c r="BM67" s="3"/>
      <c r="BN67" s="3"/>
      <c r="BO67" s="3"/>
      <c r="BP67" s="3"/>
      <c r="BQ67" s="3"/>
      <c r="BR67" s="3"/>
      <c r="BS67" s="3"/>
      <c r="BT67" s="3"/>
      <c r="BU67" s="3"/>
      <c r="BV67" s="3"/>
      <c r="BW67" s="3"/>
      <c r="BX67" s="3"/>
      <c r="BY67" s="3"/>
      <c r="BZ67" s="3"/>
      <c r="CA67" s="3"/>
      <c r="CB67" s="3"/>
      <c r="CC67" s="25"/>
      <c r="CD67" s="25"/>
      <c r="CE67" s="25"/>
    </row>
    <row r="68" spans="2:83" s="82" customFormat="1" ht="12" customHeight="1" thickBot="1">
      <c r="B68" s="25" t="s">
        <v>521</v>
      </c>
      <c r="C68" s="25"/>
      <c r="D68" s="25"/>
      <c r="E68" s="25"/>
      <c r="F68" s="25"/>
      <c r="G68" s="25"/>
      <c r="H68" s="25"/>
      <c r="I68" s="25"/>
      <c r="J68" s="25"/>
      <c r="K68" s="25"/>
      <c r="L68" s="25"/>
      <c r="M68" s="25"/>
      <c r="N68" s="25"/>
      <c r="O68" s="25"/>
      <c r="P68" s="25"/>
      <c r="Q68" s="25"/>
      <c r="R68" s="25"/>
      <c r="S68" s="25"/>
      <c r="T68" s="25"/>
      <c r="U68" s="25"/>
      <c r="V68" s="25"/>
      <c r="W68" s="25"/>
      <c r="X68" s="25"/>
      <c r="Y68" s="25"/>
      <c r="Z68" s="25"/>
      <c r="AA68" s="1"/>
      <c r="AC68" s="393"/>
      <c r="AD68" s="316"/>
      <c r="AF68" s="1"/>
      <c r="AG68" s="1"/>
      <c r="AH68" s="1"/>
      <c r="AI68" s="1"/>
      <c r="AJ68" s="1"/>
      <c r="AK68" s="1"/>
      <c r="AL68" s="1"/>
      <c r="AM68" s="1"/>
      <c r="AN68" s="1"/>
      <c r="AO68" s="2820" t="s">
        <v>7</v>
      </c>
      <c r="AP68" s="2821"/>
      <c r="AQ68" s="2821"/>
      <c r="AR68" s="2821"/>
      <c r="AS68" s="2821"/>
      <c r="AT68" s="2821"/>
      <c r="AU68" s="2822"/>
      <c r="BD68" s="730"/>
      <c r="BF68" s="17"/>
      <c r="BG68" s="17"/>
      <c r="BH68" s="17"/>
      <c r="BI68" s="17"/>
      <c r="BJ68" s="17"/>
      <c r="BK68" s="17"/>
      <c r="BL68" s="17"/>
      <c r="BM68" s="3"/>
      <c r="BN68" s="3"/>
      <c r="BO68" s="3"/>
      <c r="BP68" s="3"/>
      <c r="BQ68" s="3"/>
      <c r="BR68" s="3"/>
      <c r="BS68" s="3"/>
      <c r="BT68" s="3"/>
      <c r="BU68" s="3"/>
      <c r="BV68" s="3"/>
      <c r="BW68" s="3"/>
      <c r="BX68" s="3"/>
      <c r="BY68" s="3"/>
      <c r="BZ68" s="3"/>
      <c r="CA68" s="3"/>
      <c r="CB68" s="3"/>
      <c r="CC68" s="25"/>
      <c r="CD68" s="25"/>
      <c r="CE68" s="25"/>
    </row>
    <row r="69" spans="2:83" s="82" customFormat="1" ht="12" customHeight="1">
      <c r="B69" s="25" t="s">
        <v>680</v>
      </c>
      <c r="C69" s="25"/>
      <c r="D69" s="25"/>
      <c r="E69" s="25"/>
      <c r="F69" s="25"/>
      <c r="G69" s="25"/>
      <c r="H69" s="25"/>
      <c r="I69" s="25"/>
      <c r="N69" s="457" t="s">
        <v>895</v>
      </c>
      <c r="O69" s="25"/>
      <c r="P69" s="25"/>
      <c r="Q69" s="25"/>
      <c r="R69" s="25"/>
      <c r="S69" s="25"/>
      <c r="T69" s="25"/>
      <c r="U69" s="25"/>
      <c r="V69" s="25"/>
      <c r="W69" s="25"/>
      <c r="X69" s="25"/>
      <c r="Y69" s="25"/>
      <c r="Z69" s="25"/>
      <c r="AA69" s="1"/>
      <c r="AC69" s="393"/>
      <c r="AD69" s="1"/>
      <c r="AE69" s="1"/>
      <c r="AF69" s="1"/>
      <c r="AG69" s="1"/>
      <c r="AH69" s="1"/>
      <c r="AI69" s="1"/>
      <c r="AJ69" s="1"/>
      <c r="AK69" s="1"/>
      <c r="AL69" s="1"/>
      <c r="AM69" s="1"/>
      <c r="AN69" s="1"/>
      <c r="AO69" s="401" t="s">
        <v>7</v>
      </c>
      <c r="AP69" s="1"/>
      <c r="AQ69" s="1"/>
      <c r="AR69" s="1"/>
      <c r="AS69" s="1"/>
      <c r="AT69" s="1"/>
      <c r="AU69" s="1"/>
      <c r="BD69" s="730"/>
      <c r="BF69" s="17"/>
      <c r="BG69" s="17"/>
      <c r="BH69" s="17"/>
      <c r="BI69" s="17"/>
      <c r="BJ69" s="17"/>
      <c r="BK69" s="17"/>
      <c r="BL69" s="17"/>
      <c r="BM69" s="3"/>
      <c r="BN69" s="3"/>
      <c r="BO69" s="3"/>
      <c r="BP69" s="3"/>
      <c r="BQ69" s="3"/>
      <c r="BR69" s="3"/>
      <c r="BS69" s="3"/>
      <c r="BT69" s="3"/>
      <c r="BU69" s="3"/>
      <c r="BV69" s="3"/>
      <c r="BW69" s="3"/>
      <c r="BX69" s="3"/>
      <c r="BY69" s="3"/>
      <c r="BZ69" s="3"/>
      <c r="CA69" s="3"/>
      <c r="CB69" s="3"/>
      <c r="CC69" s="25"/>
      <c r="CD69" s="25"/>
      <c r="CE69" s="25"/>
    </row>
    <row r="70" spans="2:83" s="82" customFormat="1" ht="12" customHeight="1">
      <c r="B70" s="1"/>
      <c r="C70" s="1"/>
      <c r="D70" s="1"/>
      <c r="E70" s="1"/>
      <c r="F70" s="1"/>
      <c r="G70" s="1"/>
      <c r="H70" s="1"/>
      <c r="I70" s="1"/>
      <c r="J70" s="1"/>
      <c r="K70" s="1"/>
      <c r="L70" s="1"/>
      <c r="M70" s="1"/>
      <c r="N70" s="1"/>
      <c r="O70" s="1"/>
      <c r="P70" s="1"/>
      <c r="Q70" s="1"/>
      <c r="R70" s="1"/>
      <c r="S70" s="1"/>
      <c r="T70" s="1"/>
      <c r="U70" s="1"/>
      <c r="V70" s="1"/>
      <c r="W70" s="1"/>
      <c r="X70" s="1"/>
      <c r="Y70" s="1"/>
      <c r="Z70" s="1"/>
      <c r="AA70" s="1"/>
      <c r="AC70" s="393"/>
      <c r="AD70" s="1"/>
      <c r="AE70" s="1"/>
      <c r="AF70" s="1"/>
      <c r="AG70" s="1"/>
      <c r="AH70" s="1"/>
      <c r="AI70" s="1"/>
      <c r="AJ70" s="1"/>
      <c r="AK70" s="1"/>
      <c r="AL70" s="1"/>
      <c r="AM70" s="1"/>
      <c r="AN70" s="1"/>
      <c r="AO70" s="401" t="s">
        <v>27</v>
      </c>
      <c r="AP70" s="1"/>
      <c r="AQ70" s="1"/>
      <c r="AR70" s="1"/>
      <c r="AS70" s="1"/>
      <c r="AT70" s="1"/>
      <c r="AU70" s="1"/>
      <c r="BD70" s="730"/>
      <c r="BF70" s="17"/>
      <c r="BG70" s="17"/>
      <c r="BH70" s="17"/>
      <c r="BI70" s="17"/>
      <c r="BJ70" s="17"/>
      <c r="BK70" s="17"/>
      <c r="BL70" s="17"/>
      <c r="BM70" s="3"/>
      <c r="BN70" s="3"/>
      <c r="BO70" s="3"/>
      <c r="BP70" s="3"/>
      <c r="BQ70" s="3"/>
      <c r="BR70" s="3"/>
      <c r="BS70" s="3"/>
      <c r="BT70" s="3"/>
      <c r="BU70" s="3"/>
      <c r="BV70" s="3"/>
      <c r="BW70" s="3"/>
      <c r="BX70" s="3"/>
      <c r="BY70" s="3"/>
      <c r="BZ70" s="3"/>
      <c r="CA70" s="3"/>
      <c r="CB70" s="3"/>
      <c r="CC70" s="25"/>
      <c r="CD70" s="25"/>
      <c r="CE70" s="25"/>
    </row>
    <row r="71" spans="2:83" s="82" customFormat="1" ht="12" customHeight="1" thickBot="1">
      <c r="B71" s="313" t="s">
        <v>524</v>
      </c>
      <c r="C71" s="37"/>
      <c r="D71" s="37"/>
      <c r="E71" s="37"/>
      <c r="F71" s="37"/>
      <c r="G71" s="37"/>
      <c r="H71" s="37"/>
      <c r="I71" s="37"/>
      <c r="J71" s="37"/>
      <c r="K71" s="37"/>
      <c r="L71" s="37"/>
      <c r="M71" s="37"/>
      <c r="N71" s="37"/>
      <c r="O71" s="37"/>
      <c r="P71" s="37"/>
      <c r="Q71" s="37"/>
      <c r="R71" s="37"/>
      <c r="S71" s="37"/>
      <c r="T71" s="37"/>
      <c r="U71" s="37"/>
      <c r="V71" s="37"/>
      <c r="W71" s="37"/>
      <c r="X71" s="37"/>
      <c r="Y71" s="37"/>
      <c r="Z71" s="37"/>
      <c r="AA71" s="1"/>
      <c r="AC71" s="314">
        <v>6</v>
      </c>
      <c r="AD71" s="1"/>
      <c r="AE71" s="315" t="s">
        <v>522</v>
      </c>
      <c r="AF71" s="1"/>
      <c r="AG71" s="1"/>
      <c r="AH71" s="1"/>
      <c r="AI71" s="1"/>
      <c r="AJ71" s="1"/>
      <c r="AK71" s="1"/>
      <c r="AL71" s="1"/>
      <c r="AM71" s="1"/>
      <c r="AN71" s="1"/>
      <c r="AO71" s="2823" t="s">
        <v>520</v>
      </c>
      <c r="AP71" s="2823"/>
      <c r="AQ71" s="2823"/>
      <c r="AR71" s="2823"/>
      <c r="AS71" s="2823"/>
      <c r="AT71" s="2823"/>
      <c r="AU71" s="2823"/>
      <c r="BD71" s="730"/>
      <c r="BF71" s="17"/>
      <c r="BG71" s="17"/>
      <c r="BH71" s="17"/>
      <c r="BI71" s="17"/>
      <c r="BJ71" s="17"/>
      <c r="BK71" s="17"/>
      <c r="BL71" s="17"/>
      <c r="BM71" s="3"/>
      <c r="BN71" s="3"/>
      <c r="BO71" s="3"/>
      <c r="BP71" s="3"/>
      <c r="BQ71" s="3"/>
      <c r="BR71" s="3"/>
      <c r="BS71" s="3"/>
      <c r="BT71" s="3"/>
      <c r="BU71" s="3"/>
      <c r="BV71" s="3"/>
      <c r="BW71" s="3"/>
      <c r="BX71" s="3"/>
      <c r="BY71" s="3"/>
      <c r="BZ71" s="3"/>
      <c r="CA71" s="3"/>
      <c r="CB71" s="3"/>
      <c r="CC71" s="25"/>
      <c r="CD71" s="25"/>
      <c r="CE71" s="25"/>
    </row>
    <row r="72" spans="2:83" s="82" customFormat="1" ht="12" customHeight="1" thickBot="1">
      <c r="B72" s="25" t="s">
        <v>941</v>
      </c>
      <c r="C72" s="25"/>
      <c r="D72" s="25"/>
      <c r="E72" s="25"/>
      <c r="F72" s="25"/>
      <c r="G72" s="25"/>
      <c r="H72" s="25"/>
      <c r="I72" s="25"/>
      <c r="J72" s="25"/>
      <c r="K72" s="25"/>
      <c r="L72" s="25"/>
      <c r="M72" s="25"/>
      <c r="N72" s="25"/>
      <c r="O72" s="25"/>
      <c r="P72" s="25"/>
      <c r="Q72" s="25"/>
      <c r="R72" s="25"/>
      <c r="S72" s="25"/>
      <c r="T72" s="25"/>
      <c r="U72" s="25"/>
      <c r="V72" s="25"/>
      <c r="W72" s="25"/>
      <c r="X72" s="25"/>
      <c r="Y72" s="25"/>
      <c r="Z72" s="25"/>
      <c r="AA72" s="1"/>
      <c r="AC72" s="393"/>
      <c r="AD72" s="316"/>
      <c r="AF72" s="1"/>
      <c r="AG72" s="1"/>
      <c r="AH72" s="1"/>
      <c r="AI72" s="1"/>
      <c r="AJ72" s="1"/>
      <c r="AK72" s="1"/>
      <c r="AL72" s="1"/>
      <c r="AM72" s="1"/>
      <c r="AN72" s="1"/>
      <c r="AO72" s="2820" t="s">
        <v>8</v>
      </c>
      <c r="AP72" s="2821"/>
      <c r="AQ72" s="2821"/>
      <c r="AR72" s="2821"/>
      <c r="AS72" s="2821"/>
      <c r="AT72" s="2821"/>
      <c r="AU72" s="2822"/>
      <c r="BD72" s="730"/>
      <c r="BF72" s="17"/>
      <c r="BG72" s="17"/>
      <c r="BH72" s="17"/>
      <c r="BI72" s="17"/>
      <c r="BJ72" s="17"/>
      <c r="BK72" s="17"/>
      <c r="BL72" s="17"/>
      <c r="BM72" s="3"/>
      <c r="BN72" s="3"/>
      <c r="BO72" s="3"/>
      <c r="BP72" s="3"/>
      <c r="BQ72" s="3"/>
      <c r="BR72" s="3"/>
      <c r="BS72" s="3"/>
      <c r="BT72" s="3"/>
      <c r="BU72" s="3"/>
      <c r="BV72" s="3"/>
      <c r="BW72" s="3"/>
      <c r="BX72" s="3"/>
      <c r="BY72" s="3"/>
      <c r="BZ72" s="3"/>
      <c r="CA72" s="3"/>
      <c r="CB72" s="3"/>
      <c r="CC72" s="25"/>
      <c r="CD72" s="25"/>
      <c r="CE72" s="25"/>
    </row>
    <row r="73" spans="2:83" s="82" customFormat="1" ht="12" customHeight="1">
      <c r="B73" s="82" t="s">
        <v>953</v>
      </c>
      <c r="AC73" s="828"/>
      <c r="AE73" s="1"/>
      <c r="AF73" s="1"/>
      <c r="AG73" s="1"/>
      <c r="AH73" s="1"/>
      <c r="AI73" s="1"/>
      <c r="AJ73" s="1"/>
      <c r="AK73" s="1"/>
      <c r="AL73" s="1"/>
      <c r="AM73" s="1"/>
      <c r="AN73" s="1606"/>
      <c r="AO73" s="1606"/>
      <c r="AP73" s="1606"/>
      <c r="AQ73" s="1606"/>
      <c r="AR73" s="1606"/>
      <c r="AS73" s="1606"/>
      <c r="AT73" s="1606"/>
      <c r="BC73" s="1259"/>
      <c r="BE73" s="17"/>
      <c r="BF73" s="17"/>
      <c r="BG73" s="17"/>
      <c r="BH73" s="17"/>
      <c r="BI73" s="17"/>
      <c r="BJ73" s="17"/>
      <c r="BK73" s="17"/>
      <c r="BL73" s="3"/>
      <c r="BM73" s="3"/>
      <c r="BN73" s="3"/>
      <c r="BO73" s="3"/>
      <c r="BP73" s="3"/>
      <c r="BQ73" s="3"/>
      <c r="BR73" s="3"/>
      <c r="BS73" s="3"/>
      <c r="BT73" s="3"/>
      <c r="BU73" s="3"/>
      <c r="BV73" s="3"/>
      <c r="BW73" s="3"/>
      <c r="BX73" s="3"/>
      <c r="BY73" s="3"/>
      <c r="BZ73" s="3"/>
      <c r="CA73" s="3"/>
      <c r="CB73" s="25"/>
      <c r="CC73" s="25"/>
      <c r="CD73" s="25"/>
    </row>
    <row r="74" spans="2:83" s="82" customFormat="1" ht="12" customHeight="1">
      <c r="T74" s="25"/>
      <c r="U74" s="25"/>
      <c r="V74" s="25"/>
      <c r="W74" s="25"/>
      <c r="X74" s="25"/>
      <c r="Y74" s="25"/>
      <c r="Z74" s="25"/>
      <c r="AA74" s="1"/>
      <c r="AC74" s="828"/>
      <c r="AD74" s="316"/>
      <c r="AF74" s="1"/>
      <c r="AG74" s="1"/>
      <c r="AH74" s="1"/>
      <c r="AI74" s="1"/>
      <c r="AJ74" s="1"/>
      <c r="AK74" s="1"/>
      <c r="AL74" s="1"/>
      <c r="AM74" s="1"/>
      <c r="AN74" s="3"/>
      <c r="AO74" s="2126"/>
      <c r="AP74" s="2126"/>
      <c r="AQ74" s="2126"/>
      <c r="AR74" s="2126"/>
      <c r="AS74" s="2126"/>
      <c r="AT74" s="2126"/>
      <c r="AU74" s="2126"/>
      <c r="AV74" s="2123"/>
      <c r="AW74" s="2123"/>
      <c r="AX74" s="2123"/>
      <c r="AY74" s="2123"/>
      <c r="BD74" s="829"/>
      <c r="BF74" s="17"/>
      <c r="BG74" s="17"/>
      <c r="BH74" s="17"/>
      <c r="BI74" s="17"/>
      <c r="BJ74" s="17"/>
      <c r="BK74" s="17"/>
      <c r="BL74" s="17"/>
      <c r="BM74" s="3"/>
      <c r="BN74" s="3"/>
      <c r="BO74" s="3"/>
      <c r="BP74" s="3"/>
      <c r="BQ74" s="3"/>
      <c r="BR74" s="3"/>
      <c r="BS74" s="3"/>
      <c r="BT74" s="3"/>
      <c r="BU74" s="3"/>
      <c r="BV74" s="3"/>
      <c r="BW74" s="3"/>
      <c r="BX74" s="3"/>
      <c r="BY74" s="3"/>
      <c r="BZ74" s="3"/>
      <c r="CA74" s="3"/>
      <c r="CB74" s="3"/>
      <c r="CC74" s="25"/>
      <c r="CD74" s="25"/>
      <c r="CE74" s="25"/>
    </row>
    <row r="75" spans="2:83" s="82" customFormat="1" ht="12" customHeight="1">
      <c r="B75" s="239" t="s">
        <v>949</v>
      </c>
      <c r="C75" s="25"/>
      <c r="D75" s="25"/>
      <c r="E75" s="25"/>
      <c r="F75" s="25"/>
      <c r="G75" s="25"/>
      <c r="H75" s="25"/>
      <c r="I75" s="25"/>
      <c r="J75" s="25"/>
      <c r="K75" s="25"/>
      <c r="L75" s="25"/>
      <c r="M75" s="25"/>
      <c r="N75" s="25"/>
      <c r="O75" s="25"/>
      <c r="P75" s="25"/>
      <c r="Q75" s="25"/>
      <c r="R75" s="25"/>
      <c r="S75" s="25"/>
      <c r="T75" s="25"/>
      <c r="U75" s="25"/>
      <c r="V75" s="25"/>
      <c r="W75" s="25"/>
      <c r="X75" s="25"/>
      <c r="Y75" s="25"/>
      <c r="Z75" s="25"/>
      <c r="AA75" s="1"/>
      <c r="AC75" s="828"/>
      <c r="AD75" s="316"/>
      <c r="AF75" s="1"/>
      <c r="AG75" s="1"/>
      <c r="AH75" s="1"/>
      <c r="AI75" s="1"/>
      <c r="AJ75" s="1"/>
      <c r="AP75" s="2125"/>
      <c r="AQ75" s="2125"/>
      <c r="AR75" s="1"/>
      <c r="AS75" s="1"/>
      <c r="AT75" s="1"/>
      <c r="AU75" s="3"/>
      <c r="AV75" s="2125"/>
      <c r="AW75" s="2123"/>
      <c r="AX75" s="2123"/>
      <c r="AY75" s="2123"/>
      <c r="BD75" s="829"/>
      <c r="BF75" s="17"/>
      <c r="BG75" s="17"/>
      <c r="BH75" s="17"/>
      <c r="BI75" s="17"/>
      <c r="BJ75" s="17"/>
      <c r="BK75" s="17"/>
      <c r="BL75" s="17"/>
      <c r="BM75" s="3"/>
      <c r="BN75" s="3"/>
      <c r="BO75" s="3"/>
      <c r="BP75" s="3"/>
      <c r="BQ75" s="3"/>
      <c r="BR75" s="3"/>
      <c r="BS75" s="3"/>
      <c r="BT75" s="3"/>
      <c r="BU75" s="3"/>
      <c r="BV75" s="3"/>
      <c r="BW75" s="3"/>
      <c r="BX75" s="3"/>
      <c r="BY75" s="3"/>
      <c r="BZ75" s="3"/>
      <c r="CA75" s="3"/>
      <c r="CB75" s="3"/>
      <c r="CC75" s="25"/>
      <c r="CD75" s="25"/>
      <c r="CE75" s="25"/>
    </row>
    <row r="76" spans="2:83" s="82" customFormat="1" ht="12" customHeight="1">
      <c r="B76" s="25" t="s">
        <v>950</v>
      </c>
      <c r="C76" s="25"/>
      <c r="D76" s="25"/>
      <c r="E76" s="25"/>
      <c r="F76" s="25"/>
      <c r="G76" s="25"/>
      <c r="H76" s="25"/>
      <c r="I76" s="25"/>
      <c r="J76" s="25"/>
      <c r="K76" s="25"/>
      <c r="L76" s="25"/>
      <c r="M76" s="25"/>
      <c r="N76" s="25"/>
      <c r="O76" s="25"/>
      <c r="P76" s="25"/>
      <c r="Q76" s="25"/>
      <c r="R76" s="25"/>
      <c r="S76" s="25"/>
      <c r="T76" s="25"/>
      <c r="U76" s="25"/>
      <c r="V76" s="25"/>
      <c r="W76" s="25"/>
      <c r="X76" s="25"/>
      <c r="Y76" s="25"/>
      <c r="Z76" s="25"/>
      <c r="AA76" s="1"/>
      <c r="AC76" s="828"/>
      <c r="AD76" s="316"/>
      <c r="AF76" s="1"/>
      <c r="AG76" s="1"/>
      <c r="AH76" s="1"/>
      <c r="AI76" s="1"/>
      <c r="AJ76" s="1"/>
      <c r="AP76" s="2126"/>
      <c r="AQ76" s="2126"/>
      <c r="AR76" s="1"/>
      <c r="AS76" s="1"/>
      <c r="AT76" s="1"/>
      <c r="AU76" s="3"/>
      <c r="AV76" s="2126"/>
      <c r="AW76" s="2123"/>
      <c r="AX76" s="2123"/>
      <c r="AY76" s="2123"/>
      <c r="BD76" s="829"/>
      <c r="BF76" s="17"/>
      <c r="BG76" s="17"/>
      <c r="BH76" s="17"/>
      <c r="BI76" s="17"/>
      <c r="BJ76" s="17"/>
      <c r="BK76" s="17"/>
      <c r="BL76" s="17"/>
      <c r="BM76" s="3"/>
      <c r="BN76" s="3"/>
      <c r="BO76" s="3"/>
      <c r="BP76" s="3"/>
      <c r="BQ76" s="3"/>
      <c r="BR76" s="3"/>
      <c r="BS76" s="3"/>
      <c r="BT76" s="3"/>
      <c r="BU76" s="3"/>
      <c r="BV76" s="3"/>
      <c r="BW76" s="3"/>
      <c r="BX76" s="3"/>
      <c r="BY76" s="3"/>
      <c r="BZ76" s="3"/>
      <c r="CA76" s="3"/>
      <c r="CB76" s="3"/>
      <c r="CC76" s="25"/>
      <c r="CD76" s="25"/>
      <c r="CE76" s="25"/>
    </row>
    <row r="77" spans="2:83" s="82" customFormat="1" ht="12" customHeight="1">
      <c r="B77" s="82" t="s">
        <v>951</v>
      </c>
      <c r="C77" s="25"/>
      <c r="D77" s="25"/>
      <c r="E77" s="25"/>
      <c r="F77" s="25"/>
      <c r="G77" s="25"/>
      <c r="H77" s="25"/>
      <c r="I77" s="25"/>
      <c r="J77" s="25"/>
      <c r="K77" s="25"/>
      <c r="L77" s="25"/>
      <c r="M77" s="25"/>
      <c r="N77" s="25"/>
      <c r="O77" s="25"/>
      <c r="P77" s="25"/>
      <c r="Q77" s="25"/>
      <c r="R77" s="25"/>
      <c r="S77" s="25"/>
      <c r="AC77" s="828"/>
      <c r="AD77" s="316"/>
      <c r="AF77" s="1"/>
      <c r="AG77" s="1"/>
      <c r="AH77" s="1"/>
      <c r="AI77" s="1"/>
      <c r="AJ77" s="1"/>
      <c r="AP77" s="2126"/>
      <c r="AQ77" s="2126"/>
      <c r="AR77" s="401" t="s">
        <v>26</v>
      </c>
      <c r="AS77" s="1"/>
      <c r="AT77" s="1"/>
      <c r="AU77" s="3"/>
      <c r="AV77" s="2126"/>
      <c r="AW77" s="2123"/>
      <c r="AX77" s="2123"/>
      <c r="AY77" s="2123"/>
      <c r="BD77" s="829"/>
      <c r="BF77" s="17"/>
      <c r="BG77" s="17"/>
      <c r="BH77" s="17"/>
      <c r="BI77" s="17"/>
      <c r="BJ77" s="17"/>
      <c r="BK77" s="17"/>
      <c r="BL77" s="17"/>
      <c r="BM77" s="3"/>
      <c r="BN77" s="3"/>
      <c r="BO77" s="3"/>
      <c r="BP77" s="3"/>
      <c r="BQ77" s="3"/>
      <c r="BR77" s="3"/>
      <c r="BS77" s="3"/>
      <c r="BT77" s="3"/>
      <c r="BU77" s="3"/>
      <c r="BV77" s="3"/>
      <c r="BW77" s="3"/>
      <c r="BX77" s="3"/>
      <c r="BY77" s="3"/>
      <c r="BZ77" s="3"/>
      <c r="CA77" s="3"/>
      <c r="CB77" s="3"/>
      <c r="CC77" s="25"/>
      <c r="CD77" s="25"/>
      <c r="CE77" s="25"/>
    </row>
    <row r="78" spans="2:83" s="82" customFormat="1" ht="12" customHeight="1">
      <c r="B78" s="25" t="s">
        <v>952</v>
      </c>
      <c r="C78" s="25"/>
      <c r="D78" s="25"/>
      <c r="E78" s="25"/>
      <c r="H78" s="457" t="s">
        <v>942</v>
      </c>
      <c r="I78" s="457"/>
      <c r="J78" s="457"/>
      <c r="K78" s="457"/>
      <c r="L78" s="457"/>
      <c r="M78" s="457"/>
      <c r="N78" s="457"/>
      <c r="O78" s="457"/>
      <c r="P78" s="457"/>
      <c r="Q78" s="457"/>
      <c r="R78" s="457"/>
      <c r="S78" s="81"/>
      <c r="T78" s="81"/>
      <c r="U78" s="1847"/>
      <c r="V78" s="1847"/>
      <c r="AC78" s="828"/>
      <c r="AD78" s="1"/>
      <c r="AE78" s="1"/>
      <c r="AF78" s="1"/>
      <c r="AG78" s="1"/>
      <c r="AH78" s="1"/>
      <c r="AI78" s="1"/>
      <c r="AJ78" s="1"/>
      <c r="AK78" s="1"/>
      <c r="AL78" s="1"/>
      <c r="AM78" s="1"/>
      <c r="AN78" s="3"/>
      <c r="AO78" s="2123"/>
      <c r="AP78" s="2123"/>
      <c r="AQ78" s="2125"/>
      <c r="AR78" s="401" t="s">
        <v>8</v>
      </c>
      <c r="AS78" s="2125"/>
      <c r="AT78" s="2125"/>
      <c r="AU78" s="3"/>
      <c r="BD78" s="829"/>
      <c r="BF78" s="17"/>
      <c r="BG78" s="17"/>
      <c r="BH78" s="17"/>
      <c r="BI78" s="17"/>
      <c r="BJ78" s="17"/>
      <c r="BK78" s="17"/>
      <c r="BL78" s="17"/>
      <c r="BM78" s="3"/>
      <c r="BN78" s="3"/>
      <c r="BO78" s="3"/>
      <c r="BP78" s="3"/>
      <c r="BQ78" s="3"/>
      <c r="BR78" s="3"/>
      <c r="BS78" s="3"/>
      <c r="BT78" s="3"/>
      <c r="BU78" s="3"/>
      <c r="BV78" s="3"/>
      <c r="BW78" s="3"/>
      <c r="BX78" s="3"/>
      <c r="BY78" s="3"/>
      <c r="BZ78" s="3"/>
      <c r="CA78" s="3"/>
      <c r="CB78" s="3"/>
      <c r="CC78" s="25"/>
      <c r="CD78" s="25"/>
      <c r="CE78" s="25"/>
    </row>
    <row r="79" spans="2:83" s="82" customFormat="1" ht="12" customHeight="1">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1"/>
      <c r="AC79" s="393"/>
      <c r="AE79" s="278" t="s">
        <v>292</v>
      </c>
      <c r="AO79" s="2123"/>
      <c r="AP79" s="2123"/>
      <c r="AQ79" s="2123"/>
      <c r="AR79" s="279" t="s">
        <v>943</v>
      </c>
      <c r="AS79" s="2123"/>
      <c r="AT79" s="2123"/>
      <c r="BD79" s="829"/>
      <c r="BF79" s="17"/>
      <c r="BG79" s="17"/>
      <c r="BH79" s="17"/>
      <c r="BI79" s="17"/>
      <c r="BJ79" s="17"/>
      <c r="BK79" s="17"/>
      <c r="BL79" s="17"/>
      <c r="BM79" s="3"/>
      <c r="BN79" s="3"/>
      <c r="BO79" s="3"/>
      <c r="BP79" s="3"/>
      <c r="BQ79" s="3"/>
      <c r="BR79" s="3"/>
      <c r="BS79" s="3"/>
      <c r="BT79" s="3"/>
      <c r="BU79" s="3"/>
      <c r="BV79" s="3"/>
      <c r="BW79" s="3"/>
      <c r="BX79" s="3"/>
      <c r="BY79" s="3"/>
      <c r="BZ79" s="3"/>
      <c r="CA79" s="3"/>
      <c r="CB79" s="3"/>
      <c r="CC79" s="25"/>
      <c r="CD79" s="25"/>
      <c r="CE79" s="25"/>
    </row>
    <row r="80" spans="2:83" s="82" customFormat="1" ht="12" customHeight="1">
      <c r="B80" s="312" t="s">
        <v>525</v>
      </c>
      <c r="AC80" s="393"/>
      <c r="AH80" s="281" t="s">
        <v>176</v>
      </c>
      <c r="AI80" s="280"/>
      <c r="AJ80" s="322" t="s">
        <v>436</v>
      </c>
      <c r="AO80" s="2123"/>
      <c r="AP80" s="2123"/>
      <c r="AQ80" s="2123"/>
      <c r="AR80" s="279" t="s">
        <v>944</v>
      </c>
      <c r="AS80" s="2123"/>
      <c r="AT80" s="2123"/>
      <c r="BD80" s="829"/>
      <c r="BF80" s="17"/>
      <c r="BG80" s="17"/>
      <c r="BH80" s="17"/>
      <c r="BI80" s="17"/>
      <c r="BJ80" s="17"/>
      <c r="BK80" s="17"/>
      <c r="BL80" s="17"/>
      <c r="BM80" s="3"/>
      <c r="BN80" s="3"/>
      <c r="BO80" s="3"/>
      <c r="BP80" s="3"/>
      <c r="BQ80" s="3"/>
      <c r="BR80" s="3"/>
      <c r="BS80" s="3"/>
      <c r="BT80" s="3"/>
      <c r="BU80" s="3"/>
      <c r="BV80" s="3"/>
      <c r="BW80" s="3"/>
      <c r="BX80" s="3"/>
      <c r="BY80" s="3"/>
      <c r="BZ80" s="3"/>
      <c r="CA80" s="3"/>
      <c r="CB80" s="3"/>
      <c r="CC80" s="25"/>
      <c r="CD80" s="25"/>
      <c r="CE80" s="25"/>
    </row>
    <row r="81" spans="2:83" s="82" customFormat="1" ht="12" customHeight="1" thickBot="1">
      <c r="B81" s="276" t="s">
        <v>459</v>
      </c>
      <c r="AC81" s="270">
        <v>9</v>
      </c>
      <c r="AH81" s="96"/>
      <c r="AI81" s="96"/>
      <c r="AJ81" s="281" t="s">
        <v>427</v>
      </c>
      <c r="BD81" s="829"/>
      <c r="BF81" s="17"/>
      <c r="BG81" s="17"/>
      <c r="BH81" s="17"/>
      <c r="BI81" s="17"/>
      <c r="BJ81" s="17"/>
      <c r="BK81" s="17"/>
      <c r="BL81" s="17"/>
      <c r="BM81" s="3"/>
      <c r="BN81" s="3"/>
      <c r="BO81" s="3"/>
      <c r="BP81" s="3"/>
      <c r="BQ81" s="3"/>
      <c r="BR81" s="3"/>
      <c r="BS81" s="3"/>
      <c r="BT81" s="3"/>
      <c r="BU81" s="3"/>
      <c r="BV81" s="3"/>
      <c r="BW81" s="3"/>
      <c r="BX81" s="3"/>
      <c r="BY81" s="3"/>
      <c r="BZ81" s="3"/>
      <c r="CA81" s="3"/>
      <c r="CB81" s="3"/>
      <c r="CC81" s="25"/>
      <c r="CD81" s="25"/>
      <c r="CE81" s="25"/>
    </row>
    <row r="82" spans="2:83" s="82" customFormat="1" ht="12" customHeight="1" thickBot="1">
      <c r="B82" s="277" t="s">
        <v>460</v>
      </c>
      <c r="AC82" s="393"/>
      <c r="AG82" s="2832" t="s">
        <v>0</v>
      </c>
      <c r="AH82" s="2833"/>
      <c r="AI82" s="402"/>
      <c r="AJ82" s="2832" t="s">
        <v>495</v>
      </c>
      <c r="AK82" s="2833"/>
      <c r="BD82" s="829"/>
      <c r="BF82" s="17"/>
      <c r="BG82" s="17"/>
      <c r="BH82" s="17"/>
      <c r="BI82" s="17"/>
      <c r="BJ82" s="17"/>
      <c r="BK82" s="17"/>
      <c r="BL82" s="17"/>
      <c r="BM82" s="3"/>
      <c r="BN82" s="3"/>
      <c r="BO82" s="3"/>
      <c r="BP82" s="3"/>
      <c r="BQ82" s="3"/>
      <c r="BR82" s="3"/>
      <c r="BS82" s="3"/>
      <c r="BT82" s="3"/>
      <c r="BU82" s="3"/>
      <c r="BV82" s="3"/>
      <c r="BW82" s="3"/>
      <c r="BX82" s="3"/>
      <c r="BY82" s="3"/>
      <c r="BZ82" s="3"/>
      <c r="CA82" s="3"/>
      <c r="CB82" s="3"/>
      <c r="CC82" s="25"/>
      <c r="CD82" s="25"/>
      <c r="CE82" s="25"/>
    </row>
    <row r="83" spans="2:83" s="82" customFormat="1" ht="12" customHeight="1">
      <c r="B83" s="82" t="s">
        <v>1250</v>
      </c>
      <c r="AC83" s="828"/>
      <c r="AJ83" s="1241"/>
      <c r="AK83" s="1241"/>
      <c r="BD83" s="829"/>
      <c r="BF83" s="17"/>
      <c r="BG83" s="17"/>
      <c r="BH83" s="17"/>
      <c r="BI83" s="17"/>
      <c r="BJ83" s="17"/>
      <c r="BK83" s="17"/>
      <c r="BL83" s="17"/>
      <c r="BM83" s="3"/>
      <c r="BN83" s="3"/>
      <c r="BO83" s="3"/>
      <c r="BP83" s="3"/>
      <c r="BQ83" s="3"/>
      <c r="BR83" s="3"/>
      <c r="BS83" s="3"/>
      <c r="BT83" s="3"/>
      <c r="BU83" s="3"/>
      <c r="BV83" s="3"/>
      <c r="BW83" s="3"/>
      <c r="BX83" s="3"/>
      <c r="BY83" s="3"/>
      <c r="BZ83" s="3"/>
      <c r="CA83" s="3"/>
      <c r="CB83" s="3"/>
      <c r="CC83" s="25"/>
      <c r="CD83" s="25"/>
      <c r="CE83" s="25"/>
    </row>
    <row r="84" spans="2:83" s="82" customFormat="1" ht="12" customHeight="1">
      <c r="B84" s="82" t="s">
        <v>1251</v>
      </c>
      <c r="AC84" s="828"/>
      <c r="AJ84" s="1241"/>
      <c r="AK84" s="1241"/>
      <c r="BD84" s="829"/>
      <c r="BF84" s="17"/>
      <c r="BG84" s="17"/>
      <c r="BH84" s="17"/>
      <c r="BI84" s="17"/>
      <c r="BJ84" s="17"/>
      <c r="BK84" s="17"/>
      <c r="BL84" s="17"/>
      <c r="BM84" s="3"/>
      <c r="BN84" s="3"/>
      <c r="BO84" s="3"/>
      <c r="BP84" s="3"/>
      <c r="BQ84" s="3"/>
      <c r="BR84" s="3"/>
      <c r="BS84" s="3"/>
      <c r="BT84" s="3"/>
      <c r="BU84" s="3"/>
      <c r="BV84" s="3"/>
      <c r="BW84" s="3"/>
      <c r="BX84" s="3"/>
      <c r="BY84" s="3"/>
      <c r="BZ84" s="3"/>
      <c r="CA84" s="3"/>
      <c r="CB84" s="3"/>
      <c r="CC84" s="25"/>
      <c r="CD84" s="25"/>
      <c r="CE84" s="25"/>
    </row>
    <row r="85" spans="2:83" s="82" customFormat="1" ht="12" customHeight="1">
      <c r="B85" s="82" t="s">
        <v>1484</v>
      </c>
      <c r="AC85" s="828"/>
      <c r="AJ85" s="1241"/>
      <c r="AK85" s="1241"/>
      <c r="BD85" s="829"/>
      <c r="BF85" s="17"/>
      <c r="BG85" s="17"/>
      <c r="BH85" s="17"/>
      <c r="BI85" s="17"/>
      <c r="BJ85" s="17"/>
      <c r="BK85" s="17"/>
      <c r="BL85" s="17"/>
      <c r="BM85" s="3"/>
      <c r="BN85" s="3"/>
      <c r="BO85" s="3"/>
      <c r="BP85" s="3"/>
      <c r="BQ85" s="3"/>
      <c r="BR85" s="3"/>
      <c r="BS85" s="3"/>
      <c r="BT85" s="3"/>
      <c r="BU85" s="3"/>
      <c r="BV85" s="3"/>
      <c r="BW85" s="3"/>
      <c r="BX85" s="3"/>
      <c r="BY85" s="3"/>
      <c r="BZ85" s="3"/>
      <c r="CA85" s="3"/>
      <c r="CB85" s="3"/>
      <c r="CC85" s="25"/>
      <c r="CD85" s="25"/>
      <c r="CE85" s="25"/>
    </row>
    <row r="86" spans="2:83" s="82" customFormat="1" ht="12" customHeight="1">
      <c r="AC86" s="828"/>
      <c r="AF86" s="1256"/>
      <c r="AG86" s="1260" t="s">
        <v>592</v>
      </c>
      <c r="AH86" s="2837" t="s">
        <v>593</v>
      </c>
      <c r="AI86" s="2838"/>
      <c r="AJ86" s="2838"/>
      <c r="AK86" s="2839"/>
      <c r="BD86" s="829"/>
      <c r="BF86" s="17"/>
      <c r="BG86" s="17"/>
      <c r="BH86" s="17"/>
      <c r="BI86" s="17"/>
      <c r="BJ86" s="17"/>
      <c r="BK86" s="17"/>
      <c r="BL86" s="17"/>
      <c r="BM86" s="3"/>
      <c r="BN86" s="3"/>
      <c r="BO86" s="3"/>
      <c r="BP86" s="3"/>
      <c r="BQ86" s="3"/>
      <c r="BR86" s="3"/>
      <c r="BS86" s="3"/>
      <c r="BT86" s="3"/>
      <c r="BU86" s="3"/>
      <c r="BV86" s="3"/>
      <c r="BW86" s="3"/>
      <c r="BX86" s="3"/>
      <c r="BY86" s="3"/>
      <c r="BZ86" s="3"/>
      <c r="CA86" s="3"/>
      <c r="CB86" s="3"/>
      <c r="CC86" s="25"/>
      <c r="CD86" s="25"/>
      <c r="CE86" s="25"/>
    </row>
    <row r="87" spans="2:83" s="82" customFormat="1" ht="12" customHeight="1">
      <c r="C87" s="522" t="s">
        <v>914</v>
      </c>
      <c r="AC87" s="828"/>
      <c r="AF87" s="1257"/>
      <c r="AG87" s="1258"/>
      <c r="AO87" s="522" t="s">
        <v>933</v>
      </c>
      <c r="AP87" s="522"/>
      <c r="AQ87" s="522"/>
      <c r="AR87" s="522"/>
      <c r="BD87" s="829"/>
      <c r="BF87" s="17"/>
      <c r="BG87" s="17"/>
      <c r="BH87" s="17"/>
      <c r="BI87" s="17"/>
      <c r="BJ87" s="17"/>
      <c r="BK87" s="17"/>
      <c r="BL87" s="17"/>
      <c r="BM87" s="3"/>
      <c r="BN87" s="3"/>
      <c r="BO87" s="3"/>
      <c r="BP87" s="3"/>
      <c r="BQ87" s="3"/>
      <c r="BR87" s="3"/>
      <c r="BS87" s="3"/>
      <c r="BT87" s="3"/>
      <c r="BU87" s="3"/>
      <c r="BV87" s="3"/>
      <c r="BW87" s="3"/>
      <c r="BX87" s="3"/>
      <c r="BY87" s="3"/>
      <c r="BZ87" s="3"/>
      <c r="CA87" s="3"/>
      <c r="CB87" s="3"/>
      <c r="CC87" s="25"/>
      <c r="CD87" s="25"/>
      <c r="CE87" s="25"/>
    </row>
    <row r="88" spans="2:83" s="82" customFormat="1" ht="12" customHeight="1" thickBot="1">
      <c r="C88" s="82" t="s">
        <v>915</v>
      </c>
      <c r="AC88" s="393"/>
      <c r="AF88" s="1257">
        <v>14</v>
      </c>
      <c r="AG88" s="1258"/>
      <c r="BD88" s="730"/>
      <c r="BF88" s="17"/>
      <c r="BG88" s="17"/>
      <c r="BH88" s="17"/>
      <c r="BI88" s="17"/>
      <c r="BJ88" s="17"/>
      <c r="BK88" s="17"/>
      <c r="BL88" s="17"/>
      <c r="BM88" s="3"/>
      <c r="BN88" s="3"/>
      <c r="BO88" s="3"/>
      <c r="BP88" s="3"/>
      <c r="BQ88" s="3"/>
      <c r="BR88" s="3"/>
      <c r="BS88" s="3"/>
      <c r="BT88" s="3"/>
      <c r="BU88" s="3"/>
      <c r="BV88" s="3"/>
      <c r="BW88" s="3"/>
      <c r="BX88" s="3"/>
      <c r="BY88" s="3"/>
      <c r="BZ88" s="3"/>
      <c r="CA88" s="3"/>
      <c r="CB88" s="3"/>
      <c r="CC88" s="25"/>
      <c r="CD88" s="25"/>
      <c r="CE88" s="25"/>
    </row>
    <row r="89" spans="2:83" s="82" customFormat="1" ht="12" customHeight="1" thickBot="1">
      <c r="C89" s="82" t="s">
        <v>916</v>
      </c>
      <c r="AC89" s="828"/>
      <c r="AF89" s="2463">
        <v>15</v>
      </c>
      <c r="AG89" s="2465"/>
      <c r="AH89" s="2466"/>
      <c r="AI89" s="2467"/>
      <c r="AJ89" s="2467"/>
      <c r="AK89" s="2467"/>
      <c r="AL89" s="2467"/>
      <c r="AM89" s="2467"/>
      <c r="AN89" s="2467"/>
      <c r="AO89" s="2467"/>
      <c r="AP89" s="2467"/>
      <c r="AQ89" s="2467"/>
      <c r="AR89" s="2467"/>
      <c r="AS89" s="2467"/>
      <c r="AT89" s="2467"/>
      <c r="BD89" s="829"/>
      <c r="BF89" s="17"/>
      <c r="BG89" s="17"/>
      <c r="BH89" s="17"/>
      <c r="BI89" s="17"/>
      <c r="BJ89" s="17"/>
      <c r="BK89" s="17"/>
      <c r="BL89" s="17"/>
      <c r="BM89" s="3"/>
      <c r="BN89" s="3"/>
      <c r="BO89" s="3"/>
      <c r="BP89" s="3"/>
      <c r="BQ89" s="3"/>
      <c r="BR89" s="3"/>
      <c r="BS89" s="3"/>
      <c r="BT89" s="3"/>
      <c r="BU89" s="3"/>
      <c r="BV89" s="3"/>
      <c r="BW89" s="3"/>
      <c r="BX89" s="3"/>
      <c r="BY89" s="3"/>
      <c r="BZ89" s="3"/>
      <c r="CA89" s="3"/>
      <c r="CB89" s="3"/>
      <c r="CC89" s="25"/>
      <c r="CD89" s="25"/>
      <c r="CE89" s="25"/>
    </row>
    <row r="90" spans="2:83" s="82" customFormat="1" ht="12" customHeight="1" thickTop="1" thickBot="1">
      <c r="AC90" s="828"/>
      <c r="AF90" s="2464">
        <v>33</v>
      </c>
      <c r="AG90" s="2468"/>
      <c r="AH90" s="2469"/>
      <c r="AI90" s="2469"/>
      <c r="AJ90" s="2469"/>
      <c r="AK90" s="2469"/>
      <c r="AL90" s="2469"/>
      <c r="AM90" s="2469"/>
      <c r="AN90" s="2469"/>
      <c r="AO90" s="2469"/>
      <c r="AP90" s="2469"/>
      <c r="AQ90" s="2469"/>
      <c r="AR90" s="2469"/>
      <c r="AS90" s="2469"/>
      <c r="AT90" s="2469"/>
      <c r="BD90" s="829"/>
      <c r="BF90" s="17"/>
      <c r="BG90" s="17"/>
      <c r="BH90" s="17"/>
      <c r="BI90" s="17"/>
      <c r="BJ90" s="17"/>
      <c r="BK90" s="17"/>
      <c r="BL90" s="17"/>
      <c r="BM90" s="3"/>
      <c r="BN90" s="3"/>
      <c r="BO90" s="3"/>
      <c r="BP90" s="3"/>
      <c r="BQ90" s="3"/>
      <c r="BR90" s="3"/>
      <c r="BS90" s="3"/>
      <c r="BT90" s="3"/>
      <c r="BU90" s="3"/>
      <c r="BV90" s="3"/>
      <c r="BW90" s="3"/>
      <c r="BX90" s="3"/>
      <c r="BY90" s="3"/>
      <c r="BZ90" s="3"/>
      <c r="CA90" s="3"/>
      <c r="CB90" s="3"/>
      <c r="CC90" s="25"/>
      <c r="CD90" s="25"/>
      <c r="CE90" s="25"/>
    </row>
    <row r="91" spans="2:83" s="82" customFormat="1" ht="12" customHeight="1">
      <c r="C91" s="522" t="s">
        <v>935</v>
      </c>
      <c r="AC91" s="828"/>
      <c r="AF91" s="2462">
        <v>34</v>
      </c>
      <c r="AG91" s="1259"/>
      <c r="BD91" s="829"/>
      <c r="BF91" s="17"/>
      <c r="BG91" s="17"/>
      <c r="BH91" s="17"/>
      <c r="BI91" s="17"/>
      <c r="BJ91" s="17"/>
      <c r="BK91" s="17"/>
      <c r="BL91" s="17"/>
      <c r="BM91" s="3"/>
      <c r="BN91" s="3"/>
      <c r="BO91" s="3"/>
      <c r="BP91" s="3"/>
      <c r="BQ91" s="3"/>
      <c r="BR91" s="3"/>
      <c r="BS91" s="3"/>
      <c r="BT91" s="3"/>
      <c r="BU91" s="3"/>
      <c r="BV91" s="3"/>
      <c r="BW91" s="3"/>
      <c r="BX91" s="3"/>
      <c r="BY91" s="3"/>
      <c r="BZ91" s="3"/>
      <c r="CA91" s="3"/>
      <c r="CB91" s="3"/>
      <c r="CC91" s="25"/>
      <c r="CD91" s="25"/>
      <c r="CE91" s="25"/>
    </row>
    <row r="92" spans="2:83" s="82" customFormat="1" ht="12" customHeight="1">
      <c r="C92" s="82" t="s">
        <v>1385</v>
      </c>
      <c r="AC92" s="393"/>
      <c r="AI92" s="522" t="s">
        <v>933</v>
      </c>
      <c r="AN92" s="1847" t="s">
        <v>1341</v>
      </c>
      <c r="BD92" s="730"/>
      <c r="BF92" s="17"/>
      <c r="BG92" s="17"/>
      <c r="BH92" s="17"/>
      <c r="BI92" s="17"/>
      <c r="BJ92" s="17"/>
      <c r="BK92" s="17"/>
      <c r="BL92" s="17"/>
      <c r="BM92" s="3"/>
      <c r="BN92" s="3"/>
      <c r="BO92" s="3"/>
      <c r="BP92" s="3"/>
      <c r="BQ92" s="3"/>
      <c r="BR92" s="3"/>
      <c r="BS92" s="3"/>
      <c r="BT92" s="3"/>
      <c r="BU92" s="3"/>
      <c r="BV92" s="3"/>
      <c r="BW92" s="3"/>
      <c r="BX92" s="3"/>
      <c r="BY92" s="3"/>
      <c r="BZ92" s="3"/>
      <c r="CA92" s="3"/>
      <c r="CB92" s="3"/>
      <c r="CC92" s="25"/>
      <c r="CD92" s="25"/>
      <c r="CE92" s="25"/>
    </row>
    <row r="93" spans="2:83" s="82" customFormat="1" ht="12" customHeight="1">
      <c r="C93" s="82" t="s">
        <v>934</v>
      </c>
      <c r="AC93" s="828"/>
      <c r="AE93" s="20"/>
      <c r="AN93" s="1847" t="s">
        <v>1028</v>
      </c>
      <c r="BD93" s="730"/>
      <c r="BF93" s="17"/>
      <c r="BG93" s="17"/>
      <c r="BH93" s="17"/>
      <c r="BI93" s="17"/>
      <c r="BJ93" s="17"/>
      <c r="BK93" s="17"/>
      <c r="BL93" s="17"/>
      <c r="BM93" s="3"/>
      <c r="BN93" s="3"/>
      <c r="BO93" s="3"/>
      <c r="BP93" s="3"/>
      <c r="BQ93" s="3"/>
      <c r="BR93" s="3"/>
      <c r="BS93" s="3"/>
      <c r="BT93" s="3"/>
      <c r="BU93" s="3"/>
      <c r="BV93" s="3"/>
      <c r="BW93" s="3"/>
      <c r="BX93" s="3"/>
      <c r="BY93" s="3"/>
      <c r="BZ93" s="3"/>
      <c r="CA93" s="3"/>
      <c r="CB93" s="3"/>
      <c r="CC93" s="25"/>
      <c r="CD93" s="25"/>
      <c r="CE93" s="25"/>
    </row>
    <row r="94" spans="2:83" s="82" customFormat="1" ht="12" customHeight="1">
      <c r="C94" s="82" t="s">
        <v>1030</v>
      </c>
      <c r="AC94" s="393"/>
      <c r="AN94" s="1847" t="s">
        <v>1029</v>
      </c>
      <c r="BD94" s="730"/>
      <c r="BF94" s="17"/>
      <c r="BG94" s="17"/>
      <c r="BH94" s="17"/>
      <c r="BI94" s="17"/>
      <c r="BJ94" s="17"/>
      <c r="BK94" s="17"/>
      <c r="BL94" s="17"/>
      <c r="BM94" s="3"/>
      <c r="BN94" s="3"/>
      <c r="BO94" s="3"/>
      <c r="BP94" s="3"/>
      <c r="BQ94" s="3"/>
      <c r="BR94" s="3"/>
      <c r="BS94" s="3"/>
      <c r="BT94" s="3"/>
      <c r="BU94" s="3"/>
      <c r="BV94" s="3"/>
      <c r="BW94" s="3"/>
      <c r="BX94" s="3"/>
      <c r="BY94" s="3"/>
      <c r="BZ94" s="3"/>
      <c r="CA94" s="3"/>
      <c r="CB94" s="3"/>
      <c r="CC94" s="25"/>
      <c r="CD94" s="25"/>
      <c r="CE94" s="25"/>
    </row>
    <row r="95" spans="2:83" s="82" customFormat="1" ht="12" customHeight="1">
      <c r="AC95" s="393"/>
      <c r="AF95" s="2840" t="s">
        <v>176</v>
      </c>
      <c r="AG95" s="2840"/>
      <c r="AH95" s="2840"/>
      <c r="BD95" s="730"/>
      <c r="BF95" s="17"/>
      <c r="BG95" s="17"/>
      <c r="BH95" s="17"/>
      <c r="BI95" s="17"/>
      <c r="BJ95" s="17"/>
      <c r="BK95" s="17"/>
      <c r="BL95" s="17"/>
      <c r="BM95" s="3"/>
      <c r="BN95" s="3"/>
      <c r="BO95" s="3"/>
      <c r="BP95" s="3"/>
      <c r="BQ95" s="3"/>
      <c r="BR95" s="3"/>
      <c r="BS95" s="3"/>
      <c r="BT95" s="3"/>
      <c r="BU95" s="3"/>
      <c r="BV95" s="3"/>
      <c r="BW95" s="3"/>
      <c r="BX95" s="3"/>
      <c r="BY95" s="3"/>
      <c r="BZ95" s="3"/>
      <c r="CA95" s="3"/>
      <c r="CB95" s="3"/>
      <c r="CC95" s="25"/>
      <c r="CD95" s="25"/>
      <c r="CE95" s="25"/>
    </row>
    <row r="96" spans="2:83" s="82" customFormat="1" ht="12" customHeight="1" thickBot="1">
      <c r="C96" s="522" t="s">
        <v>1010</v>
      </c>
      <c r="AC96" s="828"/>
      <c r="AE96" s="1757"/>
      <c r="AF96" s="322" t="s">
        <v>1012</v>
      </c>
      <c r="AG96" s="322"/>
      <c r="AH96" s="322"/>
      <c r="BD96" s="829"/>
      <c r="BF96" s="17"/>
      <c r="BG96" s="17"/>
      <c r="BH96" s="17"/>
      <c r="BI96" s="17"/>
      <c r="BJ96" s="17"/>
      <c r="BK96" s="17"/>
      <c r="BL96" s="17"/>
      <c r="BM96" s="3"/>
      <c r="BN96" s="3"/>
      <c r="BO96" s="3"/>
      <c r="BP96" s="3"/>
      <c r="BQ96" s="3"/>
      <c r="BR96" s="3"/>
      <c r="BS96" s="3"/>
      <c r="BT96" s="3"/>
      <c r="BU96" s="3"/>
      <c r="BV96" s="3"/>
      <c r="BW96" s="3"/>
      <c r="BX96" s="3"/>
      <c r="BY96" s="3"/>
      <c r="BZ96" s="3"/>
      <c r="CA96" s="3"/>
      <c r="CB96" s="3"/>
      <c r="CC96" s="25"/>
      <c r="CD96" s="25"/>
      <c r="CE96" s="25"/>
    </row>
    <row r="97" spans="2:83" s="82" customFormat="1" ht="12" customHeight="1" thickBot="1">
      <c r="C97" s="82" t="s">
        <v>1340</v>
      </c>
      <c r="AC97" s="828"/>
      <c r="AG97" s="2832" t="s">
        <v>954</v>
      </c>
      <c r="AH97" s="2833"/>
      <c r="AJ97" s="2841">
        <v>0.25</v>
      </c>
      <c r="AK97" s="2842"/>
      <c r="BD97" s="829"/>
      <c r="BF97" s="17"/>
      <c r="BG97" s="17"/>
      <c r="BH97" s="17"/>
      <c r="BI97" s="17"/>
      <c r="BJ97" s="17"/>
      <c r="BK97" s="17"/>
      <c r="BL97" s="17"/>
      <c r="BM97" s="3"/>
      <c r="BN97" s="3"/>
      <c r="BO97" s="3"/>
      <c r="BP97" s="3"/>
      <c r="BQ97" s="3"/>
      <c r="BR97" s="3"/>
      <c r="BS97" s="3"/>
      <c r="BT97" s="3"/>
      <c r="BU97" s="3"/>
      <c r="BV97" s="3"/>
      <c r="BW97" s="3"/>
      <c r="BX97" s="3"/>
      <c r="BY97" s="3"/>
      <c r="BZ97" s="3"/>
      <c r="CA97" s="3"/>
      <c r="CB97" s="3"/>
      <c r="CC97" s="25"/>
      <c r="CD97" s="25"/>
      <c r="CE97" s="25"/>
    </row>
    <row r="98" spans="2:83" s="82" customFormat="1" ht="12" customHeight="1">
      <c r="C98" s="82" t="s">
        <v>1031</v>
      </c>
      <c r="AC98" s="828"/>
      <c r="BD98" s="829"/>
      <c r="BF98" s="17"/>
      <c r="BG98" s="17"/>
      <c r="BH98" s="17"/>
      <c r="BI98" s="17"/>
      <c r="BJ98" s="17"/>
      <c r="BK98" s="17"/>
      <c r="BL98" s="17"/>
      <c r="BM98" s="3"/>
      <c r="BN98" s="3"/>
      <c r="BO98" s="3"/>
      <c r="BP98" s="3"/>
      <c r="BQ98" s="3"/>
      <c r="BR98" s="3"/>
      <c r="BS98" s="3"/>
      <c r="BT98" s="3"/>
      <c r="BU98" s="3"/>
      <c r="BV98" s="3"/>
      <c r="BW98" s="3"/>
      <c r="BX98" s="3"/>
      <c r="BY98" s="3"/>
      <c r="BZ98" s="3"/>
      <c r="CA98" s="3"/>
      <c r="CB98" s="3"/>
      <c r="CC98" s="25"/>
      <c r="CD98" s="25"/>
      <c r="CE98" s="25"/>
    </row>
    <row r="99" spans="2:83" s="82" customFormat="1" ht="12" customHeight="1">
      <c r="C99" s="82" t="s">
        <v>1032</v>
      </c>
      <c r="AC99" s="828"/>
      <c r="AG99" s="1756" t="s">
        <v>954</v>
      </c>
      <c r="BD99" s="829"/>
      <c r="BF99" s="17"/>
      <c r="BG99" s="17"/>
      <c r="BH99" s="17"/>
      <c r="BI99" s="17"/>
      <c r="BJ99" s="17"/>
      <c r="BK99" s="17"/>
      <c r="BL99" s="17"/>
      <c r="BM99" s="3"/>
      <c r="BN99" s="3"/>
      <c r="BO99" s="3"/>
      <c r="BP99" s="3"/>
      <c r="BQ99" s="3"/>
      <c r="BR99" s="3"/>
      <c r="BS99" s="3"/>
      <c r="BT99" s="3"/>
      <c r="BU99" s="3"/>
      <c r="BV99" s="3"/>
      <c r="BW99" s="3"/>
      <c r="BX99" s="3"/>
      <c r="BY99" s="3"/>
      <c r="BZ99" s="3"/>
      <c r="CA99" s="3"/>
      <c r="CB99" s="3"/>
      <c r="CC99" s="25"/>
      <c r="CD99" s="25"/>
      <c r="CE99" s="25"/>
    </row>
    <row r="100" spans="2:83" s="82" customFormat="1" ht="12" customHeight="1">
      <c r="C100" s="82" t="s">
        <v>1033</v>
      </c>
      <c r="AC100" s="828"/>
      <c r="AG100" s="1756" t="s">
        <v>955</v>
      </c>
      <c r="BD100" s="829"/>
      <c r="BF100" s="17"/>
      <c r="BG100" s="17"/>
      <c r="BH100" s="17"/>
      <c r="BI100" s="17"/>
      <c r="BJ100" s="17"/>
      <c r="BK100" s="17"/>
      <c r="BL100" s="17"/>
      <c r="BM100" s="3"/>
      <c r="BN100" s="3"/>
      <c r="BO100" s="3"/>
      <c r="BP100" s="3"/>
      <c r="BQ100" s="3"/>
      <c r="BR100" s="3"/>
      <c r="BS100" s="3"/>
      <c r="BT100" s="3"/>
      <c r="BU100" s="3"/>
      <c r="BV100" s="3"/>
      <c r="BW100" s="3"/>
      <c r="BX100" s="3"/>
      <c r="BY100" s="3"/>
      <c r="BZ100" s="3"/>
      <c r="CA100" s="3"/>
      <c r="CB100" s="3"/>
      <c r="CC100" s="25"/>
      <c r="CD100" s="25"/>
      <c r="CE100" s="25"/>
    </row>
    <row r="101" spans="2:83" s="82" customFormat="1" ht="12" customHeight="1">
      <c r="AC101" s="828"/>
      <c r="AG101" s="1756" t="s">
        <v>956</v>
      </c>
      <c r="BD101" s="829"/>
      <c r="BF101" s="17"/>
      <c r="BG101" s="17"/>
      <c r="BH101" s="17"/>
      <c r="BI101" s="17"/>
      <c r="BJ101" s="17"/>
      <c r="BK101" s="17"/>
      <c r="BL101" s="17"/>
      <c r="BM101" s="3"/>
      <c r="BN101" s="3"/>
      <c r="BO101" s="3"/>
      <c r="BP101" s="3"/>
      <c r="BQ101" s="3"/>
      <c r="BR101" s="3"/>
      <c r="BS101" s="3"/>
      <c r="BT101" s="3"/>
      <c r="BU101" s="3"/>
      <c r="BV101" s="3"/>
      <c r="BW101" s="3"/>
      <c r="BX101" s="3"/>
      <c r="BY101" s="3"/>
      <c r="BZ101" s="3"/>
      <c r="CA101" s="3"/>
      <c r="CB101" s="3"/>
      <c r="CC101" s="25"/>
      <c r="CD101" s="25"/>
      <c r="CE101" s="25"/>
    </row>
    <row r="102" spans="2:83" s="82" customFormat="1" ht="12" customHeight="1">
      <c r="B102" s="312" t="s">
        <v>526</v>
      </c>
      <c r="AC102" s="314">
        <v>35</v>
      </c>
      <c r="AG102" s="1756" t="s">
        <v>957</v>
      </c>
      <c r="BD102" s="829"/>
      <c r="BF102" s="17"/>
      <c r="BG102" s="17"/>
      <c r="BH102" s="17"/>
      <c r="BI102" s="17"/>
      <c r="BJ102" s="17"/>
      <c r="BK102" s="17"/>
      <c r="BL102" s="17"/>
      <c r="BM102" s="3"/>
      <c r="BN102" s="3"/>
      <c r="BO102" s="3"/>
      <c r="BP102" s="3"/>
      <c r="BQ102" s="3"/>
      <c r="BR102" s="3"/>
      <c r="BS102" s="3"/>
      <c r="BT102" s="3"/>
      <c r="BU102" s="3"/>
      <c r="BV102" s="3"/>
      <c r="BW102" s="3"/>
      <c r="BX102" s="3"/>
      <c r="BY102" s="3"/>
      <c r="BZ102" s="3"/>
      <c r="CA102" s="3"/>
      <c r="CB102" s="3"/>
      <c r="CC102" s="25"/>
      <c r="CD102" s="25"/>
      <c r="CE102" s="25"/>
    </row>
    <row r="103" spans="2:83" s="82" customFormat="1" ht="12" customHeight="1">
      <c r="B103" s="25" t="s">
        <v>466</v>
      </c>
      <c r="AC103" s="828"/>
      <c r="AG103" s="1756" t="s">
        <v>958</v>
      </c>
      <c r="BD103" s="829"/>
      <c r="BF103" s="17"/>
      <c r="BG103" s="17"/>
      <c r="BH103" s="17"/>
      <c r="BI103" s="17"/>
      <c r="BJ103" s="17"/>
      <c r="BK103" s="17"/>
      <c r="BL103" s="17"/>
      <c r="BM103" s="3"/>
      <c r="BN103" s="3"/>
      <c r="BO103" s="3"/>
      <c r="BP103" s="3"/>
      <c r="BQ103" s="3"/>
      <c r="BR103" s="3"/>
      <c r="BS103" s="3"/>
      <c r="BT103" s="3"/>
      <c r="BU103" s="3"/>
      <c r="BV103" s="3"/>
      <c r="BW103" s="3"/>
      <c r="BX103" s="3"/>
      <c r="BY103" s="3"/>
      <c r="BZ103" s="3"/>
      <c r="CA103" s="3"/>
      <c r="CB103" s="3"/>
      <c r="CC103" s="25"/>
      <c r="CD103" s="25"/>
      <c r="CE103" s="25"/>
    </row>
    <row r="104" spans="2:83" s="82" customFormat="1" ht="12" customHeight="1">
      <c r="B104" s="25" t="s">
        <v>467</v>
      </c>
      <c r="AC104" s="828"/>
      <c r="AG104" s="1756" t="s">
        <v>959</v>
      </c>
      <c r="BD104" s="829"/>
      <c r="BF104" s="17"/>
      <c r="BG104" s="17"/>
      <c r="BH104" s="17"/>
      <c r="BI104" s="17"/>
      <c r="BJ104" s="17"/>
      <c r="BK104" s="17"/>
      <c r="BL104" s="17"/>
      <c r="BM104" s="3"/>
      <c r="BN104" s="3"/>
      <c r="BO104" s="3"/>
      <c r="BP104" s="3"/>
      <c r="BQ104" s="3"/>
      <c r="BR104" s="3"/>
      <c r="BS104" s="3"/>
      <c r="BT104" s="3"/>
      <c r="BU104" s="3"/>
      <c r="BV104" s="3"/>
      <c r="BW104" s="3"/>
      <c r="BX104" s="3"/>
      <c r="BY104" s="3"/>
      <c r="BZ104" s="3"/>
      <c r="CA104" s="3"/>
      <c r="CB104" s="3"/>
      <c r="CC104" s="25"/>
      <c r="CD104" s="25"/>
      <c r="CE104" s="25"/>
    </row>
    <row r="105" spans="2:83" s="82" customFormat="1" ht="12" customHeight="1">
      <c r="B105" s="25"/>
      <c r="AC105" s="828"/>
      <c r="AG105" s="1756" t="s">
        <v>960</v>
      </c>
      <c r="BA105" s="323"/>
      <c r="BD105" s="829"/>
      <c r="BF105" s="17"/>
      <c r="BG105" s="17"/>
      <c r="BH105" s="17"/>
      <c r="BI105" s="17"/>
      <c r="BJ105" s="17"/>
      <c r="BK105" s="17"/>
      <c r="BL105" s="17"/>
      <c r="BM105" s="3"/>
      <c r="BN105" s="3"/>
      <c r="BO105" s="3"/>
      <c r="BP105" s="3"/>
      <c r="BQ105" s="3"/>
      <c r="BR105" s="3"/>
      <c r="BS105" s="3"/>
      <c r="BT105" s="3"/>
      <c r="BU105" s="3"/>
      <c r="BV105" s="3"/>
      <c r="BW105" s="3"/>
      <c r="BX105" s="3"/>
      <c r="BY105" s="3"/>
      <c r="BZ105" s="3"/>
      <c r="CA105" s="3"/>
      <c r="CB105" s="3"/>
      <c r="CC105" s="25"/>
      <c r="CD105" s="25"/>
      <c r="CE105" s="25"/>
    </row>
    <row r="106" spans="2:83" s="82" customFormat="1" ht="12" customHeight="1">
      <c r="B106" s="25"/>
      <c r="C106" s="522" t="s">
        <v>914</v>
      </c>
      <c r="AC106" s="393"/>
      <c r="AH106" s="281" t="s">
        <v>176</v>
      </c>
      <c r="AI106" s="280"/>
      <c r="AJ106" s="322" t="s">
        <v>436</v>
      </c>
      <c r="BD106" s="730"/>
      <c r="BF106" s="17"/>
      <c r="BG106" s="17"/>
      <c r="BH106" s="17"/>
      <c r="BI106" s="17"/>
      <c r="BJ106" s="17"/>
      <c r="BK106" s="17"/>
      <c r="BL106" s="17"/>
      <c r="BM106" s="3"/>
      <c r="BN106" s="3"/>
      <c r="BO106" s="3"/>
      <c r="BP106" s="3"/>
      <c r="BQ106" s="3"/>
      <c r="BR106" s="3"/>
      <c r="BS106" s="3"/>
      <c r="BT106" s="3"/>
      <c r="BU106" s="3"/>
      <c r="BV106" s="3"/>
      <c r="BW106" s="3"/>
      <c r="BX106" s="3"/>
      <c r="BY106" s="3"/>
      <c r="BZ106" s="3"/>
      <c r="CA106" s="3"/>
      <c r="CB106" s="3"/>
      <c r="CC106" s="25"/>
      <c r="CD106" s="25"/>
      <c r="CE106" s="25"/>
    </row>
    <row r="107" spans="2:83" s="82" customFormat="1" ht="12" customHeight="1" thickBot="1">
      <c r="B107" s="25"/>
      <c r="C107" s="82" t="s">
        <v>915</v>
      </c>
      <c r="AC107" s="393"/>
      <c r="AH107" s="96"/>
      <c r="AI107" s="96"/>
      <c r="AJ107" s="281" t="s">
        <v>427</v>
      </c>
      <c r="BD107" s="730"/>
      <c r="BF107" s="17"/>
      <c r="BG107" s="17"/>
      <c r="BH107" s="17"/>
      <c r="BI107" s="17"/>
      <c r="BJ107" s="17"/>
      <c r="BK107" s="17"/>
      <c r="BL107" s="17"/>
      <c r="BM107" s="3"/>
      <c r="BN107" s="3"/>
      <c r="BO107" s="3"/>
      <c r="BP107" s="3"/>
      <c r="BQ107" s="3"/>
      <c r="BR107" s="3"/>
      <c r="BS107" s="3"/>
      <c r="BT107" s="3"/>
      <c r="BU107" s="3"/>
      <c r="BV107" s="3"/>
      <c r="BW107" s="3"/>
      <c r="BX107" s="3"/>
      <c r="BY107" s="3"/>
      <c r="BZ107" s="3"/>
      <c r="CA107" s="3"/>
      <c r="CB107" s="3"/>
      <c r="CC107" s="25"/>
      <c r="CD107" s="25"/>
      <c r="CE107" s="25"/>
    </row>
    <row r="108" spans="2:83" s="82" customFormat="1" ht="12" customHeight="1" thickBot="1">
      <c r="B108" s="25"/>
      <c r="C108" s="82" t="s">
        <v>916</v>
      </c>
      <c r="AC108" s="828"/>
      <c r="AG108" s="2832" t="s">
        <v>1</v>
      </c>
      <c r="AH108" s="2833"/>
      <c r="AI108" s="402"/>
      <c r="AJ108" s="2832" t="s">
        <v>494</v>
      </c>
      <c r="AK108" s="2833"/>
      <c r="BD108" s="730"/>
      <c r="BF108" s="17"/>
      <c r="BG108" s="17"/>
      <c r="BH108" s="17"/>
      <c r="BI108" s="17"/>
      <c r="BJ108" s="17"/>
      <c r="BK108" s="17"/>
      <c r="BL108" s="17"/>
      <c r="BM108" s="3"/>
      <c r="BN108" s="3"/>
      <c r="BO108" s="3"/>
      <c r="BP108" s="3"/>
      <c r="BQ108" s="3"/>
      <c r="BR108" s="3"/>
      <c r="BS108" s="3"/>
      <c r="BT108" s="3"/>
      <c r="BU108" s="3"/>
      <c r="BV108" s="3"/>
      <c r="BW108" s="3"/>
      <c r="BX108" s="3"/>
      <c r="BY108" s="3"/>
      <c r="BZ108" s="3"/>
      <c r="CA108" s="3"/>
      <c r="CB108" s="3"/>
      <c r="CC108" s="25"/>
      <c r="CD108" s="25"/>
      <c r="CE108" s="25"/>
    </row>
    <row r="109" spans="2:83" s="82" customFormat="1" ht="12" customHeight="1">
      <c r="B109" s="11"/>
      <c r="AC109" s="394"/>
      <c r="AF109" s="388"/>
      <c r="AG109" s="388"/>
      <c r="AH109" s="388"/>
      <c r="AI109" s="388"/>
      <c r="BD109" s="730"/>
      <c r="BF109" s="17"/>
      <c r="BG109" s="17"/>
      <c r="BH109" s="17"/>
      <c r="BI109" s="17"/>
      <c r="BJ109" s="17"/>
      <c r="BK109" s="17"/>
      <c r="BL109" s="17"/>
      <c r="BM109" s="3"/>
      <c r="BN109" s="3"/>
      <c r="BO109" s="3"/>
      <c r="BP109" s="3"/>
      <c r="BQ109" s="3"/>
      <c r="BR109" s="3"/>
      <c r="BS109" s="3"/>
      <c r="BT109" s="3"/>
      <c r="BU109" s="3"/>
      <c r="BV109" s="3"/>
      <c r="BW109" s="3"/>
      <c r="BX109" s="3"/>
      <c r="BY109" s="3"/>
      <c r="BZ109" s="3"/>
      <c r="CA109" s="3"/>
      <c r="CB109" s="3"/>
      <c r="CC109" s="25"/>
      <c r="CD109" s="25"/>
      <c r="CE109" s="25"/>
    </row>
    <row r="110" spans="2:83" s="82" customFormat="1" ht="12" customHeight="1">
      <c r="B110" s="25" t="s">
        <v>468</v>
      </c>
      <c r="AC110" s="394"/>
      <c r="AF110" s="1224"/>
      <c r="AG110" s="1230" t="s">
        <v>0</v>
      </c>
      <c r="AH110" s="1230"/>
      <c r="AI110" s="1230"/>
      <c r="AJ110" s="306" t="s">
        <v>187</v>
      </c>
      <c r="BD110" s="730"/>
      <c r="BF110" s="17"/>
      <c r="BG110" s="17"/>
      <c r="BH110" s="17"/>
      <c r="BI110" s="17"/>
      <c r="BJ110" s="17"/>
      <c r="BK110" s="17"/>
      <c r="BL110" s="17"/>
      <c r="BM110" s="3"/>
      <c r="BN110" s="3"/>
      <c r="BO110" s="3"/>
      <c r="BP110" s="3"/>
      <c r="BQ110" s="3"/>
      <c r="BR110" s="3"/>
      <c r="BS110" s="3"/>
      <c r="BT110" s="3"/>
      <c r="BU110" s="3"/>
      <c r="BV110" s="3"/>
      <c r="BW110" s="3"/>
      <c r="BX110" s="3"/>
      <c r="BY110" s="3"/>
      <c r="BZ110" s="3"/>
      <c r="CA110" s="3"/>
      <c r="CB110" s="3"/>
      <c r="CC110" s="25"/>
      <c r="CD110" s="25"/>
      <c r="CE110" s="25"/>
    </row>
    <row r="111" spans="2:83" s="82" customFormat="1" ht="12" customHeight="1">
      <c r="B111" s="25" t="s">
        <v>469</v>
      </c>
      <c r="AC111" s="393"/>
      <c r="AF111" s="1224"/>
      <c r="AG111" s="1230" t="s">
        <v>907</v>
      </c>
      <c r="AH111" s="1225"/>
      <c r="AI111" s="1230"/>
      <c r="AJ111" s="306" t="s">
        <v>493</v>
      </c>
      <c r="BD111" s="730"/>
      <c r="BF111" s="17"/>
      <c r="BG111" s="17"/>
      <c r="BH111" s="17"/>
      <c r="BI111" s="17"/>
      <c r="BJ111" s="17"/>
      <c r="BK111" s="17"/>
      <c r="BL111" s="17"/>
      <c r="BM111" s="3"/>
      <c r="BN111" s="3"/>
      <c r="BO111" s="3"/>
      <c r="BP111" s="3"/>
      <c r="BQ111" s="3"/>
      <c r="BR111" s="3"/>
      <c r="BS111" s="3"/>
      <c r="BT111" s="3"/>
      <c r="BU111" s="3"/>
      <c r="BV111" s="3"/>
      <c r="BW111" s="3"/>
      <c r="BX111" s="3"/>
      <c r="BY111" s="3"/>
      <c r="BZ111" s="3"/>
      <c r="CA111" s="3"/>
      <c r="CB111" s="3"/>
      <c r="CC111" s="25"/>
      <c r="CD111" s="25"/>
      <c r="CE111" s="25"/>
    </row>
    <row r="112" spans="2:83" s="82" customFormat="1" ht="12" customHeight="1">
      <c r="B112" s="25" t="s">
        <v>470</v>
      </c>
      <c r="AC112" s="393"/>
      <c r="AF112" s="1224"/>
      <c r="AG112" s="1230" t="s">
        <v>912</v>
      </c>
      <c r="AH112" s="1225"/>
      <c r="AI112" s="1230"/>
      <c r="AJ112" s="306" t="s">
        <v>494</v>
      </c>
      <c r="BD112" s="730"/>
      <c r="BF112" s="17"/>
      <c r="BG112" s="17"/>
      <c r="BH112" s="17"/>
      <c r="BI112" s="17"/>
      <c r="BJ112" s="17"/>
      <c r="BK112" s="17"/>
      <c r="BL112" s="17"/>
      <c r="BM112" s="3"/>
      <c r="BN112" s="3"/>
      <c r="BO112" s="3"/>
      <c r="BP112" s="3"/>
      <c r="BQ112" s="3"/>
      <c r="BR112" s="3"/>
      <c r="BS112" s="3"/>
      <c r="BT112" s="3"/>
      <c r="BU112" s="3"/>
      <c r="BV112" s="3"/>
      <c r="BW112" s="3"/>
      <c r="BX112" s="3"/>
      <c r="BY112" s="3"/>
      <c r="BZ112" s="3"/>
      <c r="CA112" s="3"/>
      <c r="CB112" s="3"/>
      <c r="CC112" s="25"/>
      <c r="CD112" s="25"/>
      <c r="CE112" s="25"/>
    </row>
    <row r="113" spans="2:83" s="82" customFormat="1" ht="12" customHeight="1">
      <c r="B113" s="25"/>
      <c r="AC113" s="393"/>
      <c r="AF113" s="1224"/>
      <c r="AG113" s="1230" t="s">
        <v>1</v>
      </c>
      <c r="AH113" s="1230"/>
      <c r="AI113" s="1230"/>
      <c r="AJ113" s="306" t="s">
        <v>495</v>
      </c>
      <c r="BD113" s="730"/>
      <c r="BF113" s="17"/>
      <c r="BG113" s="17"/>
      <c r="BH113" s="17"/>
      <c r="BI113" s="17"/>
      <c r="BJ113" s="17"/>
      <c r="BK113" s="17"/>
      <c r="BL113" s="17"/>
      <c r="BM113" s="3"/>
      <c r="BN113" s="3"/>
      <c r="BO113" s="3"/>
      <c r="BP113" s="3"/>
      <c r="BQ113" s="3"/>
      <c r="BR113" s="3"/>
      <c r="BS113" s="3"/>
      <c r="BT113" s="3"/>
      <c r="BU113" s="3"/>
      <c r="BV113" s="3"/>
      <c r="BW113" s="3"/>
      <c r="BX113" s="3"/>
      <c r="BY113" s="3"/>
      <c r="BZ113" s="3"/>
      <c r="CA113" s="3"/>
      <c r="CB113" s="3"/>
      <c r="CC113" s="25"/>
      <c r="CD113" s="25"/>
      <c r="CE113" s="25"/>
    </row>
    <row r="114" spans="2:83" s="82" customFormat="1" ht="12" customHeight="1">
      <c r="B114" s="25" t="s">
        <v>471</v>
      </c>
      <c r="AC114" s="393"/>
      <c r="AF114" s="1224"/>
      <c r="AG114" s="1230" t="s">
        <v>910</v>
      </c>
      <c r="AH114" s="1230"/>
      <c r="AI114" s="1225"/>
      <c r="BD114" s="730"/>
      <c r="BF114" s="17"/>
      <c r="BG114" s="17"/>
      <c r="BH114" s="17"/>
      <c r="BI114" s="17"/>
      <c r="BJ114" s="17"/>
      <c r="BK114" s="17"/>
      <c r="BL114" s="17"/>
      <c r="BM114" s="3"/>
      <c r="BN114" s="3"/>
      <c r="BO114" s="3"/>
      <c r="BP114" s="3"/>
      <c r="BQ114" s="3"/>
      <c r="BR114" s="3"/>
      <c r="BS114" s="3"/>
      <c r="BT114" s="3"/>
      <c r="BU114" s="3"/>
      <c r="BV114" s="3"/>
      <c r="BW114" s="3"/>
      <c r="BX114" s="3"/>
      <c r="BY114" s="3"/>
      <c r="BZ114" s="3"/>
      <c r="CA114" s="3"/>
      <c r="CB114" s="3"/>
      <c r="CC114" s="25"/>
      <c r="CD114" s="25"/>
      <c r="CE114" s="25"/>
    </row>
    <row r="115" spans="2:83" s="82" customFormat="1" ht="12" customHeight="1">
      <c r="B115" s="11" t="s">
        <v>472</v>
      </c>
      <c r="AC115" s="393"/>
      <c r="AF115" s="1224"/>
      <c r="AG115" s="1230" t="s">
        <v>2</v>
      </c>
      <c r="AH115" s="1230"/>
      <c r="AI115" s="1225"/>
      <c r="BD115" s="730"/>
      <c r="BF115" s="17"/>
      <c r="BG115" s="17"/>
      <c r="BH115" s="17"/>
      <c r="BI115" s="17"/>
      <c r="BJ115" s="17"/>
      <c r="BK115" s="17"/>
      <c r="BL115" s="17"/>
      <c r="BM115" s="3"/>
      <c r="BN115" s="3"/>
      <c r="BO115" s="3"/>
      <c r="BP115" s="3"/>
      <c r="BQ115" s="3"/>
      <c r="BR115" s="3"/>
      <c r="BS115" s="3"/>
      <c r="BT115" s="3"/>
      <c r="BU115" s="3"/>
      <c r="BV115" s="3"/>
      <c r="BW115" s="3"/>
      <c r="BX115" s="3"/>
      <c r="BY115" s="3"/>
      <c r="BZ115" s="3"/>
      <c r="CA115" s="3"/>
      <c r="CB115" s="3"/>
      <c r="CC115" s="25"/>
      <c r="CD115" s="25"/>
      <c r="CE115" s="25"/>
    </row>
    <row r="116" spans="2:83" s="82" customFormat="1" ht="12" customHeight="1">
      <c r="B116" s="11" t="s">
        <v>473</v>
      </c>
      <c r="AC116" s="393"/>
      <c r="AF116" s="1224"/>
      <c r="AG116" s="1230" t="s">
        <v>3</v>
      </c>
      <c r="AH116" s="1225"/>
      <c r="AI116" s="1225"/>
      <c r="BD116" s="730"/>
      <c r="BF116" s="17"/>
      <c r="BG116" s="17"/>
      <c r="BH116" s="17"/>
      <c r="BI116" s="17"/>
      <c r="BJ116" s="17"/>
      <c r="BK116" s="17"/>
      <c r="BL116" s="17"/>
      <c r="BM116" s="3"/>
      <c r="BN116" s="3"/>
      <c r="BO116" s="3"/>
      <c r="BP116" s="3"/>
      <c r="BQ116" s="3"/>
      <c r="BR116" s="3"/>
      <c r="BS116" s="3"/>
      <c r="BT116" s="3"/>
      <c r="BU116" s="3"/>
      <c r="BV116" s="3"/>
      <c r="BW116" s="3"/>
      <c r="BX116" s="3"/>
      <c r="BY116" s="3"/>
      <c r="BZ116" s="3"/>
      <c r="CA116" s="3"/>
      <c r="CB116" s="3"/>
      <c r="CC116" s="25"/>
      <c r="CD116" s="25"/>
      <c r="CE116" s="25"/>
    </row>
    <row r="117" spans="2:83" s="82" customFormat="1" ht="12" customHeight="1">
      <c r="B117" s="11" t="s">
        <v>474</v>
      </c>
      <c r="AC117" s="393"/>
      <c r="AF117" s="388"/>
      <c r="AG117" s="388"/>
      <c r="AH117" s="388"/>
      <c r="AI117" s="388"/>
      <c r="BD117" s="730"/>
      <c r="BF117" s="17"/>
      <c r="BG117" s="17"/>
      <c r="BH117" s="17"/>
      <c r="BI117" s="17"/>
      <c r="BJ117" s="17"/>
      <c r="BK117" s="17"/>
      <c r="BL117" s="17"/>
      <c r="BM117" s="3"/>
      <c r="BN117" s="3"/>
      <c r="BO117" s="3"/>
      <c r="BP117" s="3"/>
      <c r="BQ117" s="3"/>
      <c r="BR117" s="3"/>
      <c r="BS117" s="3"/>
      <c r="BT117" s="3"/>
      <c r="BU117" s="3"/>
      <c r="BV117" s="3"/>
      <c r="BW117" s="3"/>
      <c r="BX117" s="3"/>
      <c r="BY117" s="3"/>
      <c r="BZ117" s="3"/>
      <c r="CA117" s="3"/>
      <c r="CB117" s="3"/>
      <c r="CC117" s="25"/>
      <c r="CD117" s="25"/>
      <c r="CE117" s="25"/>
    </row>
    <row r="118" spans="2:83" s="82" customFormat="1" ht="12" customHeight="1">
      <c r="B118" s="11" t="s">
        <v>475</v>
      </c>
      <c r="AC118" s="393"/>
      <c r="BD118" s="730"/>
      <c r="BF118" s="17"/>
      <c r="BG118" s="17"/>
      <c r="BH118" s="17"/>
      <c r="BI118" s="17"/>
      <c r="BJ118" s="17"/>
      <c r="BK118" s="17"/>
      <c r="BL118" s="17"/>
      <c r="BM118" s="3"/>
      <c r="BN118" s="3"/>
      <c r="BO118" s="3"/>
      <c r="BP118" s="3"/>
      <c r="BQ118" s="3"/>
      <c r="BR118" s="3"/>
      <c r="BS118" s="3"/>
      <c r="BT118" s="3"/>
      <c r="BU118" s="3"/>
      <c r="BV118" s="3"/>
      <c r="BW118" s="3"/>
      <c r="BX118" s="3"/>
      <c r="BY118" s="3"/>
      <c r="BZ118" s="3"/>
      <c r="CA118" s="3"/>
      <c r="CB118" s="3"/>
      <c r="CC118" s="25"/>
      <c r="CD118" s="25"/>
      <c r="CE118" s="25"/>
    </row>
    <row r="119" spans="2:83" s="82" customFormat="1" ht="12.75" customHeight="1">
      <c r="B119" s="11" t="s">
        <v>476</v>
      </c>
      <c r="AC119" s="828"/>
      <c r="BD119" s="730"/>
      <c r="BF119" s="17"/>
      <c r="BG119" s="17"/>
      <c r="BH119" s="17"/>
      <c r="BI119" s="17"/>
      <c r="BJ119" s="17"/>
      <c r="BK119" s="17"/>
      <c r="BL119" s="17"/>
      <c r="BM119" s="3"/>
      <c r="BN119" s="3"/>
      <c r="BO119" s="3"/>
      <c r="BP119" s="3"/>
      <c r="BQ119" s="3"/>
      <c r="BR119" s="3"/>
      <c r="BS119" s="3"/>
      <c r="BT119" s="3"/>
      <c r="BU119" s="3"/>
      <c r="BV119" s="3"/>
      <c r="BW119" s="3"/>
      <c r="BX119" s="3"/>
      <c r="BY119" s="3"/>
      <c r="BZ119" s="3"/>
      <c r="CA119" s="3"/>
      <c r="CB119" s="3"/>
      <c r="CC119" s="25"/>
      <c r="CD119" s="25"/>
      <c r="CE119" s="25"/>
    </row>
    <row r="120" spans="2:83" s="82" customFormat="1" ht="12" customHeight="1">
      <c r="B120" s="11" t="s">
        <v>477</v>
      </c>
      <c r="AC120" s="393"/>
      <c r="BD120" s="730"/>
      <c r="BF120" s="17"/>
      <c r="BG120" s="17"/>
      <c r="BH120" s="17"/>
      <c r="BI120" s="17"/>
      <c r="BJ120" s="17"/>
      <c r="BK120" s="17"/>
      <c r="BL120" s="17"/>
      <c r="BM120" s="3"/>
      <c r="BN120" s="3"/>
      <c r="BO120" s="3"/>
      <c r="BP120" s="3"/>
      <c r="BQ120" s="3"/>
      <c r="BR120" s="3"/>
      <c r="BS120" s="3"/>
      <c r="BT120" s="3"/>
      <c r="BU120" s="3"/>
      <c r="BV120" s="3"/>
      <c r="BW120" s="3"/>
      <c r="BX120" s="3"/>
      <c r="BY120" s="3"/>
      <c r="BZ120" s="3"/>
      <c r="CA120" s="3"/>
      <c r="CB120" s="3"/>
      <c r="CC120" s="25"/>
      <c r="CD120" s="25"/>
      <c r="CE120" s="25"/>
    </row>
    <row r="121" spans="2:83" s="82" customFormat="1" ht="12" customHeight="1">
      <c r="B121" s="267"/>
      <c r="AC121" s="393"/>
      <c r="BD121" s="730"/>
      <c r="BF121" s="17"/>
      <c r="BG121" s="17"/>
      <c r="BH121" s="17"/>
      <c r="BI121" s="17"/>
      <c r="BJ121" s="17"/>
      <c r="BK121" s="17"/>
      <c r="BL121" s="17"/>
      <c r="BM121" s="3"/>
      <c r="BN121" s="3"/>
      <c r="BO121" s="3"/>
      <c r="BP121" s="3"/>
      <c r="BQ121" s="3"/>
      <c r="BR121" s="3"/>
      <c r="BS121" s="3"/>
      <c r="BT121" s="3"/>
      <c r="BU121" s="3"/>
      <c r="BV121" s="3"/>
      <c r="BW121" s="3"/>
      <c r="BX121" s="3"/>
      <c r="BY121" s="3"/>
      <c r="BZ121" s="3"/>
      <c r="CA121" s="3"/>
      <c r="CB121" s="3"/>
      <c r="CC121" s="25"/>
      <c r="CD121" s="25"/>
      <c r="CE121" s="25"/>
    </row>
    <row r="122" spans="2:83" s="82" customFormat="1" ht="12" customHeight="1">
      <c r="B122" s="267"/>
      <c r="C122" s="522" t="s">
        <v>1011</v>
      </c>
      <c r="AC122" s="828"/>
      <c r="BD122" s="829"/>
      <c r="BF122" s="17"/>
      <c r="BG122" s="17"/>
      <c r="BH122" s="17"/>
      <c r="BI122" s="17"/>
      <c r="BJ122" s="17"/>
      <c r="BK122" s="17"/>
      <c r="BL122" s="17"/>
      <c r="BM122" s="3"/>
      <c r="BN122" s="3"/>
      <c r="BO122" s="3"/>
      <c r="BP122" s="3"/>
      <c r="BQ122" s="3"/>
      <c r="BR122" s="3"/>
      <c r="BS122" s="3"/>
      <c r="BT122" s="3"/>
      <c r="BU122" s="3"/>
      <c r="BV122" s="3"/>
      <c r="BW122" s="3"/>
      <c r="BX122" s="3"/>
      <c r="BY122" s="3"/>
      <c r="BZ122" s="3"/>
      <c r="CA122" s="3"/>
      <c r="CB122" s="3"/>
      <c r="CC122" s="25"/>
      <c r="CD122" s="25"/>
      <c r="CE122" s="25"/>
    </row>
    <row r="123" spans="2:83" s="82" customFormat="1" ht="12" customHeight="1">
      <c r="B123" s="267"/>
      <c r="C123" s="82" t="s">
        <v>1338</v>
      </c>
      <c r="AC123" s="828"/>
      <c r="BD123" s="829"/>
      <c r="BF123" s="17"/>
      <c r="BG123" s="17"/>
      <c r="BH123" s="17"/>
      <c r="BI123" s="17"/>
      <c r="BJ123" s="17"/>
      <c r="BK123" s="17"/>
      <c r="BL123" s="17"/>
      <c r="BM123" s="3"/>
      <c r="BN123" s="3"/>
      <c r="BO123" s="3"/>
      <c r="BP123" s="3"/>
      <c r="BQ123" s="3"/>
      <c r="BR123" s="3"/>
      <c r="BS123" s="3"/>
      <c r="BT123" s="3"/>
      <c r="BU123" s="3"/>
      <c r="BV123" s="3"/>
      <c r="BW123" s="3"/>
      <c r="BX123" s="3"/>
      <c r="BY123" s="3"/>
      <c r="BZ123" s="3"/>
      <c r="CA123" s="3"/>
      <c r="CB123" s="3"/>
      <c r="CC123" s="25"/>
      <c r="CD123" s="25"/>
      <c r="CE123" s="25"/>
    </row>
    <row r="124" spans="2:83" s="82" customFormat="1" ht="12" customHeight="1">
      <c r="B124" s="267"/>
      <c r="C124" s="82" t="s">
        <v>1339</v>
      </c>
      <c r="AC124" s="828"/>
      <c r="BD124" s="829"/>
      <c r="BF124" s="17"/>
      <c r="BG124" s="17"/>
      <c r="BH124" s="17"/>
      <c r="BI124" s="17"/>
      <c r="BJ124" s="17"/>
      <c r="BK124" s="17"/>
      <c r="BL124" s="17"/>
      <c r="BM124" s="3"/>
      <c r="BN124" s="3"/>
      <c r="BO124" s="3"/>
      <c r="BP124" s="3"/>
      <c r="BQ124" s="3"/>
      <c r="BR124" s="3"/>
      <c r="BS124" s="3"/>
      <c r="BT124" s="3"/>
      <c r="BU124" s="3"/>
      <c r="BV124" s="3"/>
      <c r="BW124" s="3"/>
      <c r="BX124" s="3"/>
      <c r="BY124" s="3"/>
      <c r="BZ124" s="3"/>
      <c r="CA124" s="3"/>
      <c r="CB124" s="3"/>
      <c r="CC124" s="25"/>
      <c r="CD124" s="25"/>
      <c r="CE124" s="25"/>
    </row>
    <row r="125" spans="2:83" s="82" customFormat="1" ht="12" customHeight="1">
      <c r="B125" s="267"/>
      <c r="C125" s="82" t="s">
        <v>1032</v>
      </c>
      <c r="AC125" s="828"/>
      <c r="BD125" s="829"/>
      <c r="BF125" s="17"/>
      <c r="BG125" s="17"/>
      <c r="BH125" s="17"/>
      <c r="BI125" s="17"/>
      <c r="BJ125" s="17"/>
      <c r="BK125" s="17"/>
      <c r="BL125" s="17"/>
      <c r="BM125" s="3"/>
      <c r="BN125" s="3"/>
      <c r="BO125" s="3"/>
      <c r="BP125" s="3"/>
      <c r="BQ125" s="3"/>
      <c r="BR125" s="3"/>
      <c r="BS125" s="3"/>
      <c r="BT125" s="3"/>
      <c r="BU125" s="3"/>
      <c r="BV125" s="3"/>
      <c r="BW125" s="3"/>
      <c r="BX125" s="3"/>
      <c r="BY125" s="3"/>
      <c r="BZ125" s="3"/>
      <c r="CA125" s="3"/>
      <c r="CB125" s="3"/>
      <c r="CC125" s="25"/>
      <c r="CD125" s="25"/>
      <c r="CE125" s="25"/>
    </row>
    <row r="126" spans="2:83" s="82" customFormat="1" ht="12" customHeight="1">
      <c r="B126" s="267"/>
      <c r="C126" s="82" t="s">
        <v>1034</v>
      </c>
      <c r="AC126" s="828"/>
      <c r="BD126" s="829"/>
      <c r="BF126" s="17"/>
      <c r="BG126" s="17"/>
      <c r="BH126" s="17"/>
      <c r="BI126" s="17"/>
      <c r="BJ126" s="17"/>
      <c r="BK126" s="17"/>
      <c r="BL126" s="17"/>
      <c r="BM126" s="3"/>
      <c r="BN126" s="3"/>
      <c r="BO126" s="3"/>
      <c r="BP126" s="3"/>
      <c r="BQ126" s="3"/>
      <c r="BR126" s="3"/>
      <c r="BS126" s="3"/>
      <c r="BT126" s="3"/>
      <c r="BU126" s="3"/>
      <c r="BV126" s="3"/>
      <c r="BW126" s="3"/>
      <c r="BX126" s="3"/>
      <c r="BY126" s="3"/>
      <c r="BZ126" s="3"/>
      <c r="CA126" s="3"/>
      <c r="CB126" s="3"/>
      <c r="CC126" s="25"/>
      <c r="CD126" s="25"/>
      <c r="CE126" s="25"/>
    </row>
    <row r="127" spans="2:83" s="82" customFormat="1" ht="12" customHeight="1">
      <c r="B127" s="267"/>
      <c r="C127" s="522"/>
      <c r="S127" s="1229"/>
      <c r="AC127" s="828"/>
      <c r="BD127" s="829"/>
      <c r="BF127" s="17"/>
      <c r="BG127" s="17"/>
      <c r="BH127" s="17"/>
      <c r="BI127" s="17"/>
      <c r="BJ127" s="17"/>
      <c r="BK127" s="17"/>
      <c r="BL127" s="17"/>
      <c r="BM127" s="3"/>
      <c r="BN127" s="3"/>
      <c r="BO127" s="3"/>
      <c r="BP127" s="3"/>
      <c r="BQ127" s="3"/>
      <c r="BR127" s="3"/>
      <c r="BS127" s="3"/>
      <c r="BT127" s="3"/>
      <c r="BU127" s="3"/>
      <c r="BV127" s="3"/>
      <c r="BW127" s="3"/>
      <c r="BX127" s="3"/>
      <c r="BY127" s="3"/>
      <c r="BZ127" s="3"/>
      <c r="CA127" s="3"/>
      <c r="CB127" s="3"/>
      <c r="CC127" s="25"/>
      <c r="CD127" s="25"/>
      <c r="CE127" s="25"/>
    </row>
    <row r="128" spans="2:83" s="82" customFormat="1" ht="12.75" customHeight="1">
      <c r="B128" s="312" t="s">
        <v>531</v>
      </c>
      <c r="AC128" s="271">
        <v>61</v>
      </c>
      <c r="BD128" s="730"/>
      <c r="BF128" s="17"/>
      <c r="BG128" s="17"/>
      <c r="BH128" s="17"/>
      <c r="BI128" s="17"/>
      <c r="BJ128" s="17"/>
      <c r="BK128" s="17"/>
      <c r="BL128" s="17"/>
      <c r="BM128" s="3"/>
      <c r="BN128" s="3"/>
      <c r="BO128" s="3"/>
      <c r="BP128" s="3"/>
      <c r="BQ128" s="3"/>
      <c r="BR128" s="3"/>
      <c r="BS128" s="3"/>
      <c r="BT128" s="3"/>
      <c r="BU128" s="3"/>
      <c r="BV128" s="3"/>
      <c r="BW128" s="3"/>
      <c r="BX128" s="3"/>
      <c r="BY128" s="3"/>
      <c r="BZ128" s="3"/>
      <c r="CA128" s="3"/>
      <c r="CB128" s="3"/>
      <c r="CC128" s="25"/>
      <c r="CD128" s="25"/>
      <c r="CE128" s="25"/>
    </row>
    <row r="129" spans="2:83" s="82" customFormat="1" ht="12" customHeight="1">
      <c r="B129" s="25" t="s">
        <v>484</v>
      </c>
      <c r="AC129" s="393"/>
      <c r="AF129" s="287"/>
      <c r="AG129" s="288"/>
      <c r="AH129" s="288"/>
      <c r="AI129" s="288"/>
      <c r="AJ129" s="288"/>
      <c r="AK129" s="288"/>
      <c r="AL129" s="288"/>
      <c r="AM129" s="288"/>
      <c r="AN129" s="288"/>
      <c r="AO129" s="288"/>
      <c r="AP129" s="288"/>
      <c r="AQ129" s="288"/>
      <c r="AR129" s="288"/>
      <c r="AS129" s="288"/>
      <c r="AT129" s="288"/>
      <c r="AU129" s="288"/>
      <c r="AV129" s="288"/>
      <c r="AW129" s="288"/>
      <c r="AX129" s="288"/>
      <c r="AY129" s="288"/>
      <c r="AZ129" s="288"/>
      <c r="BA129" s="288"/>
      <c r="BB129" s="289"/>
      <c r="BD129" s="730"/>
      <c r="BF129" s="17"/>
      <c r="BG129" s="17"/>
      <c r="BH129" s="17"/>
      <c r="BI129" s="17"/>
      <c r="BJ129" s="17"/>
      <c r="BK129" s="17"/>
      <c r="BL129" s="17"/>
      <c r="BM129" s="3"/>
      <c r="BN129" s="3"/>
      <c r="BO129" s="3"/>
      <c r="BP129" s="3"/>
      <c r="BQ129" s="3"/>
      <c r="BR129" s="3"/>
      <c r="BS129" s="3"/>
      <c r="BT129" s="3"/>
      <c r="BU129" s="3"/>
      <c r="BV129" s="3"/>
      <c r="BW129" s="3"/>
      <c r="BX129" s="3"/>
      <c r="BY129" s="3"/>
      <c r="BZ129" s="3"/>
      <c r="CA129" s="3"/>
      <c r="CB129" s="3"/>
      <c r="CC129" s="25"/>
      <c r="CD129" s="25"/>
      <c r="CE129" s="25"/>
    </row>
    <row r="130" spans="2:83" s="82" customFormat="1" ht="12" customHeight="1">
      <c r="B130" s="25" t="s">
        <v>478</v>
      </c>
      <c r="AC130" s="393"/>
      <c r="AF130" s="290"/>
      <c r="AG130" s="292" t="s">
        <v>501</v>
      </c>
      <c r="AH130" s="241"/>
      <c r="AI130" s="241"/>
      <c r="AJ130" s="241"/>
      <c r="AK130" s="241"/>
      <c r="AL130" s="241"/>
      <c r="AM130" s="241"/>
      <c r="AN130" s="241"/>
      <c r="AO130" s="241"/>
      <c r="AP130" s="241"/>
      <c r="AQ130" s="241"/>
      <c r="AR130" s="241"/>
      <c r="AS130" s="241"/>
      <c r="AT130" s="241"/>
      <c r="AU130" s="241"/>
      <c r="AV130" s="241"/>
      <c r="AW130" s="241"/>
      <c r="AX130" s="241"/>
      <c r="AY130" s="241"/>
      <c r="AZ130" s="241"/>
      <c r="BA130" s="241"/>
      <c r="BB130" s="291"/>
      <c r="BD130" s="730"/>
      <c r="BF130" s="17"/>
      <c r="BG130" s="17"/>
      <c r="BH130" s="17"/>
      <c r="BI130" s="17"/>
      <c r="BJ130" s="17"/>
      <c r="BK130" s="17"/>
      <c r="BL130" s="17"/>
      <c r="BM130" s="3"/>
      <c r="BN130" s="3"/>
      <c r="BO130" s="3"/>
      <c r="BP130" s="3"/>
      <c r="BQ130" s="3"/>
      <c r="BR130" s="3"/>
      <c r="BS130" s="3"/>
      <c r="BT130" s="3"/>
      <c r="BU130" s="3"/>
      <c r="BV130" s="3"/>
      <c r="BW130" s="3"/>
      <c r="BX130" s="3"/>
      <c r="BY130" s="3"/>
      <c r="BZ130" s="3"/>
      <c r="CA130" s="3"/>
      <c r="CB130" s="3"/>
      <c r="CC130" s="25"/>
      <c r="CD130" s="25"/>
      <c r="CE130" s="25"/>
    </row>
    <row r="131" spans="2:83" s="82" customFormat="1" ht="12" customHeight="1">
      <c r="B131" s="25" t="s">
        <v>479</v>
      </c>
      <c r="AC131" s="393"/>
      <c r="AF131" s="290"/>
      <c r="AG131" s="283" t="s">
        <v>489</v>
      </c>
      <c r="AH131" s="241"/>
      <c r="AI131" s="241"/>
      <c r="AJ131" s="241"/>
      <c r="AK131" s="241"/>
      <c r="AL131" s="241"/>
      <c r="AM131" s="241"/>
      <c r="AN131" s="241"/>
      <c r="AO131" s="241"/>
      <c r="AP131" s="241"/>
      <c r="AQ131" s="241"/>
      <c r="AR131" s="241"/>
      <c r="AS131" s="241"/>
      <c r="AT131" s="241"/>
      <c r="AU131" s="241"/>
      <c r="AV131" s="241"/>
      <c r="AW131" s="241"/>
      <c r="AX131" s="241"/>
      <c r="AY131" s="241"/>
      <c r="AZ131" s="241"/>
      <c r="BA131" s="241"/>
      <c r="BB131" s="291"/>
      <c r="BD131" s="730"/>
      <c r="BF131" s="17"/>
      <c r="BG131" s="17"/>
      <c r="BH131" s="17"/>
      <c r="BI131" s="17"/>
      <c r="BJ131" s="17"/>
      <c r="BK131" s="17"/>
      <c r="BL131" s="17"/>
      <c r="BM131" s="3"/>
      <c r="BN131" s="3"/>
      <c r="BO131" s="3"/>
      <c r="BP131" s="3"/>
      <c r="BQ131" s="3"/>
      <c r="BR131" s="3"/>
      <c r="BS131" s="3"/>
      <c r="BT131" s="3"/>
      <c r="BU131" s="3"/>
      <c r="BV131" s="3"/>
      <c r="BW131" s="3"/>
      <c r="BX131" s="3"/>
      <c r="BY131" s="3"/>
      <c r="BZ131" s="3"/>
      <c r="CA131" s="3"/>
      <c r="CB131" s="3"/>
      <c r="CC131" s="25"/>
      <c r="CD131" s="25"/>
      <c r="CE131" s="25"/>
    </row>
    <row r="132" spans="2:83" s="82" customFormat="1" ht="12" customHeight="1">
      <c r="B132" s="25" t="s">
        <v>480</v>
      </c>
      <c r="AC132" s="393"/>
      <c r="AF132" s="290"/>
      <c r="AG132" s="292" t="s">
        <v>498</v>
      </c>
      <c r="AH132" s="286"/>
      <c r="AI132" s="286"/>
      <c r="AJ132" s="286"/>
      <c r="AK132" s="286"/>
      <c r="AL132" s="286"/>
      <c r="AM132" s="286"/>
      <c r="AN132" s="293"/>
      <c r="AO132" s="293"/>
      <c r="AP132" s="293"/>
      <c r="AQ132" s="293"/>
      <c r="AR132" s="293"/>
      <c r="AS132" s="293"/>
      <c r="AT132" s="293"/>
      <c r="AU132" s="293"/>
      <c r="AV132" s="293"/>
      <c r="AW132" s="294"/>
      <c r="AX132" s="294"/>
      <c r="AY132" s="294"/>
      <c r="AZ132" s="294"/>
      <c r="BA132" s="293"/>
      <c r="BB132" s="291"/>
      <c r="BD132" s="730"/>
      <c r="BF132" s="17"/>
      <c r="BG132" s="17"/>
      <c r="BH132" s="17"/>
      <c r="BI132" s="17"/>
      <c r="BJ132" s="17"/>
      <c r="BK132" s="17"/>
      <c r="BL132" s="17"/>
      <c r="BM132" s="3"/>
      <c r="BN132" s="3"/>
      <c r="BO132" s="3"/>
      <c r="BP132" s="3"/>
      <c r="BQ132" s="3"/>
      <c r="BR132" s="3"/>
      <c r="BS132" s="3"/>
      <c r="BT132" s="3"/>
      <c r="BU132" s="3"/>
      <c r="BV132" s="3"/>
      <c r="BW132" s="3"/>
      <c r="BX132" s="3"/>
      <c r="BY132" s="3"/>
      <c r="BZ132" s="3"/>
      <c r="CA132" s="3"/>
      <c r="CB132" s="3"/>
      <c r="CC132" s="25"/>
      <c r="CD132" s="25"/>
      <c r="CE132" s="25"/>
    </row>
    <row r="133" spans="2:83" s="82" customFormat="1" ht="12" customHeight="1">
      <c r="B133" s="25" t="s">
        <v>481</v>
      </c>
      <c r="AC133" s="393"/>
      <c r="AF133" s="290"/>
      <c r="AG133" s="284" t="s">
        <v>497</v>
      </c>
      <c r="AH133" s="286"/>
      <c r="AI133" s="286"/>
      <c r="AJ133" s="286"/>
      <c r="AK133" s="286"/>
      <c r="AL133" s="293"/>
      <c r="AM133" s="293"/>
      <c r="AN133" s="195"/>
      <c r="AO133" s="195"/>
      <c r="AP133" s="195"/>
      <c r="AQ133" s="195"/>
      <c r="AR133" s="195"/>
      <c r="AS133" s="282"/>
      <c r="AT133" s="195"/>
      <c r="AU133" s="195"/>
      <c r="AV133" s="2855" t="s">
        <v>502</v>
      </c>
      <c r="AW133" s="2855"/>
      <c r="AX133" s="2855"/>
      <c r="AY133" s="2855"/>
      <c r="AZ133" s="2855"/>
      <c r="BA133" s="2855"/>
      <c r="BB133" s="291"/>
      <c r="BD133" s="730"/>
      <c r="BF133" s="17"/>
      <c r="BG133" s="17"/>
      <c r="BH133" s="17"/>
      <c r="BI133" s="17"/>
      <c r="BJ133" s="17"/>
      <c r="BK133" s="17"/>
      <c r="BL133" s="17"/>
      <c r="BM133" s="3"/>
      <c r="BN133" s="3"/>
      <c r="BO133" s="3"/>
      <c r="BP133" s="3"/>
      <c r="BQ133" s="3"/>
      <c r="BR133" s="3"/>
      <c r="BS133" s="3"/>
      <c r="BT133" s="3"/>
      <c r="BU133" s="3"/>
      <c r="BV133" s="3"/>
      <c r="BW133" s="3"/>
      <c r="BX133" s="3"/>
      <c r="BY133" s="3"/>
      <c r="BZ133" s="3"/>
      <c r="CA133" s="3"/>
      <c r="CB133" s="3"/>
      <c r="CC133" s="25"/>
      <c r="CD133" s="25"/>
      <c r="CE133" s="25"/>
    </row>
    <row r="134" spans="2:83" s="82" customFormat="1" ht="12" customHeight="1">
      <c r="AC134" s="393"/>
      <c r="AF134" s="290"/>
      <c r="AG134" s="293"/>
      <c r="AH134" s="293"/>
      <c r="AI134" s="293"/>
      <c r="AJ134" s="293"/>
      <c r="AK134" s="293"/>
      <c r="AL134" s="293"/>
      <c r="AM134" s="293"/>
      <c r="AN134" s="295" t="s">
        <v>490</v>
      </c>
      <c r="AO134" s="295"/>
      <c r="AP134" s="295"/>
      <c r="AQ134" s="295"/>
      <c r="AR134" s="295"/>
      <c r="AS134" s="282"/>
      <c r="AT134" s="195"/>
      <c r="AU134" s="195"/>
      <c r="AV134" s="2855"/>
      <c r="AW134" s="2855"/>
      <c r="AX134" s="2855"/>
      <c r="AY134" s="2855"/>
      <c r="AZ134" s="2855"/>
      <c r="BA134" s="2855"/>
      <c r="BB134" s="291"/>
      <c r="BD134" s="730"/>
      <c r="BF134" s="17"/>
      <c r="BG134" s="17"/>
      <c r="BH134" s="17"/>
      <c r="BI134" s="17"/>
      <c r="BJ134" s="17"/>
      <c r="BK134" s="17"/>
      <c r="BL134" s="17"/>
      <c r="BM134" s="3"/>
      <c r="BN134" s="3"/>
      <c r="BO134" s="3"/>
      <c r="BP134" s="3"/>
      <c r="BQ134" s="3"/>
      <c r="BR134" s="3"/>
      <c r="BS134" s="3"/>
      <c r="BT134" s="3"/>
      <c r="BU134" s="3"/>
      <c r="BV134" s="3"/>
      <c r="BW134" s="3"/>
      <c r="BX134" s="3"/>
      <c r="BY134" s="3"/>
      <c r="BZ134" s="3"/>
      <c r="CA134" s="3"/>
      <c r="CB134" s="3"/>
      <c r="CC134" s="25"/>
      <c r="CD134" s="25"/>
      <c r="CE134" s="25"/>
    </row>
    <row r="135" spans="2:83" s="82" customFormat="1" ht="13.5" customHeight="1" thickBot="1">
      <c r="B135" s="25" t="s">
        <v>482</v>
      </c>
      <c r="AC135" s="393"/>
      <c r="AF135" s="290"/>
      <c r="AG135" s="296" t="s">
        <v>215</v>
      </c>
      <c r="AH135" s="293"/>
      <c r="AI135" s="293"/>
      <c r="AJ135" s="293"/>
      <c r="AK135" s="293"/>
      <c r="AL135" s="293"/>
      <c r="AM135" s="293"/>
      <c r="AN135" s="195"/>
      <c r="AO135" s="2858">
        <v>10000000</v>
      </c>
      <c r="AP135" s="2859"/>
      <c r="AQ135" s="2860"/>
      <c r="AR135" s="2856" t="s">
        <v>491</v>
      </c>
      <c r="AS135" s="2867"/>
      <c r="AT135" s="195"/>
      <c r="AU135" s="195"/>
      <c r="AV135" s="297"/>
      <c r="AW135" s="297"/>
      <c r="AX135" s="297"/>
      <c r="AY135" s="297"/>
      <c r="AZ135" s="297"/>
      <c r="BA135" s="297"/>
      <c r="BB135" s="291"/>
      <c r="BD135" s="730"/>
      <c r="BF135" s="17"/>
      <c r="BG135" s="17"/>
      <c r="BH135" s="17"/>
      <c r="BI135" s="17"/>
      <c r="BJ135" s="17"/>
      <c r="BK135" s="17"/>
      <c r="BL135" s="17"/>
      <c r="BM135" s="3"/>
      <c r="BN135" s="3"/>
      <c r="BO135" s="3"/>
      <c r="BP135" s="3"/>
      <c r="BQ135" s="3"/>
      <c r="BR135" s="3"/>
      <c r="BS135" s="3"/>
      <c r="BT135" s="3"/>
      <c r="BU135" s="3"/>
      <c r="BV135" s="3"/>
      <c r="BW135" s="3"/>
      <c r="BX135" s="3"/>
      <c r="BY135" s="3"/>
      <c r="BZ135" s="3"/>
      <c r="CA135" s="3"/>
      <c r="CB135" s="3"/>
      <c r="CC135" s="25"/>
      <c r="CD135" s="25"/>
      <c r="CE135" s="25"/>
    </row>
    <row r="136" spans="2:83" s="82" customFormat="1" ht="13.5" customHeight="1">
      <c r="B136" s="25" t="s">
        <v>483</v>
      </c>
      <c r="AC136" s="393"/>
      <c r="AF136" s="290"/>
      <c r="AG136" s="296" t="s">
        <v>496</v>
      </c>
      <c r="AH136" s="293"/>
      <c r="AI136" s="298"/>
      <c r="AJ136" s="293"/>
      <c r="AK136" s="293"/>
      <c r="AL136" s="293"/>
      <c r="AM136" s="293"/>
      <c r="AN136" s="293"/>
      <c r="AO136" s="2874">
        <f>IF(AO135=0,0,AO135*AR136)</f>
        <v>6800000.0000000009</v>
      </c>
      <c r="AP136" s="2875"/>
      <c r="AQ136" s="2876"/>
      <c r="AR136" s="2856">
        <f>IF(AO135=0,"",IF(AND(AT137=0,AT136=0),0,IF(AND(AT137&gt;0,AT136&gt;0),"??",IF(AND(AT137&gt;0,AT136=0),100%-AT137,IF(AND(AT137=0,AT136&gt;0),AT136)))))</f>
        <v>0.68</v>
      </c>
      <c r="AS136" s="2857"/>
      <c r="AT136" s="2893">
        <v>0.68</v>
      </c>
      <c r="AU136" s="2894"/>
      <c r="AV136" s="299" t="s">
        <v>505</v>
      </c>
      <c r="AW136" s="195"/>
      <c r="AX136" s="195"/>
      <c r="AY136" s="195"/>
      <c r="AZ136" s="195"/>
      <c r="BA136" s="195"/>
      <c r="BB136" s="291"/>
      <c r="BD136" s="730"/>
      <c r="BF136" s="17"/>
      <c r="BG136" s="17"/>
      <c r="BH136" s="17"/>
      <c r="BI136" s="17"/>
      <c r="BJ136" s="17"/>
      <c r="BK136" s="17"/>
      <c r="BL136" s="17"/>
      <c r="BM136" s="3"/>
      <c r="BN136" s="3"/>
      <c r="BO136" s="3"/>
      <c r="BP136" s="3"/>
      <c r="BQ136" s="3"/>
      <c r="BR136" s="3"/>
      <c r="BS136" s="3"/>
      <c r="BT136" s="3"/>
      <c r="BU136" s="3"/>
      <c r="BV136" s="3"/>
      <c r="BW136" s="3"/>
      <c r="BX136" s="3"/>
      <c r="BY136" s="3"/>
      <c r="BZ136" s="3"/>
      <c r="CA136" s="3"/>
      <c r="CB136" s="3"/>
      <c r="CC136" s="25"/>
      <c r="CD136" s="25"/>
      <c r="CE136" s="25"/>
    </row>
    <row r="137" spans="2:83" s="82" customFormat="1" ht="13.5" customHeight="1" thickBot="1">
      <c r="B137" s="25"/>
      <c r="AC137" s="393"/>
      <c r="AF137" s="290"/>
      <c r="AG137" s="296" t="s">
        <v>492</v>
      </c>
      <c r="AH137" s="293"/>
      <c r="AI137" s="293"/>
      <c r="AJ137" s="293"/>
      <c r="AK137" s="293"/>
      <c r="AL137" s="293"/>
      <c r="AM137" s="293"/>
      <c r="AN137" s="300" t="s">
        <v>117</v>
      </c>
      <c r="AO137" s="2868">
        <f>AO135-AO136</f>
        <v>3199999.9999999991</v>
      </c>
      <c r="AP137" s="2869"/>
      <c r="AQ137" s="2870"/>
      <c r="AR137" s="2856">
        <f>IF(AO135=0,"",IF(AND(AT137=0,AT136=0),0,IF(AND(AT137&gt;0,AT136&gt;0),"??",IF(AND(AT137&gt;0,AT136=0),AT137,IF(AND(AT137=0,AT136&gt;0),100%-AT136)))))</f>
        <v>0.31999999999999995</v>
      </c>
      <c r="AS137" s="2857"/>
      <c r="AT137" s="2895"/>
      <c r="AU137" s="2896"/>
      <c r="AV137" s="299" t="s">
        <v>284</v>
      </c>
      <c r="AW137" s="195"/>
      <c r="AX137" s="195"/>
      <c r="AY137" s="195"/>
      <c r="AZ137" s="195"/>
      <c r="BA137" s="195"/>
      <c r="BB137" s="291"/>
      <c r="BD137" s="730"/>
      <c r="BF137" s="17"/>
      <c r="BG137" s="17"/>
      <c r="BH137" s="17"/>
      <c r="BI137" s="17"/>
      <c r="BJ137" s="17"/>
      <c r="BK137" s="17"/>
      <c r="BL137" s="17"/>
      <c r="BM137" s="3"/>
      <c r="BN137" s="3"/>
      <c r="BO137" s="3"/>
      <c r="BP137" s="3"/>
      <c r="BQ137" s="3"/>
      <c r="BR137" s="3"/>
      <c r="BS137" s="3"/>
      <c r="BT137" s="3"/>
      <c r="BU137" s="3"/>
      <c r="BV137" s="3"/>
      <c r="BW137" s="3"/>
      <c r="BX137" s="3"/>
      <c r="BY137" s="3"/>
      <c r="BZ137" s="3"/>
      <c r="CA137" s="3"/>
      <c r="CB137" s="3"/>
      <c r="CC137" s="25"/>
      <c r="CD137" s="25"/>
      <c r="CE137" s="25"/>
    </row>
    <row r="138" spans="2:83" s="82" customFormat="1" ht="12" customHeight="1">
      <c r="B138" s="304" t="s">
        <v>485</v>
      </c>
      <c r="C138" s="288"/>
      <c r="D138" s="288"/>
      <c r="E138" s="288"/>
      <c r="F138" s="288"/>
      <c r="G138" s="288"/>
      <c r="H138" s="288"/>
      <c r="I138" s="288"/>
      <c r="J138" s="288"/>
      <c r="K138" s="288"/>
      <c r="L138" s="288"/>
      <c r="M138" s="288"/>
      <c r="N138" s="288"/>
      <c r="O138" s="288"/>
      <c r="P138" s="288"/>
      <c r="Q138" s="288"/>
      <c r="R138" s="288"/>
      <c r="S138" s="288"/>
      <c r="T138" s="288"/>
      <c r="U138" s="288"/>
      <c r="V138" s="288"/>
      <c r="W138" s="288"/>
      <c r="X138" s="288"/>
      <c r="Y138" s="288"/>
      <c r="Z138" s="288"/>
      <c r="AA138" s="289"/>
      <c r="AC138" s="393"/>
      <c r="AF138" s="290"/>
      <c r="AG138" s="241"/>
      <c r="AH138" s="241"/>
      <c r="AI138" s="241"/>
      <c r="AJ138" s="241"/>
      <c r="AK138" s="241"/>
      <c r="AL138" s="241"/>
      <c r="AM138" s="241"/>
      <c r="AN138" s="241"/>
      <c r="AO138" s="241"/>
      <c r="AP138" s="241"/>
      <c r="AQ138" s="241"/>
      <c r="AR138" s="241"/>
      <c r="AS138" s="241"/>
      <c r="AT138" s="241"/>
      <c r="AU138" s="241"/>
      <c r="AV138" s="241"/>
      <c r="AW138" s="241"/>
      <c r="AX138" s="241"/>
      <c r="AY138" s="241"/>
      <c r="AZ138" s="241"/>
      <c r="BA138" s="241"/>
      <c r="BB138" s="291"/>
      <c r="BD138" s="730"/>
      <c r="BF138" s="17"/>
      <c r="BG138" s="17"/>
      <c r="BH138" s="17"/>
      <c r="BI138" s="17"/>
      <c r="BJ138" s="17"/>
      <c r="BK138" s="17"/>
      <c r="BL138" s="17"/>
      <c r="BM138" s="3"/>
      <c r="BN138" s="3"/>
      <c r="BO138" s="3"/>
      <c r="BP138" s="3"/>
      <c r="BQ138" s="3"/>
      <c r="BR138" s="3"/>
      <c r="BS138" s="3"/>
      <c r="BT138" s="3"/>
      <c r="BU138" s="3"/>
      <c r="BV138" s="3"/>
      <c r="BW138" s="3"/>
      <c r="BX138" s="3"/>
      <c r="BY138" s="3"/>
      <c r="BZ138" s="3"/>
      <c r="CA138" s="3"/>
      <c r="CB138" s="3"/>
      <c r="CC138" s="25"/>
      <c r="CD138" s="25"/>
      <c r="CE138" s="25"/>
    </row>
    <row r="139" spans="2:83" s="82" customFormat="1" ht="12" customHeight="1">
      <c r="B139" s="305" t="s">
        <v>486</v>
      </c>
      <c r="C139" s="241"/>
      <c r="D139" s="241"/>
      <c r="E139" s="241"/>
      <c r="F139" s="241"/>
      <c r="G139" s="241"/>
      <c r="H139" s="241"/>
      <c r="I139" s="241"/>
      <c r="J139" s="241"/>
      <c r="K139" s="241"/>
      <c r="L139" s="241"/>
      <c r="M139" s="241"/>
      <c r="N139" s="241"/>
      <c r="O139" s="241"/>
      <c r="P139" s="241"/>
      <c r="Q139" s="241"/>
      <c r="R139" s="241"/>
      <c r="S139" s="241"/>
      <c r="T139" s="241"/>
      <c r="U139" s="241"/>
      <c r="V139" s="241"/>
      <c r="W139" s="241"/>
      <c r="X139" s="241"/>
      <c r="Y139" s="241"/>
      <c r="Z139" s="241"/>
      <c r="AA139" s="291"/>
      <c r="AC139" s="393"/>
      <c r="AF139" s="301"/>
      <c r="AG139" s="302"/>
      <c r="AH139" s="302"/>
      <c r="AI139" s="302"/>
      <c r="AJ139" s="302"/>
      <c r="AK139" s="302"/>
      <c r="AL139" s="302"/>
      <c r="AM139" s="302"/>
      <c r="AN139" s="302"/>
      <c r="AO139" s="302"/>
      <c r="AP139" s="302"/>
      <c r="AQ139" s="302"/>
      <c r="AR139" s="302"/>
      <c r="AS139" s="302"/>
      <c r="AT139" s="302"/>
      <c r="AU139" s="302"/>
      <c r="AV139" s="302"/>
      <c r="AW139" s="302"/>
      <c r="AX139" s="302"/>
      <c r="AY139" s="302"/>
      <c r="AZ139" s="302"/>
      <c r="BA139" s="302"/>
      <c r="BB139" s="303"/>
      <c r="BD139" s="730"/>
      <c r="BF139" s="17"/>
      <c r="BG139" s="17"/>
      <c r="BH139" s="17"/>
      <c r="BI139" s="17"/>
      <c r="BJ139" s="17"/>
      <c r="BK139" s="17"/>
      <c r="BL139" s="17"/>
      <c r="BM139" s="3"/>
      <c r="BN139" s="3"/>
      <c r="BO139" s="3"/>
      <c r="BP139" s="3"/>
      <c r="BQ139" s="3"/>
      <c r="BR139" s="3"/>
      <c r="BS139" s="3"/>
      <c r="BT139" s="3"/>
      <c r="BU139" s="3"/>
      <c r="BV139" s="3"/>
      <c r="BW139" s="3"/>
      <c r="BX139" s="3"/>
      <c r="BY139" s="3"/>
      <c r="BZ139" s="3"/>
      <c r="CA139" s="3"/>
      <c r="CB139" s="3"/>
      <c r="CC139" s="25"/>
      <c r="CD139" s="25"/>
      <c r="CE139" s="25"/>
    </row>
    <row r="140" spans="2:83" s="82" customFormat="1" ht="12" customHeight="1">
      <c r="B140" s="765" t="s">
        <v>487</v>
      </c>
      <c r="C140" s="241"/>
      <c r="D140" s="241"/>
      <c r="E140" s="241"/>
      <c r="F140" s="241"/>
      <c r="G140" s="241"/>
      <c r="H140" s="241"/>
      <c r="I140" s="241"/>
      <c r="J140" s="241"/>
      <c r="K140" s="241"/>
      <c r="L140" s="241"/>
      <c r="M140" s="241"/>
      <c r="N140" s="241"/>
      <c r="O140" s="241"/>
      <c r="P140" s="241"/>
      <c r="Q140" s="241"/>
      <c r="R140" s="241"/>
      <c r="S140" s="241"/>
      <c r="T140" s="241"/>
      <c r="U140" s="241"/>
      <c r="V140" s="241"/>
      <c r="W140" s="241"/>
      <c r="X140" s="241"/>
      <c r="Y140" s="241"/>
      <c r="Z140" s="241"/>
      <c r="AA140" s="291"/>
      <c r="AC140" s="393"/>
      <c r="BD140" s="730"/>
      <c r="BF140" s="17"/>
      <c r="BG140" s="17"/>
      <c r="BH140" s="17"/>
      <c r="BI140" s="17"/>
      <c r="BJ140" s="17"/>
      <c r="BK140" s="17"/>
      <c r="BL140" s="17"/>
      <c r="BM140" s="3"/>
      <c r="BN140" s="3"/>
      <c r="BO140" s="3"/>
      <c r="BP140" s="3"/>
      <c r="BQ140" s="3"/>
      <c r="BR140" s="3"/>
      <c r="BS140" s="3"/>
      <c r="BT140" s="3"/>
      <c r="BU140" s="3"/>
      <c r="BV140" s="3"/>
      <c r="BW140" s="3"/>
      <c r="BX140" s="3"/>
      <c r="BY140" s="3"/>
      <c r="BZ140" s="3"/>
      <c r="CA140" s="3"/>
      <c r="CB140" s="3"/>
      <c r="CC140" s="25"/>
      <c r="CD140" s="25"/>
      <c r="CE140" s="25"/>
    </row>
    <row r="141" spans="2:83" s="82" customFormat="1" ht="12" customHeight="1">
      <c r="B141" s="663" t="s">
        <v>488</v>
      </c>
      <c r="C141" s="302"/>
      <c r="D141" s="302"/>
      <c r="E141" s="302"/>
      <c r="F141" s="302"/>
      <c r="G141" s="302"/>
      <c r="H141" s="302"/>
      <c r="I141" s="302"/>
      <c r="J141" s="302"/>
      <c r="K141" s="302"/>
      <c r="L141" s="302"/>
      <c r="M141" s="302"/>
      <c r="N141" s="302"/>
      <c r="O141" s="302"/>
      <c r="P141" s="302"/>
      <c r="Q141" s="302"/>
      <c r="R141" s="302"/>
      <c r="S141" s="302"/>
      <c r="T141" s="302"/>
      <c r="U141" s="302"/>
      <c r="V141" s="302"/>
      <c r="W141" s="302"/>
      <c r="X141" s="302"/>
      <c r="Y141" s="302"/>
      <c r="Z141" s="302"/>
      <c r="AA141" s="303"/>
      <c r="AC141" s="393"/>
      <c r="AG141" s="349" t="s">
        <v>291</v>
      </c>
      <c r="AH141" s="406"/>
      <c r="AI141" s="406"/>
      <c r="AJ141" s="406"/>
      <c r="AK141" s="406"/>
      <c r="AL141" s="406"/>
      <c r="AM141" s="406"/>
      <c r="AN141" s="406"/>
      <c r="AO141" s="406"/>
      <c r="AP141" s="406"/>
      <c r="AQ141" s="406"/>
      <c r="AR141" s="406"/>
      <c r="BD141" s="730"/>
      <c r="BF141" s="17"/>
      <c r="BG141" s="17"/>
      <c r="BH141" s="17"/>
      <c r="BI141" s="17"/>
      <c r="BJ141" s="17"/>
      <c r="BK141" s="17"/>
      <c r="BL141" s="17"/>
      <c r="BM141" s="3"/>
      <c r="BN141" s="3"/>
      <c r="BO141" s="3"/>
      <c r="BP141" s="3"/>
      <c r="BQ141" s="3"/>
      <c r="BR141" s="3"/>
      <c r="BS141" s="3"/>
      <c r="BT141" s="3"/>
      <c r="BU141" s="3"/>
      <c r="BV141" s="3"/>
      <c r="BW141" s="3"/>
      <c r="BX141" s="3"/>
      <c r="BY141" s="3"/>
      <c r="BZ141" s="3"/>
      <c r="CA141" s="3"/>
      <c r="CB141" s="3"/>
      <c r="CC141" s="25"/>
      <c r="CD141" s="25"/>
      <c r="CE141" s="25"/>
    </row>
    <row r="142" spans="2:83" s="82" customFormat="1" ht="12" customHeight="1">
      <c r="B142" s="11"/>
      <c r="AC142" s="393"/>
      <c r="AG142" s="350" t="s">
        <v>340</v>
      </c>
      <c r="BD142" s="730"/>
      <c r="BF142" s="17"/>
      <c r="BG142" s="17"/>
      <c r="BH142" s="17"/>
      <c r="BI142" s="17"/>
      <c r="BJ142" s="17"/>
      <c r="BK142" s="17"/>
      <c r="BL142" s="17"/>
      <c r="BM142" s="3"/>
      <c r="BN142" s="3"/>
      <c r="BO142" s="3"/>
      <c r="BP142" s="3"/>
      <c r="BQ142" s="3"/>
      <c r="BR142" s="3"/>
      <c r="BS142" s="3"/>
      <c r="BT142" s="3"/>
      <c r="BU142" s="3"/>
      <c r="BV142" s="3"/>
      <c r="BW142" s="3"/>
      <c r="BX142" s="3"/>
      <c r="BY142" s="3"/>
      <c r="BZ142" s="3"/>
      <c r="CA142" s="3"/>
      <c r="CB142" s="3"/>
      <c r="CC142" s="25"/>
      <c r="CD142" s="25"/>
      <c r="CE142" s="25"/>
    </row>
    <row r="143" spans="2:83" s="82" customFormat="1" ht="12" customHeight="1" thickBot="1">
      <c r="B143" s="275" t="s">
        <v>462</v>
      </c>
      <c r="AC143" s="828"/>
      <c r="AG143" s="351" t="s">
        <v>341</v>
      </c>
      <c r="AR143" s="264" t="s">
        <v>338</v>
      </c>
      <c r="BD143" s="730"/>
      <c r="BF143" s="17"/>
      <c r="BG143" s="17"/>
      <c r="BH143" s="17"/>
      <c r="BI143" s="17"/>
      <c r="BJ143" s="17"/>
      <c r="BK143" s="17"/>
      <c r="BL143" s="17"/>
      <c r="BM143" s="3"/>
      <c r="BN143" s="3"/>
      <c r="BO143" s="3"/>
      <c r="BP143" s="3"/>
      <c r="BQ143" s="3"/>
      <c r="BR143" s="3"/>
      <c r="BS143" s="3"/>
      <c r="BT143" s="3"/>
      <c r="BU143" s="3"/>
      <c r="BV143" s="3"/>
      <c r="BW143" s="3"/>
      <c r="BX143" s="3"/>
      <c r="BY143" s="3"/>
      <c r="BZ143" s="3"/>
      <c r="CA143" s="3"/>
      <c r="CB143" s="3"/>
      <c r="CC143" s="25"/>
      <c r="CD143" s="25"/>
      <c r="CE143" s="25"/>
    </row>
    <row r="144" spans="2:83" s="82" customFormat="1" ht="12" customHeight="1" thickBot="1">
      <c r="C144" s="405" t="s">
        <v>463</v>
      </c>
      <c r="AC144" s="314">
        <v>64</v>
      </c>
      <c r="AG144" s="2871" t="s">
        <v>464</v>
      </c>
      <c r="AH144" s="2872"/>
      <c r="AI144" s="2872"/>
      <c r="AJ144" s="2872"/>
      <c r="AK144" s="2872"/>
      <c r="AL144" s="2872"/>
      <c r="AM144" s="2872"/>
      <c r="AN144" s="2872"/>
      <c r="AO144" s="2872"/>
      <c r="AP144" s="2872"/>
      <c r="AQ144" s="2872"/>
      <c r="AR144" s="2873"/>
      <c r="BD144" s="730"/>
      <c r="BF144" s="17"/>
      <c r="BG144" s="17"/>
      <c r="BH144" s="17"/>
      <c r="BI144" s="17"/>
      <c r="BJ144" s="17"/>
      <c r="BK144" s="17"/>
      <c r="BL144" s="17"/>
      <c r="BM144" s="3"/>
      <c r="BN144" s="3"/>
      <c r="BO144" s="3"/>
      <c r="BP144" s="3"/>
      <c r="BQ144" s="3"/>
      <c r="BR144" s="3"/>
      <c r="BS144" s="3"/>
      <c r="BT144" s="3"/>
      <c r="BU144" s="3"/>
      <c r="BV144" s="3"/>
      <c r="BW144" s="3"/>
      <c r="BX144" s="3"/>
      <c r="BY144" s="3"/>
      <c r="BZ144" s="3"/>
      <c r="CA144" s="3"/>
      <c r="CB144" s="3"/>
      <c r="CC144" s="25"/>
      <c r="CD144" s="25"/>
      <c r="CE144" s="25"/>
    </row>
    <row r="145" spans="1:83" s="82" customFormat="1" ht="12" customHeight="1">
      <c r="AC145" s="393"/>
      <c r="AG145" s="407" t="s">
        <v>464</v>
      </c>
      <c r="BD145" s="730"/>
      <c r="BG145" s="17"/>
      <c r="BH145" s="17"/>
      <c r="BI145" s="17"/>
      <c r="BJ145" s="17"/>
      <c r="BK145" s="17"/>
      <c r="BL145" s="17"/>
      <c r="BM145" s="3"/>
      <c r="BN145" s="3"/>
      <c r="BO145" s="3"/>
      <c r="BP145" s="3"/>
      <c r="BQ145" s="3"/>
      <c r="BR145" s="3"/>
      <c r="BS145" s="3"/>
      <c r="BT145" s="3"/>
      <c r="BU145" s="3"/>
      <c r="BV145" s="3"/>
      <c r="BW145" s="3"/>
      <c r="BX145" s="3"/>
      <c r="BY145" s="3"/>
      <c r="BZ145" s="3"/>
      <c r="CA145" s="3"/>
      <c r="CB145" s="3"/>
      <c r="CC145" s="25"/>
      <c r="CD145" s="25"/>
      <c r="CE145" s="25"/>
    </row>
    <row r="146" spans="1:83" s="82" customFormat="1" ht="12" customHeight="1">
      <c r="B146" s="326" t="s">
        <v>592</v>
      </c>
      <c r="C146" s="404" t="s">
        <v>464</v>
      </c>
      <c r="AC146" s="393"/>
      <c r="AG146" s="279" t="s">
        <v>465</v>
      </c>
      <c r="BD146" s="730"/>
      <c r="BG146" s="17"/>
      <c r="BH146" s="17"/>
      <c r="BI146" s="17"/>
      <c r="BJ146" s="17"/>
      <c r="BK146" s="17"/>
      <c r="BL146" s="17"/>
      <c r="BM146" s="3"/>
      <c r="BN146" s="3"/>
      <c r="BO146" s="3"/>
      <c r="BP146" s="3"/>
      <c r="BQ146" s="3"/>
      <c r="BR146" s="3"/>
      <c r="BS146" s="3"/>
      <c r="BT146" s="3"/>
      <c r="BU146" s="3"/>
      <c r="BV146" s="3"/>
      <c r="BW146" s="3"/>
      <c r="BX146" s="3"/>
      <c r="BY146" s="3"/>
      <c r="BZ146" s="3"/>
      <c r="CA146" s="3"/>
      <c r="CB146" s="3"/>
      <c r="CC146" s="25"/>
      <c r="CD146" s="25"/>
      <c r="CE146" s="25"/>
    </row>
    <row r="147" spans="1:83" s="82" customFormat="1" ht="12" customHeight="1">
      <c r="C147" s="391" t="s">
        <v>594</v>
      </c>
      <c r="AC147" s="393"/>
      <c r="AG147" s="279" t="s">
        <v>309</v>
      </c>
      <c r="BD147" s="730"/>
      <c r="BF147" s="17"/>
      <c r="BG147" s="17"/>
      <c r="BH147" s="17"/>
      <c r="BI147" s="17"/>
      <c r="BJ147" s="17"/>
      <c r="BK147" s="17"/>
      <c r="BL147" s="17"/>
      <c r="BM147" s="3"/>
      <c r="BN147" s="3"/>
      <c r="BO147" s="3"/>
      <c r="BP147" s="3"/>
      <c r="BQ147" s="3"/>
      <c r="BR147" s="3"/>
      <c r="BS147" s="3"/>
      <c r="BT147" s="3"/>
      <c r="BU147" s="3"/>
      <c r="BV147" s="3"/>
      <c r="BW147" s="3"/>
      <c r="BX147" s="3"/>
      <c r="BY147" s="3"/>
      <c r="BZ147" s="3"/>
      <c r="CA147" s="3"/>
      <c r="CB147" s="3"/>
      <c r="CC147" s="25"/>
      <c r="CD147" s="25"/>
      <c r="CE147" s="25"/>
    </row>
    <row r="148" spans="1:83" s="82" customFormat="1" ht="12" customHeight="1">
      <c r="C148" s="391" t="s">
        <v>503</v>
      </c>
      <c r="AC148" s="393"/>
      <c r="AH148" s="2830" t="s">
        <v>598</v>
      </c>
      <c r="AI148" s="2831"/>
      <c r="AJ148" s="2830" t="s">
        <v>504</v>
      </c>
      <c r="AK148" s="2831"/>
      <c r="AL148" s="2830" t="s">
        <v>298</v>
      </c>
      <c r="AM148" s="2831"/>
      <c r="AN148" s="2830" t="s">
        <v>299</v>
      </c>
      <c r="AO148" s="2831"/>
      <c r="AP148" s="2830" t="s">
        <v>300</v>
      </c>
      <c r="AQ148" s="2831"/>
      <c r="AR148" s="2897" t="s">
        <v>301</v>
      </c>
      <c r="AS148" s="2898"/>
      <c r="AT148" s="2830" t="s">
        <v>302</v>
      </c>
      <c r="AU148" s="2831"/>
      <c r="AV148" s="2830" t="s">
        <v>303</v>
      </c>
      <c r="AW148" s="2831"/>
      <c r="BD148" s="730"/>
      <c r="BF148" s="17"/>
      <c r="BG148" s="17"/>
      <c r="BH148" s="17"/>
      <c r="BI148" s="17"/>
      <c r="BJ148" s="17"/>
      <c r="BK148" s="17"/>
      <c r="BL148" s="17"/>
      <c r="BM148" s="3"/>
      <c r="BN148" s="3"/>
      <c r="BO148" s="3"/>
      <c r="BP148" s="3"/>
      <c r="BQ148" s="3"/>
      <c r="BR148" s="3"/>
      <c r="BS148" s="3"/>
      <c r="BT148" s="3"/>
      <c r="BU148" s="3"/>
      <c r="BV148" s="3"/>
      <c r="BW148" s="3"/>
      <c r="BX148" s="3"/>
      <c r="BY148" s="3"/>
      <c r="BZ148" s="3"/>
      <c r="CA148" s="3"/>
      <c r="CB148" s="3"/>
      <c r="CC148" s="25"/>
      <c r="CD148" s="25"/>
      <c r="CE148" s="25"/>
    </row>
    <row r="149" spans="1:83" s="82" customFormat="1" ht="12" customHeight="1">
      <c r="A149" s="239"/>
      <c r="AC149" s="393"/>
      <c r="BD149" s="730"/>
      <c r="BF149" s="17"/>
      <c r="BG149" s="17"/>
      <c r="BH149" s="17"/>
      <c r="BI149" s="17"/>
      <c r="BJ149" s="17"/>
      <c r="BK149" s="17"/>
      <c r="BL149" s="17"/>
      <c r="BM149" s="3"/>
      <c r="BN149" s="3"/>
      <c r="BO149" s="3"/>
      <c r="BP149" s="3"/>
      <c r="BQ149" s="3"/>
      <c r="BR149" s="3"/>
      <c r="BS149" s="3"/>
      <c r="BT149" s="3"/>
      <c r="BU149" s="3"/>
      <c r="BV149" s="3"/>
      <c r="BW149" s="3"/>
      <c r="BX149" s="3"/>
      <c r="BY149" s="3"/>
      <c r="BZ149" s="3"/>
      <c r="CA149" s="3"/>
      <c r="CB149" s="3"/>
      <c r="CC149" s="25"/>
      <c r="CD149" s="25"/>
      <c r="CE149" s="25"/>
    </row>
    <row r="150" spans="1:83" s="82" customFormat="1" ht="12" customHeight="1">
      <c r="A150" s="239"/>
      <c r="B150" s="326" t="s">
        <v>593</v>
      </c>
      <c r="C150" s="404" t="s">
        <v>465</v>
      </c>
      <c r="AC150" s="393"/>
      <c r="AF150" s="540" t="s">
        <v>658</v>
      </c>
      <c r="AG150" s="326" t="s">
        <v>557</v>
      </c>
      <c r="AI150" s="523" t="s">
        <v>499</v>
      </c>
      <c r="AJ150" s="524"/>
      <c r="AK150" s="524"/>
      <c r="AL150" s="524"/>
      <c r="AM150" s="524"/>
      <c r="AN150" s="524"/>
      <c r="AO150" s="524"/>
      <c r="AP150" s="524"/>
      <c r="AQ150" s="524"/>
      <c r="AR150" s="524"/>
      <c r="AS150" s="524"/>
      <c r="AT150" s="288"/>
      <c r="AU150" s="288"/>
      <c r="AV150" s="288"/>
      <c r="BD150" s="730"/>
      <c r="BF150" s="17"/>
      <c r="BG150" s="17"/>
      <c r="BH150" s="17"/>
      <c r="BI150" s="17"/>
      <c r="BJ150" s="17"/>
      <c r="BK150" s="17"/>
      <c r="BL150" s="17"/>
      <c r="BM150" s="3"/>
      <c r="BN150" s="3"/>
      <c r="BO150" s="3"/>
      <c r="BP150" s="3"/>
      <c r="BQ150" s="3"/>
      <c r="BR150" s="3"/>
      <c r="BS150" s="3"/>
      <c r="BT150" s="3"/>
      <c r="BU150" s="3"/>
      <c r="BV150" s="3"/>
      <c r="BW150" s="3"/>
      <c r="BX150" s="3"/>
      <c r="BY150" s="3"/>
      <c r="BZ150" s="3"/>
      <c r="CA150" s="3"/>
      <c r="CB150" s="3"/>
      <c r="CC150" s="25"/>
      <c r="CD150" s="25"/>
      <c r="CE150" s="25"/>
    </row>
    <row r="151" spans="1:83" s="82" customFormat="1" ht="12" customHeight="1" thickBot="1">
      <c r="A151" s="239"/>
      <c r="C151" s="391" t="s">
        <v>595</v>
      </c>
      <c r="AC151" s="393"/>
      <c r="AD151" s="529"/>
      <c r="AE151" s="530"/>
      <c r="AF151" s="530"/>
      <c r="AG151" s="530"/>
      <c r="AH151" s="536"/>
      <c r="AI151" s="241"/>
      <c r="AJ151" s="241"/>
      <c r="AK151" s="241"/>
      <c r="AL151" s="241"/>
      <c r="AM151" s="525" t="s">
        <v>215</v>
      </c>
      <c r="AN151" s="526"/>
      <c r="AO151" s="526"/>
      <c r="AP151" s="526"/>
      <c r="AQ151" s="526"/>
      <c r="AR151" s="527"/>
      <c r="AS151" s="527"/>
      <c r="AT151" s="2863">
        <v>1</v>
      </c>
      <c r="AU151" s="2864"/>
      <c r="AV151" s="325"/>
      <c r="BD151" s="730"/>
      <c r="BF151" s="17"/>
      <c r="BG151" s="17"/>
      <c r="BH151" s="17"/>
      <c r="BI151" s="17"/>
      <c r="BJ151" s="17"/>
      <c r="BK151" s="17"/>
      <c r="BL151" s="17"/>
      <c r="BM151" s="3"/>
      <c r="BN151" s="3"/>
      <c r="BO151" s="3"/>
      <c r="BP151" s="3"/>
      <c r="BQ151" s="3"/>
      <c r="BR151" s="3"/>
      <c r="BS151" s="3"/>
      <c r="BT151" s="3"/>
      <c r="BU151" s="3"/>
      <c r="BV151" s="3"/>
      <c r="BW151" s="3"/>
      <c r="BX151" s="3"/>
      <c r="BY151" s="3"/>
      <c r="BZ151" s="3"/>
      <c r="CA151" s="3"/>
      <c r="CB151" s="3"/>
      <c r="CC151" s="25"/>
      <c r="CD151" s="25"/>
      <c r="CE151" s="25"/>
    </row>
    <row r="152" spans="1:83" s="82" customFormat="1" ht="12" customHeight="1">
      <c r="A152" s="239"/>
      <c r="B152" s="398"/>
      <c r="C152" s="391" t="s">
        <v>596</v>
      </c>
      <c r="AC152" s="828"/>
      <c r="AD152" s="529"/>
      <c r="AE152" s="530"/>
      <c r="AF152" s="530"/>
      <c r="AG152" s="530"/>
      <c r="AH152" s="530"/>
      <c r="AI152" s="537"/>
      <c r="AJ152" s="538"/>
      <c r="AK152" s="538"/>
      <c r="AL152" s="539"/>
      <c r="AM152" s="525" t="s">
        <v>283</v>
      </c>
      <c r="AN152" s="526"/>
      <c r="AO152" s="526"/>
      <c r="AP152" s="526"/>
      <c r="AQ152" s="528"/>
      <c r="AR152" s="2889">
        <v>0.6</v>
      </c>
      <c r="AS152" s="2890"/>
      <c r="AT152" s="2865">
        <f>IF(AND(AR153=0,AR152=0),0,IF(AND(AR153&gt;0,AR152&gt;0),"??",IF(AND(AR153&gt;0,AR152=0),100%-AR153,IF(AND(AR153=0,AR152&gt;0),AR152))))</f>
        <v>0.6</v>
      </c>
      <c r="AU152" s="2866"/>
      <c r="AV152" s="325"/>
      <c r="BD152" s="730"/>
      <c r="BF152" s="17"/>
      <c r="BG152" s="17"/>
      <c r="BH152" s="17"/>
      <c r="BI152" s="17"/>
      <c r="BJ152" s="17"/>
      <c r="BK152" s="17"/>
      <c r="BL152" s="17"/>
      <c r="BM152" s="3"/>
      <c r="BN152" s="3"/>
      <c r="BO152" s="3"/>
      <c r="BP152" s="3"/>
      <c r="BQ152" s="3"/>
      <c r="BR152" s="3"/>
      <c r="BS152" s="3"/>
      <c r="BT152" s="3"/>
      <c r="BU152" s="3"/>
      <c r="BV152" s="3"/>
      <c r="BW152" s="3"/>
      <c r="BX152" s="3"/>
      <c r="BY152" s="3"/>
      <c r="BZ152" s="3"/>
      <c r="CA152" s="3"/>
      <c r="CB152" s="3"/>
      <c r="CC152" s="25"/>
      <c r="CD152" s="25"/>
      <c r="CE152" s="25"/>
    </row>
    <row r="153" spans="1:83" s="82" customFormat="1" ht="12" customHeight="1">
      <c r="A153" s="239"/>
      <c r="AC153" s="828"/>
      <c r="AD153" s="531"/>
      <c r="AE153" s="532"/>
      <c r="AF153" s="532"/>
      <c r="AG153" s="532"/>
      <c r="AH153" s="532"/>
      <c r="AI153" s="533"/>
      <c r="AJ153" s="534"/>
      <c r="AK153" s="534"/>
      <c r="AL153" s="535"/>
      <c r="AM153" s="525" t="s">
        <v>284</v>
      </c>
      <c r="AN153" s="526"/>
      <c r="AO153" s="526"/>
      <c r="AP153" s="526"/>
      <c r="AQ153" s="528"/>
      <c r="AR153" s="2891"/>
      <c r="AS153" s="2892"/>
      <c r="AT153" s="2861">
        <f>IF(AND(AR153=0,AR152=0),0,IF(AND(AR153&gt;0,AR152&gt;0),"??",IF(AND(AR153&gt;0,AR152=0),AR153,IF(AND(AR153=0,AR152&gt;0),100%-AR152))))</f>
        <v>0.4</v>
      </c>
      <c r="AU153" s="2862"/>
      <c r="AV153" s="325"/>
      <c r="BD153" s="730"/>
      <c r="BF153" s="17"/>
      <c r="BG153" s="17"/>
      <c r="BH153" s="17"/>
      <c r="BI153" s="17"/>
      <c r="BJ153" s="17"/>
      <c r="BK153" s="17"/>
      <c r="BL153" s="17"/>
      <c r="BM153" s="3"/>
      <c r="BN153" s="3"/>
      <c r="BO153" s="3"/>
      <c r="BP153" s="3"/>
      <c r="BQ153" s="3"/>
      <c r="BR153" s="3"/>
      <c r="BS153" s="3"/>
      <c r="BT153" s="3"/>
      <c r="BU153" s="3"/>
      <c r="BV153" s="3"/>
      <c r="BW153" s="3"/>
      <c r="BX153" s="3"/>
      <c r="BY153" s="3"/>
      <c r="BZ153" s="3"/>
      <c r="CA153" s="3"/>
      <c r="CB153" s="3"/>
      <c r="CC153" s="25"/>
      <c r="CD153" s="25"/>
      <c r="CE153" s="25"/>
    </row>
    <row r="154" spans="1:83" s="82" customFormat="1" ht="12" customHeight="1">
      <c r="A154" s="239"/>
      <c r="B154" s="326" t="s">
        <v>557</v>
      </c>
      <c r="C154" s="404" t="s">
        <v>309</v>
      </c>
      <c r="AC154" s="828"/>
      <c r="BD154" s="730"/>
      <c r="BF154" s="17"/>
      <c r="BG154" s="17"/>
      <c r="BH154" s="17"/>
      <c r="BI154" s="17"/>
      <c r="BJ154" s="17"/>
      <c r="BK154" s="17"/>
      <c r="BL154" s="17"/>
      <c r="BM154" s="3"/>
      <c r="BN154" s="3"/>
      <c r="BO154" s="3"/>
      <c r="BP154" s="3"/>
      <c r="BQ154" s="3"/>
      <c r="BR154" s="3"/>
      <c r="BS154" s="3"/>
      <c r="BT154" s="3"/>
      <c r="BU154" s="3"/>
      <c r="BV154" s="3"/>
      <c r="BW154" s="3"/>
      <c r="BX154" s="3"/>
      <c r="BY154" s="3"/>
      <c r="BZ154" s="3"/>
      <c r="CA154" s="3"/>
      <c r="CB154" s="3"/>
      <c r="CC154" s="25"/>
      <c r="CD154" s="25"/>
      <c r="CE154" s="25"/>
    </row>
    <row r="155" spans="1:83" s="82" customFormat="1" ht="12" customHeight="1">
      <c r="A155" s="239"/>
      <c r="B155" s="403"/>
      <c r="C155" s="391" t="s">
        <v>1346</v>
      </c>
      <c r="AC155" s="395"/>
      <c r="BD155" s="730"/>
      <c r="BF155" s="17"/>
      <c r="BG155" s="17"/>
      <c r="BH155" s="17"/>
      <c r="BI155" s="17"/>
      <c r="BJ155" s="17"/>
      <c r="BK155" s="17"/>
      <c r="BL155" s="17"/>
      <c r="BM155" s="3"/>
      <c r="BN155" s="3"/>
      <c r="BO155" s="3"/>
      <c r="BP155" s="3"/>
      <c r="BQ155" s="3"/>
      <c r="BR155" s="3"/>
      <c r="BS155" s="3"/>
      <c r="BT155" s="3"/>
      <c r="BU155" s="3"/>
      <c r="BV155" s="3"/>
      <c r="BW155" s="3"/>
      <c r="BX155" s="3"/>
      <c r="BY155" s="3"/>
      <c r="BZ155" s="3"/>
      <c r="CA155" s="3"/>
      <c r="CB155" s="3"/>
      <c r="CC155" s="25"/>
      <c r="CD155" s="25"/>
      <c r="CE155" s="25"/>
    </row>
    <row r="156" spans="1:83" s="82" customFormat="1" ht="12" customHeight="1">
      <c r="A156" s="239"/>
      <c r="B156" s="398"/>
      <c r="C156" s="391" t="s">
        <v>597</v>
      </c>
      <c r="AC156" s="393"/>
      <c r="BD156" s="730"/>
      <c r="BF156" s="17"/>
      <c r="BG156" s="17"/>
      <c r="BH156" s="17"/>
      <c r="BI156" s="17"/>
      <c r="BJ156" s="17"/>
      <c r="BK156" s="17"/>
      <c r="BL156" s="17"/>
      <c r="BM156" s="3"/>
      <c r="BN156" s="3"/>
      <c r="BO156" s="3"/>
      <c r="BP156" s="3"/>
      <c r="BQ156" s="3"/>
      <c r="BR156" s="3"/>
      <c r="BS156" s="3"/>
      <c r="BT156" s="3"/>
      <c r="BU156" s="3"/>
      <c r="BV156" s="3"/>
      <c r="BW156" s="3"/>
      <c r="BX156" s="3"/>
      <c r="BY156" s="3"/>
      <c r="BZ156" s="3"/>
      <c r="CA156" s="3"/>
      <c r="CB156" s="3"/>
      <c r="CC156" s="25"/>
      <c r="CD156" s="25"/>
      <c r="CE156" s="25"/>
    </row>
    <row r="157" spans="1:83" s="82" customFormat="1" ht="12" customHeight="1">
      <c r="A157" s="239"/>
      <c r="AC157" s="828"/>
      <c r="BD157" s="730"/>
      <c r="BF157" s="17"/>
      <c r="BG157" s="17"/>
      <c r="BH157" s="17"/>
      <c r="BI157" s="17"/>
      <c r="BJ157" s="17"/>
      <c r="BK157" s="17"/>
      <c r="BL157" s="17"/>
      <c r="BM157" s="3"/>
      <c r="BN157" s="3"/>
      <c r="BO157" s="3"/>
      <c r="BP157" s="3"/>
      <c r="BQ157" s="3"/>
      <c r="BR157" s="3"/>
      <c r="BS157" s="3"/>
      <c r="BT157" s="3"/>
      <c r="BU157" s="3"/>
      <c r="BV157" s="3"/>
      <c r="BW157" s="3"/>
      <c r="BX157" s="3"/>
      <c r="BY157" s="3"/>
      <c r="BZ157" s="3"/>
      <c r="CA157" s="3"/>
      <c r="CB157" s="3"/>
      <c r="CC157" s="25"/>
      <c r="CD157" s="25"/>
      <c r="CE157" s="25"/>
    </row>
    <row r="158" spans="1:83" s="82" customFormat="1" ht="12" customHeight="1">
      <c r="A158" s="239"/>
      <c r="B158" s="320" t="s">
        <v>530</v>
      </c>
      <c r="AC158" s="285">
        <v>78</v>
      </c>
      <c r="BD158" s="730"/>
      <c r="BF158" s="17"/>
      <c r="BG158" s="17"/>
      <c r="BH158" s="17"/>
      <c r="BI158" s="17"/>
      <c r="BJ158" s="17"/>
      <c r="BK158" s="17"/>
      <c r="BL158" s="17"/>
      <c r="BM158" s="3"/>
      <c r="BN158" s="3"/>
      <c r="BO158" s="3"/>
      <c r="BP158" s="3"/>
      <c r="BQ158" s="3"/>
      <c r="BR158" s="3"/>
      <c r="BS158" s="3"/>
      <c r="BT158" s="3"/>
      <c r="BU158" s="3"/>
      <c r="BV158" s="3"/>
      <c r="BW158" s="3"/>
      <c r="BX158" s="3"/>
      <c r="BY158" s="3"/>
      <c r="BZ158" s="3"/>
      <c r="CA158" s="3"/>
      <c r="CB158" s="3"/>
      <c r="CC158" s="25"/>
      <c r="CD158" s="25"/>
      <c r="CE158" s="25"/>
    </row>
    <row r="159" spans="1:83" s="82" customFormat="1" ht="12" customHeight="1">
      <c r="A159" s="239"/>
      <c r="B159" s="82" t="s">
        <v>1208</v>
      </c>
      <c r="AC159" s="393"/>
      <c r="BD159" s="730"/>
      <c r="BF159" s="17"/>
      <c r="BG159" s="17"/>
      <c r="BH159" s="17"/>
      <c r="BI159" s="17"/>
      <c r="BJ159" s="17"/>
      <c r="BK159" s="17"/>
      <c r="BL159" s="17"/>
      <c r="BM159" s="3"/>
      <c r="BN159" s="3"/>
      <c r="BO159" s="3"/>
      <c r="BP159" s="3"/>
      <c r="BQ159" s="3"/>
      <c r="BR159" s="3"/>
      <c r="BS159" s="3"/>
      <c r="BT159" s="3"/>
      <c r="BU159" s="3"/>
      <c r="BV159" s="3"/>
      <c r="BW159" s="3"/>
      <c r="BX159" s="3"/>
      <c r="BY159" s="3"/>
      <c r="BZ159" s="3"/>
      <c r="CA159" s="3"/>
      <c r="CB159" s="3"/>
      <c r="CC159" s="25"/>
      <c r="CD159" s="25"/>
      <c r="CE159" s="25"/>
    </row>
    <row r="160" spans="1:83" s="82" customFormat="1" ht="12" customHeight="1">
      <c r="A160" s="239"/>
      <c r="B160" s="82" t="s">
        <v>1209</v>
      </c>
      <c r="AC160" s="828"/>
      <c r="BD160" s="829"/>
      <c r="BF160" s="17"/>
      <c r="BG160" s="17"/>
      <c r="BH160" s="17"/>
      <c r="BI160" s="17"/>
      <c r="BJ160" s="17"/>
      <c r="BK160" s="17"/>
      <c r="BL160" s="17"/>
      <c r="BM160" s="3"/>
      <c r="BN160" s="3"/>
      <c r="BO160" s="3"/>
      <c r="BP160" s="3"/>
      <c r="BQ160" s="3"/>
      <c r="BR160" s="3"/>
      <c r="BS160" s="3"/>
      <c r="BT160" s="3"/>
      <c r="BU160" s="3"/>
      <c r="BV160" s="3"/>
      <c r="BW160" s="3"/>
      <c r="BX160" s="3"/>
      <c r="BY160" s="3"/>
      <c r="BZ160" s="3"/>
      <c r="CA160" s="3"/>
      <c r="CB160" s="3"/>
      <c r="CC160" s="25"/>
      <c r="CD160" s="25"/>
      <c r="CE160" s="25"/>
    </row>
    <row r="161" spans="1:83" s="82" customFormat="1" ht="12" customHeight="1">
      <c r="A161" s="239"/>
      <c r="B161" s="82" t="s">
        <v>1435</v>
      </c>
      <c r="AC161" s="828"/>
      <c r="BD161" s="829"/>
      <c r="BF161" s="17"/>
      <c r="BG161" s="17"/>
      <c r="BH161" s="17"/>
      <c r="BI161" s="17"/>
      <c r="BJ161" s="17"/>
      <c r="BK161" s="17"/>
      <c r="BL161" s="17"/>
      <c r="BM161" s="3"/>
      <c r="BN161" s="3"/>
      <c r="BO161" s="3"/>
      <c r="BP161" s="3"/>
      <c r="BQ161" s="3"/>
      <c r="BR161" s="3"/>
      <c r="BS161" s="3"/>
      <c r="BT161" s="3"/>
      <c r="BU161" s="3"/>
      <c r="BV161" s="3"/>
      <c r="BW161" s="3"/>
      <c r="BX161" s="3"/>
      <c r="BY161" s="3"/>
      <c r="BZ161" s="3"/>
      <c r="CA161" s="3"/>
      <c r="CB161" s="3"/>
      <c r="CC161" s="25"/>
      <c r="CD161" s="25"/>
      <c r="CE161" s="25"/>
    </row>
    <row r="162" spans="1:83" s="82" customFormat="1" ht="12" customHeight="1">
      <c r="A162" s="239"/>
      <c r="AC162" s="828"/>
      <c r="BD162" s="829"/>
      <c r="BF162" s="17"/>
      <c r="BG162" s="17"/>
      <c r="BH162" s="17"/>
      <c r="BI162" s="17"/>
      <c r="BJ162" s="17"/>
      <c r="BK162" s="17"/>
      <c r="BL162" s="17"/>
      <c r="BM162" s="3"/>
      <c r="BN162" s="3"/>
      <c r="BO162" s="3"/>
      <c r="BP162" s="3"/>
      <c r="BQ162" s="3"/>
      <c r="BR162" s="3"/>
      <c r="BS162" s="3"/>
      <c r="BT162" s="3"/>
      <c r="BU162" s="3"/>
      <c r="BV162" s="3"/>
      <c r="BW162" s="3"/>
      <c r="BX162" s="3"/>
      <c r="BY162" s="3"/>
      <c r="BZ162" s="3"/>
      <c r="CA162" s="3"/>
      <c r="CB162" s="3"/>
      <c r="CC162" s="25"/>
      <c r="CD162" s="25"/>
      <c r="CE162" s="25"/>
    </row>
    <row r="163" spans="1:83" s="82" customFormat="1" ht="12" customHeight="1">
      <c r="A163" s="239"/>
      <c r="B163" s="320" t="s">
        <v>527</v>
      </c>
      <c r="AC163" s="285">
        <v>85</v>
      </c>
      <c r="BD163" s="730"/>
      <c r="BF163" s="17"/>
      <c r="BG163" s="17"/>
      <c r="BH163" s="17"/>
      <c r="BI163" s="17"/>
      <c r="BJ163" s="17"/>
      <c r="BK163" s="17"/>
      <c r="BL163" s="17"/>
      <c r="BM163" s="3"/>
      <c r="BN163" s="3"/>
      <c r="BO163" s="3"/>
      <c r="BP163" s="3"/>
      <c r="BQ163" s="3"/>
      <c r="BR163" s="3"/>
      <c r="BS163" s="3"/>
      <c r="BT163" s="3"/>
      <c r="BU163" s="3"/>
      <c r="BV163" s="3"/>
      <c r="BW163" s="3"/>
      <c r="BX163" s="3"/>
      <c r="BY163" s="3"/>
      <c r="BZ163" s="3"/>
      <c r="CA163" s="3"/>
      <c r="CB163" s="3"/>
      <c r="CC163" s="25"/>
      <c r="CD163" s="25"/>
      <c r="CE163" s="25"/>
    </row>
    <row r="164" spans="1:83" s="82" customFormat="1" ht="12" customHeight="1">
      <c r="A164" s="239"/>
      <c r="B164" s="2479" t="s">
        <v>535</v>
      </c>
      <c r="AC164" s="393"/>
      <c r="BD164" s="730"/>
      <c r="BF164" s="17"/>
      <c r="BG164" s="17"/>
      <c r="BH164" s="17"/>
      <c r="BI164" s="17"/>
      <c r="BJ164" s="17"/>
      <c r="BK164" s="17"/>
      <c r="BL164" s="17"/>
      <c r="BM164" s="3"/>
      <c r="BN164" s="3"/>
      <c r="BO164" s="3"/>
      <c r="BP164" s="3"/>
      <c r="BQ164" s="3"/>
      <c r="BR164" s="3"/>
      <c r="BS164" s="3"/>
      <c r="BT164" s="3"/>
      <c r="BU164" s="3"/>
      <c r="BV164" s="3"/>
      <c r="BW164" s="3"/>
      <c r="BX164" s="3"/>
      <c r="BY164" s="3"/>
      <c r="BZ164" s="3"/>
      <c r="CA164" s="3"/>
      <c r="CB164" s="3"/>
      <c r="CC164" s="25"/>
      <c r="CD164" s="25"/>
      <c r="CE164" s="25"/>
    </row>
    <row r="165" spans="1:83" s="82" customFormat="1" ht="12" customHeight="1">
      <c r="A165" s="239"/>
      <c r="B165" s="239" t="s">
        <v>536</v>
      </c>
      <c r="AC165" s="828"/>
      <c r="BD165" s="730"/>
      <c r="BF165" s="17"/>
      <c r="BG165" s="17"/>
      <c r="BH165" s="17"/>
      <c r="BI165" s="17"/>
      <c r="BJ165" s="17"/>
      <c r="BK165" s="17"/>
      <c r="BL165" s="17"/>
      <c r="BM165" s="3"/>
      <c r="BN165" s="3"/>
      <c r="BO165" s="3"/>
      <c r="BP165" s="3"/>
      <c r="BQ165" s="3"/>
      <c r="BR165" s="3"/>
      <c r="BS165" s="3"/>
      <c r="BT165" s="3"/>
      <c r="BU165" s="3"/>
      <c r="BV165" s="3"/>
      <c r="BW165" s="3"/>
      <c r="BX165" s="3"/>
      <c r="BY165" s="3"/>
      <c r="BZ165" s="3"/>
      <c r="CA165" s="3"/>
      <c r="CB165" s="3"/>
      <c r="CC165" s="25"/>
      <c r="CD165" s="25"/>
      <c r="CE165" s="25"/>
    </row>
    <row r="166" spans="1:83" s="82" customFormat="1" ht="12" customHeight="1">
      <c r="A166" s="239"/>
      <c r="B166" s="239" t="s">
        <v>1210</v>
      </c>
      <c r="AC166" s="393"/>
      <c r="BD166" s="730"/>
      <c r="BF166" s="17"/>
      <c r="BG166" s="17"/>
      <c r="BH166" s="17"/>
      <c r="BI166" s="17"/>
      <c r="BJ166" s="17"/>
      <c r="BK166" s="17"/>
      <c r="BL166" s="17"/>
      <c r="BM166" s="3"/>
      <c r="BN166" s="3"/>
      <c r="BO166" s="3"/>
      <c r="BP166" s="3"/>
      <c r="BQ166" s="3"/>
      <c r="BR166" s="3"/>
      <c r="BS166" s="3"/>
      <c r="BT166" s="3"/>
      <c r="BU166" s="3"/>
      <c r="BV166" s="3"/>
      <c r="BW166" s="3"/>
      <c r="BX166" s="3"/>
      <c r="BY166" s="3"/>
      <c r="BZ166" s="3"/>
      <c r="CA166" s="3"/>
      <c r="CB166" s="3"/>
      <c r="CC166" s="25"/>
      <c r="CD166" s="25"/>
      <c r="CE166" s="25"/>
    </row>
    <row r="167" spans="1:83" s="82" customFormat="1" ht="12" customHeight="1">
      <c r="A167" s="239"/>
      <c r="AC167" s="828"/>
      <c r="BD167" s="829"/>
      <c r="BF167" s="17"/>
      <c r="BG167" s="17"/>
      <c r="BH167" s="17"/>
      <c r="BI167" s="17"/>
      <c r="BJ167" s="17"/>
      <c r="BK167" s="17"/>
      <c r="BL167" s="17"/>
      <c r="BM167" s="3"/>
      <c r="BN167" s="3"/>
      <c r="BO167" s="3"/>
      <c r="BP167" s="3"/>
      <c r="BQ167" s="3"/>
      <c r="BR167" s="3"/>
      <c r="BS167" s="3"/>
      <c r="BT167" s="3"/>
      <c r="BU167" s="3"/>
      <c r="BV167" s="3"/>
      <c r="BW167" s="3"/>
      <c r="BX167" s="3"/>
      <c r="BY167" s="3"/>
      <c r="BZ167" s="3"/>
      <c r="CA167" s="3"/>
      <c r="CB167" s="3"/>
      <c r="CC167" s="25"/>
      <c r="CD167" s="25"/>
      <c r="CE167" s="25"/>
    </row>
    <row r="168" spans="1:83" s="82" customFormat="1" ht="12" customHeight="1">
      <c r="A168" s="239"/>
      <c r="B168" s="239" t="s">
        <v>1211</v>
      </c>
      <c r="AC168" s="393"/>
      <c r="BD168" s="730"/>
      <c r="BF168" s="17"/>
      <c r="BG168" s="17"/>
      <c r="BH168" s="17"/>
      <c r="BI168" s="17"/>
      <c r="BJ168" s="17"/>
      <c r="BK168" s="17"/>
      <c r="BL168" s="17"/>
      <c r="BM168" s="3"/>
      <c r="BN168" s="3"/>
      <c r="BO168" s="3"/>
      <c r="BP168" s="3"/>
      <c r="BQ168" s="3"/>
      <c r="BR168" s="3"/>
      <c r="BS168" s="3"/>
      <c r="BT168" s="3"/>
      <c r="BU168" s="3"/>
      <c r="BV168" s="3"/>
      <c r="BW168" s="3"/>
      <c r="BX168" s="3"/>
      <c r="BY168" s="3"/>
      <c r="BZ168" s="3"/>
      <c r="CA168" s="3"/>
      <c r="CB168" s="3"/>
      <c r="CC168" s="25"/>
      <c r="CD168" s="25"/>
      <c r="CE168" s="25"/>
    </row>
    <row r="169" spans="1:83" s="82" customFormat="1" ht="12" customHeight="1">
      <c r="A169" s="239"/>
      <c r="B169" s="239" t="s">
        <v>1212</v>
      </c>
      <c r="AC169" s="828"/>
      <c r="BD169" s="829"/>
      <c r="BF169" s="17"/>
      <c r="BG169" s="17"/>
      <c r="BH169" s="17"/>
      <c r="BI169" s="17"/>
      <c r="BJ169" s="17"/>
      <c r="BK169" s="17"/>
      <c r="BL169" s="17"/>
      <c r="BM169" s="3"/>
      <c r="BN169" s="3"/>
      <c r="BO169" s="3"/>
      <c r="BP169" s="3"/>
      <c r="BQ169" s="3"/>
      <c r="BR169" s="3"/>
      <c r="BS169" s="3"/>
      <c r="BT169" s="3"/>
      <c r="BU169" s="3"/>
      <c r="BV169" s="3"/>
      <c r="BW169" s="3"/>
      <c r="BX169" s="3"/>
      <c r="BY169" s="3"/>
      <c r="BZ169" s="3"/>
      <c r="CA169" s="3"/>
      <c r="CB169" s="3"/>
      <c r="CC169" s="25"/>
      <c r="CD169" s="25"/>
      <c r="CE169" s="25"/>
    </row>
    <row r="170" spans="1:83" s="82" customFormat="1" ht="12" customHeight="1">
      <c r="A170" s="239"/>
      <c r="B170" s="239"/>
      <c r="AC170" s="828"/>
      <c r="BD170" s="829"/>
      <c r="BF170" s="17"/>
      <c r="BG170" s="17"/>
      <c r="BH170" s="17"/>
      <c r="BI170" s="17"/>
      <c r="BJ170" s="17"/>
      <c r="BK170" s="17"/>
      <c r="BL170" s="17"/>
      <c r="BM170" s="3"/>
      <c r="BN170" s="3"/>
      <c r="BO170" s="3"/>
      <c r="BP170" s="3"/>
      <c r="BQ170" s="3"/>
      <c r="BR170" s="3"/>
      <c r="BS170" s="3"/>
      <c r="BT170" s="3"/>
      <c r="BU170" s="3"/>
      <c r="BV170" s="3"/>
      <c r="BW170" s="3"/>
      <c r="BX170" s="3"/>
      <c r="BY170" s="3"/>
      <c r="BZ170" s="3"/>
      <c r="CA170" s="3"/>
      <c r="CB170" s="3"/>
      <c r="CC170" s="25"/>
      <c r="CD170" s="25"/>
      <c r="CE170" s="25"/>
    </row>
    <row r="171" spans="1:83" s="82" customFormat="1" ht="12" customHeight="1">
      <c r="A171" s="239"/>
      <c r="B171" s="320" t="s">
        <v>528</v>
      </c>
      <c r="AC171" s="270">
        <v>87</v>
      </c>
      <c r="BD171" s="730"/>
      <c r="BF171" s="17"/>
      <c r="BG171" s="17"/>
      <c r="BH171" s="17"/>
      <c r="BI171" s="17"/>
      <c r="BJ171" s="17"/>
      <c r="BK171" s="17"/>
      <c r="BL171" s="17"/>
      <c r="BM171" s="3"/>
      <c r="BN171" s="3"/>
      <c r="BO171" s="3"/>
      <c r="BP171" s="3"/>
      <c r="BQ171" s="3"/>
      <c r="BR171" s="3"/>
      <c r="BS171" s="3"/>
      <c r="BT171" s="3"/>
      <c r="BU171" s="3"/>
      <c r="BV171" s="3"/>
      <c r="BW171" s="3"/>
      <c r="BX171" s="3"/>
      <c r="BY171" s="3"/>
      <c r="BZ171" s="3"/>
      <c r="CA171" s="3"/>
      <c r="CB171" s="3"/>
      <c r="CC171" s="25"/>
      <c r="CD171" s="25"/>
      <c r="CE171" s="25"/>
    </row>
    <row r="172" spans="1:83" s="82" customFormat="1" ht="12" customHeight="1">
      <c r="A172" s="239"/>
      <c r="B172" s="239" t="s">
        <v>506</v>
      </c>
      <c r="AC172" s="393"/>
      <c r="BD172" s="730"/>
      <c r="BF172" s="17"/>
      <c r="BG172" s="17"/>
      <c r="BH172" s="17"/>
      <c r="BI172" s="17"/>
      <c r="BJ172" s="17"/>
      <c r="BK172" s="17"/>
      <c r="BL172" s="17"/>
      <c r="BM172" s="3"/>
      <c r="BN172" s="3"/>
      <c r="BO172" s="3"/>
      <c r="BP172" s="3"/>
      <c r="BQ172" s="3"/>
      <c r="BR172" s="3"/>
      <c r="BS172" s="3"/>
      <c r="BT172" s="3"/>
      <c r="BU172" s="3"/>
      <c r="BV172" s="3"/>
      <c r="BW172" s="3"/>
      <c r="BX172" s="3"/>
      <c r="BY172" s="3"/>
      <c r="BZ172" s="3"/>
      <c r="CA172" s="3"/>
      <c r="CB172" s="3"/>
      <c r="CC172" s="25"/>
      <c r="CD172" s="25"/>
      <c r="CE172" s="25"/>
    </row>
    <row r="173" spans="1:83" s="82" customFormat="1" ht="12" customHeight="1">
      <c r="A173" s="239"/>
      <c r="B173" s="239" t="s">
        <v>507</v>
      </c>
      <c r="AC173" s="393"/>
      <c r="BD173" s="730"/>
      <c r="BF173" s="17"/>
      <c r="BG173" s="17"/>
      <c r="BH173" s="17"/>
      <c r="BI173" s="17"/>
      <c r="BJ173" s="17"/>
      <c r="BK173" s="17"/>
      <c r="BL173" s="17"/>
      <c r="BM173" s="3"/>
      <c r="BN173" s="3"/>
      <c r="BO173" s="3"/>
      <c r="BP173" s="3"/>
      <c r="BQ173" s="3"/>
      <c r="BR173" s="3"/>
      <c r="BS173" s="3"/>
      <c r="BT173" s="3"/>
      <c r="BU173" s="3"/>
      <c r="BV173" s="3"/>
      <c r="BW173" s="3"/>
      <c r="BX173" s="3"/>
      <c r="BY173" s="3"/>
      <c r="BZ173" s="3"/>
      <c r="CA173" s="3"/>
      <c r="CB173" s="3"/>
      <c r="CC173" s="25"/>
      <c r="CD173" s="25"/>
      <c r="CE173" s="25"/>
    </row>
    <row r="174" spans="1:83" s="82" customFormat="1" ht="12" customHeight="1">
      <c r="A174" s="239"/>
      <c r="B174" s="239" t="s">
        <v>896</v>
      </c>
      <c r="AC174" s="393"/>
      <c r="BD174" s="730"/>
      <c r="BF174" s="17"/>
      <c r="BG174" s="17"/>
      <c r="BH174" s="17"/>
      <c r="BI174" s="17"/>
      <c r="BJ174" s="17"/>
      <c r="BK174" s="17"/>
      <c r="BL174" s="17"/>
      <c r="BM174" s="3"/>
      <c r="BN174" s="3"/>
      <c r="BO174" s="3"/>
      <c r="BP174" s="3"/>
      <c r="BQ174" s="3"/>
      <c r="BR174" s="3"/>
      <c r="BS174" s="3"/>
      <c r="BT174" s="3"/>
      <c r="BU174" s="3"/>
      <c r="BV174" s="3"/>
      <c r="BW174" s="3"/>
      <c r="BX174" s="3"/>
      <c r="BY174" s="3"/>
      <c r="BZ174" s="3"/>
      <c r="CA174" s="3"/>
      <c r="CB174" s="3"/>
      <c r="CC174" s="25"/>
      <c r="CD174" s="25"/>
      <c r="CE174" s="25"/>
    </row>
    <row r="175" spans="1:83" s="82" customFormat="1" ht="12" customHeight="1">
      <c r="A175" s="239"/>
      <c r="B175" s="239" t="s">
        <v>897</v>
      </c>
      <c r="AC175" s="393"/>
      <c r="BD175" s="730"/>
      <c r="BF175" s="17"/>
      <c r="BG175" s="17"/>
      <c r="BH175" s="17"/>
      <c r="BI175" s="17"/>
      <c r="BJ175" s="17"/>
      <c r="BK175" s="17"/>
      <c r="BL175" s="17"/>
      <c r="BM175" s="3"/>
      <c r="BN175" s="3"/>
      <c r="BO175" s="3"/>
      <c r="BP175" s="3"/>
      <c r="BQ175" s="3"/>
      <c r="BR175" s="3"/>
      <c r="BS175" s="3"/>
      <c r="BT175" s="3"/>
      <c r="BU175" s="3"/>
      <c r="BV175" s="3"/>
      <c r="BW175" s="3"/>
      <c r="BX175" s="3"/>
      <c r="BY175" s="3"/>
      <c r="BZ175" s="3"/>
      <c r="CA175" s="3"/>
      <c r="CB175" s="3"/>
      <c r="CC175" s="25"/>
      <c r="CD175" s="25"/>
      <c r="CE175" s="25"/>
    </row>
    <row r="176" spans="1:83" s="82" customFormat="1" ht="12" customHeight="1">
      <c r="A176" s="239"/>
      <c r="B176" s="239" t="s">
        <v>898</v>
      </c>
      <c r="AC176" s="393"/>
      <c r="BD176" s="730"/>
      <c r="BF176" s="17"/>
      <c r="BG176" s="17"/>
      <c r="BH176" s="17"/>
      <c r="BI176" s="17"/>
      <c r="BJ176" s="17"/>
      <c r="BK176" s="17"/>
      <c r="BL176" s="17"/>
      <c r="BM176" s="3"/>
      <c r="BN176" s="3"/>
      <c r="BO176" s="3"/>
      <c r="BP176" s="3"/>
      <c r="BQ176" s="3"/>
      <c r="BR176" s="3"/>
      <c r="BS176" s="3"/>
      <c r="BT176" s="3"/>
      <c r="BU176" s="3"/>
      <c r="BV176" s="3"/>
      <c r="BW176" s="3"/>
      <c r="BX176" s="3"/>
      <c r="BY176" s="3"/>
      <c r="BZ176" s="3"/>
      <c r="CA176" s="3"/>
      <c r="CB176" s="3"/>
      <c r="CC176" s="25"/>
      <c r="CD176" s="25"/>
      <c r="CE176" s="25"/>
    </row>
    <row r="177" spans="1:83" s="82" customFormat="1" ht="12" customHeight="1">
      <c r="A177" s="239"/>
      <c r="B177" s="91" t="s">
        <v>899</v>
      </c>
      <c r="AC177" s="393"/>
      <c r="BD177" s="730"/>
      <c r="BF177" s="17"/>
      <c r="BG177" s="17"/>
      <c r="BH177" s="17"/>
      <c r="BI177" s="17"/>
      <c r="BJ177" s="17"/>
      <c r="BK177" s="17"/>
      <c r="BL177" s="17"/>
      <c r="BM177" s="3"/>
      <c r="BN177" s="3"/>
      <c r="BO177" s="3"/>
      <c r="BP177" s="3"/>
      <c r="BQ177" s="3"/>
      <c r="BR177" s="3"/>
      <c r="BS177" s="3"/>
      <c r="BT177" s="3"/>
      <c r="BU177" s="3"/>
      <c r="BV177" s="3"/>
      <c r="BW177" s="3"/>
      <c r="BX177" s="3"/>
      <c r="BY177" s="3"/>
      <c r="BZ177" s="3"/>
      <c r="CA177" s="3"/>
      <c r="CB177" s="3"/>
      <c r="CC177" s="25"/>
      <c r="CD177" s="25"/>
      <c r="CE177" s="25"/>
    </row>
    <row r="178" spans="1:83" s="82" customFormat="1" ht="12" customHeight="1">
      <c r="A178" s="239"/>
      <c r="B178" s="82" t="s">
        <v>1077</v>
      </c>
      <c r="AC178" s="393"/>
      <c r="BD178" s="730"/>
      <c r="BF178" s="17"/>
      <c r="BG178" s="17"/>
      <c r="BH178" s="17"/>
      <c r="BI178" s="17"/>
      <c r="BJ178" s="17"/>
      <c r="BK178" s="17"/>
      <c r="BL178" s="17"/>
      <c r="BM178" s="3"/>
      <c r="BN178" s="3"/>
      <c r="BO178" s="3"/>
      <c r="BP178" s="3"/>
      <c r="BQ178" s="3"/>
      <c r="BR178" s="3"/>
      <c r="BS178" s="3"/>
      <c r="BT178" s="3"/>
      <c r="BU178" s="3"/>
      <c r="BV178" s="3"/>
      <c r="BW178" s="3"/>
      <c r="BX178" s="3"/>
      <c r="BY178" s="3"/>
      <c r="BZ178" s="3"/>
      <c r="CA178" s="3"/>
      <c r="CB178" s="3"/>
      <c r="CC178" s="25"/>
      <c r="CD178" s="25"/>
      <c r="CE178" s="25"/>
    </row>
    <row r="179" spans="1:83" s="82" customFormat="1" ht="12" customHeight="1">
      <c r="A179" s="239"/>
      <c r="B179" s="82" t="s">
        <v>1078</v>
      </c>
      <c r="AC179" s="393"/>
      <c r="BD179" s="730"/>
      <c r="BF179" s="17"/>
      <c r="BG179" s="17"/>
      <c r="BH179" s="17"/>
      <c r="BI179" s="17"/>
      <c r="BJ179" s="17"/>
      <c r="BK179" s="17"/>
      <c r="BL179" s="17"/>
      <c r="BM179" s="3"/>
      <c r="BN179" s="3"/>
      <c r="BO179" s="3"/>
      <c r="BP179" s="3"/>
      <c r="BQ179" s="3"/>
      <c r="BR179" s="3"/>
      <c r="BS179" s="3"/>
      <c r="BT179" s="3"/>
      <c r="BU179" s="3"/>
      <c r="BV179" s="3"/>
      <c r="BW179" s="3"/>
      <c r="BX179" s="3"/>
      <c r="BY179" s="3"/>
      <c r="BZ179" s="3"/>
      <c r="CA179" s="3"/>
      <c r="CB179" s="3"/>
      <c r="CC179" s="25"/>
      <c r="CD179" s="25"/>
      <c r="CE179" s="25"/>
    </row>
    <row r="180" spans="1:83" s="82" customFormat="1" ht="12" customHeight="1">
      <c r="A180" s="239"/>
      <c r="B180" s="82" t="s">
        <v>1079</v>
      </c>
      <c r="AC180" s="393"/>
      <c r="BD180" s="730"/>
      <c r="BF180" s="17"/>
      <c r="BG180" s="17"/>
      <c r="BH180" s="17"/>
      <c r="BI180" s="17"/>
      <c r="BJ180" s="17"/>
      <c r="BK180" s="17"/>
      <c r="BL180" s="17"/>
      <c r="BM180" s="3"/>
      <c r="BN180" s="3"/>
      <c r="BO180" s="3"/>
      <c r="BP180" s="3"/>
      <c r="BQ180" s="3"/>
      <c r="BR180" s="3"/>
      <c r="BS180" s="3"/>
      <c r="BT180" s="3"/>
      <c r="BU180" s="3"/>
      <c r="BV180" s="3"/>
      <c r="BW180" s="3"/>
      <c r="BX180" s="3"/>
      <c r="BY180" s="3"/>
      <c r="BZ180" s="3"/>
      <c r="CA180" s="3"/>
      <c r="CB180" s="3"/>
      <c r="CC180" s="25"/>
      <c r="CD180" s="25"/>
      <c r="CE180" s="25"/>
    </row>
    <row r="181" spans="1:83" s="82" customFormat="1" ht="12" customHeight="1">
      <c r="A181" s="239"/>
      <c r="B181" s="239" t="s">
        <v>508</v>
      </c>
      <c r="AC181" s="393"/>
      <c r="BD181" s="730"/>
      <c r="BF181" s="17"/>
      <c r="BG181" s="17"/>
      <c r="BH181" s="17"/>
      <c r="BI181" s="17"/>
      <c r="BJ181" s="17"/>
      <c r="BK181" s="17"/>
      <c r="BL181" s="17"/>
      <c r="BM181" s="3"/>
      <c r="BN181" s="3"/>
      <c r="BO181" s="3"/>
      <c r="BP181" s="3"/>
      <c r="BQ181" s="3"/>
      <c r="BR181" s="3"/>
      <c r="BS181" s="3"/>
      <c r="BT181" s="3"/>
      <c r="BU181" s="3"/>
      <c r="BV181" s="3"/>
      <c r="BW181" s="3"/>
      <c r="BX181" s="3"/>
      <c r="BY181" s="3"/>
      <c r="BZ181" s="3"/>
      <c r="CA181" s="3"/>
      <c r="CB181" s="3"/>
      <c r="CC181" s="25"/>
      <c r="CD181" s="25"/>
      <c r="CE181" s="25"/>
    </row>
    <row r="182" spans="1:83" s="82" customFormat="1" ht="12" customHeight="1">
      <c r="A182" s="239"/>
      <c r="B182" s="239" t="s">
        <v>509</v>
      </c>
      <c r="AC182" s="393"/>
      <c r="BD182" s="730"/>
      <c r="BF182" s="17"/>
      <c r="BG182" s="17"/>
      <c r="BH182" s="17"/>
      <c r="BI182" s="17"/>
      <c r="BJ182" s="17"/>
      <c r="BK182" s="17"/>
      <c r="BL182" s="17"/>
      <c r="BM182" s="3"/>
      <c r="BN182" s="3"/>
      <c r="BO182" s="3"/>
      <c r="BP182" s="3"/>
      <c r="BQ182" s="3"/>
      <c r="BR182" s="3"/>
      <c r="BS182" s="3"/>
      <c r="BT182" s="3"/>
      <c r="BU182" s="3"/>
      <c r="BV182" s="3"/>
      <c r="BW182" s="3"/>
      <c r="BX182" s="3"/>
      <c r="BY182" s="3"/>
      <c r="BZ182" s="3"/>
      <c r="CA182" s="3"/>
      <c r="CB182" s="3"/>
      <c r="CC182" s="25"/>
      <c r="CD182" s="25"/>
      <c r="CE182" s="25"/>
    </row>
    <row r="183" spans="1:83" s="82" customFormat="1" ht="12" customHeight="1">
      <c r="A183" s="239"/>
      <c r="B183" s="239" t="s">
        <v>510</v>
      </c>
      <c r="AC183" s="393"/>
      <c r="BD183" s="730"/>
      <c r="BF183" s="17"/>
      <c r="BG183" s="17"/>
      <c r="BH183" s="17"/>
      <c r="BI183" s="17"/>
      <c r="BJ183" s="17"/>
      <c r="BK183" s="17"/>
      <c r="BL183" s="17"/>
      <c r="BM183" s="3"/>
      <c r="BN183" s="3"/>
      <c r="BO183" s="3"/>
      <c r="BP183" s="3"/>
      <c r="BQ183" s="3"/>
      <c r="BR183" s="3"/>
      <c r="BS183" s="3"/>
      <c r="BT183" s="3"/>
      <c r="BU183" s="3"/>
      <c r="BV183" s="3"/>
      <c r="BW183" s="3"/>
      <c r="BX183" s="3"/>
      <c r="BY183" s="3"/>
      <c r="BZ183" s="3"/>
      <c r="CA183" s="3"/>
      <c r="CB183" s="3"/>
      <c r="CC183" s="25"/>
      <c r="CD183" s="25"/>
      <c r="CE183" s="25"/>
    </row>
    <row r="184" spans="1:83" s="82" customFormat="1" ht="12" customHeight="1">
      <c r="A184" s="239"/>
      <c r="B184" s="25" t="s">
        <v>511</v>
      </c>
      <c r="AC184" s="393"/>
      <c r="BD184" s="730"/>
      <c r="BF184" s="17"/>
      <c r="BG184" s="17"/>
      <c r="BH184" s="17"/>
      <c r="BI184" s="17"/>
      <c r="BJ184" s="17"/>
      <c r="BK184" s="17"/>
      <c r="BL184" s="17"/>
      <c r="BM184" s="3"/>
      <c r="BN184" s="3"/>
      <c r="BO184" s="3"/>
      <c r="BP184" s="3"/>
      <c r="BQ184" s="3"/>
      <c r="BR184" s="3"/>
      <c r="BS184" s="3"/>
      <c r="BT184" s="3"/>
      <c r="BU184" s="3"/>
      <c r="BV184" s="3"/>
      <c r="BW184" s="3"/>
      <c r="BX184" s="3"/>
      <c r="BY184" s="3"/>
      <c r="BZ184" s="3"/>
      <c r="CA184" s="3"/>
      <c r="CB184" s="3"/>
      <c r="CC184" s="25"/>
      <c r="CD184" s="25"/>
      <c r="CE184" s="25"/>
    </row>
    <row r="185" spans="1:83" s="82" customFormat="1" ht="12" customHeight="1">
      <c r="A185" s="239"/>
      <c r="B185" s="25" t="s">
        <v>512</v>
      </c>
      <c r="AC185" s="393"/>
      <c r="BD185" s="730"/>
      <c r="BF185" s="17"/>
      <c r="BG185" s="17"/>
      <c r="BH185" s="17"/>
      <c r="BI185" s="17"/>
      <c r="BJ185" s="17"/>
      <c r="BK185" s="17"/>
      <c r="BL185" s="17"/>
      <c r="BM185" s="3"/>
      <c r="BN185" s="3"/>
      <c r="BO185" s="3"/>
      <c r="BP185" s="3"/>
      <c r="BQ185" s="3"/>
      <c r="BR185" s="3"/>
      <c r="BS185" s="3"/>
      <c r="BT185" s="3"/>
      <c r="BU185" s="3"/>
      <c r="BV185" s="3"/>
      <c r="BW185" s="3"/>
      <c r="BX185" s="3"/>
      <c r="BY185" s="3"/>
      <c r="BZ185" s="3"/>
      <c r="CA185" s="3"/>
      <c r="CB185" s="3"/>
      <c r="CC185" s="25"/>
      <c r="CD185" s="25"/>
      <c r="CE185" s="25"/>
    </row>
    <row r="186" spans="1:83" s="82" customFormat="1" ht="12" customHeight="1">
      <c r="B186" s="25" t="s">
        <v>513</v>
      </c>
      <c r="AC186" s="393"/>
      <c r="BD186" s="730"/>
      <c r="BF186" s="17"/>
      <c r="BG186" s="17"/>
      <c r="BH186" s="17"/>
      <c r="BI186" s="17"/>
      <c r="BJ186" s="17"/>
      <c r="BK186" s="17"/>
      <c r="BL186" s="17"/>
      <c r="BM186" s="3"/>
      <c r="BN186" s="3"/>
      <c r="BO186" s="3"/>
      <c r="BP186" s="3"/>
      <c r="BQ186" s="3"/>
      <c r="BR186" s="3"/>
      <c r="BS186" s="3"/>
      <c r="BT186" s="3"/>
      <c r="BU186" s="3"/>
      <c r="BV186" s="3"/>
      <c r="BW186" s="3"/>
      <c r="BX186" s="3"/>
      <c r="BY186" s="3"/>
      <c r="BZ186" s="3"/>
      <c r="CA186" s="3"/>
      <c r="CB186" s="3"/>
      <c r="CC186" s="25"/>
      <c r="CD186" s="25"/>
      <c r="CE186" s="25"/>
    </row>
    <row r="187" spans="1:83" s="82" customFormat="1" ht="12" customHeight="1">
      <c r="AC187" s="828"/>
      <c r="BD187" s="730"/>
      <c r="BF187" s="17"/>
      <c r="BG187" s="17"/>
      <c r="BH187" s="17"/>
      <c r="BI187" s="17"/>
      <c r="BJ187" s="17"/>
      <c r="BK187" s="17"/>
      <c r="BL187" s="17"/>
      <c r="BM187" s="3"/>
      <c r="BN187" s="3"/>
      <c r="BO187" s="3"/>
      <c r="BP187" s="3"/>
      <c r="BQ187" s="3"/>
      <c r="BR187" s="3"/>
      <c r="BS187" s="3"/>
      <c r="BT187" s="3"/>
      <c r="BU187" s="3"/>
      <c r="BV187" s="3"/>
      <c r="BW187" s="3"/>
      <c r="BX187" s="3"/>
      <c r="BY187" s="3"/>
      <c r="BZ187" s="3"/>
      <c r="CA187" s="3"/>
      <c r="CB187" s="3"/>
      <c r="CC187" s="25"/>
      <c r="CD187" s="25"/>
      <c r="CE187" s="25"/>
    </row>
    <row r="188" spans="1:83" s="82" customFormat="1" ht="12" customHeight="1">
      <c r="B188" s="91" t="s">
        <v>900</v>
      </c>
      <c r="L188" s="1229" t="s">
        <v>901</v>
      </c>
      <c r="M188" s="1229"/>
      <c r="N188" s="1229"/>
      <c r="O188" s="1229"/>
      <c r="P188" s="1229"/>
      <c r="Q188" s="1229"/>
      <c r="R188" s="1229"/>
      <c r="S188" s="1229"/>
      <c r="T188" s="1229"/>
      <c r="U188" s="1229"/>
      <c r="V188" s="1229"/>
      <c r="W188" s="1229"/>
      <c r="AC188" s="393"/>
      <c r="BD188" s="730"/>
      <c r="BF188" s="17"/>
      <c r="BG188" s="17"/>
      <c r="BH188" s="17"/>
      <c r="BI188" s="17"/>
      <c r="BJ188" s="17"/>
      <c r="BK188" s="17"/>
      <c r="BL188" s="17"/>
      <c r="BM188" s="3"/>
      <c r="BN188" s="3"/>
      <c r="BO188" s="3"/>
      <c r="BP188" s="3"/>
      <c r="BQ188" s="3"/>
      <c r="BR188" s="3"/>
      <c r="BS188" s="3"/>
      <c r="BT188" s="3"/>
      <c r="BU188" s="3"/>
      <c r="BV188" s="3"/>
      <c r="BW188" s="3"/>
      <c r="BX188" s="3"/>
      <c r="BY188" s="3"/>
      <c r="BZ188" s="3"/>
      <c r="CA188" s="3"/>
      <c r="CB188" s="3"/>
      <c r="CC188" s="25"/>
      <c r="CD188" s="25"/>
      <c r="CE188" s="25"/>
    </row>
    <row r="189" spans="1:83" s="82" customFormat="1" ht="12" customHeight="1">
      <c r="AC189" s="393"/>
      <c r="BD189" s="730"/>
      <c r="BF189" s="17"/>
      <c r="BG189" s="17"/>
      <c r="BH189" s="17"/>
      <c r="BI189" s="17"/>
      <c r="BJ189" s="17"/>
      <c r="BK189" s="17"/>
      <c r="BL189" s="17"/>
      <c r="BM189" s="3"/>
      <c r="BN189" s="3"/>
      <c r="BO189" s="3"/>
      <c r="BP189" s="3"/>
      <c r="BQ189" s="3"/>
      <c r="BR189" s="3"/>
      <c r="BS189" s="3"/>
      <c r="BT189" s="3"/>
      <c r="BU189" s="3"/>
      <c r="BV189" s="3"/>
      <c r="BW189" s="3"/>
      <c r="BX189" s="3"/>
      <c r="BY189" s="3"/>
      <c r="BZ189" s="3"/>
      <c r="CA189" s="3"/>
      <c r="CB189" s="3"/>
      <c r="CC189" s="25"/>
      <c r="CD189" s="25"/>
      <c r="CE189" s="25"/>
    </row>
    <row r="190" spans="1:83" s="82" customFormat="1" ht="12" customHeight="1">
      <c r="B190" s="311" t="s">
        <v>826</v>
      </c>
      <c r="AC190" s="270">
        <v>110</v>
      </c>
      <c r="BD190" s="730"/>
      <c r="BF190" s="17"/>
      <c r="BG190" s="17"/>
      <c r="BH190" s="17"/>
      <c r="BI190" s="17"/>
      <c r="BJ190" s="17"/>
      <c r="BK190" s="17"/>
      <c r="BL190" s="17"/>
      <c r="BM190" s="3"/>
      <c r="BN190" s="3"/>
      <c r="BO190" s="3"/>
      <c r="BP190" s="3"/>
      <c r="BQ190" s="3"/>
      <c r="BR190" s="3"/>
      <c r="BS190" s="3"/>
      <c r="BT190" s="3"/>
      <c r="BU190" s="3"/>
      <c r="BV190" s="3"/>
      <c r="BW190" s="3"/>
      <c r="BX190" s="3"/>
      <c r="BY190" s="3"/>
      <c r="BZ190" s="3"/>
      <c r="CA190" s="3"/>
      <c r="CB190" s="3"/>
      <c r="CC190" s="25"/>
      <c r="CD190" s="25"/>
      <c r="CE190" s="25"/>
    </row>
    <row r="191" spans="1:83" s="82" customFormat="1" ht="12" customHeight="1">
      <c r="B191" s="25" t="s">
        <v>514</v>
      </c>
      <c r="AC191" s="393"/>
      <c r="BD191" s="730"/>
      <c r="BF191" s="17"/>
      <c r="BG191" s="17"/>
      <c r="BH191" s="17"/>
      <c r="BI191" s="17"/>
      <c r="BJ191" s="17"/>
      <c r="BK191" s="17"/>
      <c r="BL191" s="17"/>
      <c r="BM191" s="3"/>
      <c r="BN191" s="3"/>
      <c r="BO191" s="3"/>
      <c r="BP191" s="3"/>
      <c r="BQ191" s="3"/>
      <c r="BR191" s="3"/>
      <c r="BS191" s="3"/>
      <c r="BT191" s="3"/>
      <c r="BU191" s="3"/>
      <c r="BV191" s="3"/>
      <c r="BW191" s="3"/>
      <c r="BX191" s="3"/>
      <c r="BY191" s="3"/>
      <c r="BZ191" s="3"/>
      <c r="CA191" s="3"/>
      <c r="CB191" s="3"/>
      <c r="CC191" s="25"/>
      <c r="CD191" s="25"/>
      <c r="CE191" s="25"/>
    </row>
    <row r="192" spans="1:83" s="82" customFormat="1" ht="12" customHeight="1">
      <c r="B192" s="25" t="s">
        <v>515</v>
      </c>
      <c r="AC192" s="393"/>
      <c r="BD192" s="730"/>
      <c r="BF192" s="17"/>
      <c r="BG192" s="17"/>
      <c r="BH192" s="17"/>
      <c r="BI192" s="17"/>
      <c r="BJ192" s="17"/>
      <c r="BK192" s="17"/>
      <c r="BL192" s="17"/>
      <c r="BM192" s="3"/>
      <c r="BN192" s="3"/>
      <c r="BO192" s="3"/>
      <c r="BP192" s="3"/>
      <c r="BQ192" s="3"/>
      <c r="BR192" s="3"/>
      <c r="BS192" s="3"/>
      <c r="BT192" s="3"/>
      <c r="BU192" s="3"/>
      <c r="BV192" s="3"/>
      <c r="BW192" s="3"/>
      <c r="BX192" s="3"/>
      <c r="BY192" s="3"/>
      <c r="BZ192" s="3"/>
      <c r="CA192" s="3"/>
      <c r="CB192" s="3"/>
      <c r="CC192" s="25"/>
      <c r="CD192" s="25"/>
      <c r="CE192" s="25"/>
    </row>
    <row r="193" spans="2:83" s="82" customFormat="1" ht="12" customHeight="1">
      <c r="B193" s="25" t="s">
        <v>516</v>
      </c>
      <c r="AC193" s="828"/>
      <c r="AE193" s="315" t="s">
        <v>681</v>
      </c>
      <c r="BD193" s="730"/>
      <c r="BF193" s="17"/>
      <c r="BG193" s="17"/>
      <c r="BH193" s="17"/>
      <c r="BI193" s="17"/>
      <c r="BJ193" s="17"/>
      <c r="BK193" s="17"/>
      <c r="BL193" s="17"/>
      <c r="BM193" s="3"/>
      <c r="BN193" s="3"/>
      <c r="BO193" s="3"/>
      <c r="BP193" s="3"/>
      <c r="BQ193" s="3"/>
      <c r="BR193" s="3"/>
      <c r="BS193" s="3"/>
      <c r="BT193" s="3"/>
      <c r="BU193" s="3"/>
      <c r="BV193" s="3"/>
      <c r="BW193" s="3"/>
      <c r="BX193" s="3"/>
      <c r="BY193" s="3"/>
      <c r="BZ193" s="3"/>
      <c r="CA193" s="3"/>
      <c r="CB193" s="3"/>
      <c r="CC193" s="25"/>
      <c r="CD193" s="25"/>
      <c r="CE193" s="25"/>
    </row>
    <row r="194" spans="2:83" s="82" customFormat="1" ht="12" customHeight="1">
      <c r="B194" s="25" t="s">
        <v>517</v>
      </c>
      <c r="AC194" s="393"/>
      <c r="BD194" s="730"/>
      <c r="BF194" s="17"/>
      <c r="BG194" s="17"/>
      <c r="BH194" s="17"/>
      <c r="BI194" s="17"/>
      <c r="BJ194" s="17"/>
      <c r="BK194" s="17"/>
      <c r="BL194" s="17"/>
      <c r="BM194" s="3"/>
      <c r="BN194" s="3"/>
      <c r="BO194" s="3"/>
      <c r="BP194" s="3"/>
      <c r="BQ194" s="3"/>
      <c r="BR194" s="3"/>
      <c r="BS194" s="3"/>
      <c r="BT194" s="3"/>
      <c r="BU194" s="3"/>
      <c r="BV194" s="3"/>
      <c r="BW194" s="3"/>
      <c r="BX194" s="3"/>
      <c r="BY194" s="3"/>
      <c r="BZ194" s="3"/>
      <c r="CA194" s="3"/>
      <c r="CB194" s="3"/>
      <c r="CC194" s="25"/>
      <c r="CD194" s="25"/>
      <c r="CE194" s="25"/>
    </row>
    <row r="195" spans="2:83" s="82" customFormat="1" ht="12" customHeight="1">
      <c r="AC195" s="393"/>
      <c r="BD195" s="730"/>
      <c r="BF195" s="17"/>
      <c r="BG195" s="17"/>
      <c r="BH195" s="17"/>
      <c r="BI195" s="17"/>
      <c r="BJ195" s="17"/>
      <c r="BK195" s="17"/>
      <c r="BL195" s="17"/>
      <c r="BM195" s="3"/>
      <c r="BN195" s="3"/>
      <c r="BO195" s="3"/>
      <c r="BP195" s="3"/>
      <c r="BQ195" s="3"/>
      <c r="BR195" s="3"/>
      <c r="BS195" s="3"/>
      <c r="BT195" s="3"/>
      <c r="BU195" s="3"/>
      <c r="BV195" s="3"/>
      <c r="BW195" s="3"/>
      <c r="BX195" s="3"/>
      <c r="BY195" s="3"/>
      <c r="BZ195" s="3"/>
      <c r="CA195" s="3"/>
      <c r="CB195" s="3"/>
      <c r="CC195" s="25"/>
      <c r="CD195" s="25"/>
      <c r="CE195" s="25"/>
    </row>
    <row r="196" spans="2:83" s="82" customFormat="1" ht="12" customHeight="1">
      <c r="B196" s="310" t="s">
        <v>529</v>
      </c>
      <c r="AC196" s="270">
        <v>113</v>
      </c>
      <c r="AH196" s="281" t="s">
        <v>176</v>
      </c>
      <c r="AI196" s="280"/>
      <c r="AJ196" s="322" t="s">
        <v>436</v>
      </c>
      <c r="BD196" s="730"/>
      <c r="BF196" s="17"/>
      <c r="BG196" s="17"/>
      <c r="BH196" s="17"/>
      <c r="BI196" s="17"/>
      <c r="BJ196" s="17"/>
      <c r="BK196" s="17"/>
      <c r="BL196" s="17"/>
      <c r="BM196" s="3"/>
      <c r="BN196" s="3"/>
      <c r="BO196" s="3"/>
      <c r="BP196" s="3"/>
      <c r="BQ196" s="3"/>
      <c r="BR196" s="3"/>
      <c r="BS196" s="3"/>
      <c r="BT196" s="3"/>
      <c r="BU196" s="3"/>
      <c r="BV196" s="3"/>
      <c r="BW196" s="3"/>
      <c r="BX196" s="3"/>
      <c r="BY196" s="3"/>
      <c r="BZ196" s="3"/>
      <c r="CA196" s="3"/>
      <c r="CB196" s="3"/>
      <c r="CC196" s="25"/>
      <c r="CD196" s="25"/>
      <c r="CE196" s="25"/>
    </row>
    <row r="197" spans="2:83" s="82" customFormat="1" ht="12" customHeight="1" thickBot="1">
      <c r="B197" s="25" t="s">
        <v>518</v>
      </c>
      <c r="C197" s="25"/>
      <c r="AC197" s="393"/>
      <c r="AH197" s="96"/>
      <c r="AI197" s="96"/>
      <c r="AJ197" s="281" t="s">
        <v>427</v>
      </c>
      <c r="BD197" s="730"/>
      <c r="BF197" s="17"/>
      <c r="BG197" s="17"/>
      <c r="BH197" s="17"/>
      <c r="BI197" s="17"/>
      <c r="BJ197" s="17"/>
      <c r="BK197" s="17"/>
      <c r="BL197" s="17"/>
      <c r="BM197" s="3"/>
      <c r="BN197" s="3"/>
      <c r="BO197" s="3"/>
      <c r="BP197" s="3"/>
      <c r="BQ197" s="3"/>
      <c r="BR197" s="3"/>
      <c r="BS197" s="3"/>
      <c r="BT197" s="3"/>
      <c r="BU197" s="3"/>
      <c r="BV197" s="3"/>
      <c r="BW197" s="3"/>
      <c r="BX197" s="3"/>
      <c r="BY197" s="3"/>
      <c r="BZ197" s="3"/>
      <c r="CA197" s="3"/>
      <c r="CB197" s="3"/>
      <c r="CC197" s="25"/>
      <c r="CD197" s="25"/>
      <c r="CE197" s="25"/>
    </row>
    <row r="198" spans="2:83" s="82" customFormat="1" ht="12" customHeight="1" thickBot="1">
      <c r="B198" s="25" t="s">
        <v>1213</v>
      </c>
      <c r="C198" s="25"/>
      <c r="AC198" s="828"/>
      <c r="AG198" s="2832" t="s">
        <v>0</v>
      </c>
      <c r="AH198" s="2833"/>
      <c r="AI198" s="402"/>
      <c r="AJ198" s="2832" t="s">
        <v>495</v>
      </c>
      <c r="AK198" s="2833"/>
      <c r="BD198" s="730"/>
      <c r="BF198" s="17"/>
      <c r="BG198" s="17"/>
      <c r="BH198" s="17"/>
      <c r="BI198" s="17"/>
      <c r="BJ198" s="17"/>
      <c r="BK198" s="17"/>
      <c r="BL198" s="17"/>
      <c r="BM198" s="3"/>
      <c r="BN198" s="3"/>
      <c r="BO198" s="3"/>
      <c r="BP198" s="3"/>
      <c r="BQ198" s="3"/>
      <c r="BR198" s="3"/>
      <c r="BS198" s="3"/>
      <c r="BT198" s="3"/>
      <c r="BU198" s="3"/>
      <c r="BV198" s="3"/>
      <c r="BW198" s="3"/>
      <c r="BX198" s="3"/>
      <c r="BY198" s="3"/>
      <c r="BZ198" s="3"/>
      <c r="CA198" s="3"/>
      <c r="CB198" s="3"/>
      <c r="CC198" s="25"/>
      <c r="CD198" s="25"/>
      <c r="CE198" s="25"/>
    </row>
    <row r="199" spans="2:83" s="82" customFormat="1" ht="12" customHeight="1">
      <c r="B199" s="82" t="s">
        <v>1246</v>
      </c>
      <c r="C199" s="25"/>
      <c r="AC199" s="393"/>
      <c r="BD199" s="730"/>
      <c r="BF199" s="17"/>
      <c r="BG199" s="17"/>
      <c r="BH199" s="17"/>
      <c r="BI199" s="17"/>
      <c r="BJ199" s="17"/>
      <c r="BK199" s="17"/>
      <c r="BL199" s="17"/>
      <c r="BM199" s="3"/>
      <c r="BN199" s="3"/>
      <c r="BO199" s="3"/>
      <c r="BP199" s="3"/>
      <c r="BQ199" s="3"/>
      <c r="BR199" s="3"/>
      <c r="BS199" s="3"/>
      <c r="BT199" s="3"/>
      <c r="BU199" s="3"/>
      <c r="BV199" s="3"/>
      <c r="BW199" s="3"/>
      <c r="BX199" s="3"/>
      <c r="BY199" s="3"/>
      <c r="BZ199" s="3"/>
      <c r="CA199" s="3"/>
      <c r="CB199" s="3"/>
      <c r="CC199" s="25"/>
      <c r="CD199" s="25"/>
      <c r="CE199" s="25"/>
    </row>
    <row r="200" spans="2:83" s="82" customFormat="1" ht="12" customHeight="1">
      <c r="B200" s="82" t="s">
        <v>1247</v>
      </c>
      <c r="AC200" s="393"/>
      <c r="AG200" s="279" t="s">
        <v>0</v>
      </c>
      <c r="AH200" s="279"/>
      <c r="AI200" s="279"/>
      <c r="AJ200" s="306" t="s">
        <v>187</v>
      </c>
      <c r="BD200" s="730"/>
      <c r="BF200" s="17"/>
      <c r="BG200" s="17"/>
      <c r="BH200" s="17"/>
      <c r="BI200" s="17"/>
      <c r="BJ200" s="17"/>
      <c r="BK200" s="17"/>
      <c r="BL200" s="17"/>
      <c r="BM200" s="3"/>
      <c r="BN200" s="3"/>
      <c r="BO200" s="3"/>
      <c r="BP200" s="3"/>
      <c r="BQ200" s="3"/>
      <c r="BR200" s="3"/>
      <c r="BS200" s="3"/>
      <c r="BT200" s="3"/>
      <c r="BU200" s="3"/>
      <c r="BV200" s="3"/>
      <c r="BW200" s="3"/>
      <c r="BX200" s="3"/>
      <c r="BY200" s="3"/>
      <c r="BZ200" s="3"/>
      <c r="CA200" s="3"/>
      <c r="CB200" s="3"/>
      <c r="CC200" s="25"/>
      <c r="CD200" s="25"/>
      <c r="CE200" s="25"/>
    </row>
    <row r="201" spans="2:83" s="82" customFormat="1" ht="12" customHeight="1">
      <c r="B201" s="82" t="s">
        <v>1248</v>
      </c>
      <c r="AC201" s="393"/>
      <c r="AG201" s="279" t="s">
        <v>1</v>
      </c>
      <c r="AH201" s="279"/>
      <c r="AI201" s="279"/>
      <c r="AJ201" s="306" t="s">
        <v>493</v>
      </c>
      <c r="BD201" s="730"/>
      <c r="BF201" s="17"/>
      <c r="BG201" s="17"/>
      <c r="BH201" s="17"/>
      <c r="BI201" s="17"/>
      <c r="BJ201" s="17"/>
      <c r="BK201" s="17"/>
      <c r="BL201" s="17"/>
      <c r="BM201" s="3"/>
      <c r="BN201" s="3"/>
      <c r="BO201" s="3"/>
      <c r="BP201" s="3"/>
      <c r="BQ201" s="3"/>
      <c r="BR201" s="3"/>
      <c r="BS201" s="3"/>
      <c r="BT201" s="3"/>
      <c r="BU201" s="3"/>
      <c r="BV201" s="3"/>
      <c r="BW201" s="3"/>
      <c r="BX201" s="3"/>
      <c r="BY201" s="3"/>
      <c r="BZ201" s="3"/>
      <c r="CA201" s="3"/>
      <c r="CB201" s="3"/>
      <c r="CC201" s="25"/>
      <c r="CD201" s="25"/>
      <c r="CE201" s="25"/>
    </row>
    <row r="202" spans="2:83" s="82" customFormat="1" ht="12" customHeight="1">
      <c r="B202" s="82" t="s">
        <v>1249</v>
      </c>
      <c r="AC202" s="393"/>
      <c r="AG202" s="279" t="s">
        <v>2</v>
      </c>
      <c r="AH202" s="279"/>
      <c r="AI202" s="279"/>
      <c r="AJ202" s="306" t="s">
        <v>494</v>
      </c>
      <c r="BD202" s="730"/>
      <c r="BF202" s="17"/>
      <c r="BG202" s="17"/>
      <c r="BH202" s="17"/>
      <c r="BI202" s="17"/>
      <c r="BJ202" s="17"/>
      <c r="BK202" s="17"/>
      <c r="BL202" s="17"/>
      <c r="BM202" s="3"/>
      <c r="BN202" s="3"/>
      <c r="BO202" s="3"/>
      <c r="BP202" s="3"/>
      <c r="BQ202" s="3"/>
      <c r="BR202" s="3"/>
      <c r="BS202" s="3"/>
      <c r="BT202" s="3"/>
      <c r="BU202" s="3"/>
      <c r="BV202" s="3"/>
      <c r="BW202" s="3"/>
      <c r="BX202" s="3"/>
      <c r="BY202" s="3"/>
      <c r="BZ202" s="3"/>
      <c r="CA202" s="3"/>
      <c r="CB202" s="3"/>
      <c r="CC202" s="25"/>
      <c r="CD202" s="25"/>
      <c r="CE202" s="25"/>
    </row>
    <row r="203" spans="2:83" s="82" customFormat="1" ht="12" customHeight="1">
      <c r="AC203" s="393"/>
      <c r="AG203" s="279" t="s">
        <v>3</v>
      </c>
      <c r="AH203" s="279"/>
      <c r="AI203" s="279"/>
      <c r="AJ203" s="306" t="s">
        <v>495</v>
      </c>
      <c r="BD203" s="730"/>
      <c r="BF203" s="17"/>
      <c r="BG203" s="17"/>
      <c r="BH203" s="17"/>
      <c r="BI203" s="17"/>
      <c r="BJ203" s="17"/>
      <c r="BK203" s="17"/>
      <c r="BL203" s="17"/>
      <c r="BM203" s="3"/>
      <c r="BN203" s="3"/>
      <c r="BO203" s="3"/>
      <c r="BP203" s="3"/>
      <c r="BQ203" s="3"/>
      <c r="BR203" s="3"/>
      <c r="BS203" s="3"/>
      <c r="BT203" s="3"/>
      <c r="BU203" s="3"/>
      <c r="BV203" s="3"/>
      <c r="BW203" s="3"/>
      <c r="BX203" s="3"/>
      <c r="BY203" s="3"/>
      <c r="BZ203" s="3"/>
      <c r="CA203" s="3"/>
      <c r="CB203" s="3"/>
      <c r="CC203" s="25"/>
      <c r="CD203" s="25"/>
      <c r="CE203" s="25"/>
    </row>
    <row r="204" spans="2:83" s="82" customFormat="1" ht="12" customHeight="1">
      <c r="C204" s="522" t="s">
        <v>1215</v>
      </c>
      <c r="AC204" s="393"/>
      <c r="BD204" s="730"/>
      <c r="BF204" s="17"/>
      <c r="BG204" s="17"/>
      <c r="BH204" s="17"/>
      <c r="BI204" s="17"/>
      <c r="BJ204" s="17"/>
      <c r="BK204" s="17"/>
      <c r="BL204" s="17"/>
      <c r="BM204" s="3"/>
      <c r="BN204" s="3"/>
      <c r="BO204" s="3"/>
      <c r="BP204" s="3"/>
      <c r="BQ204" s="3"/>
      <c r="BR204" s="3"/>
      <c r="BS204" s="3"/>
      <c r="BT204" s="3"/>
      <c r="BU204" s="3"/>
      <c r="BV204" s="3"/>
      <c r="BW204" s="3"/>
      <c r="BX204" s="3"/>
      <c r="BY204" s="3"/>
      <c r="BZ204" s="3"/>
      <c r="CA204" s="3"/>
      <c r="CB204" s="3"/>
      <c r="CC204" s="25"/>
      <c r="CD204" s="25"/>
      <c r="CE204" s="25"/>
    </row>
    <row r="205" spans="2:83" s="82" customFormat="1" ht="12" customHeight="1">
      <c r="C205" s="25" t="s">
        <v>519</v>
      </c>
      <c r="AC205" s="393"/>
      <c r="BD205" s="730"/>
      <c r="BF205" s="17"/>
      <c r="BG205" s="17"/>
      <c r="BH205" s="17"/>
      <c r="BI205" s="17"/>
      <c r="BJ205" s="17"/>
      <c r="BK205" s="17"/>
      <c r="BL205" s="17"/>
      <c r="BM205" s="3"/>
      <c r="BN205" s="3"/>
      <c r="BO205" s="3"/>
      <c r="BP205" s="3"/>
      <c r="BQ205" s="3"/>
      <c r="BR205" s="3"/>
      <c r="BS205" s="3"/>
      <c r="BT205" s="3"/>
      <c r="BU205" s="3"/>
      <c r="BV205" s="3"/>
      <c r="BW205" s="3"/>
      <c r="BX205" s="3"/>
      <c r="BY205" s="3"/>
      <c r="BZ205" s="3"/>
      <c r="CA205" s="3"/>
      <c r="CB205" s="3"/>
      <c r="CC205" s="25"/>
      <c r="CD205" s="25"/>
      <c r="CE205" s="25"/>
    </row>
    <row r="206" spans="2:83" s="82" customFormat="1" ht="12" customHeight="1">
      <c r="C206" s="25" t="s">
        <v>1216</v>
      </c>
      <c r="AC206" s="828"/>
      <c r="BD206" s="829"/>
      <c r="BF206" s="17"/>
      <c r="BG206" s="17"/>
      <c r="BH206" s="17"/>
      <c r="BI206" s="17"/>
      <c r="BJ206" s="17"/>
      <c r="BK206" s="17"/>
      <c r="BL206" s="17"/>
      <c r="BM206" s="3"/>
      <c r="BN206" s="3"/>
      <c r="BO206" s="3"/>
      <c r="BP206" s="3"/>
      <c r="BQ206" s="3"/>
      <c r="BR206" s="3"/>
      <c r="BS206" s="3"/>
      <c r="BT206" s="3"/>
      <c r="BU206" s="3"/>
      <c r="BV206" s="3"/>
      <c r="BW206" s="3"/>
      <c r="BX206" s="3"/>
      <c r="BY206" s="3"/>
      <c r="BZ206" s="3"/>
      <c r="CA206" s="3"/>
      <c r="CB206" s="3"/>
      <c r="CC206" s="25"/>
      <c r="CD206" s="25"/>
      <c r="CE206" s="25"/>
    </row>
    <row r="207" spans="2:83" s="82" customFormat="1" ht="12" customHeight="1">
      <c r="C207" s="25" t="s">
        <v>1345</v>
      </c>
      <c r="AC207" s="828"/>
      <c r="BD207" s="829"/>
      <c r="BF207" s="17"/>
      <c r="BG207" s="17"/>
      <c r="BH207" s="17"/>
      <c r="BI207" s="17"/>
      <c r="BJ207" s="17"/>
      <c r="BK207" s="17"/>
      <c r="BL207" s="17"/>
      <c r="BM207" s="3"/>
      <c r="BN207" s="3"/>
      <c r="BO207" s="3"/>
      <c r="BP207" s="3"/>
      <c r="BQ207" s="3"/>
      <c r="BR207" s="3"/>
      <c r="BS207" s="3"/>
      <c r="BT207" s="3"/>
      <c r="BU207" s="3"/>
      <c r="BV207" s="3"/>
      <c r="BW207" s="3"/>
      <c r="BX207" s="3"/>
      <c r="BY207" s="3"/>
      <c r="BZ207" s="3"/>
      <c r="CA207" s="3"/>
      <c r="CB207" s="3"/>
      <c r="CC207" s="25"/>
      <c r="CD207" s="25"/>
      <c r="CE207" s="25"/>
    </row>
    <row r="208" spans="2:83" s="82" customFormat="1" ht="12" customHeight="1">
      <c r="C208" s="391" t="s">
        <v>1214</v>
      </c>
      <c r="AC208" s="828"/>
      <c r="BD208" s="829"/>
      <c r="BF208" s="17"/>
      <c r="BG208" s="17"/>
      <c r="BH208" s="17"/>
      <c r="BI208" s="17"/>
      <c r="BJ208" s="17"/>
      <c r="BK208" s="17"/>
      <c r="BL208" s="17"/>
      <c r="BM208" s="3"/>
      <c r="BN208" s="3"/>
      <c r="BO208" s="3"/>
      <c r="BP208" s="3"/>
      <c r="BQ208" s="3"/>
      <c r="BR208" s="3"/>
      <c r="BS208" s="3"/>
      <c r="BT208" s="3"/>
      <c r="BU208" s="3"/>
      <c r="BV208" s="3"/>
      <c r="BW208" s="3"/>
      <c r="BX208" s="3"/>
      <c r="BY208" s="3"/>
      <c r="BZ208" s="3"/>
      <c r="CA208" s="3"/>
      <c r="CB208" s="3"/>
      <c r="CC208" s="25"/>
      <c r="CD208" s="25"/>
      <c r="CE208" s="25"/>
    </row>
    <row r="209" spans="2:83" s="82" customFormat="1" ht="12" customHeight="1">
      <c r="B209" s="3"/>
      <c r="C209" s="25" t="s">
        <v>1436</v>
      </c>
      <c r="AC209" s="828"/>
      <c r="BD209" s="829"/>
      <c r="BF209" s="17"/>
      <c r="BG209" s="17"/>
      <c r="BH209" s="17"/>
      <c r="BI209" s="17"/>
      <c r="BJ209" s="17"/>
      <c r="BK209" s="17"/>
      <c r="BL209" s="17"/>
      <c r="BM209" s="3"/>
      <c r="BN209" s="3"/>
      <c r="BO209" s="3"/>
      <c r="BP209" s="3"/>
      <c r="BQ209" s="3"/>
      <c r="BR209" s="3"/>
      <c r="BS209" s="3"/>
      <c r="BT209" s="3"/>
      <c r="BU209" s="3"/>
      <c r="BV209" s="3"/>
      <c r="BW209" s="3"/>
      <c r="BX209" s="3"/>
      <c r="BY209" s="3"/>
      <c r="BZ209" s="3"/>
      <c r="CA209" s="3"/>
      <c r="CB209" s="3"/>
      <c r="CC209" s="25"/>
      <c r="CD209" s="25"/>
      <c r="CE209" s="25"/>
    </row>
    <row r="210" spans="2:83" s="82" customFormat="1" ht="12" customHeight="1">
      <c r="B210" s="3"/>
      <c r="C210" s="391" t="s">
        <v>1437</v>
      </c>
      <c r="AC210" s="828"/>
      <c r="BD210" s="829"/>
      <c r="BF210" s="17"/>
      <c r="BG210" s="17"/>
      <c r="BH210" s="17"/>
      <c r="BI210" s="17"/>
      <c r="BJ210" s="17"/>
      <c r="BK210" s="17"/>
      <c r="BL210" s="17"/>
      <c r="BM210" s="3"/>
      <c r="BN210" s="3"/>
      <c r="BO210" s="3"/>
      <c r="BP210" s="3"/>
      <c r="BQ210" s="3"/>
      <c r="BR210" s="3"/>
      <c r="BS210" s="3"/>
      <c r="BT210" s="3"/>
      <c r="BU210" s="3"/>
      <c r="BV210" s="3"/>
      <c r="BW210" s="3"/>
      <c r="BX210" s="3"/>
      <c r="BY210" s="3"/>
      <c r="BZ210" s="3"/>
      <c r="CA210" s="3"/>
      <c r="CB210" s="3"/>
      <c r="CC210" s="25"/>
      <c r="CD210" s="25"/>
      <c r="CE210" s="25"/>
    </row>
    <row r="211" spans="2:83" s="82" customFormat="1" ht="12" customHeight="1">
      <c r="B211" s="11"/>
      <c r="C211" s="25"/>
      <c r="AC211" s="393"/>
      <c r="BD211" s="730"/>
      <c r="BF211" s="17"/>
      <c r="BG211" s="17"/>
      <c r="BH211" s="17"/>
      <c r="BI211" s="17"/>
      <c r="BJ211" s="17"/>
      <c r="BK211" s="17"/>
      <c r="BL211" s="17"/>
      <c r="BM211" s="3"/>
      <c r="BN211" s="3"/>
      <c r="BO211" s="3"/>
      <c r="BP211" s="3"/>
      <c r="BQ211" s="3"/>
      <c r="BR211" s="3"/>
      <c r="BS211" s="3"/>
      <c r="BT211" s="3"/>
      <c r="BU211" s="3"/>
      <c r="BV211" s="3"/>
      <c r="BW211" s="3"/>
      <c r="BX211" s="3"/>
      <c r="BY211" s="3"/>
      <c r="BZ211" s="3"/>
      <c r="CA211" s="3"/>
      <c r="CB211" s="3"/>
      <c r="CC211" s="25"/>
      <c r="CD211" s="25"/>
      <c r="CE211" s="25"/>
    </row>
    <row r="212" spans="2:83" s="82" customFormat="1" ht="12" customHeight="1">
      <c r="C212" s="25" t="s">
        <v>1217</v>
      </c>
      <c r="AC212" s="393"/>
      <c r="BD212" s="730"/>
      <c r="BF212" s="17"/>
      <c r="BG212" s="17"/>
      <c r="BH212" s="17"/>
      <c r="BI212" s="17"/>
      <c r="BJ212" s="17"/>
      <c r="BK212" s="17"/>
      <c r="BL212" s="17"/>
      <c r="BM212" s="3"/>
      <c r="BN212" s="3"/>
      <c r="BO212" s="3"/>
      <c r="BP212" s="3"/>
      <c r="BQ212" s="3"/>
      <c r="BR212" s="3"/>
      <c r="BS212" s="3"/>
      <c r="BT212" s="3"/>
      <c r="BU212" s="3"/>
      <c r="BV212" s="3"/>
      <c r="BW212" s="3"/>
      <c r="BX212" s="3"/>
      <c r="BY212" s="3"/>
      <c r="BZ212" s="3"/>
      <c r="CA212" s="3"/>
      <c r="CB212" s="3"/>
      <c r="CC212" s="25"/>
      <c r="CD212" s="25"/>
      <c r="CE212" s="25"/>
    </row>
    <row r="213" spans="2:83" s="82" customFormat="1" ht="12" customHeight="1">
      <c r="B213" s="317"/>
      <c r="C213" s="82" t="s">
        <v>1218</v>
      </c>
      <c r="AC213" s="828"/>
      <c r="AE213" s="522"/>
      <c r="BD213" s="730"/>
      <c r="BF213" s="17"/>
      <c r="BG213" s="17"/>
      <c r="BH213" s="17"/>
      <c r="BI213" s="17"/>
      <c r="BJ213" s="17"/>
      <c r="BK213" s="17"/>
      <c r="BL213" s="17"/>
      <c r="BM213" s="3"/>
      <c r="BN213" s="3"/>
      <c r="BO213" s="3"/>
      <c r="BP213" s="3"/>
      <c r="BQ213" s="3"/>
      <c r="BR213" s="3"/>
      <c r="BS213" s="3"/>
      <c r="BT213" s="3"/>
      <c r="BU213" s="3"/>
      <c r="BV213" s="3"/>
      <c r="BW213" s="3"/>
      <c r="BX213" s="3"/>
      <c r="BY213" s="3"/>
      <c r="BZ213" s="3"/>
      <c r="CA213" s="3"/>
      <c r="CB213" s="3"/>
      <c r="CC213" s="25"/>
      <c r="CD213" s="25"/>
      <c r="CE213" s="25"/>
    </row>
    <row r="214" spans="2:83" s="82" customFormat="1" ht="12" customHeight="1">
      <c r="B214" s="318"/>
      <c r="C214" s="82" t="s">
        <v>1219</v>
      </c>
      <c r="AC214" s="393"/>
      <c r="BD214" s="730"/>
      <c r="BF214" s="17"/>
      <c r="BG214" s="17"/>
      <c r="BH214" s="17"/>
      <c r="BI214" s="17"/>
      <c r="BJ214" s="17"/>
      <c r="BK214" s="17"/>
      <c r="BL214" s="17"/>
      <c r="BM214" s="3"/>
      <c r="BN214" s="3"/>
      <c r="BO214" s="3"/>
      <c r="BP214" s="3"/>
      <c r="BQ214" s="3"/>
      <c r="BR214" s="3"/>
      <c r="BS214" s="3"/>
      <c r="BT214" s="3"/>
      <c r="BU214" s="3"/>
      <c r="BV214" s="3"/>
      <c r="BW214" s="3"/>
      <c r="BX214" s="3"/>
      <c r="BY214" s="3"/>
      <c r="BZ214" s="3"/>
      <c r="CA214" s="3"/>
      <c r="CB214" s="3"/>
      <c r="CC214" s="25"/>
      <c r="CD214" s="25"/>
      <c r="CE214" s="25"/>
    </row>
    <row r="215" spans="2:83" s="82" customFormat="1" ht="12" customHeight="1">
      <c r="B215" s="25"/>
      <c r="C215" s="82" t="s">
        <v>1245</v>
      </c>
      <c r="I215" s="1229"/>
      <c r="AC215" s="393"/>
      <c r="BD215" s="730"/>
      <c r="BF215" s="17"/>
      <c r="BG215" s="17"/>
      <c r="BH215" s="17"/>
      <c r="BI215" s="17"/>
      <c r="BJ215" s="17"/>
      <c r="BK215" s="17"/>
      <c r="BL215" s="17"/>
      <c r="BM215" s="3"/>
      <c r="BN215" s="3"/>
      <c r="BO215" s="3"/>
      <c r="BP215" s="3"/>
      <c r="BQ215" s="3"/>
      <c r="BR215" s="3"/>
      <c r="BS215" s="3"/>
      <c r="BT215" s="3"/>
      <c r="BU215" s="3"/>
      <c r="BV215" s="3"/>
      <c r="BW215" s="3"/>
      <c r="BX215" s="3"/>
      <c r="BY215" s="3"/>
      <c r="BZ215" s="3"/>
      <c r="CA215" s="3"/>
      <c r="CB215" s="3"/>
      <c r="CC215" s="25"/>
      <c r="CD215" s="25"/>
      <c r="CE215" s="25"/>
    </row>
    <row r="216" spans="2:83" s="82" customFormat="1" ht="12" customHeight="1">
      <c r="B216" s="25"/>
      <c r="AC216" s="828"/>
      <c r="BD216" s="829"/>
      <c r="BF216" s="17"/>
      <c r="BG216" s="17"/>
      <c r="BH216" s="17"/>
      <c r="BI216" s="17"/>
      <c r="BJ216" s="17"/>
      <c r="BK216" s="17"/>
      <c r="BL216" s="17"/>
      <c r="BM216" s="3"/>
      <c r="BN216" s="3"/>
      <c r="BO216" s="3"/>
      <c r="BP216" s="3"/>
      <c r="BQ216" s="3"/>
      <c r="BR216" s="3"/>
      <c r="BS216" s="3"/>
      <c r="BT216" s="3"/>
      <c r="BU216" s="3"/>
      <c r="BV216" s="3"/>
      <c r="BW216" s="3"/>
      <c r="BX216" s="3"/>
      <c r="BY216" s="3"/>
      <c r="BZ216" s="3"/>
      <c r="CA216" s="3"/>
      <c r="CB216" s="3"/>
      <c r="CC216" s="25"/>
      <c r="CD216" s="25"/>
      <c r="CE216" s="25"/>
    </row>
    <row r="217" spans="2:83" s="82" customFormat="1" ht="12" customHeight="1">
      <c r="B217" s="25" t="s">
        <v>1438</v>
      </c>
      <c r="AC217" s="828"/>
      <c r="BD217" s="829"/>
      <c r="BF217" s="17"/>
      <c r="BG217" s="17"/>
      <c r="BH217" s="17"/>
      <c r="BI217" s="17"/>
      <c r="BJ217" s="17"/>
      <c r="BK217" s="17"/>
      <c r="BL217" s="17"/>
      <c r="BM217" s="3"/>
      <c r="BN217" s="3"/>
      <c r="BO217" s="3"/>
      <c r="BP217" s="3"/>
      <c r="BQ217" s="3"/>
      <c r="BR217" s="3"/>
      <c r="BS217" s="3"/>
      <c r="BT217" s="3"/>
      <c r="BU217" s="3"/>
      <c r="BV217" s="3"/>
      <c r="BW217" s="3"/>
      <c r="BX217" s="3"/>
      <c r="BY217" s="3"/>
      <c r="BZ217" s="3"/>
      <c r="CA217" s="3"/>
      <c r="CB217" s="3"/>
      <c r="CC217" s="25"/>
      <c r="CD217" s="25"/>
      <c r="CE217" s="25"/>
    </row>
    <row r="218" spans="2:83" s="82" customFormat="1" ht="12" customHeight="1">
      <c r="B218" s="25" t="s">
        <v>1439</v>
      </c>
      <c r="AC218" s="828"/>
      <c r="BD218" s="829"/>
      <c r="BF218" s="17"/>
      <c r="BG218" s="17"/>
      <c r="BH218" s="17"/>
      <c r="BI218" s="17"/>
      <c r="BJ218" s="17"/>
      <c r="BK218" s="17"/>
      <c r="BL218" s="17"/>
      <c r="BM218" s="3"/>
      <c r="BN218" s="3"/>
      <c r="BO218" s="3"/>
      <c r="BP218" s="3"/>
      <c r="BQ218" s="3"/>
      <c r="BR218" s="3"/>
      <c r="BS218" s="3"/>
      <c r="BT218" s="3"/>
      <c r="BU218" s="3"/>
      <c r="BV218" s="3"/>
      <c r="BW218" s="3"/>
      <c r="BX218" s="3"/>
      <c r="BY218" s="3"/>
      <c r="BZ218" s="3"/>
      <c r="CA218" s="3"/>
      <c r="CB218" s="3"/>
      <c r="CC218" s="25"/>
      <c r="CD218" s="25"/>
      <c r="CE218" s="25"/>
    </row>
    <row r="219" spans="2:83" s="82" customFormat="1" ht="12" customHeight="1">
      <c r="B219" s="25" t="s">
        <v>1440</v>
      </c>
      <c r="AC219" s="828"/>
      <c r="BD219" s="829"/>
      <c r="BF219" s="17"/>
      <c r="BG219" s="17"/>
      <c r="BH219" s="17"/>
      <c r="BI219" s="17"/>
      <c r="BJ219" s="17"/>
      <c r="BK219" s="17"/>
      <c r="BL219" s="17"/>
      <c r="BM219" s="3"/>
      <c r="BN219" s="3"/>
      <c r="BO219" s="3"/>
      <c r="BP219" s="3"/>
      <c r="BQ219" s="3"/>
      <c r="BR219" s="3"/>
      <c r="BS219" s="3"/>
      <c r="BT219" s="3"/>
      <c r="BU219" s="3"/>
      <c r="BV219" s="3"/>
      <c r="BW219" s="3"/>
      <c r="BX219" s="3"/>
      <c r="BY219" s="3"/>
      <c r="BZ219" s="3"/>
      <c r="CA219" s="3"/>
      <c r="CB219" s="3"/>
      <c r="CC219" s="25"/>
      <c r="CD219" s="25"/>
      <c r="CE219" s="25"/>
    </row>
    <row r="220" spans="2:83" s="82" customFormat="1" ht="12" customHeight="1">
      <c r="B220" s="25" t="s">
        <v>1441</v>
      </c>
      <c r="AC220" s="828"/>
      <c r="BD220" s="829"/>
      <c r="BF220" s="17"/>
      <c r="BG220" s="17"/>
      <c r="BH220" s="17"/>
      <c r="BI220" s="17"/>
      <c r="BJ220" s="17"/>
      <c r="BK220" s="17"/>
      <c r="BL220" s="17"/>
      <c r="BM220" s="3"/>
      <c r="BN220" s="3"/>
      <c r="BO220" s="3"/>
      <c r="BP220" s="3"/>
      <c r="BQ220" s="3"/>
      <c r="BR220" s="3"/>
      <c r="BS220" s="3"/>
      <c r="BT220" s="3"/>
      <c r="BU220" s="3"/>
      <c r="BV220" s="3"/>
      <c r="BW220" s="3"/>
      <c r="BX220" s="3"/>
      <c r="BY220" s="3"/>
      <c r="BZ220" s="3"/>
      <c r="CA220" s="3"/>
      <c r="CB220" s="3"/>
      <c r="CC220" s="25"/>
      <c r="CD220" s="25"/>
      <c r="CE220" s="25"/>
    </row>
    <row r="221" spans="2:83" s="82" customFormat="1" ht="12" customHeight="1">
      <c r="B221" s="25"/>
      <c r="AC221" s="828"/>
      <c r="BD221" s="829"/>
      <c r="BF221" s="17"/>
      <c r="BG221" s="17"/>
      <c r="BH221" s="17"/>
      <c r="BI221" s="17"/>
      <c r="BJ221" s="17"/>
      <c r="BK221" s="17"/>
      <c r="BL221" s="17"/>
      <c r="BM221" s="3"/>
      <c r="BN221" s="3"/>
      <c r="BO221" s="3"/>
      <c r="BP221" s="3"/>
      <c r="BQ221" s="3"/>
      <c r="BR221" s="3"/>
      <c r="BS221" s="3"/>
      <c r="BT221" s="3"/>
      <c r="BU221" s="3"/>
      <c r="BV221" s="3"/>
      <c r="BW221" s="3"/>
      <c r="BX221" s="3"/>
      <c r="BY221" s="3"/>
      <c r="BZ221" s="3"/>
      <c r="CA221" s="3"/>
      <c r="CB221" s="3"/>
      <c r="CC221" s="25"/>
      <c r="CD221" s="25"/>
      <c r="CE221" s="25"/>
    </row>
    <row r="222" spans="2:83" s="82" customFormat="1" ht="12" customHeight="1">
      <c r="B222" s="310" t="s">
        <v>534</v>
      </c>
      <c r="AC222" s="319">
        <v>137</v>
      </c>
      <c r="BD222" s="730"/>
      <c r="BF222" s="17"/>
      <c r="BG222" s="17"/>
      <c r="BH222" s="17"/>
      <c r="BI222" s="17"/>
      <c r="BJ222" s="17"/>
      <c r="BK222" s="17"/>
      <c r="BL222" s="17"/>
      <c r="BM222" s="3"/>
      <c r="BN222" s="3"/>
      <c r="BO222" s="3"/>
      <c r="BP222" s="3"/>
      <c r="BQ222" s="3"/>
      <c r="BR222" s="3"/>
      <c r="BS222" s="3"/>
      <c r="BT222" s="3"/>
      <c r="BU222" s="3"/>
      <c r="BV222" s="3"/>
      <c r="BW222" s="3"/>
      <c r="BX222" s="3"/>
      <c r="BY222" s="3"/>
      <c r="BZ222" s="3"/>
      <c r="CA222" s="3"/>
      <c r="CB222" s="3"/>
      <c r="CC222" s="25"/>
      <c r="CD222" s="25"/>
      <c r="CE222" s="25"/>
    </row>
    <row r="223" spans="2:83" s="82" customFormat="1" ht="12" customHeight="1">
      <c r="B223" s="275" t="s">
        <v>537</v>
      </c>
      <c r="AC223" s="393"/>
      <c r="BD223" s="730"/>
      <c r="BF223" s="17"/>
      <c r="BG223" s="17"/>
      <c r="BH223" s="17"/>
      <c r="BI223" s="17"/>
      <c r="BJ223" s="17"/>
      <c r="BK223" s="17"/>
      <c r="BL223" s="17"/>
      <c r="BM223" s="3"/>
      <c r="BN223" s="3"/>
      <c r="BO223" s="3"/>
      <c r="BP223" s="3"/>
      <c r="BQ223" s="3"/>
      <c r="BR223" s="3"/>
      <c r="BS223" s="3"/>
      <c r="BT223" s="3"/>
      <c r="BU223" s="3"/>
      <c r="BV223" s="3"/>
      <c r="BW223" s="3"/>
      <c r="BX223" s="3"/>
      <c r="BY223" s="3"/>
      <c r="BZ223" s="3"/>
      <c r="CA223" s="3"/>
      <c r="CB223" s="3"/>
      <c r="CC223" s="25"/>
      <c r="CD223" s="25"/>
      <c r="CE223" s="25"/>
    </row>
    <row r="224" spans="2:83" s="82" customFormat="1" ht="12" customHeight="1">
      <c r="B224" s="275" t="s">
        <v>538</v>
      </c>
      <c r="AC224" s="393"/>
      <c r="BD224" s="730"/>
      <c r="BF224" s="17"/>
      <c r="BG224" s="17"/>
      <c r="BH224" s="17"/>
      <c r="BI224" s="17"/>
      <c r="BJ224" s="17"/>
      <c r="BK224" s="17"/>
      <c r="BL224" s="17"/>
      <c r="BM224" s="3"/>
      <c r="BN224" s="3"/>
      <c r="BO224" s="3"/>
      <c r="BP224" s="3"/>
      <c r="BQ224" s="3"/>
      <c r="BR224" s="3"/>
      <c r="BS224" s="3"/>
      <c r="BT224" s="3"/>
      <c r="BU224" s="3"/>
      <c r="BV224" s="3"/>
      <c r="BW224" s="3"/>
      <c r="BX224" s="3"/>
      <c r="BY224" s="3"/>
      <c r="BZ224" s="3"/>
      <c r="CA224" s="3"/>
      <c r="CB224" s="3"/>
      <c r="CC224" s="25"/>
      <c r="CD224" s="25"/>
      <c r="CE224" s="25"/>
    </row>
    <row r="225" spans="2:83" s="82" customFormat="1" ht="12" customHeight="1">
      <c r="B225" s="275" t="s">
        <v>540</v>
      </c>
      <c r="AC225" s="393"/>
      <c r="BD225" s="730"/>
      <c r="BF225" s="17"/>
      <c r="BG225" s="17"/>
      <c r="BH225" s="17"/>
      <c r="BI225" s="17"/>
      <c r="BJ225" s="17"/>
      <c r="BK225" s="17"/>
      <c r="BL225" s="17"/>
      <c r="BM225" s="3"/>
      <c r="BN225" s="3"/>
      <c r="BO225" s="3"/>
      <c r="BP225" s="3"/>
      <c r="BQ225" s="3"/>
      <c r="BR225" s="3"/>
      <c r="BS225" s="3"/>
      <c r="BT225" s="3"/>
      <c r="BU225" s="3"/>
      <c r="BV225" s="3"/>
      <c r="BW225" s="3"/>
      <c r="BX225" s="3"/>
      <c r="BY225" s="3"/>
      <c r="BZ225" s="3"/>
      <c r="CA225" s="3"/>
      <c r="CB225" s="3"/>
      <c r="CC225" s="25"/>
      <c r="CD225" s="25"/>
      <c r="CE225" s="25"/>
    </row>
    <row r="226" spans="2:83" s="82" customFormat="1" ht="12" customHeight="1">
      <c r="B226" s="275" t="s">
        <v>541</v>
      </c>
      <c r="AC226" s="393"/>
      <c r="BD226" s="730"/>
      <c r="BF226" s="17"/>
      <c r="BG226" s="17"/>
      <c r="BH226" s="17"/>
      <c r="BI226" s="17"/>
      <c r="BJ226" s="17"/>
      <c r="BK226" s="17"/>
      <c r="BL226" s="17"/>
      <c r="BM226" s="3"/>
      <c r="BN226" s="3"/>
      <c r="BO226" s="3"/>
      <c r="BP226" s="3"/>
      <c r="BQ226" s="3"/>
      <c r="BR226" s="3"/>
      <c r="BS226" s="3"/>
      <c r="BT226" s="3"/>
      <c r="BU226" s="3"/>
      <c r="BV226" s="3"/>
      <c r="BW226" s="3"/>
      <c r="BX226" s="3"/>
      <c r="BY226" s="3"/>
      <c r="BZ226" s="3"/>
      <c r="CA226" s="3"/>
      <c r="CB226" s="3"/>
      <c r="CC226" s="25"/>
      <c r="CD226" s="25"/>
      <c r="CE226" s="25"/>
    </row>
    <row r="227" spans="2:83" s="82" customFormat="1" ht="12" customHeight="1">
      <c r="B227" s="275" t="s">
        <v>1442</v>
      </c>
      <c r="AC227" s="393"/>
      <c r="BD227" s="730"/>
      <c r="BF227" s="17"/>
      <c r="BG227" s="17"/>
      <c r="BH227" s="17"/>
      <c r="BI227" s="17"/>
      <c r="BJ227" s="17"/>
      <c r="BK227" s="17"/>
      <c r="BL227" s="17"/>
      <c r="BM227" s="3"/>
      <c r="BN227" s="3"/>
      <c r="BO227" s="3"/>
      <c r="BP227" s="3"/>
      <c r="BQ227" s="3"/>
      <c r="BR227" s="3"/>
      <c r="BS227" s="3"/>
      <c r="BT227" s="3"/>
      <c r="BU227" s="3"/>
      <c r="BV227" s="3"/>
      <c r="BW227" s="3"/>
      <c r="BX227" s="3"/>
      <c r="BY227" s="3"/>
      <c r="BZ227" s="3"/>
      <c r="CA227" s="3"/>
      <c r="CB227" s="3"/>
      <c r="CC227" s="25"/>
      <c r="CD227" s="25"/>
      <c r="CE227" s="25"/>
    </row>
    <row r="228" spans="2:83" s="82" customFormat="1" ht="12" customHeight="1">
      <c r="AC228" s="393"/>
      <c r="BD228" s="730"/>
      <c r="BF228" s="17"/>
      <c r="BG228" s="17"/>
      <c r="BH228" s="17"/>
      <c r="BI228" s="17"/>
      <c r="BJ228" s="17"/>
      <c r="BK228" s="17"/>
      <c r="BL228" s="17"/>
      <c r="BM228" s="3"/>
      <c r="BN228" s="3"/>
      <c r="BO228" s="3"/>
      <c r="BP228" s="3"/>
      <c r="BQ228" s="3"/>
      <c r="BR228" s="3"/>
      <c r="BS228" s="3"/>
      <c r="BT228" s="3"/>
      <c r="BU228" s="3"/>
      <c r="BV228" s="3"/>
      <c r="BW228" s="3"/>
      <c r="BX228" s="3"/>
      <c r="BY228" s="3"/>
      <c r="BZ228" s="3"/>
      <c r="CA228" s="3"/>
      <c r="CB228" s="3"/>
      <c r="CC228" s="25"/>
      <c r="CD228" s="25"/>
      <c r="CE228" s="25"/>
    </row>
    <row r="229" spans="2:83" s="82" customFormat="1" ht="12" customHeight="1">
      <c r="B229" s="25" t="s">
        <v>539</v>
      </c>
      <c r="AC229" s="393"/>
      <c r="BD229" s="730"/>
      <c r="BF229" s="17"/>
      <c r="BG229" s="17"/>
      <c r="BH229" s="17"/>
      <c r="BI229" s="17"/>
      <c r="BJ229" s="17"/>
      <c r="BK229" s="17"/>
      <c r="BL229" s="17"/>
      <c r="BM229" s="3"/>
      <c r="BN229" s="3"/>
      <c r="BO229" s="3"/>
      <c r="BP229" s="3"/>
      <c r="BQ229" s="3"/>
      <c r="BR229" s="3"/>
      <c r="BS229" s="3"/>
      <c r="BT229" s="3"/>
      <c r="BU229" s="3"/>
      <c r="BV229" s="3"/>
      <c r="BW229" s="3"/>
      <c r="BX229" s="3"/>
      <c r="BY229" s="3"/>
      <c r="BZ229" s="3"/>
      <c r="CA229" s="3"/>
      <c r="CB229" s="3"/>
      <c r="CC229" s="25"/>
      <c r="CD229" s="25"/>
      <c r="CE229" s="25"/>
    </row>
    <row r="230" spans="2:83" s="82" customFormat="1" ht="12" customHeight="1">
      <c r="AC230" s="393"/>
      <c r="BD230" s="730"/>
      <c r="BF230" s="17"/>
      <c r="BG230" s="17"/>
      <c r="BH230" s="17"/>
      <c r="BI230" s="17"/>
      <c r="BJ230" s="17"/>
      <c r="BK230" s="17"/>
      <c r="BL230" s="17"/>
      <c r="BM230" s="3"/>
      <c r="BN230" s="3"/>
      <c r="BO230" s="3"/>
      <c r="BP230" s="3"/>
      <c r="BQ230" s="3"/>
      <c r="BR230" s="3"/>
      <c r="BS230" s="3"/>
      <c r="BT230" s="3"/>
      <c r="BU230" s="3"/>
      <c r="BV230" s="3"/>
      <c r="BW230" s="3"/>
      <c r="BX230" s="3"/>
      <c r="BY230" s="3"/>
      <c r="BZ230" s="3"/>
      <c r="CA230" s="3"/>
      <c r="CB230" s="3"/>
      <c r="CC230" s="25"/>
      <c r="CD230" s="25"/>
      <c r="CE230" s="25"/>
    </row>
    <row r="231" spans="2:83" s="82" customFormat="1" ht="12" customHeight="1">
      <c r="B231" s="25" t="s">
        <v>1302</v>
      </c>
      <c r="AC231" s="393"/>
      <c r="AG231" s="323"/>
      <c r="AH231" s="281" t="s">
        <v>176</v>
      </c>
      <c r="AI231" s="280"/>
      <c r="AJ231" s="322" t="s">
        <v>436</v>
      </c>
      <c r="BD231" s="730"/>
      <c r="BF231" s="17"/>
      <c r="BG231" s="17"/>
      <c r="BH231" s="17"/>
      <c r="BI231" s="17"/>
      <c r="BJ231" s="17"/>
      <c r="BK231" s="17"/>
      <c r="BL231" s="17"/>
      <c r="BM231" s="3"/>
      <c r="BN231" s="3"/>
      <c r="BO231" s="3"/>
      <c r="BP231" s="3"/>
      <c r="BQ231" s="3"/>
      <c r="BR231" s="3"/>
      <c r="BS231" s="3"/>
      <c r="BT231" s="3"/>
      <c r="BU231" s="3"/>
      <c r="BV231" s="3"/>
      <c r="BW231" s="3"/>
      <c r="BX231" s="3"/>
      <c r="BY231" s="3"/>
      <c r="BZ231" s="3"/>
      <c r="CA231" s="3"/>
      <c r="CB231" s="3"/>
      <c r="CC231" s="25"/>
      <c r="CD231" s="25"/>
      <c r="CE231" s="25"/>
    </row>
    <row r="232" spans="2:83" s="82" customFormat="1" ht="12" customHeight="1" thickBot="1">
      <c r="B232" s="25" t="s">
        <v>1303</v>
      </c>
      <c r="AC232" s="393"/>
      <c r="AH232" s="96"/>
      <c r="AI232" s="96"/>
      <c r="AJ232" s="281" t="s">
        <v>427</v>
      </c>
      <c r="BD232" s="730"/>
      <c r="BF232" s="17"/>
      <c r="BG232" s="17"/>
      <c r="BH232" s="17"/>
      <c r="BI232" s="17"/>
      <c r="BJ232" s="17"/>
      <c r="BK232" s="17"/>
      <c r="BL232" s="17"/>
      <c r="BM232" s="3"/>
      <c r="BN232" s="3"/>
      <c r="BO232" s="3"/>
      <c r="BP232" s="3"/>
      <c r="BQ232" s="3"/>
      <c r="BR232" s="3"/>
      <c r="BS232" s="3"/>
      <c r="BT232" s="3"/>
      <c r="BU232" s="3"/>
      <c r="BV232" s="3"/>
      <c r="BW232" s="3"/>
      <c r="BX232" s="3"/>
      <c r="BY232" s="3"/>
      <c r="BZ232" s="3"/>
      <c r="CA232" s="3"/>
      <c r="CB232" s="3"/>
      <c r="CC232" s="25"/>
      <c r="CD232" s="25"/>
      <c r="CE232" s="25"/>
    </row>
    <row r="233" spans="2:83" s="82" customFormat="1" ht="12" customHeight="1" thickBot="1">
      <c r="AC233" s="393"/>
      <c r="AG233" s="2832" t="s">
        <v>0</v>
      </c>
      <c r="AH233" s="2833"/>
      <c r="AI233" s="402"/>
      <c r="AJ233" s="2832" t="s">
        <v>495</v>
      </c>
      <c r="AK233" s="2833"/>
      <c r="BD233" s="730"/>
      <c r="BF233" s="17"/>
      <c r="BG233" s="17"/>
      <c r="BH233" s="17"/>
      <c r="BI233" s="17"/>
      <c r="BJ233" s="17"/>
      <c r="BK233" s="17"/>
      <c r="BL233" s="17"/>
      <c r="BM233" s="3"/>
      <c r="BN233" s="3"/>
      <c r="BO233" s="3"/>
      <c r="BP233" s="3"/>
      <c r="BQ233" s="3"/>
      <c r="BR233" s="3"/>
      <c r="BS233" s="3"/>
      <c r="BT233" s="3"/>
      <c r="BU233" s="3"/>
      <c r="BV233" s="3"/>
      <c r="BW233" s="3"/>
      <c r="BX233" s="3"/>
      <c r="BY233" s="3"/>
      <c r="BZ233" s="3"/>
      <c r="CA233" s="3"/>
      <c r="CB233" s="3"/>
      <c r="CC233" s="25"/>
      <c r="CD233" s="25"/>
      <c r="CE233" s="25"/>
    </row>
    <row r="234" spans="2:83" s="82" customFormat="1" ht="12" customHeight="1">
      <c r="B234" s="82" t="s">
        <v>542</v>
      </c>
      <c r="AC234" s="393"/>
      <c r="BD234" s="730"/>
      <c r="BF234" s="17"/>
      <c r="BG234" s="17"/>
      <c r="BH234" s="17"/>
      <c r="BI234" s="17"/>
      <c r="BJ234" s="17"/>
      <c r="BK234" s="17"/>
      <c r="BL234" s="17"/>
      <c r="BM234" s="3"/>
      <c r="BN234" s="3"/>
      <c r="BO234" s="3"/>
      <c r="BP234" s="3"/>
      <c r="BQ234" s="3"/>
      <c r="BR234" s="3"/>
      <c r="BS234" s="3"/>
      <c r="BT234" s="3"/>
      <c r="BU234" s="3"/>
      <c r="BV234" s="3"/>
      <c r="BW234" s="3"/>
      <c r="BX234" s="3"/>
      <c r="BY234" s="3"/>
      <c r="BZ234" s="3"/>
      <c r="CA234" s="3"/>
      <c r="CB234" s="3"/>
      <c r="CC234" s="25"/>
      <c r="CD234" s="25"/>
      <c r="CE234" s="25"/>
    </row>
    <row r="235" spans="2:83" s="82" customFormat="1" ht="12" customHeight="1">
      <c r="B235" s="82" t="s">
        <v>543</v>
      </c>
      <c r="AC235" s="393"/>
      <c r="AG235" s="279" t="s">
        <v>0</v>
      </c>
      <c r="AH235" s="279"/>
      <c r="AI235" s="279"/>
      <c r="AJ235" s="306" t="s">
        <v>187</v>
      </c>
      <c r="BD235" s="730"/>
      <c r="BF235" s="17"/>
      <c r="BG235" s="17"/>
      <c r="BH235" s="17"/>
      <c r="BI235" s="17"/>
      <c r="BJ235" s="17"/>
      <c r="BK235" s="17"/>
      <c r="BL235" s="17"/>
      <c r="BM235" s="3"/>
      <c r="BN235" s="3"/>
      <c r="BO235" s="3"/>
      <c r="BP235" s="3"/>
      <c r="BQ235" s="3"/>
      <c r="BR235" s="3"/>
      <c r="BS235" s="3"/>
      <c r="BT235" s="3"/>
      <c r="BU235" s="3"/>
      <c r="BV235" s="3"/>
      <c r="BW235" s="3"/>
      <c r="BX235" s="3"/>
      <c r="BY235" s="3"/>
      <c r="BZ235" s="3"/>
      <c r="CA235" s="3"/>
      <c r="CB235" s="3"/>
      <c r="CC235" s="25"/>
      <c r="CD235" s="25"/>
      <c r="CE235" s="25"/>
    </row>
    <row r="236" spans="2:83" s="82" customFormat="1" ht="12" customHeight="1">
      <c r="AC236" s="393"/>
      <c r="AG236" s="279" t="s">
        <v>1</v>
      </c>
      <c r="AH236" s="279"/>
      <c r="AI236" s="279"/>
      <c r="AJ236" s="306" t="s">
        <v>493</v>
      </c>
      <c r="BD236" s="730"/>
      <c r="BF236" s="17"/>
      <c r="BG236" s="17"/>
      <c r="BH236" s="17"/>
      <c r="BI236" s="17"/>
      <c r="BJ236" s="17"/>
      <c r="BK236" s="17"/>
      <c r="BL236" s="17"/>
      <c r="BM236" s="3"/>
      <c r="BN236" s="3"/>
      <c r="BO236" s="3"/>
      <c r="BP236" s="3"/>
      <c r="BQ236" s="3"/>
      <c r="BR236" s="3"/>
      <c r="BS236" s="3"/>
      <c r="BT236" s="3"/>
      <c r="BU236" s="3"/>
      <c r="BV236" s="3"/>
      <c r="BW236" s="3"/>
      <c r="BX236" s="3"/>
      <c r="BY236" s="3"/>
      <c r="BZ236" s="3"/>
      <c r="CA236" s="3"/>
      <c r="CB236" s="3"/>
      <c r="CC236" s="25"/>
      <c r="CD236" s="25"/>
      <c r="CE236" s="25"/>
    </row>
    <row r="237" spans="2:83" s="82" customFormat="1" ht="12" customHeight="1">
      <c r="B237" s="25" t="s">
        <v>544</v>
      </c>
      <c r="AC237" s="393"/>
      <c r="AG237" s="279" t="s">
        <v>2</v>
      </c>
      <c r="AH237" s="279"/>
      <c r="AI237" s="279"/>
      <c r="AJ237" s="306" t="s">
        <v>494</v>
      </c>
      <c r="BD237" s="730"/>
      <c r="BF237" s="17"/>
      <c r="BG237" s="17"/>
      <c r="BH237" s="17"/>
      <c r="BI237" s="17"/>
      <c r="BJ237" s="17"/>
      <c r="BK237" s="17"/>
      <c r="BL237" s="17"/>
      <c r="BM237" s="3"/>
      <c r="BN237" s="3"/>
      <c r="BO237" s="3"/>
      <c r="BP237" s="3"/>
      <c r="BQ237" s="3"/>
      <c r="BR237" s="3"/>
      <c r="BS237" s="3"/>
      <c r="BT237" s="3"/>
      <c r="BU237" s="3"/>
      <c r="BV237" s="3"/>
      <c r="BW237" s="3"/>
      <c r="BX237" s="3"/>
      <c r="BY237" s="3"/>
      <c r="BZ237" s="3"/>
      <c r="CA237" s="3"/>
      <c r="CB237" s="3"/>
      <c r="CC237" s="25"/>
      <c r="CD237" s="25"/>
      <c r="CE237" s="25"/>
    </row>
    <row r="238" spans="2:83" s="82" customFormat="1" ht="12" customHeight="1">
      <c r="B238" s="25" t="s">
        <v>545</v>
      </c>
      <c r="AC238" s="828"/>
      <c r="AG238" s="279" t="s">
        <v>3</v>
      </c>
      <c r="AH238" s="279"/>
      <c r="AI238" s="279"/>
      <c r="AJ238" s="306" t="s">
        <v>495</v>
      </c>
      <c r="BD238" s="730"/>
      <c r="BF238" s="17"/>
      <c r="BG238" s="17"/>
      <c r="BH238" s="17"/>
      <c r="BI238" s="17"/>
      <c r="BJ238" s="17"/>
      <c r="BK238" s="17"/>
      <c r="BL238" s="17"/>
      <c r="BM238" s="3"/>
      <c r="BN238" s="3"/>
      <c r="BO238" s="3"/>
      <c r="BP238" s="3"/>
      <c r="BQ238" s="3"/>
      <c r="BR238" s="3"/>
      <c r="BS238" s="3"/>
      <c r="BT238" s="3"/>
      <c r="BU238" s="3"/>
      <c r="BV238" s="3"/>
      <c r="BW238" s="3"/>
      <c r="BX238" s="3"/>
      <c r="BY238" s="3"/>
      <c r="BZ238" s="3"/>
      <c r="CA238" s="3"/>
      <c r="CB238" s="3"/>
      <c r="CC238" s="25"/>
      <c r="CD238" s="25"/>
      <c r="CE238" s="25"/>
    </row>
    <row r="239" spans="2:83" s="82" customFormat="1" ht="12" customHeight="1">
      <c r="AC239" s="393"/>
      <c r="BD239" s="730"/>
      <c r="BF239" s="17"/>
      <c r="BG239" s="17"/>
      <c r="BH239" s="17"/>
      <c r="BI239" s="17"/>
      <c r="BJ239" s="17"/>
      <c r="BK239" s="17"/>
      <c r="BL239" s="17"/>
      <c r="BM239" s="3"/>
      <c r="BN239" s="3"/>
      <c r="BO239" s="3"/>
      <c r="BP239" s="3"/>
      <c r="BQ239" s="3"/>
      <c r="BR239" s="3"/>
      <c r="BS239" s="3"/>
      <c r="BT239" s="3"/>
      <c r="BU239" s="3"/>
      <c r="BV239" s="3"/>
      <c r="BW239" s="3"/>
      <c r="BX239" s="3"/>
      <c r="BY239" s="3"/>
      <c r="BZ239" s="3"/>
      <c r="CA239" s="3"/>
      <c r="CB239" s="3"/>
      <c r="CC239" s="25"/>
      <c r="CD239" s="25"/>
      <c r="CE239" s="25"/>
    </row>
    <row r="240" spans="2:83" s="82" customFormat="1" ht="12" customHeight="1">
      <c r="B240" s="82" t="s">
        <v>1301</v>
      </c>
      <c r="AC240" s="828"/>
      <c r="BD240" s="829"/>
      <c r="BF240" s="17"/>
      <c r="BG240" s="17"/>
      <c r="BH240" s="17"/>
      <c r="BI240" s="17"/>
      <c r="BJ240" s="17"/>
      <c r="BK240" s="17"/>
      <c r="BL240" s="17"/>
      <c r="BM240" s="3"/>
      <c r="BN240" s="3"/>
      <c r="BO240" s="3"/>
      <c r="BP240" s="3"/>
      <c r="BQ240" s="3"/>
      <c r="BR240" s="3"/>
      <c r="BS240" s="3"/>
      <c r="BT240" s="3"/>
      <c r="BU240" s="3"/>
      <c r="BV240" s="3"/>
      <c r="BW240" s="3"/>
      <c r="BX240" s="3"/>
      <c r="BY240" s="3"/>
      <c r="BZ240" s="3"/>
      <c r="CA240" s="3"/>
      <c r="CB240" s="3"/>
      <c r="CC240" s="25"/>
      <c r="CD240" s="25"/>
      <c r="CE240" s="25"/>
    </row>
    <row r="241" spans="2:83" s="82" customFormat="1" ht="12" customHeight="1">
      <c r="B241" s="82" t="s">
        <v>1297</v>
      </c>
      <c r="AC241" s="828"/>
      <c r="BD241" s="829"/>
      <c r="BF241" s="17"/>
      <c r="BG241" s="17"/>
      <c r="BH241" s="17"/>
      <c r="BI241" s="17"/>
      <c r="BJ241" s="17"/>
      <c r="BK241" s="17"/>
      <c r="BL241" s="17"/>
      <c r="BM241" s="3"/>
      <c r="BN241" s="3"/>
      <c r="BO241" s="3"/>
      <c r="BP241" s="3"/>
      <c r="BQ241" s="3"/>
      <c r="BR241" s="3"/>
      <c r="BS241" s="3"/>
      <c r="BT241" s="3"/>
      <c r="BU241" s="3"/>
      <c r="BV241" s="3"/>
      <c r="BW241" s="3"/>
      <c r="BX241" s="3"/>
      <c r="BY241" s="3"/>
      <c r="BZ241" s="3"/>
      <c r="CA241" s="3"/>
      <c r="CB241" s="3"/>
      <c r="CC241" s="25"/>
      <c r="CD241" s="25"/>
      <c r="CE241" s="25"/>
    </row>
    <row r="242" spans="2:83" s="82" customFormat="1" ht="12" customHeight="1">
      <c r="B242" s="82" t="s">
        <v>1298</v>
      </c>
      <c r="AC242" s="828"/>
      <c r="BD242" s="829"/>
      <c r="BF242" s="17"/>
      <c r="BG242" s="17"/>
      <c r="BH242" s="17"/>
      <c r="BI242" s="17"/>
      <c r="BJ242" s="17"/>
      <c r="BK242" s="17"/>
      <c r="BL242" s="17"/>
      <c r="BM242" s="3"/>
      <c r="BN242" s="3"/>
      <c r="BO242" s="3"/>
      <c r="BP242" s="3"/>
      <c r="BQ242" s="3"/>
      <c r="BR242" s="3"/>
      <c r="BS242" s="3"/>
      <c r="BT242" s="3"/>
      <c r="BU242" s="3"/>
      <c r="BV242" s="3"/>
      <c r="BW242" s="3"/>
      <c r="BX242" s="3"/>
      <c r="BY242" s="3"/>
      <c r="BZ242" s="3"/>
      <c r="CA242" s="3"/>
      <c r="CB242" s="3"/>
      <c r="CC242" s="25"/>
      <c r="CD242" s="25"/>
      <c r="CE242" s="25"/>
    </row>
    <row r="243" spans="2:83" s="82" customFormat="1" ht="12" customHeight="1">
      <c r="B243" s="82" t="s">
        <v>1299</v>
      </c>
      <c r="AC243" s="828"/>
      <c r="BD243" s="829"/>
      <c r="BF243" s="17"/>
      <c r="BG243" s="17"/>
      <c r="BH243" s="17"/>
      <c r="BI243" s="17"/>
      <c r="BJ243" s="17"/>
      <c r="BK243" s="17"/>
      <c r="BL243" s="17"/>
      <c r="BM243" s="3"/>
      <c r="BN243" s="3"/>
      <c r="BO243" s="3"/>
      <c r="BP243" s="3"/>
      <c r="BQ243" s="3"/>
      <c r="BR243" s="3"/>
      <c r="BS243" s="3"/>
      <c r="BT243" s="3"/>
      <c r="BU243" s="3"/>
      <c r="BV243" s="3"/>
      <c r="BW243" s="3"/>
      <c r="BX243" s="3"/>
      <c r="BY243" s="3"/>
      <c r="BZ243" s="3"/>
      <c r="CA243" s="3"/>
      <c r="CB243" s="3"/>
      <c r="CC243" s="25"/>
      <c r="CD243" s="25"/>
      <c r="CE243" s="25"/>
    </row>
    <row r="244" spans="2:83" s="82" customFormat="1" ht="12" customHeight="1">
      <c r="B244" s="82" t="s">
        <v>1300</v>
      </c>
      <c r="AC244" s="393"/>
      <c r="BD244" s="730"/>
      <c r="BF244" s="17"/>
      <c r="BG244" s="17"/>
      <c r="BH244" s="17"/>
      <c r="BI244" s="17"/>
      <c r="BJ244" s="17"/>
      <c r="BK244" s="17"/>
      <c r="BL244" s="17"/>
      <c r="BM244" s="3"/>
      <c r="BN244" s="3"/>
      <c r="BO244" s="3"/>
      <c r="BP244" s="3"/>
      <c r="BQ244" s="3"/>
      <c r="BR244" s="3"/>
      <c r="BS244" s="3"/>
      <c r="BT244" s="3"/>
      <c r="BU244" s="3"/>
      <c r="BV244" s="3"/>
      <c r="BW244" s="3"/>
      <c r="BX244" s="3"/>
      <c r="BY244" s="3"/>
      <c r="BZ244" s="3"/>
      <c r="CA244" s="3"/>
      <c r="CB244" s="3"/>
      <c r="CC244" s="25"/>
      <c r="CD244" s="25"/>
      <c r="CE244" s="25"/>
    </row>
    <row r="245" spans="2:83" s="82" customFormat="1" ht="12" customHeight="1" thickBot="1">
      <c r="AC245" s="828"/>
      <c r="BD245" s="829"/>
      <c r="BF245" s="17"/>
      <c r="BG245" s="17"/>
      <c r="BH245" s="17"/>
      <c r="BI245" s="17"/>
      <c r="BJ245" s="17"/>
      <c r="BK245" s="17"/>
      <c r="BL245" s="17"/>
      <c r="BM245" s="3"/>
      <c r="BN245" s="3"/>
      <c r="BO245" s="3"/>
      <c r="BP245" s="3"/>
      <c r="BQ245" s="3"/>
      <c r="BR245" s="3"/>
      <c r="BS245" s="3"/>
      <c r="BT245" s="3"/>
      <c r="BU245" s="3"/>
      <c r="BV245" s="3"/>
      <c r="BW245" s="3"/>
      <c r="BX245" s="3"/>
      <c r="BY245" s="3"/>
      <c r="BZ245" s="3"/>
      <c r="CA245" s="3"/>
      <c r="CB245" s="3"/>
      <c r="CC245" s="25"/>
      <c r="CD245" s="25"/>
      <c r="CE245" s="25"/>
    </row>
    <row r="246" spans="2:83" s="82" customFormat="1" ht="12" customHeight="1">
      <c r="B246" s="310" t="s">
        <v>546</v>
      </c>
      <c r="AC246" s="393"/>
      <c r="AI246" s="22" t="s">
        <v>329</v>
      </c>
      <c r="AJ246" s="2853">
        <v>0.2</v>
      </c>
      <c r="AK246" s="2854"/>
      <c r="BD246" s="730"/>
      <c r="BF246" s="17"/>
      <c r="BG246" s="17"/>
      <c r="BH246" s="17"/>
      <c r="BI246" s="17"/>
      <c r="BJ246" s="17"/>
      <c r="BK246" s="17"/>
      <c r="BL246" s="17"/>
      <c r="BM246" s="3"/>
      <c r="BN246" s="3"/>
      <c r="BO246" s="3"/>
      <c r="BP246" s="3"/>
      <c r="BQ246" s="3"/>
      <c r="BR246" s="3"/>
      <c r="BS246" s="3"/>
      <c r="BT246" s="3"/>
      <c r="BU246" s="3"/>
      <c r="BV246" s="3"/>
      <c r="BW246" s="3"/>
      <c r="BX246" s="3"/>
      <c r="BY246" s="3"/>
      <c r="BZ246" s="3"/>
      <c r="CA246" s="3"/>
      <c r="CB246" s="3"/>
      <c r="CC246" s="25"/>
      <c r="CD246" s="25"/>
      <c r="CE246" s="25"/>
    </row>
    <row r="247" spans="2:83" s="82" customFormat="1" ht="12" customHeight="1">
      <c r="B247" s="276" t="s">
        <v>1443</v>
      </c>
      <c r="AC247" s="319">
        <v>139</v>
      </c>
      <c r="BD247" s="730"/>
      <c r="BF247" s="17"/>
      <c r="BG247" s="17"/>
      <c r="BH247" s="17"/>
      <c r="BI247" s="17"/>
      <c r="BJ247" s="17"/>
      <c r="BK247" s="17"/>
      <c r="BL247" s="17"/>
      <c r="BM247" s="3"/>
      <c r="BN247" s="3"/>
      <c r="BO247" s="3"/>
      <c r="BP247" s="3"/>
      <c r="BQ247" s="3"/>
      <c r="BR247" s="3"/>
      <c r="BS247" s="3"/>
      <c r="BT247" s="3"/>
      <c r="BU247" s="3"/>
      <c r="BV247" s="3"/>
      <c r="BW247" s="3"/>
      <c r="BX247" s="3"/>
      <c r="BY247" s="3"/>
      <c r="BZ247" s="3"/>
      <c r="CA247" s="3"/>
      <c r="CB247" s="3"/>
      <c r="CC247" s="25"/>
      <c r="CD247" s="25"/>
      <c r="CE247" s="25"/>
    </row>
    <row r="248" spans="2:83" s="82" customFormat="1" ht="12" customHeight="1">
      <c r="B248" s="82" t="s">
        <v>1444</v>
      </c>
      <c r="AC248" s="393"/>
      <c r="BD248" s="730"/>
      <c r="BF248" s="17"/>
      <c r="BG248" s="17"/>
      <c r="BH248" s="17"/>
      <c r="BI248" s="17"/>
      <c r="BJ248" s="17"/>
      <c r="BK248" s="17"/>
      <c r="BL248" s="17"/>
      <c r="BM248" s="3"/>
      <c r="BN248" s="3"/>
      <c r="BO248" s="3"/>
      <c r="BP248" s="3"/>
      <c r="BQ248" s="3"/>
      <c r="BR248" s="3"/>
      <c r="BS248" s="3"/>
      <c r="BT248" s="3"/>
      <c r="BU248" s="3"/>
      <c r="BV248" s="3"/>
      <c r="BW248" s="3"/>
      <c r="BX248" s="3"/>
      <c r="BY248" s="3"/>
      <c r="BZ248" s="3"/>
      <c r="CA248" s="3"/>
      <c r="CB248" s="3"/>
      <c r="CC248" s="25"/>
      <c r="CD248" s="25"/>
      <c r="CE248" s="25"/>
    </row>
    <row r="249" spans="2:83" s="82" customFormat="1" ht="12" customHeight="1">
      <c r="B249" s="82" t="s">
        <v>1445</v>
      </c>
      <c r="AC249" s="393"/>
      <c r="BD249" s="730"/>
      <c r="BF249" s="17"/>
      <c r="BG249" s="17"/>
      <c r="BH249" s="17"/>
      <c r="BI249" s="17"/>
      <c r="BJ249" s="17"/>
      <c r="BK249" s="17"/>
      <c r="BL249" s="17"/>
      <c r="BM249" s="3"/>
      <c r="BN249" s="3"/>
      <c r="BO249" s="3"/>
      <c r="BP249" s="3"/>
      <c r="BQ249" s="3"/>
      <c r="BR249" s="3"/>
      <c r="BS249" s="3"/>
      <c r="BT249" s="3"/>
      <c r="BU249" s="3"/>
      <c r="BV249" s="3"/>
      <c r="BW249" s="3"/>
      <c r="BX249" s="3"/>
      <c r="BY249" s="3"/>
      <c r="BZ249" s="3"/>
      <c r="CA249" s="3"/>
      <c r="CB249" s="3"/>
      <c r="CC249" s="25"/>
      <c r="CD249" s="25"/>
      <c r="CE249" s="25"/>
    </row>
    <row r="250" spans="2:83" s="82" customFormat="1" ht="12" customHeight="1">
      <c r="B250" s="276" t="s">
        <v>1446</v>
      </c>
      <c r="AC250" s="828"/>
      <c r="BD250" s="730"/>
      <c r="BF250" s="17"/>
      <c r="BG250" s="17"/>
      <c r="BH250" s="17"/>
      <c r="BI250" s="17"/>
      <c r="BJ250" s="17"/>
      <c r="BK250" s="17"/>
      <c r="BL250" s="17"/>
      <c r="BM250" s="3"/>
      <c r="BN250" s="3"/>
      <c r="BO250" s="3"/>
      <c r="BP250" s="3"/>
      <c r="BQ250" s="3"/>
      <c r="BR250" s="3"/>
      <c r="BS250" s="3"/>
      <c r="BT250" s="3"/>
      <c r="BU250" s="3"/>
      <c r="BV250" s="3"/>
      <c r="BW250" s="3"/>
      <c r="BX250" s="3"/>
      <c r="BY250" s="3"/>
      <c r="BZ250" s="3"/>
      <c r="CA250" s="3"/>
      <c r="CB250" s="3"/>
      <c r="CC250" s="25"/>
      <c r="CD250" s="25"/>
      <c r="CE250" s="25"/>
    </row>
    <row r="251" spans="2:83" s="82" customFormat="1" ht="12" customHeight="1">
      <c r="B251" s="82" t="s">
        <v>1447</v>
      </c>
      <c r="AC251" s="828"/>
      <c r="BD251" s="730"/>
      <c r="BF251" s="17"/>
      <c r="BG251" s="17"/>
      <c r="BH251" s="17"/>
      <c r="BI251" s="17"/>
      <c r="BJ251" s="17"/>
      <c r="BK251" s="17"/>
      <c r="BL251" s="17"/>
      <c r="BM251" s="3"/>
      <c r="BN251" s="3"/>
      <c r="BO251" s="3"/>
      <c r="BP251" s="3"/>
      <c r="BQ251" s="3"/>
      <c r="BR251" s="3"/>
      <c r="BS251" s="3"/>
      <c r="BT251" s="3"/>
      <c r="BU251" s="3"/>
      <c r="BV251" s="3"/>
      <c r="BW251" s="3"/>
      <c r="BX251" s="3"/>
      <c r="BY251" s="3"/>
      <c r="BZ251" s="3"/>
      <c r="CA251" s="3"/>
      <c r="CB251" s="3"/>
      <c r="CC251" s="25"/>
      <c r="CD251" s="25"/>
      <c r="CE251" s="25"/>
    </row>
    <row r="252" spans="2:83" s="82" customFormat="1" ht="12" customHeight="1">
      <c r="AC252" s="393"/>
      <c r="BD252" s="730"/>
      <c r="BF252" s="17"/>
      <c r="BG252" s="17"/>
      <c r="BH252" s="17"/>
      <c r="BI252" s="17"/>
      <c r="BJ252" s="17"/>
      <c r="BK252" s="17"/>
      <c r="BL252" s="17"/>
      <c r="BM252" s="3"/>
      <c r="BN252" s="3"/>
      <c r="BO252" s="3"/>
      <c r="BP252" s="3"/>
      <c r="BQ252" s="3"/>
      <c r="BR252" s="3"/>
      <c r="BS252" s="3"/>
      <c r="BT252" s="3"/>
      <c r="BU252" s="3"/>
      <c r="BV252" s="3"/>
      <c r="BW252" s="3"/>
      <c r="BX252" s="3"/>
      <c r="BY252" s="3"/>
      <c r="BZ252" s="3"/>
      <c r="CA252" s="3"/>
      <c r="CB252" s="3"/>
      <c r="CC252" s="25"/>
      <c r="CD252" s="25"/>
      <c r="CE252" s="25"/>
    </row>
    <row r="253" spans="2:83" s="82" customFormat="1" ht="12" customHeight="1">
      <c r="B253" s="310" t="s">
        <v>812</v>
      </c>
      <c r="AC253" s="827">
        <v>162</v>
      </c>
      <c r="AE253" s="522" t="s">
        <v>230</v>
      </c>
      <c r="BD253" s="730"/>
      <c r="BF253" s="17"/>
      <c r="BG253" s="17"/>
      <c r="BH253" s="17"/>
      <c r="BI253" s="17"/>
      <c r="BJ253" s="17"/>
      <c r="BK253" s="17"/>
      <c r="BL253" s="17"/>
      <c r="BM253" s="3"/>
      <c r="BN253" s="3"/>
      <c r="BO253" s="3"/>
      <c r="BP253" s="3"/>
      <c r="BQ253" s="3"/>
      <c r="BR253" s="3"/>
      <c r="BS253" s="3"/>
      <c r="BT253" s="3"/>
      <c r="BU253" s="3"/>
      <c r="BV253" s="3"/>
      <c r="BW253" s="3"/>
      <c r="BX253" s="3"/>
      <c r="BY253" s="3"/>
      <c r="BZ253" s="3"/>
      <c r="CA253" s="3"/>
      <c r="CB253" s="3"/>
      <c r="CC253" s="25"/>
      <c r="CD253" s="25"/>
      <c r="CE253" s="25"/>
    </row>
    <row r="254" spans="2:83" s="82" customFormat="1" ht="12" customHeight="1">
      <c r="B254" s="276" t="s">
        <v>547</v>
      </c>
      <c r="AC254" s="828"/>
      <c r="BD254" s="730"/>
      <c r="BF254" s="17"/>
      <c r="BG254" s="17"/>
      <c r="BH254" s="17"/>
      <c r="BI254" s="17"/>
      <c r="BJ254" s="17"/>
      <c r="BK254" s="17"/>
      <c r="BL254" s="17"/>
      <c r="BM254" s="3"/>
      <c r="BN254" s="3"/>
      <c r="BO254" s="3"/>
      <c r="BP254" s="3"/>
      <c r="BQ254" s="3"/>
      <c r="BR254" s="3"/>
      <c r="BS254" s="3"/>
      <c r="BT254" s="3"/>
      <c r="BU254" s="3"/>
      <c r="BV254" s="3"/>
      <c r="BW254" s="3"/>
      <c r="BX254" s="3"/>
      <c r="BY254" s="3"/>
      <c r="BZ254" s="3"/>
      <c r="CA254" s="3"/>
      <c r="CB254" s="3"/>
      <c r="CC254" s="25"/>
      <c r="CD254" s="25"/>
      <c r="CE254" s="25"/>
    </row>
    <row r="255" spans="2:83" s="82" customFormat="1" ht="12" customHeight="1">
      <c r="B255" s="82" t="s">
        <v>811</v>
      </c>
      <c r="AC255" s="828"/>
      <c r="AG255" s="2829" t="s">
        <v>799</v>
      </c>
      <c r="AH255" s="2829"/>
      <c r="AL255" s="2829" t="s">
        <v>432</v>
      </c>
      <c r="AM255" s="2829"/>
      <c r="AN255" s="2829"/>
      <c r="AO255" s="2829"/>
      <c r="AP255" s="2829"/>
      <c r="BD255" s="829"/>
      <c r="BF255" s="17"/>
      <c r="BG255" s="17"/>
      <c r="BH255" s="17"/>
      <c r="BI255" s="17"/>
      <c r="BJ255" s="17"/>
      <c r="BK255" s="17"/>
      <c r="BL255" s="17"/>
      <c r="BM255" s="3"/>
      <c r="BN255" s="3"/>
      <c r="BO255" s="3"/>
      <c r="BP255" s="3"/>
      <c r="BQ255" s="3"/>
      <c r="BR255" s="3"/>
      <c r="BS255" s="3"/>
      <c r="BT255" s="3"/>
      <c r="BU255" s="3"/>
      <c r="BV255" s="3"/>
      <c r="BW255" s="3"/>
      <c r="BX255" s="3"/>
      <c r="BY255" s="3"/>
      <c r="BZ255" s="3"/>
      <c r="CA255" s="3"/>
      <c r="CB255" s="3"/>
      <c r="CC255" s="25"/>
      <c r="CD255" s="25"/>
      <c r="CE255" s="25"/>
    </row>
    <row r="256" spans="2:83" s="82" customFormat="1" ht="12" customHeight="1" thickBot="1">
      <c r="B256" s="82" t="s">
        <v>548</v>
      </c>
      <c r="AC256" s="828"/>
      <c r="AG256" s="2285"/>
      <c r="AH256" s="2286"/>
      <c r="AL256" s="2877" t="s">
        <v>781</v>
      </c>
      <c r="AM256" s="2877"/>
      <c r="AN256" s="288"/>
      <c r="AO256" s="2285" t="s">
        <v>782</v>
      </c>
      <c r="AP256" s="2286"/>
      <c r="BD256" s="730"/>
      <c r="BF256" s="17"/>
      <c r="BG256" s="17"/>
      <c r="BH256" s="17"/>
      <c r="BI256" s="17"/>
      <c r="BJ256" s="17"/>
      <c r="BK256" s="17"/>
      <c r="BL256" s="17"/>
      <c r="BM256" s="3"/>
      <c r="BN256" s="3"/>
      <c r="BO256" s="3"/>
      <c r="BP256" s="3"/>
      <c r="BQ256" s="3"/>
      <c r="BR256" s="3"/>
      <c r="BS256" s="3"/>
      <c r="BT256" s="3"/>
      <c r="BU256" s="3"/>
      <c r="BV256" s="3"/>
      <c r="BW256" s="3"/>
      <c r="BX256" s="3"/>
      <c r="BY256" s="3"/>
      <c r="BZ256" s="3"/>
      <c r="CA256" s="3"/>
      <c r="CB256" s="3"/>
      <c r="CC256" s="25"/>
      <c r="CD256" s="25"/>
      <c r="CE256" s="25"/>
    </row>
    <row r="257" spans="2:83" s="82" customFormat="1" ht="12" customHeight="1">
      <c r="B257" s="276" t="s">
        <v>813</v>
      </c>
      <c r="AC257" s="827">
        <v>166</v>
      </c>
      <c r="AF257" s="324" t="s">
        <v>330</v>
      </c>
      <c r="AG257" s="2817">
        <v>0.1</v>
      </c>
      <c r="AH257" s="2818"/>
      <c r="AL257" s="2817">
        <v>0.01</v>
      </c>
      <c r="AM257" s="2818"/>
      <c r="AN257" s="325"/>
      <c r="AO257" s="2817">
        <v>0.1</v>
      </c>
      <c r="AP257" s="2818"/>
      <c r="BD257" s="730"/>
      <c r="BF257" s="17"/>
      <c r="BG257" s="17"/>
      <c r="BH257" s="17"/>
      <c r="BI257" s="17"/>
      <c r="BJ257" s="17"/>
      <c r="BK257" s="17"/>
      <c r="BL257" s="17"/>
      <c r="BM257" s="3"/>
      <c r="BN257" s="3"/>
      <c r="BO257" s="3"/>
      <c r="BP257" s="3"/>
      <c r="BQ257" s="3"/>
      <c r="BR257" s="3"/>
      <c r="BS257" s="3"/>
      <c r="BT257" s="3"/>
      <c r="BU257" s="3"/>
      <c r="BV257" s="3"/>
      <c r="BW257" s="3"/>
      <c r="BX257" s="3"/>
      <c r="BY257" s="3"/>
      <c r="BZ257" s="3"/>
      <c r="CA257" s="3"/>
      <c r="CB257" s="3"/>
      <c r="CC257" s="25"/>
      <c r="CD257" s="25"/>
      <c r="CE257" s="25"/>
    </row>
    <row r="258" spans="2:83" s="82" customFormat="1" ht="12" customHeight="1">
      <c r="B258" s="82" t="s">
        <v>798</v>
      </c>
      <c r="AC258" s="828"/>
      <c r="BD258" s="829"/>
      <c r="BF258" s="17"/>
      <c r="BG258" s="17"/>
      <c r="BH258" s="17"/>
      <c r="BI258" s="17"/>
      <c r="BJ258" s="17"/>
      <c r="BK258" s="17"/>
      <c r="BL258" s="17"/>
      <c r="BM258" s="3"/>
      <c r="BN258" s="3"/>
      <c r="BO258" s="3"/>
      <c r="BP258" s="3"/>
      <c r="BQ258" s="3"/>
      <c r="BR258" s="3"/>
      <c r="BS258" s="3"/>
      <c r="BT258" s="3"/>
      <c r="BU258" s="3"/>
      <c r="BV258" s="3"/>
      <c r="BW258" s="3"/>
      <c r="BX258" s="3"/>
      <c r="BY258" s="3"/>
      <c r="BZ258" s="3"/>
      <c r="CA258" s="3"/>
      <c r="CB258" s="3"/>
      <c r="CC258" s="25"/>
      <c r="CD258" s="25"/>
      <c r="CE258" s="25"/>
    </row>
    <row r="259" spans="2:83" s="82" customFormat="1" ht="12" customHeight="1">
      <c r="B259" s="82" t="s">
        <v>810</v>
      </c>
      <c r="AC259" s="828"/>
      <c r="BD259" s="829"/>
      <c r="BF259" s="17"/>
      <c r="BG259" s="17"/>
      <c r="BH259" s="17"/>
      <c r="BI259" s="17"/>
      <c r="BJ259" s="17"/>
      <c r="BK259" s="17"/>
      <c r="BL259" s="17"/>
      <c r="BM259" s="3"/>
      <c r="BN259" s="3"/>
      <c r="BO259" s="3"/>
      <c r="BP259" s="3"/>
      <c r="BQ259" s="3"/>
      <c r="BR259" s="3"/>
      <c r="BS259" s="3"/>
      <c r="BT259" s="3"/>
      <c r="BU259" s="3"/>
      <c r="BV259" s="3"/>
      <c r="BW259" s="3"/>
      <c r="BX259" s="3"/>
      <c r="BY259" s="3"/>
      <c r="BZ259" s="3"/>
      <c r="CA259" s="3"/>
      <c r="CB259" s="3"/>
      <c r="CC259" s="25"/>
      <c r="CD259" s="25"/>
      <c r="CE259" s="25"/>
    </row>
    <row r="260" spans="2:83" s="82" customFormat="1" ht="12" customHeight="1">
      <c r="B260" s="82" t="s">
        <v>918</v>
      </c>
      <c r="AC260" s="828"/>
      <c r="BD260" s="829"/>
      <c r="BF260" s="17"/>
      <c r="BG260" s="17"/>
      <c r="BH260" s="17"/>
      <c r="BI260" s="17"/>
      <c r="BJ260" s="17"/>
      <c r="BK260" s="17"/>
      <c r="BL260" s="17"/>
      <c r="BM260" s="3"/>
      <c r="BN260" s="3"/>
      <c r="BO260" s="3"/>
      <c r="BP260" s="3"/>
      <c r="BQ260" s="3"/>
      <c r="BR260" s="3"/>
      <c r="BS260" s="3"/>
      <c r="BT260" s="3"/>
      <c r="BU260" s="3"/>
      <c r="BV260" s="3"/>
      <c r="BW260" s="3"/>
      <c r="BX260" s="3"/>
      <c r="BY260" s="3"/>
      <c r="BZ260" s="3"/>
      <c r="CA260" s="3"/>
      <c r="CB260" s="3"/>
      <c r="CC260" s="25"/>
      <c r="CD260" s="25"/>
      <c r="CE260" s="25"/>
    </row>
    <row r="261" spans="2:83" s="82" customFormat="1" ht="12" customHeight="1">
      <c r="B261" s="82" t="s">
        <v>1386</v>
      </c>
      <c r="AC261" s="393"/>
      <c r="BD261" s="730"/>
      <c r="BF261" s="17"/>
      <c r="BG261" s="17"/>
      <c r="BH261" s="17"/>
      <c r="BI261" s="17"/>
      <c r="BJ261" s="17"/>
      <c r="BK261" s="17"/>
      <c r="BL261" s="17"/>
      <c r="BM261" s="3"/>
      <c r="BN261" s="3"/>
      <c r="BO261" s="3"/>
      <c r="BP261" s="3"/>
      <c r="BQ261" s="3"/>
      <c r="BR261" s="3"/>
      <c r="BS261" s="3"/>
      <c r="BT261" s="3"/>
      <c r="BU261" s="3"/>
      <c r="BV261" s="3"/>
      <c r="BW261" s="3"/>
      <c r="BX261" s="3"/>
      <c r="BY261" s="3"/>
      <c r="BZ261" s="3"/>
      <c r="CA261" s="3"/>
      <c r="CB261" s="3"/>
      <c r="CC261" s="25"/>
      <c r="CD261" s="25"/>
      <c r="CE261" s="25"/>
    </row>
    <row r="262" spans="2:83" s="82" customFormat="1" ht="12" customHeight="1">
      <c r="B262" s="276" t="s">
        <v>549</v>
      </c>
      <c r="AC262" s="828"/>
      <c r="BD262" s="730"/>
      <c r="BF262" s="17"/>
      <c r="BG262" s="17"/>
      <c r="BH262" s="17"/>
      <c r="BI262" s="17"/>
      <c r="BJ262" s="17"/>
      <c r="BK262" s="17"/>
      <c r="BL262" s="17"/>
      <c r="BM262" s="3"/>
      <c r="BN262" s="3"/>
      <c r="BO262" s="3"/>
      <c r="BP262" s="3"/>
      <c r="BQ262" s="3"/>
      <c r="BR262" s="3"/>
      <c r="BS262" s="3"/>
      <c r="BT262" s="3"/>
      <c r="BU262" s="3"/>
      <c r="BV262" s="3"/>
      <c r="BW262" s="3"/>
      <c r="BX262" s="3"/>
      <c r="BY262" s="3"/>
      <c r="BZ262" s="3"/>
      <c r="CA262" s="3"/>
      <c r="CB262" s="3"/>
      <c r="CC262" s="25"/>
      <c r="CD262" s="25"/>
      <c r="CE262" s="25"/>
    </row>
    <row r="263" spans="2:83" s="82" customFormat="1" ht="12" customHeight="1">
      <c r="B263" s="276" t="s">
        <v>552</v>
      </c>
      <c r="AC263" s="828"/>
      <c r="BD263" s="730"/>
      <c r="BF263" s="17"/>
      <c r="BG263" s="17"/>
      <c r="BH263" s="17"/>
      <c r="BI263" s="17"/>
      <c r="BJ263" s="17"/>
      <c r="BK263" s="17"/>
      <c r="BL263" s="17"/>
      <c r="BM263" s="3"/>
      <c r="BN263" s="3"/>
      <c r="BO263" s="3"/>
      <c r="BP263" s="3"/>
      <c r="BQ263" s="3"/>
      <c r="BR263" s="3"/>
      <c r="BS263" s="3"/>
      <c r="BT263" s="3"/>
      <c r="BU263" s="3"/>
      <c r="BV263" s="3"/>
      <c r="BW263" s="3"/>
      <c r="BX263" s="3"/>
      <c r="BY263" s="3"/>
      <c r="BZ263" s="3"/>
      <c r="CA263" s="3"/>
      <c r="CB263" s="3"/>
      <c r="CC263" s="25"/>
      <c r="CD263" s="25"/>
      <c r="CE263" s="25"/>
    </row>
    <row r="264" spans="2:83" s="82" customFormat="1" ht="12" customHeight="1">
      <c r="B264" s="82" t="s">
        <v>553</v>
      </c>
      <c r="AC264" s="828"/>
      <c r="BD264" s="730"/>
      <c r="BF264" s="17"/>
      <c r="BG264" s="17"/>
      <c r="BH264" s="17"/>
      <c r="BI264" s="17"/>
      <c r="BJ264" s="17"/>
      <c r="BK264" s="17"/>
      <c r="BL264" s="17"/>
      <c r="BM264" s="3"/>
      <c r="BN264" s="3"/>
      <c r="BO264" s="3"/>
      <c r="BP264" s="3"/>
      <c r="BQ264" s="3"/>
      <c r="BR264" s="3"/>
      <c r="BS264" s="3"/>
      <c r="BT264" s="3"/>
      <c r="BU264" s="3"/>
      <c r="BV264" s="3"/>
      <c r="BW264" s="3"/>
      <c r="BX264" s="3"/>
      <c r="BY264" s="3"/>
      <c r="BZ264" s="3"/>
      <c r="CA264" s="3"/>
      <c r="CB264" s="3"/>
      <c r="CC264" s="25"/>
      <c r="CD264" s="25"/>
      <c r="CE264" s="25"/>
    </row>
    <row r="265" spans="2:83" s="82" customFormat="1" ht="12" customHeight="1">
      <c r="B265" s="82" t="s">
        <v>814</v>
      </c>
      <c r="AC265" s="828"/>
      <c r="BD265" s="730"/>
      <c r="BF265" s="17"/>
      <c r="BG265" s="17"/>
      <c r="BH265" s="17"/>
      <c r="BI265" s="17"/>
      <c r="BJ265" s="17"/>
      <c r="BK265" s="17"/>
      <c r="BL265" s="17"/>
      <c r="BM265" s="3"/>
      <c r="BN265" s="3"/>
      <c r="BO265" s="3"/>
      <c r="BP265" s="3"/>
      <c r="BQ265" s="3"/>
      <c r="BR265" s="3"/>
      <c r="BS265" s="3"/>
      <c r="BT265" s="3"/>
      <c r="BU265" s="3"/>
      <c r="BV265" s="3"/>
      <c r="BW265" s="3"/>
      <c r="BX265" s="3"/>
      <c r="BY265" s="3"/>
      <c r="BZ265" s="3"/>
      <c r="CA265" s="3"/>
      <c r="CB265" s="3"/>
      <c r="CC265" s="25"/>
      <c r="CD265" s="25"/>
      <c r="CE265" s="25"/>
    </row>
    <row r="266" spans="2:83" s="82" customFormat="1" ht="12" customHeight="1">
      <c r="AC266" s="828"/>
      <c r="BD266" s="730"/>
      <c r="BF266" s="17"/>
      <c r="BG266" s="17"/>
      <c r="BH266" s="17"/>
      <c r="BI266" s="17"/>
      <c r="BJ266" s="17"/>
      <c r="BK266" s="17"/>
      <c r="BL266" s="17"/>
      <c r="BM266" s="3"/>
      <c r="BN266" s="3"/>
      <c r="BO266" s="3"/>
      <c r="BP266" s="3"/>
      <c r="BQ266" s="3"/>
      <c r="BR266" s="3"/>
      <c r="BS266" s="3"/>
      <c r="BT266" s="3"/>
      <c r="BU266" s="3"/>
      <c r="BV266" s="3"/>
      <c r="BW266" s="3"/>
      <c r="BX266" s="3"/>
      <c r="BY266" s="3"/>
      <c r="BZ266" s="3"/>
      <c r="CA266" s="3"/>
      <c r="CB266" s="3"/>
      <c r="CC266" s="25"/>
      <c r="CD266" s="25"/>
      <c r="CE266" s="25"/>
    </row>
    <row r="267" spans="2:83" s="82" customFormat="1" ht="12" customHeight="1">
      <c r="B267" s="310" t="s">
        <v>550</v>
      </c>
      <c r="AC267" s="319">
        <v>171</v>
      </c>
      <c r="BD267" s="730"/>
      <c r="BF267" s="17"/>
      <c r="BG267" s="17"/>
      <c r="BH267" s="17"/>
      <c r="BI267" s="17"/>
      <c r="BJ267" s="17"/>
      <c r="BK267" s="17"/>
      <c r="BL267" s="17"/>
      <c r="BM267" s="3"/>
      <c r="BN267" s="3"/>
      <c r="BO267" s="3"/>
      <c r="BP267" s="3"/>
      <c r="BQ267" s="3"/>
      <c r="BR267" s="3"/>
      <c r="BS267" s="3"/>
      <c r="BT267" s="3"/>
      <c r="BU267" s="3"/>
      <c r="BV267" s="3"/>
      <c r="BW267" s="3"/>
      <c r="BX267" s="3"/>
      <c r="BY267" s="3"/>
      <c r="BZ267" s="3"/>
      <c r="CA267" s="3"/>
      <c r="CB267" s="3"/>
      <c r="CC267" s="25"/>
      <c r="CD267" s="25"/>
      <c r="CE267" s="25"/>
    </row>
    <row r="268" spans="2:83" s="82" customFormat="1" ht="12" customHeight="1">
      <c r="B268" s="276" t="s">
        <v>551</v>
      </c>
      <c r="AC268" s="393"/>
      <c r="BD268" s="730"/>
      <c r="BF268" s="17"/>
      <c r="BG268" s="17"/>
      <c r="BH268" s="17"/>
      <c r="BI268" s="17"/>
      <c r="BJ268" s="17"/>
      <c r="BK268" s="17"/>
      <c r="BL268" s="17"/>
      <c r="BM268" s="3"/>
      <c r="BN268" s="3"/>
      <c r="BO268" s="3"/>
      <c r="BP268" s="3"/>
      <c r="BQ268" s="3"/>
      <c r="BR268" s="3"/>
      <c r="BS268" s="3"/>
      <c r="BT268" s="3"/>
      <c r="BU268" s="3"/>
      <c r="BV268" s="3"/>
      <c r="BW268" s="3"/>
      <c r="BX268" s="3"/>
      <c r="BY268" s="3"/>
      <c r="BZ268" s="3"/>
      <c r="CA268" s="3"/>
      <c r="CB268" s="3"/>
      <c r="CC268" s="25"/>
      <c r="CD268" s="25"/>
      <c r="CE268" s="25"/>
    </row>
    <row r="269" spans="2:83" s="82" customFormat="1" ht="12" customHeight="1">
      <c r="B269" s="276" t="s">
        <v>800</v>
      </c>
      <c r="AC269" s="393"/>
      <c r="BD269" s="730"/>
      <c r="BF269" s="17"/>
      <c r="BG269" s="17"/>
      <c r="BH269" s="17"/>
      <c r="BI269" s="17"/>
      <c r="BJ269" s="17"/>
      <c r="BK269" s="17"/>
      <c r="BL269" s="17"/>
      <c r="BM269" s="3"/>
      <c r="BN269" s="3"/>
      <c r="BO269" s="3"/>
      <c r="BP269" s="3"/>
      <c r="BQ269" s="3"/>
      <c r="BR269" s="3"/>
      <c r="BS269" s="3"/>
      <c r="BT269" s="3"/>
      <c r="BU269" s="3"/>
      <c r="BV269" s="3"/>
      <c r="BW269" s="3"/>
      <c r="BX269" s="3"/>
      <c r="BY269" s="3"/>
      <c r="BZ269" s="3"/>
      <c r="CA269" s="3"/>
      <c r="CB269" s="3"/>
      <c r="CC269" s="25"/>
      <c r="CD269" s="25"/>
      <c r="CE269" s="25"/>
    </row>
    <row r="270" spans="2:83" s="82" customFormat="1" ht="12" customHeight="1">
      <c r="B270" s="82" t="s">
        <v>801</v>
      </c>
      <c r="AC270" s="828"/>
      <c r="BD270" s="730"/>
      <c r="BF270" s="17"/>
      <c r="BG270" s="17"/>
      <c r="BH270" s="17"/>
      <c r="BI270" s="17"/>
      <c r="BJ270" s="17"/>
      <c r="BK270" s="17"/>
      <c r="BL270" s="17"/>
      <c r="BM270" s="3"/>
      <c r="BN270" s="3"/>
      <c r="BO270" s="3"/>
      <c r="BP270" s="3"/>
      <c r="BQ270" s="3"/>
      <c r="BR270" s="3"/>
      <c r="BS270" s="3"/>
      <c r="BT270" s="3"/>
      <c r="BU270" s="3"/>
      <c r="BV270" s="3"/>
      <c r="BW270" s="3"/>
      <c r="BX270" s="3"/>
      <c r="BY270" s="3"/>
      <c r="BZ270" s="3"/>
      <c r="CA270" s="3"/>
      <c r="CB270" s="3"/>
      <c r="CC270" s="25"/>
      <c r="CD270" s="25"/>
      <c r="CE270" s="25"/>
    </row>
    <row r="271" spans="2:83" s="82" customFormat="1" ht="12" customHeight="1">
      <c r="B271" s="276" t="s">
        <v>554</v>
      </c>
      <c r="AC271" s="828"/>
      <c r="BD271" s="730"/>
      <c r="BF271" s="17"/>
      <c r="BG271" s="17"/>
      <c r="BH271" s="17"/>
      <c r="BI271" s="17"/>
      <c r="BJ271" s="17"/>
      <c r="BK271" s="17"/>
      <c r="BL271" s="17"/>
      <c r="BM271" s="3"/>
      <c r="BN271" s="3"/>
      <c r="BO271" s="3"/>
      <c r="BP271" s="3"/>
      <c r="BQ271" s="3"/>
      <c r="BR271" s="3"/>
      <c r="BS271" s="3"/>
      <c r="BT271" s="3"/>
      <c r="BU271" s="3"/>
      <c r="BV271" s="3"/>
      <c r="BW271" s="3"/>
      <c r="BX271" s="3"/>
      <c r="BY271" s="3"/>
      <c r="BZ271" s="3"/>
      <c r="CA271" s="3"/>
      <c r="CB271" s="3"/>
      <c r="CC271" s="25"/>
      <c r="CD271" s="25"/>
      <c r="CE271" s="25"/>
    </row>
    <row r="272" spans="2:83" s="82" customFormat="1" ht="12" customHeight="1">
      <c r="B272" s="82" t="s">
        <v>802</v>
      </c>
      <c r="AC272" s="393"/>
      <c r="BD272" s="730"/>
      <c r="BF272" s="17"/>
      <c r="BG272" s="17"/>
      <c r="BH272" s="17"/>
      <c r="BI272" s="17"/>
      <c r="BJ272" s="17"/>
      <c r="BK272" s="17"/>
      <c r="BL272" s="17"/>
      <c r="BM272" s="3"/>
      <c r="BN272" s="3"/>
      <c r="BO272" s="3"/>
      <c r="BP272" s="3"/>
      <c r="BQ272" s="3"/>
      <c r="BR272" s="3"/>
      <c r="BS272" s="3"/>
      <c r="BT272" s="3"/>
      <c r="BU272" s="3"/>
      <c r="BV272" s="3"/>
      <c r="BW272" s="3"/>
      <c r="BX272" s="3"/>
      <c r="BY272" s="3"/>
      <c r="BZ272" s="3"/>
      <c r="CA272" s="3"/>
      <c r="CB272" s="3"/>
      <c r="CC272" s="25"/>
      <c r="CD272" s="25"/>
      <c r="CE272" s="25"/>
    </row>
    <row r="273" spans="2:83" s="82" customFormat="1" ht="12" customHeight="1">
      <c r="AC273" s="393"/>
      <c r="BD273" s="730"/>
      <c r="BF273" s="17"/>
      <c r="BG273" s="17"/>
      <c r="BH273" s="17"/>
      <c r="BI273" s="17"/>
      <c r="BJ273" s="17"/>
      <c r="BK273" s="17"/>
      <c r="BL273" s="17"/>
      <c r="BM273" s="3"/>
      <c r="BN273" s="3"/>
      <c r="BO273" s="3"/>
      <c r="BP273" s="3"/>
      <c r="BQ273" s="3"/>
      <c r="BR273" s="3"/>
      <c r="BS273" s="3"/>
      <c r="BT273" s="3"/>
      <c r="BU273" s="3"/>
      <c r="BV273" s="3"/>
      <c r="BW273" s="3"/>
      <c r="BX273" s="3"/>
      <c r="BY273" s="3"/>
      <c r="BZ273" s="3"/>
      <c r="CA273" s="3"/>
      <c r="CB273" s="3"/>
      <c r="CC273" s="25"/>
      <c r="CD273" s="25"/>
      <c r="CE273" s="25"/>
    </row>
    <row r="274" spans="2:83" s="82" customFormat="1" ht="12" customHeight="1">
      <c r="B274" s="310" t="s">
        <v>555</v>
      </c>
      <c r="AC274" s="827">
        <v>188</v>
      </c>
      <c r="BD274" s="730"/>
      <c r="BF274" s="17"/>
      <c r="BG274" s="17"/>
      <c r="BH274" s="17"/>
      <c r="BI274" s="17"/>
      <c r="BJ274" s="17"/>
      <c r="BK274" s="17"/>
      <c r="BL274" s="17"/>
      <c r="BM274" s="3"/>
      <c r="BN274" s="3"/>
      <c r="BO274" s="3"/>
      <c r="BP274" s="3"/>
      <c r="BQ274" s="3"/>
      <c r="BR274" s="3"/>
      <c r="BS274" s="3"/>
      <c r="BT274" s="3"/>
      <c r="BU274" s="3"/>
      <c r="BV274" s="3"/>
      <c r="BW274" s="3"/>
      <c r="BX274" s="3"/>
      <c r="BY274" s="3"/>
      <c r="BZ274" s="3"/>
      <c r="CA274" s="3"/>
      <c r="CB274" s="3"/>
      <c r="CC274" s="25"/>
      <c r="CD274" s="25"/>
      <c r="CE274" s="25"/>
    </row>
    <row r="275" spans="2:83" s="82" customFormat="1" ht="12" customHeight="1">
      <c r="B275" s="276" t="s">
        <v>556</v>
      </c>
      <c r="AC275" s="828"/>
      <c r="BD275" s="730"/>
      <c r="BF275" s="17"/>
      <c r="BG275" s="17"/>
      <c r="BH275" s="17"/>
      <c r="BI275" s="17"/>
      <c r="BJ275" s="17"/>
      <c r="BK275" s="17"/>
      <c r="BL275" s="17"/>
      <c r="BM275" s="3"/>
      <c r="BN275" s="3"/>
      <c r="BO275" s="3"/>
      <c r="BP275" s="3"/>
      <c r="BQ275" s="3"/>
      <c r="BR275" s="3"/>
      <c r="BS275" s="3"/>
      <c r="BT275" s="3"/>
      <c r="BU275" s="3"/>
      <c r="BV275" s="3"/>
      <c r="BW275" s="3"/>
      <c r="BX275" s="3"/>
      <c r="BY275" s="3"/>
      <c r="BZ275" s="3"/>
      <c r="CA275" s="3"/>
      <c r="CB275" s="3"/>
      <c r="CC275" s="25"/>
      <c r="CD275" s="25"/>
      <c r="CE275" s="25"/>
    </row>
    <row r="276" spans="2:83" s="82" customFormat="1" ht="12" customHeight="1">
      <c r="B276" s="82" t="s">
        <v>1448</v>
      </c>
      <c r="AC276" s="828"/>
      <c r="BD276" s="730"/>
      <c r="BF276" s="17"/>
      <c r="BG276" s="17"/>
      <c r="BH276" s="17"/>
      <c r="BI276" s="17"/>
      <c r="BJ276" s="17"/>
      <c r="BK276" s="17"/>
      <c r="BL276" s="17"/>
      <c r="BM276" s="3"/>
      <c r="BN276" s="3"/>
      <c r="BO276" s="3"/>
      <c r="BP276" s="3"/>
      <c r="BQ276" s="3"/>
      <c r="BR276" s="3"/>
      <c r="BS276" s="3"/>
      <c r="BT276" s="3"/>
      <c r="BU276" s="3"/>
      <c r="BV276" s="3"/>
      <c r="BW276" s="3"/>
      <c r="BX276" s="3"/>
      <c r="BY276" s="3"/>
      <c r="BZ276" s="3"/>
      <c r="CA276" s="3"/>
      <c r="CB276" s="3"/>
      <c r="CC276" s="25"/>
      <c r="CD276" s="25"/>
      <c r="CE276" s="25"/>
    </row>
    <row r="277" spans="2:83" s="82" customFormat="1" ht="12" customHeight="1">
      <c r="B277" s="82" t="s">
        <v>1449</v>
      </c>
      <c r="AC277" s="828"/>
      <c r="BD277" s="730"/>
      <c r="BF277" s="17"/>
      <c r="BG277" s="17"/>
      <c r="BH277" s="17"/>
      <c r="BI277" s="17"/>
      <c r="BJ277" s="17"/>
      <c r="BK277" s="17"/>
      <c r="BL277" s="17"/>
      <c r="BM277" s="3"/>
      <c r="BN277" s="3"/>
      <c r="BO277" s="3"/>
      <c r="BP277" s="3"/>
      <c r="BQ277" s="3"/>
      <c r="BR277" s="3"/>
      <c r="BS277" s="3"/>
      <c r="BT277" s="3"/>
      <c r="BU277" s="3"/>
      <c r="BV277" s="3"/>
      <c r="BW277" s="3"/>
      <c r="BX277" s="3"/>
      <c r="BY277" s="3"/>
      <c r="BZ277" s="3"/>
      <c r="CA277" s="3"/>
      <c r="CB277" s="3"/>
      <c r="CC277" s="25"/>
      <c r="CD277" s="25"/>
      <c r="CE277" s="25"/>
    </row>
    <row r="278" spans="2:83" s="82" customFormat="1" ht="12" customHeight="1">
      <c r="B278" s="82" t="s">
        <v>803</v>
      </c>
      <c r="AC278" s="828"/>
      <c r="BD278" s="730"/>
      <c r="BF278" s="17"/>
      <c r="BG278" s="17"/>
      <c r="BH278" s="17"/>
      <c r="BI278" s="17"/>
      <c r="BJ278" s="17"/>
      <c r="BK278" s="17"/>
      <c r="BL278" s="17"/>
      <c r="BM278" s="3"/>
      <c r="BN278" s="3"/>
      <c r="BO278" s="3"/>
      <c r="BP278" s="3"/>
      <c r="BQ278" s="3"/>
      <c r="BR278" s="3"/>
      <c r="BS278" s="3"/>
      <c r="BT278" s="3"/>
      <c r="BU278" s="3"/>
      <c r="BV278" s="3"/>
      <c r="BW278" s="3"/>
      <c r="BX278" s="3"/>
      <c r="BY278" s="3"/>
      <c r="BZ278" s="3"/>
      <c r="CA278" s="3"/>
      <c r="CB278" s="3"/>
      <c r="CC278" s="25"/>
      <c r="CD278" s="25"/>
      <c r="CE278" s="25"/>
    </row>
    <row r="279" spans="2:83" s="82" customFormat="1" ht="12" customHeight="1">
      <c r="B279" s="82" t="s">
        <v>804</v>
      </c>
      <c r="AC279" s="828"/>
      <c r="BD279" s="730"/>
      <c r="BF279" s="17"/>
      <c r="BG279" s="17"/>
      <c r="BH279" s="17"/>
      <c r="BI279" s="17"/>
      <c r="BJ279" s="17"/>
      <c r="BK279" s="17"/>
      <c r="BL279" s="17"/>
      <c r="BM279" s="3"/>
      <c r="BN279" s="3"/>
      <c r="BO279" s="3"/>
      <c r="BP279" s="3"/>
      <c r="BQ279" s="3"/>
      <c r="BR279" s="3"/>
      <c r="BS279" s="3"/>
      <c r="BT279" s="3"/>
      <c r="BU279" s="3"/>
      <c r="BV279" s="3"/>
      <c r="BW279" s="3"/>
      <c r="BX279" s="3"/>
      <c r="BY279" s="3"/>
      <c r="BZ279" s="3"/>
      <c r="CA279" s="3"/>
      <c r="CB279" s="3"/>
      <c r="CC279" s="25"/>
      <c r="CD279" s="25"/>
      <c r="CE279" s="25"/>
    </row>
    <row r="280" spans="2:83" s="82" customFormat="1" ht="12" customHeight="1">
      <c r="B280" s="276" t="s">
        <v>729</v>
      </c>
      <c r="AC280" s="393"/>
      <c r="BD280" s="730"/>
      <c r="BF280" s="17"/>
      <c r="BG280" s="17"/>
      <c r="BH280" s="17"/>
      <c r="BI280" s="17"/>
      <c r="BJ280" s="17"/>
      <c r="BK280" s="17"/>
      <c r="BL280" s="17"/>
      <c r="BM280" s="3"/>
      <c r="BN280" s="3"/>
      <c r="BO280" s="3"/>
      <c r="BP280" s="3"/>
      <c r="BQ280" s="3"/>
      <c r="BR280" s="3"/>
      <c r="BS280" s="3"/>
      <c r="BT280" s="3"/>
      <c r="BU280" s="3"/>
      <c r="BV280" s="3"/>
      <c r="BW280" s="3"/>
      <c r="BX280" s="3"/>
      <c r="BY280" s="3"/>
      <c r="BZ280" s="3"/>
      <c r="CA280" s="3"/>
      <c r="CB280" s="3"/>
      <c r="CC280" s="25"/>
      <c r="CD280" s="25"/>
      <c r="CE280" s="25"/>
    </row>
    <row r="281" spans="2:83" s="82" customFormat="1" ht="12" customHeight="1">
      <c r="B281" s="82" t="s">
        <v>730</v>
      </c>
      <c r="AC281" s="828"/>
      <c r="BD281" s="730"/>
      <c r="BF281" s="17"/>
      <c r="BG281" s="17"/>
      <c r="BH281" s="17"/>
      <c r="BI281" s="17"/>
      <c r="BJ281" s="17"/>
      <c r="BK281" s="17"/>
      <c r="BL281" s="17"/>
      <c r="BM281" s="3"/>
      <c r="BN281" s="3"/>
      <c r="BO281" s="3"/>
      <c r="BP281" s="3"/>
      <c r="BQ281" s="3"/>
      <c r="BR281" s="3"/>
      <c r="BS281" s="3"/>
      <c r="BT281" s="3"/>
      <c r="BU281" s="3"/>
      <c r="BV281" s="3"/>
      <c r="BW281" s="3"/>
      <c r="BX281" s="3"/>
      <c r="BY281" s="3"/>
      <c r="BZ281" s="3"/>
      <c r="CA281" s="3"/>
      <c r="CB281" s="3"/>
      <c r="CC281" s="25"/>
      <c r="CD281" s="25"/>
      <c r="CE281" s="25"/>
    </row>
    <row r="282" spans="2:83" s="82" customFormat="1" ht="12" customHeight="1">
      <c r="B282" s="82" t="s">
        <v>815</v>
      </c>
      <c r="AC282" s="393"/>
      <c r="AY282" s="1150"/>
      <c r="AZ282" s="1150"/>
      <c r="BA282" s="1150"/>
      <c r="BB282" s="1150"/>
      <c r="BD282" s="730"/>
      <c r="BF282" s="17"/>
      <c r="BG282" s="17"/>
      <c r="BH282" s="17"/>
      <c r="BI282" s="17"/>
      <c r="BJ282" s="17"/>
      <c r="BK282" s="17"/>
      <c r="BL282" s="17"/>
      <c r="BM282" s="3"/>
      <c r="BN282" s="3"/>
      <c r="BO282" s="3"/>
      <c r="BP282" s="3"/>
      <c r="BQ282" s="3"/>
      <c r="BR282" s="3"/>
      <c r="BS282" s="3"/>
      <c r="BT282" s="3"/>
      <c r="BU282" s="3"/>
      <c r="BV282" s="3"/>
      <c r="BW282" s="3"/>
      <c r="BX282" s="3"/>
      <c r="BY282" s="3"/>
      <c r="BZ282" s="3"/>
      <c r="CA282" s="3"/>
      <c r="CB282" s="3"/>
      <c r="CC282" s="25"/>
      <c r="CD282" s="25"/>
      <c r="CE282" s="25"/>
    </row>
    <row r="283" spans="2:83" s="82" customFormat="1" ht="12" customHeight="1">
      <c r="AC283" s="393"/>
      <c r="BD283" s="730"/>
      <c r="BF283" s="17"/>
      <c r="BG283" s="17"/>
      <c r="BH283" s="17"/>
      <c r="BI283" s="17"/>
      <c r="BJ283" s="17"/>
      <c r="BK283" s="17"/>
      <c r="BL283" s="17"/>
      <c r="BM283" s="3"/>
      <c r="BN283" s="3"/>
      <c r="BO283" s="3"/>
      <c r="BP283" s="3"/>
      <c r="BQ283" s="3"/>
      <c r="BR283" s="3"/>
      <c r="BS283" s="3"/>
      <c r="BT283" s="3"/>
      <c r="BU283" s="3"/>
      <c r="BV283" s="3"/>
      <c r="BW283" s="3"/>
      <c r="BX283" s="3"/>
      <c r="BY283" s="3"/>
      <c r="BZ283" s="3"/>
      <c r="CA283" s="3"/>
      <c r="CB283" s="3"/>
      <c r="CC283" s="25"/>
      <c r="CD283" s="25"/>
      <c r="CE283" s="25"/>
    </row>
    <row r="284" spans="2:83" s="82" customFormat="1" ht="12" customHeight="1">
      <c r="B284" s="310" t="s">
        <v>770</v>
      </c>
      <c r="AC284" s="319">
        <v>196</v>
      </c>
      <c r="AE284" s="522" t="s">
        <v>1220</v>
      </c>
      <c r="BD284" s="730"/>
      <c r="BF284" s="17"/>
      <c r="BG284" s="17"/>
      <c r="BH284" s="17"/>
      <c r="BI284" s="17"/>
      <c r="BJ284" s="17"/>
      <c r="BK284" s="17"/>
      <c r="BL284" s="17"/>
      <c r="BM284" s="3"/>
      <c r="BN284" s="3"/>
      <c r="BO284" s="3"/>
      <c r="BP284" s="3"/>
      <c r="BQ284" s="3"/>
      <c r="BR284" s="3"/>
      <c r="BS284" s="3"/>
      <c r="BT284" s="3"/>
      <c r="BU284" s="3"/>
      <c r="BV284" s="3"/>
      <c r="BW284" s="3"/>
      <c r="BX284" s="3"/>
      <c r="BY284" s="3"/>
      <c r="BZ284" s="3"/>
      <c r="CA284" s="3"/>
      <c r="CB284" s="3"/>
      <c r="CC284" s="25"/>
      <c r="CD284" s="25"/>
      <c r="CE284" s="25"/>
    </row>
    <row r="285" spans="2:83" s="82" customFormat="1" ht="12" customHeight="1">
      <c r="B285" s="267" t="s">
        <v>570</v>
      </c>
      <c r="AC285" s="393"/>
      <c r="BD285" s="730"/>
      <c r="BF285" s="17"/>
      <c r="BG285" s="17"/>
      <c r="BH285" s="17"/>
      <c r="BI285" s="17"/>
      <c r="BJ285" s="17"/>
      <c r="BK285" s="17"/>
      <c r="BL285" s="17"/>
      <c r="BM285" s="3"/>
      <c r="BN285" s="3"/>
      <c r="BO285" s="3"/>
      <c r="BP285" s="3"/>
      <c r="BQ285" s="3"/>
      <c r="BR285" s="3"/>
      <c r="BS285" s="3"/>
      <c r="BT285" s="3"/>
      <c r="BU285" s="3"/>
      <c r="BV285" s="3"/>
      <c r="BW285" s="3"/>
      <c r="BX285" s="3"/>
      <c r="BY285" s="3"/>
      <c r="BZ285" s="3"/>
      <c r="CA285" s="3"/>
      <c r="CB285" s="3"/>
      <c r="CC285" s="25"/>
      <c r="CD285" s="25"/>
      <c r="CE285" s="25"/>
    </row>
    <row r="286" spans="2:83" s="82" customFormat="1" ht="12" customHeight="1">
      <c r="B286" s="277" t="s">
        <v>571</v>
      </c>
      <c r="AC286" s="393"/>
      <c r="AE286" s="82" t="s">
        <v>872</v>
      </c>
      <c r="AN286" s="1204" t="s">
        <v>1450</v>
      </c>
      <c r="AR286" s="1204" t="s">
        <v>1451</v>
      </c>
      <c r="BD286" s="730"/>
      <c r="BF286" s="17"/>
      <c r="BG286" s="17"/>
      <c r="BH286" s="17"/>
      <c r="BI286" s="17"/>
      <c r="BJ286" s="17"/>
      <c r="BK286" s="17"/>
      <c r="BL286" s="17"/>
      <c r="BM286" s="3"/>
      <c r="BN286" s="3"/>
      <c r="BO286" s="3"/>
      <c r="BP286" s="3"/>
      <c r="BQ286" s="3"/>
      <c r="BR286" s="3"/>
      <c r="BS286" s="3"/>
      <c r="BT286" s="3"/>
      <c r="BU286" s="3"/>
      <c r="BV286" s="3"/>
      <c r="BW286" s="3"/>
      <c r="BX286" s="3"/>
      <c r="BY286" s="3"/>
      <c r="BZ286" s="3"/>
      <c r="CA286" s="3"/>
      <c r="CB286" s="3"/>
      <c r="CC286" s="25"/>
      <c r="CD286" s="25"/>
      <c r="CE286" s="25"/>
    </row>
    <row r="287" spans="2:83" s="82" customFormat="1" ht="12" customHeight="1">
      <c r="B287" s="82" t="s">
        <v>1178</v>
      </c>
      <c r="AC287" s="393"/>
      <c r="BD287" s="730"/>
      <c r="BF287" s="17"/>
      <c r="BG287" s="17"/>
      <c r="BH287" s="17"/>
      <c r="BI287" s="17"/>
      <c r="BJ287" s="17"/>
      <c r="BK287" s="17"/>
      <c r="BL287" s="17"/>
      <c r="BM287" s="3"/>
      <c r="BN287" s="3"/>
      <c r="BO287" s="3"/>
      <c r="BP287" s="3"/>
      <c r="BQ287" s="3"/>
      <c r="BR287" s="3"/>
      <c r="BS287" s="3"/>
      <c r="BT287" s="3"/>
      <c r="BU287" s="3"/>
      <c r="BV287" s="3"/>
      <c r="BW287" s="3"/>
      <c r="BX287" s="3"/>
      <c r="BY287" s="3"/>
      <c r="BZ287" s="3"/>
      <c r="CA287" s="3"/>
      <c r="CB287" s="3"/>
      <c r="CC287" s="25"/>
      <c r="CD287" s="25"/>
      <c r="CE287" s="25"/>
    </row>
    <row r="288" spans="2:83" s="82" customFormat="1" ht="12" customHeight="1">
      <c r="B288" s="82" t="s">
        <v>866</v>
      </c>
      <c r="AC288" s="393"/>
      <c r="BD288" s="730"/>
      <c r="BF288" s="17"/>
      <c r="BG288" s="17"/>
      <c r="BH288" s="17"/>
      <c r="BI288" s="17"/>
      <c r="BJ288" s="17"/>
      <c r="BK288" s="17"/>
      <c r="BL288" s="17"/>
      <c r="BM288" s="3"/>
      <c r="BN288" s="3"/>
      <c r="BO288" s="3"/>
      <c r="BP288" s="3"/>
      <c r="BQ288" s="3"/>
      <c r="BR288" s="3"/>
      <c r="BS288" s="3"/>
      <c r="BT288" s="3"/>
      <c r="BU288" s="3"/>
      <c r="BV288" s="3"/>
      <c r="BW288" s="3"/>
      <c r="BX288" s="3"/>
      <c r="BY288" s="3"/>
      <c r="BZ288" s="3"/>
      <c r="CA288" s="3"/>
      <c r="CB288" s="3"/>
      <c r="CC288" s="25"/>
      <c r="CD288" s="25"/>
      <c r="CE288" s="25"/>
    </row>
    <row r="289" spans="2:83" s="82" customFormat="1" ht="12" customHeight="1">
      <c r="B289" s="82" t="s">
        <v>867</v>
      </c>
      <c r="AC289" s="393"/>
      <c r="BD289" s="730"/>
      <c r="BF289" s="17"/>
      <c r="BG289" s="17"/>
      <c r="BH289" s="17"/>
      <c r="BI289" s="17"/>
      <c r="BJ289" s="17"/>
      <c r="BK289" s="17"/>
      <c r="BL289" s="17"/>
      <c r="BM289" s="3"/>
      <c r="BN289" s="3"/>
      <c r="BO289" s="3"/>
      <c r="BP289" s="3"/>
      <c r="BQ289" s="3"/>
      <c r="BR289" s="3"/>
      <c r="BS289" s="3"/>
      <c r="BT289" s="3"/>
      <c r="BU289" s="3"/>
      <c r="BV289" s="3"/>
      <c r="BW289" s="3"/>
      <c r="BX289" s="3"/>
      <c r="BY289" s="3"/>
      <c r="BZ289" s="3"/>
      <c r="CA289" s="3"/>
      <c r="CB289" s="3"/>
      <c r="CC289" s="25"/>
      <c r="CD289" s="25"/>
      <c r="CE289" s="25"/>
    </row>
    <row r="290" spans="2:83" s="82" customFormat="1" ht="12" customHeight="1">
      <c r="B290" s="82" t="s">
        <v>868</v>
      </c>
      <c r="AC290" s="393"/>
      <c r="BD290" s="730"/>
      <c r="BF290" s="17"/>
      <c r="BG290" s="17"/>
      <c r="BH290" s="17"/>
      <c r="BI290" s="17"/>
      <c r="BJ290" s="17"/>
      <c r="BK290" s="17"/>
      <c r="BL290" s="17"/>
      <c r="BM290" s="3"/>
      <c r="BN290" s="3"/>
      <c r="BO290" s="3"/>
      <c r="BP290" s="3"/>
      <c r="BQ290" s="3"/>
      <c r="BR290" s="3"/>
      <c r="BS290" s="3"/>
      <c r="BT290" s="3"/>
      <c r="BU290" s="3"/>
      <c r="BV290" s="3"/>
      <c r="BW290" s="3"/>
      <c r="BX290" s="3"/>
      <c r="BY290" s="3"/>
      <c r="BZ290" s="3"/>
      <c r="CA290" s="3"/>
      <c r="CB290" s="3"/>
      <c r="CC290" s="25"/>
      <c r="CD290" s="25"/>
      <c r="CE290" s="25"/>
    </row>
    <row r="291" spans="2:83" s="82" customFormat="1" ht="12" customHeight="1">
      <c r="B291" s="267" t="s">
        <v>572</v>
      </c>
      <c r="AC291" s="393"/>
      <c r="BD291" s="730"/>
      <c r="BF291" s="17"/>
      <c r="BG291" s="17"/>
      <c r="BH291" s="17"/>
      <c r="BI291" s="17"/>
      <c r="BJ291" s="17"/>
      <c r="BK291" s="17"/>
      <c r="BL291" s="17"/>
      <c r="BM291" s="3"/>
      <c r="BN291" s="3"/>
      <c r="BO291" s="3"/>
      <c r="BP291" s="3"/>
      <c r="BQ291" s="3"/>
      <c r="BR291" s="3"/>
      <c r="BS291" s="3"/>
      <c r="BT291" s="3"/>
      <c r="BU291" s="3"/>
      <c r="BV291" s="3"/>
      <c r="BW291" s="3"/>
      <c r="BX291" s="3"/>
      <c r="BY291" s="3"/>
      <c r="BZ291" s="3"/>
      <c r="CA291" s="3"/>
      <c r="CB291" s="3"/>
      <c r="CC291" s="25"/>
      <c r="CD291" s="25"/>
      <c r="CE291" s="25"/>
    </row>
    <row r="292" spans="2:83" s="82" customFormat="1" ht="12" customHeight="1">
      <c r="B292" s="82" t="s">
        <v>573</v>
      </c>
      <c r="AC292" s="828"/>
      <c r="BD292" s="730"/>
      <c r="BF292" s="17"/>
      <c r="BG292" s="17"/>
      <c r="BH292" s="17"/>
      <c r="BI292" s="17"/>
      <c r="BJ292" s="17"/>
      <c r="BK292" s="17"/>
      <c r="BL292" s="17"/>
      <c r="BM292" s="3"/>
      <c r="BN292" s="3"/>
      <c r="BO292" s="3"/>
      <c r="BP292" s="3"/>
      <c r="BQ292" s="3"/>
      <c r="BR292" s="3"/>
      <c r="BS292" s="3"/>
      <c r="BT292" s="3"/>
      <c r="BU292" s="3"/>
      <c r="BV292" s="3"/>
      <c r="BW292" s="3"/>
      <c r="BX292" s="3"/>
      <c r="BY292" s="3"/>
      <c r="BZ292" s="3"/>
      <c r="CA292" s="3"/>
      <c r="CB292" s="3"/>
      <c r="CC292" s="25"/>
      <c r="CD292" s="25"/>
      <c r="CE292" s="25"/>
    </row>
    <row r="293" spans="2:83" s="82" customFormat="1" ht="12" customHeight="1">
      <c r="B293" s="82" t="s">
        <v>1063</v>
      </c>
      <c r="AC293" s="393"/>
      <c r="BD293" s="730"/>
      <c r="BF293" s="17"/>
      <c r="BG293" s="17"/>
      <c r="BH293" s="17"/>
      <c r="BI293" s="17"/>
      <c r="BJ293" s="17"/>
      <c r="BK293" s="17"/>
      <c r="BL293" s="17"/>
      <c r="BM293" s="3"/>
      <c r="BN293" s="3"/>
      <c r="BO293" s="3"/>
      <c r="BP293" s="3"/>
      <c r="BQ293" s="3"/>
      <c r="BR293" s="3"/>
      <c r="BS293" s="3"/>
      <c r="BT293" s="3"/>
      <c r="BU293" s="3"/>
      <c r="BV293" s="3"/>
      <c r="BW293" s="3"/>
      <c r="BX293" s="3"/>
      <c r="BY293" s="3"/>
      <c r="BZ293" s="3"/>
      <c r="CA293" s="3"/>
      <c r="CB293" s="3"/>
      <c r="CC293" s="25"/>
      <c r="CD293" s="25"/>
      <c r="CE293" s="25"/>
    </row>
    <row r="294" spans="2:83" s="82" customFormat="1" ht="12" customHeight="1">
      <c r="AC294" s="393"/>
      <c r="BD294" s="730"/>
      <c r="BF294" s="17"/>
      <c r="BG294" s="17"/>
      <c r="BH294" s="17"/>
      <c r="BI294" s="17"/>
      <c r="BJ294" s="17"/>
      <c r="BK294" s="17"/>
      <c r="BL294" s="17"/>
      <c r="BM294" s="3"/>
      <c r="BN294" s="3"/>
      <c r="BO294" s="3"/>
      <c r="BP294" s="3"/>
      <c r="BQ294" s="3"/>
      <c r="BR294" s="3"/>
      <c r="BS294" s="3"/>
      <c r="BT294" s="3"/>
      <c r="BU294" s="3"/>
      <c r="BV294" s="3"/>
      <c r="BW294" s="3"/>
      <c r="BX294" s="3"/>
      <c r="BY294" s="3"/>
      <c r="BZ294" s="3"/>
      <c r="CA294" s="3"/>
      <c r="CB294" s="3"/>
      <c r="CC294" s="25"/>
      <c r="CD294" s="25"/>
      <c r="CE294" s="25"/>
    </row>
    <row r="295" spans="2:83" s="82" customFormat="1" ht="12" customHeight="1">
      <c r="B295" s="310" t="s">
        <v>574</v>
      </c>
      <c r="AC295" s="319">
        <v>197</v>
      </c>
      <c r="BD295" s="730"/>
      <c r="BF295" s="17"/>
      <c r="BG295" s="17"/>
      <c r="BH295" s="17"/>
      <c r="BI295" s="17"/>
      <c r="BJ295" s="17"/>
      <c r="BK295" s="17"/>
      <c r="BL295" s="17"/>
      <c r="BM295" s="3"/>
      <c r="BN295" s="3"/>
      <c r="BO295" s="3"/>
      <c r="BP295" s="3"/>
      <c r="BQ295" s="3"/>
      <c r="BR295" s="3"/>
      <c r="BS295" s="3"/>
      <c r="BT295" s="3"/>
      <c r="BU295" s="3"/>
      <c r="BV295" s="3"/>
      <c r="BW295" s="3"/>
      <c r="BX295" s="3"/>
      <c r="BY295" s="3"/>
      <c r="BZ295" s="3"/>
      <c r="CA295" s="3"/>
      <c r="CB295" s="3"/>
      <c r="CC295" s="25"/>
      <c r="CD295" s="25"/>
      <c r="CE295" s="25"/>
    </row>
    <row r="296" spans="2:83" s="82" customFormat="1" ht="12" customHeight="1">
      <c r="B296" s="276" t="s">
        <v>575</v>
      </c>
      <c r="AC296" s="393"/>
      <c r="BD296" s="730"/>
      <c r="BF296" s="17"/>
      <c r="BG296" s="17"/>
      <c r="BH296" s="17"/>
      <c r="BI296" s="17"/>
      <c r="BJ296" s="17"/>
      <c r="BK296" s="17"/>
      <c r="BL296" s="17"/>
      <c r="BM296" s="3"/>
      <c r="BN296" s="3"/>
      <c r="BO296" s="3"/>
      <c r="BP296" s="3"/>
      <c r="BQ296" s="3"/>
      <c r="BR296" s="3"/>
      <c r="BS296" s="3"/>
      <c r="BT296" s="3"/>
      <c r="BU296" s="3"/>
      <c r="BV296" s="3"/>
      <c r="BW296" s="3"/>
      <c r="BX296" s="3"/>
      <c r="BY296" s="3"/>
      <c r="BZ296" s="3"/>
      <c r="CA296" s="3"/>
      <c r="CB296" s="3"/>
      <c r="CC296" s="25"/>
      <c r="CD296" s="25"/>
      <c r="CE296" s="25"/>
    </row>
    <row r="297" spans="2:83" s="82" customFormat="1" ht="12" customHeight="1">
      <c r="B297" s="82" t="s">
        <v>576</v>
      </c>
      <c r="AC297" s="393"/>
      <c r="BD297" s="730"/>
      <c r="BF297" s="17"/>
      <c r="BG297" s="17"/>
      <c r="BH297" s="17"/>
      <c r="BI297" s="17"/>
      <c r="BJ297" s="17"/>
      <c r="BK297" s="17"/>
      <c r="BL297" s="17"/>
      <c r="BM297" s="3"/>
      <c r="BN297" s="3"/>
      <c r="BO297" s="3"/>
      <c r="BP297" s="3"/>
      <c r="BQ297" s="3"/>
      <c r="BR297" s="3"/>
      <c r="BS297" s="3"/>
      <c r="BT297" s="3"/>
      <c r="BU297" s="3"/>
      <c r="BV297" s="3"/>
      <c r="BW297" s="3"/>
      <c r="BX297" s="3"/>
      <c r="BY297" s="3"/>
      <c r="BZ297" s="3"/>
      <c r="CA297" s="3"/>
      <c r="CB297" s="3"/>
      <c r="CC297" s="25"/>
      <c r="CD297" s="25"/>
      <c r="CE297" s="25"/>
    </row>
    <row r="298" spans="2:83" s="82" customFormat="1" ht="12" customHeight="1">
      <c r="B298" s="82" t="s">
        <v>577</v>
      </c>
      <c r="AC298" s="393"/>
      <c r="BD298" s="730"/>
      <c r="BF298" s="17"/>
      <c r="BG298" s="17"/>
      <c r="BH298" s="17"/>
      <c r="BI298" s="17"/>
      <c r="BJ298" s="17"/>
      <c r="BK298" s="17"/>
      <c r="BL298" s="17"/>
      <c r="BM298" s="3"/>
      <c r="BN298" s="3"/>
      <c r="BO298" s="3"/>
      <c r="BP298" s="3"/>
      <c r="BQ298" s="3"/>
      <c r="BR298" s="3"/>
      <c r="BS298" s="3"/>
      <c r="BT298" s="3"/>
      <c r="BU298" s="3"/>
      <c r="BV298" s="3"/>
      <c r="BW298" s="3"/>
      <c r="BX298" s="3"/>
      <c r="BY298" s="3"/>
      <c r="BZ298" s="3"/>
      <c r="CA298" s="3"/>
      <c r="CB298" s="3"/>
      <c r="CC298" s="25"/>
      <c r="CD298" s="25"/>
      <c r="CE298" s="25"/>
    </row>
    <row r="299" spans="2:83" s="82" customFormat="1" ht="12" customHeight="1">
      <c r="AC299" s="393"/>
      <c r="BD299" s="730"/>
      <c r="BF299" s="17"/>
      <c r="BG299" s="17"/>
      <c r="BH299" s="17"/>
      <c r="BI299" s="17"/>
      <c r="BJ299" s="17"/>
      <c r="BK299" s="17"/>
      <c r="BL299" s="17"/>
      <c r="BM299" s="3"/>
      <c r="BN299" s="3"/>
      <c r="BO299" s="3"/>
      <c r="BP299" s="3"/>
      <c r="BQ299" s="3"/>
      <c r="BR299" s="3"/>
      <c r="BS299" s="3"/>
      <c r="BT299" s="3"/>
      <c r="BU299" s="3"/>
      <c r="BV299" s="3"/>
      <c r="BW299" s="3"/>
      <c r="BX299" s="3"/>
      <c r="BY299" s="3"/>
      <c r="BZ299" s="3"/>
      <c r="CA299" s="3"/>
      <c r="CB299" s="3"/>
      <c r="CC299" s="25"/>
      <c r="CD299" s="25"/>
      <c r="CE299" s="25"/>
    </row>
    <row r="300" spans="2:83" s="82" customFormat="1" ht="12" customHeight="1">
      <c r="B300" s="267" t="s">
        <v>728</v>
      </c>
      <c r="AC300" s="393"/>
      <c r="BD300" s="730"/>
      <c r="BF300" s="17"/>
      <c r="BG300" s="17"/>
      <c r="BH300" s="17"/>
      <c r="BI300" s="17"/>
      <c r="BJ300" s="17"/>
      <c r="BK300" s="17"/>
      <c r="BL300" s="17"/>
      <c r="BM300" s="3"/>
      <c r="BN300" s="3"/>
      <c r="BO300" s="3"/>
      <c r="BP300" s="3"/>
      <c r="BQ300" s="3"/>
      <c r="BR300" s="3"/>
      <c r="BS300" s="3"/>
      <c r="BT300" s="3"/>
      <c r="BU300" s="3"/>
      <c r="BV300" s="3"/>
      <c r="BW300" s="3"/>
      <c r="BX300" s="3"/>
      <c r="BY300" s="3"/>
      <c r="BZ300" s="3"/>
      <c r="CA300" s="3"/>
      <c r="CB300" s="3"/>
      <c r="CC300" s="25"/>
      <c r="CD300" s="25"/>
      <c r="CE300" s="25"/>
    </row>
    <row r="301" spans="2:83" s="82" customFormat="1" ht="12" customHeight="1">
      <c r="B301" s="82" t="s">
        <v>860</v>
      </c>
      <c r="AC301" s="393"/>
      <c r="AE301" s="522" t="s">
        <v>869</v>
      </c>
      <c r="BD301" s="730"/>
      <c r="BF301" s="17"/>
      <c r="BG301" s="17"/>
      <c r="BH301" s="17"/>
      <c r="BI301" s="17"/>
      <c r="BJ301" s="17"/>
      <c r="BK301" s="17"/>
      <c r="BL301" s="17"/>
      <c r="BM301" s="3"/>
      <c r="BN301" s="3"/>
      <c r="BO301" s="3"/>
      <c r="BP301" s="3"/>
      <c r="BQ301" s="3"/>
      <c r="BR301" s="3"/>
      <c r="BS301" s="3"/>
      <c r="BT301" s="3"/>
      <c r="BU301" s="3"/>
      <c r="BV301" s="3"/>
      <c r="BW301" s="3"/>
      <c r="BX301" s="3"/>
      <c r="BY301" s="3"/>
      <c r="BZ301" s="3"/>
      <c r="CA301" s="3"/>
      <c r="CB301" s="3"/>
      <c r="CC301" s="25"/>
      <c r="CD301" s="25"/>
      <c r="CE301" s="25"/>
    </row>
    <row r="302" spans="2:83" s="82" customFormat="1" ht="12" customHeight="1">
      <c r="B302" s="82" t="s">
        <v>861</v>
      </c>
      <c r="AC302" s="393"/>
      <c r="BD302" s="730"/>
      <c r="BF302" s="17"/>
      <c r="BG302" s="17"/>
      <c r="BH302" s="17"/>
      <c r="BI302" s="17"/>
      <c r="BJ302" s="17"/>
      <c r="BK302" s="17"/>
      <c r="BL302" s="17"/>
      <c r="BM302" s="3"/>
      <c r="BN302" s="3"/>
      <c r="BO302" s="3"/>
      <c r="BP302" s="3"/>
      <c r="BQ302" s="3"/>
      <c r="BR302" s="3"/>
      <c r="BS302" s="3"/>
      <c r="BT302" s="3"/>
      <c r="BU302" s="3"/>
      <c r="BV302" s="3"/>
      <c r="BW302" s="3"/>
      <c r="BX302" s="3"/>
      <c r="BY302" s="3"/>
      <c r="BZ302" s="3"/>
      <c r="CA302" s="3"/>
      <c r="CB302" s="3"/>
      <c r="CC302" s="25"/>
      <c r="CD302" s="25"/>
      <c r="CE302" s="25"/>
    </row>
    <row r="303" spans="2:83" s="82" customFormat="1" ht="12" customHeight="1">
      <c r="AC303" s="393"/>
      <c r="AE303" s="82" t="s">
        <v>870</v>
      </c>
      <c r="AN303" s="1204" t="s">
        <v>1452</v>
      </c>
      <c r="AR303" s="1204" t="s">
        <v>1453</v>
      </c>
      <c r="BD303" s="730"/>
      <c r="BF303" s="17"/>
      <c r="BG303" s="17"/>
      <c r="BH303" s="17"/>
      <c r="BI303" s="17"/>
      <c r="BJ303" s="17"/>
      <c r="BK303" s="17"/>
      <c r="BL303" s="17"/>
      <c r="BM303" s="3"/>
      <c r="BN303" s="3"/>
      <c r="BO303" s="3"/>
      <c r="BP303" s="3"/>
      <c r="BQ303" s="3"/>
      <c r="BR303" s="3"/>
      <c r="BS303" s="3"/>
      <c r="BT303" s="3"/>
      <c r="BU303" s="3"/>
      <c r="BV303" s="3"/>
      <c r="BW303" s="3"/>
      <c r="BX303" s="3"/>
      <c r="BY303" s="3"/>
      <c r="BZ303" s="3"/>
      <c r="CA303" s="3"/>
      <c r="CB303" s="3"/>
      <c r="CC303" s="25"/>
      <c r="CD303" s="25"/>
      <c r="CE303" s="25"/>
    </row>
    <row r="304" spans="2:83" s="82" customFormat="1" ht="12" customHeight="1">
      <c r="B304" s="25" t="s">
        <v>862</v>
      </c>
      <c r="AC304" s="393"/>
      <c r="BD304" s="730"/>
      <c r="BF304" s="17"/>
      <c r="BG304" s="17"/>
      <c r="BH304" s="17"/>
      <c r="BI304" s="17"/>
      <c r="BJ304" s="17"/>
      <c r="BK304" s="17"/>
      <c r="BL304" s="17"/>
      <c r="BM304" s="3"/>
      <c r="BN304" s="3"/>
      <c r="BO304" s="3"/>
      <c r="BP304" s="3"/>
      <c r="BQ304" s="3"/>
      <c r="BR304" s="3"/>
      <c r="BS304" s="3"/>
      <c r="BT304" s="3"/>
      <c r="BU304" s="3"/>
      <c r="BV304" s="3"/>
      <c r="BW304" s="3"/>
      <c r="BX304" s="3"/>
      <c r="BY304" s="3"/>
      <c r="BZ304" s="3"/>
      <c r="CA304" s="3"/>
      <c r="CB304" s="3"/>
      <c r="CC304" s="25"/>
      <c r="CD304" s="25"/>
      <c r="CE304" s="25"/>
    </row>
    <row r="305" spans="2:83" s="82" customFormat="1" ht="12" customHeight="1">
      <c r="B305" s="82" t="s">
        <v>1454</v>
      </c>
      <c r="AC305" s="828"/>
      <c r="BD305" s="730"/>
      <c r="BF305" s="17"/>
      <c r="BG305" s="17"/>
      <c r="BH305" s="17"/>
      <c r="BI305" s="17"/>
      <c r="BJ305" s="17"/>
      <c r="BK305" s="17"/>
      <c r="BL305" s="17"/>
      <c r="BM305" s="3"/>
      <c r="BN305" s="3"/>
      <c r="BO305" s="3"/>
      <c r="BP305" s="3"/>
      <c r="BQ305" s="3"/>
      <c r="BR305" s="3"/>
      <c r="BS305" s="3"/>
      <c r="BT305" s="3"/>
      <c r="BU305" s="3"/>
      <c r="BV305" s="3"/>
      <c r="BW305" s="3"/>
      <c r="BX305" s="3"/>
      <c r="BY305" s="3"/>
      <c r="BZ305" s="3"/>
      <c r="CA305" s="3"/>
      <c r="CB305" s="3"/>
      <c r="CC305" s="25"/>
      <c r="CD305" s="25"/>
      <c r="CE305" s="25"/>
    </row>
    <row r="306" spans="2:83" s="82" customFormat="1" ht="12" customHeight="1">
      <c r="B306" s="25" t="s">
        <v>1179</v>
      </c>
      <c r="AC306" s="828"/>
      <c r="BD306" s="829"/>
      <c r="BF306" s="17"/>
      <c r="BG306" s="17"/>
      <c r="BH306" s="17"/>
      <c r="BI306" s="17"/>
      <c r="BJ306" s="17"/>
      <c r="BK306" s="17"/>
      <c r="BL306" s="17"/>
      <c r="BM306" s="3"/>
      <c r="BN306" s="3"/>
      <c r="BO306" s="3"/>
      <c r="BP306" s="3"/>
      <c r="BQ306" s="3"/>
      <c r="BR306" s="3"/>
      <c r="BS306" s="3"/>
      <c r="BT306" s="3"/>
      <c r="BU306" s="3"/>
      <c r="BV306" s="3"/>
      <c r="BW306" s="3"/>
      <c r="BX306" s="3"/>
      <c r="BY306" s="3"/>
      <c r="BZ306" s="3"/>
      <c r="CA306" s="3"/>
      <c r="CB306" s="3"/>
      <c r="CC306" s="25"/>
      <c r="CD306" s="25"/>
      <c r="CE306" s="25"/>
    </row>
    <row r="307" spans="2:83" s="82" customFormat="1" ht="12" customHeight="1">
      <c r="B307" s="25" t="s">
        <v>902</v>
      </c>
      <c r="AC307" s="828"/>
      <c r="BD307" s="829"/>
      <c r="BF307" s="17"/>
      <c r="BG307" s="17"/>
      <c r="BH307" s="17"/>
      <c r="BI307" s="17"/>
      <c r="BJ307" s="17"/>
      <c r="BK307" s="17"/>
      <c r="BL307" s="17"/>
      <c r="BM307" s="3"/>
      <c r="BN307" s="3"/>
      <c r="BO307" s="3"/>
      <c r="BP307" s="3"/>
      <c r="BQ307" s="3"/>
      <c r="BR307" s="3"/>
      <c r="BS307" s="3"/>
      <c r="BT307" s="3"/>
      <c r="BU307" s="3"/>
      <c r="BV307" s="3"/>
      <c r="BW307" s="3"/>
      <c r="BX307" s="3"/>
      <c r="BY307" s="3"/>
      <c r="BZ307" s="3"/>
      <c r="CA307" s="3"/>
      <c r="CB307" s="3"/>
      <c r="CC307" s="25"/>
      <c r="CD307" s="25"/>
      <c r="CE307" s="25"/>
    </row>
    <row r="308" spans="2:83" s="82" customFormat="1" ht="12" customHeight="1">
      <c r="B308" s="82" t="s">
        <v>903</v>
      </c>
      <c r="AC308" s="393"/>
      <c r="BD308" s="730"/>
      <c r="BF308" s="17"/>
      <c r="BG308" s="17"/>
      <c r="BH308" s="17"/>
      <c r="BI308" s="17"/>
      <c r="BJ308" s="17"/>
      <c r="BK308" s="17"/>
      <c r="BL308" s="17"/>
      <c r="BM308" s="3"/>
      <c r="BN308" s="3"/>
      <c r="BO308" s="3"/>
      <c r="BP308" s="3"/>
      <c r="BQ308" s="3"/>
      <c r="BR308" s="3"/>
      <c r="BS308" s="3"/>
      <c r="BT308" s="3"/>
      <c r="BU308" s="3"/>
      <c r="BV308" s="3"/>
      <c r="BW308" s="3"/>
      <c r="BX308" s="3"/>
      <c r="BY308" s="3"/>
      <c r="BZ308" s="3"/>
      <c r="CA308" s="3"/>
      <c r="CB308" s="3"/>
      <c r="CC308" s="25"/>
      <c r="CD308" s="25"/>
      <c r="CE308" s="25"/>
    </row>
    <row r="309" spans="2:83" s="82" customFormat="1" ht="12" customHeight="1">
      <c r="AC309" s="828"/>
      <c r="BD309" s="730"/>
      <c r="BF309" s="17"/>
      <c r="BG309" s="17"/>
      <c r="BH309" s="17"/>
      <c r="BI309" s="17"/>
      <c r="BJ309" s="17"/>
      <c r="BK309" s="17"/>
      <c r="BL309" s="17"/>
      <c r="BM309" s="3"/>
      <c r="BN309" s="3"/>
      <c r="BO309" s="3"/>
      <c r="BP309" s="3"/>
      <c r="BQ309" s="3"/>
      <c r="BR309" s="3"/>
      <c r="BS309" s="3"/>
      <c r="BT309" s="3"/>
      <c r="BU309" s="3"/>
      <c r="BV309" s="3"/>
      <c r="BW309" s="3"/>
      <c r="BX309" s="3"/>
      <c r="BY309" s="3"/>
      <c r="BZ309" s="3"/>
      <c r="CA309" s="3"/>
      <c r="CB309" s="3"/>
      <c r="CC309" s="25"/>
      <c r="CD309" s="25"/>
      <c r="CE309" s="25"/>
    </row>
    <row r="310" spans="2:83" s="82" customFormat="1" ht="12" customHeight="1">
      <c r="B310" s="25" t="s">
        <v>1064</v>
      </c>
      <c r="T310" s="2770" t="s">
        <v>158</v>
      </c>
      <c r="U310" s="2770"/>
      <c r="V310" s="2770"/>
      <c r="W310" s="2770"/>
      <c r="X310" s="2770"/>
      <c r="AC310" s="393"/>
      <c r="BD310" s="730"/>
      <c r="BF310" s="17"/>
      <c r="BG310" s="17"/>
      <c r="BH310" s="17"/>
      <c r="BI310" s="17"/>
      <c r="BJ310" s="17"/>
      <c r="BK310" s="17"/>
      <c r="BL310" s="17"/>
      <c r="BM310" s="3"/>
      <c r="BN310" s="3"/>
      <c r="BO310" s="3"/>
      <c r="BP310" s="3"/>
      <c r="BQ310" s="3"/>
      <c r="BR310" s="3"/>
      <c r="BS310" s="3"/>
      <c r="BT310" s="3"/>
      <c r="BU310" s="3"/>
      <c r="BV310" s="3"/>
      <c r="BW310" s="3"/>
      <c r="BX310" s="3"/>
      <c r="BY310" s="3"/>
      <c r="BZ310" s="3"/>
      <c r="CA310" s="3"/>
      <c r="CB310" s="3"/>
      <c r="CC310" s="25"/>
      <c r="CD310" s="25"/>
      <c r="CE310" s="25"/>
    </row>
    <row r="311" spans="2:83" s="82" customFormat="1" ht="12" customHeight="1">
      <c r="AC311" s="393"/>
      <c r="BD311" s="730"/>
      <c r="BF311" s="17"/>
      <c r="BG311" s="17"/>
      <c r="BH311" s="17"/>
      <c r="BI311" s="17"/>
      <c r="BJ311" s="17"/>
      <c r="BK311" s="17"/>
      <c r="BL311" s="17"/>
      <c r="BM311" s="3"/>
      <c r="BN311" s="3"/>
      <c r="BO311" s="3"/>
      <c r="BP311" s="3"/>
      <c r="BQ311" s="3"/>
      <c r="BR311" s="3"/>
      <c r="BS311" s="3"/>
      <c r="BT311" s="3"/>
      <c r="BU311" s="3"/>
      <c r="BV311" s="3"/>
      <c r="BW311" s="3"/>
      <c r="BX311" s="3"/>
      <c r="BY311" s="3"/>
      <c r="BZ311" s="3"/>
      <c r="CA311" s="3"/>
      <c r="CB311" s="3"/>
      <c r="CC311" s="25"/>
      <c r="CD311" s="25"/>
      <c r="CE311" s="25"/>
    </row>
    <row r="312" spans="2:83" s="82" customFormat="1" ht="12" customHeight="1">
      <c r="B312" s="310" t="s">
        <v>578</v>
      </c>
      <c r="AC312" s="827">
        <v>200</v>
      </c>
      <c r="BD312" s="730"/>
      <c r="BF312" s="17"/>
      <c r="BG312" s="17"/>
      <c r="BH312" s="17"/>
      <c r="BI312" s="17"/>
      <c r="BJ312" s="17"/>
      <c r="BK312" s="17"/>
      <c r="BL312" s="17"/>
      <c r="BM312" s="3"/>
      <c r="BN312" s="3"/>
      <c r="BO312" s="3"/>
      <c r="BP312" s="3"/>
      <c r="BQ312" s="3"/>
      <c r="BR312" s="3"/>
      <c r="BS312" s="3"/>
      <c r="BT312" s="3"/>
      <c r="BU312" s="3"/>
      <c r="BV312" s="3"/>
      <c r="BW312" s="3"/>
      <c r="BX312" s="3"/>
      <c r="BY312" s="3"/>
      <c r="BZ312" s="3"/>
      <c r="CA312" s="3"/>
      <c r="CB312" s="3"/>
      <c r="CC312" s="25"/>
      <c r="CD312" s="25"/>
      <c r="CE312" s="25"/>
    </row>
    <row r="313" spans="2:83" s="82" customFormat="1" ht="12" customHeight="1">
      <c r="B313" s="276" t="s">
        <v>579</v>
      </c>
      <c r="AC313" s="393"/>
      <c r="BD313" s="730"/>
      <c r="BF313" s="17"/>
      <c r="BG313" s="17"/>
      <c r="BH313" s="17"/>
      <c r="BI313" s="17"/>
      <c r="BJ313" s="17"/>
      <c r="BK313" s="17"/>
      <c r="BL313" s="17"/>
      <c r="BM313" s="3"/>
      <c r="BN313" s="3"/>
      <c r="BO313" s="3"/>
      <c r="BP313" s="3"/>
      <c r="BQ313" s="3"/>
      <c r="BR313" s="3"/>
      <c r="BS313" s="3"/>
      <c r="BT313" s="3"/>
      <c r="BU313" s="3"/>
      <c r="BV313" s="3"/>
      <c r="BW313" s="3"/>
      <c r="BX313" s="3"/>
      <c r="BY313" s="3"/>
      <c r="BZ313" s="3"/>
      <c r="CA313" s="3"/>
      <c r="CB313" s="3"/>
      <c r="CC313" s="25"/>
      <c r="CD313" s="25"/>
      <c r="CE313" s="25"/>
    </row>
    <row r="314" spans="2:83" s="82" customFormat="1" ht="12" customHeight="1">
      <c r="B314" s="277" t="s">
        <v>580</v>
      </c>
      <c r="AC314" s="393"/>
      <c r="BD314" s="730"/>
      <c r="BF314" s="17"/>
      <c r="BG314" s="17"/>
      <c r="BH314" s="17"/>
      <c r="BI314" s="17"/>
      <c r="BJ314" s="17"/>
      <c r="BK314" s="17"/>
      <c r="BL314" s="17"/>
      <c r="BM314" s="3"/>
      <c r="BN314" s="3"/>
      <c r="BO314" s="3"/>
      <c r="BP314" s="3"/>
      <c r="BQ314" s="3"/>
      <c r="BR314" s="3"/>
      <c r="BS314" s="3"/>
      <c r="BT314" s="3"/>
      <c r="BU314" s="3"/>
      <c r="BV314" s="3"/>
      <c r="BW314" s="3"/>
      <c r="BX314" s="3"/>
      <c r="BY314" s="3"/>
      <c r="BZ314" s="3"/>
      <c r="CA314" s="3"/>
      <c r="CB314" s="3"/>
      <c r="CC314" s="25"/>
      <c r="CD314" s="25"/>
      <c r="CE314" s="25"/>
    </row>
    <row r="315" spans="2:83" s="82" customFormat="1" ht="12" customHeight="1">
      <c r="B315" s="277" t="s">
        <v>581</v>
      </c>
      <c r="AC315" s="393"/>
      <c r="BD315" s="730"/>
      <c r="BF315" s="17"/>
      <c r="BG315" s="17"/>
      <c r="BH315" s="17"/>
      <c r="BI315" s="17"/>
      <c r="BJ315" s="17"/>
      <c r="BK315" s="17"/>
      <c r="BL315" s="17"/>
      <c r="BM315" s="3"/>
      <c r="BN315" s="3"/>
      <c r="BO315" s="3"/>
      <c r="BP315" s="3"/>
      <c r="BQ315" s="3"/>
      <c r="BR315" s="3"/>
      <c r="BS315" s="3"/>
      <c r="BT315" s="3"/>
      <c r="BU315" s="3"/>
      <c r="BV315" s="3"/>
      <c r="BW315" s="3"/>
      <c r="BX315" s="3"/>
      <c r="BY315" s="3"/>
      <c r="BZ315" s="3"/>
      <c r="CA315" s="3"/>
      <c r="CB315" s="3"/>
      <c r="CC315" s="25"/>
      <c r="CD315" s="25"/>
      <c r="CE315" s="25"/>
    </row>
    <row r="316" spans="2:83" s="82" customFormat="1" ht="12" customHeight="1">
      <c r="B316" s="277" t="s">
        <v>582</v>
      </c>
      <c r="AC316" s="393"/>
      <c r="BD316" s="730"/>
      <c r="BF316" s="17"/>
      <c r="BG316" s="17"/>
      <c r="BH316" s="17"/>
      <c r="BI316" s="17"/>
      <c r="BJ316" s="17"/>
      <c r="BK316" s="17"/>
      <c r="BL316" s="17"/>
      <c r="BM316" s="3"/>
      <c r="BN316" s="3"/>
      <c r="BO316" s="3"/>
      <c r="BP316" s="3"/>
      <c r="BQ316" s="3"/>
      <c r="BR316" s="3"/>
      <c r="BS316" s="3"/>
      <c r="BT316" s="3"/>
      <c r="BU316" s="3"/>
      <c r="BV316" s="3"/>
      <c r="BW316" s="3"/>
      <c r="BX316" s="3"/>
      <c r="BY316" s="3"/>
      <c r="BZ316" s="3"/>
      <c r="CA316" s="3"/>
      <c r="CB316" s="3"/>
      <c r="CC316" s="25"/>
      <c r="CD316" s="25"/>
      <c r="CE316" s="25"/>
    </row>
    <row r="317" spans="2:83" s="82" customFormat="1" ht="12" customHeight="1">
      <c r="B317" s="82" t="s">
        <v>583</v>
      </c>
      <c r="AC317" s="393"/>
      <c r="BD317" s="730"/>
      <c r="BF317" s="17"/>
      <c r="BG317" s="17"/>
      <c r="BH317" s="17"/>
      <c r="BI317" s="17"/>
      <c r="BJ317" s="17"/>
      <c r="BK317" s="17"/>
      <c r="BL317" s="17"/>
      <c r="BM317" s="3"/>
      <c r="BN317" s="3"/>
      <c r="BO317" s="3"/>
      <c r="BP317" s="3"/>
      <c r="BQ317" s="3"/>
      <c r="BR317" s="3"/>
      <c r="BS317" s="3"/>
      <c r="BT317" s="3"/>
      <c r="BU317" s="3"/>
      <c r="BV317" s="3"/>
      <c r="BW317" s="3"/>
      <c r="BX317" s="3"/>
      <c r="BY317" s="3"/>
      <c r="BZ317" s="3"/>
      <c r="CA317" s="3"/>
      <c r="CB317" s="3"/>
      <c r="CC317" s="25"/>
      <c r="CD317" s="25"/>
      <c r="CE317" s="25"/>
    </row>
    <row r="318" spans="2:83" s="82" customFormat="1" ht="12" customHeight="1">
      <c r="B318" s="82" t="s">
        <v>584</v>
      </c>
      <c r="AC318" s="393"/>
      <c r="BD318" s="730"/>
      <c r="BF318" s="17"/>
      <c r="BG318" s="17"/>
      <c r="BH318" s="17"/>
      <c r="BI318" s="17"/>
      <c r="BJ318" s="17"/>
      <c r="BK318" s="17"/>
      <c r="BL318" s="17"/>
      <c r="BM318" s="3"/>
      <c r="BN318" s="3"/>
      <c r="BO318" s="3"/>
      <c r="BP318" s="3"/>
      <c r="BQ318" s="3"/>
      <c r="BR318" s="3"/>
      <c r="BS318" s="3"/>
      <c r="BT318" s="3"/>
      <c r="BU318" s="3"/>
      <c r="BV318" s="3"/>
      <c r="BW318" s="3"/>
      <c r="BX318" s="3"/>
      <c r="BY318" s="3"/>
      <c r="BZ318" s="3"/>
      <c r="CA318" s="3"/>
      <c r="CB318" s="3"/>
      <c r="CC318" s="25"/>
      <c r="CD318" s="25"/>
      <c r="CE318" s="25"/>
    </row>
    <row r="319" spans="2:83" s="82" customFormat="1" ht="12" customHeight="1">
      <c r="B319" s="276" t="s">
        <v>726</v>
      </c>
      <c r="AC319" s="828"/>
      <c r="BD319" s="730"/>
      <c r="BF319" s="17"/>
      <c r="BG319" s="17"/>
      <c r="BH319" s="17"/>
      <c r="BI319" s="17"/>
      <c r="BJ319" s="17"/>
      <c r="BK319" s="17"/>
      <c r="BL319" s="17"/>
      <c r="BM319" s="3"/>
      <c r="BN319" s="3"/>
      <c r="BO319" s="3"/>
      <c r="BP319" s="3"/>
      <c r="BQ319" s="3"/>
      <c r="BR319" s="3"/>
      <c r="BS319" s="3"/>
      <c r="BT319" s="3"/>
      <c r="BU319" s="3"/>
      <c r="BV319" s="3"/>
      <c r="BW319" s="3"/>
      <c r="BX319" s="3"/>
      <c r="BY319" s="3"/>
      <c r="BZ319" s="3"/>
      <c r="CA319" s="3"/>
      <c r="CB319" s="3"/>
      <c r="CC319" s="25"/>
      <c r="CD319" s="25"/>
      <c r="CE319" s="25"/>
    </row>
    <row r="320" spans="2:83" s="82" customFormat="1" ht="12" customHeight="1">
      <c r="B320" s="82" t="s">
        <v>727</v>
      </c>
      <c r="AC320" s="393"/>
      <c r="BD320" s="829"/>
      <c r="BF320" s="17"/>
      <c r="BG320" s="17"/>
      <c r="BH320" s="17"/>
      <c r="BI320" s="17"/>
      <c r="BJ320" s="17"/>
      <c r="BK320" s="17"/>
      <c r="BL320" s="17"/>
      <c r="BM320" s="3"/>
      <c r="BN320" s="3"/>
      <c r="BO320" s="3"/>
      <c r="BP320" s="3"/>
      <c r="BQ320" s="3"/>
      <c r="BR320" s="3"/>
      <c r="BS320" s="3"/>
      <c r="BT320" s="3"/>
      <c r="BU320" s="3"/>
      <c r="BV320" s="3"/>
      <c r="BW320" s="3"/>
      <c r="BX320" s="3"/>
      <c r="BY320" s="3"/>
      <c r="BZ320" s="3"/>
      <c r="CA320" s="3"/>
      <c r="CB320" s="3"/>
      <c r="CC320" s="25"/>
      <c r="CD320" s="25"/>
      <c r="CE320" s="25"/>
    </row>
    <row r="321" spans="2:83" s="82" customFormat="1" ht="12" customHeight="1">
      <c r="AC321" s="828"/>
      <c r="BD321" s="829"/>
      <c r="BF321" s="17"/>
      <c r="BG321" s="17"/>
      <c r="BH321" s="17"/>
      <c r="BI321" s="17"/>
      <c r="BJ321" s="17"/>
      <c r="BK321" s="17"/>
      <c r="BL321" s="17"/>
      <c r="BM321" s="3"/>
      <c r="BN321" s="3"/>
      <c r="BO321" s="3"/>
      <c r="BP321" s="3"/>
      <c r="BQ321" s="3"/>
      <c r="BR321" s="3"/>
      <c r="BS321" s="3"/>
      <c r="BT321" s="3"/>
      <c r="BU321" s="3"/>
      <c r="BV321" s="3"/>
      <c r="BW321" s="3"/>
      <c r="BX321" s="3"/>
      <c r="BY321" s="3"/>
      <c r="BZ321" s="3"/>
      <c r="CA321" s="3"/>
      <c r="CB321" s="3"/>
      <c r="CC321" s="25"/>
      <c r="CD321" s="25"/>
      <c r="CE321" s="25"/>
    </row>
    <row r="322" spans="2:83" s="82" customFormat="1" ht="12" customHeight="1">
      <c r="B322" s="310" t="s">
        <v>734</v>
      </c>
      <c r="AC322" s="827">
        <v>201</v>
      </c>
      <c r="BD322" s="829"/>
      <c r="BF322" s="17"/>
      <c r="BG322" s="17"/>
      <c r="BH322" s="17"/>
      <c r="BI322" s="17"/>
      <c r="BJ322" s="17"/>
      <c r="BK322" s="17"/>
      <c r="BL322" s="17"/>
      <c r="BM322" s="3"/>
      <c r="BN322" s="3"/>
      <c r="BO322" s="3"/>
      <c r="BP322" s="3"/>
      <c r="BQ322" s="3"/>
      <c r="BR322" s="3"/>
      <c r="BS322" s="3"/>
      <c r="BT322" s="3"/>
      <c r="BU322" s="3"/>
      <c r="BV322" s="3"/>
      <c r="BW322" s="3"/>
      <c r="BX322" s="3"/>
      <c r="BY322" s="3"/>
      <c r="BZ322" s="3"/>
      <c r="CA322" s="3"/>
      <c r="CB322" s="3"/>
      <c r="CC322" s="25"/>
      <c r="CD322" s="25"/>
      <c r="CE322" s="25"/>
    </row>
    <row r="323" spans="2:83" s="82" customFormat="1" ht="12" customHeight="1">
      <c r="B323" s="82" t="s">
        <v>805</v>
      </c>
      <c r="AC323" s="828"/>
      <c r="BD323" s="829"/>
      <c r="BF323" s="17"/>
      <c r="BG323" s="17"/>
      <c r="BH323" s="17"/>
      <c r="BI323" s="17"/>
      <c r="BJ323" s="17"/>
      <c r="BK323" s="17"/>
      <c r="BL323" s="17"/>
      <c r="BM323" s="3"/>
      <c r="BN323" s="3"/>
      <c r="BO323" s="3"/>
      <c r="BP323" s="3"/>
      <c r="BQ323" s="3"/>
      <c r="BR323" s="3"/>
      <c r="BS323" s="3"/>
      <c r="BT323" s="3"/>
      <c r="BU323" s="3"/>
      <c r="BV323" s="3"/>
      <c r="BW323" s="3"/>
      <c r="BX323" s="3"/>
      <c r="BY323" s="3"/>
      <c r="BZ323" s="3"/>
      <c r="CA323" s="3"/>
      <c r="CB323" s="3"/>
      <c r="CC323" s="25"/>
      <c r="CD323" s="25"/>
      <c r="CE323" s="25"/>
    </row>
    <row r="324" spans="2:83" s="82" customFormat="1" ht="12" customHeight="1">
      <c r="B324" s="82" t="s">
        <v>806</v>
      </c>
      <c r="AC324" s="828"/>
      <c r="BD324" s="829"/>
      <c r="BF324" s="17"/>
      <c r="BG324" s="17"/>
      <c r="BH324" s="17"/>
      <c r="BI324" s="17"/>
      <c r="BJ324" s="17"/>
      <c r="BK324" s="17"/>
      <c r="BL324" s="17"/>
      <c r="BM324" s="3"/>
      <c r="BN324" s="3"/>
      <c r="BO324" s="3"/>
      <c r="BP324" s="3"/>
      <c r="BQ324" s="3"/>
      <c r="BR324" s="3"/>
      <c r="BS324" s="3"/>
      <c r="BT324" s="3"/>
      <c r="BU324" s="3"/>
      <c r="BV324" s="3"/>
      <c r="BW324" s="3"/>
      <c r="BX324" s="3"/>
      <c r="BY324" s="3"/>
      <c r="BZ324" s="3"/>
      <c r="CA324" s="3"/>
      <c r="CB324" s="3"/>
      <c r="CC324" s="25"/>
      <c r="CD324" s="25"/>
      <c r="CE324" s="25"/>
    </row>
    <row r="325" spans="2:83" s="82" customFormat="1" ht="12" customHeight="1">
      <c r="B325" s="82" t="s">
        <v>1455</v>
      </c>
      <c r="AC325" s="828"/>
      <c r="BD325" s="829"/>
      <c r="BF325" s="17"/>
      <c r="BG325" s="17"/>
      <c r="BH325" s="17"/>
      <c r="BI325" s="17"/>
      <c r="BJ325" s="17"/>
      <c r="BK325" s="17"/>
      <c r="BL325" s="17"/>
      <c r="BM325" s="3"/>
      <c r="BN325" s="3"/>
      <c r="BO325" s="3"/>
      <c r="BP325" s="3"/>
      <c r="BQ325" s="3"/>
      <c r="BR325" s="3"/>
      <c r="BS325" s="3"/>
      <c r="BT325" s="3"/>
      <c r="BU325" s="3"/>
      <c r="BV325" s="3"/>
      <c r="BW325" s="3"/>
      <c r="BX325" s="3"/>
      <c r="BY325" s="3"/>
      <c r="BZ325" s="3"/>
      <c r="CA325" s="3"/>
      <c r="CB325" s="3"/>
      <c r="CC325" s="25"/>
      <c r="CD325" s="25"/>
      <c r="CE325" s="25"/>
    </row>
    <row r="326" spans="2:83" s="82" customFormat="1" ht="12" customHeight="1">
      <c r="B326" s="82" t="s">
        <v>889</v>
      </c>
      <c r="AC326" s="393"/>
      <c r="BD326" s="730"/>
      <c r="BF326" s="17"/>
      <c r="BG326" s="17"/>
      <c r="BH326" s="17"/>
      <c r="BI326" s="17"/>
      <c r="BJ326" s="17"/>
      <c r="BK326" s="17"/>
      <c r="BL326" s="17"/>
      <c r="BM326" s="3"/>
      <c r="BN326" s="3"/>
      <c r="BO326" s="3"/>
      <c r="BP326" s="3"/>
      <c r="BQ326" s="3"/>
      <c r="BR326" s="3"/>
      <c r="BS326" s="3"/>
      <c r="BT326" s="3"/>
      <c r="BU326" s="3"/>
      <c r="BV326" s="3"/>
      <c r="BW326" s="3"/>
      <c r="BX326" s="3"/>
      <c r="BY326" s="3"/>
      <c r="BZ326" s="3"/>
      <c r="CA326" s="3"/>
      <c r="CB326" s="3"/>
      <c r="CC326" s="25"/>
      <c r="CD326" s="25"/>
      <c r="CE326" s="25"/>
    </row>
    <row r="327" spans="2:83" s="82" customFormat="1" ht="12" customHeight="1">
      <c r="B327" s="2478" t="s">
        <v>1456</v>
      </c>
      <c r="AC327" s="828"/>
      <c r="BD327" s="730"/>
      <c r="BF327" s="17"/>
      <c r="BG327" s="17"/>
      <c r="BH327" s="17"/>
      <c r="BI327" s="17"/>
      <c r="BJ327" s="17"/>
      <c r="BK327" s="17"/>
      <c r="BL327" s="17"/>
      <c r="BM327" s="3"/>
      <c r="BN327" s="3"/>
      <c r="BO327" s="3"/>
      <c r="BP327" s="3"/>
      <c r="BQ327" s="3"/>
      <c r="BR327" s="3"/>
      <c r="BS327" s="3"/>
      <c r="BT327" s="3"/>
      <c r="BU327" s="3"/>
      <c r="BV327" s="3"/>
      <c r="BW327" s="3"/>
      <c r="BX327" s="3"/>
      <c r="BY327" s="3"/>
      <c r="BZ327" s="3"/>
      <c r="CA327" s="3"/>
      <c r="CB327" s="3"/>
      <c r="CC327" s="25"/>
      <c r="CD327" s="25"/>
      <c r="CE327" s="25"/>
    </row>
    <row r="328" spans="2:83" s="82" customFormat="1" ht="12" customHeight="1">
      <c r="B328" s="2478" t="s">
        <v>769</v>
      </c>
      <c r="AC328" s="828"/>
      <c r="BD328" s="730"/>
      <c r="BF328" s="17"/>
      <c r="BG328" s="17"/>
      <c r="BH328" s="17"/>
      <c r="BI328" s="17"/>
      <c r="BJ328" s="17"/>
      <c r="BK328" s="17"/>
      <c r="BL328" s="17"/>
      <c r="BM328" s="3"/>
      <c r="BN328" s="3"/>
      <c r="BO328" s="3"/>
      <c r="BP328" s="3"/>
      <c r="BQ328" s="3"/>
      <c r="BR328" s="3"/>
      <c r="BS328" s="3"/>
      <c r="BT328" s="3"/>
      <c r="BU328" s="3"/>
      <c r="BV328" s="3"/>
      <c r="BW328" s="3"/>
      <c r="BX328" s="3"/>
      <c r="BY328" s="3"/>
      <c r="BZ328" s="3"/>
      <c r="CA328" s="3"/>
      <c r="CB328" s="3"/>
      <c r="CC328" s="25"/>
      <c r="CD328" s="25"/>
      <c r="CE328" s="25"/>
    </row>
    <row r="329" spans="2:83" s="82" customFormat="1" ht="12" customHeight="1">
      <c r="AC329" s="828"/>
      <c r="BD329" s="730"/>
      <c r="BF329" s="17"/>
      <c r="BG329" s="17"/>
      <c r="BH329" s="17"/>
      <c r="BI329" s="17"/>
      <c r="BJ329" s="17"/>
      <c r="BK329" s="17"/>
      <c r="BL329" s="17"/>
      <c r="BM329" s="3"/>
      <c r="BN329" s="3"/>
      <c r="BO329" s="3"/>
      <c r="BP329" s="3"/>
      <c r="BQ329" s="3"/>
      <c r="BR329" s="3"/>
      <c r="BS329" s="3"/>
      <c r="BT329" s="3"/>
      <c r="BU329" s="3"/>
      <c r="BV329" s="3"/>
      <c r="BW329" s="3"/>
      <c r="BX329" s="3"/>
      <c r="BY329" s="3"/>
      <c r="BZ329" s="3"/>
      <c r="CA329" s="3"/>
      <c r="CB329" s="3"/>
      <c r="CC329" s="25"/>
      <c r="CD329" s="25"/>
      <c r="CE329" s="25"/>
    </row>
    <row r="330" spans="2:83" s="82" customFormat="1" ht="12" customHeight="1">
      <c r="B330" s="275" t="s">
        <v>1035</v>
      </c>
      <c r="AC330" s="828"/>
      <c r="BD330" s="730"/>
      <c r="BF330" s="17"/>
      <c r="BG330" s="17"/>
      <c r="BH330" s="17"/>
      <c r="BI330" s="17"/>
      <c r="BJ330" s="17"/>
      <c r="BK330" s="17"/>
      <c r="BL330" s="17"/>
      <c r="BM330" s="3"/>
      <c r="BN330" s="3"/>
      <c r="BO330" s="3"/>
      <c r="BP330" s="3"/>
      <c r="BQ330" s="3"/>
      <c r="BR330" s="3"/>
      <c r="BS330" s="3"/>
      <c r="BT330" s="3"/>
      <c r="BU330" s="3"/>
      <c r="BV330" s="3"/>
      <c r="BW330" s="3"/>
      <c r="BX330" s="3"/>
      <c r="BY330" s="3"/>
      <c r="BZ330" s="3"/>
      <c r="CA330" s="3"/>
      <c r="CB330" s="3"/>
      <c r="CC330" s="25"/>
      <c r="CD330" s="25"/>
      <c r="CE330" s="25"/>
    </row>
    <row r="331" spans="2:83" s="82" customFormat="1" ht="12" customHeight="1">
      <c r="B331" s="275" t="s">
        <v>1036</v>
      </c>
      <c r="AC331" s="828"/>
      <c r="BD331" s="730"/>
      <c r="BF331" s="17"/>
      <c r="BG331" s="17"/>
      <c r="BH331" s="17"/>
      <c r="BI331" s="17"/>
      <c r="BJ331" s="17"/>
      <c r="BK331" s="17"/>
      <c r="BL331" s="17"/>
      <c r="BM331" s="3"/>
      <c r="BN331" s="3"/>
      <c r="BO331" s="3"/>
      <c r="BP331" s="3"/>
      <c r="BQ331" s="3"/>
      <c r="BR331" s="3"/>
      <c r="BS331" s="3"/>
      <c r="BT331" s="3"/>
      <c r="BU331" s="3"/>
      <c r="BV331" s="3"/>
      <c r="BW331" s="3"/>
      <c r="BX331" s="3"/>
      <c r="BY331" s="3"/>
      <c r="BZ331" s="3"/>
      <c r="CA331" s="3"/>
      <c r="CB331" s="3"/>
      <c r="CC331" s="25"/>
      <c r="CD331" s="25"/>
      <c r="CE331" s="25"/>
    </row>
    <row r="332" spans="2:83" s="82" customFormat="1" ht="12" customHeight="1">
      <c r="B332" s="275" t="s">
        <v>1065</v>
      </c>
      <c r="AC332" s="828"/>
      <c r="BD332" s="730"/>
      <c r="BF332" s="17"/>
      <c r="BG332" s="17"/>
      <c r="BH332" s="17"/>
      <c r="BI332" s="17"/>
      <c r="BJ332" s="17"/>
      <c r="BK332" s="17"/>
      <c r="BL332" s="17"/>
      <c r="BM332" s="3"/>
      <c r="BN332" s="3"/>
      <c r="BO332" s="3"/>
      <c r="BP332" s="3"/>
      <c r="BQ332" s="3"/>
      <c r="BR332" s="3"/>
      <c r="BS332" s="3"/>
      <c r="BT332" s="3"/>
      <c r="BU332" s="3"/>
      <c r="BV332" s="3"/>
      <c r="BW332" s="3"/>
      <c r="BX332" s="3"/>
      <c r="BY332" s="3"/>
      <c r="BZ332" s="3"/>
      <c r="CA332" s="3"/>
      <c r="CB332" s="3"/>
      <c r="CC332" s="25"/>
      <c r="CD332" s="25"/>
      <c r="CE332" s="25"/>
    </row>
    <row r="333" spans="2:83" s="82" customFormat="1" ht="12" customHeight="1">
      <c r="B333" s="275" t="s">
        <v>888</v>
      </c>
      <c r="AC333" s="393"/>
      <c r="BD333" s="829"/>
      <c r="BF333" s="17"/>
      <c r="BG333" s="17"/>
      <c r="BH333" s="17"/>
      <c r="BI333" s="17"/>
      <c r="BJ333" s="17"/>
      <c r="BK333" s="17"/>
      <c r="BL333" s="17"/>
      <c r="BM333" s="3"/>
      <c r="BN333" s="3"/>
      <c r="BO333" s="3"/>
      <c r="BP333" s="3"/>
      <c r="BQ333" s="3"/>
      <c r="BR333" s="3"/>
      <c r="BS333" s="3"/>
      <c r="BT333" s="3"/>
      <c r="BU333" s="3"/>
      <c r="BV333" s="3"/>
      <c r="BW333" s="3"/>
      <c r="BX333" s="3"/>
      <c r="BY333" s="3"/>
      <c r="BZ333" s="3"/>
      <c r="CA333" s="3"/>
      <c r="CB333" s="3"/>
      <c r="CC333" s="25"/>
      <c r="CD333" s="25"/>
      <c r="CE333" s="25"/>
    </row>
    <row r="334" spans="2:83" s="82" customFormat="1" ht="12" customHeight="1">
      <c r="B334" s="275" t="s">
        <v>1037</v>
      </c>
      <c r="AC334" s="393"/>
      <c r="BD334" s="829"/>
      <c r="BF334" s="17"/>
      <c r="BG334" s="17"/>
      <c r="BH334" s="17"/>
      <c r="BI334" s="17"/>
      <c r="BJ334" s="17"/>
      <c r="BK334" s="17"/>
      <c r="BL334" s="17"/>
      <c r="BM334" s="3"/>
      <c r="BN334" s="3"/>
      <c r="BO334" s="3"/>
      <c r="BP334" s="3"/>
      <c r="BQ334" s="3"/>
      <c r="BR334" s="3"/>
      <c r="BS334" s="3"/>
      <c r="BT334" s="3"/>
      <c r="BU334" s="3"/>
      <c r="BV334" s="3"/>
      <c r="BW334" s="3"/>
      <c r="BX334" s="3"/>
      <c r="BY334" s="3"/>
      <c r="BZ334" s="3"/>
      <c r="CA334" s="3"/>
      <c r="CB334" s="3"/>
      <c r="CC334" s="25"/>
      <c r="CD334" s="25"/>
      <c r="CE334" s="25"/>
    </row>
    <row r="335" spans="2:83" s="82" customFormat="1" ht="12" customHeight="1">
      <c r="B335" s="275"/>
      <c r="AC335" s="828"/>
      <c r="BD335" s="829"/>
      <c r="BF335" s="17"/>
      <c r="BG335" s="17"/>
      <c r="BH335" s="17"/>
      <c r="BI335" s="17"/>
      <c r="BJ335" s="17"/>
      <c r="BK335" s="17"/>
      <c r="BL335" s="17"/>
      <c r="BM335" s="3"/>
      <c r="BN335" s="3"/>
      <c r="BO335" s="3"/>
      <c r="BP335" s="3"/>
      <c r="BQ335" s="3"/>
      <c r="BR335" s="3"/>
      <c r="BS335" s="3"/>
      <c r="BT335" s="3"/>
      <c r="BU335" s="3"/>
      <c r="BV335" s="3"/>
      <c r="BW335" s="3"/>
      <c r="BX335" s="3"/>
      <c r="BY335" s="3"/>
      <c r="BZ335" s="3"/>
      <c r="CA335" s="3"/>
      <c r="CB335" s="3"/>
      <c r="CC335" s="25"/>
      <c r="CD335" s="25"/>
      <c r="CE335" s="25"/>
    </row>
    <row r="336" spans="2:83" s="82" customFormat="1" ht="12" customHeight="1">
      <c r="B336" s="275" t="s">
        <v>1170</v>
      </c>
      <c r="AC336" s="828"/>
      <c r="BD336" s="829"/>
      <c r="BF336" s="17"/>
      <c r="BG336" s="17"/>
      <c r="BH336" s="17"/>
      <c r="BI336" s="17"/>
      <c r="BJ336" s="17"/>
      <c r="BK336" s="17"/>
      <c r="BL336" s="17"/>
      <c r="BM336" s="3"/>
      <c r="BN336" s="3"/>
      <c r="BO336" s="3"/>
      <c r="BP336" s="3"/>
      <c r="BQ336" s="3"/>
      <c r="BR336" s="3"/>
      <c r="BS336" s="3"/>
      <c r="BT336" s="3"/>
      <c r="BU336" s="3"/>
      <c r="BV336" s="3"/>
      <c r="BW336" s="3"/>
      <c r="BX336" s="3"/>
      <c r="BY336" s="3"/>
      <c r="BZ336" s="3"/>
      <c r="CA336" s="3"/>
      <c r="CB336" s="3"/>
      <c r="CC336" s="25"/>
      <c r="CD336" s="25"/>
      <c r="CE336" s="25"/>
    </row>
    <row r="337" spans="2:83" s="82" customFormat="1" ht="12" customHeight="1">
      <c r="B337" s="275" t="s">
        <v>1171</v>
      </c>
      <c r="AC337" s="828"/>
      <c r="BD337" s="829"/>
      <c r="BF337" s="17"/>
      <c r="BG337" s="17"/>
      <c r="BH337" s="17"/>
      <c r="BI337" s="17"/>
      <c r="BJ337" s="17"/>
      <c r="BK337" s="17"/>
      <c r="BL337" s="17"/>
      <c r="BM337" s="3"/>
      <c r="BN337" s="3"/>
      <c r="BO337" s="3"/>
      <c r="BP337" s="3"/>
      <c r="BQ337" s="3"/>
      <c r="BR337" s="3"/>
      <c r="BS337" s="3"/>
      <c r="BT337" s="3"/>
      <c r="BU337" s="3"/>
      <c r="BV337" s="3"/>
      <c r="BW337" s="3"/>
      <c r="BX337" s="3"/>
      <c r="BY337" s="3"/>
      <c r="BZ337" s="3"/>
      <c r="CA337" s="3"/>
      <c r="CB337" s="3"/>
      <c r="CC337" s="25"/>
      <c r="CD337" s="25"/>
      <c r="CE337" s="25"/>
    </row>
    <row r="338" spans="2:83" s="82" customFormat="1" ht="12" customHeight="1">
      <c r="B338" s="275"/>
      <c r="AC338" s="828"/>
      <c r="BD338" s="829"/>
      <c r="BF338" s="17"/>
      <c r="BG338" s="17"/>
      <c r="BH338" s="17"/>
      <c r="BI338" s="17"/>
      <c r="BJ338" s="17"/>
      <c r="BK338" s="17"/>
      <c r="BL338" s="17"/>
      <c r="BM338" s="3"/>
      <c r="BN338" s="3"/>
      <c r="BO338" s="3"/>
      <c r="BP338" s="3"/>
      <c r="BQ338" s="3"/>
      <c r="BR338" s="3"/>
      <c r="BS338" s="3"/>
      <c r="BT338" s="3"/>
      <c r="BU338" s="3"/>
      <c r="BV338" s="3"/>
      <c r="BW338" s="3"/>
      <c r="BX338" s="3"/>
      <c r="BY338" s="3"/>
      <c r="BZ338" s="3"/>
      <c r="CA338" s="3"/>
      <c r="CB338" s="3"/>
      <c r="CC338" s="25"/>
      <c r="CD338" s="25"/>
      <c r="CE338" s="25"/>
    </row>
    <row r="339" spans="2:83" s="82" customFormat="1" ht="12" customHeight="1">
      <c r="B339" s="82" t="s">
        <v>1026</v>
      </c>
      <c r="AC339" s="828"/>
      <c r="BD339" s="829"/>
      <c r="BF339" s="17"/>
      <c r="BG339" s="17"/>
      <c r="BH339" s="17"/>
      <c r="BI339" s="17"/>
      <c r="BJ339" s="17"/>
      <c r="BK339" s="17"/>
      <c r="BL339" s="17"/>
      <c r="BM339" s="3"/>
      <c r="BN339" s="3"/>
      <c r="BO339" s="3"/>
      <c r="BP339" s="3"/>
      <c r="BQ339" s="3"/>
      <c r="BR339" s="3"/>
      <c r="BS339" s="3"/>
      <c r="BT339" s="3"/>
      <c r="BU339" s="3"/>
      <c r="BV339" s="3"/>
      <c r="BW339" s="3"/>
      <c r="BX339" s="3"/>
      <c r="BY339" s="3"/>
      <c r="BZ339" s="3"/>
      <c r="CA339" s="3"/>
      <c r="CB339" s="3"/>
      <c r="CC339" s="25"/>
      <c r="CD339" s="25"/>
      <c r="CE339" s="25"/>
    </row>
    <row r="340" spans="2:83" s="82" customFormat="1" ht="12" customHeight="1">
      <c r="B340" s="82" t="s">
        <v>1457</v>
      </c>
      <c r="AC340" s="828"/>
      <c r="BD340" s="829"/>
      <c r="BF340" s="17"/>
      <c r="BG340" s="17"/>
      <c r="BH340" s="17"/>
      <c r="BI340" s="17"/>
      <c r="BJ340" s="17"/>
      <c r="BK340" s="17"/>
      <c r="BL340" s="17"/>
      <c r="BM340" s="3"/>
      <c r="BN340" s="3"/>
      <c r="BO340" s="3"/>
      <c r="BP340" s="3"/>
      <c r="BQ340" s="3"/>
      <c r="BR340" s="3"/>
      <c r="BS340" s="3"/>
      <c r="BT340" s="3"/>
      <c r="BU340" s="3"/>
      <c r="BV340" s="3"/>
      <c r="BW340" s="3"/>
      <c r="BX340" s="3"/>
      <c r="BY340" s="3"/>
      <c r="BZ340" s="3"/>
      <c r="CA340" s="3"/>
      <c r="CB340" s="3"/>
      <c r="CC340" s="25"/>
      <c r="CD340" s="25"/>
      <c r="CE340" s="25"/>
    </row>
    <row r="341" spans="2:83" s="82" customFormat="1" ht="12" customHeight="1">
      <c r="AC341" s="828"/>
      <c r="BD341" s="829"/>
      <c r="BF341" s="17"/>
      <c r="BG341" s="17"/>
      <c r="BH341" s="17"/>
      <c r="BI341" s="17"/>
      <c r="BJ341" s="17"/>
      <c r="BK341" s="17"/>
      <c r="BL341" s="17"/>
      <c r="BM341" s="3"/>
      <c r="BN341" s="3"/>
      <c r="BO341" s="3"/>
      <c r="BP341" s="3"/>
      <c r="BQ341" s="3"/>
      <c r="BR341" s="3"/>
      <c r="BS341" s="3"/>
      <c r="BT341" s="3"/>
      <c r="BU341" s="3"/>
      <c r="BV341" s="3"/>
      <c r="BW341" s="3"/>
      <c r="BX341" s="3"/>
      <c r="BY341" s="3"/>
      <c r="BZ341" s="3"/>
      <c r="CA341" s="3"/>
      <c r="CB341" s="3"/>
      <c r="CC341" s="25"/>
      <c r="CD341" s="25"/>
      <c r="CE341" s="25"/>
    </row>
    <row r="342" spans="2:83" s="82" customFormat="1" ht="12" customHeight="1">
      <c r="B342" s="82" t="s">
        <v>1305</v>
      </c>
      <c r="AC342" s="828"/>
      <c r="BD342" s="829"/>
      <c r="BF342" s="17"/>
      <c r="BG342" s="17"/>
      <c r="BH342" s="17"/>
      <c r="BI342" s="17"/>
      <c r="BJ342" s="17"/>
      <c r="BK342" s="17"/>
      <c r="BL342" s="17"/>
      <c r="BM342" s="3"/>
      <c r="BN342" s="3"/>
      <c r="BO342" s="3"/>
      <c r="BP342" s="3"/>
      <c r="BQ342" s="3"/>
      <c r="BR342" s="3"/>
      <c r="BS342" s="3"/>
      <c r="BT342" s="3"/>
      <c r="BU342" s="3"/>
      <c r="BV342" s="3"/>
      <c r="BW342" s="3"/>
      <c r="BX342" s="3"/>
      <c r="BY342" s="3"/>
      <c r="BZ342" s="3"/>
      <c r="CA342" s="3"/>
      <c r="CB342" s="3"/>
      <c r="CC342" s="25"/>
      <c r="CD342" s="25"/>
      <c r="CE342" s="25"/>
    </row>
    <row r="343" spans="2:83" s="82" customFormat="1" ht="12" customHeight="1">
      <c r="B343" s="82" t="s">
        <v>1099</v>
      </c>
      <c r="AC343" s="828"/>
      <c r="BD343" s="829"/>
      <c r="BF343" s="17"/>
      <c r="BG343" s="17"/>
      <c r="BH343" s="17"/>
      <c r="BI343" s="17"/>
      <c r="BJ343" s="17"/>
      <c r="BK343" s="17"/>
      <c r="BL343" s="17"/>
      <c r="BM343" s="3"/>
      <c r="BN343" s="3"/>
      <c r="BO343" s="3"/>
      <c r="BP343" s="3"/>
      <c r="BQ343" s="3"/>
      <c r="BR343" s="3"/>
      <c r="BS343" s="3"/>
      <c r="BT343" s="3"/>
      <c r="BU343" s="3"/>
      <c r="BV343" s="3"/>
      <c r="BW343" s="3"/>
      <c r="BX343" s="3"/>
      <c r="BY343" s="3"/>
      <c r="BZ343" s="3"/>
      <c r="CA343" s="3"/>
      <c r="CB343" s="3"/>
      <c r="CC343" s="25"/>
      <c r="CD343" s="25"/>
      <c r="CE343" s="25"/>
    </row>
    <row r="344" spans="2:83" s="82" customFormat="1" ht="12" customHeight="1">
      <c r="AC344" s="828"/>
      <c r="BD344" s="829"/>
      <c r="BF344" s="17"/>
      <c r="BG344" s="17"/>
      <c r="BH344" s="17"/>
      <c r="BI344" s="17"/>
      <c r="BJ344" s="17"/>
      <c r="BK344" s="17"/>
      <c r="BL344" s="17"/>
      <c r="BM344" s="3"/>
      <c r="BN344" s="3"/>
      <c r="BO344" s="3"/>
      <c r="BP344" s="3"/>
      <c r="BQ344" s="3"/>
      <c r="BR344" s="3"/>
      <c r="BS344" s="3"/>
      <c r="BT344" s="3"/>
      <c r="BU344" s="3"/>
      <c r="BV344" s="3"/>
      <c r="BW344" s="3"/>
      <c r="BX344" s="3"/>
      <c r="BY344" s="3"/>
      <c r="BZ344" s="3"/>
      <c r="CA344" s="3"/>
      <c r="CB344" s="3"/>
      <c r="CC344" s="25"/>
      <c r="CD344" s="25"/>
      <c r="CE344" s="25"/>
    </row>
    <row r="345" spans="2:83" s="82" customFormat="1" ht="12" customHeight="1">
      <c r="B345" s="82" t="s">
        <v>1172</v>
      </c>
      <c r="AC345" s="828"/>
      <c r="BD345" s="829"/>
      <c r="BF345" s="17"/>
      <c r="BG345" s="17"/>
      <c r="BH345" s="17"/>
      <c r="BI345" s="17"/>
      <c r="BJ345" s="17"/>
      <c r="BK345" s="17"/>
      <c r="BL345" s="17"/>
      <c r="BM345" s="3"/>
      <c r="BN345" s="3"/>
      <c r="BO345" s="3"/>
      <c r="BP345" s="3"/>
      <c r="BQ345" s="3"/>
      <c r="BR345" s="3"/>
      <c r="BS345" s="3"/>
      <c r="BT345" s="3"/>
      <c r="BU345" s="3"/>
      <c r="BV345" s="3"/>
      <c r="BW345" s="3"/>
      <c r="BX345" s="3"/>
      <c r="BY345" s="3"/>
      <c r="BZ345" s="3"/>
      <c r="CA345" s="3"/>
      <c r="CB345" s="3"/>
      <c r="CC345" s="25"/>
      <c r="CD345" s="25"/>
      <c r="CE345" s="25"/>
    </row>
    <row r="346" spans="2:83" s="82" customFormat="1" ht="12" customHeight="1">
      <c r="B346" s="82" t="s">
        <v>1173</v>
      </c>
      <c r="AC346" s="828"/>
      <c r="BD346" s="829"/>
      <c r="BF346" s="17"/>
      <c r="BG346" s="17"/>
      <c r="BH346" s="17"/>
      <c r="BI346" s="17"/>
      <c r="BJ346" s="17"/>
      <c r="BK346" s="17"/>
      <c r="BL346" s="17"/>
      <c r="BM346" s="3"/>
      <c r="BN346" s="3"/>
      <c r="BO346" s="3"/>
      <c r="BP346" s="3"/>
      <c r="BQ346" s="3"/>
      <c r="BR346" s="3"/>
      <c r="BS346" s="3"/>
      <c r="BT346" s="3"/>
      <c r="BU346" s="3"/>
      <c r="BV346" s="3"/>
      <c r="BW346" s="3"/>
      <c r="BX346" s="3"/>
      <c r="BY346" s="3"/>
      <c r="BZ346" s="3"/>
      <c r="CA346" s="3"/>
      <c r="CB346" s="3"/>
      <c r="CC346" s="25"/>
      <c r="CD346" s="25"/>
      <c r="CE346" s="25"/>
    </row>
    <row r="347" spans="2:83" s="82" customFormat="1" ht="12" customHeight="1">
      <c r="B347" s="82" t="s">
        <v>1174</v>
      </c>
      <c r="AC347" s="828"/>
      <c r="BD347" s="829"/>
      <c r="BF347" s="17"/>
      <c r="BG347" s="17"/>
      <c r="BH347" s="17"/>
      <c r="BI347" s="17"/>
      <c r="BJ347" s="17"/>
      <c r="BK347" s="17"/>
      <c r="BL347" s="17"/>
      <c r="BM347" s="3"/>
      <c r="BN347" s="3"/>
      <c r="BO347" s="3"/>
      <c r="BP347" s="3"/>
      <c r="BQ347" s="3"/>
      <c r="BR347" s="3"/>
      <c r="BS347" s="3"/>
      <c r="BT347" s="3"/>
      <c r="BU347" s="3"/>
      <c r="BV347" s="3"/>
      <c r="BW347" s="3"/>
      <c r="BX347" s="3"/>
      <c r="BY347" s="3"/>
      <c r="BZ347" s="3"/>
      <c r="CA347" s="3"/>
      <c r="CB347" s="3"/>
      <c r="CC347" s="25"/>
      <c r="CD347" s="25"/>
      <c r="CE347" s="25"/>
    </row>
    <row r="348" spans="2:83" s="82" customFormat="1" ht="12" customHeight="1">
      <c r="B348" s="82" t="s">
        <v>1175</v>
      </c>
      <c r="AC348" s="828"/>
      <c r="BD348" s="829"/>
      <c r="BF348" s="17"/>
      <c r="BG348" s="17"/>
      <c r="BH348" s="17"/>
      <c r="BI348" s="17"/>
      <c r="BJ348" s="17"/>
      <c r="BK348" s="17"/>
      <c r="BL348" s="17"/>
      <c r="BM348" s="3"/>
      <c r="BN348" s="3"/>
      <c r="BO348" s="3"/>
      <c r="BP348" s="3"/>
      <c r="BQ348" s="3"/>
      <c r="BR348" s="3"/>
      <c r="BS348" s="3"/>
      <c r="BT348" s="3"/>
      <c r="BU348" s="3"/>
      <c r="BV348" s="3"/>
      <c r="BW348" s="3"/>
      <c r="BX348" s="3"/>
      <c r="BY348" s="3"/>
      <c r="BZ348" s="3"/>
      <c r="CA348" s="3"/>
      <c r="CB348" s="3"/>
      <c r="CC348" s="25"/>
      <c r="CD348" s="25"/>
      <c r="CE348" s="25"/>
    </row>
    <row r="349" spans="2:83" s="82" customFormat="1" ht="12" customHeight="1">
      <c r="AC349" s="828"/>
      <c r="BD349" s="829"/>
      <c r="BF349" s="17"/>
      <c r="BG349" s="17"/>
      <c r="BH349" s="17"/>
      <c r="BI349" s="17"/>
      <c r="BJ349" s="17"/>
      <c r="BK349" s="17"/>
      <c r="BL349" s="17"/>
      <c r="BM349" s="3"/>
      <c r="BN349" s="3"/>
      <c r="BO349" s="3"/>
      <c r="BP349" s="3"/>
      <c r="BQ349" s="3"/>
      <c r="BR349" s="3"/>
      <c r="BS349" s="3"/>
      <c r="BT349" s="3"/>
      <c r="BU349" s="3"/>
      <c r="BV349" s="3"/>
      <c r="BW349" s="3"/>
      <c r="BX349" s="3"/>
      <c r="BY349" s="3"/>
      <c r="BZ349" s="3"/>
      <c r="CA349" s="3"/>
      <c r="CB349" s="3"/>
      <c r="CC349" s="25"/>
      <c r="CD349" s="25"/>
      <c r="CE349" s="25"/>
    </row>
    <row r="350" spans="2:83" s="82" customFormat="1" ht="12" customHeight="1">
      <c r="B350" s="310" t="s">
        <v>1470</v>
      </c>
      <c r="AC350" s="827">
        <v>206</v>
      </c>
      <c r="BD350" s="829"/>
      <c r="BF350" s="17"/>
      <c r="BG350" s="17"/>
      <c r="BH350" s="17"/>
      <c r="BI350" s="17"/>
      <c r="BJ350" s="17"/>
      <c r="BK350" s="17"/>
      <c r="BL350" s="17"/>
      <c r="BM350" s="3"/>
      <c r="BN350" s="3"/>
      <c r="BO350" s="3"/>
      <c r="BP350" s="3"/>
      <c r="BQ350" s="3"/>
      <c r="BR350" s="3"/>
      <c r="BS350" s="3"/>
      <c r="BT350" s="3"/>
      <c r="BU350" s="3"/>
      <c r="BV350" s="3"/>
      <c r="BW350" s="3"/>
      <c r="BX350" s="3"/>
      <c r="BY350" s="3"/>
      <c r="BZ350" s="3"/>
      <c r="CA350" s="3"/>
      <c r="CB350" s="3"/>
      <c r="CC350" s="25"/>
      <c r="CD350" s="25"/>
      <c r="CE350" s="25"/>
    </row>
    <row r="351" spans="2:83" s="82" customFormat="1" ht="12" customHeight="1">
      <c r="B351" s="276" t="s">
        <v>1176</v>
      </c>
      <c r="AC351" s="393"/>
      <c r="BD351" s="730"/>
      <c r="BF351" s="17"/>
      <c r="BG351" s="17"/>
      <c r="BH351" s="17"/>
      <c r="BI351" s="17"/>
      <c r="BJ351" s="17"/>
      <c r="BK351" s="17"/>
      <c r="BL351" s="17"/>
      <c r="BM351" s="3"/>
      <c r="BN351" s="3"/>
      <c r="BO351" s="3"/>
      <c r="BP351" s="3"/>
      <c r="BQ351" s="3"/>
      <c r="BR351" s="3"/>
      <c r="BS351" s="3"/>
      <c r="BT351" s="3"/>
      <c r="BU351" s="3"/>
      <c r="BV351" s="3"/>
      <c r="BW351" s="3"/>
      <c r="BX351" s="3"/>
      <c r="BY351" s="3"/>
      <c r="BZ351" s="3"/>
      <c r="CA351" s="3"/>
      <c r="CB351" s="3"/>
      <c r="CC351" s="25"/>
      <c r="CD351" s="25"/>
      <c r="CE351" s="25"/>
    </row>
    <row r="352" spans="2:83" s="82" customFormat="1" ht="12" customHeight="1">
      <c r="B352" s="82" t="s">
        <v>1413</v>
      </c>
      <c r="AC352" s="393"/>
      <c r="BD352" s="730"/>
      <c r="BF352" s="17"/>
      <c r="BG352" s="17"/>
      <c r="BH352" s="17"/>
      <c r="BI352" s="17"/>
      <c r="BJ352" s="17"/>
      <c r="BK352" s="17"/>
      <c r="BL352" s="17"/>
      <c r="BM352" s="3"/>
      <c r="BN352" s="3"/>
      <c r="BO352" s="3"/>
      <c r="BP352" s="3"/>
      <c r="BQ352" s="3"/>
      <c r="BR352" s="3"/>
      <c r="BS352" s="3"/>
      <c r="BT352" s="3"/>
      <c r="BU352" s="3"/>
      <c r="BV352" s="3"/>
      <c r="BW352" s="3"/>
      <c r="BX352" s="3"/>
      <c r="BY352" s="3"/>
      <c r="BZ352" s="3"/>
      <c r="CA352" s="3"/>
      <c r="CB352" s="3"/>
      <c r="CC352" s="25"/>
      <c r="CD352" s="25"/>
      <c r="CE352" s="25"/>
    </row>
    <row r="353" spans="2:83" s="82" customFormat="1" ht="12" customHeight="1">
      <c r="B353" s="82" t="s">
        <v>1414</v>
      </c>
      <c r="AC353" s="828"/>
      <c r="BD353" s="829"/>
      <c r="BF353" s="17"/>
      <c r="BG353" s="17"/>
      <c r="BH353" s="17"/>
      <c r="BI353" s="17"/>
      <c r="BJ353" s="17"/>
      <c r="BK353" s="17"/>
      <c r="BL353" s="17"/>
      <c r="BM353" s="3"/>
      <c r="BN353" s="3"/>
      <c r="BO353" s="3"/>
      <c r="BP353" s="3"/>
      <c r="BQ353" s="3"/>
      <c r="BR353" s="3"/>
      <c r="BS353" s="3"/>
      <c r="BT353" s="3"/>
      <c r="BU353" s="3"/>
      <c r="BV353" s="3"/>
      <c r="BW353" s="3"/>
      <c r="BX353" s="3"/>
      <c r="BY353" s="3"/>
      <c r="BZ353" s="3"/>
      <c r="CA353" s="3"/>
      <c r="CB353" s="3"/>
      <c r="CC353" s="25"/>
      <c r="CD353" s="25"/>
      <c r="CE353" s="25"/>
    </row>
    <row r="354" spans="2:83" s="82" customFormat="1" ht="12" customHeight="1">
      <c r="B354" s="82" t="s">
        <v>1415</v>
      </c>
      <c r="AC354" s="828"/>
      <c r="BD354" s="829"/>
      <c r="BF354" s="17"/>
      <c r="BG354" s="17"/>
      <c r="BH354" s="17"/>
      <c r="BI354" s="17"/>
      <c r="BJ354" s="17"/>
      <c r="BK354" s="17"/>
      <c r="BL354" s="17"/>
      <c r="BM354" s="3"/>
      <c r="BN354" s="3"/>
      <c r="BO354" s="3"/>
      <c r="BP354" s="3"/>
      <c r="BQ354" s="3"/>
      <c r="BR354" s="3"/>
      <c r="BS354" s="3"/>
      <c r="BT354" s="3"/>
      <c r="BU354" s="3"/>
      <c r="BV354" s="3"/>
      <c r="BW354" s="3"/>
      <c r="BX354" s="3"/>
      <c r="BY354" s="3"/>
      <c r="BZ354" s="3"/>
      <c r="CA354" s="3"/>
      <c r="CB354" s="3"/>
      <c r="CC354" s="25"/>
      <c r="CD354" s="25"/>
      <c r="CE354" s="25"/>
    </row>
    <row r="355" spans="2:83" s="82" customFormat="1" ht="12" customHeight="1">
      <c r="B355" s="82" t="s">
        <v>1416</v>
      </c>
      <c r="AC355" s="828"/>
      <c r="BD355" s="829"/>
      <c r="BF355" s="17"/>
      <c r="BG355" s="17"/>
      <c r="BH355" s="17"/>
      <c r="BI355" s="17"/>
      <c r="BJ355" s="17"/>
      <c r="BK355" s="17"/>
      <c r="BL355" s="17"/>
      <c r="BM355" s="3"/>
      <c r="BN355" s="3"/>
      <c r="BO355" s="3"/>
      <c r="BP355" s="3"/>
      <c r="BQ355" s="3"/>
      <c r="BR355" s="3"/>
      <c r="BS355" s="3"/>
      <c r="BT355" s="3"/>
      <c r="BU355" s="3"/>
      <c r="BV355" s="3"/>
      <c r="BW355" s="3"/>
      <c r="BX355" s="3"/>
      <c r="BY355" s="3"/>
      <c r="BZ355" s="3"/>
      <c r="CA355" s="3"/>
      <c r="CB355" s="3"/>
      <c r="CC355" s="25"/>
      <c r="CD355" s="25"/>
      <c r="CE355" s="25"/>
    </row>
    <row r="356" spans="2:83" s="82" customFormat="1" ht="12" customHeight="1">
      <c r="B356" s="82" t="s">
        <v>1417</v>
      </c>
      <c r="AC356" s="828"/>
      <c r="BD356" s="829"/>
      <c r="BF356" s="17"/>
      <c r="BG356" s="17"/>
      <c r="BH356" s="17"/>
      <c r="BI356" s="17"/>
      <c r="BJ356" s="17"/>
      <c r="BK356" s="17"/>
      <c r="BL356" s="17"/>
      <c r="BM356" s="3"/>
      <c r="BN356" s="3"/>
      <c r="BO356" s="3"/>
      <c r="BP356" s="3"/>
      <c r="BQ356" s="3"/>
      <c r="BR356" s="3"/>
      <c r="BS356" s="3"/>
      <c r="BT356" s="3"/>
      <c r="BU356" s="3"/>
      <c r="BV356" s="3"/>
      <c r="BW356" s="3"/>
      <c r="BX356" s="3"/>
      <c r="BY356" s="3"/>
      <c r="BZ356" s="3"/>
      <c r="CA356" s="3"/>
      <c r="CB356" s="3"/>
      <c r="CC356" s="25"/>
      <c r="CD356" s="25"/>
      <c r="CE356" s="25"/>
    </row>
    <row r="357" spans="2:83" s="82" customFormat="1" ht="12" customHeight="1">
      <c r="B357" s="82" t="s">
        <v>1418</v>
      </c>
      <c r="AC357" s="393"/>
      <c r="BD357" s="829"/>
      <c r="BF357" s="17"/>
      <c r="BG357" s="17"/>
      <c r="BH357" s="17"/>
      <c r="BI357" s="17"/>
      <c r="BJ357" s="17"/>
      <c r="BK357" s="17"/>
      <c r="BL357" s="17"/>
      <c r="BM357" s="3"/>
      <c r="BN357" s="3"/>
      <c r="BO357" s="3"/>
      <c r="BP357" s="3"/>
      <c r="BQ357" s="3"/>
      <c r="BR357" s="3"/>
      <c r="BS357" s="3"/>
      <c r="BT357" s="3"/>
      <c r="BU357" s="3"/>
      <c r="BV357" s="3"/>
      <c r="BW357" s="3"/>
      <c r="BX357" s="3"/>
      <c r="BY357" s="3"/>
      <c r="BZ357" s="3"/>
      <c r="CA357" s="3"/>
      <c r="CB357" s="3"/>
      <c r="CC357" s="25"/>
      <c r="CD357" s="25"/>
      <c r="CE357" s="25"/>
    </row>
    <row r="358" spans="2:83" s="82" customFormat="1" ht="12" customHeight="1">
      <c r="B358" s="276" t="s">
        <v>1419</v>
      </c>
      <c r="AC358" s="393"/>
      <c r="BD358" s="829"/>
      <c r="BF358" s="17"/>
      <c r="BG358" s="17"/>
      <c r="BH358" s="17"/>
      <c r="BI358" s="17"/>
      <c r="BJ358" s="17"/>
      <c r="BK358" s="17"/>
      <c r="BL358" s="17"/>
      <c r="BM358" s="3"/>
      <c r="BN358" s="3"/>
      <c r="BO358" s="3"/>
      <c r="BP358" s="3"/>
      <c r="BQ358" s="3"/>
      <c r="BR358" s="3"/>
      <c r="BS358" s="3"/>
      <c r="BT358" s="3"/>
      <c r="BU358" s="3"/>
      <c r="BV358" s="3"/>
      <c r="BW358" s="3"/>
      <c r="BX358" s="3"/>
      <c r="BY358" s="3"/>
      <c r="BZ358" s="3"/>
      <c r="CA358" s="3"/>
      <c r="CB358" s="3"/>
      <c r="CC358" s="25"/>
      <c r="CD358" s="25"/>
      <c r="CE358" s="25"/>
    </row>
    <row r="359" spans="2:83" s="82" customFormat="1" ht="12" customHeight="1">
      <c r="B359" s="82" t="s">
        <v>1420</v>
      </c>
      <c r="AC359" s="828"/>
      <c r="BD359" s="829"/>
      <c r="BF359" s="17"/>
      <c r="BG359" s="17"/>
      <c r="BH359" s="17"/>
      <c r="BI359" s="17"/>
      <c r="BJ359" s="17"/>
      <c r="BK359" s="17"/>
      <c r="BL359" s="17"/>
      <c r="BM359" s="3"/>
      <c r="BN359" s="3"/>
      <c r="BO359" s="3"/>
      <c r="BP359" s="3"/>
      <c r="BQ359" s="3"/>
      <c r="BR359" s="3"/>
      <c r="BS359" s="3"/>
      <c r="BT359" s="3"/>
      <c r="BU359" s="3"/>
      <c r="BV359" s="3"/>
      <c r="BW359" s="3"/>
      <c r="BX359" s="3"/>
      <c r="BY359" s="3"/>
      <c r="BZ359" s="3"/>
      <c r="CA359" s="3"/>
      <c r="CB359" s="3"/>
      <c r="CC359" s="25"/>
      <c r="CD359" s="25"/>
      <c r="CE359" s="25"/>
    </row>
    <row r="360" spans="2:83" s="82" customFormat="1" ht="12" customHeight="1">
      <c r="B360" s="82" t="s">
        <v>1421</v>
      </c>
      <c r="AC360" s="828"/>
      <c r="BD360" s="829"/>
      <c r="BF360" s="17"/>
      <c r="BG360" s="17"/>
      <c r="BH360" s="17"/>
      <c r="BI360" s="17"/>
      <c r="BJ360" s="17"/>
      <c r="BK360" s="17"/>
      <c r="BL360" s="17"/>
      <c r="BM360" s="3"/>
      <c r="BN360" s="3"/>
      <c r="BO360" s="3"/>
      <c r="BP360" s="3"/>
      <c r="BQ360" s="3"/>
      <c r="BR360" s="3"/>
      <c r="BS360" s="3"/>
      <c r="BT360" s="3"/>
      <c r="BU360" s="3"/>
      <c r="BV360" s="3"/>
      <c r="BW360" s="3"/>
      <c r="BX360" s="3"/>
      <c r="BY360" s="3"/>
      <c r="BZ360" s="3"/>
      <c r="CA360" s="3"/>
      <c r="CB360" s="3"/>
      <c r="CC360" s="25"/>
      <c r="CD360" s="25"/>
      <c r="CE360" s="25"/>
    </row>
    <row r="361" spans="2:83" s="82" customFormat="1" ht="12" customHeight="1">
      <c r="B361" s="276" t="s">
        <v>1422</v>
      </c>
      <c r="AC361" s="828"/>
      <c r="BD361" s="829"/>
      <c r="BF361" s="17"/>
      <c r="BG361" s="17"/>
      <c r="BH361" s="17"/>
      <c r="BI361" s="17"/>
      <c r="BJ361" s="17"/>
      <c r="BK361" s="17"/>
      <c r="BL361" s="17"/>
      <c r="BM361" s="3"/>
      <c r="BN361" s="3"/>
      <c r="BO361" s="3"/>
      <c r="BP361" s="3"/>
      <c r="BQ361" s="3"/>
      <c r="BR361" s="3"/>
      <c r="BS361" s="3"/>
      <c r="BT361" s="3"/>
      <c r="BU361" s="3"/>
      <c r="BV361" s="3"/>
      <c r="BW361" s="3"/>
      <c r="BX361" s="3"/>
      <c r="BY361" s="3"/>
      <c r="BZ361" s="3"/>
      <c r="CA361" s="3"/>
      <c r="CB361" s="3"/>
      <c r="CC361" s="25"/>
      <c r="CD361" s="25"/>
      <c r="CE361" s="25"/>
    </row>
    <row r="362" spans="2:83" s="82" customFormat="1" ht="12" customHeight="1">
      <c r="AC362" s="828"/>
      <c r="BD362" s="829"/>
      <c r="BF362" s="17"/>
      <c r="BG362" s="17"/>
      <c r="BH362" s="17"/>
      <c r="BI362" s="17"/>
      <c r="BJ362" s="17"/>
      <c r="BK362" s="17"/>
      <c r="BL362" s="17"/>
      <c r="BM362" s="3"/>
      <c r="BN362" s="3"/>
      <c r="BO362" s="3"/>
      <c r="BP362" s="3"/>
      <c r="BQ362" s="3"/>
      <c r="BR362" s="3"/>
      <c r="BS362" s="3"/>
      <c r="BT362" s="3"/>
      <c r="BU362" s="3"/>
      <c r="BV362" s="3"/>
      <c r="BW362" s="3"/>
      <c r="BX362" s="3"/>
      <c r="BY362" s="3"/>
      <c r="BZ362" s="3"/>
      <c r="CA362" s="3"/>
      <c r="CB362" s="3"/>
      <c r="CC362" s="25"/>
      <c r="CD362" s="25"/>
      <c r="CE362" s="25"/>
    </row>
    <row r="363" spans="2:83" s="82" customFormat="1" ht="12" customHeight="1">
      <c r="B363" s="82" t="s">
        <v>1423</v>
      </c>
      <c r="AC363" s="828"/>
      <c r="BD363" s="829"/>
      <c r="BF363" s="17"/>
      <c r="BG363" s="17"/>
      <c r="BH363" s="17"/>
      <c r="BI363" s="17"/>
      <c r="BJ363" s="17"/>
      <c r="BK363" s="17"/>
      <c r="BL363" s="17"/>
      <c r="BM363" s="3"/>
      <c r="BN363" s="3"/>
      <c r="BO363" s="3"/>
      <c r="BP363" s="3"/>
      <c r="BQ363" s="3"/>
      <c r="BR363" s="3"/>
      <c r="BS363" s="3"/>
      <c r="BT363" s="3"/>
      <c r="BU363" s="3"/>
      <c r="BV363" s="3"/>
      <c r="BW363" s="3"/>
      <c r="BX363" s="3"/>
      <c r="BY363" s="3"/>
      <c r="BZ363" s="3"/>
      <c r="CA363" s="3"/>
      <c r="CB363" s="3"/>
      <c r="CC363" s="25"/>
      <c r="CD363" s="25"/>
      <c r="CE363" s="25"/>
    </row>
    <row r="364" spans="2:83" s="82" customFormat="1" ht="12" customHeight="1">
      <c r="B364" s="82" t="s">
        <v>1424</v>
      </c>
      <c r="AC364" s="828"/>
      <c r="BD364" s="829"/>
      <c r="BF364" s="17"/>
      <c r="BG364" s="17"/>
      <c r="BH364" s="17"/>
      <c r="BI364" s="17"/>
      <c r="BJ364" s="17"/>
      <c r="BK364" s="17"/>
      <c r="BL364" s="17"/>
      <c r="BM364" s="3"/>
      <c r="BN364" s="3"/>
      <c r="BO364" s="3"/>
      <c r="BP364" s="3"/>
      <c r="BQ364" s="3"/>
      <c r="BR364" s="3"/>
      <c r="BS364" s="3"/>
      <c r="BT364" s="3"/>
      <c r="BU364" s="3"/>
      <c r="BV364" s="3"/>
      <c r="BW364" s="3"/>
      <c r="BX364" s="3"/>
      <c r="BY364" s="3"/>
      <c r="BZ364" s="3"/>
      <c r="CA364" s="3"/>
      <c r="CB364" s="3"/>
      <c r="CC364" s="25"/>
      <c r="CD364" s="25"/>
      <c r="CE364" s="25"/>
    </row>
    <row r="365" spans="2:83" s="82" customFormat="1" ht="12" customHeight="1">
      <c r="B365" s="82" t="s">
        <v>1177</v>
      </c>
      <c r="AC365" s="828"/>
      <c r="BD365" s="829"/>
      <c r="BF365" s="17"/>
      <c r="BG365" s="17"/>
      <c r="BH365" s="17"/>
      <c r="BI365" s="17"/>
      <c r="BJ365" s="17"/>
      <c r="BK365" s="17"/>
      <c r="BL365" s="17"/>
      <c r="BM365" s="3"/>
      <c r="BN365" s="3"/>
      <c r="BO365" s="3"/>
      <c r="BP365" s="3"/>
      <c r="BQ365" s="3"/>
      <c r="BR365" s="3"/>
      <c r="BS365" s="3"/>
      <c r="BT365" s="3"/>
      <c r="BU365" s="3"/>
      <c r="BV365" s="3"/>
      <c r="BW365" s="3"/>
      <c r="BX365" s="3"/>
      <c r="BY365" s="3"/>
      <c r="BZ365" s="3"/>
      <c r="CA365" s="3"/>
      <c r="CB365" s="3"/>
      <c r="CC365" s="25"/>
      <c r="CD365" s="25"/>
      <c r="CE365" s="25"/>
    </row>
    <row r="366" spans="2:83" s="82" customFormat="1" ht="12" customHeight="1">
      <c r="B366" s="82" t="s">
        <v>1425</v>
      </c>
      <c r="AC366" s="828"/>
      <c r="BD366" s="829"/>
      <c r="BF366" s="17"/>
      <c r="BG366" s="17"/>
      <c r="BH366" s="17"/>
      <c r="BI366" s="17"/>
      <c r="BJ366" s="17"/>
      <c r="BK366" s="17"/>
      <c r="BL366" s="17"/>
      <c r="BM366" s="3"/>
      <c r="BN366" s="3"/>
      <c r="BO366" s="3"/>
      <c r="BP366" s="3"/>
      <c r="BQ366" s="3"/>
      <c r="BR366" s="3"/>
      <c r="BS366" s="3"/>
      <c r="BT366" s="3"/>
      <c r="BU366" s="3"/>
      <c r="BV366" s="3"/>
      <c r="BW366" s="3"/>
      <c r="BX366" s="3"/>
      <c r="BY366" s="3"/>
      <c r="BZ366" s="3"/>
      <c r="CA366" s="3"/>
      <c r="CB366" s="3"/>
      <c r="CC366" s="25"/>
      <c r="CD366" s="25"/>
      <c r="CE366" s="25"/>
    </row>
    <row r="367" spans="2:83" s="82" customFormat="1" ht="12" customHeight="1">
      <c r="AC367" s="828"/>
      <c r="BD367" s="829"/>
      <c r="BF367" s="17"/>
      <c r="BG367" s="17"/>
      <c r="BH367" s="17"/>
      <c r="BI367" s="17"/>
      <c r="BJ367" s="17"/>
      <c r="BK367" s="17"/>
      <c r="BL367" s="17"/>
      <c r="BM367" s="3"/>
      <c r="BN367" s="3"/>
      <c r="BO367" s="3"/>
      <c r="BP367" s="3"/>
      <c r="BQ367" s="3"/>
      <c r="BR367" s="3"/>
      <c r="BS367" s="3"/>
      <c r="BT367" s="3"/>
      <c r="BU367" s="3"/>
      <c r="BV367" s="3"/>
      <c r="BW367" s="3"/>
      <c r="BX367" s="3"/>
      <c r="BY367" s="3"/>
      <c r="BZ367" s="3"/>
      <c r="CA367" s="3"/>
      <c r="CB367" s="3"/>
      <c r="CC367" s="25"/>
      <c r="CD367" s="25"/>
      <c r="CE367" s="25"/>
    </row>
    <row r="368" spans="2:83" s="82" customFormat="1" ht="12" customHeight="1">
      <c r="B368" s="310" t="s">
        <v>884</v>
      </c>
      <c r="AC368" s="827">
        <v>221</v>
      </c>
      <c r="BD368" s="829"/>
      <c r="BF368" s="17"/>
      <c r="BG368" s="17"/>
      <c r="BH368" s="17"/>
      <c r="BI368" s="17"/>
      <c r="BJ368" s="17"/>
      <c r="BK368" s="17"/>
      <c r="BL368" s="17"/>
      <c r="BM368" s="3"/>
      <c r="BN368" s="3"/>
      <c r="BO368" s="3"/>
      <c r="BP368" s="3"/>
      <c r="BQ368" s="3"/>
      <c r="BR368" s="3"/>
      <c r="BS368" s="3"/>
      <c r="BT368" s="3"/>
      <c r="BU368" s="3"/>
      <c r="BV368" s="3"/>
      <c r="BW368" s="3"/>
      <c r="BX368" s="3"/>
      <c r="BY368" s="3"/>
      <c r="BZ368" s="3"/>
      <c r="CA368" s="3"/>
      <c r="CB368" s="3"/>
      <c r="CC368" s="25"/>
      <c r="CD368" s="25"/>
      <c r="CE368" s="25"/>
    </row>
    <row r="369" spans="2:83" s="82" customFormat="1" ht="12" customHeight="1">
      <c r="B369" s="82" t="s">
        <v>885</v>
      </c>
      <c r="AC369" s="828"/>
      <c r="BD369" s="829"/>
      <c r="BF369" s="17"/>
      <c r="BG369" s="17"/>
      <c r="BH369" s="17"/>
      <c r="BI369" s="17"/>
      <c r="BJ369" s="17"/>
      <c r="BK369" s="17"/>
      <c r="BL369" s="17"/>
      <c r="BM369" s="3"/>
      <c r="BN369" s="3"/>
      <c r="BO369" s="3"/>
      <c r="BP369" s="3"/>
      <c r="BQ369" s="3"/>
      <c r="BR369" s="3"/>
      <c r="BS369" s="3"/>
      <c r="BT369" s="3"/>
      <c r="BU369" s="3"/>
      <c r="BV369" s="3"/>
      <c r="BW369" s="3"/>
      <c r="BX369" s="3"/>
      <c r="BY369" s="3"/>
      <c r="BZ369" s="3"/>
      <c r="CA369" s="3"/>
      <c r="CB369" s="3"/>
      <c r="CC369" s="25"/>
      <c r="CD369" s="25"/>
      <c r="CE369" s="25"/>
    </row>
    <row r="370" spans="2:83" s="82" customFormat="1" ht="12" customHeight="1">
      <c r="B370" s="82" t="s">
        <v>993</v>
      </c>
      <c r="AC370" s="828"/>
      <c r="BD370" s="829"/>
      <c r="BF370" s="17"/>
      <c r="BG370" s="17"/>
      <c r="BH370" s="17"/>
      <c r="BI370" s="17"/>
      <c r="BJ370" s="17"/>
      <c r="BK370" s="17"/>
      <c r="BL370" s="17"/>
      <c r="BM370" s="3"/>
      <c r="BN370" s="3"/>
      <c r="BO370" s="3"/>
      <c r="BP370" s="3"/>
      <c r="BQ370" s="3"/>
      <c r="BR370" s="3"/>
      <c r="BS370" s="3"/>
      <c r="BT370" s="3"/>
      <c r="BU370" s="3"/>
      <c r="BV370" s="3"/>
      <c r="BW370" s="3"/>
      <c r="BX370" s="3"/>
      <c r="BY370" s="3"/>
      <c r="BZ370" s="3"/>
      <c r="CA370" s="3"/>
      <c r="CB370" s="3"/>
      <c r="CC370" s="25"/>
      <c r="CD370" s="25"/>
      <c r="CE370" s="25"/>
    </row>
    <row r="371" spans="2:83" s="82" customFormat="1" ht="12" customHeight="1">
      <c r="B371" s="82" t="s">
        <v>994</v>
      </c>
      <c r="AC371" s="828"/>
      <c r="BD371" s="829"/>
      <c r="BF371" s="17"/>
      <c r="BG371" s="17"/>
      <c r="BH371" s="17"/>
      <c r="BI371" s="17"/>
      <c r="BJ371" s="17"/>
      <c r="BK371" s="17"/>
      <c r="BL371" s="17"/>
      <c r="BM371" s="3"/>
      <c r="BN371" s="3"/>
      <c r="BO371" s="3"/>
      <c r="BP371" s="3"/>
      <c r="BQ371" s="3"/>
      <c r="BR371" s="3"/>
      <c r="BS371" s="3"/>
      <c r="BT371" s="3"/>
      <c r="BU371" s="3"/>
      <c r="BV371" s="3"/>
      <c r="BW371" s="3"/>
      <c r="BX371" s="3"/>
      <c r="BY371" s="3"/>
      <c r="BZ371" s="3"/>
      <c r="CA371" s="3"/>
      <c r="CB371" s="3"/>
      <c r="CC371" s="25"/>
      <c r="CD371" s="25"/>
      <c r="CE371" s="25"/>
    </row>
    <row r="372" spans="2:83" s="82" customFormat="1" ht="12" customHeight="1">
      <c r="B372" s="82" t="s">
        <v>1020</v>
      </c>
      <c r="AC372" s="828"/>
      <c r="BD372" s="829"/>
      <c r="BF372" s="17"/>
      <c r="BG372" s="17"/>
      <c r="BH372" s="17"/>
      <c r="BI372" s="17"/>
      <c r="BJ372" s="17"/>
      <c r="BK372" s="17"/>
      <c r="BL372" s="17"/>
      <c r="BM372" s="3"/>
      <c r="BN372" s="3"/>
      <c r="BO372" s="3"/>
      <c r="BP372" s="3"/>
      <c r="BQ372" s="3"/>
      <c r="BR372" s="3"/>
      <c r="BS372" s="3"/>
      <c r="BT372" s="3"/>
      <c r="BU372" s="3"/>
      <c r="BV372" s="3"/>
      <c r="BW372" s="3"/>
      <c r="BX372" s="3"/>
      <c r="BY372" s="3"/>
      <c r="BZ372" s="3"/>
      <c r="CA372" s="3"/>
      <c r="CB372" s="3"/>
      <c r="CC372" s="25"/>
      <c r="CD372" s="25"/>
      <c r="CE372" s="25"/>
    </row>
    <row r="373" spans="2:83" s="82" customFormat="1" ht="12" customHeight="1">
      <c r="B373" s="82" t="s">
        <v>995</v>
      </c>
      <c r="AC373" s="828"/>
      <c r="BD373" s="829"/>
      <c r="BF373" s="17"/>
      <c r="BG373" s="17"/>
      <c r="BH373" s="17"/>
      <c r="BI373" s="17"/>
      <c r="BJ373" s="17"/>
      <c r="BK373" s="17"/>
      <c r="BL373" s="17"/>
      <c r="BM373" s="3"/>
      <c r="BN373" s="3"/>
      <c r="BO373" s="3"/>
      <c r="BP373" s="3"/>
      <c r="BQ373" s="3"/>
      <c r="BR373" s="3"/>
      <c r="BS373" s="3"/>
      <c r="BT373" s="3"/>
      <c r="BU373" s="3"/>
      <c r="BV373" s="3"/>
      <c r="BW373" s="3"/>
      <c r="BX373" s="3"/>
      <c r="BY373" s="3"/>
      <c r="BZ373" s="3"/>
      <c r="CA373" s="3"/>
      <c r="CB373" s="3"/>
      <c r="CC373" s="25"/>
      <c r="CD373" s="25"/>
      <c r="CE373" s="25"/>
    </row>
    <row r="374" spans="2:83" s="82" customFormat="1" ht="12" customHeight="1">
      <c r="B374" s="82" t="s">
        <v>996</v>
      </c>
      <c r="AC374" s="828"/>
      <c r="BD374" s="829"/>
      <c r="BF374" s="17"/>
      <c r="BG374" s="17"/>
      <c r="BH374" s="17"/>
      <c r="BI374" s="17"/>
      <c r="BJ374" s="17"/>
      <c r="BK374" s="17"/>
      <c r="BL374" s="17"/>
      <c r="BM374" s="3"/>
      <c r="BN374" s="3"/>
      <c r="BO374" s="3"/>
      <c r="BP374" s="3"/>
      <c r="BQ374" s="3"/>
      <c r="BR374" s="3"/>
      <c r="BS374" s="3"/>
      <c r="BT374" s="3"/>
      <c r="BU374" s="3"/>
      <c r="BV374" s="3"/>
      <c r="BW374" s="3"/>
      <c r="BX374" s="3"/>
      <c r="BY374" s="3"/>
      <c r="BZ374" s="3"/>
      <c r="CA374" s="3"/>
      <c r="CB374" s="3"/>
      <c r="CC374" s="25"/>
      <c r="CD374" s="25"/>
      <c r="CE374" s="25"/>
    </row>
    <row r="375" spans="2:83" s="82" customFormat="1" ht="12" customHeight="1">
      <c r="B375" s="82" t="s">
        <v>997</v>
      </c>
      <c r="AC375" s="828"/>
      <c r="BD375" s="829"/>
      <c r="BF375" s="17"/>
      <c r="BG375" s="17"/>
      <c r="BH375" s="17"/>
      <c r="BI375" s="17"/>
      <c r="BJ375" s="17"/>
      <c r="BK375" s="17"/>
      <c r="BL375" s="17"/>
      <c r="BM375" s="3"/>
      <c r="BN375" s="3"/>
      <c r="BO375" s="3"/>
      <c r="BP375" s="3"/>
      <c r="BQ375" s="3"/>
      <c r="BR375" s="3"/>
      <c r="BS375" s="3"/>
      <c r="BT375" s="3"/>
      <c r="BU375" s="3"/>
      <c r="BV375" s="3"/>
      <c r="BW375" s="3"/>
      <c r="BX375" s="3"/>
      <c r="BY375" s="3"/>
      <c r="BZ375" s="3"/>
      <c r="CA375" s="3"/>
      <c r="CB375" s="3"/>
      <c r="CC375" s="25"/>
      <c r="CD375" s="25"/>
      <c r="CE375" s="25"/>
    </row>
    <row r="376" spans="2:83" s="82" customFormat="1" ht="12" customHeight="1">
      <c r="B376" s="82" t="s">
        <v>998</v>
      </c>
      <c r="AC376" s="828"/>
      <c r="BD376" s="829"/>
      <c r="BF376" s="17"/>
      <c r="BG376" s="17"/>
      <c r="BH376" s="17"/>
      <c r="BI376" s="17"/>
      <c r="BJ376" s="17"/>
      <c r="BK376" s="17"/>
      <c r="BL376" s="17"/>
      <c r="BM376" s="3"/>
      <c r="BN376" s="3"/>
      <c r="BO376" s="3"/>
      <c r="BP376" s="3"/>
      <c r="BQ376" s="3"/>
      <c r="BR376" s="3"/>
      <c r="BS376" s="3"/>
      <c r="BT376" s="3"/>
      <c r="BU376" s="3"/>
      <c r="BV376" s="3"/>
      <c r="BW376" s="3"/>
      <c r="BX376" s="3"/>
      <c r="BY376" s="3"/>
      <c r="BZ376" s="3"/>
      <c r="CA376" s="3"/>
      <c r="CB376" s="3"/>
      <c r="CC376" s="25"/>
      <c r="CD376" s="25"/>
      <c r="CE376" s="25"/>
    </row>
    <row r="377" spans="2:83" s="82" customFormat="1" ht="12" customHeight="1">
      <c r="B377" s="82" t="s">
        <v>999</v>
      </c>
      <c r="AC377" s="828"/>
      <c r="BD377" s="829"/>
      <c r="BF377" s="17"/>
      <c r="BG377" s="17"/>
      <c r="BH377" s="17"/>
      <c r="BI377" s="17"/>
      <c r="BJ377" s="17"/>
      <c r="BK377" s="17"/>
      <c r="BL377" s="17"/>
      <c r="BM377" s="3"/>
      <c r="BN377" s="3"/>
      <c r="BO377" s="3"/>
      <c r="BP377" s="3"/>
      <c r="BQ377" s="3"/>
      <c r="BR377" s="3"/>
      <c r="BS377" s="3"/>
      <c r="BT377" s="3"/>
      <c r="BU377" s="3"/>
      <c r="BV377" s="3"/>
      <c r="BW377" s="3"/>
      <c r="BX377" s="3"/>
      <c r="BY377" s="3"/>
      <c r="BZ377" s="3"/>
      <c r="CA377" s="3"/>
      <c r="CB377" s="3"/>
      <c r="CC377" s="25"/>
      <c r="CD377" s="25"/>
      <c r="CE377" s="25"/>
    </row>
    <row r="378" spans="2:83" s="82" customFormat="1" ht="12" customHeight="1">
      <c r="B378" s="457" t="s">
        <v>942</v>
      </c>
      <c r="C378" s="34"/>
      <c r="D378" s="34"/>
      <c r="E378" s="34"/>
      <c r="F378" s="34"/>
      <c r="G378" s="34"/>
      <c r="H378" s="34"/>
      <c r="I378" s="34"/>
      <c r="J378" s="34"/>
      <c r="K378" s="34"/>
      <c r="L378" s="34"/>
      <c r="M378" s="34"/>
      <c r="N378" s="34"/>
      <c r="AC378" s="828"/>
      <c r="BD378" s="829"/>
      <c r="BF378" s="17"/>
      <c r="BG378" s="17"/>
      <c r="BH378" s="17"/>
      <c r="BI378" s="17"/>
      <c r="BJ378" s="17"/>
      <c r="BK378" s="17"/>
      <c r="BL378" s="17"/>
      <c r="BM378" s="3"/>
      <c r="BN378" s="3"/>
      <c r="BO378" s="3"/>
      <c r="BP378" s="3"/>
      <c r="BQ378" s="3"/>
      <c r="BR378" s="3"/>
      <c r="BS378" s="3"/>
      <c r="BT378" s="3"/>
      <c r="BU378" s="3"/>
      <c r="BV378" s="3"/>
      <c r="BW378" s="3"/>
      <c r="BX378" s="3"/>
      <c r="BY378" s="3"/>
      <c r="BZ378" s="3"/>
      <c r="CA378" s="3"/>
      <c r="CB378" s="3"/>
      <c r="CC378" s="25"/>
      <c r="CD378" s="25"/>
      <c r="CE378" s="25"/>
    </row>
    <row r="379" spans="2:83" s="82" customFormat="1" ht="12" customHeight="1">
      <c r="AC379" s="828"/>
      <c r="BD379" s="829"/>
      <c r="BF379" s="17"/>
      <c r="BG379" s="17"/>
      <c r="BH379" s="17"/>
      <c r="BI379" s="17"/>
      <c r="BJ379" s="17"/>
      <c r="BK379" s="17"/>
      <c r="BL379" s="17"/>
      <c r="BM379" s="3"/>
      <c r="BN379" s="3"/>
      <c r="BO379" s="3"/>
      <c r="BP379" s="3"/>
      <c r="BQ379" s="3"/>
      <c r="BR379" s="3"/>
      <c r="BS379" s="3"/>
      <c r="BT379" s="3"/>
      <c r="BU379" s="3"/>
      <c r="BV379" s="3"/>
      <c r="BW379" s="3"/>
      <c r="BX379" s="3"/>
      <c r="BY379" s="3"/>
      <c r="BZ379" s="3"/>
      <c r="CA379" s="3"/>
      <c r="CB379" s="3"/>
      <c r="CC379" s="25"/>
      <c r="CD379" s="25"/>
      <c r="CE379" s="25"/>
    </row>
    <row r="380" spans="2:83" s="82" customFormat="1" ht="12" customHeight="1">
      <c r="B380" s="310" t="s">
        <v>1201</v>
      </c>
      <c r="AC380" s="827">
        <v>231</v>
      </c>
      <c r="BD380" s="829"/>
      <c r="BF380" s="17"/>
      <c r="BG380" s="17"/>
      <c r="BH380" s="17"/>
      <c r="BI380" s="17"/>
      <c r="BJ380" s="17"/>
      <c r="BK380" s="17"/>
      <c r="BL380" s="17"/>
      <c r="BM380" s="3"/>
      <c r="BN380" s="3"/>
      <c r="BO380" s="3"/>
      <c r="BP380" s="3"/>
      <c r="BQ380" s="3"/>
      <c r="BR380" s="3"/>
      <c r="BS380" s="3"/>
      <c r="BT380" s="3"/>
      <c r="BU380" s="3"/>
      <c r="BV380" s="3"/>
      <c r="BW380" s="3"/>
      <c r="BX380" s="3"/>
      <c r="BY380" s="3"/>
      <c r="BZ380" s="3"/>
      <c r="CA380" s="3"/>
      <c r="CB380" s="3"/>
      <c r="CC380" s="25"/>
      <c r="CD380" s="25"/>
      <c r="CE380" s="25"/>
    </row>
    <row r="381" spans="2:83" s="82" customFormat="1" ht="12" customHeight="1">
      <c r="B381" s="82" t="s">
        <v>1200</v>
      </c>
      <c r="AC381" s="828"/>
      <c r="BD381" s="829"/>
      <c r="BF381" s="17"/>
      <c r="BG381" s="17"/>
      <c r="BH381" s="17"/>
      <c r="BI381" s="17"/>
      <c r="BJ381" s="17"/>
      <c r="BK381" s="17"/>
      <c r="BL381" s="17"/>
      <c r="BM381" s="3"/>
      <c r="BN381" s="3"/>
      <c r="BO381" s="3"/>
      <c r="BP381" s="3"/>
      <c r="BQ381" s="3"/>
      <c r="BR381" s="3"/>
      <c r="BS381" s="3"/>
      <c r="BT381" s="3"/>
      <c r="BU381" s="3"/>
      <c r="BV381" s="3"/>
      <c r="BW381" s="3"/>
      <c r="BX381" s="3"/>
      <c r="BY381" s="3"/>
      <c r="BZ381" s="3"/>
      <c r="CA381" s="3"/>
      <c r="CB381" s="3"/>
      <c r="CC381" s="25"/>
      <c r="CD381" s="25"/>
      <c r="CE381" s="25"/>
    </row>
    <row r="382" spans="2:83" s="82" customFormat="1" ht="12" customHeight="1">
      <c r="B382" s="82" t="s">
        <v>1458</v>
      </c>
      <c r="AC382" s="828"/>
      <c r="BD382" s="829"/>
      <c r="BF382" s="17"/>
      <c r="BG382" s="17"/>
      <c r="BH382" s="17"/>
      <c r="BI382" s="17"/>
      <c r="BJ382" s="17"/>
      <c r="BK382" s="17"/>
      <c r="BL382" s="17"/>
      <c r="BM382" s="3"/>
      <c r="BN382" s="3"/>
      <c r="BO382" s="3"/>
      <c r="BP382" s="3"/>
      <c r="BQ382" s="3"/>
      <c r="BR382" s="3"/>
      <c r="BS382" s="3"/>
      <c r="BT382" s="3"/>
      <c r="BU382" s="3"/>
      <c r="BV382" s="3"/>
      <c r="BW382" s="3"/>
      <c r="BX382" s="3"/>
      <c r="BY382" s="3"/>
      <c r="BZ382" s="3"/>
      <c r="CA382" s="3"/>
      <c r="CB382" s="3"/>
      <c r="CC382" s="25"/>
      <c r="CD382" s="25"/>
      <c r="CE382" s="25"/>
    </row>
    <row r="383" spans="2:83" s="82" customFormat="1" ht="12" customHeight="1">
      <c r="B383" s="2302" t="s">
        <v>1460</v>
      </c>
      <c r="AC383" s="828"/>
      <c r="BD383" s="829"/>
      <c r="BF383" s="17"/>
      <c r="BG383" s="17"/>
      <c r="BH383" s="17"/>
      <c r="BI383" s="17"/>
      <c r="BJ383" s="17"/>
      <c r="BK383" s="17"/>
      <c r="BL383" s="17"/>
      <c r="BM383" s="3"/>
      <c r="BN383" s="3"/>
      <c r="BO383" s="3"/>
      <c r="BP383" s="3"/>
      <c r="BQ383" s="3"/>
      <c r="BR383" s="3"/>
      <c r="BS383" s="3"/>
      <c r="BT383" s="3"/>
      <c r="BU383" s="3"/>
      <c r="BV383" s="3"/>
      <c r="BW383" s="3"/>
      <c r="BX383" s="3"/>
      <c r="BY383" s="3"/>
      <c r="BZ383" s="3"/>
      <c r="CA383" s="3"/>
      <c r="CB383" s="3"/>
      <c r="CC383" s="25"/>
      <c r="CD383" s="25"/>
      <c r="CE383" s="25"/>
    </row>
    <row r="384" spans="2:83" s="82" customFormat="1" ht="12" customHeight="1">
      <c r="B384" s="2302" t="s">
        <v>1459</v>
      </c>
      <c r="AC384" s="828"/>
      <c r="BD384" s="829"/>
      <c r="BF384" s="17"/>
      <c r="BG384" s="17"/>
      <c r="BH384" s="17"/>
      <c r="BI384" s="17"/>
      <c r="BJ384" s="17"/>
      <c r="BK384" s="17"/>
      <c r="BL384" s="17"/>
      <c r="BM384" s="3"/>
      <c r="BN384" s="3"/>
      <c r="BO384" s="3"/>
      <c r="BP384" s="3"/>
      <c r="BQ384" s="3"/>
      <c r="BR384" s="3"/>
      <c r="BS384" s="3"/>
      <c r="BT384" s="3"/>
      <c r="BU384" s="3"/>
      <c r="BV384" s="3"/>
      <c r="BW384" s="3"/>
      <c r="BX384" s="3"/>
      <c r="BY384" s="3"/>
      <c r="BZ384" s="3"/>
      <c r="CA384" s="3"/>
      <c r="CB384" s="3"/>
      <c r="CC384" s="25"/>
      <c r="CD384" s="25"/>
      <c r="CE384" s="25"/>
    </row>
    <row r="385" spans="2:83" s="82" customFormat="1" ht="12" customHeight="1">
      <c r="B385" s="82" t="s">
        <v>1180</v>
      </c>
      <c r="AC385" s="828"/>
      <c r="BD385" s="829"/>
      <c r="BF385" s="17"/>
      <c r="BG385" s="17"/>
      <c r="BH385" s="17"/>
      <c r="BI385" s="17"/>
      <c r="BJ385" s="17"/>
      <c r="BK385" s="17"/>
      <c r="BL385" s="17"/>
      <c r="BM385" s="3"/>
      <c r="BN385" s="3"/>
      <c r="BO385" s="3"/>
      <c r="BP385" s="3"/>
      <c r="BQ385" s="3"/>
      <c r="BR385" s="3"/>
      <c r="BS385" s="3"/>
      <c r="BT385" s="3"/>
      <c r="BU385" s="3"/>
      <c r="BV385" s="3"/>
      <c r="BW385" s="3"/>
      <c r="BX385" s="3"/>
      <c r="BY385" s="3"/>
      <c r="BZ385" s="3"/>
      <c r="CA385" s="3"/>
      <c r="CB385" s="3"/>
      <c r="CC385" s="25"/>
      <c r="CD385" s="25"/>
      <c r="CE385" s="25"/>
    </row>
    <row r="386" spans="2:83" s="82" customFormat="1" ht="12" customHeight="1">
      <c r="B386" s="2302" t="s">
        <v>1181</v>
      </c>
      <c r="AC386" s="828"/>
      <c r="BD386" s="829"/>
      <c r="BF386" s="17"/>
      <c r="BG386" s="17"/>
      <c r="BH386" s="17"/>
      <c r="BI386" s="17"/>
      <c r="BJ386" s="17"/>
      <c r="BK386" s="17"/>
      <c r="BL386" s="17"/>
      <c r="BM386" s="3"/>
      <c r="BN386" s="3"/>
      <c r="BO386" s="3"/>
      <c r="BP386" s="3"/>
      <c r="BQ386" s="3"/>
      <c r="BR386" s="3"/>
      <c r="BS386" s="3"/>
      <c r="BT386" s="3"/>
      <c r="BU386" s="3"/>
      <c r="BV386" s="3"/>
      <c r="BW386" s="3"/>
      <c r="BX386" s="3"/>
      <c r="BY386" s="3"/>
      <c r="BZ386" s="3"/>
      <c r="CA386" s="3"/>
      <c r="CB386" s="3"/>
      <c r="CC386" s="25"/>
      <c r="CD386" s="25"/>
      <c r="CE386" s="25"/>
    </row>
    <row r="387" spans="2:83" s="82" customFormat="1" ht="12" customHeight="1">
      <c r="B387" s="82" t="s">
        <v>1182</v>
      </c>
      <c r="AC387" s="828"/>
      <c r="BD387" s="829"/>
      <c r="BF387" s="17"/>
      <c r="BG387" s="17"/>
      <c r="BH387" s="17"/>
      <c r="BI387" s="17"/>
      <c r="BJ387" s="17"/>
      <c r="BK387" s="17"/>
      <c r="BL387" s="17"/>
      <c r="BM387" s="3"/>
      <c r="BN387" s="3"/>
      <c r="BO387" s="3"/>
      <c r="BP387" s="3"/>
      <c r="BQ387" s="3"/>
      <c r="BR387" s="3"/>
      <c r="BS387" s="3"/>
      <c r="BT387" s="3"/>
      <c r="BU387" s="3"/>
      <c r="BV387" s="3"/>
      <c r="BW387" s="3"/>
      <c r="BX387" s="3"/>
      <c r="BY387" s="3"/>
      <c r="BZ387" s="3"/>
      <c r="CA387" s="3"/>
      <c r="CB387" s="3"/>
      <c r="CC387" s="25"/>
      <c r="CD387" s="25"/>
      <c r="CE387" s="25"/>
    </row>
    <row r="388" spans="2:83" s="82" customFormat="1" ht="12" customHeight="1">
      <c r="B388" s="2302" t="s">
        <v>1203</v>
      </c>
      <c r="AC388" s="828"/>
      <c r="BD388" s="829"/>
      <c r="BF388" s="17"/>
      <c r="BG388" s="17"/>
      <c r="BH388" s="17"/>
      <c r="BI388" s="17"/>
      <c r="BJ388" s="17"/>
      <c r="BK388" s="17"/>
      <c r="BL388" s="17"/>
      <c r="BM388" s="3"/>
      <c r="BN388" s="3"/>
      <c r="BO388" s="3"/>
      <c r="BP388" s="3"/>
      <c r="BQ388" s="3"/>
      <c r="BR388" s="3"/>
      <c r="BS388" s="3"/>
      <c r="BT388" s="3"/>
      <c r="BU388" s="3"/>
      <c r="BV388" s="3"/>
      <c r="BW388" s="3"/>
      <c r="BX388" s="3"/>
      <c r="BY388" s="3"/>
      <c r="BZ388" s="3"/>
      <c r="CA388" s="3"/>
      <c r="CB388" s="3"/>
      <c r="CC388" s="25"/>
      <c r="CD388" s="25"/>
      <c r="CE388" s="25"/>
    </row>
    <row r="389" spans="2:83" s="82" customFormat="1" ht="12" customHeight="1">
      <c r="B389" s="2302" t="s">
        <v>1343</v>
      </c>
      <c r="AC389" s="828"/>
      <c r="BD389" s="829"/>
      <c r="BF389" s="17"/>
      <c r="BG389" s="17"/>
      <c r="BH389" s="17"/>
      <c r="BI389" s="17"/>
      <c r="BJ389" s="17"/>
      <c r="BK389" s="17"/>
      <c r="BL389" s="17"/>
      <c r="BM389" s="3"/>
      <c r="BN389" s="3"/>
      <c r="BO389" s="3"/>
      <c r="BP389" s="3"/>
      <c r="BQ389" s="3"/>
      <c r="BR389" s="3"/>
      <c r="BS389" s="3"/>
      <c r="BT389" s="3"/>
      <c r="BU389" s="3"/>
      <c r="BV389" s="3"/>
      <c r="BW389" s="3"/>
      <c r="BX389" s="3"/>
      <c r="BY389" s="3"/>
      <c r="BZ389" s="3"/>
      <c r="CA389" s="3"/>
      <c r="CB389" s="3"/>
      <c r="CC389" s="25"/>
      <c r="CD389" s="25"/>
      <c r="CE389" s="25"/>
    </row>
    <row r="390" spans="2:83" s="82" customFormat="1" ht="12" customHeight="1">
      <c r="B390" s="2302" t="s">
        <v>1344</v>
      </c>
      <c r="AC390" s="828"/>
      <c r="BD390" s="829"/>
      <c r="BF390" s="17"/>
      <c r="BG390" s="17"/>
      <c r="BH390" s="17"/>
      <c r="BI390" s="17"/>
      <c r="BJ390" s="17"/>
      <c r="BK390" s="17"/>
      <c r="BL390" s="17"/>
      <c r="BM390" s="3"/>
      <c r="BN390" s="3"/>
      <c r="BO390" s="3"/>
      <c r="BP390" s="3"/>
      <c r="BQ390" s="3"/>
      <c r="BR390" s="3"/>
      <c r="BS390" s="3"/>
      <c r="BT390" s="3"/>
      <c r="BU390" s="3"/>
      <c r="BV390" s="3"/>
      <c r="BW390" s="3"/>
      <c r="BX390" s="3"/>
      <c r="BY390" s="3"/>
      <c r="BZ390" s="3"/>
      <c r="CA390" s="3"/>
      <c r="CB390" s="3"/>
      <c r="CC390" s="25"/>
      <c r="CD390" s="25"/>
      <c r="CE390" s="25"/>
    </row>
    <row r="391" spans="2:83" s="82" customFormat="1" ht="12" customHeight="1">
      <c r="B391" s="2302" t="s">
        <v>1461</v>
      </c>
      <c r="AC391" s="828"/>
      <c r="BD391" s="829"/>
      <c r="BF391" s="17"/>
      <c r="BG391" s="17"/>
      <c r="BH391" s="17"/>
      <c r="BI391" s="17"/>
      <c r="BJ391" s="17"/>
      <c r="BK391" s="17"/>
      <c r="BL391" s="17"/>
      <c r="BM391" s="3"/>
      <c r="BN391" s="3"/>
      <c r="BO391" s="3"/>
      <c r="BP391" s="3"/>
      <c r="BQ391" s="3"/>
      <c r="BR391" s="3"/>
      <c r="BS391" s="3"/>
      <c r="BT391" s="3"/>
      <c r="BU391" s="3"/>
      <c r="BV391" s="3"/>
      <c r="BW391" s="3"/>
      <c r="BX391" s="3"/>
      <c r="BY391" s="3"/>
      <c r="BZ391" s="3"/>
      <c r="CA391" s="3"/>
      <c r="CB391" s="3"/>
      <c r="CC391" s="25"/>
      <c r="CD391" s="25"/>
      <c r="CE391" s="25"/>
    </row>
    <row r="392" spans="2:83" s="82" customFormat="1" ht="12" customHeight="1">
      <c r="B392" s="2302" t="s">
        <v>1204</v>
      </c>
      <c r="AC392" s="828"/>
      <c r="BD392" s="829"/>
      <c r="BF392" s="17"/>
      <c r="BG392" s="17"/>
      <c r="BH392" s="17"/>
      <c r="BI392" s="17"/>
      <c r="BJ392" s="17"/>
      <c r="BK392" s="17"/>
      <c r="BL392" s="17"/>
      <c r="BM392" s="3"/>
      <c r="BN392" s="3"/>
      <c r="BO392" s="3"/>
      <c r="BP392" s="3"/>
      <c r="BQ392" s="3"/>
      <c r="BR392" s="3"/>
      <c r="BS392" s="3"/>
      <c r="BT392" s="3"/>
      <c r="BU392" s="3"/>
      <c r="BV392" s="3"/>
      <c r="BW392" s="3"/>
      <c r="BX392" s="3"/>
      <c r="BY392" s="3"/>
      <c r="BZ392" s="3"/>
      <c r="CA392" s="3"/>
      <c r="CB392" s="3"/>
      <c r="CC392" s="25"/>
      <c r="CD392" s="25"/>
      <c r="CE392" s="25"/>
    </row>
    <row r="393" spans="2:83" s="82" customFormat="1" ht="12" customHeight="1">
      <c r="B393" s="1757" t="s">
        <v>1183</v>
      </c>
      <c r="AC393" s="828"/>
      <c r="BD393" s="829"/>
      <c r="BF393" s="17"/>
      <c r="BG393" s="17"/>
      <c r="BH393" s="17"/>
      <c r="BI393" s="17"/>
      <c r="BJ393" s="17"/>
      <c r="BK393" s="17"/>
      <c r="BL393" s="17"/>
      <c r="BM393" s="3"/>
      <c r="BN393" s="3"/>
      <c r="BO393" s="3"/>
      <c r="BP393" s="3"/>
      <c r="BQ393" s="3"/>
      <c r="BR393" s="3"/>
      <c r="BS393" s="3"/>
      <c r="BT393" s="3"/>
      <c r="BU393" s="3"/>
      <c r="BV393" s="3"/>
      <c r="BW393" s="3"/>
      <c r="BX393" s="3"/>
      <c r="BY393" s="3"/>
      <c r="BZ393" s="3"/>
      <c r="CA393" s="3"/>
      <c r="CB393" s="3"/>
      <c r="CC393" s="25"/>
      <c r="CD393" s="25"/>
      <c r="CE393" s="25"/>
    </row>
    <row r="394" spans="2:83" s="82" customFormat="1" ht="12" customHeight="1">
      <c r="B394" s="2302" t="s">
        <v>1184</v>
      </c>
      <c r="AC394" s="828"/>
      <c r="BD394" s="829"/>
      <c r="BF394" s="17"/>
      <c r="BG394" s="17"/>
      <c r="BH394" s="17"/>
      <c r="BI394" s="17"/>
      <c r="BJ394" s="17"/>
      <c r="BK394" s="17"/>
      <c r="BL394" s="17"/>
      <c r="BM394" s="3"/>
      <c r="BN394" s="3"/>
      <c r="BO394" s="3"/>
      <c r="BP394" s="3"/>
      <c r="BQ394" s="3"/>
      <c r="BR394" s="3"/>
      <c r="BS394" s="3"/>
      <c r="BT394" s="3"/>
      <c r="BU394" s="3"/>
      <c r="BV394" s="3"/>
      <c r="BW394" s="3"/>
      <c r="BX394" s="3"/>
      <c r="BY394" s="3"/>
      <c r="BZ394" s="3"/>
      <c r="CA394" s="3"/>
      <c r="CB394" s="3"/>
      <c r="CC394" s="25"/>
      <c r="CD394" s="25"/>
      <c r="CE394" s="25"/>
    </row>
    <row r="395" spans="2:83" s="82" customFormat="1" ht="12" customHeight="1">
      <c r="B395" s="2302" t="s">
        <v>1185</v>
      </c>
      <c r="AC395" s="828"/>
      <c r="BD395" s="829"/>
      <c r="BF395" s="17"/>
      <c r="BG395" s="17"/>
      <c r="BH395" s="17"/>
      <c r="BI395" s="17"/>
      <c r="BJ395" s="17"/>
      <c r="BK395" s="17"/>
      <c r="BL395" s="17"/>
      <c r="BM395" s="3"/>
      <c r="BN395" s="3"/>
      <c r="BO395" s="3"/>
      <c r="BP395" s="3"/>
      <c r="BQ395" s="3"/>
      <c r="BR395" s="3"/>
      <c r="BS395" s="3"/>
      <c r="BT395" s="3"/>
      <c r="BU395" s="3"/>
      <c r="BV395" s="3"/>
      <c r="BW395" s="3"/>
      <c r="BX395" s="3"/>
      <c r="BY395" s="3"/>
      <c r="BZ395" s="3"/>
      <c r="CA395" s="3"/>
      <c r="CB395" s="3"/>
      <c r="CC395" s="25"/>
      <c r="CD395" s="25"/>
      <c r="CE395" s="25"/>
    </row>
    <row r="396" spans="2:83" s="82" customFormat="1" ht="12" customHeight="1">
      <c r="B396" s="2302" t="s">
        <v>1205</v>
      </c>
      <c r="AC396" s="828"/>
      <c r="BD396" s="829"/>
      <c r="BF396" s="17"/>
      <c r="BG396" s="17"/>
      <c r="BH396" s="17"/>
      <c r="BI396" s="17"/>
      <c r="BJ396" s="17"/>
      <c r="BK396" s="17"/>
      <c r="BL396" s="17"/>
      <c r="BM396" s="3"/>
      <c r="BN396" s="3"/>
      <c r="BO396" s="3"/>
      <c r="BP396" s="3"/>
      <c r="BQ396" s="3"/>
      <c r="BR396" s="3"/>
      <c r="BS396" s="3"/>
      <c r="BT396" s="3"/>
      <c r="BU396" s="3"/>
      <c r="BV396" s="3"/>
      <c r="BW396" s="3"/>
      <c r="BX396" s="3"/>
      <c r="BY396" s="3"/>
      <c r="BZ396" s="3"/>
      <c r="CA396" s="3"/>
      <c r="CB396" s="3"/>
      <c r="CC396" s="25"/>
      <c r="CD396" s="25"/>
      <c r="CE396" s="25"/>
    </row>
    <row r="397" spans="2:83" s="82" customFormat="1" ht="12" customHeight="1">
      <c r="B397" s="2302" t="s">
        <v>1462</v>
      </c>
      <c r="AC397" s="828"/>
      <c r="BD397" s="829"/>
      <c r="BF397" s="17"/>
      <c r="BG397" s="17"/>
      <c r="BH397" s="17"/>
      <c r="BI397" s="17"/>
      <c r="BJ397" s="17"/>
      <c r="BK397" s="17"/>
      <c r="BL397" s="17"/>
      <c r="BM397" s="3"/>
      <c r="BN397" s="3"/>
      <c r="BO397" s="3"/>
      <c r="BP397" s="3"/>
      <c r="BQ397" s="3"/>
      <c r="BR397" s="3"/>
      <c r="BS397" s="3"/>
      <c r="BT397" s="3"/>
      <c r="BU397" s="3"/>
      <c r="BV397" s="3"/>
      <c r="BW397" s="3"/>
      <c r="BX397" s="3"/>
      <c r="BY397" s="3"/>
      <c r="BZ397" s="3"/>
      <c r="CA397" s="3"/>
      <c r="CB397" s="3"/>
      <c r="CC397" s="25"/>
      <c r="CD397" s="25"/>
      <c r="CE397" s="25"/>
    </row>
    <row r="398" spans="2:83" s="82" customFormat="1" ht="12" customHeight="1">
      <c r="B398" s="2302" t="s">
        <v>1463</v>
      </c>
      <c r="Z398" s="2477" t="s">
        <v>1221</v>
      </c>
      <c r="AC398" s="828"/>
      <c r="BD398" s="829"/>
      <c r="BF398" s="17"/>
      <c r="BG398" s="17"/>
      <c r="BH398" s="17"/>
      <c r="BI398" s="17"/>
      <c r="BJ398" s="17"/>
      <c r="BK398" s="17"/>
      <c r="BL398" s="17"/>
      <c r="BM398" s="3"/>
      <c r="BN398" s="3"/>
      <c r="BO398" s="3"/>
      <c r="BP398" s="3"/>
      <c r="BQ398" s="3"/>
      <c r="BR398" s="3"/>
      <c r="BS398" s="3"/>
      <c r="BT398" s="3"/>
      <c r="BU398" s="3"/>
      <c r="BV398" s="3"/>
      <c r="BW398" s="3"/>
      <c r="BX398" s="3"/>
      <c r="BY398" s="3"/>
      <c r="BZ398" s="3"/>
      <c r="CA398" s="3"/>
      <c r="CB398" s="3"/>
      <c r="CC398" s="25"/>
      <c r="CD398" s="25"/>
      <c r="CE398" s="25"/>
    </row>
    <row r="399" spans="2:83" s="82" customFormat="1" ht="12" customHeight="1">
      <c r="AC399" s="828"/>
      <c r="AE399" s="310"/>
      <c r="BD399" s="829"/>
      <c r="BF399" s="17"/>
      <c r="BG399" s="17"/>
      <c r="BH399" s="17"/>
      <c r="BI399" s="17"/>
      <c r="BJ399" s="17"/>
      <c r="BK399" s="17"/>
      <c r="BL399" s="17"/>
      <c r="BM399" s="3"/>
      <c r="BN399" s="3"/>
      <c r="BO399" s="3"/>
      <c r="BP399" s="3"/>
      <c r="BQ399" s="3"/>
      <c r="BR399" s="3"/>
      <c r="BS399" s="3"/>
      <c r="BT399" s="3"/>
      <c r="BU399" s="3"/>
      <c r="BV399" s="3"/>
      <c r="BW399" s="3"/>
      <c r="BX399" s="3"/>
      <c r="BY399" s="3"/>
      <c r="BZ399" s="3"/>
      <c r="CA399" s="3"/>
      <c r="CB399" s="3"/>
      <c r="CC399" s="25"/>
      <c r="CD399" s="25"/>
      <c r="CE399" s="25"/>
    </row>
    <row r="400" spans="2:83" s="82" customFormat="1" ht="12" customHeight="1">
      <c r="B400" s="310" t="s">
        <v>1202</v>
      </c>
      <c r="AC400" s="827">
        <v>243</v>
      </c>
      <c r="AE400" s="310"/>
      <c r="BD400" s="829"/>
      <c r="BF400" s="17"/>
      <c r="BG400" s="17"/>
      <c r="BH400" s="17"/>
      <c r="BI400" s="17"/>
      <c r="BJ400" s="17"/>
      <c r="BK400" s="17"/>
      <c r="BL400" s="17"/>
      <c r="BM400" s="3"/>
      <c r="BN400" s="3"/>
      <c r="BO400" s="3"/>
      <c r="BP400" s="3"/>
      <c r="BQ400" s="3"/>
      <c r="BR400" s="3"/>
      <c r="BS400" s="3"/>
      <c r="BT400" s="3"/>
      <c r="BU400" s="3"/>
      <c r="BV400" s="3"/>
      <c r="BW400" s="3"/>
      <c r="BX400" s="3"/>
      <c r="BY400" s="3"/>
      <c r="BZ400" s="3"/>
      <c r="CA400" s="3"/>
      <c r="CB400" s="3"/>
      <c r="CC400" s="25"/>
      <c r="CD400" s="25"/>
      <c r="CE400" s="25"/>
    </row>
    <row r="401" spans="2:83" s="82" customFormat="1" ht="12" customHeight="1">
      <c r="B401" s="82" t="s">
        <v>1194</v>
      </c>
      <c r="AC401" s="828"/>
      <c r="AE401" s="310"/>
      <c r="BD401" s="829"/>
      <c r="BF401" s="17"/>
      <c r="BG401" s="17"/>
      <c r="BH401" s="17"/>
      <c r="BI401" s="17"/>
      <c r="BJ401" s="17"/>
      <c r="BK401" s="17"/>
      <c r="BL401" s="17"/>
      <c r="BM401" s="3"/>
      <c r="BN401" s="3"/>
      <c r="BO401" s="3"/>
      <c r="BP401" s="3"/>
      <c r="BQ401" s="3"/>
      <c r="BR401" s="3"/>
      <c r="BS401" s="3"/>
      <c r="BT401" s="3"/>
      <c r="BU401" s="3"/>
      <c r="BV401" s="3"/>
      <c r="BW401" s="3"/>
      <c r="BX401" s="3"/>
      <c r="BY401" s="3"/>
      <c r="BZ401" s="3"/>
      <c r="CA401" s="3"/>
      <c r="CB401" s="3"/>
      <c r="CC401" s="25"/>
      <c r="CD401" s="25"/>
      <c r="CE401" s="25"/>
    </row>
    <row r="402" spans="2:83" s="82" customFormat="1" ht="12" customHeight="1">
      <c r="B402" s="82" t="s">
        <v>1387</v>
      </c>
      <c r="AC402" s="828"/>
      <c r="AE402" s="310"/>
      <c r="BD402" s="829"/>
      <c r="BF402" s="17"/>
      <c r="BG402" s="17"/>
      <c r="BH402" s="17"/>
      <c r="BI402" s="17"/>
      <c r="BJ402" s="17"/>
      <c r="BK402" s="17"/>
      <c r="BL402" s="17"/>
      <c r="BM402" s="3"/>
      <c r="BN402" s="3"/>
      <c r="BO402" s="3"/>
      <c r="BP402" s="3"/>
      <c r="BQ402" s="3"/>
      <c r="BR402" s="3"/>
      <c r="BS402" s="3"/>
      <c r="BT402" s="3"/>
      <c r="BU402" s="3"/>
      <c r="BV402" s="3"/>
      <c r="BW402" s="3"/>
      <c r="BX402" s="3"/>
      <c r="BY402" s="3"/>
      <c r="BZ402" s="3"/>
      <c r="CA402" s="3"/>
      <c r="CB402" s="3"/>
      <c r="CC402" s="25"/>
      <c r="CD402" s="25"/>
      <c r="CE402" s="25"/>
    </row>
    <row r="403" spans="2:83" s="82" customFormat="1" ht="12" customHeight="1">
      <c r="B403" s="82" t="s">
        <v>1186</v>
      </c>
      <c r="AC403" s="828"/>
      <c r="AE403" s="310"/>
      <c r="BD403" s="829"/>
      <c r="BF403" s="17"/>
      <c r="BG403" s="17"/>
      <c r="BH403" s="17"/>
      <c r="BI403" s="17"/>
      <c r="BJ403" s="17"/>
      <c r="BK403" s="17"/>
      <c r="BL403" s="17"/>
      <c r="BM403" s="3"/>
      <c r="BN403" s="3"/>
      <c r="BO403" s="3"/>
      <c r="BP403" s="3"/>
      <c r="BQ403" s="3"/>
      <c r="BR403" s="3"/>
      <c r="BS403" s="3"/>
      <c r="BT403" s="3"/>
      <c r="BU403" s="3"/>
      <c r="BV403" s="3"/>
      <c r="BW403" s="3"/>
      <c r="BX403" s="3"/>
      <c r="BY403" s="3"/>
      <c r="BZ403" s="3"/>
      <c r="CA403" s="3"/>
      <c r="CB403" s="3"/>
      <c r="CC403" s="25"/>
      <c r="CD403" s="25"/>
      <c r="CE403" s="25"/>
    </row>
    <row r="404" spans="2:83" s="82" customFormat="1" ht="12" customHeight="1">
      <c r="B404" s="2302" t="s">
        <v>1181</v>
      </c>
      <c r="AC404" s="828"/>
      <c r="AE404" s="310"/>
      <c r="BD404" s="829"/>
      <c r="BF404" s="17"/>
      <c r="BG404" s="17"/>
      <c r="BH404" s="17"/>
      <c r="BI404" s="17"/>
      <c r="BJ404" s="17"/>
      <c r="BK404" s="17"/>
      <c r="BL404" s="17"/>
      <c r="BM404" s="3"/>
      <c r="BN404" s="3"/>
      <c r="BO404" s="3"/>
      <c r="BP404" s="3"/>
      <c r="BQ404" s="3"/>
      <c r="BR404" s="3"/>
      <c r="BS404" s="3"/>
      <c r="BT404" s="3"/>
      <c r="BU404" s="3"/>
      <c r="BV404" s="3"/>
      <c r="BW404" s="3"/>
      <c r="BX404" s="3"/>
      <c r="BY404" s="3"/>
      <c r="BZ404" s="3"/>
      <c r="CA404" s="3"/>
      <c r="CB404" s="3"/>
      <c r="CC404" s="25"/>
      <c r="CD404" s="25"/>
      <c r="CE404" s="25"/>
    </row>
    <row r="405" spans="2:83" s="82" customFormat="1" ht="12" customHeight="1">
      <c r="B405" s="82" t="s">
        <v>1187</v>
      </c>
      <c r="AC405" s="828"/>
      <c r="AE405" s="310"/>
      <c r="BD405" s="829"/>
      <c r="BF405" s="17"/>
      <c r="BG405" s="17"/>
      <c r="BH405" s="17"/>
      <c r="BI405" s="17"/>
      <c r="BJ405" s="17"/>
      <c r="BK405" s="17"/>
      <c r="BL405" s="17"/>
      <c r="BM405" s="3"/>
      <c r="BN405" s="3"/>
      <c r="BO405" s="3"/>
      <c r="BP405" s="3"/>
      <c r="BQ405" s="3"/>
      <c r="BR405" s="3"/>
      <c r="BS405" s="3"/>
      <c r="BT405" s="3"/>
      <c r="BU405" s="3"/>
      <c r="BV405" s="3"/>
      <c r="BW405" s="3"/>
      <c r="BX405" s="3"/>
      <c r="BY405" s="3"/>
      <c r="BZ405" s="3"/>
      <c r="CA405" s="3"/>
      <c r="CB405" s="3"/>
      <c r="CC405" s="25"/>
      <c r="CD405" s="25"/>
      <c r="CE405" s="25"/>
    </row>
    <row r="406" spans="2:83" s="82" customFormat="1" ht="12" customHeight="1">
      <c r="B406" s="2302" t="s">
        <v>1188</v>
      </c>
      <c r="AC406" s="828"/>
      <c r="AE406" s="310"/>
      <c r="BD406" s="829"/>
      <c r="BF406" s="17"/>
      <c r="BG406" s="17"/>
      <c r="BH406" s="17"/>
      <c r="BI406" s="17"/>
      <c r="BJ406" s="17"/>
      <c r="BK406" s="17"/>
      <c r="BL406" s="17"/>
      <c r="BM406" s="3"/>
      <c r="BN406" s="3"/>
      <c r="BO406" s="3"/>
      <c r="BP406" s="3"/>
      <c r="BQ406" s="3"/>
      <c r="BR406" s="3"/>
      <c r="BS406" s="3"/>
      <c r="BT406" s="3"/>
      <c r="BU406" s="3"/>
      <c r="BV406" s="3"/>
      <c r="BW406" s="3"/>
      <c r="BX406" s="3"/>
      <c r="BY406" s="3"/>
      <c r="BZ406" s="3"/>
      <c r="CA406" s="3"/>
      <c r="CB406" s="3"/>
      <c r="CC406" s="25"/>
      <c r="CD406" s="25"/>
      <c r="CE406" s="25"/>
    </row>
    <row r="407" spans="2:83" s="82" customFormat="1" ht="12" customHeight="1">
      <c r="B407" s="2302" t="s">
        <v>1189</v>
      </c>
      <c r="AC407" s="828"/>
      <c r="AE407" s="310"/>
      <c r="BD407" s="829"/>
      <c r="BF407" s="17"/>
      <c r="BG407" s="17"/>
      <c r="BH407" s="17"/>
      <c r="BI407" s="17"/>
      <c r="BJ407" s="17"/>
      <c r="BK407" s="17"/>
      <c r="BL407" s="17"/>
      <c r="BM407" s="3"/>
      <c r="BN407" s="3"/>
      <c r="BO407" s="3"/>
      <c r="BP407" s="3"/>
      <c r="BQ407" s="3"/>
      <c r="BR407" s="3"/>
      <c r="BS407" s="3"/>
      <c r="BT407" s="3"/>
      <c r="BU407" s="3"/>
      <c r="BV407" s="3"/>
      <c r="BW407" s="3"/>
      <c r="BX407" s="3"/>
      <c r="BY407" s="3"/>
      <c r="BZ407" s="3"/>
      <c r="CA407" s="3"/>
      <c r="CB407" s="3"/>
      <c r="CC407" s="25"/>
      <c r="CD407" s="25"/>
      <c r="CE407" s="25"/>
    </row>
    <row r="408" spans="2:83" s="82" customFormat="1" ht="12" customHeight="1">
      <c r="B408" s="1757" t="s">
        <v>1190</v>
      </c>
      <c r="AC408" s="828"/>
      <c r="AE408" s="310"/>
      <c r="BD408" s="829"/>
      <c r="BF408" s="17"/>
      <c r="BG408" s="17"/>
      <c r="BH408" s="17"/>
      <c r="BI408" s="17"/>
      <c r="BJ408" s="17"/>
      <c r="BK408" s="17"/>
      <c r="BL408" s="17"/>
      <c r="BM408" s="3"/>
      <c r="BN408" s="3"/>
      <c r="BO408" s="3"/>
      <c r="BP408" s="3"/>
      <c r="BQ408" s="3"/>
      <c r="BR408" s="3"/>
      <c r="BS408" s="3"/>
      <c r="BT408" s="3"/>
      <c r="BU408" s="3"/>
      <c r="BV408" s="3"/>
      <c r="BW408" s="3"/>
      <c r="BX408" s="3"/>
      <c r="BY408" s="3"/>
      <c r="BZ408" s="3"/>
      <c r="CA408" s="3"/>
      <c r="CB408" s="3"/>
      <c r="CC408" s="25"/>
      <c r="CD408" s="25"/>
      <c r="CE408" s="25"/>
    </row>
    <row r="409" spans="2:83" s="82" customFormat="1" ht="12" customHeight="1">
      <c r="B409" s="2302" t="s">
        <v>1191</v>
      </c>
      <c r="AC409" s="828"/>
      <c r="AE409" s="310"/>
      <c r="BD409" s="829"/>
      <c r="BF409" s="17"/>
      <c r="BG409" s="17"/>
      <c r="BH409" s="17"/>
      <c r="BI409" s="17"/>
      <c r="BJ409" s="17"/>
      <c r="BK409" s="17"/>
      <c r="BL409" s="17"/>
      <c r="BM409" s="3"/>
      <c r="BN409" s="3"/>
      <c r="BO409" s="3"/>
      <c r="BP409" s="3"/>
      <c r="BQ409" s="3"/>
      <c r="BR409" s="3"/>
      <c r="BS409" s="3"/>
      <c r="BT409" s="3"/>
      <c r="BU409" s="3"/>
      <c r="BV409" s="3"/>
      <c r="BW409" s="3"/>
      <c r="BX409" s="3"/>
      <c r="BY409" s="3"/>
      <c r="BZ409" s="3"/>
      <c r="CA409" s="3"/>
      <c r="CB409" s="3"/>
      <c r="CC409" s="25"/>
      <c r="CD409" s="25"/>
      <c r="CE409" s="25"/>
    </row>
    <row r="410" spans="2:83" s="82" customFormat="1" ht="12" customHeight="1">
      <c r="B410" s="2302" t="s">
        <v>1192</v>
      </c>
      <c r="AC410" s="828"/>
      <c r="AE410" s="310"/>
      <c r="BD410" s="829"/>
      <c r="BF410" s="17"/>
      <c r="BG410" s="17"/>
      <c r="BH410" s="17"/>
      <c r="BI410" s="17"/>
      <c r="BJ410" s="17"/>
      <c r="BK410" s="17"/>
      <c r="BL410" s="17"/>
      <c r="BM410" s="3"/>
      <c r="BN410" s="3"/>
      <c r="BO410" s="3"/>
      <c r="BP410" s="3"/>
      <c r="BQ410" s="3"/>
      <c r="BR410" s="3"/>
      <c r="BS410" s="3"/>
      <c r="BT410" s="3"/>
      <c r="BU410" s="3"/>
      <c r="BV410" s="3"/>
      <c r="BW410" s="3"/>
      <c r="BX410" s="3"/>
      <c r="BY410" s="3"/>
      <c r="BZ410" s="3"/>
      <c r="CA410" s="3"/>
      <c r="CB410" s="3"/>
      <c r="CC410" s="25"/>
      <c r="CD410" s="25"/>
      <c r="CE410" s="25"/>
    </row>
    <row r="411" spans="2:83" s="82" customFormat="1" ht="12" customHeight="1">
      <c r="B411" s="2302" t="s">
        <v>1193</v>
      </c>
      <c r="AC411" s="828"/>
      <c r="AE411" s="310"/>
      <c r="BD411" s="829"/>
      <c r="BF411" s="17"/>
      <c r="BG411" s="17"/>
      <c r="BH411" s="17"/>
      <c r="BI411" s="17"/>
      <c r="BJ411" s="17"/>
      <c r="BK411" s="17"/>
      <c r="BL411" s="17"/>
      <c r="BM411" s="3"/>
      <c r="BN411" s="3"/>
      <c r="BO411" s="3"/>
      <c r="BP411" s="3"/>
      <c r="BQ411" s="3"/>
      <c r="BR411" s="3"/>
      <c r="BS411" s="3"/>
      <c r="BT411" s="3"/>
      <c r="BU411" s="3"/>
      <c r="BV411" s="3"/>
      <c r="BW411" s="3"/>
      <c r="BX411" s="3"/>
      <c r="BY411" s="3"/>
      <c r="BZ411" s="3"/>
      <c r="CA411" s="3"/>
      <c r="CB411" s="3"/>
      <c r="CC411" s="25"/>
      <c r="CD411" s="25"/>
      <c r="CE411" s="25"/>
    </row>
    <row r="412" spans="2:83" s="82" customFormat="1" ht="12" customHeight="1">
      <c r="B412" s="2302" t="s">
        <v>1389</v>
      </c>
      <c r="AC412" s="828"/>
      <c r="AE412" s="310"/>
      <c r="BD412" s="829"/>
      <c r="BF412" s="17"/>
      <c r="BG412" s="17"/>
      <c r="BH412" s="17"/>
      <c r="BI412" s="17"/>
      <c r="BJ412" s="17"/>
      <c r="BK412" s="17"/>
      <c r="BL412" s="17"/>
      <c r="BM412" s="3"/>
      <c r="BN412" s="3"/>
      <c r="BO412" s="3"/>
      <c r="BP412" s="3"/>
      <c r="BQ412" s="3"/>
      <c r="BR412" s="3"/>
      <c r="BS412" s="3"/>
      <c r="BT412" s="3"/>
      <c r="BU412" s="3"/>
      <c r="BV412" s="3"/>
      <c r="BW412" s="3"/>
      <c r="BX412" s="3"/>
      <c r="BY412" s="3"/>
      <c r="BZ412" s="3"/>
      <c r="CA412" s="3"/>
      <c r="CB412" s="3"/>
      <c r="CC412" s="25"/>
      <c r="CD412" s="25"/>
      <c r="CE412" s="25"/>
    </row>
    <row r="413" spans="2:83" s="82" customFormat="1" ht="12" customHeight="1">
      <c r="AC413" s="828"/>
      <c r="BD413" s="829"/>
      <c r="BF413" s="17"/>
      <c r="BG413" s="17"/>
      <c r="BH413" s="17"/>
      <c r="BI413" s="17"/>
      <c r="BJ413" s="17"/>
      <c r="BK413" s="17"/>
      <c r="BL413" s="17"/>
      <c r="BM413" s="3"/>
      <c r="BN413" s="3"/>
      <c r="BO413" s="3"/>
      <c r="BP413" s="3"/>
      <c r="BQ413" s="3"/>
      <c r="BR413" s="3"/>
      <c r="BS413" s="3"/>
      <c r="BT413" s="3"/>
      <c r="BU413" s="3"/>
      <c r="BV413" s="3"/>
      <c r="BW413" s="3"/>
      <c r="BX413" s="3"/>
      <c r="BY413" s="3"/>
      <c r="BZ413" s="3"/>
      <c r="CA413" s="3"/>
      <c r="CB413" s="3"/>
      <c r="CC413" s="25"/>
      <c r="CD413" s="25"/>
      <c r="CE413" s="25"/>
    </row>
    <row r="414" spans="2:83" s="82" customFormat="1" ht="12" customHeight="1">
      <c r="B414" s="310" t="s">
        <v>1434</v>
      </c>
      <c r="AC414" s="828"/>
      <c r="BD414" s="829"/>
      <c r="BF414" s="17"/>
      <c r="BG414" s="17"/>
      <c r="BH414" s="17"/>
      <c r="BI414" s="17"/>
      <c r="BJ414" s="17"/>
      <c r="BK414" s="17"/>
      <c r="BL414" s="17"/>
      <c r="BM414" s="3"/>
      <c r="BN414" s="3"/>
      <c r="BO414" s="3"/>
      <c r="BP414" s="3"/>
      <c r="BQ414" s="3"/>
      <c r="BR414" s="3"/>
      <c r="BS414" s="3"/>
      <c r="BT414" s="3"/>
      <c r="BU414" s="3"/>
      <c r="BV414" s="3"/>
      <c r="BW414" s="3"/>
      <c r="BX414" s="3"/>
      <c r="BY414" s="3"/>
      <c r="BZ414" s="3"/>
      <c r="CA414" s="3"/>
      <c r="CB414" s="3"/>
      <c r="CC414" s="25"/>
      <c r="CD414" s="25"/>
      <c r="CE414" s="25"/>
    </row>
    <row r="415" spans="2:83" s="82" customFormat="1" ht="12" customHeight="1">
      <c r="B415" s="82" t="s">
        <v>1238</v>
      </c>
      <c r="AC415" s="827">
        <v>250</v>
      </c>
      <c r="BD415" s="829"/>
      <c r="BF415" s="17"/>
      <c r="BG415" s="17"/>
      <c r="BH415" s="17"/>
      <c r="BI415" s="17"/>
      <c r="BJ415" s="17"/>
      <c r="BK415" s="17"/>
      <c r="BL415" s="17"/>
      <c r="BM415" s="3"/>
      <c r="BN415" s="3"/>
      <c r="BO415" s="3"/>
      <c r="BP415" s="3"/>
      <c r="BQ415" s="3"/>
      <c r="BR415" s="3"/>
      <c r="BS415" s="3"/>
      <c r="BT415" s="3"/>
      <c r="BU415" s="3"/>
      <c r="BV415" s="3"/>
      <c r="BW415" s="3"/>
      <c r="BX415" s="3"/>
      <c r="BY415" s="3"/>
      <c r="BZ415" s="3"/>
      <c r="CA415" s="3"/>
      <c r="CB415" s="3"/>
      <c r="CC415" s="25"/>
      <c r="CD415" s="25"/>
      <c r="CE415" s="25"/>
    </row>
    <row r="416" spans="2:83" s="82" customFormat="1" ht="12" customHeight="1">
      <c r="B416" s="82" t="s">
        <v>1388</v>
      </c>
      <c r="AC416" s="828"/>
      <c r="BD416" s="829"/>
      <c r="BF416" s="17"/>
      <c r="BG416" s="17"/>
      <c r="BH416" s="17"/>
      <c r="BI416" s="17"/>
      <c r="BJ416" s="17"/>
      <c r="BK416" s="17"/>
      <c r="BL416" s="17"/>
      <c r="BM416" s="3"/>
      <c r="BN416" s="3"/>
      <c r="BO416" s="3"/>
      <c r="BP416" s="3"/>
      <c r="BQ416" s="3"/>
      <c r="BR416" s="3"/>
      <c r="BS416" s="3"/>
      <c r="BT416" s="3"/>
      <c r="BU416" s="3"/>
      <c r="BV416" s="3"/>
      <c r="BW416" s="3"/>
      <c r="BX416" s="3"/>
      <c r="BY416" s="3"/>
      <c r="BZ416" s="3"/>
      <c r="CA416" s="3"/>
      <c r="CB416" s="3"/>
      <c r="CC416" s="25"/>
      <c r="CD416" s="25"/>
      <c r="CE416" s="25"/>
    </row>
    <row r="417" spans="2:83" s="82" customFormat="1" ht="12" customHeight="1">
      <c r="B417" s="82" t="s">
        <v>1252</v>
      </c>
      <c r="AC417" s="828"/>
      <c r="BD417" s="829"/>
      <c r="BF417" s="17"/>
      <c r="BG417" s="17"/>
      <c r="BH417" s="17"/>
      <c r="BI417" s="17"/>
      <c r="BJ417" s="17"/>
      <c r="BK417" s="17"/>
      <c r="BL417" s="17"/>
      <c r="BM417" s="3"/>
      <c r="BN417" s="3"/>
      <c r="BO417" s="3"/>
      <c r="BP417" s="3"/>
      <c r="BQ417" s="3"/>
      <c r="BR417" s="3"/>
      <c r="BS417" s="3"/>
      <c r="BT417" s="3"/>
      <c r="BU417" s="3"/>
      <c r="BV417" s="3"/>
      <c r="BW417" s="3"/>
      <c r="BX417" s="3"/>
      <c r="BY417" s="3"/>
      <c r="BZ417" s="3"/>
      <c r="CA417" s="3"/>
      <c r="CB417" s="3"/>
      <c r="CC417" s="25"/>
      <c r="CD417" s="25"/>
      <c r="CE417" s="25"/>
    </row>
    <row r="418" spans="2:83" s="82" customFormat="1" ht="12" customHeight="1">
      <c r="B418" s="82" t="s">
        <v>1253</v>
      </c>
      <c r="AC418" s="828"/>
      <c r="BD418" s="829"/>
      <c r="BF418" s="17"/>
      <c r="BG418" s="17"/>
      <c r="BH418" s="17"/>
      <c r="BI418" s="17"/>
      <c r="BJ418" s="17"/>
      <c r="BK418" s="17"/>
      <c r="BL418" s="17"/>
      <c r="BM418" s="3"/>
      <c r="BN418" s="3"/>
      <c r="BO418" s="3"/>
      <c r="BP418" s="3"/>
      <c r="BQ418" s="3"/>
      <c r="BR418" s="3"/>
      <c r="BS418" s="3"/>
      <c r="BT418" s="3"/>
      <c r="BU418" s="3"/>
      <c r="BV418" s="3"/>
      <c r="BW418" s="3"/>
      <c r="BX418" s="3"/>
      <c r="BY418" s="3"/>
      <c r="BZ418" s="3"/>
      <c r="CA418" s="3"/>
      <c r="CB418" s="3"/>
      <c r="CC418" s="25"/>
      <c r="CD418" s="25"/>
      <c r="CE418" s="25"/>
    </row>
    <row r="419" spans="2:83" s="82" customFormat="1" ht="12" customHeight="1">
      <c r="B419" s="2302"/>
      <c r="AC419" s="828"/>
      <c r="BD419" s="829"/>
      <c r="BF419" s="17"/>
      <c r="BG419" s="17"/>
      <c r="BH419" s="17"/>
      <c r="BI419" s="17"/>
      <c r="BJ419" s="17"/>
      <c r="BK419" s="17"/>
      <c r="BL419" s="17"/>
      <c r="BM419" s="3"/>
      <c r="BN419" s="3"/>
      <c r="BO419" s="3"/>
      <c r="BP419" s="3"/>
      <c r="BQ419" s="3"/>
      <c r="BR419" s="3"/>
      <c r="BS419" s="3"/>
      <c r="BT419" s="3"/>
      <c r="BU419" s="3"/>
      <c r="BV419" s="3"/>
      <c r="BW419" s="3"/>
      <c r="BX419" s="3"/>
      <c r="BY419" s="3"/>
      <c r="BZ419" s="3"/>
      <c r="CA419" s="3"/>
      <c r="CB419" s="3"/>
      <c r="CC419" s="25"/>
      <c r="CD419" s="25"/>
      <c r="CE419" s="25"/>
    </row>
    <row r="420" spans="2:83" s="82" customFormat="1" ht="12" customHeight="1">
      <c r="B420" s="310" t="s">
        <v>1239</v>
      </c>
      <c r="AC420" s="827">
        <v>256</v>
      </c>
      <c r="BD420" s="829"/>
      <c r="BF420" s="17"/>
      <c r="BG420" s="17"/>
      <c r="BH420" s="17"/>
      <c r="BI420" s="17"/>
      <c r="BJ420" s="17"/>
      <c r="BK420" s="17"/>
      <c r="BL420" s="17"/>
      <c r="BM420" s="3"/>
      <c r="BN420" s="3"/>
      <c r="BO420" s="3"/>
      <c r="BP420" s="3"/>
      <c r="BQ420" s="3"/>
      <c r="BR420" s="3"/>
      <c r="BS420" s="3"/>
      <c r="BT420" s="3"/>
      <c r="BU420" s="3"/>
      <c r="BV420" s="3"/>
      <c r="BW420" s="3"/>
      <c r="BX420" s="3"/>
      <c r="BY420" s="3"/>
      <c r="BZ420" s="3"/>
      <c r="CA420" s="3"/>
      <c r="CB420" s="3"/>
      <c r="CC420" s="25"/>
      <c r="CD420" s="25"/>
      <c r="CE420" s="25"/>
    </row>
    <row r="421" spans="2:83" s="82" customFormat="1" ht="12" customHeight="1">
      <c r="B421" s="82" t="s">
        <v>1342</v>
      </c>
      <c r="AC421" s="828"/>
      <c r="BD421" s="829"/>
      <c r="BF421" s="17"/>
      <c r="BG421" s="17"/>
      <c r="BH421" s="17"/>
      <c r="BI421" s="17"/>
      <c r="BJ421" s="17"/>
      <c r="BK421" s="17"/>
      <c r="BL421" s="17"/>
      <c r="BM421" s="3"/>
      <c r="BN421" s="3"/>
      <c r="BO421" s="3"/>
      <c r="BP421" s="3"/>
      <c r="BQ421" s="3"/>
      <c r="BR421" s="3"/>
      <c r="BS421" s="3"/>
      <c r="BT421" s="3"/>
      <c r="BU421" s="3"/>
      <c r="BV421" s="3"/>
      <c r="BW421" s="3"/>
      <c r="BX421" s="3"/>
      <c r="BY421" s="3"/>
      <c r="BZ421" s="3"/>
      <c r="CA421" s="3"/>
      <c r="CB421" s="3"/>
      <c r="CC421" s="25"/>
      <c r="CD421" s="25"/>
      <c r="CE421" s="25"/>
    </row>
    <row r="422" spans="2:83" s="82" customFormat="1" ht="12" customHeight="1">
      <c r="B422" s="82" t="s">
        <v>1390</v>
      </c>
      <c r="AC422" s="828"/>
      <c r="BD422" s="829"/>
      <c r="BF422" s="17"/>
      <c r="BG422" s="17"/>
      <c r="BH422" s="17"/>
      <c r="BI422" s="17"/>
      <c r="BJ422" s="17"/>
      <c r="BK422" s="17"/>
      <c r="BL422" s="17"/>
      <c r="BM422" s="3"/>
      <c r="BN422" s="3"/>
      <c r="BO422" s="3"/>
      <c r="BP422" s="3"/>
      <c r="BQ422" s="3"/>
      <c r="BR422" s="3"/>
      <c r="BS422" s="3"/>
      <c r="BT422" s="3"/>
      <c r="BU422" s="3"/>
      <c r="BV422" s="3"/>
      <c r="BW422" s="3"/>
      <c r="BX422" s="3"/>
      <c r="BY422" s="3"/>
      <c r="BZ422" s="3"/>
      <c r="CA422" s="3"/>
      <c r="CB422" s="3"/>
      <c r="CC422" s="25"/>
      <c r="CD422" s="25"/>
      <c r="CE422" s="25"/>
    </row>
    <row r="423" spans="2:83" s="82" customFormat="1" ht="12" customHeight="1">
      <c r="B423" s="82" t="s">
        <v>1240</v>
      </c>
      <c r="AC423" s="828"/>
      <c r="BD423" s="829"/>
      <c r="BF423" s="17"/>
      <c r="BG423" s="17"/>
      <c r="BH423" s="17"/>
      <c r="BI423" s="17"/>
      <c r="BJ423" s="17"/>
      <c r="BK423" s="17"/>
      <c r="BL423" s="17"/>
      <c r="BM423" s="3"/>
      <c r="BN423" s="3"/>
      <c r="BO423" s="3"/>
      <c r="BP423" s="3"/>
      <c r="BQ423" s="3"/>
      <c r="BR423" s="3"/>
      <c r="BS423" s="3"/>
      <c r="BT423" s="3"/>
      <c r="BU423" s="3"/>
      <c r="BV423" s="3"/>
      <c r="BW423" s="3"/>
      <c r="BX423" s="3"/>
      <c r="BY423" s="3"/>
      <c r="BZ423" s="3"/>
      <c r="CA423" s="3"/>
      <c r="CB423" s="3"/>
      <c r="CC423" s="25"/>
      <c r="CD423" s="25"/>
      <c r="CE423" s="25"/>
    </row>
    <row r="424" spans="2:83" s="82" customFormat="1" ht="12" customHeight="1">
      <c r="B424" s="82" t="s">
        <v>1241</v>
      </c>
      <c r="AC424" s="828"/>
      <c r="BD424" s="829"/>
      <c r="BF424" s="17"/>
      <c r="BG424" s="17"/>
      <c r="BH424" s="17"/>
      <c r="BI424" s="17"/>
      <c r="BJ424" s="17"/>
      <c r="BK424" s="17"/>
      <c r="BL424" s="17"/>
      <c r="BM424" s="3"/>
      <c r="BN424" s="3"/>
      <c r="BO424" s="3"/>
      <c r="BP424" s="3"/>
      <c r="BQ424" s="3"/>
      <c r="BR424" s="3"/>
      <c r="BS424" s="3"/>
      <c r="BT424" s="3"/>
      <c r="BU424" s="3"/>
      <c r="BV424" s="3"/>
      <c r="BW424" s="3"/>
      <c r="BX424" s="3"/>
      <c r="BY424" s="3"/>
      <c r="BZ424" s="3"/>
      <c r="CA424" s="3"/>
      <c r="CB424" s="3"/>
      <c r="CC424" s="25"/>
      <c r="CD424" s="25"/>
      <c r="CE424" s="25"/>
    </row>
    <row r="425" spans="2:83" s="82" customFormat="1" ht="12" customHeight="1">
      <c r="AC425" s="828"/>
      <c r="BD425" s="829"/>
      <c r="BF425" s="17"/>
      <c r="BG425" s="17"/>
      <c r="BH425" s="17"/>
      <c r="BI425" s="17"/>
      <c r="BJ425" s="17"/>
      <c r="BK425" s="17"/>
      <c r="BL425" s="17"/>
      <c r="BM425" s="3"/>
      <c r="BN425" s="3"/>
      <c r="BO425" s="3"/>
      <c r="BP425" s="3"/>
      <c r="BQ425" s="3"/>
      <c r="BR425" s="3"/>
      <c r="BS425" s="3"/>
      <c r="BT425" s="3"/>
      <c r="BU425" s="3"/>
      <c r="BV425" s="3"/>
      <c r="BW425" s="3"/>
      <c r="BX425" s="3"/>
      <c r="BY425" s="3"/>
      <c r="BZ425" s="3"/>
      <c r="CA425" s="3"/>
      <c r="CB425" s="3"/>
      <c r="CC425" s="25"/>
      <c r="CD425" s="25"/>
      <c r="CE425" s="25"/>
    </row>
    <row r="426" spans="2:83" s="82" customFormat="1" ht="12" customHeight="1">
      <c r="B426" s="310" t="s">
        <v>1242</v>
      </c>
      <c r="AC426" s="827">
        <v>261</v>
      </c>
      <c r="BD426" s="829"/>
      <c r="BF426" s="17"/>
      <c r="BG426" s="17"/>
      <c r="BH426" s="17"/>
      <c r="BI426" s="17"/>
      <c r="BJ426" s="17"/>
      <c r="BK426" s="17"/>
      <c r="BL426" s="17"/>
      <c r="BM426" s="3"/>
      <c r="BN426" s="3"/>
      <c r="BO426" s="3"/>
      <c r="BP426" s="3"/>
      <c r="BQ426" s="3"/>
      <c r="BR426" s="3"/>
      <c r="BS426" s="3"/>
      <c r="BT426" s="3"/>
      <c r="BU426" s="3"/>
      <c r="BV426" s="3"/>
      <c r="BW426" s="3"/>
      <c r="BX426" s="3"/>
      <c r="BY426" s="3"/>
      <c r="BZ426" s="3"/>
      <c r="CA426" s="3"/>
      <c r="CB426" s="3"/>
      <c r="CC426" s="25"/>
      <c r="CD426" s="25"/>
      <c r="CE426" s="25"/>
    </row>
    <row r="427" spans="2:83" s="82" customFormat="1" ht="12" customHeight="1">
      <c r="B427" s="82" t="s">
        <v>1081</v>
      </c>
      <c r="AC427" s="828"/>
      <c r="BD427" s="829"/>
      <c r="BF427" s="17"/>
      <c r="BG427" s="17"/>
      <c r="BH427" s="17"/>
      <c r="BI427" s="17"/>
      <c r="BJ427" s="17"/>
      <c r="BK427" s="17"/>
      <c r="BL427" s="17"/>
      <c r="BM427" s="3"/>
      <c r="BN427" s="3"/>
      <c r="BO427" s="3"/>
      <c r="BP427" s="3"/>
      <c r="BQ427" s="3"/>
      <c r="BR427" s="3"/>
      <c r="BS427" s="3"/>
      <c r="BT427" s="3"/>
      <c r="BU427" s="3"/>
      <c r="BV427" s="3"/>
      <c r="BW427" s="3"/>
      <c r="BX427" s="3"/>
      <c r="BY427" s="3"/>
      <c r="BZ427" s="3"/>
      <c r="CA427" s="3"/>
      <c r="CB427" s="3"/>
      <c r="CC427" s="25"/>
      <c r="CD427" s="25"/>
      <c r="CE427" s="25"/>
    </row>
    <row r="428" spans="2:83" s="82" customFormat="1" ht="12" customHeight="1">
      <c r="B428" s="82" t="s">
        <v>1391</v>
      </c>
      <c r="AC428" s="828"/>
      <c r="BD428" s="829"/>
      <c r="BF428" s="17"/>
      <c r="BG428" s="17"/>
      <c r="BH428" s="17"/>
      <c r="BI428" s="17"/>
      <c r="BJ428" s="17"/>
      <c r="BK428" s="17"/>
      <c r="BL428" s="17"/>
      <c r="BM428" s="3"/>
      <c r="BN428" s="3"/>
      <c r="BO428" s="3"/>
      <c r="BP428" s="3"/>
      <c r="BQ428" s="3"/>
      <c r="BR428" s="3"/>
      <c r="BS428" s="3"/>
      <c r="BT428" s="3"/>
      <c r="BU428" s="3"/>
      <c r="BV428" s="3"/>
      <c r="BW428" s="3"/>
      <c r="BX428" s="3"/>
      <c r="BY428" s="3"/>
      <c r="BZ428" s="3"/>
      <c r="CA428" s="3"/>
      <c r="CB428" s="3"/>
      <c r="CC428" s="25"/>
      <c r="CD428" s="25"/>
      <c r="CE428" s="25"/>
    </row>
    <row r="429" spans="2:83" s="82" customFormat="1" ht="12" customHeight="1">
      <c r="AC429" s="828"/>
      <c r="BD429" s="829"/>
      <c r="BF429" s="17"/>
      <c r="BG429" s="17"/>
      <c r="BH429" s="17"/>
      <c r="BI429" s="17"/>
      <c r="BJ429" s="17"/>
      <c r="BK429" s="17"/>
      <c r="BL429" s="17"/>
      <c r="BM429" s="3"/>
      <c r="BN429" s="3"/>
      <c r="BO429" s="3"/>
      <c r="BP429" s="3"/>
      <c r="BQ429" s="3"/>
      <c r="BR429" s="3"/>
      <c r="BS429" s="3"/>
      <c r="BT429" s="3"/>
      <c r="BU429" s="3"/>
      <c r="BV429" s="3"/>
      <c r="BW429" s="3"/>
      <c r="BX429" s="3"/>
      <c r="BY429" s="3"/>
      <c r="BZ429" s="3"/>
      <c r="CA429" s="3"/>
      <c r="CB429" s="3"/>
      <c r="CC429" s="25"/>
      <c r="CD429" s="25"/>
      <c r="CE429" s="25"/>
    </row>
    <row r="430" spans="2:83" s="82" customFormat="1" ht="12" customHeight="1">
      <c r="B430" s="310" t="s">
        <v>1243</v>
      </c>
      <c r="AC430" s="827">
        <v>265</v>
      </c>
      <c r="BD430" s="829"/>
      <c r="BF430" s="17"/>
      <c r="BG430" s="17"/>
      <c r="BH430" s="17"/>
      <c r="BI430" s="17"/>
      <c r="BJ430" s="17"/>
      <c r="BK430" s="17"/>
      <c r="BL430" s="17"/>
      <c r="BM430" s="3"/>
      <c r="BN430" s="3"/>
      <c r="BO430" s="3"/>
      <c r="BP430" s="3"/>
      <c r="BQ430" s="3"/>
      <c r="BR430" s="3"/>
      <c r="BS430" s="3"/>
      <c r="BT430" s="3"/>
      <c r="BU430" s="3"/>
      <c r="BV430" s="3"/>
      <c r="BW430" s="3"/>
      <c r="BX430" s="3"/>
      <c r="BY430" s="3"/>
      <c r="BZ430" s="3"/>
      <c r="CA430" s="3"/>
      <c r="CB430" s="3"/>
      <c r="CC430" s="25"/>
      <c r="CD430" s="25"/>
      <c r="CE430" s="25"/>
    </row>
    <row r="431" spans="2:83" s="82" customFormat="1" ht="12" customHeight="1">
      <c r="B431" s="276" t="s">
        <v>1206</v>
      </c>
      <c r="AC431" s="828"/>
      <c r="BD431" s="829"/>
      <c r="BF431" s="17"/>
      <c r="BG431" s="17"/>
      <c r="BH431" s="17"/>
      <c r="BI431" s="17"/>
      <c r="BJ431" s="17"/>
      <c r="BK431" s="17"/>
      <c r="BL431" s="17"/>
      <c r="BM431" s="3"/>
      <c r="BN431" s="3"/>
      <c r="BO431" s="3"/>
      <c r="BP431" s="3"/>
      <c r="BQ431" s="3"/>
      <c r="BR431" s="3"/>
      <c r="BS431" s="3"/>
      <c r="BT431" s="3"/>
      <c r="BU431" s="3"/>
      <c r="BV431" s="3"/>
      <c r="BW431" s="3"/>
      <c r="BX431" s="3"/>
      <c r="BY431" s="3"/>
      <c r="BZ431" s="3"/>
      <c r="CA431" s="3"/>
      <c r="CB431" s="3"/>
      <c r="CC431" s="25"/>
      <c r="CD431" s="25"/>
      <c r="CE431" s="25"/>
    </row>
    <row r="432" spans="2:83" s="82" customFormat="1" ht="12" customHeight="1">
      <c r="B432" s="276" t="s">
        <v>1471</v>
      </c>
      <c r="AC432" s="828"/>
      <c r="BD432" s="829"/>
      <c r="BF432" s="17"/>
      <c r="BG432" s="17"/>
      <c r="BH432" s="17"/>
      <c r="BI432" s="17"/>
      <c r="BJ432" s="17"/>
      <c r="BK432" s="17"/>
      <c r="BL432" s="17"/>
      <c r="BM432" s="3"/>
      <c r="BN432" s="3"/>
      <c r="BO432" s="3"/>
      <c r="BP432" s="3"/>
      <c r="BQ432" s="3"/>
      <c r="BR432" s="3"/>
      <c r="BS432" s="3"/>
      <c r="BT432" s="3"/>
      <c r="BU432" s="3"/>
      <c r="BV432" s="3"/>
      <c r="BW432" s="3"/>
      <c r="BX432" s="3"/>
      <c r="BY432" s="3"/>
      <c r="BZ432" s="3"/>
      <c r="CA432" s="3"/>
      <c r="CB432" s="3"/>
      <c r="CC432" s="25"/>
      <c r="CD432" s="25"/>
      <c r="CE432" s="25"/>
    </row>
    <row r="433" spans="2:83" s="82" customFormat="1" ht="12" customHeight="1">
      <c r="B433" s="267"/>
      <c r="AC433" s="828"/>
      <c r="BD433" s="829"/>
      <c r="BF433" s="17"/>
      <c r="BG433" s="17"/>
      <c r="BH433" s="17"/>
      <c r="BI433" s="17"/>
      <c r="BJ433" s="17"/>
      <c r="BK433" s="17"/>
      <c r="BL433" s="17"/>
      <c r="BM433" s="3"/>
      <c r="BN433" s="3"/>
      <c r="BO433" s="3"/>
      <c r="BP433" s="3"/>
      <c r="BQ433" s="3"/>
      <c r="BR433" s="3"/>
      <c r="BS433" s="3"/>
      <c r="BT433" s="3"/>
      <c r="BU433" s="3"/>
      <c r="BV433" s="3"/>
      <c r="BW433" s="3"/>
      <c r="BX433" s="3"/>
      <c r="BY433" s="3"/>
      <c r="BZ433" s="3"/>
      <c r="CA433" s="3"/>
      <c r="CB433" s="3"/>
      <c r="CC433" s="25"/>
      <c r="CD433" s="25"/>
      <c r="CE433" s="25"/>
    </row>
    <row r="434" spans="2:83" s="82" customFormat="1" ht="12" customHeight="1">
      <c r="B434" s="310" t="s">
        <v>1244</v>
      </c>
      <c r="AC434" s="827">
        <v>270</v>
      </c>
      <c r="BD434" s="829"/>
      <c r="BF434" s="17"/>
      <c r="BG434" s="17"/>
      <c r="BH434" s="17"/>
      <c r="BI434" s="17"/>
      <c r="BJ434" s="17"/>
      <c r="BK434" s="17"/>
      <c r="BL434" s="17"/>
      <c r="BM434" s="3"/>
      <c r="BN434" s="3"/>
      <c r="BO434" s="3"/>
      <c r="BP434" s="3"/>
      <c r="BQ434" s="3"/>
      <c r="BR434" s="3"/>
      <c r="BS434" s="3"/>
      <c r="BT434" s="3"/>
      <c r="BU434" s="3"/>
      <c r="BV434" s="3"/>
      <c r="BW434" s="3"/>
      <c r="BX434" s="3"/>
      <c r="BY434" s="3"/>
      <c r="BZ434" s="3"/>
      <c r="CA434" s="3"/>
      <c r="CB434" s="3"/>
      <c r="CC434" s="25"/>
      <c r="CD434" s="25"/>
      <c r="CE434" s="25"/>
    </row>
    <row r="435" spans="2:83" s="82" customFormat="1" ht="12" customHeight="1">
      <c r="B435" s="276" t="s">
        <v>1023</v>
      </c>
      <c r="AC435" s="828"/>
      <c r="BD435" s="829"/>
      <c r="BF435" s="17"/>
      <c r="BG435" s="17"/>
      <c r="BH435" s="17"/>
      <c r="BI435" s="17"/>
      <c r="BJ435" s="17"/>
      <c r="BK435" s="17"/>
      <c r="BL435" s="17"/>
      <c r="BM435" s="3"/>
      <c r="BN435" s="3"/>
      <c r="BO435" s="3"/>
      <c r="BP435" s="3"/>
      <c r="BQ435" s="3"/>
      <c r="BR435" s="3"/>
      <c r="BS435" s="3"/>
      <c r="BT435" s="3"/>
      <c r="BU435" s="3"/>
      <c r="BV435" s="3"/>
      <c r="BW435" s="3"/>
      <c r="BX435" s="3"/>
      <c r="BY435" s="3"/>
      <c r="BZ435" s="3"/>
      <c r="CA435" s="3"/>
      <c r="CB435" s="3"/>
      <c r="CC435" s="25"/>
      <c r="CD435" s="25"/>
      <c r="CE435" s="25"/>
    </row>
    <row r="436" spans="2:83" s="82" customFormat="1" ht="12" customHeight="1">
      <c r="B436" s="276" t="s">
        <v>1392</v>
      </c>
      <c r="AC436" s="828"/>
      <c r="BD436" s="829"/>
      <c r="BF436" s="17"/>
      <c r="BG436" s="17"/>
      <c r="BH436" s="17"/>
      <c r="BI436" s="17"/>
      <c r="BJ436" s="17"/>
      <c r="BK436" s="17"/>
      <c r="BL436" s="17"/>
      <c r="BM436" s="3"/>
      <c r="BN436" s="3"/>
      <c r="BO436" s="3"/>
      <c r="BP436" s="3"/>
      <c r="BQ436" s="3"/>
      <c r="BR436" s="3"/>
      <c r="BS436" s="3"/>
      <c r="BT436" s="3"/>
      <c r="BU436" s="3"/>
      <c r="BV436" s="3"/>
      <c r="BW436" s="3"/>
      <c r="BX436" s="3"/>
      <c r="BY436" s="3"/>
      <c r="BZ436" s="3"/>
      <c r="CA436" s="3"/>
      <c r="CB436" s="3"/>
      <c r="CC436" s="25"/>
      <c r="CD436" s="25"/>
      <c r="CE436" s="25"/>
    </row>
    <row r="437" spans="2:83" s="82" customFormat="1" ht="12" customHeight="1">
      <c r="B437" s="1243" t="s">
        <v>1393</v>
      </c>
      <c r="AC437" s="828"/>
      <c r="BD437" s="829"/>
      <c r="BF437" s="17"/>
      <c r="BG437" s="17"/>
      <c r="BH437" s="17"/>
      <c r="BI437" s="17"/>
      <c r="BJ437" s="17"/>
      <c r="BK437" s="17"/>
      <c r="BL437" s="17"/>
      <c r="BM437" s="3"/>
      <c r="BN437" s="3"/>
      <c r="BO437" s="3"/>
      <c r="BP437" s="3"/>
      <c r="BQ437" s="3"/>
      <c r="BR437" s="3"/>
      <c r="BS437" s="3"/>
      <c r="BT437" s="3"/>
      <c r="BU437" s="3"/>
      <c r="BV437" s="3"/>
      <c r="BW437" s="3"/>
      <c r="BX437" s="3"/>
      <c r="BY437" s="3"/>
      <c r="BZ437" s="3"/>
      <c r="CA437" s="3"/>
      <c r="CB437" s="3"/>
      <c r="CC437" s="25"/>
      <c r="CD437" s="25"/>
      <c r="CE437" s="25"/>
    </row>
    <row r="438" spans="2:83" s="82" customFormat="1" ht="12" customHeight="1">
      <c r="B438" s="1243" t="s">
        <v>1024</v>
      </c>
      <c r="AC438" s="828"/>
      <c r="BD438" s="829"/>
      <c r="BF438" s="17"/>
      <c r="BG438" s="17"/>
      <c r="BH438" s="17"/>
      <c r="BI438" s="17"/>
      <c r="BJ438" s="17"/>
      <c r="BK438" s="17"/>
      <c r="BL438" s="17"/>
      <c r="BM438" s="3"/>
      <c r="BN438" s="3"/>
      <c r="BO438" s="3"/>
      <c r="BP438" s="3"/>
      <c r="BQ438" s="3"/>
      <c r="BR438" s="3"/>
      <c r="BS438" s="3"/>
      <c r="BT438" s="3"/>
      <c r="BU438" s="3"/>
      <c r="BV438" s="3"/>
      <c r="BW438" s="3"/>
      <c r="BX438" s="3"/>
      <c r="BY438" s="3"/>
      <c r="BZ438" s="3"/>
      <c r="CA438" s="3"/>
      <c r="CB438" s="3"/>
      <c r="CC438" s="25"/>
      <c r="CD438" s="25"/>
      <c r="CE438" s="25"/>
    </row>
    <row r="439" spans="2:83" s="82" customFormat="1" ht="12" customHeight="1">
      <c r="AC439" s="828"/>
      <c r="BD439" s="829"/>
      <c r="BF439" s="17"/>
      <c r="BG439" s="17"/>
      <c r="BH439" s="17"/>
      <c r="BI439" s="17"/>
      <c r="BJ439" s="17"/>
      <c r="BK439" s="17"/>
      <c r="BL439" s="17"/>
      <c r="BM439" s="3"/>
      <c r="BN439" s="3"/>
      <c r="BO439" s="3"/>
      <c r="BP439" s="3"/>
      <c r="BQ439" s="3"/>
      <c r="BR439" s="3"/>
      <c r="BS439" s="3"/>
      <c r="BT439" s="3"/>
      <c r="BU439" s="3"/>
      <c r="BV439" s="3"/>
      <c r="BW439" s="3"/>
      <c r="BX439" s="3"/>
      <c r="BY439" s="3"/>
      <c r="BZ439" s="3"/>
      <c r="CA439" s="3"/>
      <c r="CB439" s="3"/>
      <c r="CC439" s="25"/>
      <c r="CD439" s="25"/>
      <c r="CE439" s="25"/>
    </row>
    <row r="440" spans="2:83" s="82" customFormat="1" ht="12" customHeight="1">
      <c r="B440" s="274" t="s">
        <v>1291</v>
      </c>
      <c r="AC440" s="827">
        <v>277</v>
      </c>
      <c r="BD440" s="829"/>
      <c r="BF440" s="17"/>
      <c r="BG440" s="17"/>
      <c r="BH440" s="17"/>
      <c r="BI440" s="17"/>
      <c r="BJ440" s="17"/>
      <c r="BK440" s="17"/>
      <c r="BL440" s="17"/>
      <c r="BM440" s="3"/>
      <c r="BN440" s="3"/>
      <c r="BO440" s="3"/>
      <c r="BP440" s="3"/>
      <c r="BQ440" s="3"/>
      <c r="BR440" s="3"/>
      <c r="BS440" s="3"/>
      <c r="BT440" s="3"/>
      <c r="BU440" s="3"/>
      <c r="BV440" s="3"/>
      <c r="BW440" s="3"/>
      <c r="BX440" s="3"/>
      <c r="BY440" s="3"/>
      <c r="BZ440" s="3"/>
      <c r="CA440" s="3"/>
      <c r="CB440" s="3"/>
      <c r="CC440" s="25"/>
      <c r="CD440" s="25"/>
      <c r="CE440" s="25"/>
    </row>
    <row r="441" spans="2:83" s="82" customFormat="1" ht="12" customHeight="1">
      <c r="B441" s="82" t="s">
        <v>1292</v>
      </c>
      <c r="AC441" s="828"/>
      <c r="BD441" s="829"/>
      <c r="BF441" s="17"/>
      <c r="BG441" s="17"/>
      <c r="BH441" s="17"/>
      <c r="BI441" s="17"/>
      <c r="BJ441" s="17"/>
      <c r="BK441" s="17"/>
      <c r="BL441" s="17"/>
      <c r="BM441" s="3"/>
      <c r="BN441" s="3"/>
      <c r="BO441" s="3"/>
      <c r="BP441" s="3"/>
      <c r="BQ441" s="3"/>
      <c r="BR441" s="3"/>
      <c r="BS441" s="3"/>
      <c r="BT441" s="3"/>
      <c r="BU441" s="3"/>
      <c r="BV441" s="3"/>
      <c r="BW441" s="3"/>
      <c r="BX441" s="3"/>
      <c r="BY441" s="3"/>
      <c r="BZ441" s="3"/>
      <c r="CA441" s="3"/>
      <c r="CB441" s="3"/>
      <c r="CC441" s="25"/>
      <c r="CD441" s="25"/>
      <c r="CE441" s="25"/>
    </row>
    <row r="442" spans="2:83" s="82" customFormat="1" ht="12" customHeight="1">
      <c r="B442" s="82" t="s">
        <v>1293</v>
      </c>
      <c r="AC442" s="828"/>
      <c r="BD442" s="829"/>
      <c r="BF442" s="17"/>
      <c r="BG442" s="17"/>
      <c r="BH442" s="17"/>
      <c r="BI442" s="17"/>
      <c r="BJ442" s="17"/>
      <c r="BK442" s="17"/>
      <c r="BL442" s="17"/>
      <c r="BM442" s="3"/>
      <c r="BN442" s="3"/>
      <c r="BO442" s="3"/>
      <c r="BP442" s="3"/>
      <c r="BQ442" s="3"/>
      <c r="BR442" s="3"/>
      <c r="BS442" s="3"/>
      <c r="BT442" s="3"/>
      <c r="BU442" s="3"/>
      <c r="BV442" s="3"/>
      <c r="BW442" s="3"/>
      <c r="BX442" s="3"/>
      <c r="BY442" s="3"/>
      <c r="BZ442" s="3"/>
      <c r="CA442" s="3"/>
      <c r="CB442" s="3"/>
      <c r="CC442" s="25"/>
      <c r="CD442" s="25"/>
      <c r="CE442" s="25"/>
    </row>
    <row r="443" spans="2:83" s="82" customFormat="1" ht="12" customHeight="1">
      <c r="B443" s="82" t="s">
        <v>1401</v>
      </c>
      <c r="AC443" s="828"/>
      <c r="BD443" s="829"/>
      <c r="BF443" s="17"/>
      <c r="BG443" s="17"/>
      <c r="BH443" s="17"/>
      <c r="BI443" s="17"/>
      <c r="BJ443" s="17"/>
      <c r="BK443" s="17"/>
      <c r="BL443" s="17"/>
      <c r="BM443" s="3"/>
      <c r="BN443" s="3"/>
      <c r="BO443" s="3"/>
      <c r="BP443" s="3"/>
      <c r="BQ443" s="3"/>
      <c r="BR443" s="3"/>
      <c r="BS443" s="3"/>
      <c r="BT443" s="3"/>
      <c r="BU443" s="3"/>
      <c r="BV443" s="3"/>
      <c r="BW443" s="3"/>
      <c r="BX443" s="3"/>
      <c r="BY443" s="3"/>
      <c r="BZ443" s="3"/>
      <c r="CA443" s="3"/>
      <c r="CB443" s="3"/>
      <c r="CC443" s="25"/>
      <c r="CD443" s="25"/>
      <c r="CE443" s="25"/>
    </row>
    <row r="444" spans="2:83" s="82" customFormat="1" ht="12" customHeight="1">
      <c r="B444" s="82" t="s">
        <v>1330</v>
      </c>
      <c r="AC444" s="828"/>
      <c r="BD444" s="829"/>
      <c r="BF444" s="17"/>
      <c r="BG444" s="17"/>
      <c r="BH444" s="17"/>
      <c r="BI444" s="17"/>
      <c r="BJ444" s="17"/>
      <c r="BK444" s="17"/>
      <c r="BL444" s="17"/>
      <c r="BM444" s="3"/>
      <c r="BN444" s="3"/>
      <c r="BO444" s="3"/>
      <c r="BP444" s="3"/>
      <c r="BQ444" s="3"/>
      <c r="BR444" s="3"/>
      <c r="BS444" s="3"/>
      <c r="BT444" s="3"/>
      <c r="BU444" s="3"/>
      <c r="BV444" s="3"/>
      <c r="BW444" s="3"/>
      <c r="BX444" s="3"/>
      <c r="BY444" s="3"/>
      <c r="BZ444" s="3"/>
      <c r="CA444" s="3"/>
      <c r="CB444" s="3"/>
      <c r="CC444" s="25"/>
      <c r="CD444" s="25"/>
      <c r="CE444" s="25"/>
    </row>
    <row r="445" spans="2:83" s="82" customFormat="1" ht="12" customHeight="1">
      <c r="B445" s="82" t="s">
        <v>1294</v>
      </c>
      <c r="AC445" s="828"/>
      <c r="BD445" s="829"/>
      <c r="BF445" s="17"/>
      <c r="BG445" s="17"/>
      <c r="BH445" s="17"/>
      <c r="BI445" s="17"/>
      <c r="BJ445" s="17"/>
      <c r="BK445" s="17"/>
      <c r="BL445" s="17"/>
      <c r="BM445" s="3"/>
      <c r="BN445" s="3"/>
      <c r="BO445" s="3"/>
      <c r="BP445" s="3"/>
      <c r="BQ445" s="3"/>
      <c r="BR445" s="3"/>
      <c r="BS445" s="3"/>
      <c r="BT445" s="3"/>
      <c r="BU445" s="3"/>
      <c r="BV445" s="3"/>
      <c r="BW445" s="3"/>
      <c r="BX445" s="3"/>
      <c r="BY445" s="3"/>
      <c r="BZ445" s="3"/>
      <c r="CA445" s="3"/>
      <c r="CB445" s="3"/>
      <c r="CC445" s="25"/>
      <c r="CD445" s="25"/>
      <c r="CE445" s="25"/>
    </row>
    <row r="446" spans="2:83" s="82" customFormat="1" ht="12" customHeight="1">
      <c r="B446" s="82" t="s">
        <v>1295</v>
      </c>
      <c r="AC446" s="828"/>
      <c r="BD446" s="829"/>
      <c r="BF446" s="17"/>
      <c r="BG446" s="17"/>
      <c r="BH446" s="17"/>
      <c r="BI446" s="17"/>
      <c r="BJ446" s="17"/>
      <c r="BK446" s="17"/>
      <c r="BL446" s="17"/>
      <c r="BM446" s="3"/>
      <c r="BN446" s="3"/>
      <c r="BO446" s="3"/>
      <c r="BP446" s="3"/>
      <c r="BQ446" s="3"/>
      <c r="BR446" s="3"/>
      <c r="BS446" s="3"/>
      <c r="BT446" s="3"/>
      <c r="BU446" s="3"/>
      <c r="BV446" s="3"/>
      <c r="BW446" s="3"/>
      <c r="BX446" s="3"/>
      <c r="BY446" s="3"/>
      <c r="BZ446" s="3"/>
      <c r="CA446" s="3"/>
      <c r="CB446" s="3"/>
      <c r="CC446" s="25"/>
      <c r="CD446" s="25"/>
      <c r="CE446" s="25"/>
    </row>
    <row r="447" spans="2:83" s="82" customFormat="1" ht="12" customHeight="1">
      <c r="B447" s="82" t="s">
        <v>1322</v>
      </c>
      <c r="AC447" s="828"/>
      <c r="BD447" s="829"/>
      <c r="BF447" s="17"/>
      <c r="BG447" s="17"/>
      <c r="BH447" s="17"/>
      <c r="BI447" s="17"/>
      <c r="BJ447" s="17"/>
      <c r="BK447" s="17"/>
      <c r="BL447" s="17"/>
      <c r="BM447" s="3"/>
      <c r="BN447" s="3"/>
      <c r="BO447" s="3"/>
      <c r="BP447" s="3"/>
      <c r="BQ447" s="3"/>
      <c r="BR447" s="3"/>
      <c r="BS447" s="3"/>
      <c r="BT447" s="3"/>
      <c r="BU447" s="3"/>
      <c r="BV447" s="3"/>
      <c r="BW447" s="3"/>
      <c r="BX447" s="3"/>
      <c r="BY447" s="3"/>
      <c r="BZ447" s="3"/>
      <c r="CA447" s="3"/>
      <c r="CB447" s="3"/>
      <c r="CC447" s="25"/>
      <c r="CD447" s="25"/>
      <c r="CE447" s="25"/>
    </row>
    <row r="448" spans="2:83" s="82" customFormat="1" ht="12" customHeight="1">
      <c r="B448" s="82" t="s">
        <v>1331</v>
      </c>
      <c r="AC448" s="828"/>
      <c r="BD448" s="829"/>
      <c r="BF448" s="17"/>
      <c r="BG448" s="17"/>
      <c r="BH448" s="17"/>
      <c r="BI448" s="17"/>
      <c r="BJ448" s="17"/>
      <c r="BK448" s="17"/>
      <c r="BL448" s="17"/>
      <c r="BM448" s="3"/>
      <c r="BN448" s="3"/>
      <c r="BO448" s="3"/>
      <c r="BP448" s="3"/>
      <c r="BQ448" s="3"/>
      <c r="BR448" s="3"/>
      <c r="BS448" s="3"/>
      <c r="BT448" s="3"/>
      <c r="BU448" s="3"/>
      <c r="BV448" s="3"/>
      <c r="BW448" s="3"/>
      <c r="BX448" s="3"/>
      <c r="BY448" s="3"/>
      <c r="BZ448" s="3"/>
      <c r="CA448" s="3"/>
      <c r="CB448" s="3"/>
      <c r="CC448" s="25"/>
      <c r="CD448" s="25"/>
      <c r="CE448" s="25"/>
    </row>
    <row r="449" spans="2:83" s="82" customFormat="1" ht="12" customHeight="1">
      <c r="B449" s="82" t="s">
        <v>1323</v>
      </c>
      <c r="AC449" s="828"/>
      <c r="BD449" s="829"/>
      <c r="BF449" s="17"/>
      <c r="BG449" s="17"/>
      <c r="BH449" s="17"/>
      <c r="BI449" s="17"/>
      <c r="BJ449" s="17"/>
      <c r="BK449" s="17"/>
      <c r="BL449" s="17"/>
      <c r="BM449" s="3"/>
      <c r="BN449" s="3"/>
      <c r="BO449" s="3"/>
      <c r="BP449" s="3"/>
      <c r="BQ449" s="3"/>
      <c r="BR449" s="3"/>
      <c r="BS449" s="3"/>
      <c r="BT449" s="3"/>
      <c r="BU449" s="3"/>
      <c r="BV449" s="3"/>
      <c r="BW449" s="3"/>
      <c r="BX449" s="3"/>
      <c r="BY449" s="3"/>
      <c r="BZ449" s="3"/>
      <c r="CA449" s="3"/>
      <c r="CB449" s="3"/>
      <c r="CC449" s="25"/>
      <c r="CD449" s="25"/>
      <c r="CE449" s="25"/>
    </row>
    <row r="450" spans="2:83" s="82" customFormat="1" ht="12" customHeight="1">
      <c r="AC450" s="828"/>
      <c r="BD450" s="829"/>
      <c r="BF450" s="17"/>
      <c r="BG450" s="17"/>
      <c r="BH450" s="17"/>
      <c r="BI450" s="17"/>
      <c r="BJ450" s="17"/>
      <c r="BK450" s="17"/>
      <c r="BL450" s="17"/>
      <c r="BM450" s="3"/>
      <c r="BN450" s="3"/>
      <c r="BO450" s="3"/>
      <c r="BP450" s="3"/>
      <c r="BQ450" s="3"/>
      <c r="BR450" s="3"/>
      <c r="BS450" s="3"/>
      <c r="BT450" s="3"/>
      <c r="BU450" s="3"/>
      <c r="BV450" s="3"/>
      <c r="BW450" s="3"/>
      <c r="BX450" s="3"/>
      <c r="BY450" s="3"/>
      <c r="BZ450" s="3"/>
      <c r="CA450" s="3"/>
      <c r="CB450" s="3"/>
      <c r="CC450" s="25"/>
      <c r="CD450" s="25"/>
      <c r="CE450" s="25"/>
    </row>
    <row r="451" spans="2:83" s="82" customFormat="1" ht="12" customHeight="1">
      <c r="B451" s="82" t="s">
        <v>1296</v>
      </c>
      <c r="AC451" s="828"/>
      <c r="BD451" s="829"/>
      <c r="BF451" s="17"/>
      <c r="BG451" s="17"/>
      <c r="BH451" s="17"/>
      <c r="BI451" s="17"/>
      <c r="BJ451" s="17"/>
      <c r="BK451" s="17"/>
      <c r="BL451" s="17"/>
      <c r="BM451" s="3"/>
      <c r="BN451" s="3"/>
      <c r="BO451" s="3"/>
      <c r="BP451" s="3"/>
      <c r="BQ451" s="3"/>
      <c r="BR451" s="3"/>
      <c r="BS451" s="3"/>
      <c r="BT451" s="3"/>
      <c r="BU451" s="3"/>
      <c r="BV451" s="3"/>
      <c r="BW451" s="3"/>
      <c r="BX451" s="3"/>
      <c r="BY451" s="3"/>
      <c r="BZ451" s="3"/>
      <c r="CA451" s="3"/>
      <c r="CB451" s="3"/>
      <c r="CC451" s="25"/>
      <c r="CD451" s="25"/>
      <c r="CE451" s="25"/>
    </row>
    <row r="452" spans="2:83" s="82" customFormat="1" ht="12" customHeight="1">
      <c r="B452" s="82" t="s">
        <v>1402</v>
      </c>
      <c r="AC452" s="828"/>
      <c r="BD452" s="829"/>
      <c r="BF452" s="17"/>
      <c r="BG452" s="17"/>
      <c r="BH452" s="17"/>
      <c r="BI452" s="17"/>
      <c r="BJ452" s="17"/>
      <c r="BK452" s="17"/>
      <c r="BL452" s="17"/>
      <c r="BM452" s="3"/>
      <c r="BN452" s="3"/>
      <c r="BO452" s="3"/>
      <c r="BP452" s="3"/>
      <c r="BQ452" s="3"/>
      <c r="BR452" s="3"/>
      <c r="BS452" s="3"/>
      <c r="BT452" s="3"/>
      <c r="BU452" s="3"/>
      <c r="BV452" s="3"/>
      <c r="BW452" s="3"/>
      <c r="BX452" s="3"/>
      <c r="BY452" s="3"/>
      <c r="BZ452" s="3"/>
      <c r="CA452" s="3"/>
      <c r="CB452" s="3"/>
      <c r="CC452" s="25"/>
      <c r="CD452" s="25"/>
      <c r="CE452" s="25"/>
    </row>
    <row r="453" spans="2:83" s="82" customFormat="1" ht="12" customHeight="1">
      <c r="B453" s="82" t="s">
        <v>1332</v>
      </c>
      <c r="AC453" s="828"/>
      <c r="BD453" s="829"/>
      <c r="BF453" s="17"/>
      <c r="BG453" s="17"/>
      <c r="BH453" s="17"/>
      <c r="BI453" s="17"/>
      <c r="BJ453" s="17"/>
      <c r="BK453" s="17"/>
      <c r="BL453" s="17"/>
      <c r="BM453" s="3"/>
      <c r="BN453" s="3"/>
      <c r="BO453" s="3"/>
      <c r="BP453" s="3"/>
      <c r="BQ453" s="3"/>
      <c r="BR453" s="3"/>
      <c r="BS453" s="3"/>
      <c r="BT453" s="3"/>
      <c r="BU453" s="3"/>
      <c r="BV453" s="3"/>
      <c r="BW453" s="3"/>
      <c r="BX453" s="3"/>
      <c r="BY453" s="3"/>
      <c r="BZ453" s="3"/>
      <c r="CA453" s="3"/>
      <c r="CB453" s="3"/>
      <c r="CC453" s="25"/>
      <c r="CD453" s="25"/>
      <c r="CE453" s="25"/>
    </row>
    <row r="454" spans="2:83" s="82" customFormat="1" ht="12" customHeight="1">
      <c r="AC454" s="828"/>
      <c r="BD454" s="829"/>
      <c r="BF454" s="17"/>
      <c r="BG454" s="17"/>
      <c r="BH454" s="17"/>
      <c r="BI454" s="17"/>
      <c r="BJ454" s="17"/>
      <c r="BK454" s="17"/>
      <c r="BL454" s="17"/>
      <c r="BM454" s="3"/>
      <c r="BN454" s="3"/>
      <c r="BO454" s="3"/>
      <c r="BP454" s="3"/>
      <c r="BQ454" s="3"/>
      <c r="BR454" s="3"/>
      <c r="BS454" s="3"/>
      <c r="BT454" s="3"/>
      <c r="BU454" s="3"/>
      <c r="BV454" s="3"/>
      <c r="BW454" s="3"/>
      <c r="BX454" s="3"/>
      <c r="BY454" s="3"/>
      <c r="BZ454" s="3"/>
      <c r="CA454" s="3"/>
      <c r="CB454" s="3"/>
      <c r="CC454" s="25"/>
      <c r="CD454" s="25"/>
      <c r="CE454" s="25"/>
    </row>
    <row r="455" spans="2:83" s="82" customFormat="1" ht="12" customHeight="1">
      <c r="B455" s="82" t="s">
        <v>1333</v>
      </c>
      <c r="AC455" s="828"/>
      <c r="BD455" s="829"/>
      <c r="BF455" s="17"/>
      <c r="BG455" s="17"/>
      <c r="BH455" s="17"/>
      <c r="BI455" s="17"/>
      <c r="BJ455" s="17"/>
      <c r="BK455" s="17"/>
      <c r="BL455" s="17"/>
      <c r="BM455" s="3"/>
      <c r="BN455" s="3"/>
      <c r="BO455" s="3"/>
      <c r="BP455" s="3"/>
      <c r="BQ455" s="3"/>
      <c r="BR455" s="3"/>
      <c r="BS455" s="3"/>
      <c r="BT455" s="3"/>
      <c r="BU455" s="3"/>
      <c r="BV455" s="3"/>
      <c r="BW455" s="3"/>
      <c r="BX455" s="3"/>
      <c r="BY455" s="3"/>
      <c r="BZ455" s="3"/>
      <c r="CA455" s="3"/>
      <c r="CB455" s="3"/>
      <c r="CC455" s="25"/>
      <c r="CD455" s="25"/>
      <c r="CE455" s="25"/>
    </row>
    <row r="456" spans="2:83" s="82" customFormat="1" ht="12" customHeight="1">
      <c r="B456" s="82" t="s">
        <v>1403</v>
      </c>
      <c r="AC456" s="828"/>
      <c r="BD456" s="829"/>
      <c r="BF456" s="17"/>
      <c r="BG456" s="17"/>
      <c r="BH456" s="17"/>
      <c r="BI456" s="17"/>
      <c r="BJ456" s="17"/>
      <c r="BK456" s="17"/>
      <c r="BL456" s="17"/>
      <c r="BM456" s="3"/>
      <c r="BN456" s="3"/>
      <c r="BO456" s="3"/>
      <c r="BP456" s="3"/>
      <c r="BQ456" s="3"/>
      <c r="BR456" s="3"/>
      <c r="BS456" s="3"/>
      <c r="BT456" s="3"/>
      <c r="BU456" s="3"/>
      <c r="BV456" s="3"/>
      <c r="BW456" s="3"/>
      <c r="BX456" s="3"/>
      <c r="BY456" s="3"/>
      <c r="BZ456" s="3"/>
      <c r="CA456" s="3"/>
      <c r="CB456" s="3"/>
      <c r="CC456" s="25"/>
      <c r="CD456" s="25"/>
      <c r="CE456" s="25"/>
    </row>
    <row r="457" spans="2:83" s="82" customFormat="1" ht="12" customHeight="1">
      <c r="AC457" s="828"/>
      <c r="BD457" s="829"/>
      <c r="BF457" s="17"/>
      <c r="BG457" s="17"/>
      <c r="BH457" s="17"/>
      <c r="BI457" s="17"/>
      <c r="BJ457" s="17"/>
      <c r="BK457" s="17"/>
      <c r="BL457" s="17"/>
      <c r="BM457" s="3"/>
      <c r="BN457" s="3"/>
      <c r="BO457" s="3"/>
      <c r="BP457" s="3"/>
      <c r="BQ457" s="3"/>
      <c r="BR457" s="3"/>
      <c r="BS457" s="3"/>
      <c r="BT457" s="3"/>
      <c r="BU457" s="3"/>
      <c r="BV457" s="3"/>
      <c r="BW457" s="3"/>
      <c r="BX457" s="3"/>
      <c r="BY457" s="3"/>
      <c r="BZ457" s="3"/>
      <c r="CA457" s="3"/>
      <c r="CB457" s="3"/>
      <c r="CC457" s="25"/>
      <c r="CD457" s="25"/>
      <c r="CE457" s="25"/>
    </row>
    <row r="458" spans="2:83" s="82" customFormat="1" ht="13.5" customHeight="1">
      <c r="B458" s="274" t="s">
        <v>1375</v>
      </c>
      <c r="AC458" s="827">
        <v>292</v>
      </c>
      <c r="AE458" s="2754"/>
      <c r="AF458" s="2730"/>
      <c r="AG458" s="2730"/>
      <c r="AH458" s="2730"/>
      <c r="AI458" s="2730"/>
      <c r="AJ458" s="2730"/>
      <c r="AK458" s="2730"/>
      <c r="AL458" s="2730"/>
      <c r="AM458" s="2730"/>
      <c r="AN458" s="2730"/>
      <c r="AO458" s="2730"/>
      <c r="AP458" s="2730"/>
      <c r="AQ458" s="2730"/>
      <c r="AR458" s="2730"/>
      <c r="AS458" s="2730"/>
      <c r="AT458" s="2730"/>
      <c r="AU458" s="2730"/>
      <c r="AV458" s="2731"/>
      <c r="BD458" s="829"/>
      <c r="BF458" s="17"/>
      <c r="BG458" s="17"/>
      <c r="BH458" s="17"/>
      <c r="BI458" s="17"/>
      <c r="BJ458" s="17"/>
      <c r="BK458" s="17"/>
      <c r="BL458" s="17"/>
      <c r="BM458" s="3"/>
      <c r="BN458" s="3"/>
      <c r="BO458" s="3"/>
      <c r="BP458" s="3"/>
      <c r="BQ458" s="3"/>
      <c r="BR458" s="3"/>
      <c r="BS458" s="3"/>
      <c r="BT458" s="3"/>
      <c r="BU458" s="3"/>
      <c r="BV458" s="3"/>
      <c r="BW458" s="3"/>
      <c r="BX458" s="3"/>
      <c r="BY458" s="3"/>
      <c r="BZ458" s="3"/>
      <c r="CA458" s="3"/>
      <c r="CB458" s="3"/>
      <c r="CC458" s="25"/>
      <c r="CD458" s="25"/>
      <c r="CE458" s="25"/>
    </row>
    <row r="459" spans="2:83" s="82" customFormat="1" ht="12" customHeight="1">
      <c r="B459" s="82" t="s">
        <v>1378</v>
      </c>
      <c r="AC459" s="828"/>
      <c r="AE459" s="2754"/>
      <c r="AF459" s="241"/>
      <c r="AG459" s="241"/>
      <c r="AH459" s="241"/>
      <c r="AI459" s="241"/>
      <c r="AJ459" s="241"/>
      <c r="AK459" s="241"/>
      <c r="AL459" s="241"/>
      <c r="AM459" s="241"/>
      <c r="AN459" s="241"/>
      <c r="AO459" s="241"/>
      <c r="AP459" s="2732" t="s">
        <v>1377</v>
      </c>
      <c r="AQ459" s="2728">
        <v>1</v>
      </c>
      <c r="AR459" s="2728">
        <v>2</v>
      </c>
      <c r="AS459" s="2728">
        <v>3</v>
      </c>
      <c r="AT459" s="2728">
        <v>4</v>
      </c>
      <c r="AU459" s="2728">
        <v>5</v>
      </c>
      <c r="AV459" s="2733"/>
      <c r="BD459" s="829"/>
      <c r="BF459" s="17"/>
      <c r="BG459" s="17"/>
      <c r="BH459" s="17"/>
      <c r="BI459" s="17"/>
      <c r="BJ459" s="17"/>
      <c r="BK459" s="17"/>
      <c r="BL459" s="17"/>
      <c r="BM459" s="3"/>
      <c r="BN459" s="3"/>
      <c r="BO459" s="3"/>
      <c r="BP459" s="3"/>
      <c r="BQ459" s="3"/>
      <c r="BR459" s="3"/>
      <c r="BS459" s="3"/>
      <c r="BT459" s="3"/>
      <c r="BU459" s="3"/>
      <c r="BV459" s="3"/>
      <c r="BW459" s="3"/>
      <c r="BX459" s="3"/>
      <c r="BY459" s="3"/>
      <c r="BZ459" s="3"/>
      <c r="CA459" s="3"/>
      <c r="CB459" s="3"/>
      <c r="CC459" s="25"/>
      <c r="CD459" s="25"/>
      <c r="CE459" s="25"/>
    </row>
    <row r="460" spans="2:83" s="82" customFormat="1" ht="12" customHeight="1">
      <c r="B460" s="82" t="s">
        <v>1404</v>
      </c>
      <c r="AC460" s="828"/>
      <c r="AE460" s="2754"/>
      <c r="AF460" s="241"/>
      <c r="AG460" s="241"/>
      <c r="AH460" s="241"/>
      <c r="AI460" s="241"/>
      <c r="AJ460" s="241"/>
      <c r="AK460" s="241"/>
      <c r="AL460" s="241"/>
      <c r="AM460" s="241"/>
      <c r="AN460" s="241"/>
      <c r="AO460" s="2732" t="s">
        <v>1382</v>
      </c>
      <c r="AP460" s="241"/>
      <c r="AQ460" s="2734">
        <v>100</v>
      </c>
      <c r="AR460" s="292"/>
      <c r="AS460" s="292"/>
      <c r="AT460" s="292"/>
      <c r="AU460" s="292"/>
      <c r="AV460" s="2733"/>
      <c r="BD460" s="829"/>
      <c r="BF460" s="17"/>
      <c r="BG460" s="17"/>
      <c r="BH460" s="17"/>
      <c r="BI460" s="17"/>
      <c r="BJ460" s="17"/>
      <c r="BK460" s="17"/>
      <c r="BL460" s="17"/>
      <c r="BM460" s="3"/>
      <c r="BN460" s="3"/>
      <c r="BO460" s="3"/>
      <c r="BP460" s="3"/>
      <c r="BQ460" s="3"/>
      <c r="BR460" s="3"/>
      <c r="BS460" s="3"/>
      <c r="BT460" s="3"/>
      <c r="BU460" s="3"/>
      <c r="BV460" s="3"/>
      <c r="BW460" s="3"/>
      <c r="BX460" s="3"/>
      <c r="BY460" s="3"/>
      <c r="BZ460" s="3"/>
      <c r="CA460" s="3"/>
      <c r="CB460" s="3"/>
      <c r="CC460" s="25"/>
      <c r="CD460" s="25"/>
      <c r="CE460" s="25"/>
    </row>
    <row r="461" spans="2:83" s="82" customFormat="1" ht="12" customHeight="1">
      <c r="B461" s="82" t="s">
        <v>1405</v>
      </c>
      <c r="AC461" s="828"/>
      <c r="AE461" s="2754"/>
      <c r="AF461" s="241"/>
      <c r="AG461" s="241"/>
      <c r="AH461" s="241"/>
      <c r="AI461" s="241"/>
      <c r="AJ461" s="241"/>
      <c r="AK461" s="241"/>
      <c r="AL461" s="241"/>
      <c r="AM461" s="241"/>
      <c r="AN461" s="241"/>
      <c r="AO461" s="2732" t="s">
        <v>1380</v>
      </c>
      <c r="AP461" s="241"/>
      <c r="AQ461" s="292">
        <v>20</v>
      </c>
      <c r="AR461" s="292">
        <v>20</v>
      </c>
      <c r="AS461" s="292">
        <v>20</v>
      </c>
      <c r="AT461" s="292">
        <v>20</v>
      </c>
      <c r="AU461" s="292">
        <v>20</v>
      </c>
      <c r="AV461" s="2733"/>
      <c r="BD461" s="829"/>
      <c r="BF461" s="17"/>
      <c r="BG461" s="17"/>
      <c r="BH461" s="17"/>
      <c r="BI461" s="17"/>
      <c r="BJ461" s="17"/>
      <c r="BK461" s="17"/>
      <c r="BL461" s="17"/>
      <c r="BM461" s="3"/>
      <c r="BN461" s="3"/>
      <c r="BO461" s="3"/>
      <c r="BP461" s="3"/>
      <c r="BQ461" s="3"/>
      <c r="BR461" s="3"/>
      <c r="BS461" s="3"/>
      <c r="BT461" s="3"/>
      <c r="BU461" s="3"/>
      <c r="BV461" s="3"/>
      <c r="BW461" s="3"/>
      <c r="BX461" s="3"/>
      <c r="BY461" s="3"/>
      <c r="BZ461" s="3"/>
      <c r="CA461" s="3"/>
      <c r="CB461" s="3"/>
      <c r="CC461" s="25"/>
      <c r="CD461" s="25"/>
      <c r="CE461" s="25"/>
    </row>
    <row r="462" spans="2:83" s="82" customFormat="1" ht="12" customHeight="1">
      <c r="B462" s="82" t="s">
        <v>1406</v>
      </c>
      <c r="AC462" s="828"/>
      <c r="AE462" s="2754"/>
      <c r="AF462" s="241"/>
      <c r="AG462" s="241"/>
      <c r="AH462" s="241"/>
      <c r="AI462" s="241"/>
      <c r="AJ462" s="241"/>
      <c r="AK462" s="241"/>
      <c r="AL462" s="241"/>
      <c r="AM462" s="241"/>
      <c r="AN462" s="241"/>
      <c r="AO462" s="2732" t="s">
        <v>1381</v>
      </c>
      <c r="AP462" s="241"/>
      <c r="AQ462" s="292">
        <f>$AQ460*0.2</f>
        <v>20</v>
      </c>
      <c r="AR462" s="292">
        <f>$AQ460*0.2</f>
        <v>20</v>
      </c>
      <c r="AS462" s="292">
        <f>$AQ460*0.2</f>
        <v>20</v>
      </c>
      <c r="AT462" s="292">
        <f>$AQ460*0.2</f>
        <v>20</v>
      </c>
      <c r="AU462" s="292">
        <f>$AQ460*0.2</f>
        <v>20</v>
      </c>
      <c r="AV462" s="2733"/>
      <c r="BD462" s="829"/>
      <c r="BF462" s="17"/>
      <c r="BG462" s="17"/>
      <c r="BH462" s="17"/>
      <c r="BI462" s="17"/>
      <c r="BJ462" s="17"/>
      <c r="BK462" s="17"/>
      <c r="BL462" s="17"/>
      <c r="BM462" s="3"/>
      <c r="BN462" s="3"/>
      <c r="BO462" s="3"/>
      <c r="BP462" s="3"/>
      <c r="BQ462" s="3"/>
      <c r="BR462" s="3"/>
      <c r="BS462" s="3"/>
      <c r="BT462" s="3"/>
      <c r="BU462" s="3"/>
      <c r="BV462" s="3"/>
      <c r="BW462" s="3"/>
      <c r="BX462" s="3"/>
      <c r="BY462" s="3"/>
      <c r="BZ462" s="3"/>
      <c r="CA462" s="3"/>
      <c r="CB462" s="3"/>
      <c r="CC462" s="25"/>
      <c r="CD462" s="25"/>
      <c r="CE462" s="25"/>
    </row>
    <row r="463" spans="2:83" s="82" customFormat="1" ht="12" customHeight="1">
      <c r="B463" s="82" t="s">
        <v>1407</v>
      </c>
      <c r="AC463" s="828"/>
      <c r="AE463" s="2754"/>
      <c r="AF463" s="241"/>
      <c r="AG463" s="241"/>
      <c r="AH463" s="241"/>
      <c r="AI463" s="241"/>
      <c r="AJ463" s="241"/>
      <c r="AK463" s="241"/>
      <c r="AL463" s="241"/>
      <c r="AM463" s="241"/>
      <c r="AN463" s="241"/>
      <c r="AO463" s="241"/>
      <c r="AP463" s="241"/>
      <c r="AQ463" s="241"/>
      <c r="AR463" s="241"/>
      <c r="AS463" s="241"/>
      <c r="AT463" s="241"/>
      <c r="AU463" s="241"/>
      <c r="AV463" s="2733"/>
      <c r="BD463" s="829"/>
      <c r="BF463" s="17"/>
      <c r="BG463" s="17"/>
      <c r="BH463" s="17"/>
      <c r="BI463" s="17"/>
      <c r="BJ463" s="17"/>
      <c r="BK463" s="17"/>
      <c r="BL463" s="17"/>
      <c r="BM463" s="3"/>
      <c r="BN463" s="3"/>
      <c r="BO463" s="3"/>
      <c r="BP463" s="3"/>
      <c r="BQ463" s="3"/>
      <c r="BR463" s="3"/>
      <c r="BS463" s="3"/>
      <c r="BT463" s="3"/>
      <c r="BU463" s="3"/>
      <c r="BV463" s="3"/>
      <c r="BW463" s="3"/>
      <c r="BX463" s="3"/>
      <c r="BY463" s="3"/>
      <c r="BZ463" s="3"/>
      <c r="CA463" s="3"/>
      <c r="CB463" s="3"/>
      <c r="CC463" s="25"/>
      <c r="CD463" s="25"/>
      <c r="CE463" s="25"/>
    </row>
    <row r="464" spans="2:83" s="82" customFormat="1" ht="12" customHeight="1">
      <c r="B464" s="82" t="s">
        <v>1409</v>
      </c>
      <c r="AC464" s="828"/>
      <c r="AE464" s="2754"/>
      <c r="AF464" s="241"/>
      <c r="AG464" s="241"/>
      <c r="AH464" s="241"/>
      <c r="AI464" s="241"/>
      <c r="AJ464" s="241"/>
      <c r="AK464" s="241"/>
      <c r="AL464" s="241"/>
      <c r="AM464" s="241"/>
      <c r="AN464" s="241"/>
      <c r="AO464" s="2732" t="s">
        <v>1472</v>
      </c>
      <c r="AP464" s="241"/>
      <c r="AQ464" s="2751" t="s">
        <v>1473</v>
      </c>
      <c r="AR464" s="2751" t="s">
        <v>1474</v>
      </c>
      <c r="AS464" s="2751" t="s">
        <v>1475</v>
      </c>
      <c r="AT464" s="2751" t="s">
        <v>1476</v>
      </c>
      <c r="AU464" s="2751" t="s">
        <v>1477</v>
      </c>
      <c r="AV464" s="2752"/>
      <c r="AW464" s="389"/>
      <c r="AX464" s="389"/>
      <c r="AY464" s="389"/>
      <c r="AZ464" s="389"/>
      <c r="BA464" s="389"/>
      <c r="BB464" s="389"/>
      <c r="BD464" s="829"/>
      <c r="BF464" s="17"/>
      <c r="BG464" s="17"/>
      <c r="BH464" s="17"/>
      <c r="BI464" s="17"/>
      <c r="BJ464" s="17"/>
      <c r="BK464" s="17"/>
      <c r="BL464" s="17"/>
      <c r="BM464" s="3"/>
      <c r="BN464" s="3"/>
      <c r="BO464" s="3"/>
      <c r="BP464" s="3"/>
      <c r="BQ464" s="3"/>
      <c r="BR464" s="3"/>
      <c r="BS464" s="3"/>
      <c r="BT464" s="3"/>
      <c r="BU464" s="3"/>
      <c r="BV464" s="3"/>
      <c r="BW464" s="3"/>
      <c r="BX464" s="3"/>
      <c r="BY464" s="3"/>
      <c r="BZ464" s="3"/>
      <c r="CA464" s="3"/>
      <c r="CB464" s="3"/>
      <c r="CC464" s="25"/>
      <c r="CD464" s="25"/>
      <c r="CE464" s="25"/>
    </row>
    <row r="465" spans="1:83" s="82" customFormat="1" ht="12" customHeight="1">
      <c r="B465" s="82" t="s">
        <v>1410</v>
      </c>
      <c r="AC465" s="828"/>
      <c r="AE465" s="2754"/>
      <c r="AF465" s="241"/>
      <c r="AG465" s="241"/>
      <c r="AH465" s="241"/>
      <c r="AI465" s="241"/>
      <c r="AJ465" s="241"/>
      <c r="AK465" s="241"/>
      <c r="AL465" s="241"/>
      <c r="AM465" s="241"/>
      <c r="AN465" s="241"/>
      <c r="AO465" s="2732" t="s">
        <v>1478</v>
      </c>
      <c r="AP465" s="241"/>
      <c r="AQ465" s="2755">
        <v>100</v>
      </c>
      <c r="AR465" s="2755">
        <v>80</v>
      </c>
      <c r="AS465" s="2755">
        <f>AR469</f>
        <v>60</v>
      </c>
      <c r="AT465" s="2755">
        <f>AS469</f>
        <v>40</v>
      </c>
      <c r="AU465" s="2755">
        <f>AT469</f>
        <v>20</v>
      </c>
      <c r="AV465" s="2752"/>
      <c r="AW465" s="389"/>
      <c r="AX465" s="389"/>
      <c r="AY465" s="389"/>
      <c r="AZ465" s="389"/>
      <c r="BA465" s="389"/>
      <c r="BB465" s="389"/>
      <c r="BD465" s="829"/>
      <c r="BF465" s="17"/>
      <c r="BG465" s="17"/>
      <c r="BH465" s="17"/>
      <c r="BI465" s="17"/>
      <c r="BJ465" s="17"/>
      <c r="BK465" s="17"/>
      <c r="BL465" s="17"/>
      <c r="BM465" s="3"/>
      <c r="BN465" s="3"/>
      <c r="BO465" s="3"/>
      <c r="BP465" s="3"/>
      <c r="BQ465" s="3"/>
      <c r="BR465" s="3"/>
      <c r="BS465" s="3"/>
      <c r="BT465" s="3"/>
      <c r="BU465" s="3"/>
      <c r="BV465" s="3"/>
      <c r="BW465" s="3"/>
      <c r="BX465" s="3"/>
      <c r="BY465" s="3"/>
      <c r="BZ465" s="3"/>
      <c r="CA465" s="3"/>
      <c r="CB465" s="3"/>
      <c r="CC465" s="25"/>
      <c r="CD465" s="25"/>
      <c r="CE465" s="25"/>
    </row>
    <row r="466" spans="1:83" s="82" customFormat="1" ht="12" customHeight="1">
      <c r="B466" s="82" t="s">
        <v>1411</v>
      </c>
      <c r="AC466" s="828"/>
      <c r="AE466" s="2754"/>
      <c r="AF466" s="241"/>
      <c r="AG466" s="241"/>
      <c r="AH466" s="2756"/>
      <c r="AI466" s="2756"/>
      <c r="AJ466" s="2756"/>
      <c r="AK466" s="2756"/>
      <c r="AL466" s="2756"/>
      <c r="AM466" s="2756"/>
      <c r="AN466" s="2756"/>
      <c r="AO466" s="2759" t="s">
        <v>1379</v>
      </c>
      <c r="AP466" s="2756"/>
      <c r="AQ466" s="2757">
        <v>20</v>
      </c>
      <c r="AR466" s="2758">
        <f>AR467/AR465*100</f>
        <v>25</v>
      </c>
      <c r="AS466" s="2758">
        <f>AS467/AS465*100</f>
        <v>33.333333333333329</v>
      </c>
      <c r="AT466" s="2758">
        <f t="shared" ref="AT466:AU466" si="0">AT467/AT465*100</f>
        <v>50</v>
      </c>
      <c r="AU466" s="2758">
        <f t="shared" si="0"/>
        <v>100</v>
      </c>
      <c r="AV466" s="2752"/>
      <c r="AW466" s="389"/>
      <c r="AX466" s="389"/>
      <c r="AY466" s="389"/>
      <c r="AZ466" s="389"/>
      <c r="BA466" s="389"/>
      <c r="BB466" s="389"/>
      <c r="BD466" s="829"/>
      <c r="BF466" s="17"/>
      <c r="BG466" s="17"/>
      <c r="BH466" s="17"/>
      <c r="BI466" s="17"/>
      <c r="BJ466" s="17"/>
      <c r="BK466" s="17"/>
      <c r="BL466" s="17"/>
      <c r="BM466" s="3"/>
      <c r="BN466" s="3"/>
      <c r="BO466" s="3"/>
      <c r="BP466" s="3"/>
      <c r="BQ466" s="3"/>
      <c r="BR466" s="3"/>
      <c r="BS466" s="3"/>
      <c r="BT466" s="3"/>
      <c r="BU466" s="3"/>
      <c r="BV466" s="3"/>
      <c r="BW466" s="3"/>
      <c r="BX466" s="3"/>
      <c r="BY466" s="3"/>
      <c r="BZ466" s="3"/>
      <c r="CA466" s="3"/>
      <c r="CB466" s="3"/>
      <c r="CC466" s="25"/>
      <c r="CD466" s="25"/>
      <c r="CE466" s="25"/>
    </row>
    <row r="467" spans="1:83" s="82" customFormat="1" ht="12" customHeight="1">
      <c r="B467" s="82" t="s">
        <v>1412</v>
      </c>
      <c r="AC467" s="828"/>
      <c r="AE467" s="2754"/>
      <c r="AF467" s="241"/>
      <c r="AG467" s="241"/>
      <c r="AH467" s="241"/>
      <c r="AI467" s="241"/>
      <c r="AJ467" s="241"/>
      <c r="AK467" s="241"/>
      <c r="AL467" s="241"/>
      <c r="AM467" s="241"/>
      <c r="AN467" s="241"/>
      <c r="AO467" s="2732" t="s">
        <v>1381</v>
      </c>
      <c r="AP467" s="241"/>
      <c r="AQ467" s="2755">
        <v>20</v>
      </c>
      <c r="AR467" s="2755">
        <f>AR465*0.25</f>
        <v>20</v>
      </c>
      <c r="AS467" s="2755">
        <v>20</v>
      </c>
      <c r="AT467" s="2755">
        <v>20</v>
      </c>
      <c r="AU467" s="2755">
        <v>20</v>
      </c>
      <c r="AV467" s="2753"/>
      <c r="AW467" s="389"/>
      <c r="AX467" s="389"/>
      <c r="AY467" s="389"/>
      <c r="AZ467" s="389"/>
      <c r="BA467" s="389"/>
      <c r="BB467" s="389"/>
      <c r="BD467" s="829"/>
      <c r="BF467" s="17"/>
      <c r="BG467" s="17"/>
      <c r="BH467" s="17"/>
      <c r="BI467" s="17"/>
      <c r="BJ467" s="17"/>
      <c r="BK467" s="17"/>
      <c r="BL467" s="17"/>
      <c r="BM467" s="3"/>
      <c r="BN467" s="3"/>
      <c r="BO467" s="3"/>
      <c r="BP467" s="3"/>
      <c r="BQ467" s="3"/>
      <c r="BR467" s="3"/>
      <c r="BS467" s="3"/>
      <c r="BT467" s="3"/>
      <c r="BU467" s="3"/>
      <c r="BV467" s="3"/>
      <c r="BW467" s="3"/>
      <c r="BX467" s="3"/>
      <c r="BY467" s="3"/>
      <c r="BZ467" s="3"/>
      <c r="CA467" s="3"/>
      <c r="CB467" s="3"/>
      <c r="CC467" s="25"/>
      <c r="CD467" s="25"/>
      <c r="CE467" s="25"/>
    </row>
    <row r="468" spans="1:83" s="82" customFormat="1" ht="12" customHeight="1">
      <c r="B468" s="82" t="s">
        <v>1408</v>
      </c>
      <c r="AC468" s="828"/>
      <c r="AE468" s="2754"/>
      <c r="AF468" s="241"/>
      <c r="AG468" s="241"/>
      <c r="AH468" s="241"/>
      <c r="AI468" s="241"/>
      <c r="AJ468" s="241"/>
      <c r="AK468" s="241"/>
      <c r="AL468" s="241"/>
      <c r="AM468" s="241"/>
      <c r="AN468" s="241"/>
      <c r="AO468" s="2732" t="s">
        <v>1479</v>
      </c>
      <c r="AP468" s="241"/>
      <c r="AQ468" s="2755">
        <v>1.7</v>
      </c>
      <c r="AR468" s="2755">
        <v>1.7</v>
      </c>
      <c r="AS468" s="2755">
        <v>1.7</v>
      </c>
      <c r="AT468" s="2755">
        <v>1.7</v>
      </c>
      <c r="AU468" s="2755">
        <v>1.7</v>
      </c>
      <c r="AV468" s="2733"/>
      <c r="AW468" s="389"/>
      <c r="AX468" s="389"/>
      <c r="AY468" s="389"/>
      <c r="AZ468" s="389"/>
      <c r="BA468" s="389"/>
      <c r="BB468" s="389"/>
      <c r="BD468" s="829"/>
      <c r="BF468" s="17"/>
      <c r="BG468" s="17"/>
      <c r="BH468" s="17"/>
      <c r="BI468" s="17"/>
      <c r="BJ468" s="17"/>
      <c r="BK468" s="17"/>
      <c r="BL468" s="17"/>
      <c r="BM468" s="3"/>
      <c r="BN468" s="3"/>
      <c r="BO468" s="3"/>
      <c r="BP468" s="3"/>
      <c r="BQ468" s="3"/>
      <c r="BR468" s="3"/>
      <c r="BS468" s="3"/>
      <c r="BT468" s="3"/>
      <c r="BU468" s="3"/>
      <c r="BV468" s="3"/>
      <c r="BW468" s="3"/>
      <c r="BX468" s="3"/>
      <c r="BY468" s="3"/>
      <c r="BZ468" s="3"/>
      <c r="CA468" s="3"/>
      <c r="CB468" s="3"/>
      <c r="CC468" s="25"/>
      <c r="CD468" s="25"/>
      <c r="CE468" s="25"/>
    </row>
    <row r="469" spans="1:83" s="82" customFormat="1" ht="12" customHeight="1">
      <c r="AC469" s="828"/>
      <c r="AE469" s="2754"/>
      <c r="AF469" s="241"/>
      <c r="AG469" s="241"/>
      <c r="AH469" s="241"/>
      <c r="AI469" s="241"/>
      <c r="AJ469" s="241"/>
      <c r="AK469" s="241"/>
      <c r="AL469" s="241"/>
      <c r="AM469" s="241"/>
      <c r="AN469" s="241"/>
      <c r="AO469" s="2732" t="s">
        <v>1376</v>
      </c>
      <c r="AP469" s="241"/>
      <c r="AQ469" s="2755">
        <v>80</v>
      </c>
      <c r="AR469" s="2755">
        <f>AR465-AR467</f>
        <v>60</v>
      </c>
      <c r="AS469" s="2755">
        <f>AS465-AS467</f>
        <v>40</v>
      </c>
      <c r="AT469" s="2755">
        <f>AT465-AT467</f>
        <v>20</v>
      </c>
      <c r="AU469" s="2755">
        <v>1E-3</v>
      </c>
      <c r="AV469" s="2753"/>
      <c r="AW469" s="389"/>
      <c r="AX469" s="389"/>
      <c r="AY469" s="389"/>
      <c r="AZ469" s="389"/>
      <c r="BA469" s="389"/>
      <c r="BB469" s="389"/>
      <c r="BD469" s="829"/>
      <c r="BF469" s="17"/>
      <c r="BG469" s="17"/>
      <c r="BH469" s="17"/>
      <c r="BI469" s="17"/>
      <c r="BJ469" s="17"/>
      <c r="BK469" s="17"/>
      <c r="BL469" s="17"/>
      <c r="BM469" s="3"/>
      <c r="BN469" s="3"/>
      <c r="BO469" s="3"/>
      <c r="BP469" s="3"/>
      <c r="BQ469" s="3"/>
      <c r="BR469" s="3"/>
      <c r="BS469" s="3"/>
      <c r="BT469" s="3"/>
      <c r="BU469" s="3"/>
      <c r="BV469" s="3"/>
      <c r="BW469" s="3"/>
      <c r="BX469" s="3"/>
      <c r="BY469" s="3"/>
      <c r="BZ469" s="3"/>
      <c r="CA469" s="3"/>
      <c r="CB469" s="3"/>
      <c r="CC469" s="25"/>
      <c r="CD469" s="25"/>
      <c r="CE469" s="25"/>
    </row>
    <row r="470" spans="1:83" s="82" customFormat="1" ht="13.5" customHeight="1">
      <c r="B470" s="274" t="s">
        <v>1480</v>
      </c>
      <c r="AC470" s="827">
        <v>307</v>
      </c>
      <c r="AE470" s="2754"/>
      <c r="AF470" s="2729"/>
      <c r="AG470" s="2729"/>
      <c r="AH470" s="2729"/>
      <c r="AI470" s="2729"/>
      <c r="AJ470" s="2729"/>
      <c r="AK470" s="2729"/>
      <c r="AL470" s="2729"/>
      <c r="AM470" s="2729"/>
      <c r="AN470" s="2729"/>
      <c r="AO470" s="2729"/>
      <c r="AP470" s="2729"/>
      <c r="AQ470" s="2729"/>
      <c r="AR470" s="2729"/>
      <c r="AS470" s="2729"/>
      <c r="AT470" s="2729"/>
      <c r="AU470" s="2729"/>
      <c r="AV470" s="303"/>
      <c r="AW470" s="389"/>
      <c r="AX470" s="389"/>
      <c r="AY470" s="389"/>
      <c r="AZ470" s="389"/>
      <c r="BA470" s="389"/>
      <c r="BB470" s="389"/>
      <c r="BD470" s="829"/>
      <c r="BF470" s="17"/>
      <c r="BG470" s="17"/>
      <c r="BH470" s="17"/>
      <c r="BI470" s="17"/>
      <c r="BJ470" s="17"/>
      <c r="BK470" s="17"/>
      <c r="BL470" s="17"/>
      <c r="BM470" s="3"/>
      <c r="BN470" s="3"/>
      <c r="BO470" s="3"/>
      <c r="BP470" s="3"/>
      <c r="BQ470" s="3"/>
      <c r="BR470" s="3"/>
      <c r="BS470" s="3"/>
      <c r="BT470" s="3"/>
      <c r="BU470" s="3"/>
      <c r="BV470" s="3"/>
      <c r="BW470" s="3"/>
      <c r="BX470" s="3"/>
      <c r="BY470" s="3"/>
      <c r="BZ470" s="3"/>
      <c r="CA470" s="3"/>
      <c r="CB470" s="3"/>
      <c r="CC470" s="25"/>
      <c r="CD470" s="25"/>
      <c r="CE470" s="25"/>
    </row>
    <row r="471" spans="1:83" s="82" customFormat="1" ht="12" customHeight="1">
      <c r="B471" s="82" t="s">
        <v>1383</v>
      </c>
      <c r="AC471" s="828"/>
      <c r="AE471" s="389"/>
      <c r="AF471" s="389"/>
      <c r="AG471" s="389"/>
      <c r="AH471" s="389"/>
      <c r="AI471" s="389"/>
      <c r="AJ471" s="389"/>
      <c r="AK471" s="2526"/>
      <c r="AL471" s="2527"/>
      <c r="AM471" s="2528"/>
      <c r="AN471" s="2528"/>
      <c r="AO471" s="2528"/>
      <c r="AP471" s="2528"/>
      <c r="AQ471" s="2528"/>
      <c r="AR471" s="2528"/>
      <c r="AS471" s="2528"/>
      <c r="AT471" s="2528"/>
      <c r="AU471" s="2528"/>
      <c r="AV471" s="2528"/>
      <c r="AW471" s="2528"/>
      <c r="AX471" s="2528"/>
      <c r="AY471" s="2528"/>
      <c r="AZ471" s="389"/>
      <c r="BA471" s="389"/>
      <c r="BB471" s="389"/>
      <c r="BD471" s="829"/>
      <c r="BF471" s="17"/>
      <c r="BG471" s="17"/>
      <c r="BH471" s="17"/>
      <c r="BI471" s="17"/>
      <c r="BJ471" s="17"/>
      <c r="BK471" s="17"/>
      <c r="BL471" s="17"/>
      <c r="BM471" s="3"/>
      <c r="BN471" s="3"/>
      <c r="BO471" s="3"/>
      <c r="BP471" s="3"/>
      <c r="BQ471" s="3"/>
      <c r="BR471" s="3"/>
      <c r="BS471" s="3"/>
      <c r="BT471" s="3"/>
      <c r="BU471" s="3"/>
      <c r="BV471" s="3"/>
      <c r="BW471" s="3"/>
      <c r="BX471" s="3"/>
      <c r="BY471" s="3"/>
      <c r="BZ471" s="3"/>
      <c r="CA471" s="3"/>
      <c r="CB471" s="3"/>
      <c r="CC471" s="25"/>
      <c r="CD471" s="25"/>
      <c r="CE471" s="25"/>
    </row>
    <row r="472" spans="1:83" s="82" customFormat="1" ht="12" customHeight="1">
      <c r="AC472" s="828"/>
      <c r="AE472" s="389"/>
      <c r="AF472" s="389"/>
      <c r="AG472" s="389"/>
      <c r="AH472" s="389"/>
      <c r="AI472" s="389"/>
      <c r="AJ472" s="389"/>
      <c r="AK472" s="2526"/>
      <c r="AL472" s="2528"/>
      <c r="AM472" s="2528"/>
      <c r="AN472" s="2528"/>
      <c r="AO472" s="2528"/>
      <c r="AP472" s="2528"/>
      <c r="AQ472" s="2528"/>
      <c r="AR472" s="2528"/>
      <c r="AS472" s="2528"/>
      <c r="AT472" s="2528"/>
      <c r="AU472" s="2528"/>
      <c r="AV472" s="2528"/>
      <c r="AW472" s="2528"/>
      <c r="AX472" s="2528"/>
      <c r="AY472" s="2528"/>
      <c r="AZ472" s="389"/>
      <c r="BA472" s="389"/>
      <c r="BB472" s="389"/>
      <c r="BD472" s="829"/>
      <c r="BF472" s="17"/>
      <c r="BG472" s="17"/>
      <c r="BH472" s="17"/>
      <c r="BI472" s="17"/>
      <c r="BJ472" s="17"/>
      <c r="BK472" s="17"/>
      <c r="BL472" s="17"/>
      <c r="BM472" s="3"/>
      <c r="BN472" s="3"/>
      <c r="BO472" s="3"/>
      <c r="BP472" s="3"/>
      <c r="BQ472" s="3"/>
      <c r="BR472" s="3"/>
      <c r="BS472" s="3"/>
      <c r="BT472" s="3"/>
      <c r="BU472" s="3"/>
      <c r="BV472" s="3"/>
      <c r="BW472" s="3"/>
      <c r="BX472" s="3"/>
      <c r="BY472" s="3"/>
      <c r="BZ472" s="3"/>
      <c r="CA472" s="3"/>
      <c r="CB472" s="3"/>
      <c r="CC472" s="25"/>
      <c r="CD472" s="25"/>
      <c r="CE472" s="25"/>
    </row>
    <row r="473" spans="1:83" s="82" customFormat="1" ht="12" customHeight="1">
      <c r="B473" s="274" t="s">
        <v>1481</v>
      </c>
      <c r="AC473" s="827">
        <v>314</v>
      </c>
      <c r="BD473" s="829"/>
      <c r="BF473" s="17"/>
      <c r="BG473" s="17"/>
      <c r="BH473" s="17"/>
      <c r="BI473" s="17"/>
      <c r="BJ473" s="17"/>
      <c r="BK473" s="17"/>
      <c r="BL473" s="17"/>
      <c r="BM473" s="3"/>
      <c r="BN473" s="3"/>
      <c r="BO473" s="3"/>
      <c r="BP473" s="3"/>
      <c r="BQ473" s="3"/>
      <c r="BR473" s="3"/>
      <c r="BS473" s="3"/>
      <c r="BT473" s="3"/>
      <c r="BU473" s="3"/>
      <c r="BV473" s="3"/>
      <c r="BW473" s="3"/>
      <c r="BX473" s="3"/>
      <c r="BY473" s="3"/>
      <c r="BZ473" s="3"/>
      <c r="CA473" s="3"/>
      <c r="CB473" s="3"/>
      <c r="CC473" s="25"/>
      <c r="CD473" s="25"/>
      <c r="CE473" s="25"/>
    </row>
    <row r="474" spans="1:83" s="82" customFormat="1" ht="12" customHeight="1">
      <c r="B474" s="1243" t="s">
        <v>915</v>
      </c>
      <c r="AC474" s="828"/>
      <c r="BD474" s="829"/>
      <c r="BF474" s="17"/>
      <c r="BG474" s="17"/>
      <c r="BH474" s="17"/>
      <c r="BI474" s="17"/>
      <c r="BJ474" s="17"/>
      <c r="BK474" s="17"/>
      <c r="BL474" s="17"/>
      <c r="BM474" s="3"/>
      <c r="BN474" s="3"/>
      <c r="BO474" s="3"/>
      <c r="BP474" s="3"/>
      <c r="BQ474" s="3"/>
      <c r="BR474" s="3"/>
      <c r="BS474" s="3"/>
      <c r="BT474" s="3"/>
      <c r="BU474" s="3"/>
      <c r="BV474" s="3"/>
      <c r="BW474" s="3"/>
      <c r="BX474" s="3"/>
      <c r="BY474" s="3"/>
      <c r="BZ474" s="3"/>
      <c r="CA474" s="3"/>
      <c r="CB474" s="3"/>
      <c r="CC474" s="25"/>
      <c r="CD474" s="25"/>
      <c r="CE474" s="25"/>
    </row>
    <row r="475" spans="1:83" s="82" customFormat="1" ht="12" customHeight="1">
      <c r="B475" s="1243" t="s">
        <v>916</v>
      </c>
      <c r="AC475" s="828"/>
      <c r="BD475" s="829"/>
      <c r="BF475" s="17"/>
      <c r="BG475" s="17"/>
      <c r="BH475" s="17"/>
      <c r="BI475" s="17"/>
      <c r="BJ475" s="17"/>
      <c r="BK475" s="17"/>
      <c r="BL475" s="17"/>
      <c r="BM475" s="3"/>
      <c r="BN475" s="3"/>
      <c r="BO475" s="3"/>
      <c r="BP475" s="3"/>
      <c r="BQ475" s="3"/>
      <c r="BR475" s="3"/>
      <c r="BS475" s="3"/>
      <c r="BT475" s="3"/>
      <c r="BU475" s="3"/>
      <c r="BV475" s="3"/>
      <c r="BW475" s="3"/>
      <c r="BX475" s="3"/>
      <c r="BY475" s="3"/>
      <c r="BZ475" s="3"/>
      <c r="CA475" s="3"/>
      <c r="CB475" s="3"/>
      <c r="CC475" s="25"/>
      <c r="CD475" s="25"/>
      <c r="CE475" s="25"/>
    </row>
    <row r="476" spans="1:83" s="82" customFormat="1" ht="12" customHeight="1">
      <c r="B476" s="1243"/>
      <c r="AC476" s="828"/>
      <c r="BD476" s="389"/>
      <c r="BF476" s="17"/>
      <c r="BG476" s="17"/>
      <c r="BH476" s="17"/>
      <c r="BI476" s="17"/>
      <c r="BJ476" s="17"/>
      <c r="BK476" s="17"/>
      <c r="BL476" s="17"/>
      <c r="BM476" s="3"/>
      <c r="BN476" s="3"/>
      <c r="BO476" s="3"/>
      <c r="BP476" s="3"/>
      <c r="BQ476" s="3"/>
      <c r="BR476" s="3"/>
      <c r="BS476" s="3"/>
      <c r="BT476" s="3"/>
      <c r="BU476" s="3"/>
      <c r="BV476" s="3"/>
      <c r="BW476" s="3"/>
      <c r="BX476" s="3"/>
      <c r="BY476" s="3"/>
      <c r="BZ476" s="3"/>
      <c r="CA476" s="3"/>
      <c r="CB476" s="3"/>
      <c r="CC476" s="25"/>
      <c r="CD476" s="25"/>
      <c r="CE476" s="25"/>
    </row>
    <row r="477" spans="1:83" s="82" customFormat="1" ht="12" customHeight="1">
      <c r="A477" s="45"/>
      <c r="B477" s="720" t="s">
        <v>714</v>
      </c>
      <c r="C477" s="670"/>
      <c r="D477" s="721"/>
      <c r="E477" s="721"/>
      <c r="F477" s="721"/>
      <c r="G477" s="721"/>
      <c r="H477" s="721"/>
      <c r="I477" s="721"/>
      <c r="J477" s="721"/>
      <c r="K477" s="721"/>
      <c r="L477" s="721"/>
      <c r="M477" s="721"/>
      <c r="N477" s="721"/>
      <c r="O477" s="721"/>
      <c r="P477" s="721"/>
      <c r="Q477" s="721"/>
      <c r="R477" s="721"/>
      <c r="S477" s="721"/>
      <c r="T477" s="721"/>
      <c r="U477" s="721"/>
      <c r="V477" s="721"/>
      <c r="W477" s="721"/>
      <c r="X477" s="721"/>
      <c r="Y477" s="721"/>
      <c r="Z477" s="721"/>
      <c r="AA477" s="721"/>
      <c r="AD477" s="720"/>
      <c r="AE477" s="670"/>
      <c r="AF477" s="721"/>
      <c r="AG477" s="721"/>
      <c r="AH477" s="721"/>
      <c r="AI477" s="721"/>
      <c r="AJ477" s="721"/>
      <c r="AK477" s="721"/>
      <c r="AL477" s="721"/>
      <c r="AM477" s="721"/>
      <c r="AN477" s="721"/>
      <c r="AO477" s="721"/>
      <c r="AP477" s="721"/>
      <c r="AQ477" s="721"/>
      <c r="AR477" s="721"/>
      <c r="AS477" s="721"/>
      <c r="AT477" s="721"/>
      <c r="AU477" s="721"/>
      <c r="AV477" s="721"/>
      <c r="AW477" s="721"/>
      <c r="AX477" s="721"/>
      <c r="AY477" s="721"/>
      <c r="AZ477" s="721"/>
      <c r="BA477" s="721"/>
      <c r="BB477" s="721"/>
      <c r="BF477" s="17"/>
      <c r="BG477" s="17"/>
      <c r="BH477" s="17"/>
      <c r="BI477" s="17"/>
      <c r="BJ477" s="17"/>
      <c r="BK477" s="17"/>
      <c r="BL477" s="17"/>
      <c r="BM477" s="3"/>
      <c r="BN477" s="3"/>
      <c r="BO477" s="3"/>
      <c r="BP477" s="3"/>
      <c r="BQ477" s="3"/>
      <c r="BR477" s="3"/>
      <c r="BS477" s="3"/>
      <c r="BT477" s="3"/>
      <c r="BU477" s="3"/>
      <c r="BV477" s="3"/>
      <c r="BW477" s="3"/>
      <c r="BX477" s="3"/>
      <c r="BY477" s="3"/>
      <c r="BZ477" s="3"/>
      <c r="CA477" s="3"/>
      <c r="CB477" s="3"/>
      <c r="CC477" s="25"/>
      <c r="CD477" s="25"/>
      <c r="CE477" s="25"/>
    </row>
    <row r="478" spans="1:83" s="45" customFormat="1" ht="12.75" customHeight="1">
      <c r="A478" s="82"/>
      <c r="B478" s="310"/>
      <c r="C478" s="3"/>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c r="AB478" s="82"/>
      <c r="AC478" s="82"/>
      <c r="BF478" s="13"/>
      <c r="BG478" s="13"/>
      <c r="BH478" s="13"/>
      <c r="BI478" s="13"/>
      <c r="BJ478" s="13"/>
      <c r="BK478" s="13"/>
      <c r="BL478" s="13"/>
      <c r="BM478" s="3"/>
      <c r="BN478" s="3"/>
      <c r="BO478" s="3"/>
      <c r="BP478" s="3"/>
      <c r="BQ478" s="3"/>
      <c r="BR478" s="3"/>
      <c r="BS478" s="3"/>
      <c r="BT478" s="3"/>
      <c r="BU478" s="3"/>
      <c r="BV478" s="3"/>
      <c r="BW478" s="3"/>
      <c r="BX478" s="3"/>
      <c r="BY478" s="3"/>
      <c r="BZ478" s="3"/>
      <c r="CA478" s="3"/>
      <c r="CB478" s="3"/>
      <c r="CC478" s="3"/>
      <c r="CD478" s="3"/>
      <c r="CE478" s="3"/>
    </row>
    <row r="479" spans="1:83" s="82" customFormat="1" ht="12" customHeight="1">
      <c r="B479" s="25" t="s">
        <v>886</v>
      </c>
      <c r="C479" s="3"/>
      <c r="BF479" s="17"/>
      <c r="BG479" s="17"/>
      <c r="BH479" s="17"/>
      <c r="BI479" s="17"/>
      <c r="BJ479" s="17"/>
      <c r="BK479" s="17"/>
      <c r="BL479" s="17"/>
      <c r="BM479" s="3"/>
      <c r="BN479" s="3"/>
      <c r="BO479" s="3"/>
      <c r="BP479" s="3"/>
      <c r="BQ479" s="3"/>
      <c r="BR479" s="3"/>
      <c r="BS479" s="3"/>
      <c r="BT479" s="3"/>
      <c r="BU479" s="3"/>
      <c r="BV479" s="3"/>
      <c r="BW479" s="3"/>
      <c r="BX479" s="3"/>
      <c r="BY479" s="3"/>
      <c r="BZ479" s="3"/>
      <c r="CA479" s="3"/>
      <c r="CB479" s="3"/>
      <c r="CC479" s="25"/>
      <c r="CD479" s="25"/>
      <c r="CE479" s="25"/>
    </row>
    <row r="480" spans="1:83" s="82" customFormat="1" ht="12" customHeight="1">
      <c r="B480" s="25" t="s">
        <v>887</v>
      </c>
      <c r="C480" s="3"/>
      <c r="BF480" s="17"/>
      <c r="BG480" s="17"/>
      <c r="BH480" s="17"/>
      <c r="BI480" s="17"/>
      <c r="BJ480" s="17"/>
      <c r="BK480" s="17"/>
      <c r="BL480" s="17"/>
      <c r="BM480" s="3"/>
      <c r="BN480" s="3"/>
      <c r="BO480" s="3"/>
      <c r="BP480" s="3"/>
      <c r="BQ480" s="3"/>
      <c r="BR480" s="3"/>
      <c r="BS480" s="3"/>
      <c r="BT480" s="3"/>
      <c r="BU480" s="3"/>
      <c r="BV480" s="3"/>
      <c r="BW480" s="3"/>
      <c r="BX480" s="3"/>
      <c r="BY480" s="3"/>
      <c r="BZ480" s="3"/>
      <c r="CA480" s="3"/>
      <c r="CB480" s="3"/>
      <c r="CC480" s="25"/>
      <c r="CD480" s="25"/>
      <c r="CE480" s="25"/>
    </row>
    <row r="481" spans="1:83" s="82" customFormat="1" ht="12" customHeight="1">
      <c r="B481" s="25" t="s">
        <v>81</v>
      </c>
      <c r="C481" s="3"/>
      <c r="BF481" s="17"/>
      <c r="BG481" s="17"/>
      <c r="BH481" s="17"/>
      <c r="BI481" s="17"/>
      <c r="BJ481" s="17"/>
      <c r="BK481" s="17"/>
      <c r="BL481" s="17"/>
      <c r="BM481" s="3"/>
      <c r="BN481" s="3"/>
      <c r="BO481" s="3"/>
      <c r="BP481" s="3"/>
      <c r="BQ481" s="3"/>
      <c r="BR481" s="3"/>
      <c r="BS481" s="3"/>
      <c r="BT481" s="3"/>
      <c r="BU481" s="3"/>
      <c r="BV481" s="3"/>
      <c r="BW481" s="3"/>
      <c r="BX481" s="3"/>
      <c r="BY481" s="3"/>
      <c r="BZ481" s="3"/>
      <c r="CA481" s="3"/>
      <c r="CB481" s="3"/>
      <c r="CC481" s="25"/>
      <c r="CD481" s="25"/>
      <c r="CE481" s="25"/>
    </row>
    <row r="482" spans="1:83" s="82" customFormat="1" ht="12" customHeight="1">
      <c r="B482" s="25" t="s">
        <v>82</v>
      </c>
      <c r="C482" s="3"/>
      <c r="BF482" s="17"/>
      <c r="BG482" s="17"/>
      <c r="BH482" s="17"/>
      <c r="BI482" s="17"/>
      <c r="BJ482" s="17"/>
      <c r="BK482" s="17"/>
      <c r="BL482" s="17"/>
      <c r="BM482" s="3"/>
      <c r="BN482" s="3"/>
      <c r="BO482" s="3"/>
      <c r="BP482" s="3"/>
      <c r="BQ482" s="3"/>
      <c r="BR482" s="3"/>
      <c r="BS482" s="3"/>
      <c r="BT482" s="3"/>
      <c r="BU482" s="3"/>
      <c r="BV482" s="3"/>
      <c r="BW482" s="3"/>
      <c r="BX482" s="3"/>
      <c r="BY482" s="3"/>
      <c r="BZ482" s="3"/>
      <c r="CA482" s="3"/>
      <c r="CB482" s="3"/>
      <c r="CC482" s="25"/>
      <c r="CD482" s="25"/>
      <c r="CE482" s="25"/>
    </row>
    <row r="483" spans="1:83" s="82" customFormat="1" ht="12" customHeight="1">
      <c r="B483" s="25" t="s">
        <v>83</v>
      </c>
      <c r="C483" s="3"/>
      <c r="BF483" s="17"/>
      <c r="BG483" s="17"/>
      <c r="BH483" s="17"/>
      <c r="BI483" s="17"/>
      <c r="BJ483" s="17"/>
      <c r="BK483" s="17"/>
      <c r="BL483" s="17"/>
      <c r="BM483" s="3"/>
      <c r="BN483" s="3"/>
      <c r="BO483" s="3"/>
      <c r="BP483" s="3"/>
      <c r="BQ483" s="3"/>
      <c r="BR483" s="3"/>
      <c r="BS483" s="3"/>
      <c r="BT483" s="3"/>
      <c r="BU483" s="3"/>
      <c r="BV483" s="3"/>
      <c r="BW483" s="3"/>
      <c r="BX483" s="3"/>
      <c r="BY483" s="3"/>
      <c r="BZ483" s="3"/>
      <c r="CA483" s="3"/>
      <c r="CB483" s="3"/>
      <c r="CC483" s="25"/>
      <c r="CD483" s="25"/>
      <c r="CE483" s="25"/>
    </row>
    <row r="484" spans="1:83" s="82" customFormat="1" ht="12" customHeight="1">
      <c r="B484" s="25" t="s">
        <v>84</v>
      </c>
      <c r="C484" s="3"/>
      <c r="AC484" s="3"/>
      <c r="BF484" s="17"/>
      <c r="BG484" s="17"/>
      <c r="BH484" s="17"/>
      <c r="BI484" s="17"/>
      <c r="BJ484" s="17"/>
      <c r="BK484" s="17"/>
      <c r="BL484" s="17"/>
      <c r="BM484" s="3"/>
      <c r="BN484" s="3"/>
      <c r="BO484" s="3"/>
      <c r="BP484" s="3"/>
      <c r="BQ484" s="3"/>
      <c r="BR484" s="3"/>
      <c r="BS484" s="3"/>
      <c r="BT484" s="3"/>
      <c r="BU484" s="3"/>
      <c r="BV484" s="3"/>
      <c r="BW484" s="3"/>
      <c r="BX484" s="3"/>
      <c r="BY484" s="3"/>
      <c r="BZ484" s="3"/>
      <c r="CA484" s="3"/>
      <c r="CB484" s="3"/>
      <c r="CC484" s="25"/>
      <c r="CD484" s="25"/>
      <c r="CE484" s="25"/>
    </row>
    <row r="485" spans="1:83" s="82" customFormat="1" ht="12" customHeight="1">
      <c r="B485" s="25"/>
      <c r="C485" s="3"/>
      <c r="AC485" s="25"/>
      <c r="BF485" s="17"/>
      <c r="BG485" s="17"/>
      <c r="BH485" s="17"/>
      <c r="BI485" s="17"/>
      <c r="BJ485" s="17"/>
      <c r="BK485" s="17"/>
      <c r="BL485" s="17"/>
      <c r="BM485" s="3"/>
      <c r="BN485" s="3"/>
      <c r="BO485" s="3"/>
      <c r="BP485" s="3"/>
      <c r="BQ485" s="3"/>
      <c r="BR485" s="3"/>
      <c r="BS485" s="3"/>
      <c r="BT485" s="3"/>
      <c r="BU485" s="3"/>
      <c r="BV485" s="3"/>
      <c r="BW485" s="3"/>
      <c r="BX485" s="3"/>
      <c r="BY485" s="3"/>
      <c r="BZ485" s="3"/>
      <c r="CA485" s="3"/>
      <c r="CB485" s="3"/>
      <c r="CC485" s="25"/>
      <c r="CD485" s="25"/>
      <c r="CE485" s="25"/>
    </row>
    <row r="486" spans="1:83" s="82" customFormat="1" ht="12" customHeight="1">
      <c r="B486" s="720" t="s">
        <v>715</v>
      </c>
      <c r="C486" s="670"/>
      <c r="D486" s="721"/>
      <c r="E486" s="721"/>
      <c r="F486" s="721"/>
      <c r="G486" s="721"/>
      <c r="H486" s="721"/>
      <c r="I486" s="721"/>
      <c r="J486" s="721"/>
      <c r="K486" s="721"/>
      <c r="L486" s="721"/>
      <c r="M486" s="721"/>
      <c r="N486" s="721"/>
      <c r="O486" s="721"/>
      <c r="P486" s="721"/>
      <c r="Q486" s="721"/>
      <c r="R486" s="721"/>
      <c r="S486" s="721"/>
      <c r="T486" s="721"/>
      <c r="U486" s="721"/>
      <c r="V486" s="721"/>
      <c r="W486" s="721"/>
      <c r="X486" s="721"/>
      <c r="Y486" s="721"/>
      <c r="Z486" s="721"/>
      <c r="AA486" s="721"/>
      <c r="AC486" s="25"/>
      <c r="BF486" s="17"/>
      <c r="BG486" s="17"/>
      <c r="BH486" s="17"/>
      <c r="BI486" s="17"/>
      <c r="BJ486" s="17"/>
      <c r="BK486" s="17"/>
      <c r="BL486" s="17"/>
      <c r="BM486" s="3"/>
      <c r="BN486" s="3"/>
      <c r="BO486" s="3"/>
      <c r="BP486" s="3"/>
      <c r="BQ486" s="3"/>
      <c r="BR486" s="3"/>
      <c r="BS486" s="3"/>
      <c r="BT486" s="3"/>
      <c r="BU486" s="3"/>
      <c r="BV486" s="3"/>
      <c r="BW486" s="3"/>
      <c r="BX486" s="3"/>
      <c r="BY486" s="3"/>
      <c r="BZ486" s="3"/>
      <c r="CA486" s="3"/>
      <c r="CB486" s="3"/>
      <c r="CC486" s="25"/>
      <c r="CD486" s="25"/>
      <c r="CE486" s="25"/>
    </row>
    <row r="487" spans="1:83" s="82" customFormat="1" ht="12.75" customHeight="1">
      <c r="B487" s="25"/>
      <c r="C487" s="3"/>
      <c r="AB487" s="3"/>
      <c r="AC487" s="25"/>
      <c r="BF487" s="17"/>
      <c r="BG487" s="17"/>
      <c r="BH487" s="17"/>
      <c r="BI487" s="17"/>
      <c r="BJ487" s="17"/>
      <c r="BK487" s="17"/>
      <c r="BL487" s="17"/>
      <c r="BM487" s="3"/>
      <c r="BN487" s="3"/>
      <c r="BO487" s="3"/>
      <c r="BP487" s="3"/>
      <c r="BQ487" s="3"/>
      <c r="BR487" s="3"/>
      <c r="BS487" s="3"/>
      <c r="BT487" s="3"/>
      <c r="BU487" s="3"/>
      <c r="BV487" s="3"/>
      <c r="BW487" s="3"/>
      <c r="BX487" s="3"/>
      <c r="BY487" s="3"/>
      <c r="BZ487" s="3"/>
      <c r="CA487" s="3"/>
      <c r="CB487" s="3"/>
      <c r="CC487" s="25"/>
      <c r="CD487" s="25"/>
      <c r="CE487" s="25"/>
    </row>
    <row r="488" spans="1:83" s="82" customFormat="1" ht="12" customHeight="1">
      <c r="B488" s="25" t="s">
        <v>725</v>
      </c>
      <c r="C488" s="3"/>
      <c r="AC488" s="25"/>
      <c r="BF488" s="17"/>
      <c r="BG488" s="17"/>
      <c r="BH488" s="17"/>
      <c r="BI488" s="17"/>
      <c r="BJ488" s="17"/>
      <c r="BK488" s="17"/>
      <c r="BL488" s="17"/>
      <c r="BM488" s="3"/>
      <c r="BN488" s="3"/>
      <c r="BO488" s="3"/>
      <c r="BP488" s="3"/>
      <c r="BQ488" s="3"/>
      <c r="BR488" s="3"/>
      <c r="BS488" s="3"/>
      <c r="BT488" s="3"/>
      <c r="BU488" s="3"/>
      <c r="BV488" s="3"/>
      <c r="BW488" s="3"/>
      <c r="BX488" s="3"/>
      <c r="BY488" s="3"/>
      <c r="BZ488" s="3"/>
      <c r="CA488" s="3"/>
      <c r="CB488" s="3"/>
      <c r="CC488" s="25"/>
      <c r="CD488" s="25"/>
      <c r="CE488" s="25"/>
    </row>
    <row r="489" spans="1:83" s="82" customFormat="1" ht="12" customHeight="1">
      <c r="B489" s="25" t="s">
        <v>85</v>
      </c>
      <c r="C489" s="3"/>
      <c r="AC489" s="25"/>
      <c r="BF489" s="17"/>
      <c r="BG489" s="17"/>
      <c r="BH489" s="17"/>
      <c r="BI489" s="17"/>
      <c r="BJ489" s="17"/>
      <c r="BK489" s="17"/>
      <c r="BL489" s="17"/>
      <c r="BM489" s="3"/>
      <c r="BN489" s="3"/>
      <c r="BO489" s="3"/>
      <c r="BP489" s="3"/>
      <c r="BQ489" s="3"/>
      <c r="BR489" s="3"/>
      <c r="BS489" s="3"/>
      <c r="BT489" s="3"/>
      <c r="BU489" s="3"/>
      <c r="BV489" s="3"/>
      <c r="BW489" s="3"/>
      <c r="BX489" s="3"/>
      <c r="BY489" s="3"/>
      <c r="BZ489" s="3"/>
      <c r="CA489" s="3"/>
      <c r="CB489" s="3"/>
      <c r="CC489" s="25"/>
      <c r="CD489" s="25"/>
      <c r="CE489" s="25"/>
    </row>
    <row r="490" spans="1:83" s="82" customFormat="1" ht="12" customHeight="1">
      <c r="AC490" s="25"/>
      <c r="BF490" s="17"/>
      <c r="BG490" s="17"/>
      <c r="BH490" s="17"/>
      <c r="BI490" s="17"/>
      <c r="BJ490" s="17"/>
      <c r="BK490" s="17"/>
      <c r="BL490" s="17"/>
      <c r="BM490" s="3"/>
      <c r="BN490" s="3"/>
      <c r="BO490" s="3"/>
      <c r="BP490" s="3"/>
      <c r="BQ490" s="3"/>
      <c r="BR490" s="3"/>
      <c r="BS490" s="3"/>
      <c r="BT490" s="3"/>
      <c r="BU490" s="3"/>
      <c r="BV490" s="3"/>
      <c r="BW490" s="3"/>
      <c r="BX490" s="3"/>
      <c r="BY490" s="3"/>
      <c r="BZ490" s="3"/>
      <c r="CA490" s="3"/>
      <c r="CB490" s="3"/>
      <c r="CC490" s="25"/>
      <c r="CD490" s="25"/>
      <c r="CE490" s="25"/>
    </row>
    <row r="491" spans="1:83" s="82" customFormat="1" ht="12" customHeight="1">
      <c r="B491" s="25" t="s">
        <v>412</v>
      </c>
      <c r="C491" s="25"/>
      <c r="AC491" s="25"/>
      <c r="BF491" s="17"/>
      <c r="BG491" s="17"/>
      <c r="BH491" s="17"/>
      <c r="BI491" s="17"/>
      <c r="BJ491" s="17"/>
      <c r="BK491" s="17"/>
      <c r="BL491" s="17"/>
      <c r="BM491" s="3"/>
      <c r="BN491" s="3"/>
      <c r="BO491" s="3"/>
      <c r="BP491" s="3"/>
      <c r="BQ491" s="3"/>
      <c r="BR491" s="3"/>
      <c r="BS491" s="3"/>
      <c r="BT491" s="3"/>
      <c r="BU491" s="3"/>
      <c r="BV491" s="3"/>
      <c r="BW491" s="3"/>
      <c r="BX491" s="3"/>
      <c r="BY491" s="3"/>
      <c r="BZ491" s="3"/>
      <c r="CA491" s="3"/>
      <c r="CB491" s="3"/>
      <c r="CC491" s="25"/>
      <c r="CD491" s="25"/>
      <c r="CE491" s="25"/>
    </row>
    <row r="492" spans="1:83" s="82" customFormat="1" ht="12" customHeight="1">
      <c r="AC492" s="25"/>
      <c r="BF492" s="17"/>
      <c r="BG492" s="17"/>
      <c r="BH492" s="17"/>
      <c r="BI492" s="17"/>
      <c r="BJ492" s="17"/>
      <c r="BK492" s="17"/>
      <c r="BL492" s="17"/>
      <c r="BM492" s="3"/>
      <c r="BN492" s="3"/>
      <c r="BO492" s="3"/>
      <c r="BP492" s="3"/>
      <c r="BQ492" s="3"/>
      <c r="BR492" s="3"/>
      <c r="BS492" s="3"/>
      <c r="BT492" s="3"/>
      <c r="BU492" s="3"/>
      <c r="BV492" s="3"/>
      <c r="BW492" s="3"/>
      <c r="BX492" s="3"/>
      <c r="BY492" s="3"/>
      <c r="BZ492" s="3"/>
      <c r="CA492" s="3"/>
      <c r="CB492" s="3"/>
      <c r="CC492" s="25"/>
      <c r="CD492" s="25"/>
      <c r="CE492" s="25"/>
    </row>
    <row r="493" spans="1:83" s="82" customFormat="1" ht="12" customHeight="1">
      <c r="A493" s="3"/>
      <c r="B493" s="266" t="s">
        <v>585</v>
      </c>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C493" s="25"/>
      <c r="BF493" s="17"/>
      <c r="BG493" s="17"/>
      <c r="BH493" s="17"/>
      <c r="BI493" s="17"/>
      <c r="BJ493" s="17"/>
      <c r="BK493" s="17"/>
      <c r="BL493" s="17"/>
      <c r="BM493" s="3"/>
      <c r="BN493" s="3"/>
      <c r="BO493" s="3"/>
      <c r="BP493" s="3"/>
      <c r="BQ493" s="3"/>
      <c r="BR493" s="3"/>
      <c r="BS493" s="3"/>
      <c r="BT493" s="3"/>
      <c r="BU493" s="3"/>
      <c r="BV493" s="3"/>
      <c r="BW493" s="3"/>
      <c r="BX493" s="3"/>
      <c r="BY493" s="3"/>
      <c r="BZ493" s="3"/>
      <c r="CA493" s="3"/>
      <c r="CB493" s="3"/>
      <c r="CC493" s="25"/>
      <c r="CD493" s="25"/>
      <c r="CE493" s="25"/>
    </row>
    <row r="494" spans="1:83">
      <c r="A494" s="8"/>
      <c r="AB494" s="82"/>
      <c r="AC494" s="25"/>
      <c r="AI494" s="82"/>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row>
    <row r="495" spans="1:83" s="8" customFormat="1">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82"/>
      <c r="AC495" s="25"/>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spans="1:83" s="8" customFormat="1">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82"/>
      <c r="AC496" s="25"/>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spans="1:83" s="8" customFormat="1">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82"/>
      <c r="AC497" s="25"/>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spans="1:83" s="8" customFormat="1">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82"/>
      <c r="AC498" s="25"/>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spans="1:83" s="8" customFormat="1">
      <c r="AB499" s="82"/>
      <c r="AC499" s="25"/>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spans="1:83" s="8" customFormat="1">
      <c r="AB500" s="82"/>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spans="1:83" s="8" customFormat="1">
      <c r="AB501" s="82"/>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N501" s="3"/>
      <c r="BO501" s="3"/>
      <c r="BP501" s="3"/>
    </row>
    <row r="502" spans="1:83" s="8" customFormat="1">
      <c r="AB502" s="82"/>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M502" s="3"/>
      <c r="BN502" s="3"/>
      <c r="BO502" s="3"/>
      <c r="BP502" s="3"/>
      <c r="BQ502" s="3"/>
      <c r="BR502" s="3"/>
      <c r="BS502" s="3"/>
      <c r="BT502" s="3"/>
      <c r="BU502" s="3"/>
      <c r="BV502" s="3"/>
      <c r="BW502" s="3"/>
      <c r="BX502" s="3"/>
      <c r="BY502" s="3"/>
      <c r="BZ502" s="3"/>
      <c r="CA502" s="3"/>
      <c r="CB502" s="3"/>
      <c r="CC502" s="3"/>
      <c r="CD502" s="3"/>
      <c r="CE502" s="3"/>
    </row>
    <row r="503" spans="1:83" s="8" customFormat="1">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row>
    <row r="504" spans="1:83" s="8" customFormat="1">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row>
    <row r="505" spans="1:83" s="8" customFormat="1">
      <c r="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row>
    <row r="506" spans="1:83">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83">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83">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83">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spans="1:83">
      <c r="AB510" s="8"/>
    </row>
    <row r="511" spans="1:83">
      <c r="AB511" s="8"/>
    </row>
    <row r="512" spans="1:83">
      <c r="AB512" s="8"/>
    </row>
    <row r="513" spans="28:64">
      <c r="AB513" s="8"/>
    </row>
    <row r="514" spans="28:64">
      <c r="AB514" s="8"/>
    </row>
    <row r="515" spans="28:64">
      <c r="AB515" s="8"/>
    </row>
    <row r="516" spans="28:64">
      <c r="AB516" s="8"/>
    </row>
    <row r="517" spans="28:64">
      <c r="AB517" s="8"/>
    </row>
    <row r="518" spans="28:64">
      <c r="AB518" s="8"/>
      <c r="BE518" s="13"/>
      <c r="BF518" s="13"/>
      <c r="BG518" s="13"/>
      <c r="BH518" s="13"/>
      <c r="BI518" s="13"/>
      <c r="BJ518" s="13"/>
      <c r="BK518" s="13"/>
      <c r="BL518" s="13"/>
    </row>
    <row r="519" spans="28:64" ht="12" customHeight="1">
      <c r="AB519" s="8"/>
    </row>
    <row r="520" spans="28:64" ht="12" customHeight="1"/>
    <row r="521" spans="28:64" ht="12" customHeight="1"/>
    <row r="522" spans="28:64" ht="12" customHeight="1"/>
    <row r="523" spans="28:64" ht="12" customHeight="1"/>
    <row r="524" spans="28:64" ht="12" customHeight="1"/>
    <row r="525" spans="28:64" ht="12" customHeight="1"/>
    <row r="526" spans="28:64" ht="12" customHeight="1"/>
    <row r="527" spans="28:64" ht="12" customHeight="1"/>
    <row r="528" spans="28:64"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42" ht="12" customHeight="1"/>
  </sheetData>
  <sheetProtection algorithmName="SHA-512" hashValue="cVgXZydSh1WiV5MhEb5ctHZrrdAZfbAsKn2/7QHpliYocUNroi7691fBhviI4p4Mo/9THizsgtB0SLNpogymyQ==" saltValue="fGCKtWeuFLaVwa97L+ljyw==" spinCount="100000" sheet="1" objects="1" scenarios="1"/>
  <mergeCells count="73">
    <mergeCell ref="AL256:AM256"/>
    <mergeCell ref="J2:AA2"/>
    <mergeCell ref="AO10:AR11"/>
    <mergeCell ref="AT10:AV11"/>
    <mergeCell ref="AR8:BB8"/>
    <mergeCell ref="AH8:AK8"/>
    <mergeCell ref="AY10:BB11"/>
    <mergeCell ref="W8:Y8"/>
    <mergeCell ref="W9:Y9"/>
    <mergeCell ref="AR152:AS152"/>
    <mergeCell ref="AR153:AS153"/>
    <mergeCell ref="AT136:AU136"/>
    <mergeCell ref="AV148:AW148"/>
    <mergeCell ref="AT137:AU137"/>
    <mergeCell ref="AT148:AU148"/>
    <mergeCell ref="AR148:AS148"/>
    <mergeCell ref="AV133:BA134"/>
    <mergeCell ref="AR137:AS137"/>
    <mergeCell ref="AR136:AS136"/>
    <mergeCell ref="AO135:AQ135"/>
    <mergeCell ref="AJ233:AK233"/>
    <mergeCell ref="AT153:AU153"/>
    <mergeCell ref="AT151:AU151"/>
    <mergeCell ref="AT152:AU152"/>
    <mergeCell ref="AR135:AS135"/>
    <mergeCell ref="AO137:AQ137"/>
    <mergeCell ref="AG144:AR144"/>
    <mergeCell ref="AO136:AQ136"/>
    <mergeCell ref="AG233:AH233"/>
    <mergeCell ref="AJ246:AK246"/>
    <mergeCell ref="AL255:AP255"/>
    <mergeCell ref="AN148:AO148"/>
    <mergeCell ref="AP148:AQ148"/>
    <mergeCell ref="AG198:AH198"/>
    <mergeCell ref="AL148:AM148"/>
    <mergeCell ref="AG82:AH82"/>
    <mergeCell ref="B5:I5"/>
    <mergeCell ref="AJ10:AM11"/>
    <mergeCell ref="AI32:AM32"/>
    <mergeCell ref="AG108:AH108"/>
    <mergeCell ref="AL13:AO13"/>
    <mergeCell ref="AW67:AX67"/>
    <mergeCell ref="AG13:AJ13"/>
    <mergeCell ref="AG255:AH255"/>
    <mergeCell ref="AJ148:AK148"/>
    <mergeCell ref="AJ198:AK198"/>
    <mergeCell ref="AK42:AM42"/>
    <mergeCell ref="AM51:AN51"/>
    <mergeCell ref="AH86:AK86"/>
    <mergeCell ref="AF95:AH95"/>
    <mergeCell ref="AG97:AH97"/>
    <mergeCell ref="AJ97:AK97"/>
    <mergeCell ref="AG65:AH65"/>
    <mergeCell ref="AG51:AL51"/>
    <mergeCell ref="AJ82:AK82"/>
    <mergeCell ref="AJ108:AK108"/>
    <mergeCell ref="AH148:AI148"/>
    <mergeCell ref="AG257:AH257"/>
    <mergeCell ref="AL257:AM257"/>
    <mergeCell ref="AO257:AP257"/>
    <mergeCell ref="CA18:CC18"/>
    <mergeCell ref="AO68:AU68"/>
    <mergeCell ref="AO72:AU72"/>
    <mergeCell ref="AO71:AU71"/>
    <mergeCell ref="AO67:AU67"/>
    <mergeCell ref="AW59:AX59"/>
    <mergeCell ref="AW60:AX60"/>
    <mergeCell ref="AW61:AX61"/>
    <mergeCell ref="AW62:AX62"/>
    <mergeCell ref="AW63:AX63"/>
    <mergeCell ref="AW64:AX64"/>
    <mergeCell ref="AW65:AX65"/>
    <mergeCell ref="AW66:AX66"/>
  </mergeCells>
  <dataValidations disablePrompts="1" count="11">
    <dataValidation type="list" allowBlank="1" showInputMessage="1" showErrorMessage="1" sqref="AG97">
      <formula1>$AG$99:$AG$105</formula1>
    </dataValidation>
    <dataValidation type="list" allowBlank="1" showInputMessage="1" showErrorMessage="1" sqref="AJ233 AJ198 AJ108:AK108 AJ82:AK85">
      <formula1>$AJ$110:$AJ$113</formula1>
    </dataValidation>
    <dataValidation type="list" allowBlank="1" showInputMessage="1" showErrorMessage="1" sqref="AG198:AH198 AG233 AG82:AH82 AG108:AH108">
      <formula1>$AG$110:$AG$116</formula1>
    </dataValidation>
    <dataValidation type="list" allowBlank="1" showInputMessage="1" showErrorMessage="1" sqref="AG144">
      <formula1>$AG$145:$AG$147</formula1>
    </dataValidation>
    <dataValidation type="list" allowBlank="1" showInputMessage="1" showErrorMessage="1" sqref="AO68:AU68">
      <formula1>$AO$69:$AO$70</formula1>
    </dataValidation>
    <dataValidation type="list" allowBlank="1" showInputMessage="1" showErrorMessage="1" sqref="AM51">
      <formula1>$AT$46:$AT$57</formula1>
    </dataValidation>
    <dataValidation type="list" allowBlank="1" showInputMessage="1" showErrorMessage="1" sqref="AK42:AM42">
      <formula1>$AV$46:$AV$57</formula1>
    </dataValidation>
    <dataValidation type="list" allowBlank="1" showInputMessage="1" showErrorMessage="1" sqref="AI32:AM32">
      <formula1>$AH$34:$AH$35</formula1>
    </dataValidation>
    <dataValidation type="list" allowBlank="1" showInputMessage="1" showErrorMessage="1" sqref="AG65:AH65">
      <formula1>$AW$59:$AW$67</formula1>
    </dataValidation>
    <dataValidation type="list" allowBlank="1" showInputMessage="1" showErrorMessage="1" sqref="AN73:AT73 AO74:AU74">
      <formula1>$AR$78:$AR$78</formula1>
    </dataValidation>
    <dataValidation type="list" allowBlank="1" showInputMessage="1" showErrorMessage="1" sqref="AO72:AU72">
      <formula1>$AR$77:$AR$80</formula1>
    </dataValidation>
  </dataValidations>
  <hyperlinks>
    <hyperlink ref="AY15" r:id="rId1"/>
    <hyperlink ref="N69" location="'Frågor &amp; Svar'!A87" tooltip="&lt;&lt;Frågor&amp;Svar om Bokföringsmetod" display="F&amp;S"/>
    <hyperlink ref="L188:V188" r:id="rId2" display="Verksamt.se/Räkna ut vad en anställd kostar"/>
    <hyperlink ref="L188:W188" r:id="rId3" tooltip="&lt;&lt; Verksamt.se. Räkna ut vad en anställd kostar" display="Verksamt.se/Räkna ut vad en anställd kostar"/>
    <hyperlink ref="H78:T78" r:id="rId4" display="Tidpunkt för momsdeklaration utifrån räkenskapsår."/>
    <hyperlink ref="B378:N378" r:id="rId5" display="Tidpunkt för momsdeklaration utifrån räkenskapsår."/>
    <hyperlink ref="T310:X310" r:id="rId6" display="Företagsregistrering"/>
    <hyperlink ref="AY15:BC15" r:id="rId7" display="ake.olsson@almi.se"/>
    <hyperlink ref="Z398" location="Instruktion!A204" display="&gt;&gt;"/>
  </hyperlinks>
  <pageMargins left="0.74803149606299213" right="0.55118110236220474" top="0.98425196850393704" bottom="0.98425196850393704" header="0.51181102362204722" footer="0.51181102362204722"/>
  <pageSetup paperSize="9" orientation="portrait" r:id="rId8"/>
  <headerFooter alignWithMargins="0">
    <oddFooter xml:space="preserve">&amp;C&amp;"Arial Narrow,Normal"&amp;8© Almi Företagspartner AB 2016-04-18&amp;R
</oddFooter>
  </headerFooter>
  <drawing r:id="rId9"/>
  <legacy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Q474"/>
  <sheetViews>
    <sheetView showGridLines="0" showZeros="0" zoomScaleNormal="100" workbookViewId="0">
      <pane xSplit="8" ySplit="8" topLeftCell="I9" activePane="bottomRight" state="frozenSplit"/>
      <selection pane="topRight" activeCell="I1" sqref="I1"/>
      <selection pane="bottomLeft" activeCell="A9" sqref="A9"/>
      <selection pane="bottomRight" activeCell="A2" sqref="A2:XFD474"/>
    </sheetView>
  </sheetViews>
  <sheetFormatPr defaultColWidth="9.109375" defaultRowHeight="13.2"/>
  <cols>
    <col min="1" max="1" width="1.44140625" style="1040" customWidth="1"/>
    <col min="2" max="2" width="15.6640625" style="1004" customWidth="1"/>
    <col min="3" max="3" width="11.6640625" style="1004" customWidth="1"/>
    <col min="4" max="4" width="0.5546875" style="1004" customWidth="1"/>
    <col min="5" max="5" width="5.6640625" style="1004" customWidth="1"/>
    <col min="6" max="6" width="0.5546875" style="1004" customWidth="1"/>
    <col min="7" max="7" width="4.88671875" style="1004" customWidth="1"/>
    <col min="8" max="8" width="1.6640625" style="1004" customWidth="1"/>
    <col min="9" max="32" width="8.5546875" style="1004" customWidth="1"/>
    <col min="33" max="33" width="0.88671875" style="1004" customWidth="1"/>
    <col min="34" max="34" width="8.5546875" style="1041" customWidth="1"/>
    <col min="35" max="35" width="0.88671875" style="1041" customWidth="1"/>
    <col min="36" max="36" width="8.5546875" style="1041" customWidth="1"/>
    <col min="37" max="37" width="0.88671875" style="1004" customWidth="1"/>
    <col min="38" max="38" width="8.5546875" style="1005" customWidth="1"/>
    <col min="39" max="39" width="0.88671875" style="1005" customWidth="1"/>
    <col min="40" max="40" width="8.5546875" style="1005" customWidth="1"/>
    <col min="41" max="41" width="1.33203125" style="1004" customWidth="1"/>
    <col min="42" max="16384" width="9.109375" style="1004"/>
  </cols>
  <sheetData>
    <row r="1" spans="1:745" ht="11.25" customHeight="1">
      <c r="B1" s="1038" t="s">
        <v>1005</v>
      </c>
    </row>
    <row r="2" spans="1:745" ht="15" hidden="1" customHeight="1">
      <c r="A2" s="1270"/>
      <c r="B2" s="135"/>
      <c r="C2" s="140"/>
      <c r="D2" s="141"/>
      <c r="E2" s="411"/>
      <c r="F2" s="141"/>
      <c r="G2" s="141"/>
      <c r="H2" s="142"/>
      <c r="I2" s="1994"/>
      <c r="J2" s="1994"/>
      <c r="K2" s="1995"/>
      <c r="L2" s="2033" t="str">
        <f>IF(fx!$C$57=2,"Välj startmånad (startkolumn) 7-12 ▼","Välj startmånad (startkolumn) 1-12▼")</f>
        <v>Välj startmånad (startkolumn) 1-12▼</v>
      </c>
      <c r="M2" s="1997"/>
      <c r="N2" s="2034" t="s">
        <v>1111</v>
      </c>
      <c r="O2" s="1998"/>
      <c r="P2" s="1999"/>
      <c r="Q2" s="1998"/>
      <c r="R2" s="1998"/>
      <c r="S2" s="1998"/>
      <c r="T2" s="1996"/>
      <c r="U2" s="2000"/>
      <c r="V2" s="2001"/>
      <c r="W2" s="2001"/>
      <c r="X2" s="2001"/>
      <c r="Y2" s="2001"/>
      <c r="Z2" s="2001"/>
      <c r="AA2" s="2001"/>
      <c r="AB2" s="2001"/>
      <c r="AC2" s="2001"/>
      <c r="AD2" s="2001"/>
      <c r="AE2" s="2001"/>
      <c r="AF2" s="2002"/>
    </row>
    <row r="3" spans="1:745" ht="3.75" hidden="1" customHeight="1" thickBot="1">
      <c r="A3" s="1270"/>
      <c r="B3" s="144"/>
      <c r="C3" s="145"/>
      <c r="D3" s="146"/>
      <c r="E3" s="146"/>
      <c r="F3" s="147"/>
      <c r="G3" s="146"/>
      <c r="H3" s="148"/>
      <c r="I3" s="2003"/>
      <c r="J3" s="2004"/>
      <c r="K3" s="2005"/>
      <c r="L3" s="2006"/>
      <c r="M3" s="2006"/>
      <c r="N3" s="2006"/>
      <c r="O3" s="2006"/>
      <c r="P3" s="2006"/>
      <c r="Q3" s="2006"/>
      <c r="R3" s="2006"/>
      <c r="S3" s="2006"/>
      <c r="T3" s="2007"/>
      <c r="U3" s="2008"/>
      <c r="V3" s="2006"/>
      <c r="W3" s="2006"/>
      <c r="X3" s="2006"/>
      <c r="Y3" s="2006"/>
      <c r="Z3" s="2006"/>
      <c r="AA3" s="2006"/>
      <c r="AB3" s="2006"/>
      <c r="AC3" s="2006"/>
      <c r="AD3" s="2006"/>
      <c r="AE3" s="2006"/>
      <c r="AF3" s="2009"/>
    </row>
    <row r="4" spans="1:745" ht="15" hidden="1" customHeight="1" thickBot="1">
      <c r="A4" s="1270"/>
      <c r="B4" s="156"/>
      <c r="C4" s="2902" t="str">
        <f>ARBETSBLAD!C4</f>
        <v>När faktura skickas / kommer</v>
      </c>
      <c r="D4" s="2903"/>
      <c r="E4" s="2903"/>
      <c r="F4" s="2904"/>
      <c r="G4" s="154"/>
      <c r="H4" s="159"/>
      <c r="I4" s="2010"/>
      <c r="J4" s="2006"/>
      <c r="K4" s="2006"/>
      <c r="L4" s="2012">
        <f>ARBETSBLAD!L4</f>
        <v>1</v>
      </c>
      <c r="M4" s="2032"/>
      <c r="N4" s="2012">
        <f>ARBETSBLAD!N4</f>
        <v>2016</v>
      </c>
      <c r="O4" s="2006"/>
      <c r="P4" s="2908" t="str">
        <f>ARBETSBLAD!P4</f>
        <v>12 månader eller mindre</v>
      </c>
      <c r="Q4" s="2909"/>
      <c r="R4" s="2013"/>
      <c r="S4" s="2006"/>
      <c r="T4" s="2012" t="str">
        <f>ARBETSBLAD!T4</f>
        <v>December</v>
      </c>
      <c r="U4" s="2014"/>
      <c r="V4" s="2011">
        <f>ARBETSBLAD!V4</f>
        <v>0</v>
      </c>
      <c r="W4" s="2006"/>
      <c r="X4" s="2006"/>
      <c r="Y4" s="2006"/>
      <c r="Z4" s="2006"/>
      <c r="AA4" s="2006"/>
      <c r="AB4" s="2006"/>
      <c r="AC4" s="2006"/>
      <c r="AD4" s="2006"/>
      <c r="AE4" s="2006"/>
      <c r="AF4" s="2009"/>
    </row>
    <row r="5" spans="1:745" ht="3" hidden="1" customHeight="1" thickBot="1">
      <c r="A5" s="1270"/>
      <c r="B5" s="157"/>
      <c r="C5" s="152"/>
      <c r="D5" s="153"/>
      <c r="E5" s="153"/>
      <c r="F5" s="147"/>
      <c r="G5" s="160"/>
      <c r="H5" s="159"/>
      <c r="I5" s="138"/>
      <c r="J5" s="146"/>
      <c r="K5" s="154"/>
      <c r="L5" s="154"/>
      <c r="M5" s="154"/>
      <c r="N5" s="154"/>
      <c r="O5" s="154"/>
      <c r="P5" s="154"/>
      <c r="Q5" s="154"/>
      <c r="R5" s="154"/>
      <c r="S5" s="154"/>
      <c r="T5" s="973"/>
      <c r="U5" s="974"/>
      <c r="V5" s="155"/>
      <c r="W5" s="154"/>
      <c r="X5" s="154"/>
      <c r="Y5" s="154"/>
      <c r="Z5" s="154"/>
      <c r="AA5" s="154"/>
      <c r="AB5" s="154"/>
      <c r="AC5" s="154"/>
      <c r="AD5" s="154"/>
      <c r="AE5" s="154"/>
      <c r="AF5" s="165"/>
    </row>
    <row r="6" spans="1:745" ht="15" hidden="1" customHeight="1" thickBot="1">
      <c r="A6" s="1270"/>
      <c r="B6" s="157"/>
      <c r="C6" s="2905" t="str">
        <f>ARBETSBLAD!C6</f>
        <v>Varje månad</v>
      </c>
      <c r="D6" s="2906"/>
      <c r="E6" s="2906"/>
      <c r="F6" s="2907"/>
      <c r="G6" s="154"/>
      <c r="H6" s="148"/>
      <c r="I6" s="2016">
        <v>1</v>
      </c>
      <c r="J6" s="2016">
        <v>2</v>
      </c>
      <c r="K6" s="2016">
        <v>3</v>
      </c>
      <c r="L6" s="2016">
        <v>4</v>
      </c>
      <c r="M6" s="2016">
        <v>5</v>
      </c>
      <c r="N6" s="2016">
        <v>6</v>
      </c>
      <c r="O6" s="2016">
        <v>7</v>
      </c>
      <c r="P6" s="2016">
        <v>8</v>
      </c>
      <c r="Q6" s="2016">
        <v>9</v>
      </c>
      <c r="R6" s="2016">
        <v>10</v>
      </c>
      <c r="S6" s="2016">
        <v>11</v>
      </c>
      <c r="T6" s="2016">
        <v>12</v>
      </c>
      <c r="U6" s="2022">
        <v>13</v>
      </c>
      <c r="V6" s="2022">
        <v>14</v>
      </c>
      <c r="W6" s="2022">
        <v>15</v>
      </c>
      <c r="X6" s="2022">
        <v>16</v>
      </c>
      <c r="Y6" s="2022">
        <v>17</v>
      </c>
      <c r="Z6" s="2022">
        <v>18</v>
      </c>
      <c r="AA6" s="2022">
        <v>19</v>
      </c>
      <c r="AB6" s="2022">
        <v>20</v>
      </c>
      <c r="AC6" s="2022">
        <v>21</v>
      </c>
      <c r="AD6" s="2022">
        <v>22</v>
      </c>
      <c r="AE6" s="2022">
        <v>23</v>
      </c>
      <c r="AF6" s="2022">
        <v>24</v>
      </c>
    </row>
    <row r="7" spans="1:745" s="1743" customFormat="1" ht="3" hidden="1" customHeight="1">
      <c r="A7" s="1270"/>
      <c r="B7" s="158"/>
      <c r="C7" s="163"/>
      <c r="D7" s="154"/>
      <c r="E7" s="154"/>
      <c r="F7" s="147"/>
      <c r="G7" s="160"/>
      <c r="H7" s="148"/>
      <c r="I7" s="2017">
        <f>ARBETSBLAD!I6</f>
        <v>1</v>
      </c>
      <c r="J7" s="2017">
        <f>ARBETSBLAD!J6</f>
        <v>2</v>
      </c>
      <c r="K7" s="2017">
        <f>ARBETSBLAD!K6</f>
        <v>3</v>
      </c>
      <c r="L7" s="2017">
        <f>ARBETSBLAD!L6</f>
        <v>4</v>
      </c>
      <c r="M7" s="2017">
        <f>ARBETSBLAD!M6</f>
        <v>5</v>
      </c>
      <c r="N7" s="2017">
        <f>ARBETSBLAD!N6</f>
        <v>6</v>
      </c>
      <c r="O7" s="2017">
        <f>ARBETSBLAD!O6</f>
        <v>7</v>
      </c>
      <c r="P7" s="2017">
        <f>ARBETSBLAD!P6</f>
        <v>8</v>
      </c>
      <c r="Q7" s="2017">
        <f>ARBETSBLAD!Q6</f>
        <v>9</v>
      </c>
      <c r="R7" s="2017">
        <f>ARBETSBLAD!R6</f>
        <v>10</v>
      </c>
      <c r="S7" s="2017">
        <f>ARBETSBLAD!S6</f>
        <v>11</v>
      </c>
      <c r="T7" s="2017">
        <f>ARBETSBLAD!T6</f>
        <v>12</v>
      </c>
      <c r="U7" s="2023">
        <f>ARBETSBLAD!U6</f>
        <v>13</v>
      </c>
      <c r="V7" s="2023">
        <f>ARBETSBLAD!V6</f>
        <v>14</v>
      </c>
      <c r="W7" s="2023">
        <f>ARBETSBLAD!W6</f>
        <v>15</v>
      </c>
      <c r="X7" s="2023">
        <f>ARBETSBLAD!X6</f>
        <v>16</v>
      </c>
      <c r="Y7" s="2023">
        <f>ARBETSBLAD!Y6</f>
        <v>17</v>
      </c>
      <c r="Z7" s="2023">
        <f>ARBETSBLAD!Z6</f>
        <v>18</v>
      </c>
      <c r="AA7" s="2023">
        <f>ARBETSBLAD!AA6</f>
        <v>19</v>
      </c>
      <c r="AB7" s="2023">
        <f>ARBETSBLAD!AB6</f>
        <v>20</v>
      </c>
      <c r="AC7" s="2023">
        <f>ARBETSBLAD!AC6</f>
        <v>21</v>
      </c>
      <c r="AD7" s="2023">
        <f>ARBETSBLAD!AD6</f>
        <v>22</v>
      </c>
      <c r="AE7" s="2023">
        <f>ARBETSBLAD!AE6</f>
        <v>23</v>
      </c>
      <c r="AF7" s="2023">
        <f>ARBETSBLAD!AF6</f>
        <v>24</v>
      </c>
      <c r="AH7" s="1744"/>
      <c r="AI7" s="1744"/>
      <c r="AJ7" s="1744"/>
      <c r="AL7" s="1745"/>
      <c r="AM7" s="1745"/>
      <c r="AN7" s="1745"/>
    </row>
    <row r="8" spans="1:745" s="1751" customFormat="1" ht="15.6" hidden="1" customHeight="1">
      <c r="A8" s="1270"/>
      <c r="B8" s="412"/>
      <c r="C8" s="2015"/>
      <c r="D8" s="133"/>
      <c r="E8" s="133"/>
      <c r="F8" s="164"/>
      <c r="G8" s="161"/>
      <c r="H8" s="162"/>
      <c r="I8" s="2018" t="str">
        <f>ARBETSBLAD!I7</f>
        <v>Januari</v>
      </c>
      <c r="J8" s="2018" t="str">
        <f>ARBETSBLAD!J7</f>
        <v>Februari</v>
      </c>
      <c r="K8" s="2018" t="str">
        <f>ARBETSBLAD!K7</f>
        <v>Mars</v>
      </c>
      <c r="L8" s="2018" t="str">
        <f>ARBETSBLAD!L7</f>
        <v>April</v>
      </c>
      <c r="M8" s="2018" t="str">
        <f>ARBETSBLAD!M7</f>
        <v>Maj</v>
      </c>
      <c r="N8" s="2018" t="str">
        <f>ARBETSBLAD!N7</f>
        <v>Juni</v>
      </c>
      <c r="O8" s="2018" t="str">
        <f>ARBETSBLAD!O7</f>
        <v>Juli</v>
      </c>
      <c r="P8" s="2018" t="str">
        <f>ARBETSBLAD!P7</f>
        <v>Augusti</v>
      </c>
      <c r="Q8" s="2018" t="str">
        <f>ARBETSBLAD!Q7</f>
        <v>September</v>
      </c>
      <c r="R8" s="2018" t="str">
        <f>ARBETSBLAD!R7</f>
        <v>Oktober</v>
      </c>
      <c r="S8" s="2018" t="str">
        <f>ARBETSBLAD!S7</f>
        <v>November</v>
      </c>
      <c r="T8" s="2018" t="str">
        <f>ARBETSBLAD!T7</f>
        <v>December</v>
      </c>
      <c r="U8" s="2024" t="str">
        <f>ARBETSBLAD!U7</f>
        <v>Januari</v>
      </c>
      <c r="V8" s="2025" t="str">
        <f>ARBETSBLAD!V7</f>
        <v>Februari</v>
      </c>
      <c r="W8" s="2025" t="str">
        <f>ARBETSBLAD!W7</f>
        <v>Mars</v>
      </c>
      <c r="X8" s="2025" t="str">
        <f>ARBETSBLAD!X7</f>
        <v>April</v>
      </c>
      <c r="Y8" s="2025" t="str">
        <f>ARBETSBLAD!Y7</f>
        <v>Maj</v>
      </c>
      <c r="Z8" s="2025" t="str">
        <f>ARBETSBLAD!Z7</f>
        <v>Juni</v>
      </c>
      <c r="AA8" s="2025" t="str">
        <f>ARBETSBLAD!AA7</f>
        <v>Juli</v>
      </c>
      <c r="AB8" s="2025" t="str">
        <f>ARBETSBLAD!AB7</f>
        <v>Augusti</v>
      </c>
      <c r="AC8" s="2025" t="str">
        <f>ARBETSBLAD!AC7</f>
        <v>September</v>
      </c>
      <c r="AD8" s="2025" t="str">
        <f>ARBETSBLAD!AD7</f>
        <v>Oktober</v>
      </c>
      <c r="AE8" s="2025" t="str">
        <f>ARBETSBLAD!AE7</f>
        <v>November</v>
      </c>
      <c r="AF8" s="2025" t="str">
        <f>ARBETSBLAD!AF7</f>
        <v>December</v>
      </c>
      <c r="AG8" s="1746"/>
      <c r="AH8" s="1747"/>
      <c r="AI8" s="1748"/>
      <c r="AJ8" s="1748"/>
      <c r="AK8" s="1749"/>
      <c r="AL8" s="1750"/>
      <c r="AM8" s="1750"/>
      <c r="AN8" s="1750"/>
      <c r="AO8" s="1749"/>
      <c r="AP8" s="1749"/>
      <c r="AQ8" s="1749"/>
      <c r="AR8" s="1749"/>
      <c r="AS8" s="1749"/>
      <c r="AT8" s="1749"/>
      <c r="AU8" s="1749"/>
      <c r="AV8" s="1749"/>
      <c r="AW8" s="1749"/>
      <c r="AX8" s="1749"/>
      <c r="AY8" s="1749"/>
      <c r="AZ8" s="1749"/>
      <c r="BA8" s="1749"/>
      <c r="BB8" s="1749"/>
      <c r="BC8" s="1749"/>
      <c r="BD8" s="1749"/>
      <c r="BE8" s="1749"/>
      <c r="BF8" s="1749"/>
      <c r="BG8" s="1749"/>
      <c r="BH8" s="1749"/>
      <c r="BI8" s="1749"/>
      <c r="BJ8" s="1749"/>
      <c r="BK8" s="1749"/>
      <c r="BL8" s="1749"/>
      <c r="BM8" s="1749"/>
      <c r="BN8" s="1749"/>
      <c r="BO8" s="1749"/>
      <c r="BP8" s="1749"/>
      <c r="BQ8" s="1749"/>
      <c r="BR8" s="1749"/>
      <c r="BS8" s="1749"/>
      <c r="BT8" s="1749"/>
      <c r="BU8" s="1749"/>
      <c r="BV8" s="1749"/>
      <c r="BW8" s="1749"/>
      <c r="BX8" s="1749"/>
      <c r="BY8" s="1749"/>
      <c r="BZ8" s="1749"/>
      <c r="CA8" s="1749"/>
      <c r="CB8" s="1749"/>
      <c r="CC8" s="1749"/>
      <c r="CD8" s="1749"/>
      <c r="CE8" s="1749"/>
      <c r="CF8" s="1749"/>
      <c r="CG8" s="1749"/>
      <c r="CH8" s="1749"/>
      <c r="CI8" s="1749"/>
      <c r="CJ8" s="1749"/>
      <c r="CK8" s="1749"/>
      <c r="CL8" s="1749"/>
      <c r="CM8" s="1749"/>
      <c r="CN8" s="1749"/>
      <c r="CO8" s="1749"/>
      <c r="CP8" s="1749"/>
      <c r="CQ8" s="1749"/>
      <c r="CR8" s="1749"/>
      <c r="CS8" s="1749"/>
      <c r="CT8" s="1749"/>
      <c r="CU8" s="1749"/>
      <c r="CV8" s="1749"/>
      <c r="CW8" s="1749"/>
      <c r="CX8" s="1749"/>
      <c r="CY8" s="1749"/>
      <c r="CZ8" s="1749"/>
      <c r="DA8" s="1749"/>
      <c r="DB8" s="1749"/>
      <c r="DC8" s="1749"/>
      <c r="DD8" s="1749"/>
      <c r="DE8" s="1749"/>
      <c r="DF8" s="1749"/>
      <c r="DG8" s="1749"/>
      <c r="DH8" s="1749"/>
      <c r="DI8" s="1749"/>
      <c r="DJ8" s="1749"/>
      <c r="DK8" s="1749"/>
      <c r="DL8" s="1749"/>
      <c r="DM8" s="1749"/>
      <c r="DN8" s="1749"/>
      <c r="DO8" s="1749"/>
      <c r="DP8" s="1749"/>
      <c r="DQ8" s="1749"/>
      <c r="DR8" s="1749"/>
      <c r="DS8" s="1749"/>
      <c r="DT8" s="1749"/>
      <c r="DU8" s="1749"/>
      <c r="DV8" s="1749"/>
      <c r="DW8" s="1749"/>
      <c r="DX8" s="1749"/>
      <c r="DY8" s="1749"/>
      <c r="DZ8" s="1749"/>
      <c r="EA8" s="1749"/>
      <c r="EB8" s="1749"/>
      <c r="EC8" s="1749"/>
      <c r="ED8" s="1749"/>
      <c r="EE8" s="1749"/>
      <c r="EF8" s="1749"/>
      <c r="EG8" s="1749"/>
      <c r="EH8" s="1749"/>
      <c r="EI8" s="1749"/>
      <c r="EJ8" s="1749"/>
      <c r="EK8" s="1749"/>
      <c r="EL8" s="1749"/>
      <c r="EM8" s="1749"/>
      <c r="EN8" s="1749"/>
      <c r="EO8" s="1749"/>
      <c r="EP8" s="1749"/>
      <c r="EQ8" s="1749"/>
      <c r="ER8" s="1749"/>
      <c r="ES8" s="1749"/>
      <c r="ET8" s="1749"/>
      <c r="EU8" s="1749"/>
      <c r="EV8" s="1749"/>
      <c r="EW8" s="1749"/>
      <c r="EX8" s="1749"/>
      <c r="EY8" s="1749"/>
      <c r="EZ8" s="1749"/>
      <c r="FA8" s="1749"/>
      <c r="FB8" s="1749"/>
      <c r="FC8" s="1749"/>
      <c r="FD8" s="1749"/>
      <c r="FE8" s="1749"/>
      <c r="FF8" s="1749"/>
      <c r="FG8" s="1749"/>
      <c r="FH8" s="1749"/>
      <c r="FI8" s="1749"/>
      <c r="FJ8" s="1749"/>
      <c r="FK8" s="1749"/>
      <c r="FL8" s="1749"/>
      <c r="FM8" s="1749"/>
      <c r="FN8" s="1749"/>
      <c r="FO8" s="1749"/>
      <c r="FP8" s="1749"/>
      <c r="FQ8" s="1749"/>
      <c r="FR8" s="1749"/>
      <c r="FS8" s="1749"/>
      <c r="FT8" s="1749"/>
      <c r="FU8" s="1749"/>
      <c r="FV8" s="1749"/>
      <c r="FW8" s="1749"/>
      <c r="FX8" s="1749"/>
      <c r="FY8" s="1749"/>
      <c r="FZ8" s="1749"/>
      <c r="GA8" s="1749"/>
      <c r="GB8" s="1749"/>
      <c r="GC8" s="1749"/>
      <c r="GD8" s="1749"/>
      <c r="GE8" s="1749"/>
      <c r="GF8" s="1749"/>
      <c r="GG8" s="1749"/>
      <c r="GH8" s="1749"/>
      <c r="GI8" s="1749"/>
      <c r="GJ8" s="1749"/>
      <c r="GK8" s="1749"/>
      <c r="GL8" s="1749"/>
      <c r="GM8" s="1749"/>
      <c r="GN8" s="1749"/>
      <c r="GO8" s="1749"/>
      <c r="GP8" s="1749"/>
      <c r="GQ8" s="1749"/>
      <c r="GR8" s="1749"/>
      <c r="GS8" s="1749"/>
      <c r="GT8" s="1749"/>
      <c r="GU8" s="1749"/>
      <c r="GV8" s="1749"/>
      <c r="GW8" s="1749"/>
      <c r="GX8" s="1749"/>
      <c r="GY8" s="1749"/>
      <c r="GZ8" s="1749"/>
      <c r="HA8" s="1749"/>
      <c r="HB8" s="1749"/>
      <c r="HC8" s="1749"/>
      <c r="HD8" s="1749"/>
      <c r="HE8" s="1749"/>
      <c r="HF8" s="1749"/>
      <c r="HG8" s="1749"/>
      <c r="HH8" s="1749"/>
      <c r="HI8" s="1749"/>
      <c r="HJ8" s="1749"/>
      <c r="HK8" s="1749"/>
      <c r="HL8" s="1749"/>
      <c r="HM8" s="1749"/>
      <c r="HN8" s="1749"/>
      <c r="HO8" s="1749"/>
      <c r="HP8" s="1749"/>
      <c r="HQ8" s="1749"/>
      <c r="HR8" s="1749"/>
      <c r="HS8" s="1749"/>
      <c r="HT8" s="1749"/>
      <c r="HU8" s="1749"/>
      <c r="HV8" s="1749"/>
      <c r="HW8" s="1749"/>
      <c r="HX8" s="1749"/>
      <c r="HY8" s="1749"/>
      <c r="HZ8" s="1749"/>
      <c r="IA8" s="1749"/>
      <c r="IB8" s="1749"/>
      <c r="IC8" s="1749"/>
      <c r="ID8" s="1749"/>
      <c r="IE8" s="1749"/>
      <c r="IF8" s="1749"/>
      <c r="IG8" s="1749"/>
      <c r="IH8" s="1749"/>
      <c r="II8" s="1749"/>
      <c r="IJ8" s="1749"/>
      <c r="IK8" s="1749"/>
      <c r="IL8" s="1749"/>
      <c r="IM8" s="1749"/>
      <c r="IN8" s="1749"/>
      <c r="IO8" s="1749"/>
      <c r="IP8" s="1749"/>
      <c r="IQ8" s="1749"/>
      <c r="IR8" s="1749"/>
      <c r="IS8" s="1749"/>
      <c r="IT8" s="1749"/>
      <c r="IU8" s="1749"/>
      <c r="IV8" s="1749"/>
      <c r="IW8" s="1749"/>
      <c r="IX8" s="1749"/>
      <c r="IY8" s="1749"/>
      <c r="IZ8" s="1749"/>
      <c r="JA8" s="1749"/>
      <c r="JB8" s="1749"/>
      <c r="JC8" s="1749"/>
      <c r="JD8" s="1749"/>
      <c r="JE8" s="1749"/>
      <c r="JF8" s="1749"/>
      <c r="JG8" s="1749"/>
      <c r="JH8" s="1749"/>
      <c r="JI8" s="1749"/>
      <c r="JJ8" s="1749"/>
      <c r="JK8" s="1749"/>
      <c r="JL8" s="1749"/>
      <c r="JM8" s="1749"/>
      <c r="JN8" s="1749"/>
      <c r="JO8" s="1749"/>
      <c r="JP8" s="1749"/>
      <c r="JQ8" s="1749"/>
      <c r="JR8" s="1749"/>
      <c r="JS8" s="1749"/>
      <c r="JT8" s="1749"/>
      <c r="JU8" s="1749"/>
      <c r="JV8" s="1749"/>
      <c r="JW8" s="1749"/>
      <c r="JX8" s="1749"/>
      <c r="JY8" s="1749"/>
      <c r="JZ8" s="1749"/>
      <c r="KA8" s="1749"/>
      <c r="KB8" s="1749"/>
      <c r="KC8" s="1749"/>
      <c r="KD8" s="1749"/>
      <c r="KE8" s="1749"/>
      <c r="KF8" s="1749"/>
      <c r="KG8" s="1749"/>
      <c r="KH8" s="1749"/>
      <c r="KI8" s="1749"/>
      <c r="KJ8" s="1749"/>
      <c r="KK8" s="1749"/>
      <c r="KL8" s="1749"/>
      <c r="KM8" s="1749"/>
      <c r="KN8" s="1749"/>
      <c r="KO8" s="1749"/>
      <c r="KP8" s="1749"/>
      <c r="KQ8" s="1749"/>
      <c r="KR8" s="1749"/>
      <c r="KS8" s="1749"/>
      <c r="KT8" s="1749"/>
      <c r="KU8" s="1749"/>
      <c r="KV8" s="1749"/>
      <c r="KW8" s="1749"/>
      <c r="KX8" s="1749"/>
      <c r="KY8" s="1749"/>
      <c r="KZ8" s="1749"/>
      <c r="LA8" s="1749"/>
      <c r="LB8" s="1749"/>
      <c r="LC8" s="1749"/>
      <c r="LD8" s="1749"/>
      <c r="LE8" s="1749"/>
      <c r="LF8" s="1749"/>
      <c r="LG8" s="1749"/>
      <c r="LH8" s="1749"/>
      <c r="LI8" s="1749"/>
      <c r="LJ8" s="1749"/>
      <c r="LK8" s="1749"/>
      <c r="LL8" s="1749"/>
      <c r="LM8" s="1749"/>
      <c r="LN8" s="1749"/>
      <c r="LO8" s="1749"/>
      <c r="LP8" s="1749"/>
      <c r="LQ8" s="1749"/>
      <c r="LR8" s="1749"/>
      <c r="LS8" s="1749"/>
      <c r="LT8" s="1749"/>
      <c r="LU8" s="1749"/>
      <c r="LV8" s="1749"/>
      <c r="LW8" s="1749"/>
      <c r="LX8" s="1749"/>
      <c r="LY8" s="1749"/>
      <c r="LZ8" s="1749"/>
      <c r="MA8" s="1749"/>
      <c r="MB8" s="1749"/>
      <c r="MC8" s="1749"/>
      <c r="MD8" s="1749"/>
      <c r="ME8" s="1749"/>
      <c r="MF8" s="1749"/>
      <c r="MG8" s="1749"/>
      <c r="MH8" s="1749"/>
      <c r="MI8" s="1749"/>
      <c r="MJ8" s="1749"/>
      <c r="MK8" s="1749"/>
      <c r="ML8" s="1749"/>
      <c r="MM8" s="1749"/>
      <c r="MN8" s="1749"/>
      <c r="MO8" s="1749"/>
      <c r="MP8" s="1749"/>
      <c r="MQ8" s="1749"/>
      <c r="MR8" s="1749"/>
      <c r="MS8" s="1749"/>
      <c r="MT8" s="1749"/>
      <c r="MU8" s="1749"/>
      <c r="MV8" s="1749"/>
      <c r="MW8" s="1749"/>
      <c r="MX8" s="1749"/>
      <c r="MY8" s="1749"/>
      <c r="MZ8" s="1749"/>
      <c r="NA8" s="1749"/>
      <c r="NB8" s="1749"/>
      <c r="NC8" s="1749"/>
      <c r="ND8" s="1749"/>
      <c r="NE8" s="1749"/>
      <c r="NF8" s="1749"/>
      <c r="NG8" s="1749"/>
      <c r="NH8" s="1749"/>
      <c r="NI8" s="1749"/>
      <c r="NJ8" s="1749"/>
      <c r="NK8" s="1749"/>
      <c r="NL8" s="1749"/>
      <c r="NM8" s="1749"/>
      <c r="NN8" s="1749"/>
      <c r="NO8" s="1749"/>
      <c r="NP8" s="1749"/>
      <c r="NQ8" s="1749"/>
      <c r="NR8" s="1749"/>
      <c r="NS8" s="1749"/>
      <c r="NT8" s="1749"/>
      <c r="NU8" s="1749"/>
      <c r="NV8" s="1749"/>
      <c r="NW8" s="1749"/>
      <c r="NX8" s="1749"/>
      <c r="NY8" s="1749"/>
      <c r="NZ8" s="1749"/>
      <c r="OA8" s="1749"/>
      <c r="OB8" s="1749"/>
      <c r="OC8" s="1749"/>
      <c r="OD8" s="1749"/>
      <c r="OE8" s="1749"/>
      <c r="OF8" s="1749"/>
      <c r="OG8" s="1749"/>
      <c r="OH8" s="1749"/>
      <c r="OI8" s="1749"/>
      <c r="OJ8" s="1749"/>
      <c r="OK8" s="1749"/>
      <c r="OL8" s="1749"/>
      <c r="OM8" s="1749"/>
      <c r="ON8" s="1749"/>
      <c r="OO8" s="1749"/>
      <c r="OP8" s="1749"/>
      <c r="OQ8" s="1749"/>
      <c r="OR8" s="1749"/>
      <c r="OS8" s="1749"/>
      <c r="OT8" s="1749"/>
      <c r="OU8" s="1749"/>
      <c r="OV8" s="1749"/>
      <c r="OW8" s="1749"/>
      <c r="OX8" s="1749"/>
      <c r="OY8" s="1749"/>
      <c r="OZ8" s="1749"/>
      <c r="PA8" s="1749"/>
      <c r="PB8" s="1749"/>
      <c r="PC8" s="1749"/>
      <c r="PD8" s="1749"/>
      <c r="PE8" s="1749"/>
      <c r="PF8" s="1749"/>
      <c r="PG8" s="1749"/>
      <c r="PH8" s="1749"/>
      <c r="PI8" s="1749"/>
      <c r="PJ8" s="1749"/>
      <c r="PK8" s="1749"/>
      <c r="PL8" s="1749"/>
      <c r="PM8" s="1749"/>
      <c r="PN8" s="1749"/>
      <c r="PO8" s="1749"/>
      <c r="PP8" s="1749"/>
      <c r="PQ8" s="1749"/>
      <c r="PR8" s="1749"/>
      <c r="PS8" s="1749"/>
      <c r="PT8" s="1749"/>
      <c r="PU8" s="1749"/>
      <c r="PV8" s="1749"/>
      <c r="PW8" s="1749"/>
      <c r="PX8" s="1749"/>
      <c r="PY8" s="1749"/>
      <c r="PZ8" s="1749"/>
      <c r="QA8" s="1749"/>
      <c r="QB8" s="1749"/>
      <c r="QC8" s="1749"/>
      <c r="QD8" s="1749"/>
      <c r="QE8" s="1749"/>
      <c r="QF8" s="1749"/>
      <c r="QG8" s="1749"/>
      <c r="QH8" s="1749"/>
      <c r="QI8" s="1749"/>
      <c r="QJ8" s="1749"/>
      <c r="QK8" s="1749"/>
      <c r="QL8" s="1749"/>
      <c r="QM8" s="1749"/>
      <c r="QN8" s="1749"/>
      <c r="QO8" s="1749"/>
      <c r="QP8" s="1749"/>
      <c r="QQ8" s="1749"/>
      <c r="QR8" s="1749"/>
      <c r="QS8" s="1749"/>
      <c r="QT8" s="1749"/>
      <c r="QU8" s="1749"/>
      <c r="QV8" s="1749"/>
      <c r="QW8" s="1749"/>
      <c r="QX8" s="1749"/>
      <c r="QY8" s="1749"/>
      <c r="QZ8" s="1749"/>
      <c r="RA8" s="1749"/>
      <c r="RB8" s="1749"/>
      <c r="RC8" s="1749"/>
      <c r="RD8" s="1749"/>
      <c r="RE8" s="1749"/>
      <c r="RF8" s="1749"/>
      <c r="RG8" s="1749"/>
      <c r="RH8" s="1749"/>
      <c r="RI8" s="1749"/>
      <c r="RJ8" s="1749"/>
      <c r="RK8" s="1749"/>
      <c r="RL8" s="1749"/>
      <c r="RM8" s="1749"/>
      <c r="RN8" s="1749"/>
      <c r="RO8" s="1749"/>
      <c r="RP8" s="1749"/>
      <c r="RQ8" s="1749"/>
      <c r="RR8" s="1749"/>
      <c r="RS8" s="1749"/>
      <c r="RT8" s="1749"/>
      <c r="RU8" s="1749"/>
      <c r="RV8" s="1749"/>
      <c r="RW8" s="1749"/>
      <c r="RX8" s="1749"/>
      <c r="RY8" s="1749"/>
      <c r="RZ8" s="1749"/>
      <c r="SA8" s="1749"/>
      <c r="SB8" s="1749"/>
      <c r="SC8" s="1749"/>
      <c r="SD8" s="1749"/>
      <c r="SE8" s="1749"/>
      <c r="SF8" s="1749"/>
      <c r="SG8" s="1749"/>
      <c r="SH8" s="1749"/>
      <c r="SI8" s="1749"/>
      <c r="SJ8" s="1749"/>
      <c r="SK8" s="1749"/>
      <c r="SL8" s="1749"/>
      <c r="SM8" s="1749"/>
      <c r="SN8" s="1749"/>
      <c r="SO8" s="1749"/>
      <c r="SP8" s="1749"/>
      <c r="SQ8" s="1749"/>
      <c r="SR8" s="1749"/>
      <c r="SS8" s="1749"/>
      <c r="ST8" s="1749"/>
      <c r="SU8" s="1749"/>
      <c r="SV8" s="1749"/>
      <c r="SW8" s="1749"/>
      <c r="SX8" s="1749"/>
      <c r="SY8" s="1749"/>
      <c r="SZ8" s="1749"/>
      <c r="TA8" s="1749"/>
      <c r="TB8" s="1749"/>
      <c r="TC8" s="1749"/>
      <c r="TD8" s="1749"/>
      <c r="TE8" s="1749"/>
      <c r="TF8" s="1749"/>
      <c r="TG8" s="1749"/>
      <c r="TH8" s="1749"/>
      <c r="TI8" s="1749"/>
      <c r="TJ8" s="1749"/>
      <c r="TK8" s="1749"/>
      <c r="TL8" s="1749"/>
      <c r="TM8" s="1749"/>
      <c r="TN8" s="1749"/>
      <c r="TO8" s="1749"/>
      <c r="TP8" s="1749"/>
      <c r="TQ8" s="1749"/>
      <c r="TR8" s="1749"/>
      <c r="TS8" s="1749"/>
      <c r="TT8" s="1749"/>
      <c r="TU8" s="1749"/>
      <c r="TV8" s="1749"/>
      <c r="TW8" s="1749"/>
      <c r="TX8" s="1749"/>
      <c r="TY8" s="1749"/>
      <c r="TZ8" s="1749"/>
      <c r="UA8" s="1749"/>
      <c r="UB8" s="1749"/>
      <c r="UC8" s="1749"/>
      <c r="UD8" s="1749"/>
      <c r="UE8" s="1749"/>
      <c r="UF8" s="1749"/>
      <c r="UG8" s="1749"/>
      <c r="UH8" s="1749"/>
      <c r="UI8" s="1749"/>
      <c r="UJ8" s="1749"/>
      <c r="UK8" s="1749"/>
      <c r="UL8" s="1749"/>
      <c r="UM8" s="1749"/>
      <c r="UN8" s="1749"/>
      <c r="UO8" s="1749"/>
      <c r="UP8" s="1749"/>
      <c r="UQ8" s="1749"/>
      <c r="UR8" s="1749"/>
      <c r="US8" s="1749"/>
      <c r="UT8" s="1749"/>
      <c r="UU8" s="1749"/>
      <c r="UV8" s="1749"/>
      <c r="UW8" s="1749"/>
      <c r="UX8" s="1749"/>
      <c r="UY8" s="1749"/>
      <c r="UZ8" s="1749"/>
      <c r="VA8" s="1749"/>
      <c r="VB8" s="1749"/>
      <c r="VC8" s="1749"/>
      <c r="VD8" s="1749"/>
      <c r="VE8" s="1749"/>
      <c r="VF8" s="1749"/>
      <c r="VG8" s="1749"/>
      <c r="VH8" s="1749"/>
      <c r="VI8" s="1749"/>
      <c r="VJ8" s="1749"/>
      <c r="VK8" s="1749"/>
      <c r="VL8" s="1749"/>
      <c r="VM8" s="1749"/>
      <c r="VN8" s="1749"/>
      <c r="VO8" s="1749"/>
      <c r="VP8" s="1749"/>
      <c r="VQ8" s="1749"/>
      <c r="VR8" s="1749"/>
      <c r="VS8" s="1749"/>
      <c r="VT8" s="1749"/>
      <c r="VU8" s="1749"/>
      <c r="VV8" s="1749"/>
      <c r="VW8" s="1749"/>
      <c r="VX8" s="1749"/>
      <c r="VY8" s="1749"/>
      <c r="VZ8" s="1749"/>
      <c r="WA8" s="1749"/>
      <c r="WB8" s="1749"/>
      <c r="WC8" s="1749"/>
      <c r="WD8" s="1749"/>
      <c r="WE8" s="1749"/>
      <c r="WF8" s="1749"/>
      <c r="WG8" s="1749"/>
      <c r="WH8" s="1749"/>
      <c r="WI8" s="1749"/>
      <c r="WJ8" s="1749"/>
      <c r="WK8" s="1749"/>
      <c r="WL8" s="1749"/>
      <c r="WM8" s="1749"/>
      <c r="WN8" s="1749"/>
      <c r="WO8" s="1749"/>
      <c r="WP8" s="1749"/>
      <c r="WQ8" s="1749"/>
      <c r="WR8" s="1749"/>
      <c r="WS8" s="1749"/>
      <c r="WT8" s="1749"/>
      <c r="WU8" s="1749"/>
      <c r="WV8" s="1749"/>
      <c r="WW8" s="1749"/>
      <c r="WX8" s="1749"/>
      <c r="WY8" s="1749"/>
      <c r="WZ8" s="1749"/>
      <c r="XA8" s="1749"/>
      <c r="XB8" s="1749"/>
      <c r="XC8" s="1749"/>
      <c r="XD8" s="1749"/>
      <c r="XE8" s="1749"/>
      <c r="XF8" s="1749"/>
      <c r="XG8" s="1749"/>
      <c r="XH8" s="1749"/>
      <c r="XI8" s="1749"/>
      <c r="XJ8" s="1749"/>
      <c r="XK8" s="1749"/>
      <c r="XL8" s="1749"/>
      <c r="XM8" s="1749"/>
      <c r="XN8" s="1749"/>
      <c r="XO8" s="1749"/>
      <c r="XP8" s="1749"/>
      <c r="XQ8" s="1749"/>
      <c r="XR8" s="1749"/>
      <c r="XS8" s="1749"/>
      <c r="XT8" s="1749"/>
      <c r="XU8" s="1749"/>
      <c r="XV8" s="1749"/>
      <c r="XW8" s="1749"/>
      <c r="XX8" s="1749"/>
      <c r="XY8" s="1749"/>
      <c r="XZ8" s="1749"/>
      <c r="YA8" s="1749"/>
      <c r="YB8" s="1749"/>
      <c r="YC8" s="1749"/>
      <c r="YD8" s="1749"/>
      <c r="YE8" s="1749"/>
      <c r="YF8" s="1749"/>
      <c r="YG8" s="1749"/>
      <c r="YH8" s="1749"/>
      <c r="YI8" s="1749"/>
      <c r="YJ8" s="1749"/>
      <c r="YK8" s="1749"/>
      <c r="YL8" s="1749"/>
      <c r="YM8" s="1749"/>
      <c r="YN8" s="1749"/>
      <c r="YO8" s="1749"/>
      <c r="YP8" s="1749"/>
      <c r="YQ8" s="1749"/>
      <c r="YR8" s="1749"/>
      <c r="YS8" s="1749"/>
      <c r="YT8" s="1749"/>
      <c r="YU8" s="1749"/>
      <c r="YV8" s="1749"/>
      <c r="YW8" s="1749"/>
      <c r="YX8" s="1749"/>
      <c r="YY8" s="1749"/>
      <c r="YZ8" s="1749"/>
      <c r="ZA8" s="1749"/>
      <c r="ZB8" s="1749"/>
      <c r="ZC8" s="1749"/>
      <c r="ZD8" s="1749"/>
      <c r="ZE8" s="1749"/>
      <c r="ZF8" s="1749"/>
      <c r="ZG8" s="1749"/>
      <c r="ZH8" s="1749"/>
      <c r="ZI8" s="1749"/>
      <c r="ZJ8" s="1749"/>
      <c r="ZK8" s="1749"/>
      <c r="ZL8" s="1749"/>
      <c r="ZM8" s="1749"/>
      <c r="ZN8" s="1749"/>
      <c r="ZO8" s="1749"/>
      <c r="ZP8" s="1749"/>
      <c r="ZQ8" s="1749"/>
      <c r="ZR8" s="1749"/>
      <c r="ZS8" s="1749"/>
      <c r="ZT8" s="1749"/>
      <c r="ZU8" s="1749"/>
      <c r="ZV8" s="1749"/>
      <c r="ZW8" s="1749"/>
      <c r="ZX8" s="1749"/>
      <c r="ZY8" s="1749"/>
      <c r="ZZ8" s="1749"/>
      <c r="AAA8" s="1749"/>
      <c r="AAB8" s="1749"/>
      <c r="AAC8" s="1749"/>
      <c r="AAD8" s="1749"/>
      <c r="AAE8" s="1749"/>
      <c r="AAF8" s="1749"/>
      <c r="AAG8" s="1749"/>
      <c r="AAH8" s="1749"/>
      <c r="AAI8" s="1749"/>
      <c r="AAJ8" s="1749"/>
      <c r="AAK8" s="1749"/>
      <c r="AAL8" s="1749"/>
      <c r="AAM8" s="1749"/>
      <c r="AAN8" s="1749"/>
      <c r="AAO8" s="1749"/>
      <c r="AAP8" s="1749"/>
      <c r="AAQ8" s="1749"/>
      <c r="AAR8" s="1749"/>
      <c r="AAS8" s="1749"/>
      <c r="AAT8" s="1749"/>
      <c r="AAU8" s="1749"/>
      <c r="AAV8" s="1749"/>
      <c r="AAW8" s="1749"/>
      <c r="AAX8" s="1749"/>
      <c r="AAY8" s="1749"/>
      <c r="AAZ8" s="1749"/>
      <c r="ABA8" s="1749"/>
      <c r="ABB8" s="1749"/>
      <c r="ABC8" s="1749"/>
      <c r="ABD8" s="1749"/>
      <c r="ABE8" s="1749"/>
      <c r="ABF8" s="1749"/>
      <c r="ABG8" s="1749"/>
      <c r="ABH8" s="1749"/>
      <c r="ABI8" s="1749"/>
      <c r="ABJ8" s="1749"/>
      <c r="ABK8" s="1749"/>
      <c r="ABL8" s="1749"/>
      <c r="ABM8" s="1749"/>
      <c r="ABN8" s="1749"/>
      <c r="ABO8" s="1749"/>
      <c r="ABP8" s="1749"/>
      <c r="ABQ8" s="1749"/>
    </row>
    <row r="9" spans="1:745" s="1009" customFormat="1" ht="12" hidden="1" customHeight="1">
      <c r="A9" s="1270"/>
      <c r="B9" s="1038"/>
      <c r="C9" s="1039"/>
      <c r="D9" s="1026"/>
      <c r="E9" s="1034"/>
      <c r="F9" s="1034"/>
      <c r="G9" s="1963" t="s">
        <v>1105</v>
      </c>
      <c r="H9" s="1604"/>
      <c r="I9" s="2019">
        <f>IF(L4=1,N4,0)</f>
        <v>2016</v>
      </c>
      <c r="J9" s="2019">
        <f t="shared" ref="J9:AF9" si="0">IF($L4=J6,$N4,IF(J8="Januari",I9+1,I9))*J57</f>
        <v>2016</v>
      </c>
      <c r="K9" s="2019">
        <f t="shared" si="0"/>
        <v>2016</v>
      </c>
      <c r="L9" s="2019">
        <f t="shared" si="0"/>
        <v>2016</v>
      </c>
      <c r="M9" s="2019">
        <f t="shared" si="0"/>
        <v>2016</v>
      </c>
      <c r="N9" s="2019">
        <f t="shared" si="0"/>
        <v>2016</v>
      </c>
      <c r="O9" s="2019">
        <f t="shared" si="0"/>
        <v>2016</v>
      </c>
      <c r="P9" s="2019">
        <f t="shared" si="0"/>
        <v>2016</v>
      </c>
      <c r="Q9" s="2019">
        <f t="shared" si="0"/>
        <v>2016</v>
      </c>
      <c r="R9" s="2019">
        <f t="shared" si="0"/>
        <v>2016</v>
      </c>
      <c r="S9" s="2019">
        <f t="shared" si="0"/>
        <v>2016</v>
      </c>
      <c r="T9" s="2019">
        <f t="shared" si="0"/>
        <v>2016</v>
      </c>
      <c r="U9" s="2019">
        <f t="shared" si="0"/>
        <v>2017</v>
      </c>
      <c r="V9" s="2019">
        <f t="shared" si="0"/>
        <v>2017</v>
      </c>
      <c r="W9" s="2019">
        <f t="shared" si="0"/>
        <v>2017</v>
      </c>
      <c r="X9" s="2019">
        <f t="shared" si="0"/>
        <v>2017</v>
      </c>
      <c r="Y9" s="2019">
        <f t="shared" si="0"/>
        <v>2017</v>
      </c>
      <c r="Z9" s="2019">
        <f t="shared" si="0"/>
        <v>2017</v>
      </c>
      <c r="AA9" s="2019">
        <f t="shared" si="0"/>
        <v>2017</v>
      </c>
      <c r="AB9" s="2019">
        <f t="shared" si="0"/>
        <v>2017</v>
      </c>
      <c r="AC9" s="2019">
        <f t="shared" si="0"/>
        <v>2017</v>
      </c>
      <c r="AD9" s="2019">
        <f t="shared" si="0"/>
        <v>2017</v>
      </c>
      <c r="AE9" s="2019">
        <f t="shared" si="0"/>
        <v>2017</v>
      </c>
      <c r="AF9" s="2019">
        <f t="shared" si="0"/>
        <v>2017</v>
      </c>
      <c r="AG9" s="1605"/>
      <c r="AH9" s="1044"/>
      <c r="AI9" s="1047"/>
      <c r="AJ9" s="1044"/>
      <c r="AL9" s="1034"/>
      <c r="AM9" s="1034"/>
      <c r="AN9" s="1034"/>
    </row>
    <row r="10" spans="1:745" s="1277" customFormat="1" ht="12" hidden="1" customHeight="1">
      <c r="A10" s="1270"/>
      <c r="B10" s="1278"/>
      <c r="C10" s="1272"/>
      <c r="D10" s="1273"/>
      <c r="E10" s="1274"/>
      <c r="F10" s="1274"/>
      <c r="G10" s="1964" t="s">
        <v>1106</v>
      </c>
      <c r="H10" s="1965"/>
      <c r="I10" s="2020">
        <f>LOOKUP(ARBETSBLAD!$L$4,ARBETSBLAD!$I$6:$AF$6,$I9:$AF9)</f>
        <v>2016</v>
      </c>
      <c r="J10" s="2021">
        <f>LOOKUP(ARBETSBLAD!$L$4+ARBETSBLAD!I6,ARBETSBLAD!$I$6:$AF$6,$I9:$AF9)</f>
        <v>2016</v>
      </c>
      <c r="K10" s="2021">
        <f>LOOKUP(ARBETSBLAD!$L$4+ARBETSBLAD!J6,ARBETSBLAD!$I$6:$AF$6,$I9:$AF9)</f>
        <v>2016</v>
      </c>
      <c r="L10" s="2021">
        <f>LOOKUP(ARBETSBLAD!$L$4+ARBETSBLAD!K6,ARBETSBLAD!$I$6:$AF$6,$I9:$AF9)</f>
        <v>2016</v>
      </c>
      <c r="M10" s="2021">
        <f>LOOKUP(ARBETSBLAD!$L$4+ARBETSBLAD!L6,ARBETSBLAD!$I$6:$AF$6,$I9:$AF9)</f>
        <v>2016</v>
      </c>
      <c r="N10" s="2021">
        <f>LOOKUP(ARBETSBLAD!$L$4+ARBETSBLAD!M6,ARBETSBLAD!$I$6:$AF$6,$I9:$AF9)</f>
        <v>2016</v>
      </c>
      <c r="O10" s="2021">
        <f>LOOKUP(ARBETSBLAD!$L$4+ARBETSBLAD!N6,ARBETSBLAD!$I$6:$AF$6,$I9:$AF9)</f>
        <v>2016</v>
      </c>
      <c r="P10" s="2021">
        <f>LOOKUP(ARBETSBLAD!$L$4+ARBETSBLAD!O6,ARBETSBLAD!$I$6:$AF$6,$I9:$AF9)</f>
        <v>2016</v>
      </c>
      <c r="Q10" s="2021">
        <f>LOOKUP(ARBETSBLAD!$L$4+ARBETSBLAD!P6,ARBETSBLAD!$I$6:$AF$6,$I9:$AF9)</f>
        <v>2016</v>
      </c>
      <c r="R10" s="2021">
        <f>LOOKUP(ARBETSBLAD!$L$4+ARBETSBLAD!Q6,ARBETSBLAD!$I$6:$AF$6,$I9:$AF9)</f>
        <v>2016</v>
      </c>
      <c r="S10" s="2021">
        <f>LOOKUP(ARBETSBLAD!$L$4+ARBETSBLAD!R6,ARBETSBLAD!$I$6:$AF$6,$I9:$AF9)</f>
        <v>2016</v>
      </c>
      <c r="T10" s="2021">
        <f>LOOKUP(ARBETSBLAD!$L$4+ARBETSBLAD!S6,ARBETSBLAD!$I$6:$AF$6,$I9:$AF9)</f>
        <v>2016</v>
      </c>
      <c r="U10" s="2021">
        <f>LOOKUP(ARBETSBLAD!$L$4+ARBETSBLAD!T6,ARBETSBLAD!$I$6:$AF$6,$I9:$AF9)</f>
        <v>2017</v>
      </c>
      <c r="V10" s="2021">
        <f>LOOKUP(ARBETSBLAD!$L$4+ARBETSBLAD!U6,ARBETSBLAD!$I$6:$AF$6,$I9:$AF9)*V53</f>
        <v>2017</v>
      </c>
      <c r="W10" s="2021">
        <f>LOOKUP(ARBETSBLAD!$L$4+ARBETSBLAD!V6,ARBETSBLAD!$I$6:$AF$6,$I9:$AF9)*W53</f>
        <v>2017</v>
      </c>
      <c r="X10" s="2021">
        <f>LOOKUP(ARBETSBLAD!$L$4+ARBETSBLAD!W6,ARBETSBLAD!$I$6:$AF$6,$I9:$AF9)*X53</f>
        <v>2017</v>
      </c>
      <c r="Y10" s="2021">
        <f>LOOKUP(ARBETSBLAD!$L$4+ARBETSBLAD!X6,ARBETSBLAD!$I$6:$AF$6,$I9:$AF9)*Y53</f>
        <v>2017</v>
      </c>
      <c r="Z10" s="2021">
        <f>LOOKUP(ARBETSBLAD!$L$4+ARBETSBLAD!Y6,ARBETSBLAD!$I$6:$AF$6,$I9:$AF9)*Z53</f>
        <v>2017</v>
      </c>
      <c r="AA10" s="2021">
        <f>LOOKUP(ARBETSBLAD!$L$4+ARBETSBLAD!Z6,ARBETSBLAD!$I$6:$AF$6,$I9:$AF9)*AA53</f>
        <v>2017</v>
      </c>
      <c r="AB10" s="2021">
        <f>LOOKUP(ARBETSBLAD!$L$4+ARBETSBLAD!AA6,ARBETSBLAD!$I$6:$AF$6,$I9:$AF9)*AB53</f>
        <v>2017</v>
      </c>
      <c r="AC10" s="2021">
        <f>LOOKUP(ARBETSBLAD!$L$4+ARBETSBLAD!AB6,ARBETSBLAD!$I$6:$AF$6,$I9:$AF9)*AC53</f>
        <v>2017</v>
      </c>
      <c r="AD10" s="2021">
        <f>LOOKUP(ARBETSBLAD!$L$4+ARBETSBLAD!AC6,ARBETSBLAD!$I$6:$AF$6,$I9:$AF9)*AD53</f>
        <v>2017</v>
      </c>
      <c r="AE10" s="2021">
        <f>LOOKUP(ARBETSBLAD!$L$4+ARBETSBLAD!AD6,ARBETSBLAD!$I$6:$AF$6,$I9:$AF9)*AE53</f>
        <v>2017</v>
      </c>
      <c r="AF10" s="2021">
        <f>LOOKUP(ARBETSBLAD!$L$4+ARBETSBLAD!AE6,ARBETSBLAD!$I$6:$AF$6,$I9:$AF9)*AF53</f>
        <v>2017</v>
      </c>
      <c r="AG10" s="1276"/>
      <c r="AI10" s="774"/>
      <c r="AJ10" s="773"/>
      <c r="AL10" s="1274"/>
      <c r="AM10" s="1274"/>
      <c r="AN10" s="1274"/>
    </row>
    <row r="11" spans="1:745" s="1502" customFormat="1" ht="12.9" hidden="1" customHeight="1">
      <c r="A11" s="1270"/>
      <c r="B11" s="1773"/>
      <c r="C11" s="1688"/>
      <c r="D11" s="1689"/>
      <c r="E11" s="1690"/>
      <c r="F11" s="1690"/>
      <c r="G11" s="1690"/>
      <c r="H11" s="2027"/>
      <c r="I11" s="2028"/>
      <c r="J11" s="2028"/>
      <c r="K11" s="2028"/>
      <c r="L11" s="2028"/>
      <c r="M11" s="2028"/>
      <c r="N11" s="2028"/>
      <c r="O11" s="2028"/>
      <c r="P11" s="2028"/>
      <c r="Q11" s="2028"/>
      <c r="R11" s="2028"/>
      <c r="S11" s="2028"/>
      <c r="T11" s="2028"/>
      <c r="U11" s="2028"/>
      <c r="V11" s="2028"/>
      <c r="W11" s="2028"/>
      <c r="X11" s="2028"/>
      <c r="Y11" s="2028"/>
      <c r="Z11" s="2028"/>
      <c r="AA11" s="2028"/>
      <c r="AB11" s="2028"/>
      <c r="AC11" s="2028"/>
      <c r="AD11" s="2028"/>
      <c r="AE11" s="2028"/>
      <c r="AF11" s="2028"/>
      <c r="AG11" s="1315"/>
      <c r="AH11" s="1282"/>
      <c r="AI11" s="1491"/>
      <c r="AJ11" s="1491"/>
      <c r="AL11" s="1274"/>
      <c r="AM11" s="1274"/>
      <c r="AN11" s="1274"/>
    </row>
    <row r="12" spans="1:745" s="1290" customFormat="1" ht="12.75" hidden="1" customHeight="1">
      <c r="A12" s="1270"/>
      <c r="B12" s="1284" t="s">
        <v>53</v>
      </c>
      <c r="C12" s="1285"/>
      <c r="D12" s="1285"/>
      <c r="E12" s="1285"/>
      <c r="F12" s="1286"/>
      <c r="G12" s="1287"/>
      <c r="H12" s="1288"/>
      <c r="I12" s="370"/>
      <c r="J12" s="378"/>
      <c r="K12" s="378"/>
      <c r="L12" s="378"/>
      <c r="M12" s="378"/>
      <c r="N12" s="378"/>
      <c r="O12" s="378"/>
      <c r="P12" s="378"/>
      <c r="Q12" s="378"/>
      <c r="R12" s="378"/>
      <c r="S12" s="378"/>
      <c r="T12" s="378"/>
      <c r="U12" s="378"/>
      <c r="V12" s="378"/>
      <c r="W12" s="378"/>
      <c r="X12" s="378"/>
      <c r="Y12" s="378"/>
      <c r="Z12" s="378"/>
      <c r="AA12" s="378"/>
      <c r="AB12" s="378"/>
      <c r="AC12" s="378"/>
      <c r="AD12" s="378"/>
      <c r="AE12" s="378"/>
      <c r="AF12" s="371"/>
      <c r="AG12" s="766"/>
      <c r="AH12" s="1289"/>
      <c r="AI12" s="1289"/>
      <c r="AJ12" s="1289"/>
      <c r="AL12" s="1291"/>
      <c r="AM12" s="1292"/>
      <c r="AN12" s="1293"/>
    </row>
    <row r="13" spans="1:745" s="1290" customFormat="1" ht="12.75" hidden="1" customHeight="1">
      <c r="A13" s="1270"/>
      <c r="B13" s="1294" t="s">
        <v>351</v>
      </c>
      <c r="C13" s="191"/>
      <c r="D13" s="191"/>
      <c r="E13" s="191"/>
      <c r="F13" s="1295"/>
      <c r="G13" s="1296"/>
      <c r="H13" s="191"/>
      <c r="I13" s="381">
        <f>LOOKUP(ARBETSBLAD!$L$4,ARBETSBLAD!$I$6:$AF$6,ARBETSBLAD!$I33:$AF33)</f>
        <v>0</v>
      </c>
      <c r="J13" s="381">
        <f>LOOKUP((ARBETSBLAD!$L$4+SUM($I$52:I52)),ARBETSBLAD!$I$6:$AF$6,ARBETSBLAD!$I33:$AF33)</f>
        <v>0</v>
      </c>
      <c r="K13" s="381">
        <f>LOOKUP((ARBETSBLAD!$L$4+SUM($I$52:J52)),ARBETSBLAD!$I$6:$AF$6,ARBETSBLAD!$I33:$AF33)</f>
        <v>0</v>
      </c>
      <c r="L13" s="381">
        <f>LOOKUP((ARBETSBLAD!$L$4+SUM($I$52:K52)),ARBETSBLAD!$I$6:$AF$6,ARBETSBLAD!$I33:$AF33)</f>
        <v>0</v>
      </c>
      <c r="M13" s="381">
        <f>LOOKUP((ARBETSBLAD!$L$4+SUM($I$52:L52)),ARBETSBLAD!$I$6:$AF$6,ARBETSBLAD!$I33:$AF33)</f>
        <v>0</v>
      </c>
      <c r="N13" s="381">
        <f>LOOKUP((ARBETSBLAD!$L$4+SUM($I$52:M52)),ARBETSBLAD!$I$6:$AF$6,ARBETSBLAD!$I33:$AF33)</f>
        <v>0</v>
      </c>
      <c r="O13" s="381">
        <f>LOOKUP((ARBETSBLAD!$L$4+SUM($I$52:N52)),ARBETSBLAD!$I$6:$AF$6,ARBETSBLAD!$I33:$AF33)</f>
        <v>0</v>
      </c>
      <c r="P13" s="381">
        <f>LOOKUP((ARBETSBLAD!$L$4+SUM($I$52:O52)),ARBETSBLAD!$I$6:$AF$6,ARBETSBLAD!$I33:$AF33)</f>
        <v>0</v>
      </c>
      <c r="Q13" s="381">
        <f>LOOKUP((ARBETSBLAD!$L$4+SUM($I$52:P52)),ARBETSBLAD!$I$6:$AF$6,ARBETSBLAD!$I33:$AF33)</f>
        <v>0</v>
      </c>
      <c r="R13" s="381">
        <f>LOOKUP((ARBETSBLAD!$L$4+SUM($I$52:Q52)),ARBETSBLAD!$I$6:$AF$6,ARBETSBLAD!$I33:$AF33)</f>
        <v>0</v>
      </c>
      <c r="S13" s="381">
        <f>LOOKUP((ARBETSBLAD!$L$4+SUM($I$52:R52)),ARBETSBLAD!$I$6:$AF$6,ARBETSBLAD!$I33:$AF33)</f>
        <v>0</v>
      </c>
      <c r="T13" s="381">
        <f>LOOKUP((ARBETSBLAD!$L$4+SUM($I$52:S52)),ARBETSBLAD!$I$6:$AF$6,ARBETSBLAD!$I33:$AF33)</f>
        <v>0</v>
      </c>
      <c r="U13" s="381">
        <f>LOOKUP((ARBETSBLAD!$L$4+SUM($I$52:T52)),ARBETSBLAD!$I$6:$AF$6,ARBETSBLAD!$I33:$AF33)</f>
        <v>0</v>
      </c>
      <c r="V13" s="381">
        <f>LOOKUP((ARBETSBLAD!$L$4+SUM($I$52:U52)),ARBETSBLAD!$I$6:$AF$6,ARBETSBLAD!$I33:$AF33)*V53</f>
        <v>0</v>
      </c>
      <c r="W13" s="381">
        <f>LOOKUP((ARBETSBLAD!$L$4+SUM($I$52:V52)),ARBETSBLAD!$I$6:$AF$6,ARBETSBLAD!$I33:$AF33)*W53</f>
        <v>0</v>
      </c>
      <c r="X13" s="381">
        <f>LOOKUP((ARBETSBLAD!$L$4+SUM($I$52:W52)),ARBETSBLAD!$I$6:$AF$6,ARBETSBLAD!$I33:$AF33)*X53</f>
        <v>0</v>
      </c>
      <c r="Y13" s="381">
        <f>LOOKUP((ARBETSBLAD!$L$4+SUM($I$52:X52)),ARBETSBLAD!$I$6:$AF$6,ARBETSBLAD!$I33:$AF33)*Y53</f>
        <v>0</v>
      </c>
      <c r="Z13" s="381">
        <f>LOOKUP((ARBETSBLAD!$L$4+SUM($I$52:Y52)),ARBETSBLAD!$I$6:$AF$6,ARBETSBLAD!$I33:$AF33)*Z53</f>
        <v>0</v>
      </c>
      <c r="AA13" s="381">
        <f>LOOKUP((ARBETSBLAD!$L$4+SUM($I$52:Z52)),ARBETSBLAD!$I$6:$AF$6,ARBETSBLAD!$I33:$AF33)*AA53</f>
        <v>0</v>
      </c>
      <c r="AB13" s="381">
        <f>LOOKUP((ARBETSBLAD!$L$4+SUM($I$52:AA52)),ARBETSBLAD!$I$6:$AF$6,ARBETSBLAD!$I33:$AF33)*AB53</f>
        <v>0</v>
      </c>
      <c r="AC13" s="381">
        <f>LOOKUP((ARBETSBLAD!$L$4+SUM($I$52:AB52)),ARBETSBLAD!$I$6:$AF$6,ARBETSBLAD!$I33:$AF33)*AC53</f>
        <v>0</v>
      </c>
      <c r="AD13" s="381">
        <f>LOOKUP((ARBETSBLAD!$L$4+SUM($I$52:AC52)),ARBETSBLAD!$I$6:$AF$6,ARBETSBLAD!$I33:$AF33)*AD53</f>
        <v>0</v>
      </c>
      <c r="AE13" s="381">
        <f>LOOKUP((ARBETSBLAD!$L$4+SUM($I$52:AD52)),ARBETSBLAD!$I$6:$AF$6,ARBETSBLAD!$I33:$AF33)*AE53</f>
        <v>0</v>
      </c>
      <c r="AF13" s="381">
        <f>LOOKUP((ARBETSBLAD!$L$4+SUM($I$52:AE52)),ARBETSBLAD!$I$6:$AF$6,ARBETSBLAD!$I33:$AF33)*AF53</f>
        <v>0</v>
      </c>
      <c r="AG13" s="769"/>
      <c r="AH13" s="767">
        <f>IF($C$57=1,SUMIF(I$57:T$57,1,I13:T13),IF($C$57=2,SUMIF(O$57:AF$57,1,O13:AF13)))</f>
        <v>0</v>
      </c>
      <c r="AI13" s="434"/>
      <c r="AJ13" s="768">
        <f>IF($C$57=1,SUM(U13:AF13),0)</f>
        <v>0</v>
      </c>
      <c r="AL13" s="1291"/>
      <c r="AM13" s="1292"/>
      <c r="AN13" s="1293"/>
    </row>
    <row r="14" spans="1:745" s="1290" customFormat="1" ht="12.75" hidden="1" customHeight="1">
      <c r="A14" s="1270"/>
      <c r="B14" s="1297" t="s">
        <v>878</v>
      </c>
      <c r="C14" s="191"/>
      <c r="D14" s="191"/>
      <c r="E14" s="191"/>
      <c r="F14" s="1295"/>
      <c r="G14" s="1296"/>
      <c r="H14" s="191"/>
      <c r="I14" s="383">
        <f>LOOKUP(ARBETSBLAD!$L$4,ARBETSBLAD!$I$6:$AF$6,ARBETSBLAD!$I$273:$AF$273)+LOOKUP(ARBETSBLAD!$L$4,ARBETSBLAD!$I$6:$AF$6,ARBETSBLAD!$I$259:$AF$259)</f>
        <v>0</v>
      </c>
      <c r="J14" s="383">
        <f>LOOKUP((ARBETSBLAD!$L$4+SUM($I$52:I52)),ARBETSBLAD!$I$6:$AF$6,ARBETSBLAD!$I$273:$AF$273)+LOOKUP((ARBETSBLAD!$L$4+SUM($I$52:I52)),ARBETSBLAD!$I$6:$AF$6,ARBETSBLAD!$I$259:$AF$259)</f>
        <v>0</v>
      </c>
      <c r="K14" s="383">
        <f>LOOKUP((ARBETSBLAD!$L$4+SUM($I$52:J52)),ARBETSBLAD!$I$6:$AF$6,ARBETSBLAD!$I$273:$AF$273)+LOOKUP((ARBETSBLAD!$L$4+SUM($I$52:J52)),ARBETSBLAD!$I$6:$AF$6,ARBETSBLAD!$I$259:$AF$259)</f>
        <v>0</v>
      </c>
      <c r="L14" s="383">
        <f>LOOKUP((ARBETSBLAD!$L$4+SUM($I$52:K52)),ARBETSBLAD!$I$6:$AF$6,ARBETSBLAD!$I$273:$AF$273)+LOOKUP((ARBETSBLAD!$L$4+SUM($I$52:K52)),ARBETSBLAD!$I$6:$AF$6,ARBETSBLAD!$I$259:$AF$259)</f>
        <v>0</v>
      </c>
      <c r="M14" s="383">
        <f>LOOKUP((ARBETSBLAD!$L$4+SUM($I$52:L52)),ARBETSBLAD!$I$6:$AF$6,ARBETSBLAD!$I$273:$AF$273)+LOOKUP((ARBETSBLAD!$L$4+SUM($I$52:L52)),ARBETSBLAD!$I$6:$AF$6,ARBETSBLAD!$I$259:$AF$259)</f>
        <v>0</v>
      </c>
      <c r="N14" s="383">
        <f>LOOKUP((ARBETSBLAD!$L$4+SUM($I$52:M52)),ARBETSBLAD!$I$6:$AF$6,ARBETSBLAD!$I$273:$AF$273)+LOOKUP((ARBETSBLAD!$L$4+SUM($I$52:M52)),ARBETSBLAD!$I$6:$AF$6,ARBETSBLAD!$I$259:$AF$259)</f>
        <v>0</v>
      </c>
      <c r="O14" s="383">
        <f>LOOKUP((ARBETSBLAD!$L$4+SUM($I$52:N52)),ARBETSBLAD!$I$6:$AF$6,ARBETSBLAD!$I$273:$AF$273)+LOOKUP((ARBETSBLAD!$L$4+SUM($I$52:N52)),ARBETSBLAD!$I$6:$AF$6,ARBETSBLAD!$I$259:$AF$259)</f>
        <v>0</v>
      </c>
      <c r="P14" s="383">
        <f>LOOKUP((ARBETSBLAD!$L$4+SUM($I$52:O52)),ARBETSBLAD!$I$6:$AF$6,ARBETSBLAD!$I$273:$AF$273)+LOOKUP((ARBETSBLAD!$L$4+SUM($I$52:O52)),ARBETSBLAD!$I$6:$AF$6,ARBETSBLAD!$I$259:$AF$259)</f>
        <v>0</v>
      </c>
      <c r="Q14" s="383">
        <f>LOOKUP((ARBETSBLAD!$L$4+SUM($I$52:P52)),ARBETSBLAD!$I$6:$AF$6,ARBETSBLAD!$I$273:$AF$273)+LOOKUP((ARBETSBLAD!$L$4+SUM($I$52:P52)),ARBETSBLAD!$I$6:$AF$6,ARBETSBLAD!$I$259:$AF$259)</f>
        <v>0</v>
      </c>
      <c r="R14" s="383">
        <f>LOOKUP((ARBETSBLAD!$L$4+SUM($I$52:Q52)),ARBETSBLAD!$I$6:$AF$6,ARBETSBLAD!$I$273:$AF$273)+LOOKUP((ARBETSBLAD!$L$4+SUM($I$52:Q52)),ARBETSBLAD!$I$6:$AF$6,ARBETSBLAD!$I$259:$AF$259)</f>
        <v>0</v>
      </c>
      <c r="S14" s="383">
        <f>LOOKUP((ARBETSBLAD!$L$4+SUM($I$52:R52)),ARBETSBLAD!$I$6:$AF$6,ARBETSBLAD!$I$273:$AF$273)+LOOKUP((ARBETSBLAD!$L$4+SUM($I$52:R52)),ARBETSBLAD!$I$6:$AF$6,ARBETSBLAD!$I$259:$AF$259)</f>
        <v>0</v>
      </c>
      <c r="T14" s="383">
        <f>LOOKUP((ARBETSBLAD!$L$4+SUM($I$52:S52)),ARBETSBLAD!$I$6:$AF$6,ARBETSBLAD!$I$273:$AF$273)+LOOKUP((ARBETSBLAD!$L$4+SUM($I$52:S52)),ARBETSBLAD!$I$6:$AF$6,ARBETSBLAD!$I$259:$AF$259)</f>
        <v>0</v>
      </c>
      <c r="U14" s="383">
        <f>LOOKUP((ARBETSBLAD!$L$4+SUM($I$52:T52)),ARBETSBLAD!$I$6:$AF$6,ARBETSBLAD!$I$273:$AF$273)+LOOKUP((ARBETSBLAD!$L$4+SUM($I$52:T52)),ARBETSBLAD!$I$6:$AF$6,ARBETSBLAD!$I$259:$AF$259)</f>
        <v>0</v>
      </c>
      <c r="V14" s="383">
        <f>LOOKUP((ARBETSBLAD!$L$4+SUM($I$52:U52)),ARBETSBLAD!$I$6:$AF$6,ARBETSBLAD!$I$273:$AF$273)+LOOKUP((ARBETSBLAD!$L$4+SUM($I$52:U52)),ARBETSBLAD!$I$6:$AF$6,ARBETSBLAD!$I$259:$AF$259)*V53</f>
        <v>0</v>
      </c>
      <c r="W14" s="383">
        <f>LOOKUP((ARBETSBLAD!$L$4+SUM($I$52:V52)),ARBETSBLAD!$I$6:$AF$6,ARBETSBLAD!$I$273:$AF$273)+LOOKUP((ARBETSBLAD!$L$4+SUM($I$52:V52)),ARBETSBLAD!$I$6:$AF$6,ARBETSBLAD!$I$259:$AF$259)*W53</f>
        <v>0</v>
      </c>
      <c r="X14" s="383">
        <f>LOOKUP((ARBETSBLAD!$L$4+SUM($I$52:W52)),ARBETSBLAD!$I$6:$AF$6,ARBETSBLAD!$I$273:$AF$273)+LOOKUP((ARBETSBLAD!$L$4+SUM($I$52:W52)),ARBETSBLAD!$I$6:$AF$6,ARBETSBLAD!$I$259:$AF$259)*X53</f>
        <v>0</v>
      </c>
      <c r="Y14" s="383">
        <f>LOOKUP((ARBETSBLAD!$L$4+SUM($I$52:X52)),ARBETSBLAD!$I$6:$AF$6,ARBETSBLAD!$I$273:$AF$273)+LOOKUP((ARBETSBLAD!$L$4+SUM($I$52:X52)),ARBETSBLAD!$I$6:$AF$6,ARBETSBLAD!$I$259:$AF$259)*Y53</f>
        <v>0</v>
      </c>
      <c r="Z14" s="383">
        <f>LOOKUP((ARBETSBLAD!$L$4+SUM($I$52:Y52)),ARBETSBLAD!$I$6:$AF$6,ARBETSBLAD!$I$273:$AF$273)+LOOKUP((ARBETSBLAD!$L$4+SUM($I$52:Y52)),ARBETSBLAD!$I$6:$AF$6,ARBETSBLAD!$I$259:$AF$259)*Z53</f>
        <v>0</v>
      </c>
      <c r="AA14" s="383">
        <f>LOOKUP((ARBETSBLAD!$L$4+SUM($I$52:Z52)),ARBETSBLAD!$I$6:$AF$6,ARBETSBLAD!$I$273:$AF$273)+LOOKUP((ARBETSBLAD!$L$4+SUM($I$52:Z52)),ARBETSBLAD!$I$6:$AF$6,ARBETSBLAD!$I$259:$AF$259)*AA53</f>
        <v>0</v>
      </c>
      <c r="AB14" s="383">
        <f>LOOKUP((ARBETSBLAD!$L$4+SUM($I$52:AA52)),ARBETSBLAD!$I$6:$AF$6,ARBETSBLAD!$I$273:$AF$273)+LOOKUP((ARBETSBLAD!$L$4+SUM($I$52:AA52)),ARBETSBLAD!$I$6:$AF$6,ARBETSBLAD!$I$259:$AF$259)*AB53</f>
        <v>0</v>
      </c>
      <c r="AC14" s="383">
        <f>LOOKUP((ARBETSBLAD!$L$4+SUM($I$52:AB52)),ARBETSBLAD!$I$6:$AF$6,ARBETSBLAD!$I$273:$AF$273)+LOOKUP((ARBETSBLAD!$L$4+SUM($I$52:AB52)),ARBETSBLAD!$I$6:$AF$6,ARBETSBLAD!$I$259:$AF$259)*AC53</f>
        <v>0</v>
      </c>
      <c r="AD14" s="383">
        <f>LOOKUP((ARBETSBLAD!$L$4+SUM($I$52:AC52)),ARBETSBLAD!$I$6:$AF$6,ARBETSBLAD!$I$273:$AF$273)+LOOKUP((ARBETSBLAD!$L$4+SUM($I$52:AC52)),ARBETSBLAD!$I$6:$AF$6,ARBETSBLAD!$I$259:$AF$259)*AD53</f>
        <v>0</v>
      </c>
      <c r="AE14" s="383">
        <f>LOOKUP((ARBETSBLAD!$L$4+SUM($I$52:AD52)),ARBETSBLAD!$I$6:$AF$6,ARBETSBLAD!$I$273:$AF$273)+LOOKUP((ARBETSBLAD!$L$4+SUM($I$52:AD52)),ARBETSBLAD!$I$6:$AF$6,ARBETSBLAD!$I$259:$AF$259)*AE53</f>
        <v>0</v>
      </c>
      <c r="AF14" s="383">
        <f>LOOKUP((ARBETSBLAD!$L$4+SUM($I$52:AE52)),ARBETSBLAD!$I$6:$AF$6,ARBETSBLAD!$I$273:$AF$273)+LOOKUP((ARBETSBLAD!$L$4+SUM($I$52:AE52)),ARBETSBLAD!$I$6:$AF$6,ARBETSBLAD!$I$259:$AF$259)*AF53</f>
        <v>0</v>
      </c>
      <c r="AG14" s="769"/>
      <c r="AH14" s="767">
        <f>IF($C$57=1,SUMIF(I$57:T$57,1,I14:T14),IF($C$57=2,SUMIF(O$57:AF$57,1,O14:AF14)))</f>
        <v>0</v>
      </c>
      <c r="AI14" s="434"/>
      <c r="AJ14" s="768">
        <f>IF($C$57=1,SUM(U14:AF14),0)</f>
        <v>0</v>
      </c>
      <c r="AL14" s="1291"/>
      <c r="AM14" s="1292"/>
      <c r="AN14" s="1293"/>
    </row>
    <row r="15" spans="1:745" s="1290" customFormat="1" ht="12.75" hidden="1" customHeight="1">
      <c r="A15" s="1270"/>
      <c r="B15" s="2378" t="s">
        <v>1285</v>
      </c>
      <c r="C15" s="191"/>
      <c r="D15" s="191"/>
      <c r="E15" s="191"/>
      <c r="F15" s="1295"/>
      <c r="G15" s="1296"/>
      <c r="H15" s="191"/>
      <c r="I15" s="2381">
        <f>LOOKUP(ARBETSBLAD!$L$4,ARBETSBLAD!$I$6:$AF$6,ARBETSBLAD!$I138:$AF138)</f>
        <v>0</v>
      </c>
      <c r="J15" s="2381">
        <f>LOOKUP((ARBETSBLAD!$L$4+SUM($I$52:I52)),ARBETSBLAD!$I$6:$AF$6,ARBETSBLAD!$I138:$AF138)</f>
        <v>0</v>
      </c>
      <c r="K15" s="2381">
        <f>LOOKUP((ARBETSBLAD!$L$4+SUM($I$52:J52)),ARBETSBLAD!$I$6:$AF$6,ARBETSBLAD!$I138:$AF138)</f>
        <v>0</v>
      </c>
      <c r="L15" s="2381">
        <f>LOOKUP((ARBETSBLAD!$L$4+SUM($I$52:K52)),ARBETSBLAD!$I$6:$AF$6,ARBETSBLAD!$I138:$AF138)</f>
        <v>0</v>
      </c>
      <c r="M15" s="2381">
        <f>LOOKUP((ARBETSBLAD!$L$4+SUM($I$52:L52)),ARBETSBLAD!$I$6:$AF$6,ARBETSBLAD!$I138:$AF138)</f>
        <v>0</v>
      </c>
      <c r="N15" s="2381">
        <f>LOOKUP((ARBETSBLAD!$L$4+SUM($I$52:M52)),ARBETSBLAD!$I$6:$AF$6,ARBETSBLAD!$I138:$AF138)</f>
        <v>0</v>
      </c>
      <c r="O15" s="2381">
        <f>LOOKUP((ARBETSBLAD!$L$4+SUM($I$52:N52)),ARBETSBLAD!$I$6:$AF$6,ARBETSBLAD!$I138:$AF138)</f>
        <v>0</v>
      </c>
      <c r="P15" s="2381">
        <f>LOOKUP((ARBETSBLAD!$L$4+SUM($I$52:O52)),ARBETSBLAD!$I$6:$AF$6,ARBETSBLAD!$I138:$AF138)</f>
        <v>0</v>
      </c>
      <c r="Q15" s="2381">
        <f>LOOKUP((ARBETSBLAD!$L$4+SUM($I$52:P52)),ARBETSBLAD!$I$6:$AF$6,ARBETSBLAD!$I138:$AF138)</f>
        <v>0</v>
      </c>
      <c r="R15" s="2381">
        <f>LOOKUP((ARBETSBLAD!$L$4+SUM($I$52:Q52)),ARBETSBLAD!$I$6:$AF$6,ARBETSBLAD!$I138:$AF138)</f>
        <v>0</v>
      </c>
      <c r="S15" s="2381">
        <f>LOOKUP((ARBETSBLAD!$L$4+SUM($I$52:R52)),ARBETSBLAD!$I$6:$AF$6,ARBETSBLAD!$I138:$AF138)</f>
        <v>0</v>
      </c>
      <c r="T15" s="2381">
        <f>LOOKUP((ARBETSBLAD!$L$4+SUM($I$52:S52)),ARBETSBLAD!$I$6:$AF$6,ARBETSBLAD!$I138:$AF138)</f>
        <v>0</v>
      </c>
      <c r="U15" s="2381">
        <f>LOOKUP((ARBETSBLAD!$L$4+SUM($I$52:T52)),ARBETSBLAD!$I$6:$AF$6,ARBETSBLAD!$I138:$AF138)</f>
        <v>0</v>
      </c>
      <c r="V15" s="2381">
        <f>LOOKUP((ARBETSBLAD!$L$4+SUM($I$52:U52)),ARBETSBLAD!$I$6:$AF$6,ARBETSBLAD!$I138:$AF138)*V53</f>
        <v>0</v>
      </c>
      <c r="W15" s="2381">
        <f>LOOKUP((ARBETSBLAD!$L$4+SUM($I$52:V52)),ARBETSBLAD!$I$6:$AF$6,ARBETSBLAD!$I138:$AF138)*W53</f>
        <v>0</v>
      </c>
      <c r="X15" s="2381">
        <f>LOOKUP((ARBETSBLAD!$L$4+SUM($I$52:W52)),ARBETSBLAD!$I$6:$AF$6,ARBETSBLAD!$I138:$AF138)*X53</f>
        <v>0</v>
      </c>
      <c r="Y15" s="2381">
        <f>LOOKUP((ARBETSBLAD!$L$4+SUM($I$52:X52)),ARBETSBLAD!$I$6:$AF$6,ARBETSBLAD!$I138:$AF138)*Y53</f>
        <v>0</v>
      </c>
      <c r="Z15" s="2381">
        <f>LOOKUP((ARBETSBLAD!$L$4+SUM($I$52:Y52)),ARBETSBLAD!$I$6:$AF$6,ARBETSBLAD!$I138:$AF138)*Z53</f>
        <v>0</v>
      </c>
      <c r="AA15" s="2381">
        <f>LOOKUP((ARBETSBLAD!$L$4+SUM($I$52:Z52)),ARBETSBLAD!$I$6:$AF$6,ARBETSBLAD!$I138:$AF138)*AA53</f>
        <v>0</v>
      </c>
      <c r="AB15" s="2381">
        <f>LOOKUP((ARBETSBLAD!$L$4+SUM($I$52:AA52)),ARBETSBLAD!$I$6:$AF$6,ARBETSBLAD!$I138:$AF138)*AB53</f>
        <v>0</v>
      </c>
      <c r="AC15" s="2381">
        <f>LOOKUP((ARBETSBLAD!$L$4+SUM($I$52:AB52)),ARBETSBLAD!$I$6:$AF$6,ARBETSBLAD!$I138:$AF138)*AC53</f>
        <v>0</v>
      </c>
      <c r="AD15" s="2381">
        <f>LOOKUP((ARBETSBLAD!$L$4+SUM($I$52:AC52)),ARBETSBLAD!$I$6:$AF$6,ARBETSBLAD!$I138:$AF138)*AD53</f>
        <v>0</v>
      </c>
      <c r="AE15" s="2381">
        <f>LOOKUP((ARBETSBLAD!$L$4+SUM($I$52:AD52)),ARBETSBLAD!$I$6:$AF$6,ARBETSBLAD!$I138:$AF138)*AE53</f>
        <v>0</v>
      </c>
      <c r="AF15" s="2381">
        <f>LOOKUP((ARBETSBLAD!$L$4+SUM($I$52:AE52)),ARBETSBLAD!$I$6:$AF$6,ARBETSBLAD!$I138:$AF138)*AF53</f>
        <v>0</v>
      </c>
      <c r="AG15" s="769"/>
      <c r="AH15" s="2379"/>
      <c r="AI15" s="434"/>
      <c r="AJ15" s="2380"/>
      <c r="AL15" s="1291"/>
      <c r="AM15" s="1292"/>
      <c r="AN15" s="1293"/>
    </row>
    <row r="16" spans="1:745" s="1290" customFormat="1" ht="12.75" hidden="1" customHeight="1">
      <c r="A16" s="1270"/>
      <c r="B16" s="1294" t="s">
        <v>353</v>
      </c>
      <c r="C16" s="191"/>
      <c r="D16" s="191"/>
      <c r="E16" s="191"/>
      <c r="F16" s="1295"/>
      <c r="G16" s="1296"/>
      <c r="H16" s="191"/>
      <c r="I16" s="382">
        <f>LOOKUP(ARBETSBLAD!$L$4,ARBETSBLAD!$I$6:$AF$6,ARBETSBLAD!$I76:$AF76)</f>
        <v>0</v>
      </c>
      <c r="J16" s="382">
        <f>LOOKUP(ARBETSBLAD!$L$4+SUM($I$52:I52),ARBETSBLAD!$I$6:$AF$6,ARBETSBLAD!$I76:$AF76)</f>
        <v>0</v>
      </c>
      <c r="K16" s="382">
        <f>LOOKUP(ARBETSBLAD!$L$4+SUM($I$52:J52),ARBETSBLAD!$I$6:$AF$6,ARBETSBLAD!$I76:$AF76)</f>
        <v>0</v>
      </c>
      <c r="L16" s="382">
        <f>LOOKUP(ARBETSBLAD!$L$4+SUM($I$52:K52),ARBETSBLAD!$I$6:$AF$6,ARBETSBLAD!$I76:$AF76)</f>
        <v>0</v>
      </c>
      <c r="M16" s="382">
        <f>LOOKUP(ARBETSBLAD!$L$4+SUM($I$52:L52),ARBETSBLAD!$I$6:$AF$6,ARBETSBLAD!$I76:$AF76)</f>
        <v>0</v>
      </c>
      <c r="N16" s="382">
        <f>LOOKUP(ARBETSBLAD!$L$4+SUM($I$52:M52),ARBETSBLAD!$I$6:$AF$6,ARBETSBLAD!$I76:$AF76)</f>
        <v>0</v>
      </c>
      <c r="O16" s="382">
        <f>LOOKUP(ARBETSBLAD!$L$4+SUM($I$52:N52),ARBETSBLAD!$I$6:$AF$6,ARBETSBLAD!$I76:$AF76)</f>
        <v>0</v>
      </c>
      <c r="P16" s="382">
        <f>LOOKUP(ARBETSBLAD!$L$4+SUM($I$52:O52),ARBETSBLAD!$I$6:$AF$6,ARBETSBLAD!$I76:$AF76)</f>
        <v>0</v>
      </c>
      <c r="Q16" s="382">
        <f>LOOKUP(ARBETSBLAD!$L$4+SUM($I$52:P52),ARBETSBLAD!$I$6:$AF$6,ARBETSBLAD!$I76:$AF76)</f>
        <v>0</v>
      </c>
      <c r="R16" s="382">
        <f>LOOKUP(ARBETSBLAD!$L$4+SUM($I$52:Q52),ARBETSBLAD!$I$6:$AF$6,ARBETSBLAD!$I76:$AF76)</f>
        <v>0</v>
      </c>
      <c r="S16" s="382">
        <f>LOOKUP(ARBETSBLAD!$L$4+SUM($I$52:R52),ARBETSBLAD!$I$6:$AF$6,ARBETSBLAD!$I76:$AF76)</f>
        <v>0</v>
      </c>
      <c r="T16" s="382">
        <f>LOOKUP(ARBETSBLAD!$L$4+SUM($I$52:S52),ARBETSBLAD!$I$6:$AF$6,ARBETSBLAD!$I76:$AF76)</f>
        <v>0</v>
      </c>
      <c r="U16" s="382">
        <f>LOOKUP(ARBETSBLAD!$L$4+SUM($I$52:T52),ARBETSBLAD!$I$6:$AF$6,ARBETSBLAD!$I76:$AF76)</f>
        <v>0</v>
      </c>
      <c r="V16" s="382">
        <f>LOOKUP(ARBETSBLAD!$L$4+SUM($I$52:U52),ARBETSBLAD!$I$6:$AF$6,ARBETSBLAD!$I76:$AF76)*V$53</f>
        <v>0</v>
      </c>
      <c r="W16" s="382">
        <f>LOOKUP(ARBETSBLAD!$L$4+SUM($I$52:V52),ARBETSBLAD!$I$6:$AF$6,ARBETSBLAD!$I76:$AF76)*W$53</f>
        <v>0</v>
      </c>
      <c r="X16" s="382">
        <f>LOOKUP(ARBETSBLAD!$L$4+SUM($I$52:W52),ARBETSBLAD!$I$6:$AF$6,ARBETSBLAD!$I76:$AF76)*X$53</f>
        <v>0</v>
      </c>
      <c r="Y16" s="382">
        <f>LOOKUP(ARBETSBLAD!$L$4+SUM($I$52:X52),ARBETSBLAD!$I$6:$AF$6,ARBETSBLAD!$I76:$AF76)*Y$53</f>
        <v>0</v>
      </c>
      <c r="Z16" s="382">
        <f>LOOKUP(ARBETSBLAD!$L$4+SUM($I$52:Y52),ARBETSBLAD!$I$6:$AF$6,ARBETSBLAD!$I76:$AF76)*Z$53</f>
        <v>0</v>
      </c>
      <c r="AA16" s="382">
        <f>LOOKUP(ARBETSBLAD!$L$4+SUM($I$52:Z52),ARBETSBLAD!$I$6:$AF$6,ARBETSBLAD!$I76:$AF76)*AA$53</f>
        <v>0</v>
      </c>
      <c r="AB16" s="382">
        <f>LOOKUP(ARBETSBLAD!$L$4+SUM($I$52:AA52),ARBETSBLAD!$I$6:$AF$6,ARBETSBLAD!$I76:$AF76)*AB$53</f>
        <v>0</v>
      </c>
      <c r="AC16" s="382">
        <f>LOOKUP(ARBETSBLAD!$L$4+SUM($I$52:AB52),ARBETSBLAD!$I$6:$AF$6,ARBETSBLAD!$I76:$AF76)*AC$53</f>
        <v>0</v>
      </c>
      <c r="AD16" s="382">
        <f>LOOKUP(ARBETSBLAD!$L$4+SUM($I$52:AC52),ARBETSBLAD!$I$6:$AF$6,ARBETSBLAD!$I76:$AF76)*AD$53</f>
        <v>0</v>
      </c>
      <c r="AE16" s="382">
        <f>LOOKUP(ARBETSBLAD!$L$4+SUM($I$52:AD52),ARBETSBLAD!$I$6:$AF$6,ARBETSBLAD!$I76:$AF76)*AE$53</f>
        <v>0</v>
      </c>
      <c r="AF16" s="382">
        <f>LOOKUP(ARBETSBLAD!$L$4+SUM($I$52:AE52),ARBETSBLAD!$I$6:$AF$6,ARBETSBLAD!$I76:$AF76)*AF$53</f>
        <v>0</v>
      </c>
      <c r="AG16" s="769"/>
      <c r="AH16" s="767">
        <f t="shared" ref="AH16:AH37" si="1">IF($C$57=1,SUMIF(I$57:T$57,1,I16:T16),IF($C$57=2,SUMIF(O$57:AF$57,1,O16:AF16)))</f>
        <v>0</v>
      </c>
      <c r="AI16" s="434"/>
      <c r="AJ16" s="768">
        <f t="shared" ref="AJ16:AJ37" si="2">IF($C$57=1,SUM(U16:AF16),0)</f>
        <v>0</v>
      </c>
      <c r="AL16" s="1291"/>
      <c r="AM16" s="1292"/>
      <c r="AN16" s="1293"/>
    </row>
    <row r="17" spans="1:40" s="1290" customFormat="1" ht="12.75" hidden="1" customHeight="1">
      <c r="A17" s="1270"/>
      <c r="B17" s="1294" t="s">
        <v>349</v>
      </c>
      <c r="C17" s="191"/>
      <c r="D17" s="191"/>
      <c r="E17" s="191"/>
      <c r="F17" s="1295"/>
      <c r="G17" s="1296"/>
      <c r="H17" s="191"/>
      <c r="I17" s="381">
        <f>LOOKUP(ARBETSBLAD!$L$4,ARBETSBLAD!$I$6:$AF$6,ARBETSBLAD!$I80:$AF80)</f>
        <v>0</v>
      </c>
      <c r="J17" s="381">
        <f>LOOKUP(ARBETSBLAD!$L$4+SUM($I$52:I52),ARBETSBLAD!$I$6:$AF$6,ARBETSBLAD!$I80:$AF80)</f>
        <v>0</v>
      </c>
      <c r="K17" s="381">
        <f>LOOKUP(ARBETSBLAD!$L$4+SUM($I$52:J52),ARBETSBLAD!$I$6:$AF$6,ARBETSBLAD!$I80:$AF80)</f>
        <v>0</v>
      </c>
      <c r="L17" s="381">
        <f>LOOKUP(ARBETSBLAD!$L$4+SUM($I$52:K52),ARBETSBLAD!$I$6:$AF$6,ARBETSBLAD!$I80:$AF80)</f>
        <v>0</v>
      </c>
      <c r="M17" s="381">
        <f>LOOKUP(ARBETSBLAD!$L$4+SUM($I$52:L52),ARBETSBLAD!$I$6:$AF$6,ARBETSBLAD!$I80:$AF80)</f>
        <v>0</v>
      </c>
      <c r="N17" s="381">
        <f>LOOKUP(ARBETSBLAD!$L$4+SUM($I$52:M52),ARBETSBLAD!$I$6:$AF$6,ARBETSBLAD!$I80:$AF80)</f>
        <v>0</v>
      </c>
      <c r="O17" s="381">
        <f>LOOKUP(ARBETSBLAD!$L$4+SUM($I$52:N52),ARBETSBLAD!$I$6:$AF$6,ARBETSBLAD!$I80:$AF80)</f>
        <v>0</v>
      </c>
      <c r="P17" s="381">
        <f>LOOKUP(ARBETSBLAD!$L$4+SUM($I$52:O52),ARBETSBLAD!$I$6:$AF$6,ARBETSBLAD!$I80:$AF80)</f>
        <v>0</v>
      </c>
      <c r="Q17" s="381">
        <f>LOOKUP(ARBETSBLAD!$L$4+SUM($I$52:P52),ARBETSBLAD!$I$6:$AF$6,ARBETSBLAD!$I80:$AF80)</f>
        <v>0</v>
      </c>
      <c r="R17" s="381">
        <f>LOOKUP(ARBETSBLAD!$L$4+SUM($I$52:Q52),ARBETSBLAD!$I$6:$AF$6,ARBETSBLAD!$I80:$AF80)</f>
        <v>0</v>
      </c>
      <c r="S17" s="381">
        <f>LOOKUP(ARBETSBLAD!$L$4+SUM($I$52:R52),ARBETSBLAD!$I$6:$AF$6,ARBETSBLAD!$I80:$AF80)</f>
        <v>0</v>
      </c>
      <c r="T17" s="381">
        <f>LOOKUP(ARBETSBLAD!$L$4+SUM($I$52:S52),ARBETSBLAD!$I$6:$AF$6,ARBETSBLAD!$I80:$AF80)</f>
        <v>0</v>
      </c>
      <c r="U17" s="381">
        <f>LOOKUP(ARBETSBLAD!$L$4+SUM($I$52:T52),ARBETSBLAD!$I$6:$AF$6,ARBETSBLAD!$I80:$AF80)</f>
        <v>0</v>
      </c>
      <c r="V17" s="381">
        <f>LOOKUP(ARBETSBLAD!$L$4+SUM($I$52:U52),ARBETSBLAD!$I$6:$AF$6,ARBETSBLAD!$I80:$AF80)*V$53</f>
        <v>0</v>
      </c>
      <c r="W17" s="381">
        <f>LOOKUP(ARBETSBLAD!$L$4+SUM($I$52:V52),ARBETSBLAD!$I$6:$AF$6,ARBETSBLAD!$I80:$AF80)*W$53</f>
        <v>0</v>
      </c>
      <c r="X17" s="381">
        <f>LOOKUP(ARBETSBLAD!$L$4+SUM($I$52:W52),ARBETSBLAD!$I$6:$AF$6,ARBETSBLAD!$I80:$AF80)*X$53</f>
        <v>0</v>
      </c>
      <c r="Y17" s="381">
        <f>LOOKUP(ARBETSBLAD!$L$4+SUM($I$52:X52),ARBETSBLAD!$I$6:$AF$6,ARBETSBLAD!$I80:$AF80)*Y$53</f>
        <v>0</v>
      </c>
      <c r="Z17" s="381">
        <f>LOOKUP(ARBETSBLAD!$L$4+SUM($I$52:Y52),ARBETSBLAD!$I$6:$AF$6,ARBETSBLAD!$I80:$AF80)*Z$53</f>
        <v>0</v>
      </c>
      <c r="AA17" s="381">
        <f>LOOKUP(ARBETSBLAD!$L$4+SUM($I$52:Z52),ARBETSBLAD!$I$6:$AF$6,ARBETSBLAD!$I80:$AF80)*AA$53</f>
        <v>0</v>
      </c>
      <c r="AB17" s="381">
        <f>LOOKUP(ARBETSBLAD!$L$4+SUM($I$52:AA52),ARBETSBLAD!$I$6:$AF$6,ARBETSBLAD!$I80:$AF80)*AB$53</f>
        <v>0</v>
      </c>
      <c r="AC17" s="381">
        <f>LOOKUP(ARBETSBLAD!$L$4+SUM($I$52:AB52),ARBETSBLAD!$I$6:$AF$6,ARBETSBLAD!$I80:$AF80)*AC$53</f>
        <v>0</v>
      </c>
      <c r="AD17" s="381">
        <f>LOOKUP(ARBETSBLAD!$L$4+SUM($I$52:AC52),ARBETSBLAD!$I$6:$AF$6,ARBETSBLAD!$I80:$AF80)*AD$53</f>
        <v>0</v>
      </c>
      <c r="AE17" s="381">
        <f>LOOKUP(ARBETSBLAD!$L$4+SUM($I$52:AD52),ARBETSBLAD!$I$6:$AF$6,ARBETSBLAD!$I80:$AF80)*AE$53</f>
        <v>0</v>
      </c>
      <c r="AF17" s="381">
        <f>LOOKUP(ARBETSBLAD!$L$4+SUM($I$52:AE52),ARBETSBLAD!$I$6:$AF$6,ARBETSBLAD!$I80:$AF80)*AF$53</f>
        <v>0</v>
      </c>
      <c r="AG17" s="769"/>
      <c r="AH17" s="767">
        <f t="shared" si="1"/>
        <v>0</v>
      </c>
      <c r="AI17" s="434"/>
      <c r="AJ17" s="768">
        <f t="shared" si="2"/>
        <v>0</v>
      </c>
      <c r="AL17" s="1291"/>
      <c r="AM17" s="1292"/>
      <c r="AN17" s="1293"/>
    </row>
    <row r="18" spans="1:40" s="1290" customFormat="1" ht="12.75" hidden="1" customHeight="1">
      <c r="A18" s="1270"/>
      <c r="B18" s="1297" t="s">
        <v>385</v>
      </c>
      <c r="C18" s="191"/>
      <c r="D18" s="191"/>
      <c r="E18" s="191"/>
      <c r="F18" s="1295"/>
      <c r="G18" s="1296"/>
      <c r="H18" s="191"/>
      <c r="I18" s="381">
        <f>LOOKUP($L$4,$I$6:$AF$6,ARBETSBLAD!$I98:$AF98)</f>
        <v>0</v>
      </c>
      <c r="J18" s="900">
        <f>LOOKUP($L$4+I6,$I$6:$AF$6,ARBETSBLAD!$I98:$AF98)</f>
        <v>0</v>
      </c>
      <c r="K18" s="900">
        <f>LOOKUP($L$4+J6,$I$6:$AF$6,ARBETSBLAD!$I98:$AF98)</f>
        <v>0</v>
      </c>
      <c r="L18" s="900">
        <f>LOOKUP($L$4+K6,$I$6:$AF$6,ARBETSBLAD!$I98:$AF98)</f>
        <v>0</v>
      </c>
      <c r="M18" s="900">
        <f>LOOKUP($L$4+L6,$I$6:$AF$6,ARBETSBLAD!$I98:$AF98)</f>
        <v>0</v>
      </c>
      <c r="N18" s="900">
        <f>LOOKUP($L$4+M6,$I$6:$AF$6,ARBETSBLAD!$I98:$AF98)</f>
        <v>0</v>
      </c>
      <c r="O18" s="900">
        <f>LOOKUP($L$4+N6,$I$6:$AF$6,ARBETSBLAD!$I98:$AF98)</f>
        <v>0</v>
      </c>
      <c r="P18" s="900">
        <f>LOOKUP($L$4+O6,$I$6:$AF$6,ARBETSBLAD!$I98:$AF98)</f>
        <v>0</v>
      </c>
      <c r="Q18" s="900">
        <f>LOOKUP($L$4+P6,$I$6:$AF$6,ARBETSBLAD!$I98:$AF98)</f>
        <v>0</v>
      </c>
      <c r="R18" s="900">
        <f>LOOKUP($L$4+Q6,$I$6:$AF$6,ARBETSBLAD!$I98:$AF98)</f>
        <v>0</v>
      </c>
      <c r="S18" s="900">
        <f>LOOKUP($L$4+R6,$I$6:$AF$6,ARBETSBLAD!$I98:$AF98)</f>
        <v>0</v>
      </c>
      <c r="T18" s="900">
        <f>LOOKUP($L$4+S6,$I$6:$AF$6,ARBETSBLAD!$I98:$AF98)</f>
        <v>0</v>
      </c>
      <c r="U18" s="900">
        <f>LOOKUP($L$4+T6,$I$6:$AF$6,ARBETSBLAD!$I98:$AF98)</f>
        <v>0</v>
      </c>
      <c r="V18" s="900">
        <f>LOOKUP($L$4+U6,$I$6:$AF$6,ARBETSBLAD!$I98:$AF98)*V$53</f>
        <v>0</v>
      </c>
      <c r="W18" s="900">
        <f>LOOKUP($L$4+V6,$I$6:$AF$6,ARBETSBLAD!$I98:$AF98)*W$53</f>
        <v>0</v>
      </c>
      <c r="X18" s="900">
        <f>LOOKUP($L$4+W6,$I$6:$AF$6,ARBETSBLAD!$I98:$AF98)*X$53</f>
        <v>0</v>
      </c>
      <c r="Y18" s="900">
        <f>LOOKUP($L$4+X6,$I$6:$AF$6,ARBETSBLAD!$I98:$AF98)*Y$53</f>
        <v>0</v>
      </c>
      <c r="Z18" s="900">
        <f>LOOKUP($L$4+Y6,$I$6:$AF$6,ARBETSBLAD!$I98:$AF98)*Z$53</f>
        <v>0</v>
      </c>
      <c r="AA18" s="900">
        <f>LOOKUP($L$4+Z6,$I$6:$AF$6,ARBETSBLAD!$I98:$AF98)*AA$53</f>
        <v>0</v>
      </c>
      <c r="AB18" s="900">
        <f>LOOKUP($L$4+AA6,$I$6:$AF$6,ARBETSBLAD!$I98:$AF98)*AB$53</f>
        <v>0</v>
      </c>
      <c r="AC18" s="900">
        <f>LOOKUP($L$4+AB6,$I$6:$AF$6,ARBETSBLAD!$I98:$AF98)*AC$53</f>
        <v>0</v>
      </c>
      <c r="AD18" s="900">
        <f>LOOKUP($L$4+AC6,$I$6:$AF$6,ARBETSBLAD!$I98:$AF98)*AD$53</f>
        <v>0</v>
      </c>
      <c r="AE18" s="900">
        <f>LOOKUP($L$4+AD6,$I$6:$AF$6,ARBETSBLAD!$I98:$AF98)*AE$53</f>
        <v>0</v>
      </c>
      <c r="AF18" s="900">
        <f>LOOKUP($L$4+AE6,$I$6:$AF$6,ARBETSBLAD!$I98:$AF98)*AF$53</f>
        <v>0</v>
      </c>
      <c r="AG18" s="769"/>
      <c r="AH18" s="767">
        <f t="shared" si="1"/>
        <v>0</v>
      </c>
      <c r="AI18" s="434"/>
      <c r="AJ18" s="768">
        <f t="shared" si="2"/>
        <v>0</v>
      </c>
      <c r="AL18" s="1291"/>
      <c r="AM18" s="1292"/>
      <c r="AN18" s="1293"/>
    </row>
    <row r="19" spans="1:40" s="1290" customFormat="1" ht="12.75" hidden="1" customHeight="1">
      <c r="A19" s="1270"/>
      <c r="B19" s="1297" t="s">
        <v>1108</v>
      </c>
      <c r="C19" s="191"/>
      <c r="D19" s="191"/>
      <c r="E19" s="191"/>
      <c r="F19" s="1295"/>
      <c r="G19" s="1296"/>
      <c r="H19" s="191"/>
      <c r="I19" s="900">
        <f>LOOKUP($L$4,$I$6:$AF$6,ARBETSBLAD!$I99:$AF99)</f>
        <v>0</v>
      </c>
      <c r="J19" s="900">
        <f>LOOKUP($L$4+I6,$I$6:$AF$6,ARBETSBLAD!$I99:$AF99)</f>
        <v>0</v>
      </c>
      <c r="K19" s="900">
        <f>LOOKUP($L$4+J6,$I$6:$AF$6,ARBETSBLAD!$I99:$AF99)</f>
        <v>0</v>
      </c>
      <c r="L19" s="900">
        <f>LOOKUP($L$4+K6,$I$6:$AF$6,ARBETSBLAD!$I99:$AF99)</f>
        <v>0</v>
      </c>
      <c r="M19" s="900">
        <f>LOOKUP($L$4+L6,$I$6:$AF$6,ARBETSBLAD!$I99:$AF99)</f>
        <v>0</v>
      </c>
      <c r="N19" s="900">
        <f>LOOKUP($L$4+M6,$I$6:$AF$6,ARBETSBLAD!$I99:$AF99)</f>
        <v>0</v>
      </c>
      <c r="O19" s="900">
        <f>LOOKUP($L$4+N6,$I$6:$AF$6,ARBETSBLAD!$I99:$AF99)</f>
        <v>0</v>
      </c>
      <c r="P19" s="900">
        <f>LOOKUP($L$4+O6,$I$6:$AF$6,ARBETSBLAD!$I99:$AF99)</f>
        <v>0</v>
      </c>
      <c r="Q19" s="900">
        <f>LOOKUP($L$4+P6,$I$6:$AF$6,ARBETSBLAD!$I99:$AF99)</f>
        <v>0</v>
      </c>
      <c r="R19" s="900">
        <f>LOOKUP($L$4+Q6,$I$6:$AF$6,ARBETSBLAD!$I99:$AF99)</f>
        <v>0</v>
      </c>
      <c r="S19" s="900">
        <f>LOOKUP($L$4+R6,$I$6:$AF$6,ARBETSBLAD!$I99:$AF99)</f>
        <v>0</v>
      </c>
      <c r="T19" s="900">
        <f>LOOKUP($L$4+S6,$I$6:$AF$6,ARBETSBLAD!$I99:$AF99)</f>
        <v>0</v>
      </c>
      <c r="U19" s="900">
        <f>LOOKUP($L$4+T6,$I$6:$AF$6,ARBETSBLAD!$I99:$AF99)</f>
        <v>0</v>
      </c>
      <c r="V19" s="900">
        <f>LOOKUP($L$4+U6,$I$6:$AF$6,ARBETSBLAD!$I99:$AF99)*V$53</f>
        <v>0</v>
      </c>
      <c r="W19" s="900">
        <f>LOOKUP($L$4+V6,$I$6:$AF$6,ARBETSBLAD!$I99:$AF99)*W$53</f>
        <v>0</v>
      </c>
      <c r="X19" s="900">
        <f>LOOKUP($L$4+W6,$I$6:$AF$6,ARBETSBLAD!$I99:$AF99)*X$53</f>
        <v>0</v>
      </c>
      <c r="Y19" s="900">
        <f>LOOKUP($L$4+X6,$I$6:$AF$6,ARBETSBLAD!$I99:$AF99)*Y$53</f>
        <v>0</v>
      </c>
      <c r="Z19" s="900">
        <f>LOOKUP($L$4+Y6,$I$6:$AF$6,ARBETSBLAD!$I99:$AF99)*Z$53</f>
        <v>0</v>
      </c>
      <c r="AA19" s="900">
        <f>LOOKUP($L$4+Z6,$I$6:$AF$6,ARBETSBLAD!$I99:$AF99)*AA$53</f>
        <v>0</v>
      </c>
      <c r="AB19" s="900">
        <f>LOOKUP($L$4+AA6,$I$6:$AF$6,ARBETSBLAD!$I99:$AF99)*AB$53</f>
        <v>0</v>
      </c>
      <c r="AC19" s="900">
        <f>LOOKUP($L$4+AB6,$I$6:$AF$6,ARBETSBLAD!$I99:$AF99)*AC$53</f>
        <v>0</v>
      </c>
      <c r="AD19" s="900">
        <f>LOOKUP($L$4+AC6,$I$6:$AF$6,ARBETSBLAD!$I99:$AF99)*AD$53</f>
        <v>0</v>
      </c>
      <c r="AE19" s="900">
        <f>LOOKUP($L$4+AD6,$I$6:$AF$6,ARBETSBLAD!$I99:$AF99)*AE$53</f>
        <v>0</v>
      </c>
      <c r="AF19" s="900">
        <f>LOOKUP($L$4+AE6,$I$6:$AF$6,ARBETSBLAD!$I99:$AF99)*AF$53</f>
        <v>0</v>
      </c>
      <c r="AG19" s="769"/>
      <c r="AH19" s="767">
        <f t="shared" si="1"/>
        <v>0</v>
      </c>
      <c r="AI19" s="434"/>
      <c r="AJ19" s="768">
        <f t="shared" si="2"/>
        <v>0</v>
      </c>
      <c r="AL19" s="1291"/>
      <c r="AM19" s="1292"/>
      <c r="AN19" s="1293"/>
    </row>
    <row r="20" spans="1:40" s="1290" customFormat="1" ht="12.75" hidden="1" customHeight="1">
      <c r="A20" s="1270"/>
      <c r="B20" s="1297" t="s">
        <v>386</v>
      </c>
      <c r="C20" s="191"/>
      <c r="D20" s="191"/>
      <c r="E20" s="191"/>
      <c r="F20" s="1295"/>
      <c r="G20" s="1296"/>
      <c r="H20" s="191"/>
      <c r="I20" s="900">
        <f>LOOKUP(ARBETSBLAD!$L$4,ARBETSBLAD!$I$6:$AF$6,ARBETSBLAD!$I103:$AF103)</f>
        <v>0</v>
      </c>
      <c r="J20" s="900">
        <f>LOOKUP((ARBETSBLAD!$L$4+SUM($I$52:I52)),ARBETSBLAD!$I$6:$AF$6,ARBETSBLAD!$I103:$AF103)</f>
        <v>0</v>
      </c>
      <c r="K20" s="900">
        <f>LOOKUP((ARBETSBLAD!$L$4+SUM($I$52:J52)),ARBETSBLAD!$I$6:$AF$6,ARBETSBLAD!$I103:$AF103)</f>
        <v>0</v>
      </c>
      <c r="L20" s="900">
        <f>LOOKUP((ARBETSBLAD!$L$4+SUM($I$52:K52)),ARBETSBLAD!$I$6:$AF$6,ARBETSBLAD!$I103:$AF103)</f>
        <v>0</v>
      </c>
      <c r="M20" s="900">
        <f>LOOKUP((ARBETSBLAD!$L$4+SUM($I$52:L52)),ARBETSBLAD!$I$6:$AF$6,ARBETSBLAD!$I103:$AF103)</f>
        <v>0</v>
      </c>
      <c r="N20" s="900">
        <f>LOOKUP((ARBETSBLAD!$L$4+SUM($I$52:M52)),ARBETSBLAD!$I$6:$AF$6,ARBETSBLAD!$I103:$AF103)</f>
        <v>0</v>
      </c>
      <c r="O20" s="900">
        <f>LOOKUP((ARBETSBLAD!$L$4+SUM($I$52:N52)),ARBETSBLAD!$I$6:$AF$6,ARBETSBLAD!$I103:$AF103)</f>
        <v>0</v>
      </c>
      <c r="P20" s="900">
        <f>LOOKUP((ARBETSBLAD!$L$4+SUM($I$52:O52)),ARBETSBLAD!$I$6:$AF$6,ARBETSBLAD!$I103:$AF103)</f>
        <v>0</v>
      </c>
      <c r="Q20" s="900">
        <f>LOOKUP((ARBETSBLAD!$L$4+SUM($I$52:P52)),ARBETSBLAD!$I$6:$AF$6,ARBETSBLAD!$I103:$AF103)</f>
        <v>0</v>
      </c>
      <c r="R20" s="900">
        <f>LOOKUP((ARBETSBLAD!$L$4+SUM($I$52:Q52)),ARBETSBLAD!$I$6:$AF$6,ARBETSBLAD!$I103:$AF103)</f>
        <v>0</v>
      </c>
      <c r="S20" s="900">
        <f>LOOKUP((ARBETSBLAD!$L$4+SUM($I$52:R52)),ARBETSBLAD!$I$6:$AF$6,ARBETSBLAD!$I103:$AF103)</f>
        <v>0</v>
      </c>
      <c r="T20" s="900">
        <f>LOOKUP((ARBETSBLAD!$L$4+SUM($I$52:S52)),ARBETSBLAD!$I$6:$AF$6,ARBETSBLAD!$I103:$AF103)</f>
        <v>0</v>
      </c>
      <c r="U20" s="900">
        <f>LOOKUP((ARBETSBLAD!$L$4+SUM($I$52:T52)),ARBETSBLAD!$I$6:$AF$6,ARBETSBLAD!$I103:$AF103)</f>
        <v>0</v>
      </c>
      <c r="V20" s="900">
        <f>LOOKUP((ARBETSBLAD!$L$4+SUM($I$52:U52)),ARBETSBLAD!$I$6:$AF$6,ARBETSBLAD!$I103:$AF103)*V53</f>
        <v>0</v>
      </c>
      <c r="W20" s="900">
        <f>LOOKUP((ARBETSBLAD!$L$4+SUM($I$52:V52)),ARBETSBLAD!$I$6:$AF$6,ARBETSBLAD!$I103:$AF103)*W53</f>
        <v>0</v>
      </c>
      <c r="X20" s="900">
        <f>LOOKUP((ARBETSBLAD!$L$4+SUM($I$52:W52)),ARBETSBLAD!$I$6:$AF$6,ARBETSBLAD!$I103:$AF103)*X53</f>
        <v>0</v>
      </c>
      <c r="Y20" s="900">
        <f>LOOKUP((ARBETSBLAD!$L$4+SUM($I$52:X52)),ARBETSBLAD!$I$6:$AF$6,ARBETSBLAD!$I103:$AF103)*Y53</f>
        <v>0</v>
      </c>
      <c r="Z20" s="900">
        <f>LOOKUP((ARBETSBLAD!$L$4+SUM($I$52:Y52)),ARBETSBLAD!$I$6:$AF$6,ARBETSBLAD!$I103:$AF103)*Z53</f>
        <v>0</v>
      </c>
      <c r="AA20" s="900">
        <f>LOOKUP((ARBETSBLAD!$L$4+SUM($I$52:Z52)),ARBETSBLAD!$I$6:$AF$6,ARBETSBLAD!$I103:$AF103)*AA53</f>
        <v>0</v>
      </c>
      <c r="AB20" s="900">
        <f>LOOKUP((ARBETSBLAD!$L$4+SUM($I$52:AA52)),ARBETSBLAD!$I$6:$AF$6,ARBETSBLAD!$I103:$AF103)*AB53</f>
        <v>0</v>
      </c>
      <c r="AC20" s="900">
        <f>LOOKUP((ARBETSBLAD!$L$4+SUM($I$52:AB52)),ARBETSBLAD!$I$6:$AF$6,ARBETSBLAD!$I103:$AF103)*AC53</f>
        <v>0</v>
      </c>
      <c r="AD20" s="900">
        <f>LOOKUP((ARBETSBLAD!$L$4+SUM($I$52:AC52)),ARBETSBLAD!$I$6:$AF$6,ARBETSBLAD!$I103:$AF103)*AD53</f>
        <v>0</v>
      </c>
      <c r="AE20" s="900">
        <f>LOOKUP((ARBETSBLAD!$L$4+SUM($I$52:AD52)),ARBETSBLAD!$I$6:$AF$6,ARBETSBLAD!$I103:$AF103)*AE53</f>
        <v>0</v>
      </c>
      <c r="AF20" s="900">
        <f>LOOKUP((ARBETSBLAD!$L$4+SUM($I$52:AE52)),ARBETSBLAD!$I$6:$AF$6,ARBETSBLAD!$I103:$AF103)*AF53</f>
        <v>0</v>
      </c>
      <c r="AG20" s="769"/>
      <c r="AH20" s="767">
        <f t="shared" si="1"/>
        <v>0</v>
      </c>
      <c r="AI20" s="434"/>
      <c r="AJ20" s="768">
        <f t="shared" si="2"/>
        <v>0</v>
      </c>
      <c r="AL20" s="1291"/>
      <c r="AM20" s="1292"/>
      <c r="AN20" s="1293"/>
    </row>
    <row r="21" spans="1:40" s="1290" customFormat="1" ht="12.75" hidden="1" customHeight="1">
      <c r="A21" s="1270"/>
      <c r="B21" s="1297" t="s">
        <v>387</v>
      </c>
      <c r="C21" s="191"/>
      <c r="D21" s="191"/>
      <c r="E21" s="191"/>
      <c r="F21" s="1295"/>
      <c r="G21" s="1296"/>
      <c r="H21" s="191"/>
      <c r="I21" s="900">
        <f>LOOKUP($L$4,$I$6:$AF$6,ARBETSBLAD!$I104:$AF104)</f>
        <v>0</v>
      </c>
      <c r="J21" s="900">
        <f>LOOKUP($L$4+I6,$I$6:$AF$6,ARBETSBLAD!$I104:$AF104)</f>
        <v>0</v>
      </c>
      <c r="K21" s="900">
        <f>LOOKUP($L$4+J6,$I$6:$AF$6,ARBETSBLAD!$I104:$AF104)</f>
        <v>0</v>
      </c>
      <c r="L21" s="900">
        <f>LOOKUP($L$4+K6,$I$6:$AF$6,ARBETSBLAD!$I104:$AF104)</f>
        <v>0</v>
      </c>
      <c r="M21" s="900">
        <f>LOOKUP($L$4+L6,$I$6:$AF$6,ARBETSBLAD!$I104:$AF104)</f>
        <v>0</v>
      </c>
      <c r="N21" s="900">
        <f>LOOKUP($L$4+M6,$I$6:$AF$6,ARBETSBLAD!$I104:$AF104)</f>
        <v>0</v>
      </c>
      <c r="O21" s="900">
        <f>LOOKUP($L$4+N6,$I$6:$AF$6,ARBETSBLAD!$I104:$AF104)</f>
        <v>0</v>
      </c>
      <c r="P21" s="900">
        <f>LOOKUP($L$4+O6,$I$6:$AF$6,ARBETSBLAD!$I104:$AF104)</f>
        <v>0</v>
      </c>
      <c r="Q21" s="900">
        <f>LOOKUP($L$4+P6,$I$6:$AF$6,ARBETSBLAD!$I104:$AF104)</f>
        <v>0</v>
      </c>
      <c r="R21" s="900">
        <f>LOOKUP($L$4+Q6,$I$6:$AF$6,ARBETSBLAD!$I104:$AF104)</f>
        <v>0</v>
      </c>
      <c r="S21" s="900">
        <f>LOOKUP($L$4+R6,$I$6:$AF$6,ARBETSBLAD!$I104:$AF104)</f>
        <v>0</v>
      </c>
      <c r="T21" s="900">
        <f>LOOKUP($L$4+S6,$I$6:$AF$6,ARBETSBLAD!$I104:$AF104)</f>
        <v>0</v>
      </c>
      <c r="U21" s="900">
        <f>LOOKUP($L$4+T6,$I$6:$AF$6,ARBETSBLAD!$I104:$AF104)</f>
        <v>0</v>
      </c>
      <c r="V21" s="900">
        <f>LOOKUP($L$4+U6,$I$6:$AF$6,ARBETSBLAD!$I104:$AF104)*V$53</f>
        <v>0</v>
      </c>
      <c r="W21" s="900">
        <f>LOOKUP($L$4+V6,$I$6:$AF$6,ARBETSBLAD!$I104:$AF104)*W$53</f>
        <v>0</v>
      </c>
      <c r="X21" s="900">
        <f>LOOKUP($L$4+W6,$I$6:$AF$6,ARBETSBLAD!$I104:$AF104)*X$53</f>
        <v>0</v>
      </c>
      <c r="Y21" s="900">
        <f>LOOKUP($L$4+X6,$I$6:$AF$6,ARBETSBLAD!$I104:$AF104)*Y$53</f>
        <v>0</v>
      </c>
      <c r="Z21" s="900">
        <f>LOOKUP($L$4+Y6,$I$6:$AF$6,ARBETSBLAD!$I104:$AF104)*Z$53</f>
        <v>0</v>
      </c>
      <c r="AA21" s="900">
        <f>LOOKUP($L$4+Z6,$I$6:$AF$6,ARBETSBLAD!$I104:$AF104)*AA$53</f>
        <v>0</v>
      </c>
      <c r="AB21" s="900">
        <f>LOOKUP($L$4+AA6,$I$6:$AF$6,ARBETSBLAD!$I104:$AF104)*AB$53</f>
        <v>0</v>
      </c>
      <c r="AC21" s="900">
        <f>LOOKUP($L$4+AB6,$I$6:$AF$6,ARBETSBLAD!$I104:$AF104)*AC$53</f>
        <v>0</v>
      </c>
      <c r="AD21" s="900">
        <f>LOOKUP($L$4+AC6,$I$6:$AF$6,ARBETSBLAD!$I104:$AF104)*AD$53</f>
        <v>0</v>
      </c>
      <c r="AE21" s="900">
        <f>LOOKUP($L$4+AD6,$I$6:$AF$6,ARBETSBLAD!$I104:$AF104)*AE$53</f>
        <v>0</v>
      </c>
      <c r="AF21" s="900">
        <f>LOOKUP($L$4+AE6,$I$6:$AF$6,ARBETSBLAD!$I104:$AF104)*AF$53</f>
        <v>0</v>
      </c>
      <c r="AG21" s="769"/>
      <c r="AH21" s="767">
        <f t="shared" si="1"/>
        <v>0</v>
      </c>
      <c r="AI21" s="434"/>
      <c r="AJ21" s="768">
        <f t="shared" si="2"/>
        <v>0</v>
      </c>
      <c r="AL21" s="1291"/>
      <c r="AM21" s="1292"/>
      <c r="AN21" s="1293"/>
    </row>
    <row r="22" spans="1:40" s="1290" customFormat="1" ht="12.75" hidden="1" customHeight="1">
      <c r="A22" s="1270"/>
      <c r="B22" s="1297" t="s">
        <v>388</v>
      </c>
      <c r="C22" s="191"/>
      <c r="D22" s="191"/>
      <c r="E22" s="191"/>
      <c r="F22" s="1295"/>
      <c r="G22" s="1296"/>
      <c r="H22" s="191"/>
      <c r="I22" s="900">
        <f>LOOKUP($L$4,$I$6:$AF$6,ARBETSBLAD!$I105:$AF105)</f>
        <v>0</v>
      </c>
      <c r="J22" s="900">
        <f>LOOKUP($L$4+I6,$I$6:$AF$6,ARBETSBLAD!$I105:$AF105)</f>
        <v>0</v>
      </c>
      <c r="K22" s="900">
        <f>LOOKUP($L$4+J6,$I$6:$AF$6,ARBETSBLAD!$I105:$AF105)</f>
        <v>0</v>
      </c>
      <c r="L22" s="900">
        <f>LOOKUP($L$4+K6,$I$6:$AF$6,ARBETSBLAD!$I105:$AF105)</f>
        <v>0</v>
      </c>
      <c r="M22" s="900">
        <f>LOOKUP($L$4+L6,$I$6:$AF$6,ARBETSBLAD!$I105:$AF105)</f>
        <v>0</v>
      </c>
      <c r="N22" s="900">
        <f>LOOKUP($L$4+M6,$I$6:$AF$6,ARBETSBLAD!$I105:$AF105)</f>
        <v>0</v>
      </c>
      <c r="O22" s="900">
        <f>LOOKUP($L$4+N6,$I$6:$AF$6,ARBETSBLAD!$I105:$AF105)</f>
        <v>0</v>
      </c>
      <c r="P22" s="900">
        <f>LOOKUP($L$4+O6,$I$6:$AF$6,ARBETSBLAD!$I105:$AF105)</f>
        <v>0</v>
      </c>
      <c r="Q22" s="900">
        <f>LOOKUP($L$4+P6,$I$6:$AF$6,ARBETSBLAD!$I105:$AF105)</f>
        <v>0</v>
      </c>
      <c r="R22" s="900">
        <f>LOOKUP($L$4+Q6,$I$6:$AF$6,ARBETSBLAD!$I105:$AF105)</f>
        <v>0</v>
      </c>
      <c r="S22" s="900">
        <f>LOOKUP($L$4+R6,$I$6:$AF$6,ARBETSBLAD!$I105:$AF105)</f>
        <v>0</v>
      </c>
      <c r="T22" s="900">
        <f>LOOKUP($L$4+S6,$I$6:$AF$6,ARBETSBLAD!$I105:$AF105)</f>
        <v>0</v>
      </c>
      <c r="U22" s="900">
        <f>LOOKUP($L$4+T6,$I$6:$AF$6,ARBETSBLAD!$I105:$AF105)</f>
        <v>0</v>
      </c>
      <c r="V22" s="900">
        <f>LOOKUP($L$4+U6,$I$6:$AF$6,ARBETSBLAD!$I105:$AF105)*V$53</f>
        <v>0</v>
      </c>
      <c r="W22" s="900">
        <f>LOOKUP($L$4+V6,$I$6:$AF$6,ARBETSBLAD!$I105:$AF105)*W$53</f>
        <v>0</v>
      </c>
      <c r="X22" s="900">
        <f>LOOKUP($L$4+W6,$I$6:$AF$6,ARBETSBLAD!$I105:$AF105)*X$53</f>
        <v>0</v>
      </c>
      <c r="Y22" s="900">
        <f>LOOKUP($L$4+X6,$I$6:$AF$6,ARBETSBLAD!$I105:$AF105)*Y$53</f>
        <v>0</v>
      </c>
      <c r="Z22" s="900">
        <f>LOOKUP($L$4+Y6,$I$6:$AF$6,ARBETSBLAD!$I105:$AF105)*Z$53</f>
        <v>0</v>
      </c>
      <c r="AA22" s="900">
        <f>LOOKUP($L$4+Z6,$I$6:$AF$6,ARBETSBLAD!$I105:$AF105)*AA$53</f>
        <v>0</v>
      </c>
      <c r="AB22" s="900">
        <f>LOOKUP($L$4+AA6,$I$6:$AF$6,ARBETSBLAD!$I105:$AF105)*AB$53</f>
        <v>0</v>
      </c>
      <c r="AC22" s="900">
        <f>LOOKUP($L$4+AB6,$I$6:$AF$6,ARBETSBLAD!$I105:$AF105)*AC$53</f>
        <v>0</v>
      </c>
      <c r="AD22" s="900">
        <f>LOOKUP($L$4+AC6,$I$6:$AF$6,ARBETSBLAD!$I105:$AF105)*AD$53</f>
        <v>0</v>
      </c>
      <c r="AE22" s="900">
        <f>LOOKUP($L$4+AD6,$I$6:$AF$6,ARBETSBLAD!$I105:$AF105)*AE$53</f>
        <v>0</v>
      </c>
      <c r="AF22" s="900">
        <f>LOOKUP($L$4+AE6,$I$6:$AF$6,ARBETSBLAD!$I105:$AF105)*AF$53</f>
        <v>0</v>
      </c>
      <c r="AG22" s="769"/>
      <c r="AH22" s="767">
        <f t="shared" si="1"/>
        <v>0</v>
      </c>
      <c r="AI22" s="434"/>
      <c r="AJ22" s="768">
        <f t="shared" si="2"/>
        <v>0</v>
      </c>
      <c r="AL22" s="1291"/>
      <c r="AM22" s="1292"/>
      <c r="AN22" s="1293"/>
    </row>
    <row r="23" spans="1:40" s="1290" customFormat="1" ht="12.75" hidden="1" customHeight="1">
      <c r="A23" s="1270"/>
      <c r="B23" s="1297" t="s">
        <v>389</v>
      </c>
      <c r="C23" s="191"/>
      <c r="D23" s="191"/>
      <c r="E23" s="191"/>
      <c r="F23" s="1295"/>
      <c r="G23" s="1296"/>
      <c r="H23" s="191"/>
      <c r="I23" s="900">
        <f>LOOKUP(ARBETSBLAD!$L$4,ARBETSBLAD!$I$6:$AF$6,ARBETSBLAD!$I106:$AF106)</f>
        <v>0</v>
      </c>
      <c r="J23" s="900">
        <f>LOOKUP((ARBETSBLAD!$L$4+SUM($I$52:I52)),ARBETSBLAD!$I$6:$AF$6,ARBETSBLAD!$I106:$AF106)</f>
        <v>0</v>
      </c>
      <c r="K23" s="900">
        <f>LOOKUP((ARBETSBLAD!$L$4+SUM($I$52:J52)),ARBETSBLAD!$I$6:$AF$6,ARBETSBLAD!$I106:$AF106)</f>
        <v>0</v>
      </c>
      <c r="L23" s="900">
        <f>LOOKUP((ARBETSBLAD!$L$4+SUM($I$52:K52)),ARBETSBLAD!$I$6:$AF$6,ARBETSBLAD!$I106:$AF106)</f>
        <v>0</v>
      </c>
      <c r="M23" s="900">
        <f>LOOKUP((ARBETSBLAD!$L$4+SUM($I$52:L52)),ARBETSBLAD!$I$6:$AF$6,ARBETSBLAD!$I106:$AF106)</f>
        <v>0</v>
      </c>
      <c r="N23" s="900">
        <f>LOOKUP((ARBETSBLAD!$L$4+SUM($I$52:M52)),ARBETSBLAD!$I$6:$AF$6,ARBETSBLAD!$I106:$AF106)</f>
        <v>0</v>
      </c>
      <c r="O23" s="900">
        <f>LOOKUP((ARBETSBLAD!$L$4+SUM($I$52:N52)),ARBETSBLAD!$I$6:$AF$6,ARBETSBLAD!$I106:$AF106)</f>
        <v>0</v>
      </c>
      <c r="P23" s="900">
        <f>LOOKUP((ARBETSBLAD!$L$4+SUM($I$52:O52)),ARBETSBLAD!$I$6:$AF$6,ARBETSBLAD!$I106:$AF106)</f>
        <v>0</v>
      </c>
      <c r="Q23" s="900">
        <f>LOOKUP((ARBETSBLAD!$L$4+SUM($I$52:P52)),ARBETSBLAD!$I$6:$AF$6,ARBETSBLAD!$I106:$AF106)</f>
        <v>0</v>
      </c>
      <c r="R23" s="900">
        <f>LOOKUP((ARBETSBLAD!$L$4+SUM($I$52:Q52)),ARBETSBLAD!$I$6:$AF$6,ARBETSBLAD!$I106:$AF106)</f>
        <v>0</v>
      </c>
      <c r="S23" s="900">
        <f>LOOKUP((ARBETSBLAD!$L$4+SUM($I$52:R52)),ARBETSBLAD!$I$6:$AF$6,ARBETSBLAD!$I106:$AF106)</f>
        <v>0</v>
      </c>
      <c r="T23" s="900">
        <f>LOOKUP((ARBETSBLAD!$L$4+SUM($I$52:S52)),ARBETSBLAD!$I$6:$AF$6,ARBETSBLAD!$I106:$AF106)</f>
        <v>0</v>
      </c>
      <c r="U23" s="900">
        <f>LOOKUP((ARBETSBLAD!$L$4+SUM($I$52:T52)),ARBETSBLAD!$I$6:$AF$6,ARBETSBLAD!$I106:$AF106)</f>
        <v>0</v>
      </c>
      <c r="V23" s="900">
        <f>LOOKUP((ARBETSBLAD!$L$4+SUM($I$52:U52)),ARBETSBLAD!$I$6:$AF$6,ARBETSBLAD!$I106:$AF106)*V53</f>
        <v>0</v>
      </c>
      <c r="W23" s="900">
        <f>LOOKUP((ARBETSBLAD!$L$4+SUM($I$52:V52)),ARBETSBLAD!$I$6:$AF$6,ARBETSBLAD!$I106:$AF106)*W53</f>
        <v>0</v>
      </c>
      <c r="X23" s="900">
        <f>LOOKUP((ARBETSBLAD!$L$4+SUM($I$52:W52)),ARBETSBLAD!$I$6:$AF$6,ARBETSBLAD!$I106:$AF106)*X53</f>
        <v>0</v>
      </c>
      <c r="Y23" s="900">
        <f>LOOKUP((ARBETSBLAD!$L$4+SUM($I$52:X52)),ARBETSBLAD!$I$6:$AF$6,ARBETSBLAD!$I106:$AF106)*Y53</f>
        <v>0</v>
      </c>
      <c r="Z23" s="900">
        <f>LOOKUP((ARBETSBLAD!$L$4+SUM($I$52:Y52)),ARBETSBLAD!$I$6:$AF$6,ARBETSBLAD!$I106:$AF106)*Z53</f>
        <v>0</v>
      </c>
      <c r="AA23" s="900">
        <f>LOOKUP((ARBETSBLAD!$L$4+SUM($I$52:Z52)),ARBETSBLAD!$I$6:$AF$6,ARBETSBLAD!$I106:$AF106)*AA53</f>
        <v>0</v>
      </c>
      <c r="AB23" s="900">
        <f>LOOKUP((ARBETSBLAD!$L$4+SUM($I$52:AA52)),ARBETSBLAD!$I$6:$AF$6,ARBETSBLAD!$I106:$AF106)*AB53</f>
        <v>0</v>
      </c>
      <c r="AC23" s="900">
        <f>LOOKUP((ARBETSBLAD!$L$4+SUM($I$52:AB52)),ARBETSBLAD!$I$6:$AF$6,ARBETSBLAD!$I106:$AF106)*AC53</f>
        <v>0</v>
      </c>
      <c r="AD23" s="900">
        <f>LOOKUP((ARBETSBLAD!$L$4+SUM($I$52:AC52)),ARBETSBLAD!$I$6:$AF$6,ARBETSBLAD!$I106:$AF106)*AD53</f>
        <v>0</v>
      </c>
      <c r="AE23" s="900">
        <f>LOOKUP((ARBETSBLAD!$L$4+SUM($I$52:AD52)),ARBETSBLAD!$I$6:$AF$6,ARBETSBLAD!$I106:$AF106)*AE53</f>
        <v>0</v>
      </c>
      <c r="AF23" s="900">
        <f>LOOKUP((ARBETSBLAD!$L$4+SUM($I$52:AE52)),ARBETSBLAD!$I$6:$AF$6,ARBETSBLAD!$I106:$AF106)*AF53</f>
        <v>0</v>
      </c>
      <c r="AG23" s="769"/>
      <c r="AH23" s="767">
        <f t="shared" si="1"/>
        <v>0</v>
      </c>
      <c r="AI23" s="434"/>
      <c r="AJ23" s="768">
        <f t="shared" si="2"/>
        <v>0</v>
      </c>
      <c r="AL23" s="1291"/>
      <c r="AM23" s="1292"/>
      <c r="AN23" s="1293"/>
    </row>
    <row r="24" spans="1:40" s="1290" customFormat="1" ht="12.75" hidden="1" customHeight="1">
      <c r="A24" s="1270"/>
      <c r="B24" s="1297" t="str">
        <f>ARBETSBLAD!B107</f>
        <v>Övr. personalomkostnader</v>
      </c>
      <c r="C24" s="191"/>
      <c r="D24" s="191"/>
      <c r="E24" s="191"/>
      <c r="F24" s="1295"/>
      <c r="G24" s="1296"/>
      <c r="H24" s="191"/>
      <c r="I24" s="2026">
        <f>I57*LOOKUP($L$4,$I$6:$AF$6,ARBETSBLAD!$I107:$AF107)</f>
        <v>0</v>
      </c>
      <c r="J24" s="382">
        <f>J57*LOOKUP(($L$4+I6),$I$6:$AF$6,ARBETSBLAD!$I107:$AF107)</f>
        <v>0</v>
      </c>
      <c r="K24" s="382">
        <f>K57*LOOKUP(($L$4+J6),$I$6:$AF$6,ARBETSBLAD!$I107:$AF107)</f>
        <v>0</v>
      </c>
      <c r="L24" s="382">
        <f>L57*LOOKUP(($L$4+K6),$I$6:$AF$6,ARBETSBLAD!$I107:$AF107)</f>
        <v>0</v>
      </c>
      <c r="M24" s="382">
        <f>M57*LOOKUP(($L$4+L6),$I$6:$AF$6,ARBETSBLAD!$I107:$AF107)</f>
        <v>0</v>
      </c>
      <c r="N24" s="382">
        <f>N57*LOOKUP(($L$4+M6),$I$6:$AF$6,ARBETSBLAD!$I107:$AF107)</f>
        <v>0</v>
      </c>
      <c r="O24" s="382">
        <f>O57*LOOKUP(($L$4+N6),$I$6:$AF$6,ARBETSBLAD!$I107:$AF107)</f>
        <v>0</v>
      </c>
      <c r="P24" s="382">
        <f>P57*LOOKUP(($L$4+O6),$I$6:$AF$6,ARBETSBLAD!$I107:$AF107)</f>
        <v>0</v>
      </c>
      <c r="Q24" s="382">
        <f>Q57*LOOKUP(($L$4+P6),$I$6:$AF$6,ARBETSBLAD!$I107:$AF107)</f>
        <v>0</v>
      </c>
      <c r="R24" s="382">
        <f>R57*LOOKUP(($L$4+Q6),$I$6:$AF$6,ARBETSBLAD!$I107:$AF107)</f>
        <v>0</v>
      </c>
      <c r="S24" s="382">
        <f>S57*LOOKUP(($L$4+R6),$I$6:$AF$6,ARBETSBLAD!$I107:$AF107)</f>
        <v>0</v>
      </c>
      <c r="T24" s="382">
        <f>T57*LOOKUP(($L$4+S6),$I$6:$AF$6,ARBETSBLAD!$I107:$AF107)</f>
        <v>0</v>
      </c>
      <c r="U24" s="382">
        <f>LOOKUP(($L$4+T6),$I$6:$AF$6,ARBETSBLAD!$I107:$AF107)</f>
        <v>0</v>
      </c>
      <c r="V24" s="382">
        <f>LOOKUP(($L$4+U6),$I$6:$AF$6,ARBETSBLAD!$I107:$AF107)*V$53</f>
        <v>0</v>
      </c>
      <c r="W24" s="382">
        <f>LOOKUP(($L$4+V6),$I$6:$AF$6,ARBETSBLAD!$I107:$AF107)*W$53</f>
        <v>0</v>
      </c>
      <c r="X24" s="382">
        <f>LOOKUP(($L$4+W6),$I$6:$AF$6,ARBETSBLAD!$I107:$AF107)*X$53</f>
        <v>0</v>
      </c>
      <c r="Y24" s="382">
        <f>LOOKUP(($L$4+X6),$I$6:$AF$6,ARBETSBLAD!$I107:$AF107)*Y$53</f>
        <v>0</v>
      </c>
      <c r="Z24" s="382">
        <f>LOOKUP(($L$4+Y6),$I$6:$AF$6,ARBETSBLAD!$I107:$AF107)*Z$53</f>
        <v>0</v>
      </c>
      <c r="AA24" s="382">
        <f>LOOKUP(($L$4+Z6),$I$6:$AF$6,ARBETSBLAD!$I107:$AF107)*AA$53</f>
        <v>0</v>
      </c>
      <c r="AB24" s="382">
        <f>LOOKUP(($L$4+AA6),$I$6:$AF$6,ARBETSBLAD!$I107:$AF107)*AB$53</f>
        <v>0</v>
      </c>
      <c r="AC24" s="382">
        <f>LOOKUP(($L$4+AB6),$I$6:$AF$6,ARBETSBLAD!$I107:$AF107)*AC$53</f>
        <v>0</v>
      </c>
      <c r="AD24" s="382">
        <f>LOOKUP(($L$4+AC6),$I$6:$AF$6,ARBETSBLAD!$I107:$AF107)*AD$53</f>
        <v>0</v>
      </c>
      <c r="AE24" s="382">
        <f>LOOKUP(($L$4+AD6),$I$6:$AF$6,ARBETSBLAD!$I107:$AF107)*AE$53</f>
        <v>0</v>
      </c>
      <c r="AF24" s="382">
        <f>LOOKUP(($L$4+AE6),$I$6:$AF$6,ARBETSBLAD!$I107:$AF107)*AF$53</f>
        <v>0</v>
      </c>
      <c r="AG24" s="769"/>
      <c r="AH24" s="767">
        <f t="shared" si="1"/>
        <v>0</v>
      </c>
      <c r="AI24" s="434"/>
      <c r="AJ24" s="768">
        <f t="shared" si="2"/>
        <v>0</v>
      </c>
      <c r="AL24" s="1291"/>
      <c r="AM24" s="1292"/>
      <c r="AN24" s="1293"/>
    </row>
    <row r="25" spans="1:40" s="1290" customFormat="1" ht="12.75" hidden="1" customHeight="1">
      <c r="A25" s="1270"/>
      <c r="B25" s="1294" t="s">
        <v>195</v>
      </c>
      <c r="C25" s="191"/>
      <c r="D25" s="191"/>
      <c r="E25" s="191"/>
      <c r="F25" s="1295"/>
      <c r="G25" s="1296"/>
      <c r="H25" s="191"/>
      <c r="I25" s="381">
        <f>LOOKUP(ARBETSBLAD!$L$4,ARBETSBLAD!$I$6:$AF$6,ARBETSBLAD!$I108:$AF108)</f>
        <v>0</v>
      </c>
      <c r="J25" s="381">
        <f>LOOKUP(ARBETSBLAD!$L$4+SUM($I$52:I52),ARBETSBLAD!$I$6:$AF$6,ARBETSBLAD!$I108:$AF108)</f>
        <v>0</v>
      </c>
      <c r="K25" s="381">
        <f>LOOKUP(ARBETSBLAD!$L$4+SUM($I$52:J52),ARBETSBLAD!$I$6:$AF$6,ARBETSBLAD!$I108:$AF108)</f>
        <v>0</v>
      </c>
      <c r="L25" s="381">
        <f>LOOKUP(ARBETSBLAD!$L$4+SUM($I$52:K52),ARBETSBLAD!$I$6:$AF$6,ARBETSBLAD!$I108:$AF108)</f>
        <v>0</v>
      </c>
      <c r="M25" s="381">
        <f>LOOKUP(ARBETSBLAD!$L$4+SUM($I$52:L52),ARBETSBLAD!$I$6:$AF$6,ARBETSBLAD!$I108:$AF108)</f>
        <v>0</v>
      </c>
      <c r="N25" s="381">
        <f>LOOKUP(ARBETSBLAD!$L$4+SUM($I$52:M52),ARBETSBLAD!$I$6:$AF$6,ARBETSBLAD!$I108:$AF108)</f>
        <v>0</v>
      </c>
      <c r="O25" s="381">
        <f>LOOKUP(ARBETSBLAD!$L$4+SUM($I$52:N52),ARBETSBLAD!$I$6:$AF$6,ARBETSBLAD!$I108:$AF108)</f>
        <v>0</v>
      </c>
      <c r="P25" s="381">
        <f>LOOKUP(ARBETSBLAD!$L$4+SUM($I$52:O52),ARBETSBLAD!$I$6:$AF$6,ARBETSBLAD!$I108:$AF108)</f>
        <v>0</v>
      </c>
      <c r="Q25" s="381">
        <f>LOOKUP(ARBETSBLAD!$L$4+SUM($I$52:P52),ARBETSBLAD!$I$6:$AF$6,ARBETSBLAD!$I108:$AF108)</f>
        <v>0</v>
      </c>
      <c r="R25" s="381">
        <f>LOOKUP(ARBETSBLAD!$L$4+SUM($I$52:Q52),ARBETSBLAD!$I$6:$AF$6,ARBETSBLAD!$I108:$AF108)</f>
        <v>0</v>
      </c>
      <c r="S25" s="381">
        <f>LOOKUP(ARBETSBLAD!$L$4+SUM($I$52:R52),ARBETSBLAD!$I$6:$AF$6,ARBETSBLAD!$I108:$AF108)</f>
        <v>0</v>
      </c>
      <c r="T25" s="381">
        <f>LOOKUP(ARBETSBLAD!$L$4+SUM($I$52:S52),ARBETSBLAD!$I$6:$AF$6,ARBETSBLAD!$I108:$AF108)</f>
        <v>0</v>
      </c>
      <c r="U25" s="381">
        <f>LOOKUP(ARBETSBLAD!$L$4+SUM($I$52:T52),ARBETSBLAD!$I$6:$AF$6,ARBETSBLAD!$I108:$AF108)</f>
        <v>0</v>
      </c>
      <c r="V25" s="381">
        <f>LOOKUP(ARBETSBLAD!$L$4+SUM($I$52:U52),ARBETSBLAD!$I$6:$AF$6,ARBETSBLAD!$I108:$AF108)*V53</f>
        <v>0</v>
      </c>
      <c r="W25" s="381">
        <f>LOOKUP(ARBETSBLAD!$L$4+SUM($I$52:V52),ARBETSBLAD!$I$6:$AF$6,ARBETSBLAD!$I108:$AF108)*W53</f>
        <v>0</v>
      </c>
      <c r="X25" s="381">
        <f>LOOKUP(ARBETSBLAD!$L$4+SUM($I$52:W52),ARBETSBLAD!$I$6:$AF$6,ARBETSBLAD!$I108:$AF108)*X53</f>
        <v>0</v>
      </c>
      <c r="Y25" s="381">
        <f>LOOKUP(ARBETSBLAD!$L$4+SUM($I$52:X52),ARBETSBLAD!$I$6:$AF$6,ARBETSBLAD!$I108:$AF108)*Y53</f>
        <v>0</v>
      </c>
      <c r="Z25" s="381">
        <f>LOOKUP(ARBETSBLAD!$L$4+SUM($I$52:Y52),ARBETSBLAD!$I$6:$AF$6,ARBETSBLAD!$I108:$AF108)*Z53</f>
        <v>0</v>
      </c>
      <c r="AA25" s="381">
        <f>LOOKUP(ARBETSBLAD!$L$4+SUM($I$52:Z52),ARBETSBLAD!$I$6:$AF$6,ARBETSBLAD!$I108:$AF108)*AA53</f>
        <v>0</v>
      </c>
      <c r="AB25" s="381">
        <f>LOOKUP(ARBETSBLAD!$L$4+SUM($I$52:AA52),ARBETSBLAD!$I$6:$AF$6,ARBETSBLAD!$I108:$AF108)*AB53</f>
        <v>0</v>
      </c>
      <c r="AC25" s="381">
        <f>LOOKUP(ARBETSBLAD!$L$4+SUM($I$52:AB52),ARBETSBLAD!$I$6:$AF$6,ARBETSBLAD!$I108:$AF108)*AC53</f>
        <v>0</v>
      </c>
      <c r="AD25" s="381">
        <f>LOOKUP(ARBETSBLAD!$L$4+SUM($I$52:AC52),ARBETSBLAD!$I$6:$AF$6,ARBETSBLAD!$I108:$AF108)*AD53</f>
        <v>0</v>
      </c>
      <c r="AE25" s="381">
        <f>LOOKUP(ARBETSBLAD!$L$4+SUM($I$52:AD52),ARBETSBLAD!$I$6:$AF$6,ARBETSBLAD!$I108:$AF108)*AE53</f>
        <v>0</v>
      </c>
      <c r="AF25" s="381">
        <f>LOOKUP(ARBETSBLAD!$L$4+SUM($I$52:AE52),ARBETSBLAD!$I$6:$AF$6,ARBETSBLAD!$I108:$AF108)*AF53</f>
        <v>0</v>
      </c>
      <c r="AG25" s="769"/>
      <c r="AH25" s="767">
        <f t="shared" si="1"/>
        <v>0</v>
      </c>
      <c r="AI25" s="434"/>
      <c r="AJ25" s="768">
        <f t="shared" si="2"/>
        <v>0</v>
      </c>
      <c r="AL25" s="1291"/>
      <c r="AM25" s="1292"/>
      <c r="AN25" s="1293"/>
    </row>
    <row r="26" spans="1:40" s="1290" customFormat="1" ht="12.75" hidden="1" customHeight="1">
      <c r="A26" s="1270"/>
      <c r="B26" s="1297" t="str">
        <f>ARBETSBLAD!B114</f>
        <v>Lokalhyra</v>
      </c>
      <c r="C26" s="191"/>
      <c r="D26" s="191"/>
      <c r="E26" s="191"/>
      <c r="F26" s="1295"/>
      <c r="G26" s="1296"/>
      <c r="H26" s="191"/>
      <c r="I26" s="381">
        <f>LOOKUP(ARBETSBLAD!$L$4,ARBETSBLAD!$I$6:$AF$6,ARBETSBLAD!$I135:$AF135)</f>
        <v>0</v>
      </c>
      <c r="J26" s="381">
        <f>LOOKUP(ARBETSBLAD!$L$4+SUM($I$52:I52),ARBETSBLAD!$I$6:$AF$6,ARBETSBLAD!$I135:$AF135)</f>
        <v>0</v>
      </c>
      <c r="K26" s="381">
        <f>LOOKUP(ARBETSBLAD!$L$4+SUM($I$52:J52),ARBETSBLAD!$I$6:$AF$6,ARBETSBLAD!$I135:$AF135)</f>
        <v>0</v>
      </c>
      <c r="L26" s="381">
        <f>LOOKUP(ARBETSBLAD!$L$4+SUM($I$52:K52),ARBETSBLAD!$I$6:$AF$6,ARBETSBLAD!$I135:$AF135)</f>
        <v>0</v>
      </c>
      <c r="M26" s="381">
        <f>LOOKUP(ARBETSBLAD!$L$4+SUM($I$52:L52),ARBETSBLAD!$I$6:$AF$6,ARBETSBLAD!$I135:$AF135)</f>
        <v>0</v>
      </c>
      <c r="N26" s="381">
        <f>LOOKUP(ARBETSBLAD!$L$4+SUM($I$52:M52),ARBETSBLAD!$I$6:$AF$6,ARBETSBLAD!$I135:$AF135)</f>
        <v>0</v>
      </c>
      <c r="O26" s="381">
        <f>LOOKUP(ARBETSBLAD!$L$4+SUM($I$52:N52),ARBETSBLAD!$I$6:$AF$6,ARBETSBLAD!$I135:$AF135)</f>
        <v>0</v>
      </c>
      <c r="P26" s="381">
        <f>LOOKUP(ARBETSBLAD!$L$4+SUM($I$52:O52),ARBETSBLAD!$I$6:$AF$6,ARBETSBLAD!$I135:$AF135)</f>
        <v>0</v>
      </c>
      <c r="Q26" s="381">
        <f>LOOKUP(ARBETSBLAD!$L$4+SUM($I$52:P52),ARBETSBLAD!$I$6:$AF$6,ARBETSBLAD!$I135:$AF135)</f>
        <v>0</v>
      </c>
      <c r="R26" s="381">
        <f>LOOKUP(ARBETSBLAD!$L$4+SUM($I$52:Q52),ARBETSBLAD!$I$6:$AF$6,ARBETSBLAD!$I135:$AF135)</f>
        <v>0</v>
      </c>
      <c r="S26" s="381">
        <f>LOOKUP(ARBETSBLAD!$L$4+SUM($I$52:R52),ARBETSBLAD!$I$6:$AF$6,ARBETSBLAD!$I135:$AF135)</f>
        <v>0</v>
      </c>
      <c r="T26" s="381">
        <f>LOOKUP(ARBETSBLAD!$L$4+SUM($I$52:S52),ARBETSBLAD!$I$6:$AF$6,ARBETSBLAD!$I135:$AF135)</f>
        <v>0</v>
      </c>
      <c r="U26" s="381">
        <f>LOOKUP(ARBETSBLAD!$L$4+SUM($I$52:T52),ARBETSBLAD!$I$6:$AF$6,ARBETSBLAD!$I135:$AF135)</f>
        <v>0</v>
      </c>
      <c r="V26" s="381">
        <f>LOOKUP(ARBETSBLAD!$L$4+SUM($I$52:U52),ARBETSBLAD!$I$6:$AF$6,ARBETSBLAD!$I135:$AF135)*V53</f>
        <v>0</v>
      </c>
      <c r="W26" s="381">
        <f>LOOKUP(ARBETSBLAD!$L$4+SUM($I$52:V52),ARBETSBLAD!$I$6:$AF$6,ARBETSBLAD!$I135:$AF135)*W53</f>
        <v>0</v>
      </c>
      <c r="X26" s="381">
        <f>LOOKUP(ARBETSBLAD!$L$4+SUM($I$52:W52),ARBETSBLAD!$I$6:$AF$6,ARBETSBLAD!$I135:$AF135)*X53</f>
        <v>0</v>
      </c>
      <c r="Y26" s="381">
        <f>LOOKUP(ARBETSBLAD!$L$4+SUM($I$52:X52),ARBETSBLAD!$I$6:$AF$6,ARBETSBLAD!$I135:$AF135)*Y53</f>
        <v>0</v>
      </c>
      <c r="Z26" s="381">
        <f>LOOKUP(ARBETSBLAD!$L$4+SUM($I$52:Y52),ARBETSBLAD!$I$6:$AF$6,ARBETSBLAD!$I135:$AF135)*Z53</f>
        <v>0</v>
      </c>
      <c r="AA26" s="381">
        <f>LOOKUP(ARBETSBLAD!$L$4+SUM($I$52:Z52),ARBETSBLAD!$I$6:$AF$6,ARBETSBLAD!$I135:$AF135)*AA53</f>
        <v>0</v>
      </c>
      <c r="AB26" s="381">
        <f>LOOKUP(ARBETSBLAD!$L$4+SUM($I$52:AA52),ARBETSBLAD!$I$6:$AF$6,ARBETSBLAD!$I135:$AF135)*AB53</f>
        <v>0</v>
      </c>
      <c r="AC26" s="381">
        <f>LOOKUP(ARBETSBLAD!$L$4+SUM($I$52:AB52),ARBETSBLAD!$I$6:$AF$6,ARBETSBLAD!$I135:$AF135)*AC53</f>
        <v>0</v>
      </c>
      <c r="AD26" s="381">
        <f>LOOKUP(ARBETSBLAD!$L$4+SUM($I$52:AC52),ARBETSBLAD!$I$6:$AF$6,ARBETSBLAD!$I135:$AF135)*AD53</f>
        <v>0</v>
      </c>
      <c r="AE26" s="381">
        <f>LOOKUP(ARBETSBLAD!$L$4+SUM($I$52:AD52),ARBETSBLAD!$I$6:$AF$6,ARBETSBLAD!$I135:$AF135)*AE53</f>
        <v>0</v>
      </c>
      <c r="AF26" s="381">
        <f>LOOKUP(ARBETSBLAD!$L$4+SUM($I$52:AE52),ARBETSBLAD!$I$6:$AF$6,ARBETSBLAD!$I135:$AF135)*AF53</f>
        <v>0</v>
      </c>
      <c r="AG26" s="769"/>
      <c r="AH26" s="767">
        <f t="shared" si="1"/>
        <v>0</v>
      </c>
      <c r="AI26" s="434"/>
      <c r="AJ26" s="768">
        <f t="shared" si="2"/>
        <v>0</v>
      </c>
      <c r="AL26" s="1291"/>
      <c r="AM26" s="1292"/>
      <c r="AN26" s="1293"/>
    </row>
    <row r="27" spans="1:40" s="1290" customFormat="1" ht="12.75" hidden="1" customHeight="1">
      <c r="A27" s="1270"/>
      <c r="B27" s="1297" t="str">
        <f>ARBETSBLAD!B115</f>
        <v>Företagets försäkringar. Bankavgifter</v>
      </c>
      <c r="C27" s="191"/>
      <c r="D27" s="191"/>
      <c r="E27" s="191"/>
      <c r="F27" s="1295"/>
      <c r="G27" s="1296"/>
      <c r="H27" s="191"/>
      <c r="I27" s="900">
        <f>LOOKUP(ARBETSBLAD!$L$4,ARBETSBLAD!$I$6:$AF$6,ARBETSBLAD!$I115:$AF115)*LOOKUP(ARBETSBLAD!$L$4,ARBETSBLAD!$I$6:$AF$6,$I$57:$AF$57)</f>
        <v>0</v>
      </c>
      <c r="J27" s="900">
        <f>LOOKUP(ARBETSBLAD!$L$4+SUM($I$52:I$52),ARBETSBLAD!$I$6:$AF$6,ARBETSBLAD!$I115:$AF115)*LOOKUP(ARBETSBLAD!$L$4+SUM($I$52:$I$52),ARBETSBLAD!$I$6:$AF$6,$I$57:$AF$57)</f>
        <v>0</v>
      </c>
      <c r="K27" s="900">
        <f>LOOKUP(ARBETSBLAD!$L$4+SUM($I$52:J$52),ARBETSBLAD!$I$6:$AF$6,ARBETSBLAD!$I115:$AF115)*LOOKUP(ARBETSBLAD!$L$4+SUM($I$52:$I$52),ARBETSBLAD!$I$6:$AF$6,$I$57:$AF$57)</f>
        <v>0</v>
      </c>
      <c r="L27" s="900">
        <f>LOOKUP(ARBETSBLAD!$L$4+SUM($I$52:K$52),ARBETSBLAD!$I$6:$AF$6,ARBETSBLAD!$I115:$AF115)*LOOKUP(ARBETSBLAD!$L$4+SUM($I$52:$I$52),ARBETSBLAD!$I$6:$AF$6,$I$57:$AF$57)</f>
        <v>0</v>
      </c>
      <c r="M27" s="900">
        <f>LOOKUP(ARBETSBLAD!$L$4+SUM($I$52:L$52),ARBETSBLAD!$I$6:$AF$6,ARBETSBLAD!$I115:$AF115)*LOOKUP(ARBETSBLAD!$L$4+SUM($I$52:$I$52),ARBETSBLAD!$I$6:$AF$6,$I$57:$AF$57)</f>
        <v>0</v>
      </c>
      <c r="N27" s="900">
        <f>LOOKUP(ARBETSBLAD!$L$4+SUM($I$52:M$52),ARBETSBLAD!$I$6:$AF$6,ARBETSBLAD!$I115:$AF115)*LOOKUP(ARBETSBLAD!$L$4+SUM($I$52:$I$52),ARBETSBLAD!$I$6:$AF$6,$I$57:$AF$57)</f>
        <v>0</v>
      </c>
      <c r="O27" s="900">
        <f>LOOKUP(ARBETSBLAD!$L$4+SUM($I$52:N$52),ARBETSBLAD!$I$6:$AF$6,ARBETSBLAD!$I115:$AF115)*LOOKUP(ARBETSBLAD!$L$4+SUM($I$52:$I$52),ARBETSBLAD!$I$6:$AF$6,$I$57:$AF$57)</f>
        <v>0</v>
      </c>
      <c r="P27" s="900">
        <f>LOOKUP(ARBETSBLAD!$L$4+SUM($I$52:O$52),ARBETSBLAD!$I$6:$AF$6,ARBETSBLAD!$I115:$AF115)*LOOKUP(ARBETSBLAD!$L$4+SUM($I$52:$I$52),ARBETSBLAD!$I$6:$AF$6,$I$57:$AF$57)</f>
        <v>0</v>
      </c>
      <c r="Q27" s="900">
        <f>LOOKUP(ARBETSBLAD!$L$4+SUM($I$52:P$52),ARBETSBLAD!$I$6:$AF$6,ARBETSBLAD!$I115:$AF115)*LOOKUP(ARBETSBLAD!$L$4+SUM($I$52:$I$52),ARBETSBLAD!$I$6:$AF$6,$I$57:$AF$57)</f>
        <v>0</v>
      </c>
      <c r="R27" s="900">
        <f>LOOKUP(ARBETSBLAD!$L$4+SUM($I$52:Q$52),ARBETSBLAD!$I$6:$AF$6,ARBETSBLAD!$I115:$AF115)*LOOKUP(ARBETSBLAD!$L$4+SUM($I$52:$I$52),ARBETSBLAD!$I$6:$AF$6,$I$57:$AF$57)</f>
        <v>0</v>
      </c>
      <c r="S27" s="900">
        <f>LOOKUP(ARBETSBLAD!$L$4+SUM($I$52:R$52),ARBETSBLAD!$I$6:$AF$6,ARBETSBLAD!$I115:$AF115)*LOOKUP(ARBETSBLAD!$L$4+SUM($I$52:$I$52),ARBETSBLAD!$I$6:$AF$6,$I$57:$AF$57)</f>
        <v>0</v>
      </c>
      <c r="T27" s="900">
        <f>LOOKUP(ARBETSBLAD!$L$4+SUM($I$52:S$52),ARBETSBLAD!$I$6:$AF$6,ARBETSBLAD!$I115:$AF115)*LOOKUP(ARBETSBLAD!$L$4+SUM($I$52:$I$52),ARBETSBLAD!$I$6:$AF$6,$I$57:$AF$57)</f>
        <v>0</v>
      </c>
      <c r="U27" s="900">
        <f>LOOKUP(ARBETSBLAD!$L$4+SUM($I$52:T$52),ARBETSBLAD!$I$6:$AF$6,ARBETSBLAD!$I115:$AF115)*LOOKUP(ARBETSBLAD!$L$4+SUM($I$52:$I$52),ARBETSBLAD!$I$6:$AF$6,$I$57:$AF$57)</f>
        <v>0</v>
      </c>
      <c r="V27" s="900">
        <f>LOOKUP(ARBETSBLAD!$L$4+SUM($I$52:U$52),ARBETSBLAD!$I$6:$AF$6,ARBETSBLAD!$I115:$AF115)*V53</f>
        <v>0</v>
      </c>
      <c r="W27" s="900">
        <f>LOOKUP(ARBETSBLAD!$L$4+SUM($I$52:V$52),ARBETSBLAD!$I$6:$AF$6,ARBETSBLAD!$I115:$AF115)*W53</f>
        <v>0</v>
      </c>
      <c r="X27" s="900">
        <f>LOOKUP(ARBETSBLAD!$L$4+SUM($I$52:W$52),ARBETSBLAD!$I$6:$AF$6,ARBETSBLAD!$I115:$AF115)*X53</f>
        <v>0</v>
      </c>
      <c r="Y27" s="900">
        <f>LOOKUP(ARBETSBLAD!$L$4+SUM($I$52:X$52),ARBETSBLAD!$I$6:$AF$6,ARBETSBLAD!$I115:$AF115)*Y53</f>
        <v>0</v>
      </c>
      <c r="Z27" s="900">
        <f>LOOKUP(ARBETSBLAD!$L$4+SUM($I$52:Y$52),ARBETSBLAD!$I$6:$AF$6,ARBETSBLAD!$I115:$AF115)*Z53</f>
        <v>0</v>
      </c>
      <c r="AA27" s="900">
        <f>LOOKUP(ARBETSBLAD!$L$4+SUM($I$52:Z$52),ARBETSBLAD!$I$6:$AF$6,ARBETSBLAD!$I115:$AF115)*AA53</f>
        <v>0</v>
      </c>
      <c r="AB27" s="900">
        <f>LOOKUP(ARBETSBLAD!$L$4+SUM($I$52:AA$52),ARBETSBLAD!$I$6:$AF$6,ARBETSBLAD!$I115:$AF115)*AB53</f>
        <v>0</v>
      </c>
      <c r="AC27" s="900">
        <f>LOOKUP(ARBETSBLAD!$L$4+SUM($I$52:AB$52),ARBETSBLAD!$I$6:$AF$6,ARBETSBLAD!$I115:$AF115)*AC53</f>
        <v>0</v>
      </c>
      <c r="AD27" s="900">
        <f>LOOKUP(ARBETSBLAD!$L$4+SUM($I$52:AC$52),ARBETSBLAD!$I$6:$AF$6,ARBETSBLAD!$I115:$AF115)*AD53</f>
        <v>0</v>
      </c>
      <c r="AE27" s="900">
        <f>LOOKUP(ARBETSBLAD!$L$4+SUM($I$52:AD$52),ARBETSBLAD!$I$6:$AF$6,ARBETSBLAD!$I115:$AF115)*AE53</f>
        <v>0</v>
      </c>
      <c r="AF27" s="900">
        <f>LOOKUP(ARBETSBLAD!$L$4+SUM($I$52:AE$52),ARBETSBLAD!$I$6:$AF$6,ARBETSBLAD!$I115:$AF115)*AF53</f>
        <v>0</v>
      </c>
      <c r="AG27" s="769"/>
      <c r="AH27" s="767">
        <f t="shared" si="1"/>
        <v>0</v>
      </c>
      <c r="AI27" s="434"/>
      <c r="AJ27" s="768">
        <f t="shared" si="2"/>
        <v>0</v>
      </c>
      <c r="AL27" s="1291"/>
      <c r="AM27" s="1292"/>
      <c r="AN27" s="1293"/>
    </row>
    <row r="28" spans="1:40" s="1290" customFormat="1" ht="12.75" hidden="1" customHeight="1">
      <c r="A28" s="1270"/>
      <c r="B28" s="1297" t="str">
        <f>ARBETSBLAD!B116</f>
        <v>Lokalkostnader: el, värme, underhåll</v>
      </c>
      <c r="C28" s="191"/>
      <c r="D28" s="191"/>
      <c r="E28" s="191"/>
      <c r="F28" s="1295"/>
      <c r="G28" s="1296"/>
      <c r="H28" s="191"/>
      <c r="I28" s="900">
        <f>LOOKUP(ARBETSBLAD!$L$4,ARBETSBLAD!$I$6:$AF$6,ARBETSBLAD!$I116:$AF116)*LOOKUP(ARBETSBLAD!$L$4,ARBETSBLAD!$I$6:$AF$6,$I$57:$AF$57)</f>
        <v>0</v>
      </c>
      <c r="J28" s="900">
        <f>LOOKUP(ARBETSBLAD!$L$4+SUM($I$52:I$52),ARBETSBLAD!$I$6:$AF$6,ARBETSBLAD!$I116:$AF116)*LOOKUP(ARBETSBLAD!$L$4+SUM($I$52:$I$52),ARBETSBLAD!$I$6:$AF$6,$I$57:$AF$57)</f>
        <v>0</v>
      </c>
      <c r="K28" s="900">
        <f>LOOKUP(ARBETSBLAD!$L$4+SUM($I$52:J$52),ARBETSBLAD!$I$6:$AF$6,ARBETSBLAD!$I116:$AF116)*LOOKUP(ARBETSBLAD!$L$4+SUM($I$52:$I$52),ARBETSBLAD!$I$6:$AF$6,$I$57:$AF$57)</f>
        <v>0</v>
      </c>
      <c r="L28" s="900">
        <f>LOOKUP(ARBETSBLAD!$L$4+SUM($I$52:K$52),ARBETSBLAD!$I$6:$AF$6,ARBETSBLAD!$I116:$AF116)*LOOKUP(ARBETSBLAD!$L$4+SUM($I$52:$I$52),ARBETSBLAD!$I$6:$AF$6,$I$57:$AF$57)</f>
        <v>0</v>
      </c>
      <c r="M28" s="900">
        <f>LOOKUP(ARBETSBLAD!$L$4+SUM($I$52:L$52),ARBETSBLAD!$I$6:$AF$6,ARBETSBLAD!$I116:$AF116)*LOOKUP(ARBETSBLAD!$L$4+SUM($I$52:$I$52),ARBETSBLAD!$I$6:$AF$6,$I$57:$AF$57)</f>
        <v>0</v>
      </c>
      <c r="N28" s="900">
        <f>LOOKUP(ARBETSBLAD!$L$4+SUM($I$52:M$52),ARBETSBLAD!$I$6:$AF$6,ARBETSBLAD!$I116:$AF116)*LOOKUP(ARBETSBLAD!$L$4+SUM($I$52:$I$52),ARBETSBLAD!$I$6:$AF$6,$I$57:$AF$57)</f>
        <v>0</v>
      </c>
      <c r="O28" s="900">
        <f>LOOKUP(ARBETSBLAD!$L$4+SUM($I$52:N$52),ARBETSBLAD!$I$6:$AF$6,ARBETSBLAD!$I116:$AF116)*LOOKUP(ARBETSBLAD!$L$4+SUM($I$52:$I$52),ARBETSBLAD!$I$6:$AF$6,$I$57:$AF$57)</f>
        <v>0</v>
      </c>
      <c r="P28" s="900">
        <f>LOOKUP(ARBETSBLAD!$L$4+SUM($I$52:O$52),ARBETSBLAD!$I$6:$AF$6,ARBETSBLAD!$I116:$AF116)*LOOKUP(ARBETSBLAD!$L$4+SUM($I$52:$I$52),ARBETSBLAD!$I$6:$AF$6,$I$57:$AF$57)</f>
        <v>0</v>
      </c>
      <c r="Q28" s="900">
        <f>LOOKUP(ARBETSBLAD!$L$4+SUM($I$52:P$52),ARBETSBLAD!$I$6:$AF$6,ARBETSBLAD!$I116:$AF116)*LOOKUP(ARBETSBLAD!$L$4+SUM($I$52:$I$52),ARBETSBLAD!$I$6:$AF$6,$I$57:$AF$57)</f>
        <v>0</v>
      </c>
      <c r="R28" s="900">
        <f>LOOKUP(ARBETSBLAD!$L$4+SUM($I$52:Q$52),ARBETSBLAD!$I$6:$AF$6,ARBETSBLAD!$I116:$AF116)*LOOKUP(ARBETSBLAD!$L$4+SUM($I$52:$I$52),ARBETSBLAD!$I$6:$AF$6,$I$57:$AF$57)</f>
        <v>0</v>
      </c>
      <c r="S28" s="900">
        <f>LOOKUP(ARBETSBLAD!$L$4+SUM($I$52:R$52),ARBETSBLAD!$I$6:$AF$6,ARBETSBLAD!$I116:$AF116)*LOOKUP(ARBETSBLAD!$L$4+SUM($I$52:$I$52),ARBETSBLAD!$I$6:$AF$6,$I$57:$AF$57)</f>
        <v>0</v>
      </c>
      <c r="T28" s="900">
        <f>LOOKUP(ARBETSBLAD!$L$4+SUM($I$52:S$52),ARBETSBLAD!$I$6:$AF$6,ARBETSBLAD!$I116:$AF116)*LOOKUP(ARBETSBLAD!$L$4+SUM($I$52:$I$52),ARBETSBLAD!$I$6:$AF$6,$I$57:$AF$57)</f>
        <v>0</v>
      </c>
      <c r="U28" s="900">
        <f>LOOKUP(ARBETSBLAD!$L$4+SUM($I$52:T$52),ARBETSBLAD!$I$6:$AF$6,ARBETSBLAD!$I116:$AF116)*LOOKUP(ARBETSBLAD!$L$4+SUM($I$52:$I$52),ARBETSBLAD!$I$6:$AF$6,$I$57:$AF$57)</f>
        <v>0</v>
      </c>
      <c r="V28" s="900">
        <f>LOOKUP(ARBETSBLAD!$L$4+SUM($I$52:U$52),ARBETSBLAD!$I$6:$AF$6,ARBETSBLAD!$I116:$AF116)*V53</f>
        <v>0</v>
      </c>
      <c r="W28" s="900">
        <f>LOOKUP(ARBETSBLAD!$L$4+SUM($I$52:V$52),ARBETSBLAD!$I$6:$AF$6,ARBETSBLAD!$I116:$AF116)*W53</f>
        <v>0</v>
      </c>
      <c r="X28" s="900">
        <f>LOOKUP(ARBETSBLAD!$L$4+SUM($I$52:W$52),ARBETSBLAD!$I$6:$AF$6,ARBETSBLAD!$I116:$AF116)*X53</f>
        <v>0</v>
      </c>
      <c r="Y28" s="900">
        <f>LOOKUP(ARBETSBLAD!$L$4+SUM($I$52:X$52),ARBETSBLAD!$I$6:$AF$6,ARBETSBLAD!$I116:$AF116)*Y53</f>
        <v>0</v>
      </c>
      <c r="Z28" s="900">
        <f>LOOKUP(ARBETSBLAD!$L$4+SUM($I$52:Y$52),ARBETSBLAD!$I$6:$AF$6,ARBETSBLAD!$I116:$AF116)*Z53</f>
        <v>0</v>
      </c>
      <c r="AA28" s="900">
        <f>LOOKUP(ARBETSBLAD!$L$4+SUM($I$52:Z$52),ARBETSBLAD!$I$6:$AF$6,ARBETSBLAD!$I116:$AF116)*AA53</f>
        <v>0</v>
      </c>
      <c r="AB28" s="900">
        <f>LOOKUP(ARBETSBLAD!$L$4+SUM($I$52:AA$52),ARBETSBLAD!$I$6:$AF$6,ARBETSBLAD!$I116:$AF116)*AB53</f>
        <v>0</v>
      </c>
      <c r="AC28" s="900">
        <f>LOOKUP(ARBETSBLAD!$L$4+SUM($I$52:AB$52),ARBETSBLAD!$I$6:$AF$6,ARBETSBLAD!$I116:$AF116)*AC53</f>
        <v>0</v>
      </c>
      <c r="AD28" s="900">
        <f>LOOKUP(ARBETSBLAD!$L$4+SUM($I$52:AC$52),ARBETSBLAD!$I$6:$AF$6,ARBETSBLAD!$I116:$AF116)*AD53</f>
        <v>0</v>
      </c>
      <c r="AE28" s="900">
        <f>LOOKUP(ARBETSBLAD!$L$4+SUM($I$52:AD$52),ARBETSBLAD!$I$6:$AF$6,ARBETSBLAD!$I116:$AF116)*AE53</f>
        <v>0</v>
      </c>
      <c r="AF28" s="900">
        <f>LOOKUP(ARBETSBLAD!$L$4+SUM($I$52:AE$52),ARBETSBLAD!$I$6:$AF$6,ARBETSBLAD!$I116:$AF116)*AF53</f>
        <v>0</v>
      </c>
      <c r="AG28" s="769"/>
      <c r="AH28" s="767">
        <f t="shared" si="1"/>
        <v>0</v>
      </c>
      <c r="AI28" s="434"/>
      <c r="AJ28" s="768">
        <f t="shared" si="2"/>
        <v>0</v>
      </c>
      <c r="AL28" s="1291"/>
      <c r="AM28" s="1292"/>
      <c r="AN28" s="1293"/>
    </row>
    <row r="29" spans="1:40" s="1290" customFormat="1" ht="12.75" hidden="1" customHeight="1">
      <c r="A29" s="1270"/>
      <c r="B29" s="1297" t="str">
        <f>ARBETSBLAD!B117</f>
        <v>Resekostnader. Bilersättning</v>
      </c>
      <c r="C29" s="191"/>
      <c r="D29" s="191"/>
      <c r="E29" s="191"/>
      <c r="F29" s="1295"/>
      <c r="G29" s="1296"/>
      <c r="H29" s="191"/>
      <c r="I29" s="900">
        <f>LOOKUP(ARBETSBLAD!$L$4,ARBETSBLAD!$I$6:$AF$6,ARBETSBLAD!$I117:$AF117)*LOOKUP(ARBETSBLAD!$L$4,ARBETSBLAD!$I$6:$AF$6,$I$57:$AF$57)</f>
        <v>0</v>
      </c>
      <c r="J29" s="900">
        <f>LOOKUP(ARBETSBLAD!$L$4+SUM($I$52:I$52),ARBETSBLAD!$I$6:$AF$6,ARBETSBLAD!$I117:$AF117)*LOOKUP(ARBETSBLAD!$L$4+SUM($I$52:$I$52),ARBETSBLAD!$I$6:$AF$6,$I$57:$AF$57)</f>
        <v>0</v>
      </c>
      <c r="K29" s="900">
        <f>LOOKUP(ARBETSBLAD!$L$4+SUM($I$52:J$52),ARBETSBLAD!$I$6:$AF$6,ARBETSBLAD!$I117:$AF117)*LOOKUP(ARBETSBLAD!$L$4+SUM($I$52:$I$52),ARBETSBLAD!$I$6:$AF$6,$I$57:$AF$57)</f>
        <v>0</v>
      </c>
      <c r="L29" s="900">
        <f>LOOKUP(ARBETSBLAD!$L$4+SUM($I$52:K$52),ARBETSBLAD!$I$6:$AF$6,ARBETSBLAD!$I117:$AF117)*LOOKUP(ARBETSBLAD!$L$4+SUM($I$52:$I$52),ARBETSBLAD!$I$6:$AF$6,$I$57:$AF$57)</f>
        <v>0</v>
      </c>
      <c r="M29" s="900">
        <f>LOOKUP(ARBETSBLAD!$L$4+SUM($I$52:L$52),ARBETSBLAD!$I$6:$AF$6,ARBETSBLAD!$I117:$AF117)*LOOKUP(ARBETSBLAD!$L$4+SUM($I$52:$I$52),ARBETSBLAD!$I$6:$AF$6,$I$57:$AF$57)</f>
        <v>0</v>
      </c>
      <c r="N29" s="900">
        <f>LOOKUP(ARBETSBLAD!$L$4+SUM($I$52:M$52),ARBETSBLAD!$I$6:$AF$6,ARBETSBLAD!$I117:$AF117)*LOOKUP(ARBETSBLAD!$L$4+SUM($I$52:$I$52),ARBETSBLAD!$I$6:$AF$6,$I$57:$AF$57)</f>
        <v>0</v>
      </c>
      <c r="O29" s="900">
        <f>LOOKUP(ARBETSBLAD!$L$4+SUM($I$52:N$52),ARBETSBLAD!$I$6:$AF$6,ARBETSBLAD!$I117:$AF117)*LOOKUP(ARBETSBLAD!$L$4+SUM($I$52:$I$52),ARBETSBLAD!$I$6:$AF$6,$I$57:$AF$57)</f>
        <v>0</v>
      </c>
      <c r="P29" s="900">
        <f>LOOKUP(ARBETSBLAD!$L$4+SUM($I$52:O$52),ARBETSBLAD!$I$6:$AF$6,ARBETSBLAD!$I117:$AF117)*LOOKUP(ARBETSBLAD!$L$4+SUM($I$52:$I$52),ARBETSBLAD!$I$6:$AF$6,$I$57:$AF$57)</f>
        <v>0</v>
      </c>
      <c r="Q29" s="900">
        <f>LOOKUP(ARBETSBLAD!$L$4+SUM($I$52:P$52),ARBETSBLAD!$I$6:$AF$6,ARBETSBLAD!$I117:$AF117)*LOOKUP(ARBETSBLAD!$L$4+SUM($I$52:$I$52),ARBETSBLAD!$I$6:$AF$6,$I$57:$AF$57)</f>
        <v>0</v>
      </c>
      <c r="R29" s="900">
        <f>LOOKUP(ARBETSBLAD!$L$4+SUM($I$52:Q$52),ARBETSBLAD!$I$6:$AF$6,ARBETSBLAD!$I117:$AF117)*LOOKUP(ARBETSBLAD!$L$4+SUM($I$52:$I$52),ARBETSBLAD!$I$6:$AF$6,$I$57:$AF$57)</f>
        <v>0</v>
      </c>
      <c r="S29" s="900">
        <f>LOOKUP(ARBETSBLAD!$L$4+SUM($I$52:R$52),ARBETSBLAD!$I$6:$AF$6,ARBETSBLAD!$I117:$AF117)*LOOKUP(ARBETSBLAD!$L$4+SUM($I$52:$I$52),ARBETSBLAD!$I$6:$AF$6,$I$57:$AF$57)</f>
        <v>0</v>
      </c>
      <c r="T29" s="900">
        <f>LOOKUP(ARBETSBLAD!$L$4+SUM($I$52:S$52),ARBETSBLAD!$I$6:$AF$6,ARBETSBLAD!$I117:$AF117)*LOOKUP(ARBETSBLAD!$L$4+SUM($I$52:$I$52),ARBETSBLAD!$I$6:$AF$6,$I$57:$AF$57)</f>
        <v>0</v>
      </c>
      <c r="U29" s="900">
        <f>LOOKUP(ARBETSBLAD!$L$4+SUM($I$52:T$52),ARBETSBLAD!$I$6:$AF$6,ARBETSBLAD!$I117:$AF117)*LOOKUP(ARBETSBLAD!$L$4+SUM($I$52:$I$52),ARBETSBLAD!$I$6:$AF$6,$I$57:$AF$57)</f>
        <v>0</v>
      </c>
      <c r="V29" s="900">
        <f>LOOKUP(ARBETSBLAD!$L$4+SUM($I$52:U$52),ARBETSBLAD!$I$6:$AF$6,ARBETSBLAD!$I117:$AF117)*V53</f>
        <v>0</v>
      </c>
      <c r="W29" s="900">
        <f>LOOKUP(ARBETSBLAD!$L$4+SUM($I$52:V$52),ARBETSBLAD!$I$6:$AF$6,ARBETSBLAD!$I117:$AF117)*W53</f>
        <v>0</v>
      </c>
      <c r="X29" s="900">
        <f>LOOKUP(ARBETSBLAD!$L$4+SUM($I$52:W$52),ARBETSBLAD!$I$6:$AF$6,ARBETSBLAD!$I117:$AF117)*X53</f>
        <v>0</v>
      </c>
      <c r="Y29" s="900">
        <f>LOOKUP(ARBETSBLAD!$L$4+SUM($I$52:X$52),ARBETSBLAD!$I$6:$AF$6,ARBETSBLAD!$I117:$AF117)*Y53</f>
        <v>0</v>
      </c>
      <c r="Z29" s="900">
        <f>LOOKUP(ARBETSBLAD!$L$4+SUM($I$52:Y$52),ARBETSBLAD!$I$6:$AF$6,ARBETSBLAD!$I117:$AF117)*Z53</f>
        <v>0</v>
      </c>
      <c r="AA29" s="900">
        <f>LOOKUP(ARBETSBLAD!$L$4+SUM($I$52:Z$52),ARBETSBLAD!$I$6:$AF$6,ARBETSBLAD!$I117:$AF117)*AA53</f>
        <v>0</v>
      </c>
      <c r="AB29" s="900">
        <f>LOOKUP(ARBETSBLAD!$L$4+SUM($I$52:AA$52),ARBETSBLAD!$I$6:$AF$6,ARBETSBLAD!$I117:$AF117)*AB53</f>
        <v>0</v>
      </c>
      <c r="AC29" s="900">
        <f>LOOKUP(ARBETSBLAD!$L$4+SUM($I$52:AB$52),ARBETSBLAD!$I$6:$AF$6,ARBETSBLAD!$I117:$AF117)*AC53</f>
        <v>0</v>
      </c>
      <c r="AD29" s="900">
        <f>LOOKUP(ARBETSBLAD!$L$4+SUM($I$52:AC$52),ARBETSBLAD!$I$6:$AF$6,ARBETSBLAD!$I117:$AF117)*AD53</f>
        <v>0</v>
      </c>
      <c r="AE29" s="900">
        <f>LOOKUP(ARBETSBLAD!$L$4+SUM($I$52:AD$52),ARBETSBLAD!$I$6:$AF$6,ARBETSBLAD!$I117:$AF117)*AE53</f>
        <v>0</v>
      </c>
      <c r="AF29" s="900">
        <f>LOOKUP(ARBETSBLAD!$L$4+SUM($I$52:AE$52),ARBETSBLAD!$I$6:$AF$6,ARBETSBLAD!$I117:$AF117)*AF53</f>
        <v>0</v>
      </c>
      <c r="AG29" s="769"/>
      <c r="AH29" s="767">
        <f t="shared" si="1"/>
        <v>0</v>
      </c>
      <c r="AI29" s="434"/>
      <c r="AJ29" s="768">
        <f t="shared" si="2"/>
        <v>0</v>
      </c>
      <c r="AL29" s="1291"/>
      <c r="AM29" s="1292"/>
      <c r="AN29" s="1293"/>
    </row>
    <row r="30" spans="1:40" s="1290" customFormat="1" ht="12.75" hidden="1" customHeight="1">
      <c r="A30" s="1270"/>
      <c r="B30" s="1297" t="str">
        <f>ARBETSBLAD!B118</f>
        <v>Kontorsmateriel, telefon, porto etc</v>
      </c>
      <c r="C30" s="191"/>
      <c r="D30" s="191"/>
      <c r="E30" s="191"/>
      <c r="F30" s="1295"/>
      <c r="G30" s="1296"/>
      <c r="H30" s="191"/>
      <c r="I30" s="900">
        <f>LOOKUP(ARBETSBLAD!$L$4,ARBETSBLAD!$I$6:$AF$6,ARBETSBLAD!$I118:$AF118)*LOOKUP(ARBETSBLAD!$L$4,ARBETSBLAD!$I$6:$AF$6,$I$57:$AF$57)</f>
        <v>0</v>
      </c>
      <c r="J30" s="900">
        <f>LOOKUP(ARBETSBLAD!$L$4+SUM($I$52:I$52),ARBETSBLAD!$I$6:$AF$6,ARBETSBLAD!$I118:$AF118)*LOOKUP(ARBETSBLAD!$L$4+SUM($I$52:$I$52),ARBETSBLAD!$I$6:$AF$6,$I$57:$AF$57)</f>
        <v>0</v>
      </c>
      <c r="K30" s="900">
        <f>LOOKUP(ARBETSBLAD!$L$4+SUM($I$52:J$52),ARBETSBLAD!$I$6:$AF$6,ARBETSBLAD!$I118:$AF118)*LOOKUP(ARBETSBLAD!$L$4+SUM($I$52:$I$52),ARBETSBLAD!$I$6:$AF$6,$I$57:$AF$57)</f>
        <v>0</v>
      </c>
      <c r="L30" s="900">
        <f>LOOKUP(ARBETSBLAD!$L$4+SUM($I$52:K$52),ARBETSBLAD!$I$6:$AF$6,ARBETSBLAD!$I118:$AF118)*LOOKUP(ARBETSBLAD!$L$4+SUM($I$52:$I$52),ARBETSBLAD!$I$6:$AF$6,$I$57:$AF$57)</f>
        <v>0</v>
      </c>
      <c r="M30" s="900">
        <f>LOOKUP(ARBETSBLAD!$L$4+SUM($I$52:L$52),ARBETSBLAD!$I$6:$AF$6,ARBETSBLAD!$I118:$AF118)*LOOKUP(ARBETSBLAD!$L$4+SUM($I$52:$I$52),ARBETSBLAD!$I$6:$AF$6,$I$57:$AF$57)</f>
        <v>0</v>
      </c>
      <c r="N30" s="900">
        <f>LOOKUP(ARBETSBLAD!$L$4+SUM($I$52:M$52),ARBETSBLAD!$I$6:$AF$6,ARBETSBLAD!$I118:$AF118)*LOOKUP(ARBETSBLAD!$L$4+SUM($I$52:$I$52),ARBETSBLAD!$I$6:$AF$6,$I$57:$AF$57)</f>
        <v>0</v>
      </c>
      <c r="O30" s="900">
        <f>LOOKUP(ARBETSBLAD!$L$4+SUM($I$52:N$52),ARBETSBLAD!$I$6:$AF$6,ARBETSBLAD!$I118:$AF118)*LOOKUP(ARBETSBLAD!$L$4+SUM($I$52:$I$52),ARBETSBLAD!$I$6:$AF$6,$I$57:$AF$57)</f>
        <v>0</v>
      </c>
      <c r="P30" s="900">
        <f>LOOKUP(ARBETSBLAD!$L$4+SUM($I$52:O$52),ARBETSBLAD!$I$6:$AF$6,ARBETSBLAD!$I118:$AF118)*LOOKUP(ARBETSBLAD!$L$4+SUM($I$52:$I$52),ARBETSBLAD!$I$6:$AF$6,$I$57:$AF$57)</f>
        <v>0</v>
      </c>
      <c r="Q30" s="900">
        <f>LOOKUP(ARBETSBLAD!$L$4+SUM($I$52:P$52),ARBETSBLAD!$I$6:$AF$6,ARBETSBLAD!$I118:$AF118)*LOOKUP(ARBETSBLAD!$L$4+SUM($I$52:$I$52),ARBETSBLAD!$I$6:$AF$6,$I$57:$AF$57)</f>
        <v>0</v>
      </c>
      <c r="R30" s="900">
        <f>LOOKUP(ARBETSBLAD!$L$4+SUM($I$52:Q$52),ARBETSBLAD!$I$6:$AF$6,ARBETSBLAD!$I118:$AF118)*LOOKUP(ARBETSBLAD!$L$4+SUM($I$52:$I$52),ARBETSBLAD!$I$6:$AF$6,$I$57:$AF$57)</f>
        <v>0</v>
      </c>
      <c r="S30" s="900">
        <f>LOOKUP(ARBETSBLAD!$L$4+SUM($I$52:R$52),ARBETSBLAD!$I$6:$AF$6,ARBETSBLAD!$I118:$AF118)*LOOKUP(ARBETSBLAD!$L$4+SUM($I$52:$I$52),ARBETSBLAD!$I$6:$AF$6,$I$57:$AF$57)</f>
        <v>0</v>
      </c>
      <c r="T30" s="900">
        <f>LOOKUP(ARBETSBLAD!$L$4+SUM($I$52:S$52),ARBETSBLAD!$I$6:$AF$6,ARBETSBLAD!$I118:$AF118)*LOOKUP(ARBETSBLAD!$L$4+SUM($I$52:$I$52),ARBETSBLAD!$I$6:$AF$6,$I$57:$AF$57)</f>
        <v>0</v>
      </c>
      <c r="U30" s="900">
        <f>LOOKUP(ARBETSBLAD!$L$4+SUM($I$52:T$52),ARBETSBLAD!$I$6:$AF$6,ARBETSBLAD!$I118:$AF118)*LOOKUP(ARBETSBLAD!$L$4+SUM($I$52:$I$52),ARBETSBLAD!$I$6:$AF$6,$I$57:$AF$57)</f>
        <v>0</v>
      </c>
      <c r="V30" s="900">
        <f>LOOKUP(ARBETSBLAD!$L$4+SUM($I$52:U$52),ARBETSBLAD!$I$6:$AF$6,ARBETSBLAD!$I118:$AF118)*V53</f>
        <v>0</v>
      </c>
      <c r="W30" s="900">
        <f>LOOKUP(ARBETSBLAD!$L$4+SUM($I$52:V$52),ARBETSBLAD!$I$6:$AF$6,ARBETSBLAD!$I118:$AF118)*W53</f>
        <v>0</v>
      </c>
      <c r="X30" s="900">
        <f>LOOKUP(ARBETSBLAD!$L$4+SUM($I$52:W$52),ARBETSBLAD!$I$6:$AF$6,ARBETSBLAD!$I118:$AF118)*X53</f>
        <v>0</v>
      </c>
      <c r="Y30" s="900">
        <f>LOOKUP(ARBETSBLAD!$L$4+SUM($I$52:X$52),ARBETSBLAD!$I$6:$AF$6,ARBETSBLAD!$I118:$AF118)*Y53</f>
        <v>0</v>
      </c>
      <c r="Z30" s="900">
        <f>LOOKUP(ARBETSBLAD!$L$4+SUM($I$52:Y$52),ARBETSBLAD!$I$6:$AF$6,ARBETSBLAD!$I118:$AF118)*Z53</f>
        <v>0</v>
      </c>
      <c r="AA30" s="900">
        <f>LOOKUP(ARBETSBLAD!$L$4+SUM($I$52:Z$52),ARBETSBLAD!$I$6:$AF$6,ARBETSBLAD!$I118:$AF118)*AA53</f>
        <v>0</v>
      </c>
      <c r="AB30" s="900">
        <f>LOOKUP(ARBETSBLAD!$L$4+SUM($I$52:AA$52),ARBETSBLAD!$I$6:$AF$6,ARBETSBLAD!$I118:$AF118)*AB53</f>
        <v>0</v>
      </c>
      <c r="AC30" s="900">
        <f>LOOKUP(ARBETSBLAD!$L$4+SUM($I$52:AB$52),ARBETSBLAD!$I$6:$AF$6,ARBETSBLAD!$I118:$AF118)*AC53</f>
        <v>0</v>
      </c>
      <c r="AD30" s="900">
        <f>LOOKUP(ARBETSBLAD!$L$4+SUM($I$52:AC$52),ARBETSBLAD!$I$6:$AF$6,ARBETSBLAD!$I118:$AF118)*AD53</f>
        <v>0</v>
      </c>
      <c r="AE30" s="900">
        <f>LOOKUP(ARBETSBLAD!$L$4+SUM($I$52:AD$52),ARBETSBLAD!$I$6:$AF$6,ARBETSBLAD!$I118:$AF118)*AE53</f>
        <v>0</v>
      </c>
      <c r="AF30" s="900">
        <f>LOOKUP(ARBETSBLAD!$L$4+SUM($I$52:AE$52),ARBETSBLAD!$I$6:$AF$6,ARBETSBLAD!$I118:$AF118)*AF53</f>
        <v>0</v>
      </c>
      <c r="AG30" s="769"/>
      <c r="AH30" s="767">
        <f t="shared" si="1"/>
        <v>0</v>
      </c>
      <c r="AI30" s="434"/>
      <c r="AJ30" s="768">
        <f t="shared" si="2"/>
        <v>0</v>
      </c>
      <c r="AL30" s="1291"/>
      <c r="AM30" s="1292"/>
      <c r="AN30" s="1293"/>
    </row>
    <row r="31" spans="1:40" s="1290" customFormat="1" ht="12.75" hidden="1" customHeight="1">
      <c r="A31" s="1270"/>
      <c r="B31" s="1297" t="str">
        <f>ARBETSBLAD!B119</f>
        <v>Försäljn.kostn. (resekostn. övernattning)</v>
      </c>
      <c r="C31" s="191"/>
      <c r="D31" s="191"/>
      <c r="E31" s="191"/>
      <c r="F31" s="1295"/>
      <c r="G31" s="1296"/>
      <c r="H31" s="191"/>
      <c r="I31" s="900">
        <f>LOOKUP(ARBETSBLAD!$L$4,ARBETSBLAD!$I$6:$AF$6,ARBETSBLAD!$I119:$AF119)*LOOKUP(ARBETSBLAD!$L$4,ARBETSBLAD!$I$6:$AF$6,$I$57:$AF$57)</f>
        <v>0</v>
      </c>
      <c r="J31" s="900">
        <f>LOOKUP(ARBETSBLAD!$L$4+SUM($I$52:I$52),ARBETSBLAD!$I$6:$AF$6,ARBETSBLAD!$I119:$AF119)*LOOKUP(ARBETSBLAD!$L$4+SUM($I$52:$I$52),ARBETSBLAD!$I$6:$AF$6,$I$57:$AF$57)</f>
        <v>0</v>
      </c>
      <c r="K31" s="900">
        <f>LOOKUP(ARBETSBLAD!$L$4+SUM($I$52:J$52),ARBETSBLAD!$I$6:$AF$6,ARBETSBLAD!$I119:$AF119)*LOOKUP(ARBETSBLAD!$L$4+SUM($I$52:$I$52),ARBETSBLAD!$I$6:$AF$6,$I$57:$AF$57)</f>
        <v>0</v>
      </c>
      <c r="L31" s="900">
        <f>LOOKUP(ARBETSBLAD!$L$4+SUM($I$52:K$52),ARBETSBLAD!$I$6:$AF$6,ARBETSBLAD!$I119:$AF119)*LOOKUP(ARBETSBLAD!$L$4+SUM($I$52:$I$52),ARBETSBLAD!$I$6:$AF$6,$I$57:$AF$57)</f>
        <v>0</v>
      </c>
      <c r="M31" s="900">
        <f>LOOKUP(ARBETSBLAD!$L$4+SUM($I$52:L$52),ARBETSBLAD!$I$6:$AF$6,ARBETSBLAD!$I119:$AF119)*LOOKUP(ARBETSBLAD!$L$4+SUM($I$52:$I$52),ARBETSBLAD!$I$6:$AF$6,$I$57:$AF$57)</f>
        <v>0</v>
      </c>
      <c r="N31" s="900">
        <f>LOOKUP(ARBETSBLAD!$L$4+SUM($I$52:M$52),ARBETSBLAD!$I$6:$AF$6,ARBETSBLAD!$I119:$AF119)*LOOKUP(ARBETSBLAD!$L$4+SUM($I$52:$I$52),ARBETSBLAD!$I$6:$AF$6,$I$57:$AF$57)</f>
        <v>0</v>
      </c>
      <c r="O31" s="900">
        <f>LOOKUP(ARBETSBLAD!$L$4+SUM($I$52:N$52),ARBETSBLAD!$I$6:$AF$6,ARBETSBLAD!$I119:$AF119)*LOOKUP(ARBETSBLAD!$L$4+SUM($I$52:$I$52),ARBETSBLAD!$I$6:$AF$6,$I$57:$AF$57)</f>
        <v>0</v>
      </c>
      <c r="P31" s="900">
        <f>LOOKUP(ARBETSBLAD!$L$4+SUM($I$52:O$52),ARBETSBLAD!$I$6:$AF$6,ARBETSBLAD!$I119:$AF119)*LOOKUP(ARBETSBLAD!$L$4+SUM($I$52:$I$52),ARBETSBLAD!$I$6:$AF$6,$I$57:$AF$57)</f>
        <v>0</v>
      </c>
      <c r="Q31" s="900">
        <f>LOOKUP(ARBETSBLAD!$L$4+SUM($I$52:P$52),ARBETSBLAD!$I$6:$AF$6,ARBETSBLAD!$I119:$AF119)*LOOKUP(ARBETSBLAD!$L$4+SUM($I$52:$I$52),ARBETSBLAD!$I$6:$AF$6,$I$57:$AF$57)</f>
        <v>0</v>
      </c>
      <c r="R31" s="900">
        <f>LOOKUP(ARBETSBLAD!$L$4+SUM($I$52:Q$52),ARBETSBLAD!$I$6:$AF$6,ARBETSBLAD!$I119:$AF119)*LOOKUP(ARBETSBLAD!$L$4+SUM($I$52:$I$52),ARBETSBLAD!$I$6:$AF$6,$I$57:$AF$57)</f>
        <v>0</v>
      </c>
      <c r="S31" s="900">
        <f>LOOKUP(ARBETSBLAD!$L$4+SUM($I$52:R$52),ARBETSBLAD!$I$6:$AF$6,ARBETSBLAD!$I119:$AF119)*LOOKUP(ARBETSBLAD!$L$4+SUM($I$52:$I$52),ARBETSBLAD!$I$6:$AF$6,$I$57:$AF$57)</f>
        <v>0</v>
      </c>
      <c r="T31" s="900">
        <f>LOOKUP(ARBETSBLAD!$L$4+SUM($I$52:S$52),ARBETSBLAD!$I$6:$AF$6,ARBETSBLAD!$I119:$AF119)*LOOKUP(ARBETSBLAD!$L$4+SUM($I$52:$I$52),ARBETSBLAD!$I$6:$AF$6,$I$57:$AF$57)</f>
        <v>0</v>
      </c>
      <c r="U31" s="900">
        <f>LOOKUP(ARBETSBLAD!$L$4+SUM($I$52:T$52),ARBETSBLAD!$I$6:$AF$6,ARBETSBLAD!$I119:$AF119)*LOOKUP(ARBETSBLAD!$L$4+SUM($I$52:$I$52),ARBETSBLAD!$I$6:$AF$6,$I$57:$AF$57)</f>
        <v>0</v>
      </c>
      <c r="V31" s="900">
        <f>LOOKUP(ARBETSBLAD!$L$4+SUM($I$52:U$52),ARBETSBLAD!$I$6:$AF$6,ARBETSBLAD!$I119:$AF119)*V53</f>
        <v>0</v>
      </c>
      <c r="W31" s="900">
        <f>LOOKUP(ARBETSBLAD!$L$4+SUM($I$52:V$52),ARBETSBLAD!$I$6:$AF$6,ARBETSBLAD!$I119:$AF119)*W53</f>
        <v>0</v>
      </c>
      <c r="X31" s="900">
        <f>LOOKUP(ARBETSBLAD!$L$4+SUM($I$52:W$52),ARBETSBLAD!$I$6:$AF$6,ARBETSBLAD!$I119:$AF119)*X53</f>
        <v>0</v>
      </c>
      <c r="Y31" s="900">
        <f>LOOKUP(ARBETSBLAD!$L$4+SUM($I$52:X$52),ARBETSBLAD!$I$6:$AF$6,ARBETSBLAD!$I119:$AF119)*Y53</f>
        <v>0</v>
      </c>
      <c r="Z31" s="900">
        <f>LOOKUP(ARBETSBLAD!$L$4+SUM($I$52:Y$52),ARBETSBLAD!$I$6:$AF$6,ARBETSBLAD!$I119:$AF119)*Z53</f>
        <v>0</v>
      </c>
      <c r="AA31" s="900">
        <f>LOOKUP(ARBETSBLAD!$L$4+SUM($I$52:Z$52),ARBETSBLAD!$I$6:$AF$6,ARBETSBLAD!$I119:$AF119)*AA53</f>
        <v>0</v>
      </c>
      <c r="AB31" s="900">
        <f>LOOKUP(ARBETSBLAD!$L$4+SUM($I$52:AA$52),ARBETSBLAD!$I$6:$AF$6,ARBETSBLAD!$I119:$AF119)*AB53</f>
        <v>0</v>
      </c>
      <c r="AC31" s="900">
        <f>LOOKUP(ARBETSBLAD!$L$4+SUM($I$52:AB$52),ARBETSBLAD!$I$6:$AF$6,ARBETSBLAD!$I119:$AF119)*AC53</f>
        <v>0</v>
      </c>
      <c r="AD31" s="900">
        <f>LOOKUP(ARBETSBLAD!$L$4+SUM($I$52:AC$52),ARBETSBLAD!$I$6:$AF$6,ARBETSBLAD!$I119:$AF119)*AD53</f>
        <v>0</v>
      </c>
      <c r="AE31" s="900">
        <f>LOOKUP(ARBETSBLAD!$L$4+SUM($I$52:AD$52),ARBETSBLAD!$I$6:$AF$6,ARBETSBLAD!$I119:$AF119)*AE53</f>
        <v>0</v>
      </c>
      <c r="AF31" s="900">
        <f>LOOKUP(ARBETSBLAD!$L$4+SUM($I$52:AE$52),ARBETSBLAD!$I$6:$AF$6,ARBETSBLAD!$I119:$AF119)*AF53</f>
        <v>0</v>
      </c>
      <c r="AG31" s="769"/>
      <c r="AH31" s="767">
        <f t="shared" si="1"/>
        <v>0</v>
      </c>
      <c r="AI31" s="434"/>
      <c r="AJ31" s="768">
        <f t="shared" si="2"/>
        <v>0</v>
      </c>
      <c r="AL31" s="1291"/>
      <c r="AM31" s="1292"/>
      <c r="AN31" s="1293"/>
    </row>
    <row r="32" spans="1:40" s="1290" customFormat="1" ht="12.75" hidden="1" customHeight="1">
      <c r="A32" s="1270"/>
      <c r="B32" s="1297" t="str">
        <f>ARBETSBLAD!B120</f>
        <v>Marknadsföring</v>
      </c>
      <c r="C32" s="191"/>
      <c r="D32" s="191"/>
      <c r="E32" s="191"/>
      <c r="F32" s="1295"/>
      <c r="G32" s="1296"/>
      <c r="H32" s="191"/>
      <c r="I32" s="900">
        <f>LOOKUP(ARBETSBLAD!$L$4,ARBETSBLAD!$I$6:$AF$6,ARBETSBLAD!$I120:$AF120)*LOOKUP(ARBETSBLAD!$L$4,ARBETSBLAD!$I$6:$AF$6,$I$57:$AF$57)</f>
        <v>0</v>
      </c>
      <c r="J32" s="900">
        <f>LOOKUP(ARBETSBLAD!$L$4+SUM($I$52:I$52),ARBETSBLAD!$I$6:$AF$6,ARBETSBLAD!$I120:$AF120)*LOOKUP(ARBETSBLAD!$L$4+SUM($I$52:$I$52),ARBETSBLAD!$I$6:$AF$6,$I$57:$AF$57)</f>
        <v>0</v>
      </c>
      <c r="K32" s="900">
        <f>LOOKUP(ARBETSBLAD!$L$4+SUM($I$52:J$52),ARBETSBLAD!$I$6:$AF$6,ARBETSBLAD!$I120:$AF120)*LOOKUP(ARBETSBLAD!$L$4+SUM($I$52:$I$52),ARBETSBLAD!$I$6:$AF$6,$I$57:$AF$57)</f>
        <v>0</v>
      </c>
      <c r="L32" s="900">
        <f>LOOKUP(ARBETSBLAD!$L$4+SUM($I$52:K$52),ARBETSBLAD!$I$6:$AF$6,ARBETSBLAD!$I120:$AF120)*LOOKUP(ARBETSBLAD!$L$4+SUM($I$52:$I$52),ARBETSBLAD!$I$6:$AF$6,$I$57:$AF$57)</f>
        <v>0</v>
      </c>
      <c r="M32" s="900">
        <f>LOOKUP(ARBETSBLAD!$L$4+SUM($I$52:L$52),ARBETSBLAD!$I$6:$AF$6,ARBETSBLAD!$I120:$AF120)*LOOKUP(ARBETSBLAD!$L$4+SUM($I$52:$I$52),ARBETSBLAD!$I$6:$AF$6,$I$57:$AF$57)</f>
        <v>0</v>
      </c>
      <c r="N32" s="900">
        <f>LOOKUP(ARBETSBLAD!$L$4+SUM($I$52:M$52),ARBETSBLAD!$I$6:$AF$6,ARBETSBLAD!$I120:$AF120)*LOOKUP(ARBETSBLAD!$L$4+SUM($I$52:$I$52),ARBETSBLAD!$I$6:$AF$6,$I$57:$AF$57)</f>
        <v>0</v>
      </c>
      <c r="O32" s="900">
        <f>LOOKUP(ARBETSBLAD!$L$4+SUM($I$52:N$52),ARBETSBLAD!$I$6:$AF$6,ARBETSBLAD!$I120:$AF120)*LOOKUP(ARBETSBLAD!$L$4+SUM($I$52:$I$52),ARBETSBLAD!$I$6:$AF$6,$I$57:$AF$57)</f>
        <v>0</v>
      </c>
      <c r="P32" s="900">
        <f>LOOKUP(ARBETSBLAD!$L$4+SUM($I$52:O$52),ARBETSBLAD!$I$6:$AF$6,ARBETSBLAD!$I120:$AF120)*LOOKUP(ARBETSBLAD!$L$4+SUM($I$52:$I$52),ARBETSBLAD!$I$6:$AF$6,$I$57:$AF$57)</f>
        <v>0</v>
      </c>
      <c r="Q32" s="900">
        <f>LOOKUP(ARBETSBLAD!$L$4+SUM($I$52:P$52),ARBETSBLAD!$I$6:$AF$6,ARBETSBLAD!$I120:$AF120)*LOOKUP(ARBETSBLAD!$L$4+SUM($I$52:$I$52),ARBETSBLAD!$I$6:$AF$6,$I$57:$AF$57)</f>
        <v>0</v>
      </c>
      <c r="R32" s="900">
        <f>LOOKUP(ARBETSBLAD!$L$4+SUM($I$52:Q$52),ARBETSBLAD!$I$6:$AF$6,ARBETSBLAD!$I120:$AF120)*LOOKUP(ARBETSBLAD!$L$4+SUM($I$52:$I$52),ARBETSBLAD!$I$6:$AF$6,$I$57:$AF$57)</f>
        <v>0</v>
      </c>
      <c r="S32" s="900">
        <f>LOOKUP(ARBETSBLAD!$L$4+SUM($I$52:R$52),ARBETSBLAD!$I$6:$AF$6,ARBETSBLAD!$I120:$AF120)*LOOKUP(ARBETSBLAD!$L$4+SUM($I$52:$I$52),ARBETSBLAD!$I$6:$AF$6,$I$57:$AF$57)</f>
        <v>0</v>
      </c>
      <c r="T32" s="900">
        <f>LOOKUP(ARBETSBLAD!$L$4+SUM($I$52:S$52),ARBETSBLAD!$I$6:$AF$6,ARBETSBLAD!$I120:$AF120)*LOOKUP(ARBETSBLAD!$L$4+SUM($I$52:$I$52),ARBETSBLAD!$I$6:$AF$6,$I$57:$AF$57)</f>
        <v>0</v>
      </c>
      <c r="U32" s="900">
        <f>LOOKUP(ARBETSBLAD!$L$4+SUM($I$52:T$52),ARBETSBLAD!$I$6:$AF$6,ARBETSBLAD!$I120:$AF120)*LOOKUP(ARBETSBLAD!$L$4+SUM($I$52:$I$52),ARBETSBLAD!$I$6:$AF$6,$I$57:$AF$57)</f>
        <v>0</v>
      </c>
      <c r="V32" s="900">
        <f>LOOKUP(ARBETSBLAD!$L$4+SUM($I$52:U$52),ARBETSBLAD!$I$6:$AF$6,ARBETSBLAD!$I120:$AF120)*V53</f>
        <v>0</v>
      </c>
      <c r="W32" s="900">
        <f>LOOKUP(ARBETSBLAD!$L$4+SUM($I$52:V$52),ARBETSBLAD!$I$6:$AF$6,ARBETSBLAD!$I120:$AF120)*W53</f>
        <v>0</v>
      </c>
      <c r="X32" s="900">
        <f>LOOKUP(ARBETSBLAD!$L$4+SUM($I$52:W$52),ARBETSBLAD!$I$6:$AF$6,ARBETSBLAD!$I120:$AF120)*X53</f>
        <v>0</v>
      </c>
      <c r="Y32" s="900">
        <f>LOOKUP(ARBETSBLAD!$L$4+SUM($I$52:X$52),ARBETSBLAD!$I$6:$AF$6,ARBETSBLAD!$I120:$AF120)*Y53</f>
        <v>0</v>
      </c>
      <c r="Z32" s="900">
        <f>LOOKUP(ARBETSBLAD!$L$4+SUM($I$52:Y$52),ARBETSBLAD!$I$6:$AF$6,ARBETSBLAD!$I120:$AF120)*Z53</f>
        <v>0</v>
      </c>
      <c r="AA32" s="900">
        <f>LOOKUP(ARBETSBLAD!$L$4+SUM($I$52:Z$52),ARBETSBLAD!$I$6:$AF$6,ARBETSBLAD!$I120:$AF120)*AA53</f>
        <v>0</v>
      </c>
      <c r="AB32" s="900">
        <f>LOOKUP(ARBETSBLAD!$L$4+SUM($I$52:AA$52),ARBETSBLAD!$I$6:$AF$6,ARBETSBLAD!$I120:$AF120)*AB53</f>
        <v>0</v>
      </c>
      <c r="AC32" s="900">
        <f>LOOKUP(ARBETSBLAD!$L$4+SUM($I$52:AB$52),ARBETSBLAD!$I$6:$AF$6,ARBETSBLAD!$I120:$AF120)*AC53</f>
        <v>0</v>
      </c>
      <c r="AD32" s="900">
        <f>LOOKUP(ARBETSBLAD!$L$4+SUM($I$52:AC$52),ARBETSBLAD!$I$6:$AF$6,ARBETSBLAD!$I120:$AF120)*AD53</f>
        <v>0</v>
      </c>
      <c r="AE32" s="900">
        <f>LOOKUP(ARBETSBLAD!$L$4+SUM($I$52:AD$52),ARBETSBLAD!$I$6:$AF$6,ARBETSBLAD!$I120:$AF120)*AE53</f>
        <v>0</v>
      </c>
      <c r="AF32" s="900">
        <f>LOOKUP(ARBETSBLAD!$L$4+SUM($I$52:AE$52),ARBETSBLAD!$I$6:$AF$6,ARBETSBLAD!$I120:$AF120)*AF53</f>
        <v>0</v>
      </c>
      <c r="AG32" s="769"/>
      <c r="AH32" s="767">
        <f t="shared" si="1"/>
        <v>0</v>
      </c>
      <c r="AI32" s="434"/>
      <c r="AJ32" s="768">
        <f t="shared" si="2"/>
        <v>0</v>
      </c>
      <c r="AL32" s="1291"/>
      <c r="AM32" s="1292"/>
      <c r="AN32" s="1293"/>
    </row>
    <row r="33" spans="1:40" s="1290" customFormat="1" ht="12.75" hidden="1" customHeight="1">
      <c r="A33" s="1270"/>
      <c r="B33" s="1297" t="str">
        <f>ARBETSBLAD!B121</f>
        <v>Bokföring. Revision</v>
      </c>
      <c r="C33" s="191"/>
      <c r="D33" s="191"/>
      <c r="E33" s="191"/>
      <c r="F33" s="1295"/>
      <c r="G33" s="1296"/>
      <c r="H33" s="191"/>
      <c r="I33" s="900">
        <f>LOOKUP(ARBETSBLAD!$L$4,ARBETSBLAD!$I$6:$AF$6,ARBETSBLAD!$I121:$AF121)*LOOKUP(ARBETSBLAD!$L$4,ARBETSBLAD!$I$6:$AF$6,$I$57:$AF$57)</f>
        <v>0</v>
      </c>
      <c r="J33" s="900">
        <f>LOOKUP(ARBETSBLAD!$L$4+SUM($I$52:I$52),ARBETSBLAD!$I$6:$AF$6,ARBETSBLAD!$I121:$AF121)*LOOKUP(ARBETSBLAD!$L$4+SUM($I$52:$I$52),ARBETSBLAD!$I$6:$AF$6,$I$57:$AF$57)</f>
        <v>0</v>
      </c>
      <c r="K33" s="900">
        <f>LOOKUP(ARBETSBLAD!$L$4+SUM($I$52:J$52),ARBETSBLAD!$I$6:$AF$6,ARBETSBLAD!$I121:$AF121)*LOOKUP(ARBETSBLAD!$L$4+SUM($I$52:$I$52),ARBETSBLAD!$I$6:$AF$6,$I$57:$AF$57)</f>
        <v>0</v>
      </c>
      <c r="L33" s="900">
        <f>LOOKUP(ARBETSBLAD!$L$4+SUM($I$52:K$52),ARBETSBLAD!$I$6:$AF$6,ARBETSBLAD!$I121:$AF121)*LOOKUP(ARBETSBLAD!$L$4+SUM($I$52:$I$52),ARBETSBLAD!$I$6:$AF$6,$I$57:$AF$57)</f>
        <v>0</v>
      </c>
      <c r="M33" s="900">
        <f>LOOKUP(ARBETSBLAD!$L$4+SUM($I$52:L$52),ARBETSBLAD!$I$6:$AF$6,ARBETSBLAD!$I121:$AF121)*LOOKUP(ARBETSBLAD!$L$4+SUM($I$52:$I$52),ARBETSBLAD!$I$6:$AF$6,$I$57:$AF$57)</f>
        <v>0</v>
      </c>
      <c r="N33" s="900">
        <f>LOOKUP(ARBETSBLAD!$L$4+SUM($I$52:M$52),ARBETSBLAD!$I$6:$AF$6,ARBETSBLAD!$I121:$AF121)*LOOKUP(ARBETSBLAD!$L$4+SUM($I$52:$I$52),ARBETSBLAD!$I$6:$AF$6,$I$57:$AF$57)</f>
        <v>0</v>
      </c>
      <c r="O33" s="900">
        <f>LOOKUP(ARBETSBLAD!$L$4+SUM($I$52:N$52),ARBETSBLAD!$I$6:$AF$6,ARBETSBLAD!$I121:$AF121)*LOOKUP(ARBETSBLAD!$L$4+SUM($I$52:$I$52),ARBETSBLAD!$I$6:$AF$6,$I$57:$AF$57)</f>
        <v>0</v>
      </c>
      <c r="P33" s="900">
        <f>LOOKUP(ARBETSBLAD!$L$4+SUM($I$52:O$52),ARBETSBLAD!$I$6:$AF$6,ARBETSBLAD!$I121:$AF121)*LOOKUP(ARBETSBLAD!$L$4+SUM($I$52:$I$52),ARBETSBLAD!$I$6:$AF$6,$I$57:$AF$57)</f>
        <v>0</v>
      </c>
      <c r="Q33" s="900">
        <f>LOOKUP(ARBETSBLAD!$L$4+SUM($I$52:P$52),ARBETSBLAD!$I$6:$AF$6,ARBETSBLAD!$I121:$AF121)*LOOKUP(ARBETSBLAD!$L$4+SUM($I$52:$I$52),ARBETSBLAD!$I$6:$AF$6,$I$57:$AF$57)</f>
        <v>0</v>
      </c>
      <c r="R33" s="900">
        <f>LOOKUP(ARBETSBLAD!$L$4+SUM($I$52:Q$52),ARBETSBLAD!$I$6:$AF$6,ARBETSBLAD!$I121:$AF121)*LOOKUP(ARBETSBLAD!$L$4+SUM($I$52:$I$52),ARBETSBLAD!$I$6:$AF$6,$I$57:$AF$57)</f>
        <v>0</v>
      </c>
      <c r="S33" s="900">
        <f>LOOKUP(ARBETSBLAD!$L$4+SUM($I$52:R$52),ARBETSBLAD!$I$6:$AF$6,ARBETSBLAD!$I121:$AF121)*LOOKUP(ARBETSBLAD!$L$4+SUM($I$52:$I$52),ARBETSBLAD!$I$6:$AF$6,$I$57:$AF$57)</f>
        <v>0</v>
      </c>
      <c r="T33" s="900">
        <f>LOOKUP(ARBETSBLAD!$L$4+SUM($I$52:S$52),ARBETSBLAD!$I$6:$AF$6,ARBETSBLAD!$I121:$AF121)*LOOKUP(ARBETSBLAD!$L$4+SUM($I$52:$I$52),ARBETSBLAD!$I$6:$AF$6,$I$57:$AF$57)</f>
        <v>0</v>
      </c>
      <c r="U33" s="900">
        <f>LOOKUP(ARBETSBLAD!$L$4+SUM($I$52:T$52),ARBETSBLAD!$I$6:$AF$6,ARBETSBLAD!$I121:$AF121)*LOOKUP(ARBETSBLAD!$L$4+SUM($I$52:$I$52),ARBETSBLAD!$I$6:$AF$6,$I$57:$AF$57)</f>
        <v>0</v>
      </c>
      <c r="V33" s="900">
        <f>LOOKUP(ARBETSBLAD!$L$4+SUM($I$52:U$52),ARBETSBLAD!$I$6:$AF$6,ARBETSBLAD!$I121:$AF121)*V53</f>
        <v>0</v>
      </c>
      <c r="W33" s="900">
        <f>LOOKUP(ARBETSBLAD!$L$4+SUM($I$52:V$52),ARBETSBLAD!$I$6:$AF$6,ARBETSBLAD!$I121:$AF121)*W53</f>
        <v>0</v>
      </c>
      <c r="X33" s="900">
        <f>LOOKUP(ARBETSBLAD!$L$4+SUM($I$52:W$52),ARBETSBLAD!$I$6:$AF$6,ARBETSBLAD!$I121:$AF121)*X53</f>
        <v>0</v>
      </c>
      <c r="Y33" s="900">
        <f>LOOKUP(ARBETSBLAD!$L$4+SUM($I$52:X$52),ARBETSBLAD!$I$6:$AF$6,ARBETSBLAD!$I121:$AF121)*Y53</f>
        <v>0</v>
      </c>
      <c r="Z33" s="900">
        <f>LOOKUP(ARBETSBLAD!$L$4+SUM($I$52:Y$52),ARBETSBLAD!$I$6:$AF$6,ARBETSBLAD!$I121:$AF121)*Z53</f>
        <v>0</v>
      </c>
      <c r="AA33" s="900">
        <f>LOOKUP(ARBETSBLAD!$L$4+SUM($I$52:Z$52),ARBETSBLAD!$I$6:$AF$6,ARBETSBLAD!$I121:$AF121)*AA53</f>
        <v>0</v>
      </c>
      <c r="AB33" s="900">
        <f>LOOKUP(ARBETSBLAD!$L$4+SUM($I$52:AA$52),ARBETSBLAD!$I$6:$AF$6,ARBETSBLAD!$I121:$AF121)*AB53</f>
        <v>0</v>
      </c>
      <c r="AC33" s="900">
        <f>LOOKUP(ARBETSBLAD!$L$4+SUM($I$52:AB$52),ARBETSBLAD!$I$6:$AF$6,ARBETSBLAD!$I121:$AF121)*AC53</f>
        <v>0</v>
      </c>
      <c r="AD33" s="900">
        <f>LOOKUP(ARBETSBLAD!$L$4+SUM($I$52:AC$52),ARBETSBLAD!$I$6:$AF$6,ARBETSBLAD!$I121:$AF121)*AD53</f>
        <v>0</v>
      </c>
      <c r="AE33" s="900">
        <f>LOOKUP(ARBETSBLAD!$L$4+SUM($I$52:AD$52),ARBETSBLAD!$I$6:$AF$6,ARBETSBLAD!$I121:$AF121)*AE53</f>
        <v>0</v>
      </c>
      <c r="AF33" s="900">
        <f>LOOKUP(ARBETSBLAD!$L$4+SUM($I$52:AE$52),ARBETSBLAD!$I$6:$AF$6,ARBETSBLAD!$I121:$AF121)*AF53</f>
        <v>0</v>
      </c>
      <c r="AG33" s="769"/>
      <c r="AH33" s="767">
        <f t="shared" si="1"/>
        <v>0</v>
      </c>
      <c r="AI33" s="434"/>
      <c r="AJ33" s="768">
        <f t="shared" si="2"/>
        <v>0</v>
      </c>
      <c r="AL33" s="1291"/>
      <c r="AM33" s="1292"/>
      <c r="AN33" s="1293"/>
    </row>
    <row r="34" spans="1:40" s="1290" customFormat="1" ht="12.75" hidden="1" customHeight="1">
      <c r="A34" s="1270"/>
      <c r="B34" s="1297" t="str">
        <f>ARBETSBLAD!B122</f>
        <v>Företagsutv, utbildning, produktutveckl</v>
      </c>
      <c r="C34" s="191"/>
      <c r="D34" s="191"/>
      <c r="E34" s="191"/>
      <c r="F34" s="1295"/>
      <c r="G34" s="1296"/>
      <c r="H34" s="191"/>
      <c r="I34" s="900">
        <f>LOOKUP(ARBETSBLAD!$L$4,ARBETSBLAD!$I$6:$AF$6,ARBETSBLAD!$I122:$AF122)*LOOKUP(ARBETSBLAD!$L$4,ARBETSBLAD!$I$6:$AF$6,$I$57:$AF$57)</f>
        <v>0</v>
      </c>
      <c r="J34" s="900">
        <f>LOOKUP(ARBETSBLAD!$L$4+SUM($I$52:I$52),ARBETSBLAD!$I$6:$AF$6,ARBETSBLAD!$I122:$AF122)*LOOKUP(ARBETSBLAD!$L$4+SUM($I$52:$I$52),ARBETSBLAD!$I$6:$AF$6,$I$57:$AF$57)</f>
        <v>0</v>
      </c>
      <c r="K34" s="900">
        <f>LOOKUP(ARBETSBLAD!$L$4+SUM($I$52:J$52),ARBETSBLAD!$I$6:$AF$6,ARBETSBLAD!$I122:$AF122)*LOOKUP(ARBETSBLAD!$L$4+SUM($I$52:$I$52),ARBETSBLAD!$I$6:$AF$6,$I$57:$AF$57)</f>
        <v>0</v>
      </c>
      <c r="L34" s="900">
        <f>LOOKUP(ARBETSBLAD!$L$4+SUM($I$52:K$52),ARBETSBLAD!$I$6:$AF$6,ARBETSBLAD!$I122:$AF122)*LOOKUP(ARBETSBLAD!$L$4+SUM($I$52:$I$52),ARBETSBLAD!$I$6:$AF$6,$I$57:$AF$57)</f>
        <v>0</v>
      </c>
      <c r="M34" s="900">
        <f>LOOKUP(ARBETSBLAD!$L$4+SUM($I$52:L$52),ARBETSBLAD!$I$6:$AF$6,ARBETSBLAD!$I122:$AF122)*LOOKUP(ARBETSBLAD!$L$4+SUM($I$52:$I$52),ARBETSBLAD!$I$6:$AF$6,$I$57:$AF$57)</f>
        <v>0</v>
      </c>
      <c r="N34" s="900">
        <f>LOOKUP(ARBETSBLAD!$L$4+SUM($I$52:M$52),ARBETSBLAD!$I$6:$AF$6,ARBETSBLAD!$I122:$AF122)*LOOKUP(ARBETSBLAD!$L$4+SUM($I$52:$I$52),ARBETSBLAD!$I$6:$AF$6,$I$57:$AF$57)</f>
        <v>0</v>
      </c>
      <c r="O34" s="900">
        <f>LOOKUP(ARBETSBLAD!$L$4+SUM($I$52:N$52),ARBETSBLAD!$I$6:$AF$6,ARBETSBLAD!$I122:$AF122)*LOOKUP(ARBETSBLAD!$L$4+SUM($I$52:$I$52),ARBETSBLAD!$I$6:$AF$6,$I$57:$AF$57)</f>
        <v>0</v>
      </c>
      <c r="P34" s="900">
        <f>LOOKUP(ARBETSBLAD!$L$4+SUM($I$52:O$52),ARBETSBLAD!$I$6:$AF$6,ARBETSBLAD!$I122:$AF122)*LOOKUP(ARBETSBLAD!$L$4+SUM($I$52:$I$52),ARBETSBLAD!$I$6:$AF$6,$I$57:$AF$57)</f>
        <v>0</v>
      </c>
      <c r="Q34" s="900">
        <f>LOOKUP(ARBETSBLAD!$L$4+SUM($I$52:P$52),ARBETSBLAD!$I$6:$AF$6,ARBETSBLAD!$I122:$AF122)*LOOKUP(ARBETSBLAD!$L$4+SUM($I$52:$I$52),ARBETSBLAD!$I$6:$AF$6,$I$57:$AF$57)</f>
        <v>0</v>
      </c>
      <c r="R34" s="900">
        <f>LOOKUP(ARBETSBLAD!$L$4+SUM($I$52:Q$52),ARBETSBLAD!$I$6:$AF$6,ARBETSBLAD!$I122:$AF122)*LOOKUP(ARBETSBLAD!$L$4+SUM($I$52:$I$52),ARBETSBLAD!$I$6:$AF$6,$I$57:$AF$57)</f>
        <v>0</v>
      </c>
      <c r="S34" s="900">
        <f>LOOKUP(ARBETSBLAD!$L$4+SUM($I$52:R$52),ARBETSBLAD!$I$6:$AF$6,ARBETSBLAD!$I122:$AF122)*LOOKUP(ARBETSBLAD!$L$4+SUM($I$52:$I$52),ARBETSBLAD!$I$6:$AF$6,$I$57:$AF$57)</f>
        <v>0</v>
      </c>
      <c r="T34" s="900">
        <f>LOOKUP(ARBETSBLAD!$L$4+SUM($I$52:S$52),ARBETSBLAD!$I$6:$AF$6,ARBETSBLAD!$I122:$AF122)*LOOKUP(ARBETSBLAD!$L$4+SUM($I$52:$I$52),ARBETSBLAD!$I$6:$AF$6,$I$57:$AF$57)</f>
        <v>0</v>
      </c>
      <c r="U34" s="900">
        <f>LOOKUP(ARBETSBLAD!$L$4+SUM($I$52:T$52),ARBETSBLAD!$I$6:$AF$6,ARBETSBLAD!$I122:$AF122)*LOOKUP(ARBETSBLAD!$L$4+SUM($I$52:$I$52),ARBETSBLAD!$I$6:$AF$6,$I$57:$AF$57)</f>
        <v>0</v>
      </c>
      <c r="V34" s="900">
        <f>LOOKUP(ARBETSBLAD!$L$4+SUM($I$52:U$52),ARBETSBLAD!$I$6:$AF$6,ARBETSBLAD!$I122:$AF122)*V53</f>
        <v>0</v>
      </c>
      <c r="W34" s="900">
        <f>LOOKUP(ARBETSBLAD!$L$4+SUM($I$52:V$52),ARBETSBLAD!$I$6:$AF$6,ARBETSBLAD!$I122:$AF122)*W53</f>
        <v>0</v>
      </c>
      <c r="X34" s="900">
        <f>LOOKUP(ARBETSBLAD!$L$4+SUM($I$52:W$52),ARBETSBLAD!$I$6:$AF$6,ARBETSBLAD!$I122:$AF122)*X53</f>
        <v>0</v>
      </c>
      <c r="Y34" s="900">
        <f>LOOKUP(ARBETSBLAD!$L$4+SUM($I$52:X$52),ARBETSBLAD!$I$6:$AF$6,ARBETSBLAD!$I122:$AF122)*Y53</f>
        <v>0</v>
      </c>
      <c r="Z34" s="900">
        <f>LOOKUP(ARBETSBLAD!$L$4+SUM($I$52:Y$52),ARBETSBLAD!$I$6:$AF$6,ARBETSBLAD!$I122:$AF122)*Z53</f>
        <v>0</v>
      </c>
      <c r="AA34" s="900">
        <f>LOOKUP(ARBETSBLAD!$L$4+SUM($I$52:Z$52),ARBETSBLAD!$I$6:$AF$6,ARBETSBLAD!$I122:$AF122)*AA53</f>
        <v>0</v>
      </c>
      <c r="AB34" s="900">
        <f>LOOKUP(ARBETSBLAD!$L$4+SUM($I$52:AA$52),ARBETSBLAD!$I$6:$AF$6,ARBETSBLAD!$I122:$AF122)*AB53</f>
        <v>0</v>
      </c>
      <c r="AC34" s="900">
        <f>LOOKUP(ARBETSBLAD!$L$4+SUM($I$52:AB$52),ARBETSBLAD!$I$6:$AF$6,ARBETSBLAD!$I122:$AF122)*AC53</f>
        <v>0</v>
      </c>
      <c r="AD34" s="900">
        <f>LOOKUP(ARBETSBLAD!$L$4+SUM($I$52:AC$52),ARBETSBLAD!$I$6:$AF$6,ARBETSBLAD!$I122:$AF122)*AD53</f>
        <v>0</v>
      </c>
      <c r="AE34" s="900">
        <f>LOOKUP(ARBETSBLAD!$L$4+SUM($I$52:AD$52),ARBETSBLAD!$I$6:$AF$6,ARBETSBLAD!$I122:$AF122)*AE53</f>
        <v>0</v>
      </c>
      <c r="AF34" s="900">
        <f>LOOKUP(ARBETSBLAD!$L$4+SUM($I$52:AE$52),ARBETSBLAD!$I$6:$AF$6,ARBETSBLAD!$I122:$AF122)*AF53</f>
        <v>0</v>
      </c>
      <c r="AG34" s="769"/>
      <c r="AH34" s="767">
        <f t="shared" si="1"/>
        <v>0</v>
      </c>
      <c r="AI34" s="434"/>
      <c r="AJ34" s="768">
        <f t="shared" si="2"/>
        <v>0</v>
      </c>
      <c r="AL34" s="1291"/>
      <c r="AM34" s="1292"/>
      <c r="AN34" s="1293"/>
    </row>
    <row r="35" spans="1:40" s="1290" customFormat="1" ht="12.75" hidden="1" customHeight="1">
      <c r="A35" s="1270"/>
      <c r="B35" s="1297" t="str">
        <f>ARBETSBLAD!B123</f>
        <v>Leasing, hyra utrustn. Övr köpta tjänster</v>
      </c>
      <c r="C35" s="191"/>
      <c r="D35" s="191"/>
      <c r="E35" s="191"/>
      <c r="F35" s="1295"/>
      <c r="G35" s="1296"/>
      <c r="H35" s="191"/>
      <c r="I35" s="900">
        <f>LOOKUP(ARBETSBLAD!$L$4,ARBETSBLAD!$I$6:$AF$6,ARBETSBLAD!$I123:$AF123)*LOOKUP(ARBETSBLAD!$L$4,ARBETSBLAD!$I$6:$AF$6,$I$57:$AF$57)</f>
        <v>0</v>
      </c>
      <c r="J35" s="900">
        <f>LOOKUP(ARBETSBLAD!$L$4+SUM($I$52:I$52),ARBETSBLAD!$I$6:$AF$6,ARBETSBLAD!$I123:$AF123)*LOOKUP(ARBETSBLAD!$L$4+SUM($I$52:$I$52),ARBETSBLAD!$I$6:$AF$6,$I$57:$AF$57)</f>
        <v>0</v>
      </c>
      <c r="K35" s="900">
        <f>LOOKUP(ARBETSBLAD!$L$4+SUM($I$52:J$52),ARBETSBLAD!$I$6:$AF$6,ARBETSBLAD!$I123:$AF123)*LOOKUP(ARBETSBLAD!$L$4+SUM($I$52:$I$52),ARBETSBLAD!$I$6:$AF$6,$I$57:$AF$57)</f>
        <v>0</v>
      </c>
      <c r="L35" s="900">
        <f>LOOKUP(ARBETSBLAD!$L$4+SUM($I$52:K$52),ARBETSBLAD!$I$6:$AF$6,ARBETSBLAD!$I123:$AF123)*LOOKUP(ARBETSBLAD!$L$4+SUM($I$52:$I$52),ARBETSBLAD!$I$6:$AF$6,$I$57:$AF$57)</f>
        <v>0</v>
      </c>
      <c r="M35" s="900">
        <f>LOOKUP(ARBETSBLAD!$L$4+SUM($I$52:L$52),ARBETSBLAD!$I$6:$AF$6,ARBETSBLAD!$I123:$AF123)*LOOKUP(ARBETSBLAD!$L$4+SUM($I$52:$I$52),ARBETSBLAD!$I$6:$AF$6,$I$57:$AF$57)</f>
        <v>0</v>
      </c>
      <c r="N35" s="900">
        <f>LOOKUP(ARBETSBLAD!$L$4+SUM($I$52:M$52),ARBETSBLAD!$I$6:$AF$6,ARBETSBLAD!$I123:$AF123)*LOOKUP(ARBETSBLAD!$L$4+SUM($I$52:$I$52),ARBETSBLAD!$I$6:$AF$6,$I$57:$AF$57)</f>
        <v>0</v>
      </c>
      <c r="O35" s="900">
        <f>LOOKUP(ARBETSBLAD!$L$4+SUM($I$52:N$52),ARBETSBLAD!$I$6:$AF$6,ARBETSBLAD!$I123:$AF123)*LOOKUP(ARBETSBLAD!$L$4+SUM($I$52:$I$52),ARBETSBLAD!$I$6:$AF$6,$I$57:$AF$57)</f>
        <v>0</v>
      </c>
      <c r="P35" s="900">
        <f>LOOKUP(ARBETSBLAD!$L$4+SUM($I$52:O$52),ARBETSBLAD!$I$6:$AF$6,ARBETSBLAD!$I123:$AF123)*LOOKUP(ARBETSBLAD!$L$4+SUM($I$52:$I$52),ARBETSBLAD!$I$6:$AF$6,$I$57:$AF$57)</f>
        <v>0</v>
      </c>
      <c r="Q35" s="900">
        <f>LOOKUP(ARBETSBLAD!$L$4+SUM($I$52:P$52),ARBETSBLAD!$I$6:$AF$6,ARBETSBLAD!$I123:$AF123)*LOOKUP(ARBETSBLAD!$L$4+SUM($I$52:$I$52),ARBETSBLAD!$I$6:$AF$6,$I$57:$AF$57)</f>
        <v>0</v>
      </c>
      <c r="R35" s="900">
        <f>LOOKUP(ARBETSBLAD!$L$4+SUM($I$52:Q$52),ARBETSBLAD!$I$6:$AF$6,ARBETSBLAD!$I123:$AF123)*LOOKUP(ARBETSBLAD!$L$4+SUM($I$52:$I$52),ARBETSBLAD!$I$6:$AF$6,$I$57:$AF$57)</f>
        <v>0</v>
      </c>
      <c r="S35" s="900">
        <f>LOOKUP(ARBETSBLAD!$L$4+SUM($I$52:R$52),ARBETSBLAD!$I$6:$AF$6,ARBETSBLAD!$I123:$AF123)*LOOKUP(ARBETSBLAD!$L$4+SUM($I$52:$I$52),ARBETSBLAD!$I$6:$AF$6,$I$57:$AF$57)</f>
        <v>0</v>
      </c>
      <c r="T35" s="900">
        <f>LOOKUP(ARBETSBLAD!$L$4+SUM($I$52:S$52),ARBETSBLAD!$I$6:$AF$6,ARBETSBLAD!$I123:$AF123)*LOOKUP(ARBETSBLAD!$L$4+SUM($I$52:$I$52),ARBETSBLAD!$I$6:$AF$6,$I$57:$AF$57)</f>
        <v>0</v>
      </c>
      <c r="U35" s="900">
        <f>LOOKUP(ARBETSBLAD!$L$4+SUM($I$52:T$52),ARBETSBLAD!$I$6:$AF$6,ARBETSBLAD!$I123:$AF123)*LOOKUP(ARBETSBLAD!$L$4+SUM($I$52:$I$52),ARBETSBLAD!$I$6:$AF$6,$I$57:$AF$57)</f>
        <v>0</v>
      </c>
      <c r="V35" s="900">
        <f>LOOKUP(ARBETSBLAD!$L$4+SUM($I$52:U$52),ARBETSBLAD!$I$6:$AF$6,ARBETSBLAD!$I123:$AF123)*V53</f>
        <v>0</v>
      </c>
      <c r="W35" s="900">
        <f>LOOKUP(ARBETSBLAD!$L$4+SUM($I$52:V$52),ARBETSBLAD!$I$6:$AF$6,ARBETSBLAD!$I123:$AF123)*W53</f>
        <v>0</v>
      </c>
      <c r="X35" s="900">
        <f>LOOKUP(ARBETSBLAD!$L$4+SUM($I$52:W$52),ARBETSBLAD!$I$6:$AF$6,ARBETSBLAD!$I123:$AF123)*X53</f>
        <v>0</v>
      </c>
      <c r="Y35" s="900">
        <f>LOOKUP(ARBETSBLAD!$L$4+SUM($I$52:X$52),ARBETSBLAD!$I$6:$AF$6,ARBETSBLAD!$I123:$AF123)*Y53</f>
        <v>0</v>
      </c>
      <c r="Z35" s="900">
        <f>LOOKUP(ARBETSBLAD!$L$4+SUM($I$52:Y$52),ARBETSBLAD!$I$6:$AF$6,ARBETSBLAD!$I123:$AF123)*Z53</f>
        <v>0</v>
      </c>
      <c r="AA35" s="900">
        <f>LOOKUP(ARBETSBLAD!$L$4+SUM($I$52:Z$52),ARBETSBLAD!$I$6:$AF$6,ARBETSBLAD!$I123:$AF123)*AA53</f>
        <v>0</v>
      </c>
      <c r="AB35" s="900">
        <f>LOOKUP(ARBETSBLAD!$L$4+SUM($I$52:AA$52),ARBETSBLAD!$I$6:$AF$6,ARBETSBLAD!$I123:$AF123)*AB53</f>
        <v>0</v>
      </c>
      <c r="AC35" s="900">
        <f>LOOKUP(ARBETSBLAD!$L$4+SUM($I$52:AB$52),ARBETSBLAD!$I$6:$AF$6,ARBETSBLAD!$I123:$AF123)*AC53</f>
        <v>0</v>
      </c>
      <c r="AD35" s="900">
        <f>LOOKUP(ARBETSBLAD!$L$4+SUM($I$52:AC$52),ARBETSBLAD!$I$6:$AF$6,ARBETSBLAD!$I123:$AF123)*AD53</f>
        <v>0</v>
      </c>
      <c r="AE35" s="900">
        <f>LOOKUP(ARBETSBLAD!$L$4+SUM($I$52:AD$52),ARBETSBLAD!$I$6:$AF$6,ARBETSBLAD!$I123:$AF123)*AE53</f>
        <v>0</v>
      </c>
      <c r="AF35" s="900">
        <f>LOOKUP(ARBETSBLAD!$L$4+SUM($I$52:AE$52),ARBETSBLAD!$I$6:$AF$6,ARBETSBLAD!$I123:$AF123)*AF53</f>
        <v>0</v>
      </c>
      <c r="AG35" s="769"/>
      <c r="AH35" s="767">
        <f t="shared" si="1"/>
        <v>0</v>
      </c>
      <c r="AI35" s="434"/>
      <c r="AJ35" s="768">
        <f t="shared" si="2"/>
        <v>0</v>
      </c>
      <c r="AL35" s="1291"/>
      <c r="AM35" s="1292"/>
      <c r="AN35" s="1293"/>
    </row>
    <row r="36" spans="1:40" s="1290" customFormat="1" ht="12.75" hidden="1" customHeight="1">
      <c r="A36" s="1270"/>
      <c r="B36" s="1297" t="str">
        <f>ARBETSBLAD!B124</f>
        <v>Andra övriga kostnader 1</v>
      </c>
      <c r="C36" s="191"/>
      <c r="D36" s="191"/>
      <c r="E36" s="191"/>
      <c r="F36" s="1295"/>
      <c r="G36" s="1296"/>
      <c r="H36" s="191"/>
      <c r="I36" s="900">
        <f>LOOKUP(ARBETSBLAD!$L$4,ARBETSBLAD!$I$6:$AF$6,ARBETSBLAD!$I124:$AF124)*LOOKUP(ARBETSBLAD!$L$4,ARBETSBLAD!$I$6:$AF$6,$I$57:$AF$57)</f>
        <v>0</v>
      </c>
      <c r="J36" s="900">
        <f>LOOKUP(ARBETSBLAD!$L$4+SUM($I$52:I$52),ARBETSBLAD!$I$6:$AF$6,ARBETSBLAD!$I124:$AF124)*LOOKUP(ARBETSBLAD!$L$4+SUM($I$52:$I$52),ARBETSBLAD!$I$6:$AF$6,$I$57:$AF$57)</f>
        <v>0</v>
      </c>
      <c r="K36" s="900">
        <f>LOOKUP(ARBETSBLAD!$L$4+SUM($I$52:J$52),ARBETSBLAD!$I$6:$AF$6,ARBETSBLAD!$I124:$AF124)*LOOKUP(ARBETSBLAD!$L$4+SUM($I$52:$I$52),ARBETSBLAD!$I$6:$AF$6,$I$57:$AF$57)</f>
        <v>0</v>
      </c>
      <c r="L36" s="900">
        <f>LOOKUP(ARBETSBLAD!$L$4+SUM($I$52:K$52),ARBETSBLAD!$I$6:$AF$6,ARBETSBLAD!$I124:$AF124)*LOOKUP(ARBETSBLAD!$L$4+SUM($I$52:$I$52),ARBETSBLAD!$I$6:$AF$6,$I$57:$AF$57)</f>
        <v>0</v>
      </c>
      <c r="M36" s="900">
        <f>LOOKUP(ARBETSBLAD!$L$4+SUM($I$52:L$52),ARBETSBLAD!$I$6:$AF$6,ARBETSBLAD!$I124:$AF124)*LOOKUP(ARBETSBLAD!$L$4+SUM($I$52:$I$52),ARBETSBLAD!$I$6:$AF$6,$I$57:$AF$57)</f>
        <v>0</v>
      </c>
      <c r="N36" s="900">
        <f>LOOKUP(ARBETSBLAD!$L$4+SUM($I$52:M$52),ARBETSBLAD!$I$6:$AF$6,ARBETSBLAD!$I124:$AF124)*LOOKUP(ARBETSBLAD!$L$4+SUM($I$52:$I$52),ARBETSBLAD!$I$6:$AF$6,$I$57:$AF$57)</f>
        <v>0</v>
      </c>
      <c r="O36" s="900">
        <f>LOOKUP(ARBETSBLAD!$L$4+SUM($I$52:N$52),ARBETSBLAD!$I$6:$AF$6,ARBETSBLAD!$I124:$AF124)*LOOKUP(ARBETSBLAD!$L$4+SUM($I$52:$I$52),ARBETSBLAD!$I$6:$AF$6,$I$57:$AF$57)</f>
        <v>0</v>
      </c>
      <c r="P36" s="900">
        <f>LOOKUP(ARBETSBLAD!$L$4+SUM($I$52:O$52),ARBETSBLAD!$I$6:$AF$6,ARBETSBLAD!$I124:$AF124)*LOOKUP(ARBETSBLAD!$L$4+SUM($I$52:$I$52),ARBETSBLAD!$I$6:$AF$6,$I$57:$AF$57)</f>
        <v>0</v>
      </c>
      <c r="Q36" s="900">
        <f>LOOKUP(ARBETSBLAD!$L$4+SUM($I$52:P$52),ARBETSBLAD!$I$6:$AF$6,ARBETSBLAD!$I124:$AF124)*LOOKUP(ARBETSBLAD!$L$4+SUM($I$52:$I$52),ARBETSBLAD!$I$6:$AF$6,$I$57:$AF$57)</f>
        <v>0</v>
      </c>
      <c r="R36" s="900">
        <f>LOOKUP(ARBETSBLAD!$L$4+SUM($I$52:Q$52),ARBETSBLAD!$I$6:$AF$6,ARBETSBLAD!$I124:$AF124)*LOOKUP(ARBETSBLAD!$L$4+SUM($I$52:$I$52),ARBETSBLAD!$I$6:$AF$6,$I$57:$AF$57)</f>
        <v>0</v>
      </c>
      <c r="S36" s="900">
        <f>LOOKUP(ARBETSBLAD!$L$4+SUM($I$52:R$52),ARBETSBLAD!$I$6:$AF$6,ARBETSBLAD!$I124:$AF124)*LOOKUP(ARBETSBLAD!$L$4+SUM($I$52:$I$52),ARBETSBLAD!$I$6:$AF$6,$I$57:$AF$57)</f>
        <v>0</v>
      </c>
      <c r="T36" s="900">
        <f>LOOKUP(ARBETSBLAD!$L$4+SUM($I$52:S$52),ARBETSBLAD!$I$6:$AF$6,ARBETSBLAD!$I124:$AF124)*LOOKUP(ARBETSBLAD!$L$4+SUM($I$52:$I$52),ARBETSBLAD!$I$6:$AF$6,$I$57:$AF$57)</f>
        <v>0</v>
      </c>
      <c r="U36" s="900">
        <f>LOOKUP(ARBETSBLAD!$L$4+SUM($I$52:T$52),ARBETSBLAD!$I$6:$AF$6,ARBETSBLAD!$I124:$AF124)*LOOKUP(ARBETSBLAD!$L$4+SUM($I$52:$I$52),ARBETSBLAD!$I$6:$AF$6,$I$57:$AF$57)</f>
        <v>0</v>
      </c>
      <c r="V36" s="900">
        <f>LOOKUP(ARBETSBLAD!$L$4+SUM($I$52:U$52),ARBETSBLAD!$I$6:$AF$6,ARBETSBLAD!$I124:$AF124)*V53</f>
        <v>0</v>
      </c>
      <c r="W36" s="900">
        <f>LOOKUP(ARBETSBLAD!$L$4+SUM($I$52:V$52),ARBETSBLAD!$I$6:$AF$6,ARBETSBLAD!$I124:$AF124)*W53</f>
        <v>0</v>
      </c>
      <c r="X36" s="900">
        <f>LOOKUP(ARBETSBLAD!$L$4+SUM($I$52:W$52),ARBETSBLAD!$I$6:$AF$6,ARBETSBLAD!$I124:$AF124)*X53</f>
        <v>0</v>
      </c>
      <c r="Y36" s="900">
        <f>LOOKUP(ARBETSBLAD!$L$4+SUM($I$52:X$52),ARBETSBLAD!$I$6:$AF$6,ARBETSBLAD!$I124:$AF124)*Y53</f>
        <v>0</v>
      </c>
      <c r="Z36" s="900">
        <f>LOOKUP(ARBETSBLAD!$L$4+SUM($I$52:Y$52),ARBETSBLAD!$I$6:$AF$6,ARBETSBLAD!$I124:$AF124)*Z53</f>
        <v>0</v>
      </c>
      <c r="AA36" s="900">
        <f>LOOKUP(ARBETSBLAD!$L$4+SUM($I$52:Z$52),ARBETSBLAD!$I$6:$AF$6,ARBETSBLAD!$I124:$AF124)*AA53</f>
        <v>0</v>
      </c>
      <c r="AB36" s="900">
        <f>LOOKUP(ARBETSBLAD!$L$4+SUM($I$52:AA$52),ARBETSBLAD!$I$6:$AF$6,ARBETSBLAD!$I124:$AF124)*AB53</f>
        <v>0</v>
      </c>
      <c r="AC36" s="900">
        <f>LOOKUP(ARBETSBLAD!$L$4+SUM($I$52:AB$52),ARBETSBLAD!$I$6:$AF$6,ARBETSBLAD!$I124:$AF124)*AC53</f>
        <v>0</v>
      </c>
      <c r="AD36" s="900">
        <f>LOOKUP(ARBETSBLAD!$L$4+SUM($I$52:AC$52),ARBETSBLAD!$I$6:$AF$6,ARBETSBLAD!$I124:$AF124)*AD53</f>
        <v>0</v>
      </c>
      <c r="AE36" s="900">
        <f>LOOKUP(ARBETSBLAD!$L$4+SUM($I$52:AD$52),ARBETSBLAD!$I$6:$AF$6,ARBETSBLAD!$I124:$AF124)*AE53</f>
        <v>0</v>
      </c>
      <c r="AF36" s="900">
        <f>LOOKUP(ARBETSBLAD!$L$4+SUM($I$52:AE$52),ARBETSBLAD!$I$6:$AF$6,ARBETSBLAD!$I124:$AF124)*AF53</f>
        <v>0</v>
      </c>
      <c r="AG36" s="769"/>
      <c r="AH36" s="767">
        <f t="shared" si="1"/>
        <v>0</v>
      </c>
      <c r="AI36" s="434"/>
      <c r="AJ36" s="768">
        <f t="shared" si="2"/>
        <v>0</v>
      </c>
      <c r="AL36" s="1291"/>
      <c r="AM36" s="1292"/>
      <c r="AN36" s="1293"/>
    </row>
    <row r="37" spans="1:40" s="1290" customFormat="1" ht="12.75" hidden="1" customHeight="1">
      <c r="A37" s="1270"/>
      <c r="B37" s="1297" t="str">
        <f>ARBETSBLAD!B125</f>
        <v>Andra övriga kostnader 2</v>
      </c>
      <c r="C37" s="191"/>
      <c r="D37" s="191"/>
      <c r="E37" s="191"/>
      <c r="F37" s="1295"/>
      <c r="G37" s="1296"/>
      <c r="H37" s="191"/>
      <c r="I37" s="2381">
        <f>LOOKUP(ARBETSBLAD!$L$4,ARBETSBLAD!$I$6:$AF$6,ARBETSBLAD!$I125:$AF125)*LOOKUP(ARBETSBLAD!$L$4,ARBETSBLAD!$I$6:$AF$6,$I$57:$AF$57)</f>
        <v>0</v>
      </c>
      <c r="J37" s="2381">
        <f>LOOKUP(ARBETSBLAD!$L$4+SUM($I$52:I$52),ARBETSBLAD!$I$6:$AF$6,ARBETSBLAD!$I125:$AF125)*LOOKUP(ARBETSBLAD!$L$4+SUM($I$52:$I$52),ARBETSBLAD!$I$6:$AF$6,$I$57:$AF$57)</f>
        <v>0</v>
      </c>
      <c r="K37" s="2381">
        <f>LOOKUP(ARBETSBLAD!$L$4+SUM($I$52:J$52),ARBETSBLAD!$I$6:$AF$6,ARBETSBLAD!$I125:$AF125)*LOOKUP(ARBETSBLAD!$L$4+SUM($I$52:$I$52),ARBETSBLAD!$I$6:$AF$6,$I$57:$AF$57)</f>
        <v>0</v>
      </c>
      <c r="L37" s="2381">
        <f>LOOKUP(ARBETSBLAD!$L$4+SUM($I$52:K$52),ARBETSBLAD!$I$6:$AF$6,ARBETSBLAD!$I125:$AF125)*LOOKUP(ARBETSBLAD!$L$4+SUM($I$52:$I$52),ARBETSBLAD!$I$6:$AF$6,$I$57:$AF$57)</f>
        <v>0</v>
      </c>
      <c r="M37" s="2381">
        <f>LOOKUP(ARBETSBLAD!$L$4+SUM($I$52:L$52),ARBETSBLAD!$I$6:$AF$6,ARBETSBLAD!$I125:$AF125)*LOOKUP(ARBETSBLAD!$L$4+SUM($I$52:$I$52),ARBETSBLAD!$I$6:$AF$6,$I$57:$AF$57)</f>
        <v>0</v>
      </c>
      <c r="N37" s="2381">
        <f>LOOKUP(ARBETSBLAD!$L$4+SUM($I$52:M$52),ARBETSBLAD!$I$6:$AF$6,ARBETSBLAD!$I125:$AF125)*LOOKUP(ARBETSBLAD!$L$4+SUM($I$52:$I$52),ARBETSBLAD!$I$6:$AF$6,$I$57:$AF$57)</f>
        <v>0</v>
      </c>
      <c r="O37" s="2381">
        <f>LOOKUP(ARBETSBLAD!$L$4+SUM($I$52:N$52),ARBETSBLAD!$I$6:$AF$6,ARBETSBLAD!$I125:$AF125)*LOOKUP(ARBETSBLAD!$L$4+SUM($I$52:$I$52),ARBETSBLAD!$I$6:$AF$6,$I$57:$AF$57)</f>
        <v>0</v>
      </c>
      <c r="P37" s="2381">
        <f>LOOKUP(ARBETSBLAD!$L$4+SUM($I$52:O$52),ARBETSBLAD!$I$6:$AF$6,ARBETSBLAD!$I125:$AF125)*LOOKUP(ARBETSBLAD!$L$4+SUM($I$52:$I$52),ARBETSBLAD!$I$6:$AF$6,$I$57:$AF$57)</f>
        <v>0</v>
      </c>
      <c r="Q37" s="2381">
        <f>LOOKUP(ARBETSBLAD!$L$4+SUM($I$52:P$52),ARBETSBLAD!$I$6:$AF$6,ARBETSBLAD!$I125:$AF125)*LOOKUP(ARBETSBLAD!$L$4+SUM($I$52:$I$52),ARBETSBLAD!$I$6:$AF$6,$I$57:$AF$57)</f>
        <v>0</v>
      </c>
      <c r="R37" s="2381">
        <f>LOOKUP(ARBETSBLAD!$L$4+SUM($I$52:Q$52),ARBETSBLAD!$I$6:$AF$6,ARBETSBLAD!$I125:$AF125)*LOOKUP(ARBETSBLAD!$L$4+SUM($I$52:$I$52),ARBETSBLAD!$I$6:$AF$6,$I$57:$AF$57)</f>
        <v>0</v>
      </c>
      <c r="S37" s="2381">
        <f>LOOKUP(ARBETSBLAD!$L$4+SUM($I$52:R$52),ARBETSBLAD!$I$6:$AF$6,ARBETSBLAD!$I125:$AF125)*LOOKUP(ARBETSBLAD!$L$4+SUM($I$52:$I$52),ARBETSBLAD!$I$6:$AF$6,$I$57:$AF$57)</f>
        <v>0</v>
      </c>
      <c r="T37" s="2381">
        <f>LOOKUP(ARBETSBLAD!$L$4+SUM($I$52:S$52),ARBETSBLAD!$I$6:$AF$6,ARBETSBLAD!$I125:$AF125)*LOOKUP(ARBETSBLAD!$L$4+SUM($I$52:$I$52),ARBETSBLAD!$I$6:$AF$6,$I$57:$AF$57)</f>
        <v>0</v>
      </c>
      <c r="U37" s="2381">
        <f>LOOKUP(ARBETSBLAD!$L$4+SUM($I$52:T$52),ARBETSBLAD!$I$6:$AF$6,ARBETSBLAD!$I125:$AF125)*LOOKUP(ARBETSBLAD!$L$4+SUM($I$52:$I$52),ARBETSBLAD!$I$6:$AF$6,$I$57:$AF$57)</f>
        <v>0</v>
      </c>
      <c r="V37" s="2381">
        <f>LOOKUP(ARBETSBLAD!$L$4+SUM($I$52:U$52),ARBETSBLAD!$I$6:$AF$6,ARBETSBLAD!$I125:$AF125)*V53</f>
        <v>0</v>
      </c>
      <c r="W37" s="2381">
        <f>LOOKUP(ARBETSBLAD!$L$4+SUM($I$52:V$52),ARBETSBLAD!$I$6:$AF$6,ARBETSBLAD!$I125:$AF125)*W$53</f>
        <v>0</v>
      </c>
      <c r="X37" s="2381">
        <f>LOOKUP(ARBETSBLAD!$L$4+SUM($I$52:W$52),ARBETSBLAD!$I$6:$AF$6,ARBETSBLAD!$I125:$AF125)*X$53</f>
        <v>0</v>
      </c>
      <c r="Y37" s="2381">
        <f>LOOKUP(ARBETSBLAD!$L$4+SUM($I$52:X$52),ARBETSBLAD!$I$6:$AF$6,ARBETSBLAD!$I125:$AF125)*Y53</f>
        <v>0</v>
      </c>
      <c r="Z37" s="2381">
        <f>LOOKUP(ARBETSBLAD!$L$4+SUM($I$52:Y$52),ARBETSBLAD!$I$6:$AF$6,ARBETSBLAD!$I125:$AF125)*Z53</f>
        <v>0</v>
      </c>
      <c r="AA37" s="2381">
        <f>LOOKUP(ARBETSBLAD!$L$4+SUM($I$52:Z$52),ARBETSBLAD!$I$6:$AF$6,ARBETSBLAD!$I125:$AF125)*AA53</f>
        <v>0</v>
      </c>
      <c r="AB37" s="2381">
        <f>LOOKUP(ARBETSBLAD!$L$4+SUM($I$52:AA$52),ARBETSBLAD!$I$6:$AF$6,ARBETSBLAD!$I125:$AF125)*AB53</f>
        <v>0</v>
      </c>
      <c r="AC37" s="2381">
        <f>LOOKUP(ARBETSBLAD!$L$4+SUM($I$52:AB$52),ARBETSBLAD!$I$6:$AF$6,ARBETSBLAD!$I125:$AF125)*AC53</f>
        <v>0</v>
      </c>
      <c r="AD37" s="2381">
        <f>LOOKUP(ARBETSBLAD!$L$4+SUM($I$52:AC$52),ARBETSBLAD!$I$6:$AF$6,ARBETSBLAD!$I125:$AF125)*AD53</f>
        <v>0</v>
      </c>
      <c r="AE37" s="2381">
        <f>LOOKUP(ARBETSBLAD!$L$4+SUM($I$52:AD$52),ARBETSBLAD!$I$6:$AF$6,ARBETSBLAD!$I125:$AF125)*AE53</f>
        <v>0</v>
      </c>
      <c r="AF37" s="2381">
        <f>LOOKUP(ARBETSBLAD!$L$4+SUM($I$52:AE$52),ARBETSBLAD!$I$6:$AF$6,ARBETSBLAD!$I125:$AF125)*AF53</f>
        <v>0</v>
      </c>
      <c r="AG37" s="769"/>
      <c r="AH37" s="767">
        <f t="shared" si="1"/>
        <v>0</v>
      </c>
      <c r="AI37" s="434"/>
      <c r="AJ37" s="768">
        <f t="shared" si="2"/>
        <v>0</v>
      </c>
      <c r="AL37" s="1291"/>
      <c r="AM37" s="1292"/>
      <c r="AN37" s="1293"/>
    </row>
    <row r="38" spans="1:40" s="1290" customFormat="1" ht="12.75" hidden="1" customHeight="1">
      <c r="A38" s="1270"/>
      <c r="B38" s="1297" t="str">
        <f>ARBETSBLAD!B126</f>
        <v>Andra övriga kostnader 3</v>
      </c>
      <c r="C38" s="191"/>
      <c r="D38" s="191"/>
      <c r="E38" s="191"/>
      <c r="F38" s="1295"/>
      <c r="G38" s="1296"/>
      <c r="H38" s="191"/>
      <c r="I38" s="2381">
        <f>LOOKUP(ARBETSBLAD!$L$4,ARBETSBLAD!$I$6:$AF$6,ARBETSBLAD!$I126:$AF126)*LOOKUP(ARBETSBLAD!$L$4,ARBETSBLAD!$I$6:$AF$6,$I$57:$AF$57)</f>
        <v>0</v>
      </c>
      <c r="J38" s="2381">
        <f>LOOKUP(ARBETSBLAD!$L$4+SUM($I$52:I$52),ARBETSBLAD!$I$6:$AF$6,ARBETSBLAD!$I126:$AF126)*LOOKUP(ARBETSBLAD!$L$4+SUM($I$52:$I$52),ARBETSBLAD!$I$6:$AF$6,$I$57:$AF$57)</f>
        <v>0</v>
      </c>
      <c r="K38" s="2381">
        <f>LOOKUP(ARBETSBLAD!$L$4+SUM($I$52:J$52),ARBETSBLAD!$I$6:$AF$6,ARBETSBLAD!$I126:$AF126)*LOOKUP(ARBETSBLAD!$L$4+SUM($I$52:$I$52),ARBETSBLAD!$I$6:$AF$6,$I$57:$AF$57)</f>
        <v>0</v>
      </c>
      <c r="L38" s="2381">
        <f>LOOKUP(ARBETSBLAD!$L$4+SUM($I$52:K$52),ARBETSBLAD!$I$6:$AF$6,ARBETSBLAD!$I126:$AF126)*LOOKUP(ARBETSBLAD!$L$4+SUM($I$52:$I$52),ARBETSBLAD!$I$6:$AF$6,$I$57:$AF$57)</f>
        <v>0</v>
      </c>
      <c r="M38" s="2381">
        <f>LOOKUP(ARBETSBLAD!$L$4+SUM($I$52:L$52),ARBETSBLAD!$I$6:$AF$6,ARBETSBLAD!$I126:$AF126)*LOOKUP(ARBETSBLAD!$L$4+SUM($I$52:$I$52),ARBETSBLAD!$I$6:$AF$6,$I$57:$AF$57)</f>
        <v>0</v>
      </c>
      <c r="N38" s="2381">
        <f>LOOKUP(ARBETSBLAD!$L$4+SUM($I$52:M$52),ARBETSBLAD!$I$6:$AF$6,ARBETSBLAD!$I126:$AF126)*LOOKUP(ARBETSBLAD!$L$4+SUM($I$52:$I$52),ARBETSBLAD!$I$6:$AF$6,$I$57:$AF$57)</f>
        <v>0</v>
      </c>
      <c r="O38" s="2381">
        <f>LOOKUP(ARBETSBLAD!$L$4+SUM($I$52:N$52),ARBETSBLAD!$I$6:$AF$6,ARBETSBLAD!$I126:$AF126)*LOOKUP(ARBETSBLAD!$L$4+SUM($I$52:$I$52),ARBETSBLAD!$I$6:$AF$6,$I$57:$AF$57)</f>
        <v>0</v>
      </c>
      <c r="P38" s="2381">
        <f>LOOKUP(ARBETSBLAD!$L$4+SUM($I$52:O$52),ARBETSBLAD!$I$6:$AF$6,ARBETSBLAD!$I126:$AF126)*LOOKUP(ARBETSBLAD!$L$4+SUM($I$52:$I$52),ARBETSBLAD!$I$6:$AF$6,$I$57:$AF$57)</f>
        <v>0</v>
      </c>
      <c r="Q38" s="2381">
        <f>LOOKUP(ARBETSBLAD!$L$4+SUM($I$52:P$52),ARBETSBLAD!$I$6:$AF$6,ARBETSBLAD!$I126:$AF126)*LOOKUP(ARBETSBLAD!$L$4+SUM($I$52:$I$52),ARBETSBLAD!$I$6:$AF$6,$I$57:$AF$57)</f>
        <v>0</v>
      </c>
      <c r="R38" s="2381">
        <f>LOOKUP(ARBETSBLAD!$L$4+SUM($I$52:Q$52),ARBETSBLAD!$I$6:$AF$6,ARBETSBLAD!$I126:$AF126)*LOOKUP(ARBETSBLAD!$L$4+SUM($I$52:$I$52),ARBETSBLAD!$I$6:$AF$6,$I$57:$AF$57)</f>
        <v>0</v>
      </c>
      <c r="S38" s="2381">
        <f>LOOKUP(ARBETSBLAD!$L$4+SUM($I$52:R$52),ARBETSBLAD!$I$6:$AF$6,ARBETSBLAD!$I126:$AF126)*LOOKUP(ARBETSBLAD!$L$4+SUM($I$52:$I$52),ARBETSBLAD!$I$6:$AF$6,$I$57:$AF$57)</f>
        <v>0</v>
      </c>
      <c r="T38" s="2381">
        <f>LOOKUP(ARBETSBLAD!$L$4+SUM($I$52:S$52),ARBETSBLAD!$I$6:$AF$6,ARBETSBLAD!$I126:$AF126)*LOOKUP(ARBETSBLAD!$L$4+SUM($I$52:$I$52),ARBETSBLAD!$I$6:$AF$6,$I$57:$AF$57)</f>
        <v>0</v>
      </c>
      <c r="U38" s="2381">
        <f>LOOKUP(ARBETSBLAD!$L$4+SUM($I$52:T$52),ARBETSBLAD!$I$6:$AF$6,ARBETSBLAD!$I126:$AF126)*LOOKUP(ARBETSBLAD!$L$4+SUM($I$52:$I$52),ARBETSBLAD!$I$6:$AF$6,$I$57:$AF$57)</f>
        <v>0</v>
      </c>
      <c r="V38" s="2381">
        <f>LOOKUP(ARBETSBLAD!$L$4+SUM($I$52:U$52),ARBETSBLAD!$I$6:$AF$6,ARBETSBLAD!$I126:$AF126)*V$53</f>
        <v>0</v>
      </c>
      <c r="W38" s="2381">
        <f>LOOKUP(ARBETSBLAD!$L$4+SUM($I$52:V$52),ARBETSBLAD!$I$6:$AF$6,ARBETSBLAD!$I126:$AF126)*W$53</f>
        <v>0</v>
      </c>
      <c r="X38" s="2381">
        <f>LOOKUP(ARBETSBLAD!$L$4+SUM($I$52:W$52),ARBETSBLAD!$I$6:$AF$6,ARBETSBLAD!$I126:$AF126)*X$53</f>
        <v>0</v>
      </c>
      <c r="Y38" s="2381">
        <f>LOOKUP(ARBETSBLAD!$L$4+SUM($I$52:X$52),ARBETSBLAD!$I$6:$AF$6,ARBETSBLAD!$I126:$AF126)*Y$53</f>
        <v>0</v>
      </c>
      <c r="Z38" s="2381">
        <f>LOOKUP(ARBETSBLAD!$L$4+SUM($I$52:Y$52),ARBETSBLAD!$I$6:$AF$6,ARBETSBLAD!$I126:$AF126)*Z$53</f>
        <v>0</v>
      </c>
      <c r="AA38" s="2381">
        <f>LOOKUP(ARBETSBLAD!$L$4+SUM($I$52:Z$52),ARBETSBLAD!$I$6:$AF$6,ARBETSBLAD!$I126:$AF126)*AA$53</f>
        <v>0</v>
      </c>
      <c r="AB38" s="2381">
        <f>LOOKUP(ARBETSBLAD!$L$4+SUM($I$52:AA$52),ARBETSBLAD!$I$6:$AF$6,ARBETSBLAD!$I126:$AF126)*AB$53</f>
        <v>0</v>
      </c>
      <c r="AC38" s="2381">
        <f>LOOKUP(ARBETSBLAD!$L$4+SUM($I$52:AB$52),ARBETSBLAD!$I$6:$AF$6,ARBETSBLAD!$I126:$AF126)*AC$53</f>
        <v>0</v>
      </c>
      <c r="AD38" s="2381">
        <f>LOOKUP(ARBETSBLAD!$L$4+SUM($I$52:AC$52),ARBETSBLAD!$I$6:$AF$6,ARBETSBLAD!$I126:$AF126)*AD$53</f>
        <v>0</v>
      </c>
      <c r="AE38" s="2381">
        <f>LOOKUP(ARBETSBLAD!$L$4+SUM($I$52:AD$52),ARBETSBLAD!$I$6:$AF$6,ARBETSBLAD!$I126:$AF126)*AE$53</f>
        <v>0</v>
      </c>
      <c r="AF38" s="2381">
        <f>LOOKUP(ARBETSBLAD!$L$4+SUM($I$52:AE$52),ARBETSBLAD!$I$6:$AF$6,ARBETSBLAD!$I126:$AF126)*AF$53</f>
        <v>0</v>
      </c>
      <c r="AG38" s="769"/>
      <c r="AH38" s="1854"/>
      <c r="AI38" s="434"/>
      <c r="AJ38" s="1855"/>
      <c r="AL38" s="1291"/>
      <c r="AM38" s="1292"/>
      <c r="AN38" s="1293"/>
    </row>
    <row r="39" spans="1:40" s="1290" customFormat="1" ht="12.75" hidden="1" customHeight="1">
      <c r="A39" s="1270"/>
      <c r="B39" s="1297" t="str">
        <f>ARBETSBLAD!B127</f>
        <v>Andra övriga kostnader 4</v>
      </c>
      <c r="C39" s="191"/>
      <c r="D39" s="191"/>
      <c r="E39" s="191"/>
      <c r="F39" s="1295"/>
      <c r="G39" s="1296"/>
      <c r="H39" s="191"/>
      <c r="I39" s="2381">
        <f>LOOKUP(ARBETSBLAD!$L$4,ARBETSBLAD!$I$6:$AF$6,ARBETSBLAD!$I127:$AF127)*LOOKUP(ARBETSBLAD!$L$4,ARBETSBLAD!$I$6:$AF$6,$I$57:$AF$57)</f>
        <v>0</v>
      </c>
      <c r="J39" s="2381">
        <f>LOOKUP(ARBETSBLAD!$L$4+SUM($I$52:I$52),ARBETSBLAD!$I$6:$AF$6,ARBETSBLAD!$I127:$AF127)*LOOKUP(ARBETSBLAD!$L$4+SUM($I$52:$I$52),ARBETSBLAD!$I$6:$AF$6,$I$57:$AF$57)</f>
        <v>0</v>
      </c>
      <c r="K39" s="2381">
        <f>LOOKUP(ARBETSBLAD!$L$4+SUM($I$52:J$52),ARBETSBLAD!$I$6:$AF$6,ARBETSBLAD!$I127:$AF127)*LOOKUP(ARBETSBLAD!$L$4+SUM($I$52:$I$52),ARBETSBLAD!$I$6:$AF$6,$I$57:$AF$57)</f>
        <v>0</v>
      </c>
      <c r="L39" s="2381">
        <f>LOOKUP(ARBETSBLAD!$L$4+SUM($I$52:K$52),ARBETSBLAD!$I$6:$AF$6,ARBETSBLAD!$I127:$AF127)*LOOKUP(ARBETSBLAD!$L$4+SUM($I$52:$I$52),ARBETSBLAD!$I$6:$AF$6,$I$57:$AF$57)</f>
        <v>0</v>
      </c>
      <c r="M39" s="2381">
        <f>LOOKUP(ARBETSBLAD!$L$4+SUM($I$52:L$52),ARBETSBLAD!$I$6:$AF$6,ARBETSBLAD!$I127:$AF127)*LOOKUP(ARBETSBLAD!$L$4+SUM($I$52:$I$52),ARBETSBLAD!$I$6:$AF$6,$I$57:$AF$57)</f>
        <v>0</v>
      </c>
      <c r="N39" s="2381">
        <f>LOOKUP(ARBETSBLAD!$L$4+SUM($I$52:M$52),ARBETSBLAD!$I$6:$AF$6,ARBETSBLAD!$I127:$AF127)*LOOKUP(ARBETSBLAD!$L$4+SUM($I$52:$I$52),ARBETSBLAD!$I$6:$AF$6,$I$57:$AF$57)</f>
        <v>0</v>
      </c>
      <c r="O39" s="2381">
        <f>LOOKUP(ARBETSBLAD!$L$4+SUM($I$52:N$52),ARBETSBLAD!$I$6:$AF$6,ARBETSBLAD!$I127:$AF127)*LOOKUP(ARBETSBLAD!$L$4+SUM($I$52:$I$52),ARBETSBLAD!$I$6:$AF$6,$I$57:$AF$57)</f>
        <v>0</v>
      </c>
      <c r="P39" s="2381">
        <f>LOOKUP(ARBETSBLAD!$L$4+SUM($I$52:O$52),ARBETSBLAD!$I$6:$AF$6,ARBETSBLAD!$I127:$AF127)*LOOKUP(ARBETSBLAD!$L$4+SUM($I$52:$I$52),ARBETSBLAD!$I$6:$AF$6,$I$57:$AF$57)</f>
        <v>0</v>
      </c>
      <c r="Q39" s="2381">
        <f>LOOKUP(ARBETSBLAD!$L$4+SUM($I$52:P$52),ARBETSBLAD!$I$6:$AF$6,ARBETSBLAD!$I127:$AF127)*LOOKUP(ARBETSBLAD!$L$4+SUM($I$52:$I$52),ARBETSBLAD!$I$6:$AF$6,$I$57:$AF$57)</f>
        <v>0</v>
      </c>
      <c r="R39" s="2381">
        <f>LOOKUP(ARBETSBLAD!$L$4+SUM($I$52:Q$52),ARBETSBLAD!$I$6:$AF$6,ARBETSBLAD!$I127:$AF127)*LOOKUP(ARBETSBLAD!$L$4+SUM($I$52:$I$52),ARBETSBLAD!$I$6:$AF$6,$I$57:$AF$57)</f>
        <v>0</v>
      </c>
      <c r="S39" s="2381">
        <f>LOOKUP(ARBETSBLAD!$L$4+SUM($I$52:R$52),ARBETSBLAD!$I$6:$AF$6,ARBETSBLAD!$I127:$AF127)*LOOKUP(ARBETSBLAD!$L$4+SUM($I$52:$I$52),ARBETSBLAD!$I$6:$AF$6,$I$57:$AF$57)</f>
        <v>0</v>
      </c>
      <c r="T39" s="2381">
        <f>LOOKUP(ARBETSBLAD!$L$4+SUM($I$52:S$52),ARBETSBLAD!$I$6:$AF$6,ARBETSBLAD!$I127:$AF127)*LOOKUP(ARBETSBLAD!$L$4+SUM($I$52:$I$52),ARBETSBLAD!$I$6:$AF$6,$I$57:$AF$57)</f>
        <v>0</v>
      </c>
      <c r="U39" s="2381">
        <f>LOOKUP(ARBETSBLAD!$L$4+SUM($I$52:T$52),ARBETSBLAD!$I$6:$AF$6,ARBETSBLAD!$I127:$AF127)*LOOKUP(ARBETSBLAD!$L$4+SUM($I$52:$I$52),ARBETSBLAD!$I$6:$AF$6,$I$57:$AF$57)</f>
        <v>0</v>
      </c>
      <c r="V39" s="2381">
        <f>LOOKUP(ARBETSBLAD!$L$4+SUM($I$52:U$52),ARBETSBLAD!$I$6:$AF$6,ARBETSBLAD!$I127:$AF127)*V$53</f>
        <v>0</v>
      </c>
      <c r="W39" s="2381">
        <f>LOOKUP(ARBETSBLAD!$L$4+SUM($I$52:V$52),ARBETSBLAD!$I$6:$AF$6,ARBETSBLAD!$I127:$AF127)*W$53</f>
        <v>0</v>
      </c>
      <c r="X39" s="2381">
        <f>LOOKUP(ARBETSBLAD!$L$4+SUM($I$52:W$52),ARBETSBLAD!$I$6:$AF$6,ARBETSBLAD!$I127:$AF127)*X$53</f>
        <v>0</v>
      </c>
      <c r="Y39" s="2381">
        <f>LOOKUP(ARBETSBLAD!$L$4+SUM($I$52:X$52),ARBETSBLAD!$I$6:$AF$6,ARBETSBLAD!$I127:$AF127)*Y$53</f>
        <v>0</v>
      </c>
      <c r="Z39" s="2381">
        <f>LOOKUP(ARBETSBLAD!$L$4+SUM($I$52:Y$52),ARBETSBLAD!$I$6:$AF$6,ARBETSBLAD!$I127:$AF127)*Z$53</f>
        <v>0</v>
      </c>
      <c r="AA39" s="2381">
        <f>LOOKUP(ARBETSBLAD!$L$4+SUM($I$52:Z$52),ARBETSBLAD!$I$6:$AF$6,ARBETSBLAD!$I127:$AF127)*AA$53</f>
        <v>0</v>
      </c>
      <c r="AB39" s="2381">
        <f>LOOKUP(ARBETSBLAD!$L$4+SUM($I$52:AA$52),ARBETSBLAD!$I$6:$AF$6,ARBETSBLAD!$I127:$AF127)*AB$53</f>
        <v>0</v>
      </c>
      <c r="AC39" s="2381">
        <f>LOOKUP(ARBETSBLAD!$L$4+SUM($I$52:AB$52),ARBETSBLAD!$I$6:$AF$6,ARBETSBLAD!$I127:$AF127)*AC$53</f>
        <v>0</v>
      </c>
      <c r="AD39" s="2381">
        <f>LOOKUP(ARBETSBLAD!$L$4+SUM($I$52:AC$52),ARBETSBLAD!$I$6:$AF$6,ARBETSBLAD!$I127:$AF127)*AD$53</f>
        <v>0</v>
      </c>
      <c r="AE39" s="2381">
        <f>LOOKUP(ARBETSBLAD!$L$4+SUM($I$52:AD$52),ARBETSBLAD!$I$6:$AF$6,ARBETSBLAD!$I127:$AF127)*AE$53</f>
        <v>0</v>
      </c>
      <c r="AF39" s="2381">
        <f>LOOKUP(ARBETSBLAD!$L$4+SUM($I$52:AE$52),ARBETSBLAD!$I$6:$AF$6,ARBETSBLAD!$I127:$AF127)*AF$53</f>
        <v>0</v>
      </c>
      <c r="AG39" s="769"/>
      <c r="AH39" s="1854"/>
      <c r="AI39" s="434"/>
      <c r="AJ39" s="1855"/>
      <c r="AL39" s="1291"/>
      <c r="AM39" s="1292"/>
      <c r="AN39" s="1293"/>
    </row>
    <row r="40" spans="1:40" s="1290" customFormat="1" ht="12.75" hidden="1" customHeight="1">
      <c r="A40" s="1270"/>
      <c r="B40" s="1297" t="str">
        <f>ARBETSBLAD!B128</f>
        <v>Andra övriga kostnader 5</v>
      </c>
      <c r="C40" s="191"/>
      <c r="D40" s="191"/>
      <c r="E40" s="191"/>
      <c r="F40" s="1295"/>
      <c r="G40" s="1296"/>
      <c r="H40" s="191"/>
      <c r="I40" s="2381">
        <f>LOOKUP(ARBETSBLAD!$L$4,ARBETSBLAD!$I$6:$AF$6,ARBETSBLAD!$I128:$AF128)*LOOKUP(ARBETSBLAD!$L$4,ARBETSBLAD!$I$6:$AF$6,$I$57:$AF$57)</f>
        <v>0</v>
      </c>
      <c r="J40" s="2381">
        <f>LOOKUP(ARBETSBLAD!$L$4+SUM($I$52:I$52),ARBETSBLAD!$I$6:$AF$6,ARBETSBLAD!$I128:$AF128)*LOOKUP(ARBETSBLAD!$L$4+SUM($I$52:$I$52),ARBETSBLAD!$I$6:$AF$6,$I$57:$AF$57)</f>
        <v>0</v>
      </c>
      <c r="K40" s="2381">
        <f>LOOKUP(ARBETSBLAD!$L$4+SUM($I$52:J$52),ARBETSBLAD!$I$6:$AF$6,ARBETSBLAD!$I128:$AF128)*LOOKUP(ARBETSBLAD!$L$4+SUM($I$52:$I$52),ARBETSBLAD!$I$6:$AF$6,$I$57:$AF$57)</f>
        <v>0</v>
      </c>
      <c r="L40" s="2381">
        <f>LOOKUP(ARBETSBLAD!$L$4+SUM($I$52:K$52),ARBETSBLAD!$I$6:$AF$6,ARBETSBLAD!$I128:$AF128)*LOOKUP(ARBETSBLAD!$L$4+SUM($I$52:$I$52),ARBETSBLAD!$I$6:$AF$6,$I$57:$AF$57)</f>
        <v>0</v>
      </c>
      <c r="M40" s="2381">
        <f>LOOKUP(ARBETSBLAD!$L$4+SUM($I$52:L$52),ARBETSBLAD!$I$6:$AF$6,ARBETSBLAD!$I128:$AF128)*LOOKUP(ARBETSBLAD!$L$4+SUM($I$52:$I$52),ARBETSBLAD!$I$6:$AF$6,$I$57:$AF$57)</f>
        <v>0</v>
      </c>
      <c r="N40" s="2381">
        <f>LOOKUP(ARBETSBLAD!$L$4+SUM($I$52:M$52),ARBETSBLAD!$I$6:$AF$6,ARBETSBLAD!$I128:$AF128)*LOOKUP(ARBETSBLAD!$L$4+SUM($I$52:$I$52),ARBETSBLAD!$I$6:$AF$6,$I$57:$AF$57)</f>
        <v>0</v>
      </c>
      <c r="O40" s="2381">
        <f>LOOKUP(ARBETSBLAD!$L$4+SUM($I$52:N$52),ARBETSBLAD!$I$6:$AF$6,ARBETSBLAD!$I128:$AF128)*LOOKUP(ARBETSBLAD!$L$4+SUM($I$52:$I$52),ARBETSBLAD!$I$6:$AF$6,$I$57:$AF$57)</f>
        <v>0</v>
      </c>
      <c r="P40" s="2381">
        <f>LOOKUP(ARBETSBLAD!$L$4+SUM($I$52:O$52),ARBETSBLAD!$I$6:$AF$6,ARBETSBLAD!$I128:$AF128)*LOOKUP(ARBETSBLAD!$L$4+SUM($I$52:$I$52),ARBETSBLAD!$I$6:$AF$6,$I$57:$AF$57)</f>
        <v>0</v>
      </c>
      <c r="Q40" s="2381">
        <f>LOOKUP(ARBETSBLAD!$L$4+SUM($I$52:P$52),ARBETSBLAD!$I$6:$AF$6,ARBETSBLAD!$I128:$AF128)*LOOKUP(ARBETSBLAD!$L$4+SUM($I$52:$I$52),ARBETSBLAD!$I$6:$AF$6,$I$57:$AF$57)</f>
        <v>0</v>
      </c>
      <c r="R40" s="2381">
        <f>LOOKUP(ARBETSBLAD!$L$4+SUM($I$52:Q$52),ARBETSBLAD!$I$6:$AF$6,ARBETSBLAD!$I128:$AF128)*LOOKUP(ARBETSBLAD!$L$4+SUM($I$52:$I$52),ARBETSBLAD!$I$6:$AF$6,$I$57:$AF$57)</f>
        <v>0</v>
      </c>
      <c r="S40" s="2381">
        <f>LOOKUP(ARBETSBLAD!$L$4+SUM($I$52:R$52),ARBETSBLAD!$I$6:$AF$6,ARBETSBLAD!$I128:$AF128)*LOOKUP(ARBETSBLAD!$L$4+SUM($I$52:$I$52),ARBETSBLAD!$I$6:$AF$6,$I$57:$AF$57)</f>
        <v>0</v>
      </c>
      <c r="T40" s="2381">
        <f>LOOKUP(ARBETSBLAD!$L$4+SUM($I$52:S$52),ARBETSBLAD!$I$6:$AF$6,ARBETSBLAD!$I128:$AF128)*LOOKUP(ARBETSBLAD!$L$4+SUM($I$52:$I$52),ARBETSBLAD!$I$6:$AF$6,$I$57:$AF$57)</f>
        <v>0</v>
      </c>
      <c r="U40" s="2381">
        <f>LOOKUP(ARBETSBLAD!$L$4+SUM($I$52:T$52),ARBETSBLAD!$I$6:$AF$6,ARBETSBLAD!$I128:$AF128)*LOOKUP(ARBETSBLAD!$L$4+SUM($I$52:$I$52),ARBETSBLAD!$I$6:$AF$6,$I$57:$AF$57)</f>
        <v>0</v>
      </c>
      <c r="V40" s="2381">
        <f>LOOKUP(ARBETSBLAD!$L$4+SUM($I$52:U$52),ARBETSBLAD!$I$6:$AF$6,ARBETSBLAD!$I128:$AF128)*V$53</f>
        <v>0</v>
      </c>
      <c r="W40" s="2381">
        <f>LOOKUP(ARBETSBLAD!$L$4+SUM($I$52:V$52),ARBETSBLAD!$I$6:$AF$6,ARBETSBLAD!$I128:$AF128)*W$53</f>
        <v>0</v>
      </c>
      <c r="X40" s="2381">
        <f>LOOKUP(ARBETSBLAD!$L$4+SUM($I$52:W$52),ARBETSBLAD!$I$6:$AF$6,ARBETSBLAD!$I128:$AF128)*X$53</f>
        <v>0</v>
      </c>
      <c r="Y40" s="2381">
        <f>LOOKUP(ARBETSBLAD!$L$4+SUM($I$52:X$52),ARBETSBLAD!$I$6:$AF$6,ARBETSBLAD!$I128:$AF128)*Y$53</f>
        <v>0</v>
      </c>
      <c r="Z40" s="2381">
        <f>LOOKUP(ARBETSBLAD!$L$4+SUM($I$52:Y$52),ARBETSBLAD!$I$6:$AF$6,ARBETSBLAD!$I128:$AF128)*Z$53</f>
        <v>0</v>
      </c>
      <c r="AA40" s="2381">
        <f>LOOKUP(ARBETSBLAD!$L$4+SUM($I$52:Z$52),ARBETSBLAD!$I$6:$AF$6,ARBETSBLAD!$I128:$AF128)*AA$53</f>
        <v>0</v>
      </c>
      <c r="AB40" s="2381">
        <f>LOOKUP(ARBETSBLAD!$L$4+SUM($I$52:AA$52),ARBETSBLAD!$I$6:$AF$6,ARBETSBLAD!$I128:$AF128)*AB$53</f>
        <v>0</v>
      </c>
      <c r="AC40" s="2381">
        <f>LOOKUP(ARBETSBLAD!$L$4+SUM($I$52:AB$52),ARBETSBLAD!$I$6:$AF$6,ARBETSBLAD!$I128:$AF128)*AC$53</f>
        <v>0</v>
      </c>
      <c r="AD40" s="2381">
        <f>LOOKUP(ARBETSBLAD!$L$4+SUM($I$52:AC$52),ARBETSBLAD!$I$6:$AF$6,ARBETSBLAD!$I128:$AF128)*AD$53</f>
        <v>0</v>
      </c>
      <c r="AE40" s="2381">
        <f>LOOKUP(ARBETSBLAD!$L$4+SUM($I$52:AD$52),ARBETSBLAD!$I$6:$AF$6,ARBETSBLAD!$I128:$AF128)*AE$53</f>
        <v>0</v>
      </c>
      <c r="AF40" s="2381">
        <f>LOOKUP(ARBETSBLAD!$L$4+SUM($I$52:AE$52),ARBETSBLAD!$I$6:$AF$6,ARBETSBLAD!$I128:$AF128)*AF$53</f>
        <v>0</v>
      </c>
      <c r="AG40" s="769"/>
      <c r="AH40" s="1854"/>
      <c r="AI40" s="434"/>
      <c r="AJ40" s="1855"/>
      <c r="AL40" s="1291"/>
      <c r="AM40" s="1292"/>
      <c r="AN40" s="1293"/>
    </row>
    <row r="41" spans="1:40" s="1290" customFormat="1" ht="12.75" hidden="1" customHeight="1">
      <c r="A41" s="1270"/>
      <c r="B41" s="1297" t="str">
        <f>ARBETSBLAD!B129</f>
        <v>Andra övriga kostnader 6</v>
      </c>
      <c r="C41" s="191"/>
      <c r="D41" s="191"/>
      <c r="E41" s="191"/>
      <c r="F41" s="1295"/>
      <c r="G41" s="1296"/>
      <c r="H41" s="191"/>
      <c r="I41" s="2381">
        <f>LOOKUP(ARBETSBLAD!$L$4,ARBETSBLAD!$I$6:$AF$6,ARBETSBLAD!$I129:$AF129)*LOOKUP(ARBETSBLAD!$L$4,ARBETSBLAD!$I$6:$AF$6,$I$57:$AF$57)</f>
        <v>0</v>
      </c>
      <c r="J41" s="2381">
        <f>LOOKUP(ARBETSBLAD!$L$4+SUM($I$52:I$52),ARBETSBLAD!$I$6:$AF$6,ARBETSBLAD!$I129:$AF129)*LOOKUP(ARBETSBLAD!$L$4+SUM($I$52:$I$52),ARBETSBLAD!$I$6:$AF$6,$I$57:$AF$57)</f>
        <v>0</v>
      </c>
      <c r="K41" s="2381">
        <f>LOOKUP(ARBETSBLAD!$L$4+SUM($I$52:J$52),ARBETSBLAD!$I$6:$AF$6,ARBETSBLAD!$I129:$AF129)*LOOKUP(ARBETSBLAD!$L$4+SUM($I$52:$I$52),ARBETSBLAD!$I$6:$AF$6,$I$57:$AF$57)</f>
        <v>0</v>
      </c>
      <c r="L41" s="2381">
        <f>LOOKUP(ARBETSBLAD!$L$4+SUM($I$52:K$52),ARBETSBLAD!$I$6:$AF$6,ARBETSBLAD!$I129:$AF129)*LOOKUP(ARBETSBLAD!$L$4+SUM($I$52:$I$52),ARBETSBLAD!$I$6:$AF$6,$I$57:$AF$57)</f>
        <v>0</v>
      </c>
      <c r="M41" s="2381">
        <f>LOOKUP(ARBETSBLAD!$L$4+SUM($I$52:L$52),ARBETSBLAD!$I$6:$AF$6,ARBETSBLAD!$I129:$AF129)*LOOKUP(ARBETSBLAD!$L$4+SUM($I$52:$I$52),ARBETSBLAD!$I$6:$AF$6,$I$57:$AF$57)</f>
        <v>0</v>
      </c>
      <c r="N41" s="2381">
        <f>LOOKUP(ARBETSBLAD!$L$4+SUM($I$52:M$52),ARBETSBLAD!$I$6:$AF$6,ARBETSBLAD!$I129:$AF129)*LOOKUP(ARBETSBLAD!$L$4+SUM($I$52:$I$52),ARBETSBLAD!$I$6:$AF$6,$I$57:$AF$57)</f>
        <v>0</v>
      </c>
      <c r="O41" s="2381">
        <f>LOOKUP(ARBETSBLAD!$L$4+SUM($I$52:N$52),ARBETSBLAD!$I$6:$AF$6,ARBETSBLAD!$I129:$AF129)*LOOKUP(ARBETSBLAD!$L$4+SUM($I$52:$I$52),ARBETSBLAD!$I$6:$AF$6,$I$57:$AF$57)</f>
        <v>0</v>
      </c>
      <c r="P41" s="2381">
        <f>LOOKUP(ARBETSBLAD!$L$4+SUM($I$52:O$52),ARBETSBLAD!$I$6:$AF$6,ARBETSBLAD!$I129:$AF129)*LOOKUP(ARBETSBLAD!$L$4+SUM($I$52:$I$52),ARBETSBLAD!$I$6:$AF$6,$I$57:$AF$57)</f>
        <v>0</v>
      </c>
      <c r="Q41" s="2381">
        <f>LOOKUP(ARBETSBLAD!$L$4+SUM($I$52:P$52),ARBETSBLAD!$I$6:$AF$6,ARBETSBLAD!$I129:$AF129)*LOOKUP(ARBETSBLAD!$L$4+SUM($I$52:$I$52),ARBETSBLAD!$I$6:$AF$6,$I$57:$AF$57)</f>
        <v>0</v>
      </c>
      <c r="R41" s="2381">
        <f>LOOKUP(ARBETSBLAD!$L$4+SUM($I$52:Q$52),ARBETSBLAD!$I$6:$AF$6,ARBETSBLAD!$I129:$AF129)*LOOKUP(ARBETSBLAD!$L$4+SUM($I$52:$I$52),ARBETSBLAD!$I$6:$AF$6,$I$57:$AF$57)</f>
        <v>0</v>
      </c>
      <c r="S41" s="2381">
        <f>LOOKUP(ARBETSBLAD!$L$4+SUM($I$52:R$52),ARBETSBLAD!$I$6:$AF$6,ARBETSBLAD!$I129:$AF129)*LOOKUP(ARBETSBLAD!$L$4+SUM($I$52:$I$52),ARBETSBLAD!$I$6:$AF$6,$I$57:$AF$57)</f>
        <v>0</v>
      </c>
      <c r="T41" s="2381">
        <f>LOOKUP(ARBETSBLAD!$L$4+SUM($I$52:S$52),ARBETSBLAD!$I$6:$AF$6,ARBETSBLAD!$I129:$AF129)*LOOKUP(ARBETSBLAD!$L$4+SUM($I$52:$I$52),ARBETSBLAD!$I$6:$AF$6,$I$57:$AF$57)</f>
        <v>0</v>
      </c>
      <c r="U41" s="2381">
        <f>LOOKUP(ARBETSBLAD!$L$4+SUM($I$52:T$52),ARBETSBLAD!$I$6:$AF$6,ARBETSBLAD!$I129:$AF129)*LOOKUP(ARBETSBLAD!$L$4+SUM($I$52:$I$52),ARBETSBLAD!$I$6:$AF$6,$I$57:$AF$57)</f>
        <v>0</v>
      </c>
      <c r="V41" s="2381">
        <f>LOOKUP(ARBETSBLAD!$L$4+SUM($I$52:U$52),ARBETSBLAD!$I$6:$AF$6,ARBETSBLAD!$I129:$AF129)*V$53</f>
        <v>0</v>
      </c>
      <c r="W41" s="2381">
        <f>LOOKUP(ARBETSBLAD!$L$4+SUM($I$52:V$52),ARBETSBLAD!$I$6:$AF$6,ARBETSBLAD!$I129:$AF129)*W$53</f>
        <v>0</v>
      </c>
      <c r="X41" s="2381">
        <f>LOOKUP(ARBETSBLAD!$L$4+SUM($I$52:W$52),ARBETSBLAD!$I$6:$AF$6,ARBETSBLAD!$I129:$AF129)*X$53</f>
        <v>0</v>
      </c>
      <c r="Y41" s="2381">
        <f>LOOKUP(ARBETSBLAD!$L$4+SUM($I$52:X$52),ARBETSBLAD!$I$6:$AF$6,ARBETSBLAD!$I129:$AF129)*Y$53</f>
        <v>0</v>
      </c>
      <c r="Z41" s="2381">
        <f>LOOKUP(ARBETSBLAD!$L$4+SUM($I$52:Y$52),ARBETSBLAD!$I$6:$AF$6,ARBETSBLAD!$I129:$AF129)*Z$53</f>
        <v>0</v>
      </c>
      <c r="AA41" s="2381">
        <f>LOOKUP(ARBETSBLAD!$L$4+SUM($I$52:Z$52),ARBETSBLAD!$I$6:$AF$6,ARBETSBLAD!$I129:$AF129)*AA$53</f>
        <v>0</v>
      </c>
      <c r="AB41" s="2381">
        <f>LOOKUP(ARBETSBLAD!$L$4+SUM($I$52:AA$52),ARBETSBLAD!$I$6:$AF$6,ARBETSBLAD!$I129:$AF129)*AB$53</f>
        <v>0</v>
      </c>
      <c r="AC41" s="2381">
        <f>LOOKUP(ARBETSBLAD!$L$4+SUM($I$52:AB$52),ARBETSBLAD!$I$6:$AF$6,ARBETSBLAD!$I129:$AF129)*AC$53</f>
        <v>0</v>
      </c>
      <c r="AD41" s="2381">
        <f>LOOKUP(ARBETSBLAD!$L$4+SUM($I$52:AC$52),ARBETSBLAD!$I$6:$AF$6,ARBETSBLAD!$I129:$AF129)*AD$53</f>
        <v>0</v>
      </c>
      <c r="AE41" s="2381">
        <f>LOOKUP(ARBETSBLAD!$L$4+SUM($I$52:AD$52),ARBETSBLAD!$I$6:$AF$6,ARBETSBLAD!$I129:$AF129)*AE$53</f>
        <v>0</v>
      </c>
      <c r="AF41" s="2381">
        <f>LOOKUP(ARBETSBLAD!$L$4+SUM($I$52:AE$52),ARBETSBLAD!$I$6:$AF$6,ARBETSBLAD!$I129:$AF129)*AF$53</f>
        <v>0</v>
      </c>
      <c r="AG41" s="769"/>
      <c r="AH41" s="1854"/>
      <c r="AI41" s="434"/>
      <c r="AJ41" s="1855"/>
      <c r="AL41" s="1291"/>
      <c r="AM41" s="1292"/>
      <c r="AN41" s="1293"/>
    </row>
    <row r="42" spans="1:40" s="1290" customFormat="1" ht="12.75" hidden="1" customHeight="1">
      <c r="A42" s="1270"/>
      <c r="B42" s="1297" t="str">
        <f>ARBETSBLAD!B130</f>
        <v>Andra övriga kostnader 7</v>
      </c>
      <c r="C42" s="191"/>
      <c r="D42" s="191"/>
      <c r="E42" s="191"/>
      <c r="F42" s="1295"/>
      <c r="G42" s="1296"/>
      <c r="H42" s="191"/>
      <c r="I42" s="2381">
        <f>LOOKUP(ARBETSBLAD!$L$4,ARBETSBLAD!$I$6:$AF$6,ARBETSBLAD!$I130:$AF130)*LOOKUP(ARBETSBLAD!$L$4,ARBETSBLAD!$I$6:$AF$6,$I$57:$AF$57)</f>
        <v>0</v>
      </c>
      <c r="J42" s="2381">
        <f>LOOKUP(ARBETSBLAD!$L$4+SUM($I$52:I$52),ARBETSBLAD!$I$6:$AF$6,ARBETSBLAD!$I130:$AF130)*LOOKUP(ARBETSBLAD!$L$4+SUM($I$52:$I$52),ARBETSBLAD!$I$6:$AF$6,$I$57:$AF$57)</f>
        <v>0</v>
      </c>
      <c r="K42" s="2381">
        <f>LOOKUP(ARBETSBLAD!$L$4+SUM($I$52:J$52),ARBETSBLAD!$I$6:$AF$6,ARBETSBLAD!$I130:$AF130)*LOOKUP(ARBETSBLAD!$L$4+SUM($I$52:$I$52),ARBETSBLAD!$I$6:$AF$6,$I$57:$AF$57)</f>
        <v>0</v>
      </c>
      <c r="L42" s="2381">
        <f>LOOKUP(ARBETSBLAD!$L$4+SUM($I$52:K$52),ARBETSBLAD!$I$6:$AF$6,ARBETSBLAD!$I130:$AF130)*LOOKUP(ARBETSBLAD!$L$4+SUM($I$52:$I$52),ARBETSBLAD!$I$6:$AF$6,$I$57:$AF$57)</f>
        <v>0</v>
      </c>
      <c r="M42" s="2381">
        <f>LOOKUP(ARBETSBLAD!$L$4+SUM($I$52:L$52),ARBETSBLAD!$I$6:$AF$6,ARBETSBLAD!$I130:$AF130)*LOOKUP(ARBETSBLAD!$L$4+SUM($I$52:$I$52),ARBETSBLAD!$I$6:$AF$6,$I$57:$AF$57)</f>
        <v>0</v>
      </c>
      <c r="N42" s="2381">
        <f>LOOKUP(ARBETSBLAD!$L$4+SUM($I$52:M$52),ARBETSBLAD!$I$6:$AF$6,ARBETSBLAD!$I130:$AF130)*LOOKUP(ARBETSBLAD!$L$4+SUM($I$52:$I$52),ARBETSBLAD!$I$6:$AF$6,$I$57:$AF$57)</f>
        <v>0</v>
      </c>
      <c r="O42" s="2381">
        <f>LOOKUP(ARBETSBLAD!$L$4+SUM($I$52:N$52),ARBETSBLAD!$I$6:$AF$6,ARBETSBLAD!$I130:$AF130)*LOOKUP(ARBETSBLAD!$L$4+SUM($I$52:$I$52),ARBETSBLAD!$I$6:$AF$6,$I$57:$AF$57)</f>
        <v>0</v>
      </c>
      <c r="P42" s="2381">
        <f>LOOKUP(ARBETSBLAD!$L$4+SUM($I$52:O$52),ARBETSBLAD!$I$6:$AF$6,ARBETSBLAD!$I130:$AF130)*LOOKUP(ARBETSBLAD!$L$4+SUM($I$52:$I$52),ARBETSBLAD!$I$6:$AF$6,$I$57:$AF$57)</f>
        <v>0</v>
      </c>
      <c r="Q42" s="2381">
        <f>LOOKUP(ARBETSBLAD!$L$4+SUM($I$52:P$52),ARBETSBLAD!$I$6:$AF$6,ARBETSBLAD!$I130:$AF130)*LOOKUP(ARBETSBLAD!$L$4+SUM($I$52:$I$52),ARBETSBLAD!$I$6:$AF$6,$I$57:$AF$57)</f>
        <v>0</v>
      </c>
      <c r="R42" s="2381">
        <f>LOOKUP(ARBETSBLAD!$L$4+SUM($I$52:Q$52),ARBETSBLAD!$I$6:$AF$6,ARBETSBLAD!$I130:$AF130)*LOOKUP(ARBETSBLAD!$L$4+SUM($I$52:$I$52),ARBETSBLAD!$I$6:$AF$6,$I$57:$AF$57)</f>
        <v>0</v>
      </c>
      <c r="S42" s="2381">
        <f>LOOKUP(ARBETSBLAD!$L$4+SUM($I$52:R$52),ARBETSBLAD!$I$6:$AF$6,ARBETSBLAD!$I130:$AF130)*LOOKUP(ARBETSBLAD!$L$4+SUM($I$52:$I$52),ARBETSBLAD!$I$6:$AF$6,$I$57:$AF$57)</f>
        <v>0</v>
      </c>
      <c r="T42" s="2381">
        <f>LOOKUP(ARBETSBLAD!$L$4+SUM($I$52:S$52),ARBETSBLAD!$I$6:$AF$6,ARBETSBLAD!$I130:$AF130)*LOOKUP(ARBETSBLAD!$L$4+SUM($I$52:$I$52),ARBETSBLAD!$I$6:$AF$6,$I$57:$AF$57)</f>
        <v>0</v>
      </c>
      <c r="U42" s="2381">
        <f>LOOKUP(ARBETSBLAD!$L$4+SUM($I$52:T$52),ARBETSBLAD!$I$6:$AF$6,ARBETSBLAD!$I130:$AF130)*LOOKUP(ARBETSBLAD!$L$4+SUM($I$52:$I$52),ARBETSBLAD!$I$6:$AF$6,$I$57:$AF$57)</f>
        <v>0</v>
      </c>
      <c r="V42" s="2381">
        <f>LOOKUP(ARBETSBLAD!$L$4+SUM($I$52:U$52),ARBETSBLAD!$I$6:$AF$6,ARBETSBLAD!$I130:$AF130)*V$53</f>
        <v>0</v>
      </c>
      <c r="W42" s="2381">
        <f>LOOKUP(ARBETSBLAD!$L$4+SUM($I$52:V$52),ARBETSBLAD!$I$6:$AF$6,ARBETSBLAD!$I130:$AF130)*W$53</f>
        <v>0</v>
      </c>
      <c r="X42" s="2381">
        <f>LOOKUP(ARBETSBLAD!$L$4+SUM($I$52:W$52),ARBETSBLAD!$I$6:$AF$6,ARBETSBLAD!$I130:$AF130)*X$53</f>
        <v>0</v>
      </c>
      <c r="Y42" s="2381">
        <f>LOOKUP(ARBETSBLAD!$L$4+SUM($I$52:X$52),ARBETSBLAD!$I$6:$AF$6,ARBETSBLAD!$I130:$AF130)*Y$53</f>
        <v>0</v>
      </c>
      <c r="Z42" s="2381">
        <f>LOOKUP(ARBETSBLAD!$L$4+SUM($I$52:Y$52),ARBETSBLAD!$I$6:$AF$6,ARBETSBLAD!$I130:$AF130)*Z$53</f>
        <v>0</v>
      </c>
      <c r="AA42" s="2381">
        <f>LOOKUP(ARBETSBLAD!$L$4+SUM($I$52:Z$52),ARBETSBLAD!$I$6:$AF$6,ARBETSBLAD!$I130:$AF130)*AA$53</f>
        <v>0</v>
      </c>
      <c r="AB42" s="2381">
        <f>LOOKUP(ARBETSBLAD!$L$4+SUM($I$52:AA$52),ARBETSBLAD!$I$6:$AF$6,ARBETSBLAD!$I130:$AF130)*AB$53</f>
        <v>0</v>
      </c>
      <c r="AC42" s="2381">
        <f>LOOKUP(ARBETSBLAD!$L$4+SUM($I$52:AB$52),ARBETSBLAD!$I$6:$AF$6,ARBETSBLAD!$I130:$AF130)*AC$53</f>
        <v>0</v>
      </c>
      <c r="AD42" s="2381">
        <f>LOOKUP(ARBETSBLAD!$L$4+SUM($I$52:AC$52),ARBETSBLAD!$I$6:$AF$6,ARBETSBLAD!$I130:$AF130)*AD$53</f>
        <v>0</v>
      </c>
      <c r="AE42" s="2381">
        <f>LOOKUP(ARBETSBLAD!$L$4+SUM($I$52:AD$52),ARBETSBLAD!$I$6:$AF$6,ARBETSBLAD!$I130:$AF130)*AE$53</f>
        <v>0</v>
      </c>
      <c r="AF42" s="2381">
        <f>LOOKUP(ARBETSBLAD!$L$4+SUM($I$52:AE$52),ARBETSBLAD!$I$6:$AF$6,ARBETSBLAD!$I130:$AF130)*AF$53</f>
        <v>0</v>
      </c>
      <c r="AG42" s="769"/>
      <c r="AH42" s="1854"/>
      <c r="AI42" s="434"/>
      <c r="AJ42" s="1855"/>
      <c r="AL42" s="1291"/>
      <c r="AM42" s="1292"/>
      <c r="AN42" s="1293"/>
    </row>
    <row r="43" spans="1:40" s="1290" customFormat="1" ht="12.75" hidden="1" customHeight="1">
      <c r="A43" s="1270"/>
      <c r="B43" s="1297" t="str">
        <f>ARBETSBLAD!B131</f>
        <v>Andra övriga kostnader 8</v>
      </c>
      <c r="C43" s="191"/>
      <c r="D43" s="191"/>
      <c r="E43" s="191"/>
      <c r="F43" s="1295"/>
      <c r="G43" s="1296"/>
      <c r="H43" s="191"/>
      <c r="I43" s="2381">
        <f>LOOKUP(ARBETSBLAD!$L$4,ARBETSBLAD!$I$6:$AF$6,ARBETSBLAD!$I131:$AF131)*LOOKUP(ARBETSBLAD!$L$4,ARBETSBLAD!$I$6:$AF$6,$I$57:$AF$57)</f>
        <v>0</v>
      </c>
      <c r="J43" s="2381">
        <f>LOOKUP(ARBETSBLAD!$L$4+SUM($I$52:I$52),ARBETSBLAD!$I$6:$AF$6,ARBETSBLAD!$I131:$AF131)*LOOKUP(ARBETSBLAD!$L$4+SUM($I$52:$I$52),ARBETSBLAD!$I$6:$AF$6,$I$57:$AF$57)</f>
        <v>0</v>
      </c>
      <c r="K43" s="2381">
        <f>LOOKUP(ARBETSBLAD!$L$4+SUM($I$52:J$52),ARBETSBLAD!$I$6:$AF$6,ARBETSBLAD!$I131:$AF131)*LOOKUP(ARBETSBLAD!$L$4+SUM($I$52:$I$52),ARBETSBLAD!$I$6:$AF$6,$I$57:$AF$57)</f>
        <v>0</v>
      </c>
      <c r="L43" s="2381">
        <f>LOOKUP(ARBETSBLAD!$L$4+SUM($I$52:K$52),ARBETSBLAD!$I$6:$AF$6,ARBETSBLAD!$I131:$AF131)*LOOKUP(ARBETSBLAD!$L$4+SUM($I$52:$I$52),ARBETSBLAD!$I$6:$AF$6,$I$57:$AF$57)</f>
        <v>0</v>
      </c>
      <c r="M43" s="2381">
        <f>LOOKUP(ARBETSBLAD!$L$4+SUM($I$52:L$52),ARBETSBLAD!$I$6:$AF$6,ARBETSBLAD!$I131:$AF131)*LOOKUP(ARBETSBLAD!$L$4+SUM($I$52:$I$52),ARBETSBLAD!$I$6:$AF$6,$I$57:$AF$57)</f>
        <v>0</v>
      </c>
      <c r="N43" s="2381">
        <f>LOOKUP(ARBETSBLAD!$L$4+SUM($I$52:M$52),ARBETSBLAD!$I$6:$AF$6,ARBETSBLAD!$I131:$AF131)*LOOKUP(ARBETSBLAD!$L$4+SUM($I$52:$I$52),ARBETSBLAD!$I$6:$AF$6,$I$57:$AF$57)</f>
        <v>0</v>
      </c>
      <c r="O43" s="2381">
        <f>LOOKUP(ARBETSBLAD!$L$4+SUM($I$52:N$52),ARBETSBLAD!$I$6:$AF$6,ARBETSBLAD!$I131:$AF131)*LOOKUP(ARBETSBLAD!$L$4+SUM($I$52:$I$52),ARBETSBLAD!$I$6:$AF$6,$I$57:$AF$57)</f>
        <v>0</v>
      </c>
      <c r="P43" s="2381">
        <f>LOOKUP(ARBETSBLAD!$L$4+SUM($I$52:O$52),ARBETSBLAD!$I$6:$AF$6,ARBETSBLAD!$I131:$AF131)*LOOKUP(ARBETSBLAD!$L$4+SUM($I$52:$I$52),ARBETSBLAD!$I$6:$AF$6,$I$57:$AF$57)</f>
        <v>0</v>
      </c>
      <c r="Q43" s="2381">
        <f>LOOKUP(ARBETSBLAD!$L$4+SUM($I$52:P$52),ARBETSBLAD!$I$6:$AF$6,ARBETSBLAD!$I131:$AF131)*LOOKUP(ARBETSBLAD!$L$4+SUM($I$52:$I$52),ARBETSBLAD!$I$6:$AF$6,$I$57:$AF$57)</f>
        <v>0</v>
      </c>
      <c r="R43" s="2381">
        <f>LOOKUP(ARBETSBLAD!$L$4+SUM($I$52:Q$52),ARBETSBLAD!$I$6:$AF$6,ARBETSBLAD!$I131:$AF131)*LOOKUP(ARBETSBLAD!$L$4+SUM($I$52:$I$52),ARBETSBLAD!$I$6:$AF$6,$I$57:$AF$57)</f>
        <v>0</v>
      </c>
      <c r="S43" s="2381">
        <f>LOOKUP(ARBETSBLAD!$L$4+SUM($I$52:R$52),ARBETSBLAD!$I$6:$AF$6,ARBETSBLAD!$I131:$AF131)*LOOKUP(ARBETSBLAD!$L$4+SUM($I$52:$I$52),ARBETSBLAD!$I$6:$AF$6,$I$57:$AF$57)</f>
        <v>0</v>
      </c>
      <c r="T43" s="2381">
        <f>LOOKUP(ARBETSBLAD!$L$4+SUM($I$52:S$52),ARBETSBLAD!$I$6:$AF$6,ARBETSBLAD!$I131:$AF131)*LOOKUP(ARBETSBLAD!$L$4+SUM($I$52:$I$52),ARBETSBLAD!$I$6:$AF$6,$I$57:$AF$57)</f>
        <v>0</v>
      </c>
      <c r="U43" s="2381">
        <f>LOOKUP(ARBETSBLAD!$L$4+SUM($I$52:T$52),ARBETSBLAD!$I$6:$AF$6,ARBETSBLAD!$I131:$AF131)*LOOKUP(ARBETSBLAD!$L$4+SUM($I$52:$I$52),ARBETSBLAD!$I$6:$AF$6,$I$57:$AF$57)</f>
        <v>0</v>
      </c>
      <c r="V43" s="2381">
        <f>LOOKUP(ARBETSBLAD!$L$4+SUM($I$52:U$52),ARBETSBLAD!$I$6:$AF$6,ARBETSBLAD!$I131:$AF131)*V$53</f>
        <v>0</v>
      </c>
      <c r="W43" s="2381">
        <f>LOOKUP(ARBETSBLAD!$L$4+SUM($I$52:V$52),ARBETSBLAD!$I$6:$AF$6,ARBETSBLAD!$I131:$AF131)*W$53</f>
        <v>0</v>
      </c>
      <c r="X43" s="2381">
        <f>LOOKUP(ARBETSBLAD!$L$4+SUM($I$52:W$52),ARBETSBLAD!$I$6:$AF$6,ARBETSBLAD!$I131:$AF131)*X$53</f>
        <v>0</v>
      </c>
      <c r="Y43" s="2381">
        <f>LOOKUP(ARBETSBLAD!$L$4+SUM($I$52:X$52),ARBETSBLAD!$I$6:$AF$6,ARBETSBLAD!$I131:$AF131)*Y$53</f>
        <v>0</v>
      </c>
      <c r="Z43" s="2381">
        <f>LOOKUP(ARBETSBLAD!$L$4+SUM($I$52:Y$52),ARBETSBLAD!$I$6:$AF$6,ARBETSBLAD!$I131:$AF131)*Z$53</f>
        <v>0</v>
      </c>
      <c r="AA43" s="2381">
        <f>LOOKUP(ARBETSBLAD!$L$4+SUM($I$52:Z$52),ARBETSBLAD!$I$6:$AF$6,ARBETSBLAD!$I131:$AF131)*AA$53</f>
        <v>0</v>
      </c>
      <c r="AB43" s="2381">
        <f>LOOKUP(ARBETSBLAD!$L$4+SUM($I$52:AA$52),ARBETSBLAD!$I$6:$AF$6,ARBETSBLAD!$I131:$AF131)*AB$53</f>
        <v>0</v>
      </c>
      <c r="AC43" s="2381">
        <f>LOOKUP(ARBETSBLAD!$L$4+SUM($I$52:AB$52),ARBETSBLAD!$I$6:$AF$6,ARBETSBLAD!$I131:$AF131)*AC$53</f>
        <v>0</v>
      </c>
      <c r="AD43" s="2381">
        <f>LOOKUP(ARBETSBLAD!$L$4+SUM($I$52:AC$52),ARBETSBLAD!$I$6:$AF$6,ARBETSBLAD!$I131:$AF131)*AD$53</f>
        <v>0</v>
      </c>
      <c r="AE43" s="2381">
        <f>LOOKUP(ARBETSBLAD!$L$4+SUM($I$52:AD$52),ARBETSBLAD!$I$6:$AF$6,ARBETSBLAD!$I131:$AF131)*AE$53</f>
        <v>0</v>
      </c>
      <c r="AF43" s="2381">
        <f>LOOKUP(ARBETSBLAD!$L$4+SUM($I$52:AE$52),ARBETSBLAD!$I$6:$AF$6,ARBETSBLAD!$I131:$AF131)*AF$53</f>
        <v>0</v>
      </c>
      <c r="AG43" s="769"/>
      <c r="AH43" s="1854"/>
      <c r="AI43" s="434"/>
      <c r="AJ43" s="1855"/>
      <c r="AL43" s="1291"/>
      <c r="AM43" s="1292"/>
      <c r="AN43" s="1293"/>
    </row>
    <row r="44" spans="1:40" s="1290" customFormat="1" ht="12.75" hidden="1" customHeight="1">
      <c r="A44" s="1270"/>
      <c r="B44" s="1297" t="str">
        <f>ARBETSBLAD!B132</f>
        <v>Andra övriga kostnader 9</v>
      </c>
      <c r="C44" s="191"/>
      <c r="D44" s="191"/>
      <c r="E44" s="191"/>
      <c r="F44" s="1295"/>
      <c r="G44" s="1296"/>
      <c r="H44" s="191"/>
      <c r="I44" s="2381">
        <f>LOOKUP(ARBETSBLAD!$L$4,ARBETSBLAD!$I$6:$AF$6,ARBETSBLAD!$I132:$AF132)*LOOKUP(ARBETSBLAD!$L$4,ARBETSBLAD!$I$6:$AF$6,$I$57:$AF$57)</f>
        <v>0</v>
      </c>
      <c r="J44" s="2381">
        <f>LOOKUP(ARBETSBLAD!$L$4+SUM($I$52:I$52),ARBETSBLAD!$I$6:$AF$6,ARBETSBLAD!$I132:$AF132)*LOOKUP(ARBETSBLAD!$L$4+SUM($I$52:$I$52),ARBETSBLAD!$I$6:$AF$6,$I$57:$AF$57)</f>
        <v>0</v>
      </c>
      <c r="K44" s="2381">
        <f>LOOKUP(ARBETSBLAD!$L$4+SUM($I$52:J$52),ARBETSBLAD!$I$6:$AF$6,ARBETSBLAD!$I132:$AF132)*LOOKUP(ARBETSBLAD!$L$4+SUM($I$52:$I$52),ARBETSBLAD!$I$6:$AF$6,$I$57:$AF$57)</f>
        <v>0</v>
      </c>
      <c r="L44" s="2381">
        <f>LOOKUP(ARBETSBLAD!$L$4+SUM($I$52:K$52),ARBETSBLAD!$I$6:$AF$6,ARBETSBLAD!$I132:$AF132)*LOOKUP(ARBETSBLAD!$L$4+SUM($I$52:$I$52),ARBETSBLAD!$I$6:$AF$6,$I$57:$AF$57)</f>
        <v>0</v>
      </c>
      <c r="M44" s="2381">
        <f>LOOKUP(ARBETSBLAD!$L$4+SUM($I$52:L$52),ARBETSBLAD!$I$6:$AF$6,ARBETSBLAD!$I132:$AF132)*LOOKUP(ARBETSBLAD!$L$4+SUM($I$52:$I$52),ARBETSBLAD!$I$6:$AF$6,$I$57:$AF$57)</f>
        <v>0</v>
      </c>
      <c r="N44" s="2381">
        <f>LOOKUP(ARBETSBLAD!$L$4+SUM($I$52:M$52),ARBETSBLAD!$I$6:$AF$6,ARBETSBLAD!$I132:$AF132)*LOOKUP(ARBETSBLAD!$L$4+SUM($I$52:$I$52),ARBETSBLAD!$I$6:$AF$6,$I$57:$AF$57)</f>
        <v>0</v>
      </c>
      <c r="O44" s="2381">
        <f>LOOKUP(ARBETSBLAD!$L$4+SUM($I$52:N$52),ARBETSBLAD!$I$6:$AF$6,ARBETSBLAD!$I132:$AF132)*LOOKUP(ARBETSBLAD!$L$4+SUM($I$52:$I$52),ARBETSBLAD!$I$6:$AF$6,$I$57:$AF$57)</f>
        <v>0</v>
      </c>
      <c r="P44" s="2381">
        <f>LOOKUP(ARBETSBLAD!$L$4+SUM($I$52:O$52),ARBETSBLAD!$I$6:$AF$6,ARBETSBLAD!$I132:$AF132)*LOOKUP(ARBETSBLAD!$L$4+SUM($I$52:$I$52),ARBETSBLAD!$I$6:$AF$6,$I$57:$AF$57)</f>
        <v>0</v>
      </c>
      <c r="Q44" s="2381">
        <f>LOOKUP(ARBETSBLAD!$L$4+SUM($I$52:P$52),ARBETSBLAD!$I$6:$AF$6,ARBETSBLAD!$I132:$AF132)*LOOKUP(ARBETSBLAD!$L$4+SUM($I$52:$I$52),ARBETSBLAD!$I$6:$AF$6,$I$57:$AF$57)</f>
        <v>0</v>
      </c>
      <c r="R44" s="2381">
        <f>LOOKUP(ARBETSBLAD!$L$4+SUM($I$52:Q$52),ARBETSBLAD!$I$6:$AF$6,ARBETSBLAD!$I132:$AF132)*LOOKUP(ARBETSBLAD!$L$4+SUM($I$52:$I$52),ARBETSBLAD!$I$6:$AF$6,$I$57:$AF$57)</f>
        <v>0</v>
      </c>
      <c r="S44" s="2381">
        <f>LOOKUP(ARBETSBLAD!$L$4+SUM($I$52:R$52),ARBETSBLAD!$I$6:$AF$6,ARBETSBLAD!$I132:$AF132)*LOOKUP(ARBETSBLAD!$L$4+SUM($I$52:$I$52),ARBETSBLAD!$I$6:$AF$6,$I$57:$AF$57)</f>
        <v>0</v>
      </c>
      <c r="T44" s="2381">
        <f>LOOKUP(ARBETSBLAD!$L$4+SUM($I$52:S$52),ARBETSBLAD!$I$6:$AF$6,ARBETSBLAD!$I132:$AF132)*LOOKUP(ARBETSBLAD!$L$4+SUM($I$52:$I$52),ARBETSBLAD!$I$6:$AF$6,$I$57:$AF$57)</f>
        <v>0</v>
      </c>
      <c r="U44" s="2381">
        <f>LOOKUP(ARBETSBLAD!$L$4+SUM($I$52:T$52),ARBETSBLAD!$I$6:$AF$6,ARBETSBLAD!$I132:$AF132)*LOOKUP(ARBETSBLAD!$L$4+SUM($I$52:$I$52),ARBETSBLAD!$I$6:$AF$6,$I$57:$AF$57)</f>
        <v>0</v>
      </c>
      <c r="V44" s="2381">
        <f>LOOKUP(ARBETSBLAD!$L$4+SUM($I$52:U$52),ARBETSBLAD!$I$6:$AF$6,ARBETSBLAD!$I132:$AF132)*V$53</f>
        <v>0</v>
      </c>
      <c r="W44" s="2381">
        <f>LOOKUP(ARBETSBLAD!$L$4+SUM($I$52:V$52),ARBETSBLAD!$I$6:$AF$6,ARBETSBLAD!$I132:$AF132)*W$53</f>
        <v>0</v>
      </c>
      <c r="X44" s="2381">
        <f>LOOKUP(ARBETSBLAD!$L$4+SUM($I$52:W$52),ARBETSBLAD!$I$6:$AF$6,ARBETSBLAD!$I132:$AF132)*X$53</f>
        <v>0</v>
      </c>
      <c r="Y44" s="2381">
        <f>LOOKUP(ARBETSBLAD!$L$4+SUM($I$52:X$52),ARBETSBLAD!$I$6:$AF$6,ARBETSBLAD!$I132:$AF132)*Y$53</f>
        <v>0</v>
      </c>
      <c r="Z44" s="2381">
        <f>LOOKUP(ARBETSBLAD!$L$4+SUM($I$52:Y$52),ARBETSBLAD!$I$6:$AF$6,ARBETSBLAD!$I132:$AF132)*Z$53</f>
        <v>0</v>
      </c>
      <c r="AA44" s="2381">
        <f>LOOKUP(ARBETSBLAD!$L$4+SUM($I$52:Z$52),ARBETSBLAD!$I$6:$AF$6,ARBETSBLAD!$I132:$AF132)*AA$53</f>
        <v>0</v>
      </c>
      <c r="AB44" s="2381">
        <f>LOOKUP(ARBETSBLAD!$L$4+SUM($I$52:AA$52),ARBETSBLAD!$I$6:$AF$6,ARBETSBLAD!$I132:$AF132)*AB$53</f>
        <v>0</v>
      </c>
      <c r="AC44" s="2381">
        <f>LOOKUP(ARBETSBLAD!$L$4+SUM($I$52:AB$52),ARBETSBLAD!$I$6:$AF$6,ARBETSBLAD!$I132:$AF132)*AC$53</f>
        <v>0</v>
      </c>
      <c r="AD44" s="2381">
        <f>LOOKUP(ARBETSBLAD!$L$4+SUM($I$52:AC$52),ARBETSBLAD!$I$6:$AF$6,ARBETSBLAD!$I132:$AF132)*AD$53</f>
        <v>0</v>
      </c>
      <c r="AE44" s="2381">
        <f>LOOKUP(ARBETSBLAD!$L$4+SUM($I$52:AD$52),ARBETSBLAD!$I$6:$AF$6,ARBETSBLAD!$I132:$AF132)*AE$53</f>
        <v>0</v>
      </c>
      <c r="AF44" s="2381">
        <f>LOOKUP(ARBETSBLAD!$L$4+SUM($I$52:AE$52),ARBETSBLAD!$I$6:$AF$6,ARBETSBLAD!$I132:$AF132)*AF$53</f>
        <v>0</v>
      </c>
      <c r="AG44" s="769"/>
      <c r="AH44" s="1854"/>
      <c r="AI44" s="434"/>
      <c r="AJ44" s="1855"/>
      <c r="AL44" s="1291"/>
      <c r="AM44" s="1292"/>
      <c r="AN44" s="1293"/>
    </row>
    <row r="45" spans="1:40" s="1290" customFormat="1" ht="12.75" hidden="1" customHeight="1">
      <c r="A45" s="1270"/>
      <c r="B45" s="1297" t="str">
        <f>ARBETSBLAD!B133</f>
        <v>Andra övriga kostnader 10</v>
      </c>
      <c r="C45" s="191"/>
      <c r="D45" s="191"/>
      <c r="E45" s="191"/>
      <c r="F45" s="1295"/>
      <c r="G45" s="1296"/>
      <c r="H45" s="191"/>
      <c r="I45" s="2473">
        <f>LOOKUP(ARBETSBLAD!$L$4,ARBETSBLAD!$I$6:$AF$6,ARBETSBLAD!$I133:$AF133)*LOOKUP(ARBETSBLAD!$L$4,ARBETSBLAD!$I$6:$AF$6,$I$57:$AF$57)</f>
        <v>0</v>
      </c>
      <c r="J45" s="2381">
        <f>LOOKUP(ARBETSBLAD!$L$4+SUM($I$52:I$52),ARBETSBLAD!$I$6:$AF$6,ARBETSBLAD!$I133:$AF133)*LOOKUP(ARBETSBLAD!$L$4+SUM($I$52:$I$52),ARBETSBLAD!$I$6:$AF$6,$I$57:$AF$57)</f>
        <v>0</v>
      </c>
      <c r="K45" s="2381">
        <f>LOOKUP(ARBETSBLAD!$L$4+SUM($I$52:J$52),ARBETSBLAD!$I$6:$AF$6,ARBETSBLAD!$I133:$AF133)*LOOKUP(ARBETSBLAD!$L$4+SUM($I$52:$I$52),ARBETSBLAD!$I$6:$AF$6,$I$57:$AF$57)</f>
        <v>0</v>
      </c>
      <c r="L45" s="2381">
        <f>LOOKUP(ARBETSBLAD!$L$4+SUM($I$52:K$52),ARBETSBLAD!$I$6:$AF$6,ARBETSBLAD!$I133:$AF133)*LOOKUP(ARBETSBLAD!$L$4+SUM($I$52:$I$52),ARBETSBLAD!$I$6:$AF$6,$I$57:$AF$57)</f>
        <v>0</v>
      </c>
      <c r="M45" s="2381">
        <f>LOOKUP(ARBETSBLAD!$L$4+SUM($I$52:L$52),ARBETSBLAD!$I$6:$AF$6,ARBETSBLAD!$I133:$AF133)*LOOKUP(ARBETSBLAD!$L$4+SUM($I$52:$I$52),ARBETSBLAD!$I$6:$AF$6,$I$57:$AF$57)</f>
        <v>0</v>
      </c>
      <c r="N45" s="2381">
        <f>LOOKUP(ARBETSBLAD!$L$4+SUM($I$52:M$52),ARBETSBLAD!$I$6:$AF$6,ARBETSBLAD!$I133:$AF133)*LOOKUP(ARBETSBLAD!$L$4+SUM($I$52:$I$52),ARBETSBLAD!$I$6:$AF$6,$I$57:$AF$57)</f>
        <v>0</v>
      </c>
      <c r="O45" s="2381">
        <f>LOOKUP(ARBETSBLAD!$L$4+SUM($I$52:N$52),ARBETSBLAD!$I$6:$AF$6,ARBETSBLAD!$I133:$AF133)*LOOKUP(ARBETSBLAD!$L$4+SUM($I$52:$I$52),ARBETSBLAD!$I$6:$AF$6,$I$57:$AF$57)</f>
        <v>0</v>
      </c>
      <c r="P45" s="2381">
        <f>LOOKUP(ARBETSBLAD!$L$4+SUM($I$52:O$52),ARBETSBLAD!$I$6:$AF$6,ARBETSBLAD!$I133:$AF133)*LOOKUP(ARBETSBLAD!$L$4+SUM($I$52:$I$52),ARBETSBLAD!$I$6:$AF$6,$I$57:$AF$57)</f>
        <v>0</v>
      </c>
      <c r="Q45" s="2381">
        <f>LOOKUP(ARBETSBLAD!$L$4+SUM($I$52:P$52),ARBETSBLAD!$I$6:$AF$6,ARBETSBLAD!$I133:$AF133)*LOOKUP(ARBETSBLAD!$L$4+SUM($I$52:$I$52),ARBETSBLAD!$I$6:$AF$6,$I$57:$AF$57)</f>
        <v>0</v>
      </c>
      <c r="R45" s="2381">
        <f>LOOKUP(ARBETSBLAD!$L$4+SUM($I$52:Q$52),ARBETSBLAD!$I$6:$AF$6,ARBETSBLAD!$I133:$AF133)*LOOKUP(ARBETSBLAD!$L$4+SUM($I$52:$I$52),ARBETSBLAD!$I$6:$AF$6,$I$57:$AF$57)</f>
        <v>0</v>
      </c>
      <c r="S45" s="2381">
        <f>LOOKUP(ARBETSBLAD!$L$4+SUM($I$52:R$52),ARBETSBLAD!$I$6:$AF$6,ARBETSBLAD!$I133:$AF133)*LOOKUP(ARBETSBLAD!$L$4+SUM($I$52:$I$52),ARBETSBLAD!$I$6:$AF$6,$I$57:$AF$57)</f>
        <v>0</v>
      </c>
      <c r="T45" s="2381">
        <f>LOOKUP(ARBETSBLAD!$L$4+SUM($I$52:S$52),ARBETSBLAD!$I$6:$AF$6,ARBETSBLAD!$I133:$AF133)*LOOKUP(ARBETSBLAD!$L$4+SUM($I$52:$I$52),ARBETSBLAD!$I$6:$AF$6,$I$57:$AF$57)</f>
        <v>0</v>
      </c>
      <c r="U45" s="2381">
        <f>LOOKUP(ARBETSBLAD!$L$4+SUM($I$52:T$52),ARBETSBLAD!$I$6:$AF$6,ARBETSBLAD!$I133:$AF133)*LOOKUP(ARBETSBLAD!$L$4+SUM($I$52:$I$52),ARBETSBLAD!$I$6:$AF$6,$I$57:$AF$57)</f>
        <v>0</v>
      </c>
      <c r="V45" s="2381">
        <f>LOOKUP(ARBETSBLAD!$L$4+SUM($I$52:U$52),ARBETSBLAD!$I$6:$AF$6,ARBETSBLAD!$I133:$AF133)*V$53</f>
        <v>0</v>
      </c>
      <c r="W45" s="2381">
        <f>LOOKUP(ARBETSBLAD!$L$4+SUM($I$52:V$52),ARBETSBLAD!$I$6:$AF$6,ARBETSBLAD!$I133:$AF133)*W$53</f>
        <v>0</v>
      </c>
      <c r="X45" s="2381">
        <f>LOOKUP(ARBETSBLAD!$L$4+SUM($I$52:W$52),ARBETSBLAD!$I$6:$AF$6,ARBETSBLAD!$I133:$AF133)*X$53</f>
        <v>0</v>
      </c>
      <c r="Y45" s="2381">
        <f>LOOKUP(ARBETSBLAD!$L$4+SUM($I$52:X$52),ARBETSBLAD!$I$6:$AF$6,ARBETSBLAD!$I133:$AF133)*Y$53</f>
        <v>0</v>
      </c>
      <c r="Z45" s="2381">
        <f>LOOKUP(ARBETSBLAD!$L$4+SUM($I$52:Y$52),ARBETSBLAD!$I$6:$AF$6,ARBETSBLAD!$I133:$AF133)*Z$53</f>
        <v>0</v>
      </c>
      <c r="AA45" s="2381">
        <f>LOOKUP(ARBETSBLAD!$L$4+SUM($I$52:Z$52),ARBETSBLAD!$I$6:$AF$6,ARBETSBLAD!$I133:$AF133)*AA$53</f>
        <v>0</v>
      </c>
      <c r="AB45" s="2381">
        <f>LOOKUP(ARBETSBLAD!$L$4+SUM($I$52:AA$52),ARBETSBLAD!$I$6:$AF$6,ARBETSBLAD!$I133:$AF133)*AB$53</f>
        <v>0</v>
      </c>
      <c r="AC45" s="2381">
        <f>LOOKUP(ARBETSBLAD!$L$4+SUM($I$52:AB$52),ARBETSBLAD!$I$6:$AF$6,ARBETSBLAD!$I133:$AF133)*AC$53</f>
        <v>0</v>
      </c>
      <c r="AD45" s="2381">
        <f>LOOKUP(ARBETSBLAD!$L$4+SUM($I$52:AC$52),ARBETSBLAD!$I$6:$AF$6,ARBETSBLAD!$I133:$AF133)*AD$53</f>
        <v>0</v>
      </c>
      <c r="AE45" s="2381">
        <f>LOOKUP(ARBETSBLAD!$L$4+SUM($I$52:AD$52),ARBETSBLAD!$I$6:$AF$6,ARBETSBLAD!$I133:$AF133)*AE$53</f>
        <v>0</v>
      </c>
      <c r="AF45" s="2381">
        <f>LOOKUP(ARBETSBLAD!$L$4+SUM($I$52:AE$52),ARBETSBLAD!$I$6:$AF$6,ARBETSBLAD!$I133:$AF133)*AF$53</f>
        <v>0</v>
      </c>
      <c r="AG45" s="769"/>
      <c r="AH45" s="1854"/>
      <c r="AI45" s="434"/>
      <c r="AJ45" s="1855"/>
      <c r="AL45" s="1291"/>
      <c r="AM45" s="1292"/>
      <c r="AN45" s="1293"/>
    </row>
    <row r="46" spans="1:40" s="1290" customFormat="1" ht="12.75" hidden="1" customHeight="1">
      <c r="A46" s="1270"/>
      <c r="B46" s="1294" t="s">
        <v>174</v>
      </c>
      <c r="C46" s="191"/>
      <c r="D46" s="191"/>
      <c r="E46" s="191"/>
      <c r="F46" s="1295"/>
      <c r="G46" s="1296"/>
      <c r="H46" s="191"/>
      <c r="I46" s="1876">
        <f>LOOKUP(ARBETSBLAD!$L$4,ARBETSBLAD!$I$6:$AF$6,ARBETSBLAD!$I134:$AF134)*LOOKUP(ARBETSBLAD!$L$4,ARBETSBLAD!$I$6:$AF$6,$I$57:$AF$57)+LOOKUP(ARBETSBLAD!$L$4,ARBETSBLAD!$I$6:$AF$6,ARBETSBLAD!$I135:$AF135)*LOOKUP(ARBETSBLAD!$L$4,ARBETSBLAD!$I$6:$AF$6,$I$57:$AF$57)</f>
        <v>0</v>
      </c>
      <c r="J46" s="384">
        <f>LOOKUP(ARBETSBLAD!$L$4+SUM($I$52:I$52),ARBETSBLAD!$I$6:$AF$6,ARBETSBLAD!$I134:$AF134)*LOOKUP(ARBETSBLAD!$L$4+SUM($I$52:$I$52),ARBETSBLAD!$I$6:$AF$6,$I$57:$AF$57)+LOOKUP(ARBETSBLAD!$L$4+SUM($I$52:I$52),ARBETSBLAD!$I$6:$AF$6,ARBETSBLAD!$I135:$AF135)*LOOKUP(ARBETSBLAD!$L$4+SUM($I$52:$I$52),ARBETSBLAD!$I$6:$AF$6,$I$57:$AF$57)</f>
        <v>0</v>
      </c>
      <c r="K46" s="384">
        <f>LOOKUP(ARBETSBLAD!$L$4+SUM($I$52:J$52),ARBETSBLAD!$I$6:$AF$6,ARBETSBLAD!$I134:$AF134)*LOOKUP(ARBETSBLAD!$L$4+SUM($I$52:$I$52),ARBETSBLAD!$I$6:$AF$6,$I$57:$AF$57)+LOOKUP(ARBETSBLAD!$L$4+SUM($I$52:J$52),ARBETSBLAD!$I$6:$AF$6,ARBETSBLAD!$I135:$AF135)*LOOKUP(ARBETSBLAD!$L$4+SUM($I$52:$I$52),ARBETSBLAD!$I$6:$AF$6,$I$57:$AF$57)</f>
        <v>0</v>
      </c>
      <c r="L46" s="384">
        <f>LOOKUP(ARBETSBLAD!$L$4+SUM($I$52:K$52),ARBETSBLAD!$I$6:$AF$6,ARBETSBLAD!$I134:$AF134)*LOOKUP(ARBETSBLAD!$L$4+SUM($I$52:$I$52),ARBETSBLAD!$I$6:$AF$6,$I$57:$AF$57)+LOOKUP(ARBETSBLAD!$L$4+SUM($I$52:K$52),ARBETSBLAD!$I$6:$AF$6,ARBETSBLAD!$I135:$AF135)*LOOKUP(ARBETSBLAD!$L$4+SUM($I$52:$I$52),ARBETSBLAD!$I$6:$AF$6,$I$57:$AF$57)</f>
        <v>0</v>
      </c>
      <c r="M46" s="384">
        <f>LOOKUP(ARBETSBLAD!$L$4+SUM($I$52:L$52),ARBETSBLAD!$I$6:$AF$6,ARBETSBLAD!$I134:$AF134)*LOOKUP(ARBETSBLAD!$L$4+SUM($I$52:$I$52),ARBETSBLAD!$I$6:$AF$6,$I$57:$AF$57)+LOOKUP(ARBETSBLAD!$L$4+SUM($I$52:L$52),ARBETSBLAD!$I$6:$AF$6,ARBETSBLAD!$I135:$AF135)*LOOKUP(ARBETSBLAD!$L$4+SUM($I$52:$I$52),ARBETSBLAD!$I$6:$AF$6,$I$57:$AF$57)</f>
        <v>0</v>
      </c>
      <c r="N46" s="384">
        <f>LOOKUP(ARBETSBLAD!$L$4+SUM($I$52:M$52),ARBETSBLAD!$I$6:$AF$6,ARBETSBLAD!$I134:$AF134)*LOOKUP(ARBETSBLAD!$L$4+SUM($I$52:$I$52),ARBETSBLAD!$I$6:$AF$6,$I$57:$AF$57)+LOOKUP(ARBETSBLAD!$L$4+SUM($I$52:M$52),ARBETSBLAD!$I$6:$AF$6,ARBETSBLAD!$I135:$AF135)*LOOKUP(ARBETSBLAD!$L$4+SUM($I$52:$I$52),ARBETSBLAD!$I$6:$AF$6,$I$57:$AF$57)</f>
        <v>0</v>
      </c>
      <c r="O46" s="384">
        <f>LOOKUP(ARBETSBLAD!$L$4+SUM($I$52:N$52),ARBETSBLAD!$I$6:$AF$6,ARBETSBLAD!$I134:$AF134)*LOOKUP(ARBETSBLAD!$L$4+SUM($I$52:$I$52),ARBETSBLAD!$I$6:$AF$6,$I$57:$AF$57)+LOOKUP(ARBETSBLAD!$L$4+SUM($I$52:N$52),ARBETSBLAD!$I$6:$AF$6,ARBETSBLAD!$I135:$AF135)*LOOKUP(ARBETSBLAD!$L$4+SUM($I$52:$I$52),ARBETSBLAD!$I$6:$AF$6,$I$57:$AF$57)</f>
        <v>0</v>
      </c>
      <c r="P46" s="384">
        <f>LOOKUP(ARBETSBLAD!$L$4+SUM($I$52:O$52),ARBETSBLAD!$I$6:$AF$6,ARBETSBLAD!$I134:$AF134)*LOOKUP(ARBETSBLAD!$L$4+SUM($I$52:$I$52),ARBETSBLAD!$I$6:$AF$6,$I$57:$AF$57)+LOOKUP(ARBETSBLAD!$L$4+SUM($I$52:O$52),ARBETSBLAD!$I$6:$AF$6,ARBETSBLAD!$I135:$AF135)*LOOKUP(ARBETSBLAD!$L$4+SUM($I$52:$I$52),ARBETSBLAD!$I$6:$AF$6,$I$57:$AF$57)</f>
        <v>0</v>
      </c>
      <c r="Q46" s="384">
        <f>LOOKUP(ARBETSBLAD!$L$4+SUM($I$52:P$52),ARBETSBLAD!$I$6:$AF$6,ARBETSBLAD!$I134:$AF134)*LOOKUP(ARBETSBLAD!$L$4+SUM($I$52:$I$52),ARBETSBLAD!$I$6:$AF$6,$I$57:$AF$57)+LOOKUP(ARBETSBLAD!$L$4+SUM($I$52:P$52),ARBETSBLAD!$I$6:$AF$6,ARBETSBLAD!$I135:$AF135)*LOOKUP(ARBETSBLAD!$L$4+SUM($I$52:$I$52),ARBETSBLAD!$I$6:$AF$6,$I$57:$AF$57)</f>
        <v>0</v>
      </c>
      <c r="R46" s="384">
        <f>LOOKUP(ARBETSBLAD!$L$4+SUM($I$52:Q$52),ARBETSBLAD!$I$6:$AF$6,ARBETSBLAD!$I134:$AF134)*LOOKUP(ARBETSBLAD!$L$4+SUM($I$52:$I$52),ARBETSBLAD!$I$6:$AF$6,$I$57:$AF$57)+LOOKUP(ARBETSBLAD!$L$4+SUM($I$52:Q$52),ARBETSBLAD!$I$6:$AF$6,ARBETSBLAD!$I135:$AF135)*LOOKUP(ARBETSBLAD!$L$4+SUM($I$52:$I$52),ARBETSBLAD!$I$6:$AF$6,$I$57:$AF$57)</f>
        <v>0</v>
      </c>
      <c r="S46" s="384">
        <f>LOOKUP(ARBETSBLAD!$L$4+SUM($I$52:R$52),ARBETSBLAD!$I$6:$AF$6,ARBETSBLAD!$I134:$AF134)*LOOKUP(ARBETSBLAD!$L$4+SUM($I$52:$I$52),ARBETSBLAD!$I$6:$AF$6,$I$57:$AF$57)+LOOKUP(ARBETSBLAD!$L$4+SUM($I$52:R$52),ARBETSBLAD!$I$6:$AF$6,ARBETSBLAD!$I135:$AF135)*LOOKUP(ARBETSBLAD!$L$4+SUM($I$52:$I$52),ARBETSBLAD!$I$6:$AF$6,$I$57:$AF$57)</f>
        <v>0</v>
      </c>
      <c r="T46" s="384">
        <f>LOOKUP(ARBETSBLAD!$L$4+SUM($I$52:S$52),ARBETSBLAD!$I$6:$AF$6,ARBETSBLAD!$I134:$AF134)*LOOKUP(ARBETSBLAD!$L$4+SUM($I$52:$I$52),ARBETSBLAD!$I$6:$AF$6,$I$57:$AF$57)+LOOKUP(ARBETSBLAD!$L$4+SUM($I$52:S$52),ARBETSBLAD!$I$6:$AF$6,ARBETSBLAD!$I135:$AF135)*LOOKUP(ARBETSBLAD!$L$4+SUM($I$52:$I$52),ARBETSBLAD!$I$6:$AF$6,$I$57:$AF$57)</f>
        <v>0</v>
      </c>
      <c r="U46" s="384">
        <f>LOOKUP(ARBETSBLAD!$L$4+SUM($I$52:T$52),ARBETSBLAD!$I$6:$AF$6,ARBETSBLAD!$I134:$AF134)*LOOKUP(ARBETSBLAD!$L$4+SUM($I$52:$I$52),ARBETSBLAD!$I$6:$AF$6,$I$57:$AF$57)+LOOKUP(ARBETSBLAD!$L$4+SUM($I$52:T$52),ARBETSBLAD!$I$6:$AF$6,ARBETSBLAD!$I135:$AF135)*LOOKUP(ARBETSBLAD!$L$4+SUM($I$52:$I$52),ARBETSBLAD!$I$6:$AF$6,$I$57:$AF$57)</f>
        <v>0</v>
      </c>
      <c r="V46" s="384">
        <f>LOOKUP(ARBETSBLAD!$L$4+SUM($I$52:U$52),ARBETSBLAD!$I$6:$AF$6,ARBETSBLAD!$I134:$AF134)*LOOKUP(ARBETSBLAD!$L$4+SUM($I$52:$I$52),ARBETSBLAD!$I$6:$AF$6,$I$57:$AF$57)*V53+LOOKUP(ARBETSBLAD!$L$4+SUM($I$52:U$52),ARBETSBLAD!$I$6:$AF$6,ARBETSBLAD!$I135:$AF135)*LOOKUP(ARBETSBLAD!$L$4+SUM($I$52:$I$52),ARBETSBLAD!$I$6:$AF$6,$I$57:$AF$57)*V53</f>
        <v>0</v>
      </c>
      <c r="W46" s="384">
        <f>LOOKUP(ARBETSBLAD!$L$4+SUM($I$52:V$52),ARBETSBLAD!$I$6:$AF$6,ARBETSBLAD!$I134:$AF134)*LOOKUP(ARBETSBLAD!$L$4+SUM($I$52:$I$52),ARBETSBLAD!$I$6:$AF$6,$I$57:$AF$57)*W53+LOOKUP(ARBETSBLAD!$L$4+SUM($I$52:V$52),ARBETSBLAD!$I$6:$AF$6,ARBETSBLAD!$I135:$AF135)*LOOKUP(ARBETSBLAD!$L$4+SUM($I$52:$I$52),ARBETSBLAD!$I$6:$AF$6,$I$57:$AF$57)*W53</f>
        <v>0</v>
      </c>
      <c r="X46" s="384">
        <f>LOOKUP(ARBETSBLAD!$L$4+SUM($I$52:W$52),ARBETSBLAD!$I$6:$AF$6,ARBETSBLAD!$I134:$AF134)*LOOKUP(ARBETSBLAD!$L$4+SUM($I$52:$I$52),ARBETSBLAD!$I$6:$AF$6,$I$57:$AF$57)*X53+LOOKUP(ARBETSBLAD!$L$4+SUM($I$52:W$52),ARBETSBLAD!$I$6:$AF$6,ARBETSBLAD!$I135:$AF135)*LOOKUP(ARBETSBLAD!$L$4+SUM($I$52:$I$52),ARBETSBLAD!$I$6:$AF$6,$I$57:$AF$57)*X53</f>
        <v>0</v>
      </c>
      <c r="Y46" s="384">
        <f>LOOKUP(ARBETSBLAD!$L$4+SUM($I$52:X$52),ARBETSBLAD!$I$6:$AF$6,ARBETSBLAD!$I134:$AF134)*LOOKUP(ARBETSBLAD!$L$4+SUM($I$52:$I$52),ARBETSBLAD!$I$6:$AF$6,$I$57:$AF$57)*Y53+LOOKUP(ARBETSBLAD!$L$4+SUM($I$52:X$52),ARBETSBLAD!$I$6:$AF$6,ARBETSBLAD!$I135:$AF135)*LOOKUP(ARBETSBLAD!$L$4+SUM($I$52:$I$52),ARBETSBLAD!$I$6:$AF$6,$I$57:$AF$57)*Y53</f>
        <v>0</v>
      </c>
      <c r="Z46" s="384">
        <f>LOOKUP(ARBETSBLAD!$L$4+SUM($I$52:Y$52),ARBETSBLAD!$I$6:$AF$6,ARBETSBLAD!$I134:$AF134)*LOOKUP(ARBETSBLAD!$L$4+SUM($I$52:$I$52),ARBETSBLAD!$I$6:$AF$6,$I$57:$AF$57)*Z53+LOOKUP(ARBETSBLAD!$L$4+SUM($I$52:Y$52),ARBETSBLAD!$I$6:$AF$6,ARBETSBLAD!$I135:$AF135)*LOOKUP(ARBETSBLAD!$L$4+SUM($I$52:$I$52),ARBETSBLAD!$I$6:$AF$6,$I$57:$AF$57)*Z53</f>
        <v>0</v>
      </c>
      <c r="AA46" s="384">
        <f>LOOKUP(ARBETSBLAD!$L$4+SUM($I$52:Z$52),ARBETSBLAD!$I$6:$AF$6,ARBETSBLAD!$I134:$AF134)*LOOKUP(ARBETSBLAD!$L$4+SUM($I$52:$I$52),ARBETSBLAD!$I$6:$AF$6,$I$57:$AF$57)*AA53+LOOKUP(ARBETSBLAD!$L$4+SUM($I$52:Z$52),ARBETSBLAD!$I$6:$AF$6,ARBETSBLAD!$I135:$AF135)*LOOKUP(ARBETSBLAD!$L$4+SUM($I$52:$I$52),ARBETSBLAD!$I$6:$AF$6,$I$57:$AF$57)*AA53</f>
        <v>0</v>
      </c>
      <c r="AB46" s="384">
        <f>LOOKUP(ARBETSBLAD!$L$4+SUM($I$52:AA$52),ARBETSBLAD!$I$6:$AF$6,ARBETSBLAD!$I134:$AF134)*LOOKUP(ARBETSBLAD!$L$4+SUM($I$52:$I$52),ARBETSBLAD!$I$6:$AF$6,$I$57:$AF$57)*AB53+LOOKUP(ARBETSBLAD!$L$4+SUM($I$52:AA$52),ARBETSBLAD!$I$6:$AF$6,ARBETSBLAD!$I135:$AF135)*LOOKUP(ARBETSBLAD!$L$4+SUM($I$52:$I$52),ARBETSBLAD!$I$6:$AF$6,$I$57:$AF$57)*AB53</f>
        <v>0</v>
      </c>
      <c r="AC46" s="384">
        <f>LOOKUP(ARBETSBLAD!$L$4+SUM($I$52:AB$52),ARBETSBLAD!$I$6:$AF$6,ARBETSBLAD!$I134:$AF134)*LOOKUP(ARBETSBLAD!$L$4+SUM($I$52:$I$52),ARBETSBLAD!$I$6:$AF$6,$I$57:$AF$57)*AC53+LOOKUP(ARBETSBLAD!$L$4+SUM($I$52:AB$52),ARBETSBLAD!$I$6:$AF$6,ARBETSBLAD!$I135:$AF135)*LOOKUP(ARBETSBLAD!$L$4+SUM($I$52:$I$52),ARBETSBLAD!$I$6:$AF$6,$I$57:$AF$57)*AC53</f>
        <v>0</v>
      </c>
      <c r="AD46" s="384">
        <f>LOOKUP(ARBETSBLAD!$L$4+SUM($I$52:AC$52),ARBETSBLAD!$I$6:$AF$6,ARBETSBLAD!$I134:$AF134)*LOOKUP(ARBETSBLAD!$L$4+SUM($I$52:$I$52),ARBETSBLAD!$I$6:$AF$6,$I$57:$AF$57)*AD53+LOOKUP(ARBETSBLAD!$L$4+SUM($I$52:AC$52),ARBETSBLAD!$I$6:$AF$6,ARBETSBLAD!$I135:$AF135)*LOOKUP(ARBETSBLAD!$L$4+SUM($I$52:$I$52),ARBETSBLAD!$I$6:$AF$6,$I$57:$AF$57)*AD53</f>
        <v>0</v>
      </c>
      <c r="AE46" s="384">
        <f>LOOKUP(ARBETSBLAD!$L$4+SUM($I$52:AD$52),ARBETSBLAD!$I$6:$AF$6,ARBETSBLAD!$I134:$AF134)*LOOKUP(ARBETSBLAD!$L$4+SUM($I$52:$I$52),ARBETSBLAD!$I$6:$AF$6,$I$57:$AF$57)*AE53+LOOKUP(ARBETSBLAD!$L$4+SUM($I$52:AD$52),ARBETSBLAD!$I$6:$AF$6,ARBETSBLAD!$I135:$AF135)*LOOKUP(ARBETSBLAD!$L$4+SUM($I$52:$I$52),ARBETSBLAD!$I$6:$AF$6,$I$57:$AF$57)*AE53</f>
        <v>0</v>
      </c>
      <c r="AF46" s="384">
        <f>LOOKUP(ARBETSBLAD!$L$4+SUM($I$52:AE$52),ARBETSBLAD!$I$6:$AF$6,ARBETSBLAD!$I134:$AF134)*LOOKUP(ARBETSBLAD!$L$4+SUM($I$52:$I$52),ARBETSBLAD!$I$6:$AF$6,$I$57:$AF$57)*AF53+LOOKUP(ARBETSBLAD!$L$4+SUM($I$52:AE$52),ARBETSBLAD!$I$6:$AF$6,ARBETSBLAD!$I135:$AF135)*LOOKUP(ARBETSBLAD!$L$4+SUM($I$52:$I$52),ARBETSBLAD!$I$6:$AF$6,$I$57:$AF$57)*AF53</f>
        <v>0</v>
      </c>
      <c r="AG46" s="769"/>
      <c r="AH46" s="767">
        <f t="shared" ref="AH46:AH51" si="3">IF($C$57=1,SUMIF(I$57:T$57,1,I46:T46),IF($C$57=2,SUMIF(O$57:AF$57,1,O46:AF46)))</f>
        <v>0</v>
      </c>
      <c r="AI46" s="434"/>
      <c r="AJ46" s="768">
        <f t="shared" ref="AJ46:AJ51" si="4">IF($C$57=1,SUM(U46:AF46),0)</f>
        <v>0</v>
      </c>
      <c r="AL46" s="1291"/>
      <c r="AM46" s="1292"/>
      <c r="AN46" s="1293"/>
    </row>
    <row r="47" spans="1:40" s="1290" customFormat="1" ht="12.75" hidden="1" customHeight="1">
      <c r="A47" s="1270"/>
      <c r="B47" s="1297" t="s">
        <v>390</v>
      </c>
      <c r="C47" s="191"/>
      <c r="D47" s="191"/>
      <c r="E47" s="191"/>
      <c r="F47" s="1295"/>
      <c r="G47" s="1296"/>
      <c r="H47" s="191"/>
      <c r="I47" s="381">
        <f>LOOKUP(ARBETSBLAD!$L$4,ARBETSBLAD!$I$6:$AF$6,ARBETSBLAD!$I156:$AF156)</f>
        <v>0</v>
      </c>
      <c r="J47" s="381">
        <f>LOOKUP(ARBETSBLAD!$L$4+SUM($I$52:I$52),ARBETSBLAD!$I$6:$AF$6,ARBETSBLAD!$I156:$AF156)</f>
        <v>0</v>
      </c>
      <c r="K47" s="381">
        <f>LOOKUP(ARBETSBLAD!$L$4+SUM($I$52:J$52),ARBETSBLAD!$I$6:$AF$6,ARBETSBLAD!$I156:$AF156)</f>
        <v>0</v>
      </c>
      <c r="L47" s="381">
        <f>LOOKUP(ARBETSBLAD!$L$4+SUM($I$52:K$52),ARBETSBLAD!$I$6:$AF$6,ARBETSBLAD!$I156:$AF156)</f>
        <v>0</v>
      </c>
      <c r="M47" s="381">
        <f>LOOKUP(ARBETSBLAD!$L$4+SUM($I$52:L$52),ARBETSBLAD!$I$6:$AF$6,ARBETSBLAD!$I156:$AF156)</f>
        <v>0</v>
      </c>
      <c r="N47" s="381">
        <f>LOOKUP(ARBETSBLAD!$L$4+SUM($I$52:M$52),ARBETSBLAD!$I$6:$AF$6,ARBETSBLAD!$I156:$AF156)</f>
        <v>0</v>
      </c>
      <c r="O47" s="381">
        <f>LOOKUP(ARBETSBLAD!$L$4+SUM($I$52:N$52),ARBETSBLAD!$I$6:$AF$6,ARBETSBLAD!$I156:$AF156)</f>
        <v>0</v>
      </c>
      <c r="P47" s="381">
        <f>LOOKUP(ARBETSBLAD!$L$4+SUM($I$52:O$52),ARBETSBLAD!$I$6:$AF$6,ARBETSBLAD!$I156:$AF156)</f>
        <v>0</v>
      </c>
      <c r="Q47" s="381">
        <f>LOOKUP(ARBETSBLAD!$L$4+SUM($I$52:P$52),ARBETSBLAD!$I$6:$AF$6,ARBETSBLAD!$I156:$AF156)</f>
        <v>0</v>
      </c>
      <c r="R47" s="381">
        <f>LOOKUP(ARBETSBLAD!$L$4+SUM($I$52:Q$52),ARBETSBLAD!$I$6:$AF$6,ARBETSBLAD!$I156:$AF156)</f>
        <v>0</v>
      </c>
      <c r="S47" s="381">
        <f>LOOKUP(ARBETSBLAD!$L$4+SUM($I$52:R$52),ARBETSBLAD!$I$6:$AF$6,ARBETSBLAD!$I156:$AF156)</f>
        <v>0</v>
      </c>
      <c r="T47" s="381">
        <f>LOOKUP(ARBETSBLAD!$L$4+SUM($I$52:S$52),ARBETSBLAD!$I$6:$AF$6,ARBETSBLAD!$I156:$AF156)</f>
        <v>0</v>
      </c>
      <c r="U47" s="381">
        <f>LOOKUP(ARBETSBLAD!$L$4+SUM($I$52:T$52),ARBETSBLAD!$I$6:$AF$6,ARBETSBLAD!$I156:$AF156)</f>
        <v>0</v>
      </c>
      <c r="V47" s="381">
        <f>LOOKUP(ARBETSBLAD!$L$4+SUM($I$52:U$52),ARBETSBLAD!$I$6:$AF$6,ARBETSBLAD!$I156:$AF156)*V53</f>
        <v>0</v>
      </c>
      <c r="W47" s="381">
        <f>LOOKUP(ARBETSBLAD!$L$4+SUM($I$52:V$52),ARBETSBLAD!$I$6:$AF$6,ARBETSBLAD!$I156:$AF156)*W53</f>
        <v>0</v>
      </c>
      <c r="X47" s="381">
        <f>LOOKUP(ARBETSBLAD!$L$4+SUM($I$52:W$52),ARBETSBLAD!$I$6:$AF$6,ARBETSBLAD!$I156:$AF156)*X53</f>
        <v>0</v>
      </c>
      <c r="Y47" s="381">
        <f>LOOKUP(ARBETSBLAD!$L$4+SUM($I$52:X$52),ARBETSBLAD!$I$6:$AF$6,ARBETSBLAD!$I156:$AF156)*Y53</f>
        <v>0</v>
      </c>
      <c r="Z47" s="381">
        <f>LOOKUP(ARBETSBLAD!$L$4+SUM($I$52:Y$52),ARBETSBLAD!$I$6:$AF$6,ARBETSBLAD!$I156:$AF156)*Z53</f>
        <v>0</v>
      </c>
      <c r="AA47" s="381">
        <f>LOOKUP(ARBETSBLAD!$L$4+SUM($I$52:Z$52),ARBETSBLAD!$I$6:$AF$6,ARBETSBLAD!$I156:$AF156)*AA53</f>
        <v>0</v>
      </c>
      <c r="AB47" s="381">
        <f>LOOKUP(ARBETSBLAD!$L$4+SUM($I$52:AA$52),ARBETSBLAD!$I$6:$AF$6,ARBETSBLAD!$I156:$AF156)*AB53</f>
        <v>0</v>
      </c>
      <c r="AC47" s="381">
        <f>LOOKUP(ARBETSBLAD!$L$4+SUM($I$52:AB$52),ARBETSBLAD!$I$6:$AF$6,ARBETSBLAD!$I156:$AF156)*AC53</f>
        <v>0</v>
      </c>
      <c r="AD47" s="381">
        <f>LOOKUP(ARBETSBLAD!$L$4+SUM($I$52:AC$52),ARBETSBLAD!$I$6:$AF$6,ARBETSBLAD!$I156:$AF156)*AD53</f>
        <v>0</v>
      </c>
      <c r="AE47" s="381">
        <f>LOOKUP(ARBETSBLAD!$L$4+SUM($I$52:AD$52),ARBETSBLAD!$I$6:$AF$6,ARBETSBLAD!$I156:$AF156)*AE53</f>
        <v>0</v>
      </c>
      <c r="AF47" s="381">
        <f>LOOKUP(ARBETSBLAD!$L$4+SUM($I$52:AE$52),ARBETSBLAD!$I$6:$AF$6,ARBETSBLAD!$I156:$AF156)*AF53</f>
        <v>0</v>
      </c>
      <c r="AG47" s="769"/>
      <c r="AH47" s="767">
        <f t="shared" si="3"/>
        <v>0</v>
      </c>
      <c r="AI47" s="434"/>
      <c r="AJ47" s="768">
        <f t="shared" si="4"/>
        <v>0</v>
      </c>
      <c r="AL47" s="1291"/>
      <c r="AM47" s="1292"/>
      <c r="AN47" s="1293"/>
    </row>
    <row r="48" spans="1:40" s="1290" customFormat="1" ht="12.75" hidden="1" customHeight="1">
      <c r="A48" s="1270"/>
      <c r="B48" s="1297" t="s">
        <v>391</v>
      </c>
      <c r="C48" s="191"/>
      <c r="D48" s="191"/>
      <c r="E48" s="191"/>
      <c r="F48" s="1295"/>
      <c r="G48" s="1296"/>
      <c r="H48" s="191"/>
      <c r="I48" s="382">
        <f>LOOKUP(ARBETSBLAD!$L$4,ARBETSBLAD!$I$6:$AF$6,$I341:$AF341)</f>
        <v>0</v>
      </c>
      <c r="J48" s="382">
        <f>LOOKUP(ARBETSBLAD!$L$4+SUM($I$52:I$52),ARBETSBLAD!$I$6:$AF$6,$I341:$AF341)</f>
        <v>0</v>
      </c>
      <c r="K48" s="382">
        <f ca="1">LOOKUP(ARBETSBLAD!$L$4+SUM($I$52:J$52),ARBETSBLAD!$I$6:$AF$6,$I341:$AF341)</f>
        <v>0</v>
      </c>
      <c r="L48" s="382">
        <f ca="1">LOOKUP(ARBETSBLAD!$L$4+SUM($I$52:K$52),ARBETSBLAD!$I$6:$AF$6,$I341:$AF341)</f>
        <v>0</v>
      </c>
      <c r="M48" s="382">
        <f ca="1">LOOKUP(ARBETSBLAD!$L$4+SUM($I$52:L$52),ARBETSBLAD!$I$6:$AF$6,$I341:$AF341)</f>
        <v>0</v>
      </c>
      <c r="N48" s="382">
        <f ca="1">LOOKUP(ARBETSBLAD!$L$4+SUM($I$52:M$52),ARBETSBLAD!$I$6:$AF$6,$I341:$AF341)</f>
        <v>0</v>
      </c>
      <c r="O48" s="382">
        <f ca="1">LOOKUP(ARBETSBLAD!$L$4+SUM($I$52:N$52),ARBETSBLAD!$I$6:$AF$6,$I341:$AF341)</f>
        <v>0</v>
      </c>
      <c r="P48" s="382">
        <f ca="1">LOOKUP(ARBETSBLAD!$L$4+SUM($I$52:O$52),ARBETSBLAD!$I$6:$AF$6,$I341:$AF341)</f>
        <v>0</v>
      </c>
      <c r="Q48" s="382">
        <f ca="1">LOOKUP(ARBETSBLAD!$L$4+SUM($I$52:P$52),ARBETSBLAD!$I$6:$AF$6,$I341:$AF341)</f>
        <v>0</v>
      </c>
      <c r="R48" s="382">
        <f ca="1">LOOKUP(ARBETSBLAD!$L$4+SUM($I$52:Q$52),ARBETSBLAD!$I$6:$AF$6,$I341:$AF341)</f>
        <v>0</v>
      </c>
      <c r="S48" s="382">
        <f ca="1">LOOKUP(ARBETSBLAD!$L$4+SUM($I$52:R$52),ARBETSBLAD!$I$6:$AF$6,$I341:$AF341)</f>
        <v>0</v>
      </c>
      <c r="T48" s="382">
        <f ca="1">LOOKUP(ARBETSBLAD!$L$4+SUM($I$52:S$52),ARBETSBLAD!$I$6:$AF$6,$I341:$AF341)</f>
        <v>0</v>
      </c>
      <c r="U48" s="382">
        <f ca="1">LOOKUP(ARBETSBLAD!$L$4+SUM($I$52:T$52),ARBETSBLAD!$I$6:$AF$6,$I341:$AF341)</f>
        <v>0</v>
      </c>
      <c r="V48" s="382">
        <f ca="1">LOOKUP(ARBETSBLAD!$L$4+SUM($I$52:U$52),ARBETSBLAD!$I$6:$AF$6,$I341:$AF341)*V53</f>
        <v>0</v>
      </c>
      <c r="W48" s="382">
        <f ca="1">LOOKUP(ARBETSBLAD!$L$4+SUM($I$52:V$52),ARBETSBLAD!$I$6:$AF$6,$I341:$AF341)*W53</f>
        <v>0</v>
      </c>
      <c r="X48" s="382">
        <f ca="1">LOOKUP(ARBETSBLAD!$L$4+SUM($I$52:W$52),ARBETSBLAD!$I$6:$AF$6,$I341:$AF341)*X53</f>
        <v>0</v>
      </c>
      <c r="Y48" s="382">
        <f ca="1">LOOKUP(ARBETSBLAD!$L$4+SUM($I$52:X$52),ARBETSBLAD!$I$6:$AF$6,$I341:$AF341)*Y53</f>
        <v>0</v>
      </c>
      <c r="Z48" s="382">
        <f ca="1">LOOKUP(ARBETSBLAD!$L$4+SUM($I$52:Y$52),ARBETSBLAD!$I$6:$AF$6,$I341:$AF341)*Z53</f>
        <v>0</v>
      </c>
      <c r="AA48" s="382">
        <f ca="1">LOOKUP(ARBETSBLAD!$L$4+SUM($I$52:Z$52),ARBETSBLAD!$I$6:$AF$6,$I341:$AF341)*AA53</f>
        <v>0</v>
      </c>
      <c r="AB48" s="382">
        <f ca="1">LOOKUP(ARBETSBLAD!$L$4+SUM($I$52:AA$52),ARBETSBLAD!$I$6:$AF$6,$I341:$AF341)*AB53</f>
        <v>0</v>
      </c>
      <c r="AC48" s="382">
        <f ca="1">LOOKUP(ARBETSBLAD!$L$4+SUM($I$52:AB$52),ARBETSBLAD!$I$6:$AF$6,$I341:$AF341)*AC53</f>
        <v>0</v>
      </c>
      <c r="AD48" s="382">
        <f ca="1">LOOKUP(ARBETSBLAD!$L$4+SUM($I$52:AC$52),ARBETSBLAD!$I$6:$AF$6,$I341:$AF341)*AD53</f>
        <v>0</v>
      </c>
      <c r="AE48" s="382">
        <f ca="1">LOOKUP(ARBETSBLAD!$L$4+SUM($I$52:AD$52),ARBETSBLAD!$I$6:$AF$6,$I341:$AF341)*AE53</f>
        <v>0</v>
      </c>
      <c r="AF48" s="382">
        <f ca="1">LOOKUP(ARBETSBLAD!$L$4+SUM($I$52:AE$52),ARBETSBLAD!$I$6:$AF$6,$I341:$AF341)*AF53</f>
        <v>0</v>
      </c>
      <c r="AG48" s="769"/>
      <c r="AH48" s="767">
        <f t="shared" ca="1" si="3"/>
        <v>0</v>
      </c>
      <c r="AI48" s="434"/>
      <c r="AJ48" s="768">
        <f t="shared" ca="1" si="4"/>
        <v>0</v>
      </c>
      <c r="AL48" s="1291"/>
      <c r="AM48" s="1292"/>
      <c r="AN48" s="1293"/>
    </row>
    <row r="49" spans="1:42" s="1290" customFormat="1" ht="12.75" hidden="1" customHeight="1">
      <c r="A49" s="1270"/>
      <c r="B49" s="1294" t="s">
        <v>350</v>
      </c>
      <c r="C49" s="191"/>
      <c r="D49" s="191"/>
      <c r="E49" s="191"/>
      <c r="F49" s="1295"/>
      <c r="G49" s="1296"/>
      <c r="H49" s="191"/>
      <c r="I49" s="381">
        <f t="shared" ref="I49:U49" si="5">SUM(I47:I48)</f>
        <v>0</v>
      </c>
      <c r="J49" s="381">
        <f t="shared" si="5"/>
        <v>0</v>
      </c>
      <c r="K49" s="381">
        <f t="shared" ca="1" si="5"/>
        <v>0</v>
      </c>
      <c r="L49" s="381">
        <f t="shared" ca="1" si="5"/>
        <v>0</v>
      </c>
      <c r="M49" s="381">
        <f t="shared" ca="1" si="5"/>
        <v>0</v>
      </c>
      <c r="N49" s="381">
        <f t="shared" ca="1" si="5"/>
        <v>0</v>
      </c>
      <c r="O49" s="381">
        <f t="shared" ca="1" si="5"/>
        <v>0</v>
      </c>
      <c r="P49" s="381">
        <f t="shared" ca="1" si="5"/>
        <v>0</v>
      </c>
      <c r="Q49" s="381">
        <f t="shared" ca="1" si="5"/>
        <v>0</v>
      </c>
      <c r="R49" s="381">
        <f t="shared" ca="1" si="5"/>
        <v>0</v>
      </c>
      <c r="S49" s="381">
        <f t="shared" ca="1" si="5"/>
        <v>0</v>
      </c>
      <c r="T49" s="381">
        <f t="shared" ca="1" si="5"/>
        <v>0</v>
      </c>
      <c r="U49" s="381">
        <f t="shared" ca="1" si="5"/>
        <v>0</v>
      </c>
      <c r="V49" s="381">
        <f t="shared" ref="V49:AF49" ca="1" si="6">SUM(V47:V48)*V53</f>
        <v>0</v>
      </c>
      <c r="W49" s="381">
        <f t="shared" ca="1" si="6"/>
        <v>0</v>
      </c>
      <c r="X49" s="381">
        <f t="shared" ca="1" si="6"/>
        <v>0</v>
      </c>
      <c r="Y49" s="381">
        <f t="shared" ca="1" si="6"/>
        <v>0</v>
      </c>
      <c r="Z49" s="381">
        <f t="shared" ca="1" si="6"/>
        <v>0</v>
      </c>
      <c r="AA49" s="381">
        <f t="shared" ca="1" si="6"/>
        <v>0</v>
      </c>
      <c r="AB49" s="381">
        <f t="shared" ca="1" si="6"/>
        <v>0</v>
      </c>
      <c r="AC49" s="381">
        <f t="shared" ca="1" si="6"/>
        <v>0</v>
      </c>
      <c r="AD49" s="381">
        <f t="shared" ca="1" si="6"/>
        <v>0</v>
      </c>
      <c r="AE49" s="381">
        <f t="shared" ca="1" si="6"/>
        <v>0</v>
      </c>
      <c r="AF49" s="381">
        <f t="shared" ca="1" si="6"/>
        <v>0</v>
      </c>
      <c r="AG49" s="769"/>
      <c r="AH49" s="767">
        <f t="shared" ca="1" si="3"/>
        <v>0</v>
      </c>
      <c r="AI49" s="434"/>
      <c r="AJ49" s="768">
        <f t="shared" ca="1" si="4"/>
        <v>0</v>
      </c>
      <c r="AL49" s="1291"/>
      <c r="AM49" s="1292"/>
      <c r="AN49" s="1293"/>
    </row>
    <row r="50" spans="1:42" s="1290" customFormat="1" ht="12.75" hidden="1" customHeight="1">
      <c r="A50" s="1270"/>
      <c r="B50" s="1294" t="s">
        <v>352</v>
      </c>
      <c r="C50" s="191"/>
      <c r="D50" s="191"/>
      <c r="E50" s="191"/>
      <c r="F50" s="1295"/>
      <c r="G50" s="1296"/>
      <c r="H50" s="191"/>
      <c r="I50" s="382">
        <f t="shared" ref="I50:U50" si="7">I25+I46+I49</f>
        <v>0</v>
      </c>
      <c r="J50" s="382">
        <f t="shared" si="7"/>
        <v>0</v>
      </c>
      <c r="K50" s="382">
        <f t="shared" ca="1" si="7"/>
        <v>0</v>
      </c>
      <c r="L50" s="382">
        <f t="shared" ca="1" si="7"/>
        <v>0</v>
      </c>
      <c r="M50" s="382">
        <f t="shared" ca="1" si="7"/>
        <v>0</v>
      </c>
      <c r="N50" s="382">
        <f t="shared" ca="1" si="7"/>
        <v>0</v>
      </c>
      <c r="O50" s="382">
        <f t="shared" ca="1" si="7"/>
        <v>0</v>
      </c>
      <c r="P50" s="382">
        <f t="shared" ca="1" si="7"/>
        <v>0</v>
      </c>
      <c r="Q50" s="382">
        <f t="shared" ca="1" si="7"/>
        <v>0</v>
      </c>
      <c r="R50" s="382">
        <f t="shared" ca="1" si="7"/>
        <v>0</v>
      </c>
      <c r="S50" s="382">
        <f t="shared" ca="1" si="7"/>
        <v>0</v>
      </c>
      <c r="T50" s="382">
        <f t="shared" ca="1" si="7"/>
        <v>0</v>
      </c>
      <c r="U50" s="382">
        <f t="shared" ca="1" si="7"/>
        <v>0</v>
      </c>
      <c r="V50" s="382">
        <f t="shared" ref="V50:AF50" ca="1" si="8">V25+V46+V49*V53</f>
        <v>0</v>
      </c>
      <c r="W50" s="382">
        <f t="shared" ca="1" si="8"/>
        <v>0</v>
      </c>
      <c r="X50" s="382">
        <f t="shared" ca="1" si="8"/>
        <v>0</v>
      </c>
      <c r="Y50" s="382">
        <f t="shared" ca="1" si="8"/>
        <v>0</v>
      </c>
      <c r="Z50" s="382">
        <f t="shared" ca="1" si="8"/>
        <v>0</v>
      </c>
      <c r="AA50" s="382">
        <f t="shared" ca="1" si="8"/>
        <v>0</v>
      </c>
      <c r="AB50" s="382">
        <f t="shared" ca="1" si="8"/>
        <v>0</v>
      </c>
      <c r="AC50" s="382">
        <f t="shared" ca="1" si="8"/>
        <v>0</v>
      </c>
      <c r="AD50" s="382">
        <f t="shared" ca="1" si="8"/>
        <v>0</v>
      </c>
      <c r="AE50" s="382">
        <f t="shared" ca="1" si="8"/>
        <v>0</v>
      </c>
      <c r="AF50" s="382">
        <f t="shared" ca="1" si="8"/>
        <v>0</v>
      </c>
      <c r="AG50" s="769"/>
      <c r="AH50" s="767">
        <f t="shared" ca="1" si="3"/>
        <v>0</v>
      </c>
      <c r="AI50" s="434"/>
      <c r="AJ50" s="768">
        <f t="shared" ca="1" si="4"/>
        <v>0</v>
      </c>
      <c r="AL50" s="1291"/>
      <c r="AM50" s="1292"/>
      <c r="AN50" s="1293"/>
    </row>
    <row r="51" spans="1:42" s="1290" customFormat="1" ht="12.75" hidden="1" customHeight="1">
      <c r="A51" s="1270"/>
      <c r="B51" s="1298" t="s">
        <v>324</v>
      </c>
      <c r="C51" s="1299"/>
      <c r="D51" s="1299"/>
      <c r="E51" s="1299"/>
      <c r="F51" s="1300"/>
      <c r="G51" s="1301"/>
      <c r="H51" s="1302"/>
      <c r="I51" s="334">
        <f t="shared" ref="I51:AF51" si="9">I17-I50</f>
        <v>0</v>
      </c>
      <c r="J51" s="334">
        <f t="shared" si="9"/>
        <v>0</v>
      </c>
      <c r="K51" s="334">
        <f t="shared" ca="1" si="9"/>
        <v>0</v>
      </c>
      <c r="L51" s="334">
        <f t="shared" ca="1" si="9"/>
        <v>0</v>
      </c>
      <c r="M51" s="334">
        <f t="shared" ca="1" si="9"/>
        <v>0</v>
      </c>
      <c r="N51" s="334">
        <f t="shared" ca="1" si="9"/>
        <v>0</v>
      </c>
      <c r="O51" s="334">
        <f t="shared" ca="1" si="9"/>
        <v>0</v>
      </c>
      <c r="P51" s="334">
        <f t="shared" ca="1" si="9"/>
        <v>0</v>
      </c>
      <c r="Q51" s="334">
        <f t="shared" ca="1" si="9"/>
        <v>0</v>
      </c>
      <c r="R51" s="334">
        <f t="shared" ca="1" si="9"/>
        <v>0</v>
      </c>
      <c r="S51" s="334">
        <f t="shared" ca="1" si="9"/>
        <v>0</v>
      </c>
      <c r="T51" s="334">
        <f t="shared" ca="1" si="9"/>
        <v>0</v>
      </c>
      <c r="U51" s="334">
        <f t="shared" ca="1" si="9"/>
        <v>0</v>
      </c>
      <c r="V51" s="334">
        <f t="shared" ca="1" si="9"/>
        <v>0</v>
      </c>
      <c r="W51" s="334">
        <f t="shared" ca="1" si="9"/>
        <v>0</v>
      </c>
      <c r="X51" s="334">
        <f t="shared" ca="1" si="9"/>
        <v>0</v>
      </c>
      <c r="Y51" s="334">
        <f t="shared" ca="1" si="9"/>
        <v>0</v>
      </c>
      <c r="Z51" s="334">
        <f t="shared" ca="1" si="9"/>
        <v>0</v>
      </c>
      <c r="AA51" s="334">
        <f t="shared" ca="1" si="9"/>
        <v>0</v>
      </c>
      <c r="AB51" s="334">
        <f t="shared" ca="1" si="9"/>
        <v>0</v>
      </c>
      <c r="AC51" s="334">
        <f t="shared" ca="1" si="9"/>
        <v>0</v>
      </c>
      <c r="AD51" s="334">
        <f t="shared" ca="1" si="9"/>
        <v>0</v>
      </c>
      <c r="AE51" s="334">
        <f t="shared" ca="1" si="9"/>
        <v>0</v>
      </c>
      <c r="AF51" s="334">
        <f t="shared" ca="1" si="9"/>
        <v>0</v>
      </c>
      <c r="AG51" s="769"/>
      <c r="AH51" s="767">
        <f t="shared" ca="1" si="3"/>
        <v>0</v>
      </c>
      <c r="AI51" s="434"/>
      <c r="AJ51" s="768">
        <f t="shared" ca="1" si="4"/>
        <v>0</v>
      </c>
      <c r="AL51" s="1291"/>
      <c r="AM51" s="1292"/>
      <c r="AN51" s="1293"/>
    </row>
    <row r="52" spans="1:42" s="1290" customFormat="1" ht="12.75" hidden="1" customHeight="1">
      <c r="A52" s="1270"/>
      <c r="B52" s="1303" t="s">
        <v>392</v>
      </c>
      <c r="C52" s="1291"/>
      <c r="D52" s="1291"/>
      <c r="E52" s="1291"/>
      <c r="F52" s="1292"/>
      <c r="G52" s="1293"/>
      <c r="H52" s="1291"/>
      <c r="I52" s="385">
        <v>1</v>
      </c>
      <c r="J52" s="385">
        <v>1</v>
      </c>
      <c r="K52" s="385">
        <v>1</v>
      </c>
      <c r="L52" s="385">
        <v>1</v>
      </c>
      <c r="M52" s="385">
        <v>1</v>
      </c>
      <c r="N52" s="385">
        <v>1</v>
      </c>
      <c r="O52" s="385">
        <v>1</v>
      </c>
      <c r="P52" s="385">
        <v>1</v>
      </c>
      <c r="Q52" s="385">
        <v>1</v>
      </c>
      <c r="R52" s="385">
        <v>1</v>
      </c>
      <c r="S52" s="385">
        <v>1</v>
      </c>
      <c r="T52" s="385">
        <v>1</v>
      </c>
      <c r="U52" s="385">
        <v>1</v>
      </c>
      <c r="V52" s="385">
        <v>1</v>
      </c>
      <c r="W52" s="385">
        <v>1</v>
      </c>
      <c r="X52" s="385">
        <v>1</v>
      </c>
      <c r="Y52" s="385">
        <v>1</v>
      </c>
      <c r="Z52" s="385">
        <v>1</v>
      </c>
      <c r="AA52" s="385">
        <v>1</v>
      </c>
      <c r="AB52" s="385">
        <v>1</v>
      </c>
      <c r="AC52" s="385">
        <v>1</v>
      </c>
      <c r="AD52" s="385">
        <v>1</v>
      </c>
      <c r="AE52" s="385">
        <v>1</v>
      </c>
      <c r="AF52" s="385">
        <v>1</v>
      </c>
      <c r="AG52" s="769"/>
      <c r="AH52" s="434"/>
      <c r="AI52" s="434"/>
      <c r="AJ52" s="434"/>
      <c r="AL52" s="1291"/>
      <c r="AM52" s="1292"/>
      <c r="AN52" s="1293"/>
    </row>
    <row r="53" spans="1:42" s="1290" customFormat="1" ht="12.75" hidden="1" customHeight="1">
      <c r="A53" s="1270"/>
      <c r="B53" s="1303" t="s">
        <v>393</v>
      </c>
      <c r="C53" s="1291"/>
      <c r="D53" s="1291"/>
      <c r="E53" s="1291"/>
      <c r="F53" s="1292"/>
      <c r="G53" s="1293"/>
      <c r="H53" s="1291"/>
      <c r="I53" s="385">
        <f>IF((25-ARBETSBLAD!$L$4)&gt;=SUM($I$52:I52),1,0)</f>
        <v>1</v>
      </c>
      <c r="J53" s="385">
        <f>IF((25-ARBETSBLAD!$L$4)&gt;=SUM($I$52:J52),1,0)</f>
        <v>1</v>
      </c>
      <c r="K53" s="385">
        <f>IF((25-ARBETSBLAD!$L$4)&gt;=SUM($I$52:K52),1,0)</f>
        <v>1</v>
      </c>
      <c r="L53" s="385">
        <f>IF((25-ARBETSBLAD!$L$4)&gt;=SUM($I$52:L52),1,0)</f>
        <v>1</v>
      </c>
      <c r="M53" s="385">
        <f>IF((25-ARBETSBLAD!$L$4)&gt;=SUM($I$52:M52),1,0)</f>
        <v>1</v>
      </c>
      <c r="N53" s="385">
        <f>IF((25-ARBETSBLAD!$L$4)&gt;=SUM($I$52:N52),1,0)</f>
        <v>1</v>
      </c>
      <c r="O53" s="385">
        <f>IF((25-ARBETSBLAD!$L$4)&gt;=SUM($I$52:O52),1,0)</f>
        <v>1</v>
      </c>
      <c r="P53" s="385">
        <f>IF((25-ARBETSBLAD!$L$4)&gt;=SUM($I$52:P52),1,0)</f>
        <v>1</v>
      </c>
      <c r="Q53" s="385">
        <f>IF((25-ARBETSBLAD!$L$4)&gt;=SUM($I$52:Q52),1,0)</f>
        <v>1</v>
      </c>
      <c r="R53" s="385">
        <f>IF((25-ARBETSBLAD!$L$4)&gt;=SUM($I$52:R52),1,0)</f>
        <v>1</v>
      </c>
      <c r="S53" s="385">
        <f>IF((25-ARBETSBLAD!$L$4)&gt;=SUM($I$52:S52),1,0)</f>
        <v>1</v>
      </c>
      <c r="T53" s="385">
        <f>IF((25-ARBETSBLAD!$L$4)&gt;=SUM($I$52:T52),1,0)</f>
        <v>1</v>
      </c>
      <c r="U53" s="385">
        <f>IF((25-ARBETSBLAD!$L$4)&gt;=SUM($I$52:U52),1,0)</f>
        <v>1</v>
      </c>
      <c r="V53" s="385">
        <f>IF((25-ARBETSBLAD!$L$4)&gt;=SUM($I$52:V52),1,0)</f>
        <v>1</v>
      </c>
      <c r="W53" s="385">
        <f>IF((25-ARBETSBLAD!$L$4)&gt;=SUM($I$52:W52),1,0)</f>
        <v>1</v>
      </c>
      <c r="X53" s="385">
        <f>IF((25-ARBETSBLAD!$L$4)&gt;=SUM($I$52:X52),1,0)</f>
        <v>1</v>
      </c>
      <c r="Y53" s="385">
        <f>IF((25-ARBETSBLAD!$L$4)&gt;=SUM($I$52:Y52),1,0)</f>
        <v>1</v>
      </c>
      <c r="Z53" s="385">
        <f>IF((25-ARBETSBLAD!$L$4)&gt;=SUM($I$52:Z52),1,0)</f>
        <v>1</v>
      </c>
      <c r="AA53" s="385">
        <f>IF((25-ARBETSBLAD!$L$4)&gt;=SUM($I$52:AA52),1,0)</f>
        <v>1</v>
      </c>
      <c r="AB53" s="385">
        <f>IF((25-ARBETSBLAD!$L$4)&gt;=SUM($I$52:AB52),1,0)</f>
        <v>1</v>
      </c>
      <c r="AC53" s="385">
        <f>IF((25-ARBETSBLAD!$L$4)&gt;=SUM($I$52:AC52),1,0)</f>
        <v>1</v>
      </c>
      <c r="AD53" s="385">
        <f>IF((25-ARBETSBLAD!$L$4)&gt;=SUM($I$52:AD52),1,0)</f>
        <v>1</v>
      </c>
      <c r="AE53" s="385">
        <f>IF((25-ARBETSBLAD!$L$4)&gt;=SUM($I$52:AE52),1,0)</f>
        <v>1</v>
      </c>
      <c r="AF53" s="385">
        <f>IF((25-ARBETSBLAD!$L$4)&gt;=SUM($I$52:AF52),1,0)</f>
        <v>1</v>
      </c>
      <c r="AG53" s="769"/>
      <c r="AH53" s="434"/>
      <c r="AI53" s="434"/>
      <c r="AJ53" s="434"/>
      <c r="AL53" s="1291"/>
      <c r="AM53" s="1292"/>
      <c r="AN53" s="1293"/>
    </row>
    <row r="54" spans="1:42" s="1277" customFormat="1" ht="12.75" hidden="1" customHeight="1">
      <c r="A54" s="1270"/>
      <c r="B54" s="1304"/>
      <c r="C54" s="1305"/>
      <c r="D54" s="1305"/>
      <c r="E54" s="1305"/>
      <c r="F54" s="1305"/>
      <c r="G54" s="1306"/>
      <c r="H54" s="1306"/>
      <c r="I54" s="1307"/>
      <c r="J54" s="1307"/>
      <c r="K54" s="1307"/>
      <c r="L54" s="1307"/>
      <c r="M54" s="1307"/>
      <c r="N54" s="1307"/>
      <c r="O54" s="1307"/>
      <c r="P54" s="1307"/>
      <c r="Q54" s="1307"/>
      <c r="R54" s="1307"/>
      <c r="S54" s="1307"/>
      <c r="T54" s="1307"/>
      <c r="U54" s="1307"/>
      <c r="V54" s="1307"/>
      <c r="W54" s="376"/>
      <c r="X54" s="1307"/>
      <c r="Y54" s="1307"/>
      <c r="Z54" s="1307"/>
      <c r="AA54" s="1307"/>
      <c r="AB54" s="1307"/>
      <c r="AC54" s="1307"/>
      <c r="AD54" s="1307"/>
      <c r="AE54" s="1307"/>
      <c r="AF54" s="1307"/>
      <c r="AG54" s="766"/>
      <c r="AH54" s="1289"/>
      <c r="AI54" s="1289"/>
      <c r="AJ54" s="1289"/>
      <c r="AL54" s="1308"/>
      <c r="AM54" s="1308"/>
      <c r="AN54" s="1309"/>
    </row>
    <row r="55" spans="1:42" s="115" customFormat="1" ht="12.75" hidden="1" customHeight="1">
      <c r="A55" s="1270"/>
      <c r="B55" s="1279"/>
      <c r="C55" s="1272"/>
      <c r="D55" s="1273"/>
      <c r="E55" s="1274"/>
      <c r="F55" s="1274"/>
      <c r="G55" s="1274"/>
      <c r="H55" s="1275"/>
      <c r="I55" s="1280"/>
      <c r="J55" s="1280"/>
      <c r="K55" s="1280"/>
      <c r="L55" s="1280"/>
      <c r="M55" s="1280"/>
      <c r="N55" s="1280"/>
      <c r="O55" s="1280"/>
      <c r="P55" s="1280"/>
      <c r="Q55" s="1280"/>
      <c r="R55" s="1280"/>
      <c r="S55" s="1280"/>
      <c r="T55" s="1280"/>
      <c r="U55" s="1280"/>
      <c r="V55" s="1280"/>
      <c r="W55" s="1310"/>
      <c r="X55" s="1280"/>
      <c r="Y55" s="1280"/>
      <c r="Z55" s="1280"/>
      <c r="AA55" s="1280"/>
      <c r="AB55" s="1280"/>
      <c r="AC55" s="1280"/>
      <c r="AD55" s="1280"/>
      <c r="AE55" s="1280"/>
      <c r="AF55" s="1280"/>
      <c r="AG55" s="1281"/>
      <c r="AH55" s="1282"/>
      <c r="AI55" s="1283"/>
      <c r="AJ55" s="1283"/>
      <c r="AL55" s="1274"/>
      <c r="AM55" s="1274"/>
      <c r="AN55" s="1274"/>
    </row>
    <row r="56" spans="1:42" s="115" customFormat="1" ht="12.75" hidden="1" customHeight="1">
      <c r="A56" s="1270"/>
      <c r="B56" s="1279"/>
      <c r="C56" s="1272"/>
      <c r="D56" s="1273"/>
      <c r="E56" s="1274"/>
      <c r="F56" s="1274"/>
      <c r="G56" s="1274"/>
      <c r="H56" s="1275"/>
      <c r="I56" s="1280"/>
      <c r="J56" s="1280"/>
      <c r="K56" s="1280"/>
      <c r="L56" s="1280"/>
      <c r="M56" s="1280"/>
      <c r="N56" s="1280"/>
      <c r="O56" s="1280"/>
      <c r="P56" s="1280"/>
      <c r="Q56" s="1280"/>
      <c r="R56" s="1280"/>
      <c r="S56" s="1280"/>
      <c r="T56" s="1280"/>
      <c r="U56" s="1280"/>
      <c r="V56" s="1280"/>
      <c r="W56" s="1280"/>
      <c r="X56" s="1280"/>
      <c r="Y56" s="1280"/>
      <c r="Z56" s="1280"/>
      <c r="AA56" s="1280"/>
      <c r="AB56" s="1280"/>
      <c r="AC56" s="1280"/>
      <c r="AD56" s="1280"/>
      <c r="AE56" s="1280"/>
      <c r="AF56" s="1280"/>
      <c r="AG56" s="1281"/>
      <c r="AH56" s="1282"/>
      <c r="AI56" s="1283"/>
      <c r="AJ56" s="1283"/>
      <c r="AL56" s="1274"/>
      <c r="AM56" s="1274"/>
      <c r="AN56" s="1274"/>
    </row>
    <row r="57" spans="1:42" s="115" customFormat="1" ht="12.75" hidden="1" customHeight="1">
      <c r="A57" s="1270"/>
      <c r="B57" s="1311" t="s">
        <v>192</v>
      </c>
      <c r="C57" s="1312">
        <f>IF(ARBETSBLAD!P4="12 månader eller mindre",1,2)</f>
        <v>1</v>
      </c>
      <c r="G57" s="1313" t="s">
        <v>186</v>
      </c>
      <c r="H57" s="1313"/>
      <c r="I57" s="1314">
        <f>IF(OR($C$57=2,ARBETSBLAD!$L$4&gt;1),0,1)</f>
        <v>1</v>
      </c>
      <c r="J57" s="1314">
        <f>IF(OR($C$57=2,ARBETSBLAD!$L$4&gt;2),0,1)</f>
        <v>1</v>
      </c>
      <c r="K57" s="1314">
        <f>IF(OR($C$57=2,ARBETSBLAD!$L$4&gt;3),0,1)</f>
        <v>1</v>
      </c>
      <c r="L57" s="1314">
        <f>IF(OR($C$57=2,ARBETSBLAD!$L$4&gt;4),0,1)</f>
        <v>1</v>
      </c>
      <c r="M57" s="1314">
        <f>IF(OR($C$57=2,ARBETSBLAD!$L$4&gt;5),0,1)</f>
        <v>1</v>
      </c>
      <c r="N57" s="1314">
        <f>IF(OR($C$57=2,ARBETSBLAD!$L$4&gt;6),0,1)</f>
        <v>1</v>
      </c>
      <c r="O57" s="1314">
        <f>IF(ARBETSBLAD!$L$4&gt;7,0,1)</f>
        <v>1</v>
      </c>
      <c r="P57" s="1314">
        <f>IF(ARBETSBLAD!$L$4&gt;8,0,1)</f>
        <v>1</v>
      </c>
      <c r="Q57" s="1314">
        <f>IF(ARBETSBLAD!$L$4&gt;9,0,1)</f>
        <v>1</v>
      </c>
      <c r="R57" s="1314">
        <f>IF(ARBETSBLAD!$L$4&gt;10,0,1)</f>
        <v>1</v>
      </c>
      <c r="S57" s="1314">
        <f>IF(ARBETSBLAD!$L$4&gt;11,0,1)</f>
        <v>1</v>
      </c>
      <c r="T57" s="1314">
        <f>IF(ARBETSBLAD!$L$4&gt;12,0,1)</f>
        <v>1</v>
      </c>
      <c r="U57" s="1314">
        <v>1</v>
      </c>
      <c r="V57" s="1314">
        <v>1</v>
      </c>
      <c r="W57" s="1314">
        <v>1</v>
      </c>
      <c r="X57" s="1314">
        <v>1</v>
      </c>
      <c r="Y57" s="1314">
        <v>1</v>
      </c>
      <c r="Z57" s="1314">
        <v>1</v>
      </c>
      <c r="AA57" s="1314">
        <v>1</v>
      </c>
      <c r="AB57" s="1314">
        <v>1</v>
      </c>
      <c r="AC57" s="1314">
        <v>1</v>
      </c>
      <c r="AD57" s="1314">
        <v>1</v>
      </c>
      <c r="AE57" s="1314">
        <v>1</v>
      </c>
      <c r="AF57" s="1314">
        <v>1</v>
      </c>
      <c r="AG57" s="1315"/>
      <c r="AH57" s="1282">
        <f>AH416</f>
        <v>0</v>
      </c>
      <c r="AI57" s="1283"/>
      <c r="AJ57" s="1283">
        <f>AJ416</f>
        <v>0</v>
      </c>
      <c r="AL57" s="1290"/>
      <c r="AM57" s="1290"/>
      <c r="AN57" s="1316"/>
    </row>
    <row r="58" spans="1:42" s="115" customFormat="1" ht="12.75" hidden="1" customHeight="1">
      <c r="A58" s="1270"/>
      <c r="B58" s="1311" t="s">
        <v>222</v>
      </c>
      <c r="C58" s="1312">
        <f>IF(ARBETSBLAD!C4="När faktura skickas / kommer",1,IF(ARBETSBLAD!C4="Vid betalning (Kontantmetoden)",2))</f>
        <v>1</v>
      </c>
      <c r="E58" s="1629"/>
      <c r="G58" s="1317" t="s">
        <v>954</v>
      </c>
      <c r="H58" s="1317">
        <v>4</v>
      </c>
      <c r="I58" s="1323" t="s">
        <v>205</v>
      </c>
      <c r="J58" s="1317"/>
      <c r="K58" s="1317"/>
      <c r="L58" s="1317"/>
      <c r="M58" s="1317"/>
      <c r="T58" s="1658">
        <f>IF(SUM($I$57:S57)&lt;12,1,0)</f>
        <v>1</v>
      </c>
      <c r="U58" s="1658">
        <f>IF(SUM($I$57:T57)&lt;12,1,0)</f>
        <v>0</v>
      </c>
      <c r="V58" s="1658">
        <f>IF(SUM($I$57:U57)&lt;12,1,0)</f>
        <v>0</v>
      </c>
      <c r="W58" s="1658">
        <f>IF(SUM($I$57:V57)&lt;12,1,0)</f>
        <v>0</v>
      </c>
      <c r="X58" s="1658">
        <f>IF(SUM($I$57:W57)&lt;12,1,0)</f>
        <v>0</v>
      </c>
      <c r="Y58" s="1658">
        <f>IF(SUM($I$57:X57)&lt;12,1,0)</f>
        <v>0</v>
      </c>
      <c r="Z58" s="1658">
        <f>IF(SUM($I$57:Y57)&lt;12,1,0)</f>
        <v>0</v>
      </c>
      <c r="AA58" s="1658">
        <f>IF(SUM($I$57:Z57)&lt;12,1,0)</f>
        <v>0</v>
      </c>
      <c r="AB58" s="1658">
        <f>IF(SUM($I$57:AA57)&lt;12,1,0)</f>
        <v>0</v>
      </c>
      <c r="AC58" s="1658">
        <f>IF(SUM($I$57:AB57)&lt;12,1,0)</f>
        <v>0</v>
      </c>
      <c r="AD58" s="1658">
        <f>IF(SUM($I$57:AC57)&lt;12,1,0)</f>
        <v>0</v>
      </c>
      <c r="AE58" s="1658">
        <f>IF(SUM($I$57:AD57)&lt;12,1,0)</f>
        <v>0</v>
      </c>
      <c r="AF58" s="1658">
        <f>IF(SUM($I$57:AE57)&lt;12,1,0)</f>
        <v>0</v>
      </c>
      <c r="AH58" s="1283">
        <f>AH417</f>
        <v>0</v>
      </c>
      <c r="AI58" s="1283"/>
      <c r="AJ58" s="1283">
        <f>AJ417</f>
        <v>0</v>
      </c>
      <c r="AL58" s="1290"/>
      <c r="AM58" s="1290"/>
      <c r="AN58" s="1290"/>
    </row>
    <row r="59" spans="1:42" s="115" customFormat="1" ht="12.75" hidden="1" customHeight="1">
      <c r="A59" s="1270"/>
      <c r="G59" s="1317" t="s">
        <v>955</v>
      </c>
      <c r="H59" s="1317">
        <v>5</v>
      </c>
      <c r="I59" s="1332" t="s">
        <v>176</v>
      </c>
      <c r="J59" s="1332" t="s">
        <v>203</v>
      </c>
      <c r="K59" s="1332" t="s">
        <v>177</v>
      </c>
      <c r="L59" s="1332" t="s">
        <v>203</v>
      </c>
      <c r="M59" s="1332" t="s">
        <v>204</v>
      </c>
      <c r="AH59" s="1283"/>
      <c r="AI59" s="1283"/>
      <c r="AJ59" s="1283"/>
      <c r="AL59" s="1290"/>
      <c r="AM59" s="1290"/>
      <c r="AN59" s="1290"/>
    </row>
    <row r="60" spans="1:42" s="115" customFormat="1" ht="12.75" hidden="1" customHeight="1">
      <c r="A60" s="1270"/>
      <c r="B60" s="1317" t="s">
        <v>229</v>
      </c>
      <c r="C60" s="1317"/>
      <c r="G60" s="1317" t="s">
        <v>956</v>
      </c>
      <c r="H60" s="1317">
        <v>6</v>
      </c>
      <c r="I60" s="1333" t="str">
        <f>ARBETSBLAD!E114</f>
        <v>Kontant</v>
      </c>
      <c r="J60" s="1334">
        <f t="shared" ref="J60:J71" si="10">IF(I60="Kontant",1,IF(I60="10 dagar",100,IF(I60="20 dagar",200,IF(I60="30 dagar",300,IF(I60="45 dagar",450,IF(I60="60 dagar",600,900))))))</f>
        <v>1</v>
      </c>
      <c r="K60" s="1335">
        <f>ARBETSBLAD!G114</f>
        <v>0.25</v>
      </c>
      <c r="L60" s="1336">
        <f t="shared" ref="L60:L71" si="11">IF(K60&lt;0.0001,0.001,K60)</f>
        <v>0.25</v>
      </c>
      <c r="M60" s="1336">
        <f t="shared" ref="M60:M71" si="12">J60+L60</f>
        <v>1.25</v>
      </c>
      <c r="AM60" s="1290"/>
      <c r="AN60" s="1290"/>
      <c r="AO60" s="1290"/>
    </row>
    <row r="61" spans="1:42" s="115" customFormat="1" ht="12.75" hidden="1" customHeight="1">
      <c r="A61" s="1270"/>
      <c r="B61" s="1318" t="s">
        <v>26</v>
      </c>
      <c r="C61" s="1312">
        <f>IF(ARBETSBLAD!C6="Varje månad",1,IF(ARBETSBLAD!C6="Var tredje månad",2,IF(OR(C63=4,C63=5),3)))</f>
        <v>1</v>
      </c>
      <c r="D61" s="1319"/>
      <c r="F61" s="1319"/>
      <c r="G61" s="1317" t="s">
        <v>957</v>
      </c>
      <c r="H61" s="1317">
        <v>7</v>
      </c>
      <c r="I61" s="1333" t="str">
        <f>ARBETSBLAD!E115</f>
        <v>Kontant</v>
      </c>
      <c r="J61" s="1334">
        <f t="shared" si="10"/>
        <v>1</v>
      </c>
      <c r="K61" s="1335">
        <f>ARBETSBLAD!G115</f>
        <v>9.9999999999999995E-8</v>
      </c>
      <c r="L61" s="1336">
        <f t="shared" si="11"/>
        <v>1E-3</v>
      </c>
      <c r="M61" s="1336">
        <f t="shared" si="12"/>
        <v>1.0009999999999999</v>
      </c>
      <c r="U61" s="1283"/>
      <c r="V61" s="1283"/>
      <c r="W61" s="1283"/>
      <c r="X61" s="1283"/>
      <c r="Y61" s="1283"/>
      <c r="Z61" s="1283"/>
      <c r="AA61" s="1283"/>
      <c r="AB61" s="1283"/>
      <c r="AC61" s="1283"/>
      <c r="AD61" s="1283"/>
      <c r="AE61" s="1283"/>
      <c r="AF61" s="1283"/>
      <c r="AG61" s="1283"/>
      <c r="AH61" s="1283"/>
      <c r="AI61" s="1283"/>
      <c r="AJ61" s="1283"/>
      <c r="AK61" s="1283"/>
      <c r="AL61" s="1283"/>
      <c r="AN61" s="1320"/>
      <c r="AO61" s="1321"/>
      <c r="AP61" s="1320"/>
    </row>
    <row r="62" spans="1:42" s="115" customFormat="1" ht="12.75" hidden="1" customHeight="1">
      <c r="A62" s="1270"/>
      <c r="B62" s="1322" t="s">
        <v>8</v>
      </c>
      <c r="C62" s="1317"/>
      <c r="D62" s="1319"/>
      <c r="E62" s="1317" t="s">
        <v>0</v>
      </c>
      <c r="F62" s="1319"/>
      <c r="G62" s="1317" t="s">
        <v>958</v>
      </c>
      <c r="H62" s="1317">
        <v>8</v>
      </c>
      <c r="I62" s="1333" t="str">
        <f>ARBETSBLAD!E116</f>
        <v>Kontant</v>
      </c>
      <c r="J62" s="1334">
        <f t="shared" si="10"/>
        <v>1</v>
      </c>
      <c r="K62" s="1335">
        <f>ARBETSBLAD!G116</f>
        <v>0.25</v>
      </c>
      <c r="L62" s="1336">
        <f t="shared" si="11"/>
        <v>0.25</v>
      </c>
      <c r="M62" s="1336">
        <f t="shared" si="12"/>
        <v>1.25</v>
      </c>
      <c r="O62" s="1323" t="s">
        <v>913</v>
      </c>
      <c r="AM62" s="1320"/>
      <c r="AN62" s="1321"/>
      <c r="AO62" s="1320"/>
    </row>
    <row r="63" spans="1:42" s="115" customFormat="1" ht="12.75" hidden="1" customHeight="1">
      <c r="A63" s="1270"/>
      <c r="B63" s="1322" t="s">
        <v>943</v>
      </c>
      <c r="C63" s="1608">
        <f>IF(ARBETSBLAD!C6="Årsvis   (Enskild firma, HB)",4,IF(ARBETSBLAD!C6="Årsvis   (AB, Ekonom fören)",5,0))</f>
        <v>0</v>
      </c>
      <c r="D63" s="1319"/>
      <c r="E63" s="1317" t="s">
        <v>907</v>
      </c>
      <c r="F63" s="1319"/>
      <c r="G63" s="1317" t="s">
        <v>959</v>
      </c>
      <c r="H63" s="1317">
        <v>9</v>
      </c>
      <c r="I63" s="1333" t="str">
        <f>ARBETSBLAD!E117</f>
        <v>Kontant</v>
      </c>
      <c r="J63" s="1334">
        <f t="shared" si="10"/>
        <v>1</v>
      </c>
      <c r="K63" s="1335">
        <f>ARBETSBLAD!G117</f>
        <v>0.25</v>
      </c>
      <c r="L63" s="1336">
        <f t="shared" si="11"/>
        <v>0.25</v>
      </c>
      <c r="M63" s="1336">
        <f t="shared" si="12"/>
        <v>1.25</v>
      </c>
      <c r="O63" s="1324">
        <f>G65</f>
        <v>9.9999999999999995E-7</v>
      </c>
      <c r="P63" s="1325">
        <f>O63</f>
        <v>9.9999999999999995E-7</v>
      </c>
      <c r="AH63" s="1283"/>
      <c r="AI63" s="1283"/>
      <c r="AJ63" s="1283"/>
      <c r="AL63" s="1320"/>
      <c r="AM63" s="1321"/>
      <c r="AN63" s="1320"/>
    </row>
    <row r="64" spans="1:42" s="115" customFormat="1" ht="12.75" hidden="1" customHeight="1">
      <c r="A64" s="1270"/>
      <c r="B64" s="1607" t="s">
        <v>944</v>
      </c>
      <c r="C64" s="1317"/>
      <c r="D64" s="1319"/>
      <c r="E64" s="1317" t="s">
        <v>912</v>
      </c>
      <c r="F64" s="1319"/>
      <c r="G64" s="1317" t="s">
        <v>960</v>
      </c>
      <c r="H64" s="1317">
        <v>10</v>
      </c>
      <c r="I64" s="1333" t="str">
        <f>ARBETSBLAD!E118</f>
        <v>Kontant</v>
      </c>
      <c r="J64" s="1334">
        <f t="shared" si="10"/>
        <v>1</v>
      </c>
      <c r="K64" s="1335">
        <f>ARBETSBLAD!G118</f>
        <v>0.25</v>
      </c>
      <c r="L64" s="1336">
        <f t="shared" si="11"/>
        <v>0.25</v>
      </c>
      <c r="M64" s="1336">
        <f t="shared" si="12"/>
        <v>1.25</v>
      </c>
      <c r="O64" s="1324">
        <f>G66</f>
        <v>0.06</v>
      </c>
      <c r="P64" s="1326">
        <f>O64</f>
        <v>0.06</v>
      </c>
      <c r="AH64" s="1283"/>
      <c r="AI64" s="1283"/>
      <c r="AJ64" s="1283"/>
      <c r="AL64" s="1321"/>
      <c r="AM64" s="1321"/>
      <c r="AN64" s="1320"/>
    </row>
    <row r="65" spans="1:40" s="115" customFormat="1" ht="12.75" hidden="1" customHeight="1">
      <c r="A65" s="1270"/>
      <c r="B65" s="1318" t="s">
        <v>4</v>
      </c>
      <c r="C65" s="1318"/>
      <c r="D65" s="1317"/>
      <c r="E65" s="1317" t="s">
        <v>1</v>
      </c>
      <c r="F65" s="1317"/>
      <c r="G65" s="1327">
        <v>9.9999999999999995E-7</v>
      </c>
      <c r="H65" s="1327"/>
      <c r="I65" s="1333" t="str">
        <f>ARBETSBLAD!E119</f>
        <v>Kontant</v>
      </c>
      <c r="J65" s="1334">
        <f t="shared" si="10"/>
        <v>1</v>
      </c>
      <c r="K65" s="1335">
        <f>ARBETSBLAD!G119</f>
        <v>0.25</v>
      </c>
      <c r="L65" s="1336">
        <f t="shared" si="11"/>
        <v>0.25</v>
      </c>
      <c r="M65" s="1336">
        <f t="shared" si="12"/>
        <v>1.25</v>
      </c>
      <c r="O65" s="1324">
        <f>G67</f>
        <v>0.12</v>
      </c>
      <c r="P65" s="1326">
        <f>O65</f>
        <v>0.12</v>
      </c>
      <c r="R65" s="1741" t="s">
        <v>1006</v>
      </c>
      <c r="S65" s="1742"/>
      <c r="U65" s="1283"/>
      <c r="V65" s="1283"/>
      <c r="W65" s="1283"/>
      <c r="X65" s="1283"/>
      <c r="Y65" s="1283"/>
      <c r="Z65" s="1283"/>
      <c r="AA65" s="1283"/>
      <c r="AB65" s="1283"/>
      <c r="AC65" s="1283"/>
      <c r="AD65" s="1283"/>
      <c r="AE65" s="1283"/>
      <c r="AF65" s="1283"/>
      <c r="AG65" s="1283"/>
      <c r="AH65" s="1283"/>
      <c r="AI65" s="1283"/>
      <c r="AJ65" s="1283"/>
      <c r="AL65" s="1328"/>
      <c r="AM65" s="1328"/>
      <c r="AN65" s="1329"/>
    </row>
    <row r="66" spans="1:40" s="115" customFormat="1" ht="12.75" hidden="1" customHeight="1">
      <c r="A66" s="1270"/>
      <c r="B66" s="1330" t="s">
        <v>34</v>
      </c>
      <c r="C66" s="1331"/>
      <c r="D66" s="1317"/>
      <c r="E66" s="1317" t="s">
        <v>910</v>
      </c>
      <c r="F66" s="1317"/>
      <c r="G66" s="1327">
        <f>ARBETSBLAD!G316</f>
        <v>0.06</v>
      </c>
      <c r="H66" s="1327"/>
      <c r="I66" s="1333" t="str">
        <f>ARBETSBLAD!E120</f>
        <v>Kontant</v>
      </c>
      <c r="J66" s="1334">
        <f t="shared" si="10"/>
        <v>1</v>
      </c>
      <c r="K66" s="1335">
        <f>ARBETSBLAD!G120</f>
        <v>0.25</v>
      </c>
      <c r="L66" s="1336">
        <f t="shared" si="11"/>
        <v>0.25</v>
      </c>
      <c r="M66" s="1336">
        <f t="shared" si="12"/>
        <v>1.25</v>
      </c>
      <c r="O66" s="1324">
        <f>G68</f>
        <v>0.25</v>
      </c>
      <c r="P66" s="1326">
        <f>O66</f>
        <v>0.25</v>
      </c>
      <c r="R66" s="1333" t="str">
        <f>ARBETSBLAD!E57</f>
        <v>10 mån</v>
      </c>
      <c r="S66" s="1332">
        <f>IF(R66="4 mån",4,IF(R66="5 mån",5,IF(R66="6 mån",6,IF(R66="7 mån",7,IF(R66="8 mån",8,IF(R66="9 mån",9,IF(R66="10 mån",10,0)))))))</f>
        <v>10</v>
      </c>
      <c r="U66" s="1283"/>
      <c r="V66" s="1283"/>
      <c r="W66" s="1283"/>
      <c r="X66" s="1283"/>
      <c r="Y66" s="1283"/>
      <c r="Z66" s="1283"/>
      <c r="AA66" s="1283"/>
      <c r="AB66" s="1283"/>
      <c r="AC66" s="1283"/>
      <c r="AD66" s="1283"/>
      <c r="AE66" s="1283"/>
      <c r="AF66" s="1283"/>
      <c r="AG66" s="1283"/>
      <c r="AH66" s="1283"/>
      <c r="AI66" s="1283"/>
      <c r="AJ66" s="1283"/>
      <c r="AL66" s="1328"/>
      <c r="AM66" s="1328"/>
      <c r="AN66" s="1329"/>
    </row>
    <row r="67" spans="1:40" s="115" customFormat="1" ht="12.75" hidden="1" customHeight="1">
      <c r="A67" s="1270"/>
      <c r="B67" s="1330" t="s">
        <v>7</v>
      </c>
      <c r="C67" s="1331"/>
      <c r="D67" s="1317"/>
      <c r="E67" s="1317" t="s">
        <v>2</v>
      </c>
      <c r="F67" s="1317"/>
      <c r="G67" s="1327">
        <f>ARBETSBLAD!G317</f>
        <v>0.12</v>
      </c>
      <c r="H67" s="1327"/>
      <c r="I67" s="1333" t="str">
        <f>ARBETSBLAD!E121</f>
        <v>Kontant</v>
      </c>
      <c r="J67" s="1334">
        <f t="shared" si="10"/>
        <v>1</v>
      </c>
      <c r="K67" s="1335">
        <f>ARBETSBLAD!G121</f>
        <v>0.25</v>
      </c>
      <c r="L67" s="1336">
        <f t="shared" si="11"/>
        <v>0.25</v>
      </c>
      <c r="M67" s="1336">
        <f t="shared" si="12"/>
        <v>1.25</v>
      </c>
      <c r="N67" s="1317"/>
      <c r="O67" s="1317"/>
      <c r="P67" s="1317"/>
      <c r="Q67" s="1317"/>
      <c r="R67" s="1333" t="str">
        <f>ARBETSBLAD!E58</f>
        <v>10 mån</v>
      </c>
      <c r="S67" s="1332">
        <f>IF(R67="4 mån",4,IF(R67="5 mån",5,IF(R67="6 mån",6,IF(R67="7 mån",7,IF(R67="8 mån",8,IF(R67="9 mån",9,IF(R67="10 mån",10,0)))))))</f>
        <v>10</v>
      </c>
      <c r="T67" s="1317"/>
      <c r="U67" s="1283"/>
      <c r="X67" s="1283"/>
      <c r="Y67" s="1283"/>
      <c r="Z67" s="1283"/>
      <c r="AA67" s="1283"/>
      <c r="AB67" s="1283"/>
      <c r="AC67" s="1283"/>
      <c r="AD67" s="1283"/>
      <c r="AE67" s="1283"/>
      <c r="AF67" s="1283"/>
      <c r="AG67" s="1283"/>
      <c r="AH67" s="1283"/>
      <c r="AI67" s="1283"/>
      <c r="AJ67" s="1283"/>
      <c r="AL67" s="1328"/>
      <c r="AM67" s="1328"/>
      <c r="AN67" s="1329"/>
    </row>
    <row r="68" spans="1:40" s="115" customFormat="1" ht="12.75" hidden="1" customHeight="1">
      <c r="A68" s="1270"/>
      <c r="B68" s="1330" t="s">
        <v>27</v>
      </c>
      <c r="C68" s="1331"/>
      <c r="D68" s="1317"/>
      <c r="E68" s="1317" t="s">
        <v>3</v>
      </c>
      <c r="F68" s="1317"/>
      <c r="G68" s="1327">
        <f>ARBETSBLAD!G318</f>
        <v>0.25</v>
      </c>
      <c r="H68" s="1327"/>
      <c r="I68" s="1333" t="str">
        <f>ARBETSBLAD!E122</f>
        <v>Kontant</v>
      </c>
      <c r="J68" s="1334">
        <f t="shared" si="10"/>
        <v>1</v>
      </c>
      <c r="K68" s="1335">
        <f>ARBETSBLAD!G122</f>
        <v>0.25</v>
      </c>
      <c r="L68" s="1336">
        <f t="shared" si="11"/>
        <v>0.25</v>
      </c>
      <c r="M68" s="1336">
        <f t="shared" si="12"/>
        <v>1.25</v>
      </c>
      <c r="N68" s="1317"/>
      <c r="O68" s="1317"/>
      <c r="P68" s="1317"/>
      <c r="Q68" s="1317"/>
      <c r="R68" s="1317"/>
      <c r="S68" s="1317"/>
      <c r="T68" s="1317"/>
      <c r="U68" s="1283"/>
      <c r="X68" s="1283"/>
      <c r="Y68" s="1283"/>
      <c r="Z68" s="1283"/>
      <c r="AA68" s="1283"/>
      <c r="AB68" s="1283"/>
      <c r="AC68" s="1283"/>
      <c r="AD68" s="1283"/>
      <c r="AE68" s="1283"/>
      <c r="AF68" s="1283"/>
      <c r="AG68" s="1283"/>
      <c r="AH68" s="1283"/>
      <c r="AI68" s="1283"/>
      <c r="AJ68" s="1283"/>
      <c r="AL68" s="1328"/>
      <c r="AM68" s="1328"/>
      <c r="AN68" s="1329"/>
    </row>
    <row r="69" spans="1:40" s="115" customFormat="1" ht="12.75" hidden="1" customHeight="1">
      <c r="A69" s="1270"/>
      <c r="B69" s="1317"/>
      <c r="C69" s="1317"/>
      <c r="D69" s="1317"/>
      <c r="E69" s="1317"/>
      <c r="F69" s="1317"/>
      <c r="G69" s="1317"/>
      <c r="H69" s="1317"/>
      <c r="I69" s="1333" t="str">
        <f>ARBETSBLAD!E123</f>
        <v>Kontant</v>
      </c>
      <c r="J69" s="1334">
        <f t="shared" si="10"/>
        <v>1</v>
      </c>
      <c r="K69" s="1335">
        <f>ARBETSBLAD!G123</f>
        <v>0.25</v>
      </c>
      <c r="L69" s="1336">
        <f t="shared" si="11"/>
        <v>0.25</v>
      </c>
      <c r="M69" s="1336">
        <f t="shared" si="12"/>
        <v>1.25</v>
      </c>
      <c r="N69" s="1317"/>
      <c r="O69" s="1317"/>
      <c r="P69" s="1317"/>
      <c r="Q69" s="1317"/>
      <c r="R69" s="2900" t="s">
        <v>1007</v>
      </c>
      <c r="S69" s="2901"/>
      <c r="T69" s="1317"/>
      <c r="X69" s="1283"/>
      <c r="Y69" s="1283"/>
      <c r="Z69" s="1283"/>
      <c r="AA69" s="1283"/>
      <c r="AB69" s="1283"/>
      <c r="AC69" s="1283"/>
      <c r="AD69" s="1283"/>
      <c r="AE69" s="1283"/>
      <c r="AF69" s="1283"/>
      <c r="AG69" s="1283"/>
      <c r="AH69" s="1283"/>
      <c r="AI69" s="1283"/>
      <c r="AJ69" s="1283"/>
      <c r="AL69" s="1328"/>
      <c r="AM69" s="1328"/>
      <c r="AN69" s="1328"/>
    </row>
    <row r="70" spans="1:40" s="115" customFormat="1" ht="12.75" hidden="1" customHeight="1">
      <c r="A70" s="1270"/>
      <c r="B70" s="1317" t="s">
        <v>35</v>
      </c>
      <c r="C70" s="1337" t="s">
        <v>188</v>
      </c>
      <c r="D70" s="1317"/>
      <c r="E70" s="1317">
        <f>IF($C$57=2,0,IF($C$57=1,1))</f>
        <v>1</v>
      </c>
      <c r="F70" s="1317"/>
      <c r="G70" s="1327">
        <v>1.0000000000000001E-5</v>
      </c>
      <c r="H70" s="1327"/>
      <c r="I70" s="1333" t="str">
        <f>ARBETSBLAD!E124</f>
        <v>Kontant</v>
      </c>
      <c r="J70" s="1334">
        <f t="shared" si="10"/>
        <v>1</v>
      </c>
      <c r="K70" s="1335">
        <f>ARBETSBLAD!G124</f>
        <v>0.25</v>
      </c>
      <c r="L70" s="1336">
        <f t="shared" si="11"/>
        <v>0.25</v>
      </c>
      <c r="M70" s="1336">
        <f t="shared" si="12"/>
        <v>1.25</v>
      </c>
      <c r="N70" s="1317"/>
      <c r="O70" s="1317"/>
      <c r="P70" s="1317"/>
      <c r="Q70" s="1317"/>
      <c r="R70" s="1333" t="str">
        <f>ARBETSBLAD!E31</f>
        <v>10 mån</v>
      </c>
      <c r="S70" s="1332">
        <f>IF(R70="4 mån",4,IF(R70="5 mån",5,IF(R70="6 mån",6,IF(R70="7 mån",7,IF(R70="8 mån",8,IF(R70="9 mån",9,IF(R70="10 mån",10,0)))))))</f>
        <v>10</v>
      </c>
      <c r="T70" s="1317"/>
      <c r="W70" s="1283"/>
      <c r="X70" s="1283"/>
      <c r="Y70" s="1283"/>
      <c r="Z70" s="1283"/>
      <c r="AA70" s="1283"/>
      <c r="AB70" s="1283"/>
      <c r="AC70" s="1283"/>
      <c r="AD70" s="1283"/>
      <c r="AE70" s="1283"/>
      <c r="AF70" s="1283"/>
      <c r="AG70" s="1283"/>
      <c r="AH70" s="1283"/>
      <c r="AI70" s="1283"/>
      <c r="AJ70" s="1283"/>
      <c r="AL70" s="1328"/>
      <c r="AM70" s="1328"/>
      <c r="AN70" s="1329"/>
    </row>
    <row r="71" spans="1:40" s="115" customFormat="1" ht="12.75" hidden="1" customHeight="1">
      <c r="A71" s="1270"/>
      <c r="B71" s="1317" t="s">
        <v>36</v>
      </c>
      <c r="C71" s="1338" t="s">
        <v>189</v>
      </c>
      <c r="D71" s="1317"/>
      <c r="E71" s="1317">
        <f>IF($C$57=2,0,IF($C$57=1,2))</f>
        <v>2</v>
      </c>
      <c r="F71" s="1317"/>
      <c r="G71" s="1327">
        <v>0.25</v>
      </c>
      <c r="H71" s="1327"/>
      <c r="I71" s="1333" t="str">
        <f>ARBETSBLAD!E125</f>
        <v>Kontant</v>
      </c>
      <c r="J71" s="1334">
        <f t="shared" si="10"/>
        <v>1</v>
      </c>
      <c r="K71" s="1335">
        <f>ARBETSBLAD!G125</f>
        <v>0.25</v>
      </c>
      <c r="L71" s="1336">
        <f t="shared" si="11"/>
        <v>0.25</v>
      </c>
      <c r="M71" s="1336">
        <f t="shared" si="12"/>
        <v>1.25</v>
      </c>
      <c r="N71" s="1317"/>
      <c r="O71" s="1317"/>
      <c r="P71" s="1317"/>
      <c r="Q71" s="1317"/>
      <c r="R71" s="1333" t="str">
        <f>ARBETSBLAD!E32</f>
        <v>5 mån</v>
      </c>
      <c r="S71" s="1332">
        <f>IF(R71="4 mån",4,IF(R71="5 mån",5,IF(R71="6 mån",6,IF(R71="7 mån",7,IF(R71="8 mån",8,IF(R71="9 mån",9,IF(R71="10 mån",10,0)))))))</f>
        <v>5</v>
      </c>
      <c r="T71" s="1317"/>
      <c r="W71" s="1283"/>
      <c r="X71" s="1283"/>
      <c r="Y71" s="1283"/>
      <c r="Z71" s="1283"/>
      <c r="AA71" s="1283"/>
      <c r="AB71" s="1283"/>
      <c r="AC71" s="1283"/>
      <c r="AD71" s="1283"/>
      <c r="AE71" s="1283"/>
      <c r="AF71" s="1283"/>
      <c r="AG71" s="1283"/>
      <c r="AH71" s="1283"/>
      <c r="AI71" s="1283"/>
      <c r="AJ71" s="1283"/>
      <c r="AL71" s="1328"/>
      <c r="AM71" s="1328"/>
      <c r="AN71" s="1329"/>
    </row>
    <row r="72" spans="1:40" s="115" customFormat="1" ht="12.75" hidden="1" customHeight="1">
      <c r="A72" s="1270"/>
      <c r="B72" s="1317" t="s">
        <v>37</v>
      </c>
      <c r="C72" s="1338" t="s">
        <v>190</v>
      </c>
      <c r="D72" s="1317"/>
      <c r="E72" s="1317">
        <f>IF($C$57=2,0,IF($C$57=1,3))</f>
        <v>3</v>
      </c>
      <c r="F72" s="1317"/>
      <c r="G72" s="1317"/>
      <c r="H72" s="1317"/>
      <c r="I72" s="1333" t="str">
        <f>ARBETSBLAD!E126</f>
        <v>Kontant</v>
      </c>
      <c r="J72" s="1334">
        <f t="shared" ref="J72:J79" si="13">IF(I72="Kontant",1,IF(I72="10 dagar",100,IF(I72="20 dagar",200,IF(I72="30 dagar",300,IF(I72="45 dagar",450,IF(I72="60 dagar",600,900))))))</f>
        <v>1</v>
      </c>
      <c r="K72" s="1335">
        <f>ARBETSBLAD!G126</f>
        <v>0.25</v>
      </c>
      <c r="L72" s="1336">
        <f t="shared" ref="L72:L79" si="14">IF(K72&lt;0.0001,0.001,K72)</f>
        <v>0.25</v>
      </c>
      <c r="M72" s="1336">
        <f t="shared" ref="M72:M79" si="15">J72+L72</f>
        <v>1.25</v>
      </c>
      <c r="N72" s="1317"/>
      <c r="O72" s="1323" t="s">
        <v>206</v>
      </c>
      <c r="P72" s="1317"/>
      <c r="Q72" s="1317"/>
      <c r="R72" s="1317"/>
      <c r="S72" s="1317"/>
      <c r="T72" s="1317"/>
      <c r="U72" s="1283"/>
      <c r="V72" s="1283"/>
      <c r="W72" s="1283"/>
      <c r="X72" s="1283"/>
      <c r="Y72" s="1283"/>
      <c r="Z72" s="1283"/>
      <c r="AA72" s="1283"/>
      <c r="AB72" s="1283"/>
      <c r="AC72" s="1283"/>
      <c r="AD72" s="1283"/>
      <c r="AE72" s="1283"/>
      <c r="AF72" s="1283"/>
      <c r="AG72" s="1283"/>
      <c r="AH72" s="1283"/>
      <c r="AI72" s="1283"/>
      <c r="AJ72" s="1283"/>
      <c r="AL72" s="1328"/>
      <c r="AM72" s="1328"/>
      <c r="AN72" s="1328"/>
    </row>
    <row r="73" spans="1:40" s="115" customFormat="1" ht="12.75" hidden="1" customHeight="1">
      <c r="A73" s="1270"/>
      <c r="B73" s="1317" t="s">
        <v>38</v>
      </c>
      <c r="C73" s="1338" t="s">
        <v>191</v>
      </c>
      <c r="D73" s="1317"/>
      <c r="E73" s="1317">
        <f>IF($C$57=2,0,IF($C$57=1,4))</f>
        <v>4</v>
      </c>
      <c r="F73" s="1317"/>
      <c r="G73" s="1317"/>
      <c r="H73" s="1317"/>
      <c r="I73" s="1333" t="str">
        <f>ARBETSBLAD!E127</f>
        <v>Kontant</v>
      </c>
      <c r="J73" s="1334">
        <f t="shared" si="13"/>
        <v>1</v>
      </c>
      <c r="K73" s="1335">
        <f>ARBETSBLAD!G127</f>
        <v>0.25</v>
      </c>
      <c r="L73" s="1336">
        <f t="shared" si="14"/>
        <v>0.25</v>
      </c>
      <c r="M73" s="1336">
        <f t="shared" si="15"/>
        <v>1.25</v>
      </c>
      <c r="N73" s="1317"/>
      <c r="O73" s="1332" t="s">
        <v>176</v>
      </c>
      <c r="P73" s="1332" t="s">
        <v>203</v>
      </c>
      <c r="Q73" s="1332" t="s">
        <v>177</v>
      </c>
      <c r="R73" s="1332" t="s">
        <v>203</v>
      </c>
      <c r="S73" s="1332" t="s">
        <v>204</v>
      </c>
      <c r="T73" s="1317"/>
      <c r="U73" s="1283"/>
      <c r="V73" s="1283"/>
      <c r="W73" s="1283"/>
      <c r="X73" s="1283"/>
      <c r="Y73" s="1283"/>
      <c r="Z73" s="1283"/>
      <c r="AA73" s="1283"/>
      <c r="AB73" s="1283"/>
      <c r="AC73" s="1283"/>
      <c r="AD73" s="1283"/>
      <c r="AE73" s="1283"/>
      <c r="AF73" s="1283"/>
      <c r="AG73" s="1283"/>
      <c r="AH73" s="1283"/>
      <c r="AI73" s="1283"/>
      <c r="AJ73" s="1283"/>
      <c r="AL73" s="1328"/>
      <c r="AM73" s="1328"/>
      <c r="AN73" s="1328"/>
    </row>
    <row r="74" spans="1:40" s="115" customFormat="1" ht="12.75" hidden="1" customHeight="1">
      <c r="A74" s="1270"/>
      <c r="B74" s="1317" t="s">
        <v>39</v>
      </c>
      <c r="C74" s="1338" t="s">
        <v>285</v>
      </c>
      <c r="D74" s="1317"/>
      <c r="E74" s="1317">
        <f>IF($C$57=2,0,IF($C$57=1,5))</f>
        <v>5</v>
      </c>
      <c r="F74" s="1317"/>
      <c r="G74" s="1317"/>
      <c r="H74" s="1317"/>
      <c r="I74" s="1333" t="str">
        <f>ARBETSBLAD!E128</f>
        <v>Kontant</v>
      </c>
      <c r="J74" s="1334">
        <f t="shared" si="13"/>
        <v>1</v>
      </c>
      <c r="K74" s="1335">
        <f>ARBETSBLAD!G128</f>
        <v>0.25</v>
      </c>
      <c r="L74" s="1336">
        <f t="shared" si="14"/>
        <v>0.25</v>
      </c>
      <c r="M74" s="1336">
        <f t="shared" si="15"/>
        <v>1.25</v>
      </c>
      <c r="N74" s="1317"/>
      <c r="O74" s="1333" t="str">
        <f>ARBETSBLAD!E139</f>
        <v>30 dagar</v>
      </c>
      <c r="P74" s="1334">
        <f t="shared" ref="P74:P80" si="16">IF(O74="Kontant",1,IF(O74="10 dagar",100,IF(O74="20 dagar",200,IF(O74="30 dagar",300,IF(O74="45 dagar",450,IF(O74="60 dagar",600,900))))))</f>
        <v>300</v>
      </c>
      <c r="Q74" s="1335">
        <f>ARBETSBLAD!G139</f>
        <v>0.25</v>
      </c>
      <c r="R74" s="1336">
        <f t="shared" ref="R74:R80" si="17">IF(Q74&lt;0.0001,0.001,Q74)</f>
        <v>0.25</v>
      </c>
      <c r="S74" s="1336">
        <f t="shared" ref="S74:S80" si="18">P74+R74</f>
        <v>300.25</v>
      </c>
      <c r="T74" s="1317"/>
      <c r="U74" s="1283"/>
      <c r="V74" s="1283"/>
      <c r="W74" s="1283"/>
      <c r="X74" s="1283"/>
      <c r="Y74" s="1283"/>
      <c r="Z74" s="1283"/>
      <c r="AA74" s="1283"/>
      <c r="AB74" s="1283"/>
      <c r="AC74" s="1283"/>
      <c r="AD74" s="1283"/>
      <c r="AE74" s="1283"/>
      <c r="AF74" s="1283"/>
      <c r="AG74" s="1283"/>
      <c r="AH74" s="1283"/>
      <c r="AI74" s="1283"/>
      <c r="AJ74" s="1283"/>
      <c r="AL74" s="1328"/>
      <c r="AM74" s="1328"/>
      <c r="AN74" s="1328"/>
    </row>
    <row r="75" spans="1:40" s="115" customFormat="1" ht="12.75" hidden="1" customHeight="1">
      <c r="A75" s="1270"/>
      <c r="B75" s="1317" t="s">
        <v>40</v>
      </c>
      <c r="C75" s="1338" t="s">
        <v>286</v>
      </c>
      <c r="D75" s="1317"/>
      <c r="E75" s="1317">
        <f>IF($C$57=2,0,IF($C$57=1,6))</f>
        <v>6</v>
      </c>
      <c r="F75" s="1317"/>
      <c r="G75" s="1317"/>
      <c r="H75" s="1317"/>
      <c r="I75" s="1333" t="str">
        <f>ARBETSBLAD!E129</f>
        <v>Kontant</v>
      </c>
      <c r="J75" s="1334">
        <f t="shared" si="13"/>
        <v>1</v>
      </c>
      <c r="K75" s="1335">
        <f>ARBETSBLAD!G129</f>
        <v>0.25</v>
      </c>
      <c r="L75" s="1336">
        <f t="shared" si="14"/>
        <v>0.25</v>
      </c>
      <c r="M75" s="1336">
        <f t="shared" si="15"/>
        <v>1.25</v>
      </c>
      <c r="N75" s="1317"/>
      <c r="O75" s="1333" t="str">
        <f>ARBETSBLAD!E140</f>
        <v>30 dagar</v>
      </c>
      <c r="P75" s="1334">
        <f t="shared" si="16"/>
        <v>300</v>
      </c>
      <c r="Q75" s="1335">
        <f>ARBETSBLAD!G140</f>
        <v>0.25</v>
      </c>
      <c r="R75" s="1336">
        <f t="shared" si="17"/>
        <v>0.25</v>
      </c>
      <c r="S75" s="1336">
        <f t="shared" si="18"/>
        <v>300.25</v>
      </c>
      <c r="T75" s="1317"/>
      <c r="U75" s="1283"/>
      <c r="V75" s="1283"/>
      <c r="W75" s="1283"/>
      <c r="X75" s="1283"/>
      <c r="Y75" s="1283"/>
      <c r="Z75" s="1283"/>
      <c r="AA75" s="1283"/>
      <c r="AB75" s="1283"/>
      <c r="AC75" s="1283"/>
      <c r="AD75" s="1283"/>
      <c r="AE75" s="1283"/>
      <c r="AF75" s="1283"/>
      <c r="AG75" s="1283"/>
      <c r="AH75" s="1283"/>
      <c r="AI75" s="1283"/>
      <c r="AJ75" s="1283"/>
      <c r="AL75" s="1328"/>
      <c r="AM75" s="1328"/>
      <c r="AN75" s="1328"/>
    </row>
    <row r="76" spans="1:40" s="115" customFormat="1" ht="12.75" hidden="1" customHeight="1">
      <c r="A76" s="1270"/>
      <c r="B76" s="1317" t="s">
        <v>41</v>
      </c>
      <c r="C76" s="1338" t="s">
        <v>287</v>
      </c>
      <c r="D76" s="1317"/>
      <c r="E76" s="1317">
        <v>7</v>
      </c>
      <c r="F76" s="1317"/>
      <c r="G76" s="1317"/>
      <c r="H76" s="1317"/>
      <c r="I76" s="1333" t="str">
        <f>ARBETSBLAD!E130</f>
        <v>Kontant</v>
      </c>
      <c r="J76" s="1334">
        <f t="shared" si="13"/>
        <v>1</v>
      </c>
      <c r="K76" s="1335">
        <f>ARBETSBLAD!G130</f>
        <v>0.25</v>
      </c>
      <c r="L76" s="1336">
        <f t="shared" si="14"/>
        <v>0.25</v>
      </c>
      <c r="M76" s="1336">
        <f t="shared" si="15"/>
        <v>1.25</v>
      </c>
      <c r="N76" s="1317"/>
      <c r="O76" s="1333" t="str">
        <f>ARBETSBLAD!E141</f>
        <v>30 dagar</v>
      </c>
      <c r="P76" s="1334">
        <f t="shared" si="16"/>
        <v>300</v>
      </c>
      <c r="Q76" s="1335">
        <f>ARBETSBLAD!G141</f>
        <v>0.25</v>
      </c>
      <c r="R76" s="1336">
        <f t="shared" si="17"/>
        <v>0.25</v>
      </c>
      <c r="S76" s="1336">
        <f t="shared" si="18"/>
        <v>300.25</v>
      </c>
      <c r="T76" s="1317"/>
      <c r="U76" s="1283"/>
      <c r="V76" s="1283"/>
      <c r="W76" s="1283"/>
      <c r="X76" s="1283"/>
      <c r="Y76" s="1283"/>
      <c r="Z76" s="1283"/>
      <c r="AA76" s="1283"/>
      <c r="AB76" s="1283"/>
      <c r="AC76" s="1283"/>
      <c r="AD76" s="1283"/>
      <c r="AE76" s="1283"/>
      <c r="AF76" s="1283"/>
      <c r="AG76" s="1283"/>
      <c r="AH76" s="1283"/>
      <c r="AI76" s="1283"/>
      <c r="AJ76" s="1283"/>
      <c r="AL76" s="1328"/>
      <c r="AM76" s="1328"/>
      <c r="AN76" s="1328"/>
    </row>
    <row r="77" spans="1:40" s="115" customFormat="1" ht="12.75" hidden="1" customHeight="1">
      <c r="A77" s="1270"/>
      <c r="B77" s="1317" t="s">
        <v>42</v>
      </c>
      <c r="C77" s="1338" t="s">
        <v>288</v>
      </c>
      <c r="D77" s="1317"/>
      <c r="E77" s="1317">
        <v>8</v>
      </c>
      <c r="F77" s="1317"/>
      <c r="G77" s="1317"/>
      <c r="H77" s="1317"/>
      <c r="I77" s="1333" t="str">
        <f>ARBETSBLAD!E131</f>
        <v>Kontant</v>
      </c>
      <c r="J77" s="1334">
        <f t="shared" si="13"/>
        <v>1</v>
      </c>
      <c r="K77" s="1335">
        <f>ARBETSBLAD!G131</f>
        <v>0.25</v>
      </c>
      <c r="L77" s="1336">
        <f t="shared" si="14"/>
        <v>0.25</v>
      </c>
      <c r="M77" s="1336">
        <f t="shared" si="15"/>
        <v>1.25</v>
      </c>
      <c r="N77" s="1317"/>
      <c r="O77" s="1333" t="str">
        <f>ARBETSBLAD!E142</f>
        <v>30 dagar</v>
      </c>
      <c r="P77" s="1334">
        <f t="shared" si="16"/>
        <v>300</v>
      </c>
      <c r="Q77" s="1335">
        <f>ARBETSBLAD!G142</f>
        <v>0.25</v>
      </c>
      <c r="R77" s="1336">
        <f t="shared" si="17"/>
        <v>0.25</v>
      </c>
      <c r="S77" s="1336">
        <f t="shared" si="18"/>
        <v>300.25</v>
      </c>
      <c r="T77" s="1317"/>
      <c r="U77" s="1283"/>
      <c r="V77" s="1283"/>
      <c r="W77" s="1283"/>
      <c r="X77" s="1283"/>
      <c r="Y77" s="1283"/>
      <c r="Z77" s="1283"/>
      <c r="AA77" s="1283"/>
      <c r="AB77" s="1283"/>
      <c r="AC77" s="1283"/>
      <c r="AD77" s="1283"/>
      <c r="AE77" s="1283"/>
      <c r="AF77" s="1283"/>
      <c r="AG77" s="1283"/>
      <c r="AH77" s="1283"/>
      <c r="AI77" s="1283"/>
      <c r="AJ77" s="1283"/>
      <c r="AL77" s="1328"/>
      <c r="AM77" s="1328"/>
      <c r="AN77" s="1328"/>
    </row>
    <row r="78" spans="1:40" s="115" customFormat="1" ht="12.75" hidden="1" customHeight="1">
      <c r="A78" s="1270"/>
      <c r="B78" s="1317" t="s">
        <v>43</v>
      </c>
      <c r="C78" s="1338" t="s">
        <v>289</v>
      </c>
      <c r="D78" s="1317"/>
      <c r="E78" s="1317">
        <v>9</v>
      </c>
      <c r="F78" s="1317"/>
      <c r="G78" s="1317"/>
      <c r="H78" s="1317"/>
      <c r="I78" s="1333" t="str">
        <f>ARBETSBLAD!E132</f>
        <v>Kontant</v>
      </c>
      <c r="J78" s="1334">
        <f t="shared" si="13"/>
        <v>1</v>
      </c>
      <c r="K78" s="1335">
        <f>ARBETSBLAD!G132</f>
        <v>0.25</v>
      </c>
      <c r="L78" s="1336">
        <f t="shared" si="14"/>
        <v>0.25</v>
      </c>
      <c r="M78" s="1336">
        <f t="shared" si="15"/>
        <v>1.25</v>
      </c>
      <c r="N78" s="1317"/>
      <c r="O78" s="1333" t="str">
        <f>ARBETSBLAD!E143</f>
        <v>30 dagar</v>
      </c>
      <c r="P78" s="1334">
        <f t="shared" si="16"/>
        <v>300</v>
      </c>
      <c r="Q78" s="1335">
        <f>ARBETSBLAD!G143</f>
        <v>0.25</v>
      </c>
      <c r="R78" s="1336">
        <f t="shared" si="17"/>
        <v>0.25</v>
      </c>
      <c r="S78" s="1336">
        <f t="shared" si="18"/>
        <v>300.25</v>
      </c>
      <c r="T78" s="1317"/>
      <c r="X78" s="1317"/>
      <c r="Y78" s="1317"/>
      <c r="Z78" s="1317"/>
      <c r="AA78" s="1317"/>
      <c r="AB78" s="1317"/>
      <c r="AC78" s="1317"/>
      <c r="AD78" s="1317"/>
      <c r="AE78" s="1317"/>
      <c r="AF78" s="1317"/>
      <c r="AG78" s="1317"/>
      <c r="AH78" s="1283"/>
      <c r="AI78" s="1283"/>
      <c r="AJ78" s="1283"/>
      <c r="AL78" s="1328"/>
      <c r="AM78" s="1328"/>
      <c r="AN78" s="1328"/>
    </row>
    <row r="79" spans="1:40" s="115" customFormat="1" ht="12.75" hidden="1" customHeight="1">
      <c r="A79" s="1270"/>
      <c r="B79" s="1317" t="s">
        <v>44</v>
      </c>
      <c r="C79" s="1339" t="s">
        <v>290</v>
      </c>
      <c r="D79" s="1317"/>
      <c r="E79" s="1317">
        <v>10</v>
      </c>
      <c r="F79" s="1317"/>
      <c r="G79" s="1317"/>
      <c r="H79" s="1317"/>
      <c r="I79" s="1333" t="str">
        <f>ARBETSBLAD!E133</f>
        <v>Kontant</v>
      </c>
      <c r="J79" s="1334">
        <f t="shared" si="13"/>
        <v>1</v>
      </c>
      <c r="K79" s="1335">
        <f>ARBETSBLAD!G133</f>
        <v>0.25</v>
      </c>
      <c r="L79" s="1336">
        <f t="shared" si="14"/>
        <v>0.25</v>
      </c>
      <c r="M79" s="1336">
        <f t="shared" si="15"/>
        <v>1.25</v>
      </c>
      <c r="N79" s="1317"/>
      <c r="O79" s="1333" t="str">
        <f>ARBETSBLAD!E144</f>
        <v>30 dagar</v>
      </c>
      <c r="P79" s="1334">
        <f t="shared" si="16"/>
        <v>300</v>
      </c>
      <c r="Q79" s="1335">
        <f>ARBETSBLAD!G144</f>
        <v>0.25</v>
      </c>
      <c r="R79" s="1336">
        <f t="shared" si="17"/>
        <v>0.25</v>
      </c>
      <c r="S79" s="1336">
        <f t="shared" si="18"/>
        <v>300.25</v>
      </c>
      <c r="T79" s="1317"/>
      <c r="X79" s="1317"/>
      <c r="Y79" s="1317"/>
      <c r="Z79" s="1317"/>
      <c r="AA79" s="1317"/>
      <c r="AB79" s="1317"/>
      <c r="AC79" s="1317"/>
      <c r="AD79" s="1317"/>
      <c r="AE79" s="1317"/>
      <c r="AF79" s="1317"/>
      <c r="AG79" s="1317"/>
      <c r="AH79" s="1283"/>
      <c r="AI79" s="1283"/>
      <c r="AJ79" s="1283"/>
      <c r="AL79" s="1328"/>
      <c r="AM79" s="1328"/>
      <c r="AN79" s="1328"/>
    </row>
    <row r="80" spans="1:40" s="115" customFormat="1" ht="12.75" hidden="1" customHeight="1">
      <c r="A80" s="1270"/>
      <c r="B80" s="1317" t="s">
        <v>45</v>
      </c>
      <c r="C80" s="1317"/>
      <c r="D80" s="1317"/>
      <c r="E80" s="1317">
        <v>11</v>
      </c>
      <c r="F80" s="1317"/>
      <c r="G80" s="1317"/>
      <c r="H80" s="1317"/>
      <c r="I80" s="2256" t="s">
        <v>0</v>
      </c>
      <c r="J80" s="1334">
        <f>IF(I80="Kontant",1,IF(I80="10 dagar",100,IF(I80="20 dagar",200,IF(I80="30 dagar",300,IF(I80="45 dagar",450,IF(I80="60 dagar",600,900))))))</f>
        <v>1</v>
      </c>
      <c r="K80" s="1335">
        <f>ARBETSBLAD!G239</f>
        <v>0.25</v>
      </c>
      <c r="L80" s="1336">
        <f>IF(K80&lt;0.0001,0.001,K80)</f>
        <v>0.25</v>
      </c>
      <c r="M80" s="1336">
        <f>J80+L80</f>
        <v>1.25</v>
      </c>
      <c r="N80" s="1317"/>
      <c r="O80" s="1333" t="str">
        <f>ARBETSBLAD!E153</f>
        <v>30 dagar</v>
      </c>
      <c r="P80" s="1334">
        <f t="shared" si="16"/>
        <v>300</v>
      </c>
      <c r="Q80" s="1335">
        <f>ARBETSBLAD!G153</f>
        <v>0.25</v>
      </c>
      <c r="R80" s="1336">
        <f t="shared" si="17"/>
        <v>0.25</v>
      </c>
      <c r="S80" s="1336">
        <f t="shared" si="18"/>
        <v>300.25</v>
      </c>
      <c r="T80" s="1317"/>
      <c r="X80" s="1317"/>
      <c r="Y80" s="1317"/>
      <c r="Z80" s="1317"/>
      <c r="AA80" s="1317"/>
      <c r="AB80" s="1317"/>
      <c r="AC80" s="1317"/>
      <c r="AD80" s="1317"/>
      <c r="AE80" s="1317"/>
      <c r="AF80" s="1317"/>
      <c r="AG80" s="1317"/>
      <c r="AH80" s="1283"/>
      <c r="AI80" s="1283"/>
      <c r="AJ80" s="1283"/>
      <c r="AL80" s="1328"/>
      <c r="AM80" s="1328"/>
      <c r="AN80" s="1328"/>
    </row>
    <row r="81" spans="1:40" s="115" customFormat="1" ht="12.75" hidden="1" customHeight="1">
      <c r="A81" s="1270"/>
      <c r="B81" s="1317" t="s">
        <v>5</v>
      </c>
      <c r="C81" s="1317"/>
      <c r="D81" s="1317"/>
      <c r="E81" s="1317">
        <v>12</v>
      </c>
      <c r="F81" s="1317"/>
      <c r="G81" s="1317"/>
      <c r="H81" s="1317"/>
      <c r="I81" s="1323" t="s">
        <v>175</v>
      </c>
      <c r="J81" s="1317"/>
      <c r="K81" s="1317"/>
      <c r="L81" s="1317"/>
      <c r="M81" s="1317"/>
      <c r="N81" s="1317"/>
      <c r="O81" s="1340"/>
      <c r="P81" s="1341"/>
      <c r="Q81" s="1342"/>
      <c r="R81" s="1343"/>
      <c r="S81" s="1341"/>
      <c r="T81" s="1317"/>
      <c r="U81" s="1317"/>
      <c r="V81" s="1317"/>
      <c r="W81" s="1317"/>
      <c r="X81" s="1317"/>
      <c r="Y81" s="1317"/>
      <c r="Z81" s="1317"/>
      <c r="AA81" s="1317"/>
      <c r="AB81" s="1317"/>
      <c r="AC81" s="1317"/>
      <c r="AD81" s="1317"/>
      <c r="AE81" s="1317"/>
      <c r="AF81" s="1317"/>
      <c r="AG81" s="1317"/>
      <c r="AH81" s="1283"/>
      <c r="AI81" s="1283"/>
      <c r="AJ81" s="1283"/>
      <c r="AL81" s="1328"/>
      <c r="AM81" s="1328"/>
      <c r="AN81" s="1328"/>
    </row>
    <row r="82" spans="1:40" s="115" customFormat="1" ht="12.75" hidden="1" customHeight="1">
      <c r="A82" s="1270"/>
      <c r="B82" s="1317"/>
      <c r="C82" s="1317"/>
      <c r="D82" s="1317"/>
      <c r="E82" s="1317">
        <v>13</v>
      </c>
      <c r="F82" s="1317"/>
      <c r="G82" s="1317"/>
      <c r="H82" s="1317"/>
      <c r="I82" s="1332" t="s">
        <v>176</v>
      </c>
      <c r="J82" s="1332" t="s">
        <v>203</v>
      </c>
      <c r="K82" s="1332" t="s">
        <v>177</v>
      </c>
      <c r="L82" s="1332" t="s">
        <v>203</v>
      </c>
      <c r="M82" s="1332" t="s">
        <v>204</v>
      </c>
      <c r="N82" s="1317"/>
      <c r="O82" s="1323" t="s">
        <v>199</v>
      </c>
      <c r="P82" s="1317"/>
      <c r="Q82" s="1317"/>
      <c r="R82" s="1317"/>
      <c r="S82" s="1317"/>
      <c r="T82" s="1317"/>
      <c r="U82" s="1317"/>
      <c r="V82" s="1317"/>
      <c r="W82" s="1317"/>
      <c r="X82" s="1317"/>
      <c r="Y82" s="1317"/>
      <c r="Z82" s="1317"/>
      <c r="AA82" s="1317"/>
      <c r="AB82" s="1317"/>
      <c r="AC82" s="1317"/>
      <c r="AD82" s="1317"/>
      <c r="AE82" s="1317"/>
      <c r="AF82" s="1317"/>
      <c r="AG82" s="1317"/>
      <c r="AH82" s="1283"/>
      <c r="AI82" s="1283"/>
      <c r="AJ82" s="1283"/>
      <c r="AL82" s="1328"/>
      <c r="AM82" s="1328"/>
      <c r="AN82" s="1328"/>
    </row>
    <row r="83" spans="1:40" s="115" customFormat="1" ht="12.75" hidden="1" customHeight="1">
      <c r="A83" s="1270"/>
      <c r="B83" s="1317"/>
      <c r="C83" s="1317"/>
      <c r="D83" s="1317"/>
      <c r="E83" s="1317">
        <v>14</v>
      </c>
      <c r="F83" s="1317"/>
      <c r="G83" s="1317"/>
      <c r="H83" s="1317"/>
      <c r="I83" s="2342" t="str">
        <f>ARBETSBLAD!E11</f>
        <v>30 dagar</v>
      </c>
      <c r="J83" s="2343">
        <f t="shared" ref="J83:J92" si="19">IF(I83="Kontant",1,IF(I83="10 dagar",100,IF(I83="20 dagar",200,IF(I83="30 dagar",300,IF(I83="45 dagar",450,IF(I83="60 dagar",600,900))))))</f>
        <v>300</v>
      </c>
      <c r="K83" s="2344">
        <f>ARBETSBLAD!G11</f>
        <v>0.25</v>
      </c>
      <c r="L83" s="2345">
        <f t="shared" ref="L83:L92" si="20">IF(K83&lt;0.0001,0.001,K83)</f>
        <v>0.25</v>
      </c>
      <c r="M83" s="2345">
        <f t="shared" ref="M83:M92" si="21">J83+L83</f>
        <v>300.25</v>
      </c>
      <c r="N83" s="1317"/>
      <c r="O83" s="1332" t="s">
        <v>176</v>
      </c>
      <c r="P83" s="1332" t="s">
        <v>203</v>
      </c>
      <c r="Q83" s="1332" t="s">
        <v>177</v>
      </c>
      <c r="R83" s="1332" t="s">
        <v>203</v>
      </c>
      <c r="S83" s="1332" t="s">
        <v>204</v>
      </c>
      <c r="T83" s="1317"/>
      <c r="U83" s="1317"/>
      <c r="V83" s="1317"/>
      <c r="W83" s="1317"/>
      <c r="X83" s="1317"/>
      <c r="Y83" s="1317"/>
      <c r="Z83" s="1317"/>
      <c r="AA83" s="1317"/>
      <c r="AB83" s="1317"/>
      <c r="AC83" s="1317"/>
      <c r="AD83" s="1317"/>
      <c r="AE83" s="1317"/>
      <c r="AF83" s="1317"/>
      <c r="AG83" s="1317"/>
      <c r="AH83" s="1283"/>
      <c r="AI83" s="1283"/>
      <c r="AJ83" s="1283"/>
      <c r="AL83" s="1328"/>
      <c r="AM83" s="1328"/>
      <c r="AN83" s="1328"/>
    </row>
    <row r="84" spans="1:40" s="115" customFormat="1" ht="12.75" hidden="1" customHeight="1">
      <c r="A84" s="1270"/>
      <c r="B84" s="1317"/>
      <c r="C84" s="1317"/>
      <c r="D84" s="1317"/>
      <c r="E84" s="1317">
        <v>15</v>
      </c>
      <c r="F84" s="1317"/>
      <c r="G84" s="1317"/>
      <c r="H84" s="1317"/>
      <c r="I84" s="2342" t="str">
        <f>ARBETSBLAD!E12</f>
        <v>30 dagar</v>
      </c>
      <c r="J84" s="2343">
        <f t="shared" si="19"/>
        <v>300</v>
      </c>
      <c r="K84" s="2344">
        <f>ARBETSBLAD!G12</f>
        <v>0.25</v>
      </c>
      <c r="L84" s="2345">
        <f t="shared" si="20"/>
        <v>0.25</v>
      </c>
      <c r="M84" s="2345">
        <f t="shared" si="21"/>
        <v>300.25</v>
      </c>
      <c r="N84" s="1317"/>
      <c r="O84" s="2346" t="str">
        <f>ARBETSBLAD!E37</f>
        <v>30 dagar</v>
      </c>
      <c r="P84" s="2343">
        <f t="shared" ref="P84:P93" si="22">IF(O84="Kontant",1,IF(O84="10 dagar",100,IF(O84="20 dagar",200,IF(O84="30 dagar",300,IF(O84="45 dagar",450,IF(O84="60 dagar",600,900))))))</f>
        <v>300</v>
      </c>
      <c r="Q84" s="2344">
        <f>ARBETSBLAD!G37</f>
        <v>0.25</v>
      </c>
      <c r="R84" s="2345">
        <f t="shared" ref="R84:R93" si="23">IF(Q84&lt;0.0001,0.001,Q84)</f>
        <v>0.25</v>
      </c>
      <c r="S84" s="2345">
        <f t="shared" ref="S84:S93" si="24">P84+R84</f>
        <v>300.25</v>
      </c>
      <c r="T84" s="1317"/>
      <c r="U84" s="1317"/>
      <c r="V84" s="1317"/>
      <c r="W84" s="1317"/>
      <c r="X84" s="1317"/>
      <c r="Y84" s="1317"/>
      <c r="Z84" s="1317"/>
      <c r="AA84" s="1317"/>
      <c r="AB84" s="1317"/>
      <c r="AC84" s="1317"/>
      <c r="AD84" s="1317"/>
      <c r="AE84" s="1317"/>
      <c r="AF84" s="1317"/>
      <c r="AG84" s="1317"/>
      <c r="AH84" s="1283"/>
      <c r="AI84" s="1283"/>
      <c r="AJ84" s="1283"/>
      <c r="AL84" s="1328"/>
      <c r="AM84" s="1328"/>
      <c r="AN84" s="1328"/>
    </row>
    <row r="85" spans="1:40" s="115" customFormat="1" ht="12.75" hidden="1" customHeight="1">
      <c r="A85" s="1270"/>
      <c r="B85" s="1317"/>
      <c r="C85" s="1317"/>
      <c r="D85" s="1317"/>
      <c r="E85" s="1317">
        <v>16</v>
      </c>
      <c r="F85" s="1317"/>
      <c r="G85" s="1317"/>
      <c r="H85" s="1317"/>
      <c r="I85" s="2342" t="str">
        <f>ARBETSBLAD!E13</f>
        <v>30 dagar</v>
      </c>
      <c r="J85" s="2343">
        <f t="shared" si="19"/>
        <v>300</v>
      </c>
      <c r="K85" s="2344">
        <f>ARBETSBLAD!G13</f>
        <v>0.25</v>
      </c>
      <c r="L85" s="2345">
        <f t="shared" si="20"/>
        <v>0.25</v>
      </c>
      <c r="M85" s="2345">
        <f t="shared" si="21"/>
        <v>300.25</v>
      </c>
      <c r="N85" s="1317"/>
      <c r="O85" s="2346" t="str">
        <f>ARBETSBLAD!E38</f>
        <v>30 dagar</v>
      </c>
      <c r="P85" s="2343">
        <f t="shared" si="22"/>
        <v>300</v>
      </c>
      <c r="Q85" s="2344">
        <f>ARBETSBLAD!G38</f>
        <v>0.25</v>
      </c>
      <c r="R85" s="2345">
        <f t="shared" si="23"/>
        <v>0.25</v>
      </c>
      <c r="S85" s="2345">
        <f t="shared" si="24"/>
        <v>300.25</v>
      </c>
      <c r="T85" s="1317"/>
      <c r="U85" s="1317"/>
      <c r="V85" s="1317"/>
      <c r="W85" s="1317"/>
      <c r="X85" s="1317"/>
      <c r="Y85" s="1317"/>
      <c r="Z85" s="1317"/>
      <c r="AA85" s="1317"/>
      <c r="AB85" s="1317"/>
      <c r="AC85" s="1317"/>
      <c r="AD85" s="1317"/>
      <c r="AE85" s="1317"/>
      <c r="AF85" s="1317"/>
      <c r="AG85" s="1317"/>
      <c r="AH85" s="1283"/>
      <c r="AI85" s="1283"/>
      <c r="AJ85" s="1283"/>
      <c r="AL85" s="1328"/>
      <c r="AM85" s="1328"/>
      <c r="AN85" s="1328"/>
    </row>
    <row r="86" spans="1:40" s="115" customFormat="1" ht="12.75" hidden="1" customHeight="1">
      <c r="A86" s="1270"/>
      <c r="B86" s="1317"/>
      <c r="C86" s="1317"/>
      <c r="D86" s="1317"/>
      <c r="E86" s="1317">
        <v>17</v>
      </c>
      <c r="F86" s="1317"/>
      <c r="G86" s="1317"/>
      <c r="H86" s="1317"/>
      <c r="I86" s="2342" t="str">
        <f>ARBETSBLAD!E14</f>
        <v>30 dagar</v>
      </c>
      <c r="J86" s="2343">
        <f t="shared" si="19"/>
        <v>300</v>
      </c>
      <c r="K86" s="2344">
        <f>ARBETSBLAD!G14</f>
        <v>0.25</v>
      </c>
      <c r="L86" s="2345">
        <f t="shared" si="20"/>
        <v>0.25</v>
      </c>
      <c r="M86" s="2345">
        <f t="shared" si="21"/>
        <v>300.25</v>
      </c>
      <c r="N86" s="1317"/>
      <c r="O86" s="2346" t="str">
        <f>ARBETSBLAD!E39</f>
        <v>30 dagar</v>
      </c>
      <c r="P86" s="2343">
        <f t="shared" si="22"/>
        <v>300</v>
      </c>
      <c r="Q86" s="2344">
        <f>ARBETSBLAD!G39</f>
        <v>0.25</v>
      </c>
      <c r="R86" s="2345">
        <f t="shared" si="23"/>
        <v>0.25</v>
      </c>
      <c r="S86" s="2345">
        <f t="shared" si="24"/>
        <v>300.25</v>
      </c>
      <c r="T86" s="1317"/>
      <c r="U86" s="1317"/>
      <c r="V86" s="1317"/>
      <c r="W86" s="1317"/>
      <c r="X86" s="1317"/>
      <c r="Y86" s="1317"/>
      <c r="Z86" s="1317"/>
      <c r="AA86" s="1317"/>
      <c r="AB86" s="1317"/>
      <c r="AC86" s="1317"/>
      <c r="AD86" s="1317"/>
      <c r="AE86" s="1317"/>
      <c r="AF86" s="1317"/>
      <c r="AG86" s="1317"/>
      <c r="AH86" s="1283"/>
      <c r="AI86" s="1283"/>
      <c r="AJ86" s="1283"/>
      <c r="AL86" s="1328"/>
      <c r="AM86" s="1328"/>
      <c r="AN86" s="1328"/>
    </row>
    <row r="87" spans="1:40" s="115" customFormat="1" ht="12.75" hidden="1" customHeight="1">
      <c r="A87" s="1270"/>
      <c r="B87" s="1317"/>
      <c r="C87" s="1317"/>
      <c r="D87" s="1317"/>
      <c r="E87" s="1317">
        <v>18</v>
      </c>
      <c r="F87" s="1317"/>
      <c r="G87" s="1317"/>
      <c r="H87" s="1317"/>
      <c r="I87" s="2342" t="str">
        <f>ARBETSBLAD!E15</f>
        <v>30 dagar</v>
      </c>
      <c r="J87" s="2343">
        <f t="shared" si="19"/>
        <v>300</v>
      </c>
      <c r="K87" s="2344">
        <f>ARBETSBLAD!G15</f>
        <v>0.25</v>
      </c>
      <c r="L87" s="2345">
        <f t="shared" si="20"/>
        <v>0.25</v>
      </c>
      <c r="M87" s="2345">
        <f t="shared" si="21"/>
        <v>300.25</v>
      </c>
      <c r="N87" s="1317"/>
      <c r="O87" s="2346" t="str">
        <f>ARBETSBLAD!E40</f>
        <v>30 dagar</v>
      </c>
      <c r="P87" s="2343">
        <f t="shared" si="22"/>
        <v>300</v>
      </c>
      <c r="Q87" s="2344">
        <f>ARBETSBLAD!G40</f>
        <v>0.25</v>
      </c>
      <c r="R87" s="2345">
        <f t="shared" si="23"/>
        <v>0.25</v>
      </c>
      <c r="S87" s="2345">
        <f t="shared" si="24"/>
        <v>300.25</v>
      </c>
      <c r="T87" s="1317"/>
      <c r="U87" s="1317"/>
      <c r="V87" s="1317"/>
      <c r="W87" s="1317"/>
      <c r="X87" s="1317"/>
      <c r="Y87" s="1317"/>
      <c r="Z87" s="1317"/>
      <c r="AA87" s="1317"/>
      <c r="AB87" s="1317"/>
      <c r="AC87" s="1317"/>
      <c r="AD87" s="1317"/>
      <c r="AE87" s="1317"/>
      <c r="AF87" s="1317"/>
      <c r="AG87" s="1317"/>
      <c r="AH87" s="1283"/>
      <c r="AI87" s="1283"/>
      <c r="AJ87" s="1283"/>
      <c r="AL87" s="1328"/>
      <c r="AM87" s="1328"/>
      <c r="AN87" s="1328"/>
    </row>
    <row r="88" spans="1:40" s="115" customFormat="1" ht="12.75" hidden="1" customHeight="1">
      <c r="A88" s="1270"/>
      <c r="B88" s="1317"/>
      <c r="C88" s="1317"/>
      <c r="D88" s="1317"/>
      <c r="E88" s="1317">
        <v>19</v>
      </c>
      <c r="F88" s="1317"/>
      <c r="G88" s="1317"/>
      <c r="H88" s="1317"/>
      <c r="I88" s="2342" t="str">
        <f>ARBETSBLAD!E16</f>
        <v>30 dagar</v>
      </c>
      <c r="J88" s="2343">
        <f t="shared" si="19"/>
        <v>300</v>
      </c>
      <c r="K88" s="2344">
        <f>ARBETSBLAD!G16</f>
        <v>0.25</v>
      </c>
      <c r="L88" s="2345">
        <f t="shared" si="20"/>
        <v>0.25</v>
      </c>
      <c r="M88" s="2345">
        <f t="shared" si="21"/>
        <v>300.25</v>
      </c>
      <c r="N88" s="1317"/>
      <c r="O88" s="2346" t="str">
        <f>ARBETSBLAD!E41</f>
        <v>30 dagar</v>
      </c>
      <c r="P88" s="2343">
        <f t="shared" si="22"/>
        <v>300</v>
      </c>
      <c r="Q88" s="2344">
        <f>ARBETSBLAD!G41</f>
        <v>0.25</v>
      </c>
      <c r="R88" s="2345">
        <f t="shared" si="23"/>
        <v>0.25</v>
      </c>
      <c r="S88" s="2345">
        <f t="shared" si="24"/>
        <v>300.25</v>
      </c>
      <c r="T88" s="1317"/>
      <c r="U88" s="1317"/>
      <c r="V88" s="1317"/>
      <c r="W88" s="1317"/>
      <c r="X88" s="1317"/>
      <c r="Y88" s="1317"/>
      <c r="Z88" s="1317"/>
      <c r="AA88" s="1317"/>
      <c r="AB88" s="1317"/>
      <c r="AC88" s="1317"/>
      <c r="AD88" s="1317"/>
      <c r="AE88" s="1317"/>
      <c r="AF88" s="1317"/>
      <c r="AG88" s="1317"/>
      <c r="AH88" s="1283"/>
      <c r="AI88" s="1283"/>
      <c r="AJ88" s="1283"/>
      <c r="AL88" s="1328"/>
      <c r="AM88" s="1328"/>
      <c r="AN88" s="1328"/>
    </row>
    <row r="89" spans="1:40" s="115" customFormat="1" ht="12.75" hidden="1" customHeight="1">
      <c r="A89" s="1270"/>
      <c r="B89" s="1317"/>
      <c r="C89" s="1317"/>
      <c r="D89" s="1317"/>
      <c r="E89" s="1317">
        <v>20</v>
      </c>
      <c r="F89" s="1317"/>
      <c r="G89" s="1317"/>
      <c r="H89" s="1317"/>
      <c r="I89" s="2342" t="str">
        <f>ARBETSBLAD!E17</f>
        <v>30 dagar</v>
      </c>
      <c r="J89" s="2343">
        <f t="shared" si="19"/>
        <v>300</v>
      </c>
      <c r="K89" s="2344">
        <f>ARBETSBLAD!G17</f>
        <v>0.25</v>
      </c>
      <c r="L89" s="2345">
        <f t="shared" si="20"/>
        <v>0.25</v>
      </c>
      <c r="M89" s="2345">
        <f t="shared" si="21"/>
        <v>300.25</v>
      </c>
      <c r="N89" s="1317"/>
      <c r="O89" s="2346" t="str">
        <f>ARBETSBLAD!E42</f>
        <v>30 dagar</v>
      </c>
      <c r="P89" s="2343">
        <f t="shared" si="22"/>
        <v>300</v>
      </c>
      <c r="Q89" s="2344">
        <f>ARBETSBLAD!G42</f>
        <v>0.25</v>
      </c>
      <c r="R89" s="2345">
        <f t="shared" si="23"/>
        <v>0.25</v>
      </c>
      <c r="S89" s="2345">
        <f t="shared" si="24"/>
        <v>300.25</v>
      </c>
      <c r="T89" s="1317"/>
      <c r="U89" s="1317"/>
      <c r="V89" s="1317"/>
      <c r="W89" s="1317"/>
      <c r="X89" s="1317"/>
      <c r="Y89" s="1317"/>
      <c r="Z89" s="1317"/>
      <c r="AA89" s="1317"/>
      <c r="AB89" s="1317"/>
      <c r="AC89" s="1317"/>
      <c r="AD89" s="1317"/>
      <c r="AE89" s="1317"/>
      <c r="AF89" s="1317"/>
      <c r="AG89" s="1317"/>
      <c r="AH89" s="1283"/>
      <c r="AI89" s="1283"/>
      <c r="AJ89" s="1283"/>
      <c r="AL89" s="1328"/>
      <c r="AM89" s="1328"/>
      <c r="AN89" s="1328"/>
    </row>
    <row r="90" spans="1:40" s="115" customFormat="1" ht="12.75" hidden="1" customHeight="1">
      <c r="A90" s="1270"/>
      <c r="B90" s="1317"/>
      <c r="C90" s="1317"/>
      <c r="D90" s="1317"/>
      <c r="E90" s="1317">
        <v>21</v>
      </c>
      <c r="F90" s="1317"/>
      <c r="G90" s="1317"/>
      <c r="H90" s="1317"/>
      <c r="I90" s="2342" t="str">
        <f>ARBETSBLAD!E18</f>
        <v>30 dagar</v>
      </c>
      <c r="J90" s="2343">
        <f t="shared" si="19"/>
        <v>300</v>
      </c>
      <c r="K90" s="2344">
        <f>ARBETSBLAD!G18</f>
        <v>0.25</v>
      </c>
      <c r="L90" s="2345">
        <f t="shared" si="20"/>
        <v>0.25</v>
      </c>
      <c r="M90" s="2345">
        <f t="shared" si="21"/>
        <v>300.25</v>
      </c>
      <c r="N90" s="1317"/>
      <c r="O90" s="2346" t="str">
        <f>ARBETSBLAD!E43</f>
        <v>30 dagar</v>
      </c>
      <c r="P90" s="2343">
        <f t="shared" si="22"/>
        <v>300</v>
      </c>
      <c r="Q90" s="2344">
        <f>ARBETSBLAD!G43</f>
        <v>0.25</v>
      </c>
      <c r="R90" s="2345">
        <f t="shared" si="23"/>
        <v>0.25</v>
      </c>
      <c r="S90" s="2345">
        <f t="shared" si="24"/>
        <v>300.25</v>
      </c>
      <c r="T90" s="1317"/>
      <c r="U90" s="1317"/>
      <c r="V90" s="1317"/>
      <c r="W90" s="1317"/>
      <c r="X90" s="1317"/>
      <c r="Y90" s="1317"/>
      <c r="Z90" s="1317"/>
      <c r="AA90" s="1317"/>
      <c r="AB90" s="1317"/>
      <c r="AC90" s="1317"/>
      <c r="AD90" s="1317"/>
      <c r="AE90" s="1317"/>
      <c r="AF90" s="1317"/>
      <c r="AG90" s="1317"/>
      <c r="AH90" s="1283"/>
      <c r="AI90" s="1283"/>
      <c r="AJ90" s="1283"/>
      <c r="AL90" s="1328"/>
      <c r="AM90" s="1328"/>
      <c r="AN90" s="1328"/>
    </row>
    <row r="91" spans="1:40" s="115" customFormat="1" ht="12.75" hidden="1" customHeight="1">
      <c r="A91" s="1270"/>
      <c r="B91" s="1317"/>
      <c r="C91" s="1317"/>
      <c r="D91" s="1317"/>
      <c r="E91" s="1317">
        <v>22</v>
      </c>
      <c r="F91" s="1317"/>
      <c r="G91" s="1317"/>
      <c r="H91" s="1317"/>
      <c r="I91" s="2342" t="str">
        <f>ARBETSBLAD!E19</f>
        <v>30 dagar</v>
      </c>
      <c r="J91" s="2343">
        <f t="shared" si="19"/>
        <v>300</v>
      </c>
      <c r="K91" s="2344">
        <f>ARBETSBLAD!G19</f>
        <v>0.25</v>
      </c>
      <c r="L91" s="2345">
        <f t="shared" si="20"/>
        <v>0.25</v>
      </c>
      <c r="M91" s="2345">
        <f t="shared" si="21"/>
        <v>300.25</v>
      </c>
      <c r="N91" s="1317"/>
      <c r="O91" s="2346" t="str">
        <f>ARBETSBLAD!E44</f>
        <v>30 dagar</v>
      </c>
      <c r="P91" s="2343">
        <f t="shared" si="22"/>
        <v>300</v>
      </c>
      <c r="Q91" s="2344">
        <f>ARBETSBLAD!G44</f>
        <v>0.25</v>
      </c>
      <c r="R91" s="2345">
        <f t="shared" si="23"/>
        <v>0.25</v>
      </c>
      <c r="S91" s="2345">
        <f t="shared" si="24"/>
        <v>300.25</v>
      </c>
      <c r="T91" s="1317"/>
      <c r="U91" s="1317"/>
      <c r="V91" s="1317"/>
      <c r="W91" s="1317"/>
      <c r="X91" s="1317"/>
      <c r="Y91" s="1317"/>
      <c r="Z91" s="1317"/>
      <c r="AA91" s="1317"/>
      <c r="AB91" s="1317"/>
      <c r="AC91" s="1317"/>
      <c r="AD91" s="1317"/>
      <c r="AE91" s="1317"/>
      <c r="AF91" s="1317"/>
      <c r="AG91" s="1317"/>
      <c r="AH91" s="1283"/>
      <c r="AI91" s="1283"/>
      <c r="AJ91" s="1283"/>
      <c r="AL91" s="1328"/>
      <c r="AM91" s="1328"/>
      <c r="AN91" s="1328"/>
    </row>
    <row r="92" spans="1:40" s="115" customFormat="1" ht="12.75" hidden="1" customHeight="1">
      <c r="A92" s="1270"/>
      <c r="B92" s="1317"/>
      <c r="C92" s="1317"/>
      <c r="D92" s="1317"/>
      <c r="E92" s="1317">
        <v>23</v>
      </c>
      <c r="F92" s="1317"/>
      <c r="G92" s="1317"/>
      <c r="H92" s="1317"/>
      <c r="I92" s="2346" t="str">
        <f>ARBETSBLAD!E20</f>
        <v>30 dagar</v>
      </c>
      <c r="J92" s="2343">
        <f t="shared" si="19"/>
        <v>300</v>
      </c>
      <c r="K92" s="2344">
        <f>ARBETSBLAD!G20</f>
        <v>0.25</v>
      </c>
      <c r="L92" s="2345">
        <f t="shared" si="20"/>
        <v>0.25</v>
      </c>
      <c r="M92" s="2345">
        <f t="shared" si="21"/>
        <v>300.25</v>
      </c>
      <c r="N92" s="1317"/>
      <c r="O92" s="2346" t="str">
        <f>ARBETSBLAD!E45</f>
        <v>30 dagar</v>
      </c>
      <c r="P92" s="2343">
        <f t="shared" si="22"/>
        <v>300</v>
      </c>
      <c r="Q92" s="2344">
        <f>ARBETSBLAD!G45</f>
        <v>0.25</v>
      </c>
      <c r="R92" s="2345">
        <f t="shared" si="23"/>
        <v>0.25</v>
      </c>
      <c r="S92" s="2345">
        <f t="shared" si="24"/>
        <v>300.25</v>
      </c>
      <c r="T92" s="1317"/>
      <c r="U92" s="1317"/>
      <c r="V92" s="1317"/>
      <c r="W92" s="1317"/>
      <c r="X92" s="1317"/>
      <c r="Y92" s="1317"/>
      <c r="Z92" s="1317"/>
      <c r="AA92" s="1317"/>
      <c r="AB92" s="1317"/>
      <c r="AC92" s="1317"/>
      <c r="AD92" s="1317"/>
      <c r="AE92" s="1317"/>
      <c r="AF92" s="1317"/>
      <c r="AG92" s="1317"/>
      <c r="AH92" s="1283"/>
      <c r="AI92" s="1283"/>
      <c r="AJ92" s="1283"/>
      <c r="AL92" s="1328"/>
      <c r="AM92" s="1328"/>
      <c r="AN92" s="1328"/>
    </row>
    <row r="93" spans="1:40" s="115" customFormat="1" ht="12.75" hidden="1" customHeight="1">
      <c r="A93" s="1270"/>
      <c r="B93" s="1317"/>
      <c r="C93" s="1317"/>
      <c r="D93" s="1317"/>
      <c r="E93" s="1317">
        <v>24</v>
      </c>
      <c r="F93" s="1317"/>
      <c r="G93" s="1317"/>
      <c r="H93" s="1317"/>
      <c r="I93" s="2256" t="s">
        <v>0</v>
      </c>
      <c r="J93" s="1334">
        <f>IF(I93="Kontant",1,IF(I93="10 dagar",100,IF(I93="20 dagar",200,IF(I93="30 dagar",300,IF(I93="45 dagar",450,IF(I93="60 dagar",600,900))))))</f>
        <v>1</v>
      </c>
      <c r="K93" s="1345">
        <f>ARBETSBLAD!G257</f>
        <v>0.25</v>
      </c>
      <c r="L93" s="1336">
        <f>IF(K93&lt;0.0001,0.001,K93)</f>
        <v>0.25</v>
      </c>
      <c r="M93" s="1336">
        <f>J93+L93</f>
        <v>1.25</v>
      </c>
      <c r="N93" s="1317"/>
      <c r="O93" s="2346" t="str">
        <f>ARBETSBLAD!E46</f>
        <v>30 dagar</v>
      </c>
      <c r="P93" s="2343">
        <f t="shared" si="22"/>
        <v>300</v>
      </c>
      <c r="Q93" s="2344">
        <f>ARBETSBLAD!G46</f>
        <v>0.25</v>
      </c>
      <c r="R93" s="2345">
        <f t="shared" si="23"/>
        <v>0.25</v>
      </c>
      <c r="S93" s="2345">
        <f t="shared" si="24"/>
        <v>300.25</v>
      </c>
      <c r="T93" s="1317"/>
      <c r="U93" s="1317"/>
      <c r="V93" s="1317"/>
      <c r="W93" s="1317"/>
      <c r="X93" s="1317"/>
      <c r="Y93" s="1317"/>
      <c r="Z93" s="1317"/>
      <c r="AA93" s="1317"/>
      <c r="AB93" s="1317"/>
      <c r="AC93" s="1317"/>
      <c r="AD93" s="1317"/>
      <c r="AE93" s="1317"/>
      <c r="AF93" s="1317"/>
      <c r="AG93" s="1317"/>
      <c r="AH93" s="1283"/>
      <c r="AI93" s="1283"/>
      <c r="AJ93" s="1283"/>
      <c r="AL93" s="1328"/>
      <c r="AM93" s="1328"/>
      <c r="AN93" s="1328"/>
    </row>
    <row r="94" spans="1:40" s="115" customFormat="1" ht="12.75" hidden="1" customHeight="1">
      <c r="A94" s="1270"/>
      <c r="B94" s="1317"/>
      <c r="C94" s="1346" t="s">
        <v>207</v>
      </c>
      <c r="I94" s="2256" t="s">
        <v>0</v>
      </c>
      <c r="J94" s="1334">
        <f>IF(I94="Kontant",1,IF(I94="10 dagar",100,IF(I94="20 dagar",200,IF(I94="30 dagar",300,IF(I94="45 dagar",450,IF(I94="60 dagar",600,900))))))</f>
        <v>1</v>
      </c>
      <c r="K94" s="1345">
        <f>ARBETSBLAD!G252</f>
        <v>0.25</v>
      </c>
      <c r="L94" s="1336">
        <f>IF(K94&lt;0.0001,0.001,K94)</f>
        <v>0.25</v>
      </c>
      <c r="M94" s="1336">
        <f>J94+L94</f>
        <v>1.25</v>
      </c>
      <c r="AH94" s="1283"/>
      <c r="AI94" s="1283"/>
      <c r="AJ94" s="1283"/>
      <c r="AL94" s="1290"/>
      <c r="AM94" s="1290"/>
      <c r="AN94" s="1290"/>
    </row>
    <row r="95" spans="1:40" s="1349" customFormat="1" ht="12.9" hidden="1" customHeight="1">
      <c r="A95" s="1270"/>
      <c r="B95" s="1347" t="s">
        <v>208</v>
      </c>
      <c r="C95" s="1348">
        <f>F95+H95</f>
        <v>1.0009999999999999</v>
      </c>
      <c r="E95" s="1347" t="s">
        <v>0</v>
      </c>
      <c r="F95" s="1350">
        <v>1</v>
      </c>
      <c r="G95" s="1351">
        <f>ARBETSBLAD!$G$315</f>
        <v>9.9999999999999995E-7</v>
      </c>
      <c r="H95" s="1352">
        <v>1E-3</v>
      </c>
      <c r="I95" s="1353">
        <f>SUMIFS(ARBETSBLAD!I11:I30,ARBETSBLAD!$E11:$E30,$E95,ARBETSBLAD!$G11:$G30,$G95)*I$57+IF($M$93=$C$95,ARBETSBLAD!I257,0)*I$57+IF($M$94=$C$95,ARBETSBLAD!I252,0)*I$57+I114*0.7+I115*0.33</f>
        <v>0</v>
      </c>
      <c r="J95" s="1353">
        <f>SUMIFS(ARBETSBLAD!J11:J30,ARBETSBLAD!$E11:$E30,$E95,ARBETSBLAD!$G11:$G30,$G95)*J$57+IF($M$93=$C$95,ARBETSBLAD!J257,0)*J$57+IF($M$94=$C$95,ARBETSBLAD!J252,0)*J$57+J114*0.7+J115*0.33</f>
        <v>0</v>
      </c>
      <c r="K95" s="1353">
        <f>SUMIFS(ARBETSBLAD!K11:K30,ARBETSBLAD!$E11:$E30,$E95,ARBETSBLAD!$G11:$G30,$G95)*K$57+IF($M$93=$C$95,ARBETSBLAD!K257,0)*K$57+IF($M$94=$C$95,ARBETSBLAD!K252,0)*K$57+K114*0.7+K115*0.33</f>
        <v>0</v>
      </c>
      <c r="L95" s="1353">
        <f>SUMIFS(ARBETSBLAD!L11:L30,ARBETSBLAD!$E11:$E30,$E95,ARBETSBLAD!$G11:$G30,$G95)*L$57+IF($M$93=$C$95,ARBETSBLAD!L257,0)*L$57+IF($M$94=$C$95,ARBETSBLAD!L252,0)*L$57+L114*0.7+L115*0.33</f>
        <v>0</v>
      </c>
      <c r="M95" s="1353">
        <f>SUMIFS(ARBETSBLAD!M11:M30,ARBETSBLAD!$E11:$E30,$E95,ARBETSBLAD!$G11:$G30,$G95)*M$57+IF($M$93=$C$95,ARBETSBLAD!M257,0)*M$57+IF($M$94=$C$95,ARBETSBLAD!M252,0)*M$57+M114*0.7+M115*0.33</f>
        <v>0</v>
      </c>
      <c r="N95" s="1353">
        <f>SUMIFS(ARBETSBLAD!N11:N30,ARBETSBLAD!$E11:$E30,$E95,ARBETSBLAD!$G11:$G30,$G95)*N$57+IF($M$93=$C$95,ARBETSBLAD!N257,0)*N$57+IF($M$94=$C$95,ARBETSBLAD!N252,0)*N$57+N114*0.7+N115*0.33</f>
        <v>0</v>
      </c>
      <c r="O95" s="1353">
        <f>SUMIFS(ARBETSBLAD!O11:O30,ARBETSBLAD!$E11:$E30,$E95,ARBETSBLAD!$G11:$G30,$G95)*O$57+IF($M$93=$C$95,ARBETSBLAD!O257,0)*O$57+IF($M$94=$C$95,ARBETSBLAD!O252,0)*O$57+O114*0.7+O115*0.33</f>
        <v>0</v>
      </c>
      <c r="P95" s="1353">
        <f>SUMIFS(ARBETSBLAD!P11:P30,ARBETSBLAD!$E11:$E30,$E95,ARBETSBLAD!$G11:$G30,$G95)*P$57+IF($M$93=$C$95,ARBETSBLAD!P257,0)*P$57+IF($M$94=$C$95,ARBETSBLAD!P252,0)*P$57+P114*0.7+P115*0.33</f>
        <v>0</v>
      </c>
      <c r="Q95" s="1353">
        <f>SUMIFS(ARBETSBLAD!Q11:Q30,ARBETSBLAD!$E11:$E30,$E95,ARBETSBLAD!$G11:$G30,$G95)*Q$57+IF($M$93=$C$95,ARBETSBLAD!Q257,0)*Q$57+IF($M$94=$C$95,ARBETSBLAD!Q252,0)*Q$57+Q114*0.7+Q115*0.33</f>
        <v>0</v>
      </c>
      <c r="R95" s="1353">
        <f>SUMIFS(ARBETSBLAD!R11:R30,ARBETSBLAD!$E11:$E30,$E95,ARBETSBLAD!$G11:$G30,$G95)*R$57+IF($M$93=$C$95,ARBETSBLAD!R257,0)*R$57+IF($M$94=$C$95,ARBETSBLAD!R252,0)*R$57+R114*0.7+R115*0.33</f>
        <v>0</v>
      </c>
      <c r="S95" s="1353">
        <f>SUMIFS(ARBETSBLAD!S11:S30,ARBETSBLAD!$E11:$E30,$E95,ARBETSBLAD!$G11:$G30,$G95)*S$57+IF($M$93=$C$95,ARBETSBLAD!S257,0)*S$57+IF($M$94=$C$95,ARBETSBLAD!S252,0)*S$57+S114*0.7+S115*0.33</f>
        <v>0</v>
      </c>
      <c r="T95" s="1353">
        <f>SUMIFS(ARBETSBLAD!T11:T30,ARBETSBLAD!$E11:$E30,$E95,ARBETSBLAD!$G11:$G30,$G95)*T$57+IF($M$93=$C$95,ARBETSBLAD!T257,0)*T$57+IF($M$94=$C$95,ARBETSBLAD!T252,0)*T$57+T114*0.7+T115*0.33</f>
        <v>0</v>
      </c>
      <c r="U95" s="1353">
        <f>SUMIFS(ARBETSBLAD!U11:U30,ARBETSBLAD!$E11:$E30,$E95,ARBETSBLAD!$G11:$G30,$G95)*U$57+IF($M$93=$C$95,ARBETSBLAD!U257,0)*U$57+IF($M$94=$C$95,ARBETSBLAD!U252,0)*U$57+U114*0.7+U115*0.33</f>
        <v>0</v>
      </c>
      <c r="V95" s="1353">
        <f>SUMIFS(ARBETSBLAD!V11:V30,ARBETSBLAD!$E11:$E30,$E95,ARBETSBLAD!$G11:$G30,$G95)*V$57+IF($M$93=$C$95,ARBETSBLAD!V257,0)*V$57+IF($M$94=$C$95,ARBETSBLAD!V252,0)*V$57+V114*0.7+V115*0.33</f>
        <v>0</v>
      </c>
      <c r="W95" s="1353">
        <f>SUMIFS(ARBETSBLAD!W11:W30,ARBETSBLAD!$E11:$E30,$E95,ARBETSBLAD!$G11:$G30,$G95)*W$57+IF($M$93=$C$95,ARBETSBLAD!W257,0)*W$57+IF($M$94=$C$95,ARBETSBLAD!W252,0)*W$57+W114*0.7+W115*0.33</f>
        <v>0</v>
      </c>
      <c r="X95" s="1353">
        <f>SUMIFS(ARBETSBLAD!X11:X30,ARBETSBLAD!$E11:$E30,$E95,ARBETSBLAD!$G11:$G30,$G95)*X$57+IF($M$93=$C$95,ARBETSBLAD!X257,0)*X$57+IF($M$94=$C$95,ARBETSBLAD!X252,0)*X$57+X114*0.7+X115*0.33</f>
        <v>0</v>
      </c>
      <c r="Y95" s="1353">
        <f>SUMIFS(ARBETSBLAD!Y11:Y30,ARBETSBLAD!$E11:$E30,$E95,ARBETSBLAD!$G11:$G30,$G95)*Y$57+IF($M$93=$C$95,ARBETSBLAD!Y257,0)*Y$57+IF($M$94=$C$95,ARBETSBLAD!Y252,0)*Y$57+Y114*0.7+Y115*0.33</f>
        <v>0</v>
      </c>
      <c r="Z95" s="1353">
        <f>SUMIFS(ARBETSBLAD!Z11:Z30,ARBETSBLAD!$E11:$E30,$E95,ARBETSBLAD!$G11:$G30,$G95)*Z$57+IF($M$93=$C$95,ARBETSBLAD!Z257,0)*Z$57+IF($M$94=$C$95,ARBETSBLAD!Z252,0)*Z$57+Z114*0.7+Z115*0.33</f>
        <v>0</v>
      </c>
      <c r="AA95" s="1353">
        <f>SUMIFS(ARBETSBLAD!AA11:AA30,ARBETSBLAD!$E11:$E30,$E95,ARBETSBLAD!$G11:$G30,$G95)*AA$57+IF($M$93=$C$95,ARBETSBLAD!AA257,0)*AA$57+IF($M$94=$C$95,ARBETSBLAD!AA252,0)*AA$57+AA114*0.7+AA115*0.33</f>
        <v>0</v>
      </c>
      <c r="AB95" s="1353">
        <f>SUMIFS(ARBETSBLAD!AB11:AB30,ARBETSBLAD!$E11:$E30,$E95,ARBETSBLAD!$G11:$G30,$G95)*AB$57+IF($M$93=$C$95,ARBETSBLAD!AB257,0)*AB$57+IF($M$94=$C$95,ARBETSBLAD!AB252,0)*AB$57+AB114*0.7+AB115*0.33</f>
        <v>0</v>
      </c>
      <c r="AC95" s="1353">
        <f>SUMIFS(ARBETSBLAD!AC11:AC30,ARBETSBLAD!$E11:$E30,$E95,ARBETSBLAD!$G11:$G30,$G95)*AC$57+IF($M$93=$C$95,ARBETSBLAD!AC257,0)*AC$57+IF($M$94=$C$95,ARBETSBLAD!AC252,0)*AC$57+AC114*0.7+AC115*0.33</f>
        <v>0</v>
      </c>
      <c r="AD95" s="1353">
        <f>SUMIFS(ARBETSBLAD!AD11:AD30,ARBETSBLAD!$E11:$E30,$E95,ARBETSBLAD!$G11:$G30,$G95)*AD$57+IF($M$93=$C$95,ARBETSBLAD!AD257,0)*AD$57+IF($M$94=$C$95,ARBETSBLAD!AD252,0)*AD$57+AD114*0.7+AD115*0.33</f>
        <v>0</v>
      </c>
      <c r="AE95" s="1353">
        <f>SUMIFS(ARBETSBLAD!AE11:AE30,ARBETSBLAD!$E11:$E30,$E95,ARBETSBLAD!$G11:$G30,$G95)*AE$57+IF($M$93=$C$95,ARBETSBLAD!AE257,0)*AE$57+IF($M$94=$C$95,ARBETSBLAD!AE252,0)*AE$57+AE114*0.7+AE115*0.33</f>
        <v>0</v>
      </c>
      <c r="AF95" s="1353">
        <f>SUMIFS(ARBETSBLAD!AF11:AF30,ARBETSBLAD!$E11:$E30,$E95,ARBETSBLAD!$G11:$G30,$G95)*AF$57+IF($M$93=$C$95,ARBETSBLAD!AF257,0)*AF$57+IF($M$94=$C$95,ARBETSBLAD!AF252,0)*AF$57+AF114*0.7+AF115*0.33</f>
        <v>0</v>
      </c>
      <c r="AH95" s="1354">
        <f>IF($C$57=1,SUM(I95:T95),IF($C$57=2,SUM(O95:AF95)))</f>
        <v>0</v>
      </c>
      <c r="AI95" s="1355"/>
      <c r="AJ95" s="1354">
        <f>IF($C$57=1,SUM(U95:AF95),0)</f>
        <v>0</v>
      </c>
      <c r="AL95" s="1356"/>
      <c r="AM95" s="1357"/>
      <c r="AN95" s="1358"/>
    </row>
    <row r="96" spans="1:40" s="1349" customFormat="1" ht="12.9" hidden="1" customHeight="1">
      <c r="A96" s="1270"/>
      <c r="B96" s="1317"/>
      <c r="C96" s="1348">
        <f>F96+H96</f>
        <v>300.00099999999998</v>
      </c>
      <c r="E96" s="1347" t="s">
        <v>1</v>
      </c>
      <c r="F96" s="1350">
        <v>300</v>
      </c>
      <c r="G96" s="1351">
        <f>ARBETSBLAD!$G$315</f>
        <v>9.9999999999999995E-7</v>
      </c>
      <c r="H96" s="1352">
        <v>1E-3</v>
      </c>
      <c r="I96" s="1353">
        <f>SUMIFS(ARBETSBLAD!I11:I30,ARBETSBLAD!$E11:$E30,$E96,ARBETSBLAD!$G11:$G30,$G96)*I$57+0.3*I114+0.67*I115+I116*0.567</f>
        <v>0</v>
      </c>
      <c r="J96" s="1353">
        <f>SUMIFS(ARBETSBLAD!J11:J30,ARBETSBLAD!$E11:$E30,$E96,ARBETSBLAD!$G11:$G30,$G96)*J$57+0.3*J114+0.67*J115+J116*0.567</f>
        <v>0</v>
      </c>
      <c r="K96" s="1353">
        <f>SUMIFS(ARBETSBLAD!K11:K30,ARBETSBLAD!$E11:$E30,$E96,ARBETSBLAD!$G11:$G30,$G96)*K$57+0.3*K114+0.67*K115+K116*0.567</f>
        <v>0</v>
      </c>
      <c r="L96" s="1353">
        <f>SUMIFS(ARBETSBLAD!L11:L30,ARBETSBLAD!$E11:$E30,$E96,ARBETSBLAD!$G11:$G30,$G96)*L$57+0.3*L114+0.67*L115+L116*0.567</f>
        <v>0</v>
      </c>
      <c r="M96" s="1353">
        <f>SUMIFS(ARBETSBLAD!M11:M30,ARBETSBLAD!$E11:$E30,$E96,ARBETSBLAD!$G11:$G30,$G96)*M$57+0.3*M114+0.67*M115+M116*0.567</f>
        <v>0</v>
      </c>
      <c r="N96" s="1353">
        <f>SUMIFS(ARBETSBLAD!N11:N30,ARBETSBLAD!$E11:$E30,$E96,ARBETSBLAD!$G11:$G30,$G96)*N$57+0.3*N114+0.67*N115+N116*0.567</f>
        <v>0</v>
      </c>
      <c r="O96" s="1353">
        <f>SUMIFS(ARBETSBLAD!O11:O30,ARBETSBLAD!$E11:$E30,$E96,ARBETSBLAD!$G11:$G30,$G96)*O$57+0.3*O114+0.67*O115+O116*0.567</f>
        <v>0</v>
      </c>
      <c r="P96" s="1353">
        <f>SUMIFS(ARBETSBLAD!P11:P30,ARBETSBLAD!$E11:$E30,$E96,ARBETSBLAD!$G11:$G30,$G96)*P$57+0.3*P114+0.67*P115+P116*0.567</f>
        <v>0</v>
      </c>
      <c r="Q96" s="1353">
        <f>SUMIFS(ARBETSBLAD!Q11:Q30,ARBETSBLAD!$E11:$E30,$E96,ARBETSBLAD!$G11:$G30,$G96)*Q$57+0.3*Q114+0.67*Q115+Q116*0.567</f>
        <v>0</v>
      </c>
      <c r="R96" s="1353">
        <f>SUMIFS(ARBETSBLAD!R11:R30,ARBETSBLAD!$E11:$E30,$E96,ARBETSBLAD!$G11:$G30,$G96)*R$57+0.3*R114+0.67*R115+R116*0.567</f>
        <v>0</v>
      </c>
      <c r="S96" s="1353">
        <f>SUMIFS(ARBETSBLAD!S11:S30,ARBETSBLAD!$E11:$E30,$E96,ARBETSBLAD!$G11:$G30,$G96)*S$57+0.3*S114+0.67*S115+S116*0.567</f>
        <v>0</v>
      </c>
      <c r="T96" s="1353">
        <f>SUMIFS(ARBETSBLAD!T11:T30,ARBETSBLAD!$E11:$E30,$E96,ARBETSBLAD!$G11:$G30,$G96)*T$57+0.3*T114+0.67*T115+T116*0.567</f>
        <v>0</v>
      </c>
      <c r="U96" s="1353">
        <f>SUMIFS(ARBETSBLAD!U11:U30,ARBETSBLAD!$E11:$E30,$E96,ARBETSBLAD!$G11:$G30,$G96)*U$57+0.3*U114+0.67*U115+U116*0.567</f>
        <v>0</v>
      </c>
      <c r="V96" s="1353">
        <f>SUMIFS(ARBETSBLAD!V11:V30,ARBETSBLAD!$E11:$E30,$E96,ARBETSBLAD!$G11:$G30,$G96)*V$57+0.3*V114+0.67*V115+V116*0.567</f>
        <v>0</v>
      </c>
      <c r="W96" s="1353">
        <f>SUMIFS(ARBETSBLAD!W11:W30,ARBETSBLAD!$E11:$E30,$E96,ARBETSBLAD!$G11:$G30,$G96)*W$57+0.3*W114+0.67*W115+W116*0.567</f>
        <v>0</v>
      </c>
      <c r="X96" s="1353">
        <f>SUMIFS(ARBETSBLAD!X11:X30,ARBETSBLAD!$E11:$E30,$E96,ARBETSBLAD!$G11:$G30,$G96)*X$57+0.3*X114+0.67*X115+X116*0.567</f>
        <v>0</v>
      </c>
      <c r="Y96" s="1353">
        <f>SUMIFS(ARBETSBLAD!Y11:Y30,ARBETSBLAD!$E11:$E30,$E96,ARBETSBLAD!$G11:$G30,$G96)*Y$57+0.3*Y114+0.67*Y115+Y116*0.567</f>
        <v>0</v>
      </c>
      <c r="Z96" s="1353">
        <f>SUMIFS(ARBETSBLAD!Z11:Z30,ARBETSBLAD!$E11:$E30,$E96,ARBETSBLAD!$G11:$G30,$G96)*Z$57+0.3*Z114+0.67*Z115+Z116*0.567</f>
        <v>0</v>
      </c>
      <c r="AA96" s="1353">
        <f>SUMIFS(ARBETSBLAD!AA11:AA30,ARBETSBLAD!$E11:$E30,$E96,ARBETSBLAD!$G11:$G30,$G96)*AA$57+0.3*AA114+0.67*AA115+AA116*0.567</f>
        <v>0</v>
      </c>
      <c r="AB96" s="1353">
        <f>SUMIFS(ARBETSBLAD!AB11:AB30,ARBETSBLAD!$E11:$E30,$E96,ARBETSBLAD!$G11:$G30,$G96)*AB$57+0.3*AB114+0.67*AB115+AB116*0.567</f>
        <v>0</v>
      </c>
      <c r="AC96" s="1353">
        <f>SUMIFS(ARBETSBLAD!AC11:AC30,ARBETSBLAD!$E11:$E30,$E96,ARBETSBLAD!$G11:$G30,$G96)*AC$57+0.3*AC114+0.67*AC115+AC116*0.567</f>
        <v>0</v>
      </c>
      <c r="AD96" s="1353">
        <f>SUMIFS(ARBETSBLAD!AD11:AD30,ARBETSBLAD!$E11:$E30,$E96,ARBETSBLAD!$G11:$G30,$G96)*AD$57+0.3*AD114+0.67*AD115+AD116*0.567</f>
        <v>0</v>
      </c>
      <c r="AE96" s="1353">
        <f>SUMIFS(ARBETSBLAD!AE11:AE30,ARBETSBLAD!$E11:$E30,$E96,ARBETSBLAD!$G11:$G30,$G96)*AE$57+0.3*AE114+0.67*AE115+AE116*0.567</f>
        <v>0</v>
      </c>
      <c r="AF96" s="1353">
        <f>SUMIFS(ARBETSBLAD!AF11:AF30,ARBETSBLAD!$E11:$E30,$E96,ARBETSBLAD!$G11:$G30,$G96)*AF$57+0.3*AF114+0.67*AF115+AF116*0.567</f>
        <v>0</v>
      </c>
      <c r="AH96" s="1354">
        <f>IF($C$57=1,SUM(I96:T96),IF($C$57=2,SUM(O96:AF96)))</f>
        <v>0</v>
      </c>
      <c r="AI96" s="1355"/>
      <c r="AJ96" s="1354">
        <f>IF($C$57=1,SUM(U96:AF96),0)</f>
        <v>0</v>
      </c>
      <c r="AL96" s="1356"/>
      <c r="AM96" s="1357"/>
      <c r="AN96" s="1358"/>
    </row>
    <row r="97" spans="1:40" s="1349" customFormat="1" ht="12.9" hidden="1" customHeight="1">
      <c r="A97" s="1270"/>
      <c r="B97" s="1317"/>
      <c r="C97" s="1348">
        <f>F97+H97</f>
        <v>600.00099999999998</v>
      </c>
      <c r="E97" s="1347" t="s">
        <v>2</v>
      </c>
      <c r="F97" s="1350">
        <v>600</v>
      </c>
      <c r="G97" s="1351">
        <f>ARBETSBLAD!$G$315</f>
        <v>9.9999999999999995E-7</v>
      </c>
      <c r="H97" s="1352">
        <v>1E-3</v>
      </c>
      <c r="I97" s="1353">
        <f>SUMIFS(ARBETSBLAD!I11:I30,ARBETSBLAD!$E11:$E30,$E97,ARBETSBLAD!$G11:$G30,$G97)*I$57+I116*0.433</f>
        <v>0</v>
      </c>
      <c r="J97" s="1353">
        <f>SUMIFS(ARBETSBLAD!J11:J30,ARBETSBLAD!$E11:$E30,$E97,ARBETSBLAD!$G11:$G30,$G97)*J$57+J116*0.433</f>
        <v>0</v>
      </c>
      <c r="K97" s="1353">
        <f>SUMIFS(ARBETSBLAD!K11:K30,ARBETSBLAD!$E11:$E30,$E97,ARBETSBLAD!$G11:$G30,$G97)*K$57+K116*0.433</f>
        <v>0</v>
      </c>
      <c r="L97" s="1353">
        <f>SUMIFS(ARBETSBLAD!L11:L30,ARBETSBLAD!$E11:$E30,$E97,ARBETSBLAD!$G11:$G30,$G97)*L$57+L116*0.433</f>
        <v>0</v>
      </c>
      <c r="M97" s="1353">
        <f>SUMIFS(ARBETSBLAD!M11:M30,ARBETSBLAD!$E11:$E30,$E97,ARBETSBLAD!$G11:$G30,$G97)*M$57+M116*0.433</f>
        <v>0</v>
      </c>
      <c r="N97" s="1353">
        <f>SUMIFS(ARBETSBLAD!N11:N30,ARBETSBLAD!$E11:$E30,$E97,ARBETSBLAD!$G11:$G30,$G97)*N$57+N116*0.433</f>
        <v>0</v>
      </c>
      <c r="O97" s="1353">
        <f>SUMIFS(ARBETSBLAD!O11:O30,ARBETSBLAD!$E11:$E30,$E97,ARBETSBLAD!$G11:$G30,$G97)*O$57+O116*0.433</f>
        <v>0</v>
      </c>
      <c r="P97" s="1353">
        <f>SUMIFS(ARBETSBLAD!P11:P30,ARBETSBLAD!$E11:$E30,$E97,ARBETSBLAD!$G11:$G30,$G97)*P$57+P116*0.433</f>
        <v>0</v>
      </c>
      <c r="Q97" s="1353">
        <f>SUMIFS(ARBETSBLAD!Q11:Q30,ARBETSBLAD!$E11:$E30,$E97,ARBETSBLAD!$G11:$G30,$G97)*Q$57+Q116*0.433</f>
        <v>0</v>
      </c>
      <c r="R97" s="1353">
        <f>SUMIFS(ARBETSBLAD!R11:R30,ARBETSBLAD!$E11:$E30,$E97,ARBETSBLAD!$G11:$G30,$G97)*R$57+R116*0.433</f>
        <v>0</v>
      </c>
      <c r="S97" s="1353">
        <f>SUMIFS(ARBETSBLAD!S11:S30,ARBETSBLAD!$E11:$E30,$E97,ARBETSBLAD!$G11:$G30,$G97)*S$57+S116*0.433</f>
        <v>0</v>
      </c>
      <c r="T97" s="1353">
        <f>SUMIFS(ARBETSBLAD!T11:T30,ARBETSBLAD!$E11:$E30,$E97,ARBETSBLAD!$G11:$G30,$G97)*T$57+T116*0.433</f>
        <v>0</v>
      </c>
      <c r="U97" s="1353">
        <f>SUMIFS(ARBETSBLAD!U11:U30,ARBETSBLAD!$E11:$E30,$E97,ARBETSBLAD!$G11:$G30,$G97)*U$57+U116*0.433</f>
        <v>0</v>
      </c>
      <c r="V97" s="1353">
        <f>SUMIFS(ARBETSBLAD!V11:V30,ARBETSBLAD!$E11:$E30,$E97,ARBETSBLAD!$G11:$G30,$G97)*V$57+V116*0.433</f>
        <v>0</v>
      </c>
      <c r="W97" s="1353">
        <f>SUMIFS(ARBETSBLAD!W11:W30,ARBETSBLAD!$E11:$E30,$E97,ARBETSBLAD!$G11:$G30,$G97)*W$57+W116*0.433</f>
        <v>0</v>
      </c>
      <c r="X97" s="1353">
        <f>SUMIFS(ARBETSBLAD!X11:X30,ARBETSBLAD!$E11:$E30,$E97,ARBETSBLAD!$G11:$G30,$G97)*X$57+X116*0.433</f>
        <v>0</v>
      </c>
      <c r="Y97" s="1353">
        <f>SUMIFS(ARBETSBLAD!Y11:Y30,ARBETSBLAD!$E11:$E30,$E97,ARBETSBLAD!$G11:$G30,$G97)*Y$57+Y116*0.433</f>
        <v>0</v>
      </c>
      <c r="Z97" s="1353">
        <f>SUMIFS(ARBETSBLAD!Z11:Z30,ARBETSBLAD!$E11:$E30,$E97,ARBETSBLAD!$G11:$G30,$G97)*Z$57+Z116*0.433</f>
        <v>0</v>
      </c>
      <c r="AA97" s="1353">
        <f>SUMIFS(ARBETSBLAD!AA11:AA30,ARBETSBLAD!$E11:$E30,$E97,ARBETSBLAD!$G11:$G30,$G97)*AA$57+AA116*0.433</f>
        <v>0</v>
      </c>
      <c r="AB97" s="1353">
        <f>SUMIFS(ARBETSBLAD!AB11:AB30,ARBETSBLAD!$E11:$E30,$E97,ARBETSBLAD!$G11:$G30,$G97)*AB$57+AB116*0.433</f>
        <v>0</v>
      </c>
      <c r="AC97" s="1353">
        <f>SUMIFS(ARBETSBLAD!AC11:AC30,ARBETSBLAD!$E11:$E30,$E97,ARBETSBLAD!$G11:$G30,$G97)*AC$57+AC116*0.433</f>
        <v>0</v>
      </c>
      <c r="AD97" s="1353">
        <f>SUMIFS(ARBETSBLAD!AD11:AD30,ARBETSBLAD!$E11:$E30,$E97,ARBETSBLAD!$G11:$G30,$G97)*AD$57+AD116*0.433</f>
        <v>0</v>
      </c>
      <c r="AE97" s="1353">
        <f>SUMIFS(ARBETSBLAD!AE11:AE30,ARBETSBLAD!$E11:$E30,$E97,ARBETSBLAD!$G11:$G30,$G97)*AE$57+AE116*0.433</f>
        <v>0</v>
      </c>
      <c r="AF97" s="1353">
        <f>SUMIFS(ARBETSBLAD!AF11:AF30,ARBETSBLAD!$E11:$E30,$E97,ARBETSBLAD!$G11:$G30,$G97)*AF$57+AF116*0.433</f>
        <v>0</v>
      </c>
      <c r="AH97" s="1354">
        <f>IF($C$57=1,SUM(I97:T97),IF($C$57=2,SUM(O97:AF97)))</f>
        <v>0</v>
      </c>
      <c r="AI97" s="1355"/>
      <c r="AJ97" s="1354">
        <f>IF($C$57=1,SUM(U97:AF97),0)</f>
        <v>0</v>
      </c>
      <c r="AL97" s="1356"/>
      <c r="AM97" s="1357"/>
      <c r="AN97" s="1358"/>
    </row>
    <row r="98" spans="1:40" s="1349" customFormat="1" ht="12.9" hidden="1" customHeight="1">
      <c r="A98" s="1270"/>
      <c r="B98" s="1317"/>
      <c r="C98" s="1348">
        <f>F98+H98</f>
        <v>900.00099999999998</v>
      </c>
      <c r="E98" s="1347" t="s">
        <v>3</v>
      </c>
      <c r="F98" s="1350">
        <v>900</v>
      </c>
      <c r="G98" s="1351">
        <f>ARBETSBLAD!$G$315</f>
        <v>9.9999999999999995E-7</v>
      </c>
      <c r="H98" s="1352">
        <v>1E-3</v>
      </c>
      <c r="I98" s="1353">
        <f>SUMIFS(ARBETSBLAD!I11:I30,ARBETSBLAD!$E11:$E30,$E98,ARBETSBLAD!$G11:$G30,$G98)*I$57</f>
        <v>0</v>
      </c>
      <c r="J98" s="1353">
        <f>SUMIFS(ARBETSBLAD!J11:J30,ARBETSBLAD!$E11:$E30,$E98,ARBETSBLAD!$G11:$G30,$G98)*J$57</f>
        <v>0</v>
      </c>
      <c r="K98" s="1353">
        <f>SUMIFS(ARBETSBLAD!K11:K30,ARBETSBLAD!$E11:$E30,$E98,ARBETSBLAD!$G11:$G30,$G98)*K$57</f>
        <v>0</v>
      </c>
      <c r="L98" s="1353">
        <f>SUMIFS(ARBETSBLAD!L11:L30,ARBETSBLAD!$E11:$E30,$E98,ARBETSBLAD!$G11:$G30,$G98)*L$57</f>
        <v>0</v>
      </c>
      <c r="M98" s="1353">
        <f>SUMIFS(ARBETSBLAD!M11:M30,ARBETSBLAD!$E11:$E30,$E98,ARBETSBLAD!$G11:$G30,$G98)*M$57</f>
        <v>0</v>
      </c>
      <c r="N98" s="1353">
        <f>SUMIFS(ARBETSBLAD!N11:N30,ARBETSBLAD!$E11:$E30,$E98,ARBETSBLAD!$G11:$G30,$G98)*N$57</f>
        <v>0</v>
      </c>
      <c r="O98" s="1353">
        <f>SUMIFS(ARBETSBLAD!O11:O30,ARBETSBLAD!$E11:$E30,$E98,ARBETSBLAD!$G11:$G30,$G98)*O$57</f>
        <v>0</v>
      </c>
      <c r="P98" s="1353">
        <f>SUMIFS(ARBETSBLAD!P11:P30,ARBETSBLAD!$E11:$E30,$E98,ARBETSBLAD!$G11:$G30,$G98)*P$57</f>
        <v>0</v>
      </c>
      <c r="Q98" s="1353">
        <f>SUMIFS(ARBETSBLAD!Q11:Q30,ARBETSBLAD!$E11:$E30,$E98,ARBETSBLAD!$G11:$G30,$G98)*Q$57</f>
        <v>0</v>
      </c>
      <c r="R98" s="1353">
        <f>SUMIFS(ARBETSBLAD!R11:R30,ARBETSBLAD!$E11:$E30,$E98,ARBETSBLAD!$G11:$G30,$G98)*R$57</f>
        <v>0</v>
      </c>
      <c r="S98" s="1353">
        <f>SUMIFS(ARBETSBLAD!S11:S30,ARBETSBLAD!$E11:$E30,$E98,ARBETSBLAD!$G11:$G30,$G98)*S$57</f>
        <v>0</v>
      </c>
      <c r="T98" s="1353">
        <f>SUMIFS(ARBETSBLAD!T11:T30,ARBETSBLAD!$E11:$E30,$E98,ARBETSBLAD!$G11:$G30,$G98)*T$57</f>
        <v>0</v>
      </c>
      <c r="U98" s="1353">
        <f>SUMIFS(ARBETSBLAD!U11:U30,ARBETSBLAD!$E11:$E30,$E98,ARBETSBLAD!$G11:$G30,$G98)*U$57</f>
        <v>0</v>
      </c>
      <c r="V98" s="1353">
        <f>SUMIFS(ARBETSBLAD!V11:V30,ARBETSBLAD!$E11:$E30,$E98,ARBETSBLAD!$G11:$G30,$G98)*V$57</f>
        <v>0</v>
      </c>
      <c r="W98" s="1353">
        <f>SUMIFS(ARBETSBLAD!W11:W30,ARBETSBLAD!$E11:$E30,$E98,ARBETSBLAD!$G11:$G30,$G98)*W$57</f>
        <v>0</v>
      </c>
      <c r="X98" s="1353">
        <f>SUMIFS(ARBETSBLAD!X11:X30,ARBETSBLAD!$E11:$E30,$E98,ARBETSBLAD!$G11:$G30,$G98)*X$57</f>
        <v>0</v>
      </c>
      <c r="Y98" s="1353">
        <f>SUMIFS(ARBETSBLAD!Y11:Y30,ARBETSBLAD!$E11:$E30,$E98,ARBETSBLAD!$G11:$G30,$G98)*Y$57</f>
        <v>0</v>
      </c>
      <c r="Z98" s="1353">
        <f>SUMIFS(ARBETSBLAD!Z11:Z30,ARBETSBLAD!$E11:$E30,$E98,ARBETSBLAD!$G11:$G30,$G98)*Z$57</f>
        <v>0</v>
      </c>
      <c r="AA98" s="1353">
        <f>SUMIFS(ARBETSBLAD!AA11:AA30,ARBETSBLAD!$E11:$E30,$E98,ARBETSBLAD!$G11:$G30,$G98)*AA$57</f>
        <v>0</v>
      </c>
      <c r="AB98" s="1353">
        <f>SUMIFS(ARBETSBLAD!AB11:AB30,ARBETSBLAD!$E11:$E30,$E98,ARBETSBLAD!$G11:$G30,$G98)*AB$57</f>
        <v>0</v>
      </c>
      <c r="AC98" s="1353">
        <f>SUMIFS(ARBETSBLAD!AC11:AC30,ARBETSBLAD!$E11:$E30,$E98,ARBETSBLAD!$G11:$G30,$G98)*AC$57</f>
        <v>0</v>
      </c>
      <c r="AD98" s="1353">
        <f>SUMIFS(ARBETSBLAD!AD11:AD30,ARBETSBLAD!$E11:$E30,$E98,ARBETSBLAD!$G11:$G30,$G98)*AD$57</f>
        <v>0</v>
      </c>
      <c r="AE98" s="1353">
        <f>SUMIFS(ARBETSBLAD!AE11:AE30,ARBETSBLAD!$E11:$E30,$E98,ARBETSBLAD!$G11:$G30,$G98)*AE$57</f>
        <v>0</v>
      </c>
      <c r="AF98" s="1353">
        <f>SUMIFS(ARBETSBLAD!AF11:AF30,ARBETSBLAD!$E11:$E30,$E98,ARBETSBLAD!$G11:$G30,$G98)*AF$57</f>
        <v>0</v>
      </c>
      <c r="AH98" s="1354">
        <f>IF($C$57=1,SUM(I98:T98),IF($C$57=2,SUM(O98:AF98)))</f>
        <v>0</v>
      </c>
      <c r="AI98" s="1355"/>
      <c r="AJ98" s="1354">
        <f>IF($C$57=1,SUM(U98:AF98),0)</f>
        <v>0</v>
      </c>
      <c r="AL98" s="1356"/>
      <c r="AM98" s="1357"/>
      <c r="AN98" s="1358"/>
    </row>
    <row r="99" spans="1:40" s="1349" customFormat="1" ht="12.9" hidden="1" customHeight="1">
      <c r="A99" s="1270"/>
      <c r="H99" s="1359"/>
      <c r="AL99" s="1357"/>
      <c r="AM99" s="1357"/>
      <c r="AN99" s="1360"/>
    </row>
    <row r="100" spans="1:40" s="1349" customFormat="1" ht="12.9" hidden="1" customHeight="1">
      <c r="A100" s="1270"/>
      <c r="B100" s="1317"/>
      <c r="C100" s="1348">
        <f>F100+H100</f>
        <v>1.06</v>
      </c>
      <c r="E100" s="1347" t="s">
        <v>0</v>
      </c>
      <c r="F100" s="1350">
        <v>1</v>
      </c>
      <c r="G100" s="1351">
        <f>$O$64</f>
        <v>0.06</v>
      </c>
      <c r="H100" s="1352">
        <f>$P$64</f>
        <v>0.06</v>
      </c>
      <c r="I100" s="1353">
        <f>SUMIFS(ARBETSBLAD!I11:I30,ARBETSBLAD!$E11:$E30,$E100,ARBETSBLAD!$G11:$G30,$G100)*I$57+IF($M$93=$C$100,ARBETSBLAD!I257,0)*I57+IF($M$94=$C$100,ARBETSBLAD!I252,0)*I57+I117*0.7+I118*0.33</f>
        <v>0</v>
      </c>
      <c r="J100" s="1353">
        <f>SUMIFS(ARBETSBLAD!J11:J30,ARBETSBLAD!$E11:$E30,$E100,ARBETSBLAD!$G11:$G30,$G100)*J$57+IF($M$93=$C$100,ARBETSBLAD!J257,0)*J57+IF($M$94=$C$100,ARBETSBLAD!J252,0)*J57+J117*0.7+J118*0.33</f>
        <v>0</v>
      </c>
      <c r="K100" s="1353">
        <f>SUMIFS(ARBETSBLAD!K11:K30,ARBETSBLAD!$E11:$E30,$E100,ARBETSBLAD!$G11:$G30,$G100)*K$57+IF($M$93=$C$100,ARBETSBLAD!K257,0)*K57+IF($M$94=$C$100,ARBETSBLAD!K252,0)*K57+K117*0.7+K118*0.33</f>
        <v>0</v>
      </c>
      <c r="L100" s="1353">
        <f>SUMIFS(ARBETSBLAD!L11:L30,ARBETSBLAD!$E11:$E30,$E100,ARBETSBLAD!$G11:$G30,$G100)*L$57+IF($M$93=$C$100,ARBETSBLAD!L257,0)*L57+IF($M$94=$C$100,ARBETSBLAD!L252,0)*L57+L117*0.7+L118*0.33</f>
        <v>0</v>
      </c>
      <c r="M100" s="1353">
        <f>SUMIFS(ARBETSBLAD!M11:M30,ARBETSBLAD!$E11:$E30,$E100,ARBETSBLAD!$G11:$G30,$G100)*M$57+IF($M$93=$C$100,ARBETSBLAD!M257,0)*M57+IF($M$94=$C$100,ARBETSBLAD!M252,0)*M57+M117*0.7+M118*0.33</f>
        <v>0</v>
      </c>
      <c r="N100" s="1353">
        <f>SUMIFS(ARBETSBLAD!N11:N30,ARBETSBLAD!$E11:$E30,$E100,ARBETSBLAD!$G11:$G30,$G100)*N$57+IF($M$93=$C$100,ARBETSBLAD!N257,0)*N57+IF($M$94=$C$100,ARBETSBLAD!N252,0)*N57+N117*0.7+N118*0.33</f>
        <v>0</v>
      </c>
      <c r="O100" s="1353">
        <f>SUMIFS(ARBETSBLAD!O11:O30,ARBETSBLAD!$E11:$E30,$E100,ARBETSBLAD!$G11:$G30,$G100)*O$57+IF($M$93=$C$100,ARBETSBLAD!O257,0)*O57+IF($M$94=$C$100,ARBETSBLAD!O252,0)*O57+O117*0.7+O118*0.33</f>
        <v>0</v>
      </c>
      <c r="P100" s="1353">
        <f>SUMIFS(ARBETSBLAD!P11:P30,ARBETSBLAD!$E11:$E30,$E100,ARBETSBLAD!$G11:$G30,$G100)*P$57+IF($M$93=$C$100,ARBETSBLAD!P257,0)*P57+IF($M$94=$C$100,ARBETSBLAD!P252,0)*P57+P117*0.7+P118*0.33</f>
        <v>0</v>
      </c>
      <c r="Q100" s="1353">
        <f>SUMIFS(ARBETSBLAD!Q11:Q30,ARBETSBLAD!$E11:$E30,$E100,ARBETSBLAD!$G11:$G30,$G100)*Q$57+IF($M$93=$C$100,ARBETSBLAD!Q257,0)*Q57+IF($M$94=$C$100,ARBETSBLAD!Q252,0)*Q57+Q117*0.7+Q118*0.33</f>
        <v>0</v>
      </c>
      <c r="R100" s="1353">
        <f>SUMIFS(ARBETSBLAD!R11:R30,ARBETSBLAD!$E11:$E30,$E100,ARBETSBLAD!$G11:$G30,$G100)*R$57+IF($M$93=$C$100,ARBETSBLAD!R257,0)*R57+IF($M$94=$C$100,ARBETSBLAD!R252,0)*R57+R117*0.7+R118*0.33</f>
        <v>0</v>
      </c>
      <c r="S100" s="1353">
        <f>SUMIFS(ARBETSBLAD!S11:S30,ARBETSBLAD!$E11:$E30,$E100,ARBETSBLAD!$G11:$G30,$G100)*S$57+IF($M$93=$C$100,ARBETSBLAD!S257,0)*S57+IF($M$94=$C$100,ARBETSBLAD!S252,0)*S57+S117*0.7+S118*0.33</f>
        <v>0</v>
      </c>
      <c r="T100" s="1353">
        <f>SUMIFS(ARBETSBLAD!T11:T30,ARBETSBLAD!$E11:$E30,$E100,ARBETSBLAD!$G11:$G30,$G100)*T$57+IF($M$93=$C$100,ARBETSBLAD!T257,0)*T57+IF($M$94=$C$100,ARBETSBLAD!T252,0)*T57+T117*0.7+T118*0.33</f>
        <v>0</v>
      </c>
      <c r="U100" s="1353">
        <f>SUMIFS(ARBETSBLAD!U11:U30,ARBETSBLAD!$E11:$E30,$E100,ARBETSBLAD!$G11:$G30,$G100)*U$57+IF($M$93=$C$100,ARBETSBLAD!U257,0)*U57+IF($M$94=$C$100,ARBETSBLAD!U252,0)*U57+U117*0.7+U118*0.33</f>
        <v>0</v>
      </c>
      <c r="V100" s="1353">
        <f>SUMIFS(ARBETSBLAD!V11:V30,ARBETSBLAD!$E11:$E30,$E100,ARBETSBLAD!$G11:$G30,$G100)*V$57+IF($M$93=$C$100,ARBETSBLAD!V257,0)*V57+IF($M$94=$C$100,ARBETSBLAD!V252,0)*V57+V117*0.7+V118*0.33</f>
        <v>0</v>
      </c>
      <c r="W100" s="1353">
        <f>SUMIFS(ARBETSBLAD!W11:W30,ARBETSBLAD!$E11:$E30,$E100,ARBETSBLAD!$G11:$G30,$G100)*W$57+IF($M$93=$C$100,ARBETSBLAD!W257,0)*W57+IF($M$94=$C$100,ARBETSBLAD!W252,0)*W57+W117*0.7+W118*0.33</f>
        <v>0</v>
      </c>
      <c r="X100" s="1353">
        <f>SUMIFS(ARBETSBLAD!X11:X30,ARBETSBLAD!$E11:$E30,$E100,ARBETSBLAD!$G11:$G30,$G100)*X$57+IF($M$93=$C$100,ARBETSBLAD!X257,0)*X57+IF($M$94=$C$100,ARBETSBLAD!X252,0)*X57+X117*0.7+X118*0.33</f>
        <v>0</v>
      </c>
      <c r="Y100" s="1353">
        <f>SUMIFS(ARBETSBLAD!Y11:Y30,ARBETSBLAD!$E11:$E30,$E100,ARBETSBLAD!$G11:$G30,$G100)*Y$57+IF($M$93=$C$100,ARBETSBLAD!Y257,0)*Y57+IF($M$94=$C$100,ARBETSBLAD!Y252,0)*Y57+Y117*0.7+Y118*0.33</f>
        <v>0</v>
      </c>
      <c r="Z100" s="1353">
        <f>SUMIFS(ARBETSBLAD!Z11:Z30,ARBETSBLAD!$E11:$E30,$E100,ARBETSBLAD!$G11:$G30,$G100)*Z$57+IF($M$93=$C$100,ARBETSBLAD!Z257,0)*Z57+IF($M$94=$C$100,ARBETSBLAD!Z252,0)*Z57+Z117*0.7+Z118*0.33</f>
        <v>0</v>
      </c>
      <c r="AA100" s="1353">
        <f>SUMIFS(ARBETSBLAD!AA11:AA30,ARBETSBLAD!$E11:$E30,$E100,ARBETSBLAD!$G11:$G30,$G100)*AA$57+IF($M$93=$C$100,ARBETSBLAD!AA257,0)*AA57+IF($M$94=$C$100,ARBETSBLAD!AA252,0)*AA57+AA117*0.7+AA118*0.33</f>
        <v>0</v>
      </c>
      <c r="AB100" s="1353">
        <f>SUMIFS(ARBETSBLAD!AB11:AB30,ARBETSBLAD!$E11:$E30,$E100,ARBETSBLAD!$G11:$G30,$G100)*AB$57+IF($M$93=$C$100,ARBETSBLAD!AB257,0)*AB57+IF($M$94=$C$100,ARBETSBLAD!AB252,0)*AB57+AB117*0.7+AB118*0.33</f>
        <v>0</v>
      </c>
      <c r="AC100" s="1353">
        <f>SUMIFS(ARBETSBLAD!AC11:AC30,ARBETSBLAD!$E11:$E30,$E100,ARBETSBLAD!$G11:$G30,$G100)*AC$57+IF($M$93=$C$100,ARBETSBLAD!AC257,0)*AC57+IF($M$94=$C$100,ARBETSBLAD!AC252,0)*AC57+AC117*0.7+AC118*0.33</f>
        <v>0</v>
      </c>
      <c r="AD100" s="1353">
        <f>SUMIFS(ARBETSBLAD!AD11:AD30,ARBETSBLAD!$E11:$E30,$E100,ARBETSBLAD!$G11:$G30,$G100)*AD$57+IF($M$93=$C$100,ARBETSBLAD!AD257,0)*AD57+IF($M$94=$C$100,ARBETSBLAD!AD252,0)*AD57+AD117*0.7+AD118*0.33</f>
        <v>0</v>
      </c>
      <c r="AE100" s="1353">
        <f>SUMIFS(ARBETSBLAD!AE11:AE30,ARBETSBLAD!$E11:$E30,$E100,ARBETSBLAD!$G11:$G30,$G100)*AE$57+IF($M$93=$C$100,ARBETSBLAD!AE257,0)*AE57+IF($M$94=$C$100,ARBETSBLAD!AE252,0)*AE57+AE117*0.7+AE118*0.33</f>
        <v>0</v>
      </c>
      <c r="AF100" s="1353">
        <f>SUMIFS(ARBETSBLAD!AF11:AF30,ARBETSBLAD!$E11:$E30,$E100,ARBETSBLAD!$G11:$G30,$G100)*AF$57+IF($M$93=$C$100,ARBETSBLAD!AF257,0)*AF57+IF($M$94=$C$100,ARBETSBLAD!AF252,0)*AF57+AF117*0.7+AF118*0.33</f>
        <v>0</v>
      </c>
      <c r="AH100" s="1354">
        <f>IF($C$57=1,SUM(I100:T100),IF($C$57=2,SUM(O100:AF100)))</f>
        <v>0</v>
      </c>
      <c r="AI100" s="1355"/>
      <c r="AJ100" s="1354">
        <f>IF($C$57=1,SUM(U100:AF100),0)</f>
        <v>0</v>
      </c>
      <c r="AL100" s="1356"/>
      <c r="AM100" s="1357"/>
      <c r="AN100" s="1358"/>
    </row>
    <row r="101" spans="1:40" s="1349" customFormat="1" ht="12.9" hidden="1" customHeight="1">
      <c r="A101" s="1270"/>
      <c r="B101" s="1317"/>
      <c r="C101" s="1348">
        <f>F101+H101</f>
        <v>300.06</v>
      </c>
      <c r="E101" s="1347" t="s">
        <v>1</v>
      </c>
      <c r="F101" s="1350">
        <v>300</v>
      </c>
      <c r="G101" s="1351">
        <f>$O$64</f>
        <v>0.06</v>
      </c>
      <c r="H101" s="1352">
        <f>$P$64</f>
        <v>0.06</v>
      </c>
      <c r="I101" s="1353">
        <f>SUMIFS(ARBETSBLAD!I11:I30,ARBETSBLAD!$E11:$E30,$E101,ARBETSBLAD!$G11:$G30,$G101)*I$57+0.3*I117+0.67*I118+I119*0.567</f>
        <v>0</v>
      </c>
      <c r="J101" s="1353">
        <f>SUMIFS(ARBETSBLAD!J11:J30,ARBETSBLAD!$E11:$E30,$E101,ARBETSBLAD!$G11:$G30,$G101)*J$57+0.3*J117+0.67*J118+J119*0.567</f>
        <v>0</v>
      </c>
      <c r="K101" s="1353">
        <f>SUMIFS(ARBETSBLAD!K11:K30,ARBETSBLAD!$E11:$E30,$E101,ARBETSBLAD!$G11:$G30,$G101)*K$57+0.3*K117+0.67*K118+K119*0.567</f>
        <v>0</v>
      </c>
      <c r="L101" s="1353">
        <f>SUMIFS(ARBETSBLAD!L11:L30,ARBETSBLAD!$E11:$E30,$E101,ARBETSBLAD!$G11:$G30,$G101)*L$57+0.3*L117+0.67*L118+L119*0.567</f>
        <v>0</v>
      </c>
      <c r="M101" s="1353">
        <f>SUMIFS(ARBETSBLAD!M11:M30,ARBETSBLAD!$E11:$E30,$E101,ARBETSBLAD!$G11:$G30,$G101)*M$57+0.3*M117+0.67*M118+M119*0.567</f>
        <v>0</v>
      </c>
      <c r="N101" s="1353">
        <f>SUMIFS(ARBETSBLAD!N11:N30,ARBETSBLAD!$E11:$E30,$E101,ARBETSBLAD!$G11:$G30,$G101)*N$57+0.3*N117+0.67*N118+N119*0.567</f>
        <v>0</v>
      </c>
      <c r="O101" s="1353">
        <f>SUMIFS(ARBETSBLAD!O11:O30,ARBETSBLAD!$E11:$E30,$E101,ARBETSBLAD!$G11:$G30,$G101)*O$57+0.3*O117+0.67*O118+O119*0.567</f>
        <v>0</v>
      </c>
      <c r="P101" s="1353">
        <f>SUMIFS(ARBETSBLAD!P11:P30,ARBETSBLAD!$E11:$E30,$E101,ARBETSBLAD!$G11:$G30,$G101)*P$57+0.3*P117+0.67*P118+P119*0.567</f>
        <v>0</v>
      </c>
      <c r="Q101" s="1353">
        <f>SUMIFS(ARBETSBLAD!Q11:Q30,ARBETSBLAD!$E11:$E30,$E101,ARBETSBLAD!$G11:$G30,$G101)*Q$57+0.3*Q117+0.67*Q118+Q119*0.567</f>
        <v>0</v>
      </c>
      <c r="R101" s="1353">
        <f>SUMIFS(ARBETSBLAD!R11:R30,ARBETSBLAD!$E11:$E30,$E101,ARBETSBLAD!$G11:$G30,$G101)*R$57+0.3*R117+0.67*R118+R119*0.567</f>
        <v>0</v>
      </c>
      <c r="S101" s="1353">
        <f>SUMIFS(ARBETSBLAD!S11:S30,ARBETSBLAD!$E11:$E30,$E101,ARBETSBLAD!$G11:$G30,$G101)*S$57+0.3*S117+0.67*S118+S119*0.567</f>
        <v>0</v>
      </c>
      <c r="T101" s="1353">
        <f>SUMIFS(ARBETSBLAD!T11:T30,ARBETSBLAD!$E11:$E30,$E101,ARBETSBLAD!$G11:$G30,$G101)*T$57+0.3*T117+0.67*T118+T119*0.567</f>
        <v>0</v>
      </c>
      <c r="U101" s="1353">
        <f>SUMIFS(ARBETSBLAD!U11:U30,ARBETSBLAD!$E11:$E30,$E101,ARBETSBLAD!$G11:$G30,$G101)*U$57+0.3*U117+0.67*U118+U119*0.567</f>
        <v>0</v>
      </c>
      <c r="V101" s="1353">
        <f>SUMIFS(ARBETSBLAD!V11:V30,ARBETSBLAD!$E11:$E30,$E101,ARBETSBLAD!$G11:$G30,$G101)*V$57+0.3*V117+0.67*V118+V119*0.567</f>
        <v>0</v>
      </c>
      <c r="W101" s="1353">
        <f>SUMIFS(ARBETSBLAD!W11:W30,ARBETSBLAD!$E11:$E30,$E101,ARBETSBLAD!$G11:$G30,$G101)*W$57+0.3*W117+0.67*W118+W119*0.567</f>
        <v>0</v>
      </c>
      <c r="X101" s="1353">
        <f>SUMIFS(ARBETSBLAD!X11:X30,ARBETSBLAD!$E11:$E30,$E101,ARBETSBLAD!$G11:$G30,$G101)*X$57+0.3*X117+0.67*X118+X119*0.567</f>
        <v>0</v>
      </c>
      <c r="Y101" s="1353">
        <f>SUMIFS(ARBETSBLAD!Y11:Y30,ARBETSBLAD!$E11:$E30,$E101,ARBETSBLAD!$G11:$G30,$G101)*Y$57+0.3*Y117+0.67*Y118+Y119*0.567</f>
        <v>0</v>
      </c>
      <c r="Z101" s="1353">
        <f>SUMIFS(ARBETSBLAD!Z11:Z30,ARBETSBLAD!$E11:$E30,$E101,ARBETSBLAD!$G11:$G30,$G101)*Z$57+0.3*Z117+0.67*Z118+Z119*0.567</f>
        <v>0</v>
      </c>
      <c r="AA101" s="1353">
        <f>SUMIFS(ARBETSBLAD!AA11:AA30,ARBETSBLAD!$E11:$E30,$E101,ARBETSBLAD!$G11:$G30,$G101)*AA$57+0.3*AA117+0.67*AA118+AA119*0.567</f>
        <v>0</v>
      </c>
      <c r="AB101" s="1353">
        <f>SUMIFS(ARBETSBLAD!AB11:AB30,ARBETSBLAD!$E11:$E30,$E101,ARBETSBLAD!$G11:$G30,$G101)*AB$57+0.3*AB117+0.67*AB118+AB119*0.567</f>
        <v>0</v>
      </c>
      <c r="AC101" s="1353">
        <f>SUMIFS(ARBETSBLAD!AC11:AC30,ARBETSBLAD!$E11:$E30,$E101,ARBETSBLAD!$G11:$G30,$G101)*AC$57+0.3*AC117+0.67*AC118+AC119*0.567</f>
        <v>0</v>
      </c>
      <c r="AD101" s="1353">
        <f>SUMIFS(ARBETSBLAD!AD11:AD30,ARBETSBLAD!$E11:$E30,$E101,ARBETSBLAD!$G11:$G30,$G101)*AD$57+0.3*AD117+0.67*AD118+AD119*0.567</f>
        <v>0</v>
      </c>
      <c r="AE101" s="1353">
        <f>SUMIFS(ARBETSBLAD!AE11:AE30,ARBETSBLAD!$E11:$E30,$E101,ARBETSBLAD!$G11:$G30,$G101)*AE$57+0.3*AE117+0.67*AE118+AE119*0.567</f>
        <v>0</v>
      </c>
      <c r="AF101" s="1353">
        <f>SUMIFS(ARBETSBLAD!AF11:AF30,ARBETSBLAD!$E11:$E30,$E101,ARBETSBLAD!$G11:$G30,$G101)*AF$57+0.3*AF117+0.67*AF118+AF119*0.567</f>
        <v>0</v>
      </c>
      <c r="AH101" s="1354">
        <f>IF($C$57=1,SUM(I101:T101),IF($C$57=2,SUM(O101:AF101)))</f>
        <v>0</v>
      </c>
      <c r="AI101" s="1355"/>
      <c r="AJ101" s="1354">
        <f>IF($C$57=1,SUM(U101:AF101),0)</f>
        <v>0</v>
      </c>
      <c r="AL101" s="1356"/>
      <c r="AM101" s="1357"/>
      <c r="AN101" s="1358"/>
    </row>
    <row r="102" spans="1:40" s="1349" customFormat="1" ht="12.9" hidden="1" customHeight="1">
      <c r="A102" s="1270"/>
      <c r="B102" s="1317"/>
      <c r="C102" s="1348">
        <f>F102+H102</f>
        <v>600.05999999999995</v>
      </c>
      <c r="E102" s="1347" t="s">
        <v>2</v>
      </c>
      <c r="F102" s="1350">
        <v>600</v>
      </c>
      <c r="G102" s="1351">
        <f>$O$64</f>
        <v>0.06</v>
      </c>
      <c r="H102" s="1352">
        <f>$P$64</f>
        <v>0.06</v>
      </c>
      <c r="I102" s="1353">
        <f>SUMIFS(ARBETSBLAD!I11:I30,ARBETSBLAD!$E11:$E30,$E102,ARBETSBLAD!$G11:$G30,$G102)*I$57+I119*0.433</f>
        <v>0</v>
      </c>
      <c r="J102" s="1353">
        <f>SUMIFS(ARBETSBLAD!J11:J30,ARBETSBLAD!$E11:$E30,$E102,ARBETSBLAD!$G11:$G30,$G102)*J$57+J119*0.433</f>
        <v>0</v>
      </c>
      <c r="K102" s="1353">
        <f>SUMIFS(ARBETSBLAD!K11:K30,ARBETSBLAD!$E11:$E30,$E102,ARBETSBLAD!$G11:$G30,$G102)*K$57+K119*0.433</f>
        <v>0</v>
      </c>
      <c r="L102" s="1353">
        <f>SUMIFS(ARBETSBLAD!L11:L30,ARBETSBLAD!$E11:$E30,$E102,ARBETSBLAD!$G11:$G30,$G102)*L$57+L119*0.433</f>
        <v>0</v>
      </c>
      <c r="M102" s="1353">
        <f>SUMIFS(ARBETSBLAD!M11:M30,ARBETSBLAD!$E11:$E30,$E102,ARBETSBLAD!$G11:$G30,$G102)*M$57+M119*0.433</f>
        <v>0</v>
      </c>
      <c r="N102" s="1353">
        <f>SUMIFS(ARBETSBLAD!N11:N30,ARBETSBLAD!$E11:$E30,$E102,ARBETSBLAD!$G11:$G30,$G102)*N$57+N119*0.433</f>
        <v>0</v>
      </c>
      <c r="O102" s="1353">
        <f>SUMIFS(ARBETSBLAD!O11:O30,ARBETSBLAD!$E11:$E30,$E102,ARBETSBLAD!$G11:$G30,$G102)*O$57+O119*0.433</f>
        <v>0</v>
      </c>
      <c r="P102" s="1353">
        <f>SUMIFS(ARBETSBLAD!P11:P30,ARBETSBLAD!$E11:$E30,$E102,ARBETSBLAD!$G11:$G30,$G102)*P$57+P119*0.433</f>
        <v>0</v>
      </c>
      <c r="Q102" s="1353">
        <f>SUMIFS(ARBETSBLAD!Q11:Q30,ARBETSBLAD!$E11:$E30,$E102,ARBETSBLAD!$G11:$G30,$G102)*Q$57+Q119*0.433</f>
        <v>0</v>
      </c>
      <c r="R102" s="1353">
        <f>SUMIFS(ARBETSBLAD!R11:R30,ARBETSBLAD!$E11:$E30,$E102,ARBETSBLAD!$G11:$G30,$G102)*R$57+R119*0.433</f>
        <v>0</v>
      </c>
      <c r="S102" s="1353">
        <f>SUMIFS(ARBETSBLAD!S11:S30,ARBETSBLAD!$E11:$E30,$E102,ARBETSBLAD!$G11:$G30,$G102)*S$57+S119*0.433</f>
        <v>0</v>
      </c>
      <c r="T102" s="1353">
        <f>SUMIFS(ARBETSBLAD!T11:T30,ARBETSBLAD!$E11:$E30,$E102,ARBETSBLAD!$G11:$G30,$G102)*T$57+T119*0.433</f>
        <v>0</v>
      </c>
      <c r="U102" s="1353">
        <f>SUMIFS(ARBETSBLAD!U11:U30,ARBETSBLAD!$E11:$E30,$E102,ARBETSBLAD!$G11:$G30,$G102)*U$57+U119*0.433</f>
        <v>0</v>
      </c>
      <c r="V102" s="1353">
        <f>SUMIFS(ARBETSBLAD!V11:V30,ARBETSBLAD!$E11:$E30,$E102,ARBETSBLAD!$G11:$G30,$G102)*V$57+V119*0.433</f>
        <v>0</v>
      </c>
      <c r="W102" s="1353">
        <f>SUMIFS(ARBETSBLAD!W11:W30,ARBETSBLAD!$E11:$E30,$E102,ARBETSBLAD!$G11:$G30,$G102)*W$57+W119*0.433</f>
        <v>0</v>
      </c>
      <c r="X102" s="1353">
        <f>SUMIFS(ARBETSBLAD!X11:X30,ARBETSBLAD!$E11:$E30,$E102,ARBETSBLAD!$G11:$G30,$G102)*X$57+X119*0.433</f>
        <v>0</v>
      </c>
      <c r="Y102" s="1353">
        <f>SUMIFS(ARBETSBLAD!Y11:Y30,ARBETSBLAD!$E11:$E30,$E102,ARBETSBLAD!$G11:$G30,$G102)*Y$57+Y119*0.433</f>
        <v>0</v>
      </c>
      <c r="Z102" s="1353">
        <f>SUMIFS(ARBETSBLAD!Z11:Z30,ARBETSBLAD!$E11:$E30,$E102,ARBETSBLAD!$G11:$G30,$G102)*Z$57+Z119*0.433</f>
        <v>0</v>
      </c>
      <c r="AA102" s="1353">
        <f>SUMIFS(ARBETSBLAD!AA11:AA30,ARBETSBLAD!$E11:$E30,$E102,ARBETSBLAD!$G11:$G30,$G102)*AA$57+AA119*0.433</f>
        <v>0</v>
      </c>
      <c r="AB102" s="1353">
        <f>SUMIFS(ARBETSBLAD!AB11:AB30,ARBETSBLAD!$E11:$E30,$E102,ARBETSBLAD!$G11:$G30,$G102)*AB$57+AB119*0.433</f>
        <v>0</v>
      </c>
      <c r="AC102" s="1353">
        <f>SUMIFS(ARBETSBLAD!AC11:AC30,ARBETSBLAD!$E11:$E30,$E102,ARBETSBLAD!$G11:$G30,$G102)*AC$57+AC119*0.433</f>
        <v>0</v>
      </c>
      <c r="AD102" s="1353">
        <f>SUMIFS(ARBETSBLAD!AD11:AD30,ARBETSBLAD!$E11:$E30,$E102,ARBETSBLAD!$G11:$G30,$G102)*AD$57+AD119*0.433</f>
        <v>0</v>
      </c>
      <c r="AE102" s="1353">
        <f>SUMIFS(ARBETSBLAD!AE11:AE30,ARBETSBLAD!$E11:$E30,$E102,ARBETSBLAD!$G11:$G30,$G102)*AE$57+AE119*0.433</f>
        <v>0</v>
      </c>
      <c r="AF102" s="1353">
        <f>SUMIFS(ARBETSBLAD!AF11:AF30,ARBETSBLAD!$E11:$E30,$E102,ARBETSBLAD!$G11:$G30,$G102)*AF$57+AF119*0.433</f>
        <v>0</v>
      </c>
      <c r="AH102" s="1354">
        <f>IF($C$57=1,SUM(I102:T102),IF($C$57=2,SUM(O102:AF102)))</f>
        <v>0</v>
      </c>
      <c r="AI102" s="1355"/>
      <c r="AJ102" s="1354">
        <f>IF($C$57=1,SUM(U102:AF102),0)</f>
        <v>0</v>
      </c>
      <c r="AL102" s="1356"/>
      <c r="AM102" s="1357"/>
      <c r="AN102" s="1358"/>
    </row>
    <row r="103" spans="1:40" s="1349" customFormat="1" ht="12.9" hidden="1" customHeight="1">
      <c r="A103" s="1270"/>
      <c r="B103" s="1317"/>
      <c r="C103" s="1348">
        <f>F103+H103</f>
        <v>900.06</v>
      </c>
      <c r="E103" s="1347" t="s">
        <v>3</v>
      </c>
      <c r="F103" s="1350">
        <v>900</v>
      </c>
      <c r="G103" s="1351">
        <f>$O$64</f>
        <v>0.06</v>
      </c>
      <c r="H103" s="1352">
        <f>$P$64</f>
        <v>0.06</v>
      </c>
      <c r="I103" s="1353">
        <f>SUMIFS(ARBETSBLAD!I11:I30,ARBETSBLAD!$E11:$E30,$E103,ARBETSBLAD!$G11:$G30,$G103)*I$57</f>
        <v>0</v>
      </c>
      <c r="J103" s="1353">
        <f>SUMIFS(ARBETSBLAD!J11:J30,ARBETSBLAD!$E11:$E30,$E103,ARBETSBLAD!$G11:$G30,$G103)*J$57</f>
        <v>0</v>
      </c>
      <c r="K103" s="1353">
        <f>SUMIFS(ARBETSBLAD!K11:K30,ARBETSBLAD!$E11:$E30,$E103,ARBETSBLAD!$G11:$G30,$G103)*K$57</f>
        <v>0</v>
      </c>
      <c r="L103" s="1353">
        <f>SUMIFS(ARBETSBLAD!L11:L30,ARBETSBLAD!$E11:$E30,$E103,ARBETSBLAD!$G11:$G30,$G103)*L$57</f>
        <v>0</v>
      </c>
      <c r="M103" s="1353">
        <f>SUMIFS(ARBETSBLAD!M11:M30,ARBETSBLAD!$E11:$E30,$E103,ARBETSBLAD!$G11:$G30,$G103)*M$57</f>
        <v>0</v>
      </c>
      <c r="N103" s="1353">
        <f>SUMIFS(ARBETSBLAD!N11:N30,ARBETSBLAD!$E11:$E30,$E103,ARBETSBLAD!$G11:$G30,$G103)*N$57</f>
        <v>0</v>
      </c>
      <c r="O103" s="1353">
        <f>SUMIFS(ARBETSBLAD!O11:O30,ARBETSBLAD!$E11:$E30,$E103,ARBETSBLAD!$G11:$G30,$G103)*O$57</f>
        <v>0</v>
      </c>
      <c r="P103" s="1353">
        <f>SUMIFS(ARBETSBLAD!P11:P30,ARBETSBLAD!$E11:$E30,$E103,ARBETSBLAD!$G11:$G30,$G103)*P$57</f>
        <v>0</v>
      </c>
      <c r="Q103" s="1353">
        <f>SUMIFS(ARBETSBLAD!Q11:Q30,ARBETSBLAD!$E11:$E30,$E103,ARBETSBLAD!$G11:$G30,$G103)*Q$57</f>
        <v>0</v>
      </c>
      <c r="R103" s="1353">
        <f>SUMIFS(ARBETSBLAD!R11:R30,ARBETSBLAD!$E11:$E30,$E103,ARBETSBLAD!$G11:$G30,$G103)*R$57</f>
        <v>0</v>
      </c>
      <c r="S103" s="1353">
        <f>SUMIFS(ARBETSBLAD!S11:S30,ARBETSBLAD!$E11:$E30,$E103,ARBETSBLAD!$G11:$G30,$G103)*S$57</f>
        <v>0</v>
      </c>
      <c r="T103" s="1353">
        <f>SUMIFS(ARBETSBLAD!T11:T30,ARBETSBLAD!$E11:$E30,$E103,ARBETSBLAD!$G11:$G30,$G103)*T$57</f>
        <v>0</v>
      </c>
      <c r="U103" s="1353">
        <f>SUMIFS(ARBETSBLAD!U11:U30,ARBETSBLAD!$E11:$E30,$E103,ARBETSBLAD!$G11:$G30,$G103)*U$57</f>
        <v>0</v>
      </c>
      <c r="V103" s="1353">
        <f>SUMIFS(ARBETSBLAD!V11:V30,ARBETSBLAD!$E11:$E30,$E103,ARBETSBLAD!$G11:$G30,$G103)*V$57</f>
        <v>0</v>
      </c>
      <c r="W103" s="1353">
        <f>SUMIFS(ARBETSBLAD!W11:W30,ARBETSBLAD!$E11:$E30,$E103,ARBETSBLAD!$G11:$G30,$G103)*W$57</f>
        <v>0</v>
      </c>
      <c r="X103" s="1353">
        <f>SUMIFS(ARBETSBLAD!X11:X30,ARBETSBLAD!$E11:$E30,$E103,ARBETSBLAD!$G11:$G30,$G103)*X$57</f>
        <v>0</v>
      </c>
      <c r="Y103" s="1353">
        <f>SUMIFS(ARBETSBLAD!Y11:Y30,ARBETSBLAD!$E11:$E30,$E103,ARBETSBLAD!$G11:$G30,$G103)*Y$57</f>
        <v>0</v>
      </c>
      <c r="Z103" s="1353">
        <f>SUMIFS(ARBETSBLAD!Z11:Z30,ARBETSBLAD!$E11:$E30,$E103,ARBETSBLAD!$G11:$G30,$G103)*Z$57</f>
        <v>0</v>
      </c>
      <c r="AA103" s="1353">
        <f>SUMIFS(ARBETSBLAD!AA11:AA30,ARBETSBLAD!$E11:$E30,$E103,ARBETSBLAD!$G11:$G30,$G103)*AA$57</f>
        <v>0</v>
      </c>
      <c r="AB103" s="1353">
        <f>SUMIFS(ARBETSBLAD!AB11:AB30,ARBETSBLAD!$E11:$E30,$E103,ARBETSBLAD!$G11:$G30,$G103)*AB$57</f>
        <v>0</v>
      </c>
      <c r="AC103" s="1353">
        <f>SUMIFS(ARBETSBLAD!AC11:AC30,ARBETSBLAD!$E11:$E30,$E103,ARBETSBLAD!$G11:$G30,$G103)*AC$57</f>
        <v>0</v>
      </c>
      <c r="AD103" s="1353">
        <f>SUMIFS(ARBETSBLAD!AD11:AD30,ARBETSBLAD!$E11:$E30,$E103,ARBETSBLAD!$G11:$G30,$G103)*AD$57</f>
        <v>0</v>
      </c>
      <c r="AE103" s="1353">
        <f>SUMIFS(ARBETSBLAD!AE11:AE30,ARBETSBLAD!$E11:$E30,$E103,ARBETSBLAD!$G11:$G30,$G103)*AE$57</f>
        <v>0</v>
      </c>
      <c r="AF103" s="1353">
        <f>SUMIFS(ARBETSBLAD!AF11:AF30,ARBETSBLAD!$E11:$E30,$E103,ARBETSBLAD!$G11:$G30,$G103)*AF$57</f>
        <v>0</v>
      </c>
      <c r="AH103" s="1354">
        <f>IF($C$57=1,SUM(I103:T103),IF($C$57=2,SUM(O103:AF103)))</f>
        <v>0</v>
      </c>
      <c r="AI103" s="1355"/>
      <c r="AJ103" s="1354">
        <f>IF($C$57=1,SUM(U103:AF103),0)</f>
        <v>0</v>
      </c>
      <c r="AL103" s="1356"/>
      <c r="AM103" s="1357"/>
      <c r="AN103" s="1358"/>
    </row>
    <row r="104" spans="1:40" s="1349" customFormat="1" ht="12.9" hidden="1" customHeight="1">
      <c r="A104" s="1270"/>
      <c r="H104" s="1359"/>
      <c r="AL104" s="1357"/>
      <c r="AM104" s="1357"/>
      <c r="AN104" s="1360"/>
    </row>
    <row r="105" spans="1:40" s="1349" customFormat="1" ht="12.9" hidden="1" customHeight="1">
      <c r="A105" s="1270"/>
      <c r="B105" s="1317"/>
      <c r="C105" s="1348">
        <f>F105+H105</f>
        <v>1.1200000000000001</v>
      </c>
      <c r="E105" s="1347" t="s">
        <v>0</v>
      </c>
      <c r="F105" s="1350">
        <v>1</v>
      </c>
      <c r="G105" s="1351">
        <f>$O$65</f>
        <v>0.12</v>
      </c>
      <c r="H105" s="1352">
        <f>$P$65</f>
        <v>0.12</v>
      </c>
      <c r="I105" s="1353">
        <f>SUMIFS(ARBETSBLAD!I11:I30,ARBETSBLAD!$E11:$E30,$E105,ARBETSBLAD!$G11:$G30,$G105)*I$57+IF($M$93=$C$105,ARBETSBLAD!I257,0)*I57+IF($M$94=$C$105,ARBETSBLAD!I252,0)*I57+I120*0.7+I121*0.33</f>
        <v>0</v>
      </c>
      <c r="J105" s="1353">
        <f>SUMIFS(ARBETSBLAD!J11:J30,ARBETSBLAD!$E11:$E30,$E105,ARBETSBLAD!$G11:$G30,$G105)*J$57+IF($M$93=$C$105,ARBETSBLAD!J257,0)*J57+IF($M$94=$C$105,ARBETSBLAD!J252,0)*J57+J120*0.7+J121*0.33</f>
        <v>0</v>
      </c>
      <c r="K105" s="1353">
        <f>SUMIFS(ARBETSBLAD!K11:K30,ARBETSBLAD!$E11:$E30,$E105,ARBETSBLAD!$G11:$G30,$G105)*K$57+IF($M$93=$C$105,ARBETSBLAD!K257,0)*K57+IF($M$94=$C$105,ARBETSBLAD!K252,0)*K57+K120*0.7+K121*0.33</f>
        <v>0</v>
      </c>
      <c r="L105" s="1353">
        <f>SUMIFS(ARBETSBLAD!L11:L30,ARBETSBLAD!$E11:$E30,$E105,ARBETSBLAD!$G11:$G30,$G105)*L$57+IF($M$93=$C$105,ARBETSBLAD!L257,0)*L57+IF($M$94=$C$105,ARBETSBLAD!L252,0)*L57+L120*0.7+L121*0.33</f>
        <v>0</v>
      </c>
      <c r="M105" s="1353">
        <f>SUMIFS(ARBETSBLAD!M11:M30,ARBETSBLAD!$E11:$E30,$E105,ARBETSBLAD!$G11:$G30,$G105)*M$57+IF($M$93=$C$105,ARBETSBLAD!M257,0)*M57+IF($M$94=$C$105,ARBETSBLAD!M252,0)*M57+M120*0.7+M121*0.33</f>
        <v>0</v>
      </c>
      <c r="N105" s="1353">
        <f>SUMIFS(ARBETSBLAD!N11:N30,ARBETSBLAD!$E11:$E30,$E105,ARBETSBLAD!$G11:$G30,$G105)*N$57+IF($M$93=$C$105,ARBETSBLAD!N257,0)*N57+IF($M$94=$C$105,ARBETSBLAD!N252,0)*N57+N120*0.7+N121*0.33</f>
        <v>0</v>
      </c>
      <c r="O105" s="1353">
        <f>SUMIFS(ARBETSBLAD!O11:O30,ARBETSBLAD!$E11:$E30,$E105,ARBETSBLAD!$G11:$G30,$G105)*O$57+IF($M$93=$C$105,ARBETSBLAD!O257,0)*O57+IF($M$94=$C$105,ARBETSBLAD!O252,0)*O57+O120*0.7+O121*0.33</f>
        <v>0</v>
      </c>
      <c r="P105" s="1353">
        <f>SUMIFS(ARBETSBLAD!P11:P30,ARBETSBLAD!$E11:$E30,$E105,ARBETSBLAD!$G11:$G30,$G105)*P$57+IF($M$93=$C$105,ARBETSBLAD!P257,0)*P57+IF($M$94=$C$105,ARBETSBLAD!P252,0)*P57+P120*0.7+P121*0.33</f>
        <v>0</v>
      </c>
      <c r="Q105" s="1353">
        <f>SUMIFS(ARBETSBLAD!Q11:Q30,ARBETSBLAD!$E11:$E30,$E105,ARBETSBLAD!$G11:$G30,$G105)*Q$57+IF($M$93=$C$105,ARBETSBLAD!Q257,0)*Q57+IF($M$94=$C$105,ARBETSBLAD!Q252,0)*Q57+Q120*0.7+Q121*0.33</f>
        <v>0</v>
      </c>
      <c r="R105" s="1353">
        <f>SUMIFS(ARBETSBLAD!R11:R30,ARBETSBLAD!$E11:$E30,$E105,ARBETSBLAD!$G11:$G30,$G105)*R$57+IF($M$93=$C$105,ARBETSBLAD!R257,0)*R57+IF($M$94=$C$105,ARBETSBLAD!R252,0)*R57+R120*0.7+R121*0.33</f>
        <v>0</v>
      </c>
      <c r="S105" s="1353">
        <f>SUMIFS(ARBETSBLAD!S11:S30,ARBETSBLAD!$E11:$E30,$E105,ARBETSBLAD!$G11:$G30,$G105)*S$57+IF($M$93=$C$105,ARBETSBLAD!S257,0)*S57+IF($M$94=$C$105,ARBETSBLAD!S252,0)*S57+S120*0.7+S121*0.33</f>
        <v>0</v>
      </c>
      <c r="T105" s="1353">
        <f>SUMIFS(ARBETSBLAD!T11:T30,ARBETSBLAD!$E11:$E30,$E105,ARBETSBLAD!$G11:$G30,$G105)*T$57+IF($M$93=$C$105,ARBETSBLAD!T257,0)*T57+IF($M$94=$C$105,ARBETSBLAD!T252,0)*T57+T120*0.7+T121*0.33</f>
        <v>0</v>
      </c>
      <c r="U105" s="1353">
        <f>SUMIFS(ARBETSBLAD!U11:U30,ARBETSBLAD!$E11:$E30,$E105,ARBETSBLAD!$G11:$G30,$G105)*U$57+IF($M$93=$C$105,ARBETSBLAD!U257,0)*U57+IF($M$94=$C$105,ARBETSBLAD!U252,0)*U57+U120*0.7+U121*0.33</f>
        <v>0</v>
      </c>
      <c r="V105" s="1353">
        <f>SUMIFS(ARBETSBLAD!V11:V30,ARBETSBLAD!$E11:$E30,$E105,ARBETSBLAD!$G11:$G30,$G105)*V$57+IF($M$93=$C$105,ARBETSBLAD!V257,0)*V57+IF($M$94=$C$105,ARBETSBLAD!V252,0)*V57+V120*0.7+V121*0.33</f>
        <v>0</v>
      </c>
      <c r="W105" s="1353">
        <f>SUMIFS(ARBETSBLAD!W11:W30,ARBETSBLAD!$E11:$E30,$E105,ARBETSBLAD!$G11:$G30,$G105)*W$57+IF($M$93=$C$105,ARBETSBLAD!W257,0)*W57+IF($M$94=$C$105,ARBETSBLAD!W252,0)*W57+W120*0.7+W121*0.33</f>
        <v>0</v>
      </c>
      <c r="X105" s="1353">
        <f>SUMIFS(ARBETSBLAD!X11:X30,ARBETSBLAD!$E11:$E30,$E105,ARBETSBLAD!$G11:$G30,$G105)*X$57+IF($M$93=$C$105,ARBETSBLAD!X257,0)*X57+IF($M$94=$C$105,ARBETSBLAD!X252,0)*X57+X120*0.7+X121*0.33</f>
        <v>0</v>
      </c>
      <c r="Y105" s="1353">
        <f>SUMIFS(ARBETSBLAD!Y11:Y30,ARBETSBLAD!$E11:$E30,$E105,ARBETSBLAD!$G11:$G30,$G105)*Y$57+IF($M$93=$C$105,ARBETSBLAD!Y257,0)*Y57+IF($M$94=$C$105,ARBETSBLAD!Y252,0)*Y57+Y120*0.7+Y121*0.33</f>
        <v>0</v>
      </c>
      <c r="Z105" s="1353">
        <f>SUMIFS(ARBETSBLAD!Z11:Z30,ARBETSBLAD!$E11:$E30,$E105,ARBETSBLAD!$G11:$G30,$G105)*Z$57+IF($M$93=$C$105,ARBETSBLAD!Z257,0)*Z57+IF($M$94=$C$105,ARBETSBLAD!Z252,0)*Z57+Z120*0.7+Z121*0.33</f>
        <v>0</v>
      </c>
      <c r="AA105" s="1353">
        <f>SUMIFS(ARBETSBLAD!AA11:AA30,ARBETSBLAD!$E11:$E30,$E105,ARBETSBLAD!$G11:$G30,$G105)*AA$57+IF($M$93=$C$105,ARBETSBLAD!AA257,0)*AA57+IF($M$94=$C$105,ARBETSBLAD!AA252,0)*AA57+AA120*0.7+AA121*0.33</f>
        <v>0</v>
      </c>
      <c r="AB105" s="1353">
        <f>SUMIFS(ARBETSBLAD!AB11:AB30,ARBETSBLAD!$E11:$E30,$E105,ARBETSBLAD!$G11:$G30,$G105)*AB$57+IF($M$93=$C$105,ARBETSBLAD!AB257,0)*AB57+IF($M$94=$C$105,ARBETSBLAD!AB252,0)*AB57+AB120*0.7+AB121*0.33</f>
        <v>0</v>
      </c>
      <c r="AC105" s="1353">
        <f>SUMIFS(ARBETSBLAD!AC11:AC30,ARBETSBLAD!$E11:$E30,$E105,ARBETSBLAD!$G11:$G30,$G105)*AC$57+IF($M$93=$C$105,ARBETSBLAD!AC257,0)*AC57+IF($M$94=$C$105,ARBETSBLAD!AC252,0)*AC57+AC120*0.7+AC121*0.33</f>
        <v>0</v>
      </c>
      <c r="AD105" s="1353">
        <f>SUMIFS(ARBETSBLAD!AD11:AD30,ARBETSBLAD!$E11:$E30,$E105,ARBETSBLAD!$G11:$G30,$G105)*AD$57+IF($M$93=$C$105,ARBETSBLAD!AD257,0)*AD57+IF($M$94=$C$105,ARBETSBLAD!AD252,0)*AD57+AD120*0.7+AD121*0.33</f>
        <v>0</v>
      </c>
      <c r="AE105" s="1353">
        <f>SUMIFS(ARBETSBLAD!AE11:AE30,ARBETSBLAD!$E11:$E30,$E105,ARBETSBLAD!$G11:$G30,$G105)*AE$57+IF($M$93=$C$105,ARBETSBLAD!AE257,0)*AE57+IF($M$94=$C$105,ARBETSBLAD!AE252,0)*AE57+AE120*0.7+AE121*0.33</f>
        <v>0</v>
      </c>
      <c r="AF105" s="1353">
        <f>SUMIFS(ARBETSBLAD!AF11:AF30,ARBETSBLAD!$E11:$E30,$E105,ARBETSBLAD!$G11:$G30,$G105)*AF$57+IF($M$93=$C$105,ARBETSBLAD!AF257,0)*AF57+IF($M$94=$C$105,ARBETSBLAD!AF252,0)*AF57+AF120*0.7+AF121*0.33</f>
        <v>0</v>
      </c>
      <c r="AH105" s="1354">
        <f>IF($C$57=1,SUM(I105:T105),IF($C$57=2,SUM(O105:AF105)))</f>
        <v>0</v>
      </c>
      <c r="AI105" s="1355"/>
      <c r="AJ105" s="1354">
        <f>IF($C$57=1,SUM(U105:AF105),0)</f>
        <v>0</v>
      </c>
      <c r="AL105" s="1356"/>
      <c r="AM105" s="1357"/>
      <c r="AN105" s="1358"/>
    </row>
    <row r="106" spans="1:40" s="1349" customFormat="1" ht="12.9" hidden="1" customHeight="1">
      <c r="A106" s="1270"/>
      <c r="B106" s="1317"/>
      <c r="C106" s="1348">
        <f>F106+H106</f>
        <v>300.12</v>
      </c>
      <c r="E106" s="1347" t="s">
        <v>1</v>
      </c>
      <c r="F106" s="1350">
        <v>300</v>
      </c>
      <c r="G106" s="1351">
        <f>$O$65</f>
        <v>0.12</v>
      </c>
      <c r="H106" s="1352">
        <f>$P$65</f>
        <v>0.12</v>
      </c>
      <c r="I106" s="1353">
        <f>SUMIFS(ARBETSBLAD!I11:I30,ARBETSBLAD!$E11:$E30,$E106,ARBETSBLAD!$G11:$G30,$G106)*I$57+0.3*I120+0.67*I121+I122*0.567</f>
        <v>0</v>
      </c>
      <c r="J106" s="1353">
        <f>SUMIFS(ARBETSBLAD!J11:J30,ARBETSBLAD!$E11:$E30,$E106,ARBETSBLAD!$G11:$G30,$G106)*J$57+0.3*J120+0.67*J121+J122*0.567</f>
        <v>0</v>
      </c>
      <c r="K106" s="1353">
        <f>SUMIFS(ARBETSBLAD!K11:K30,ARBETSBLAD!$E11:$E30,$E106,ARBETSBLAD!$G11:$G30,$G106)*K$57+0.3*K120+0.67*K121+K122*0.567</f>
        <v>0</v>
      </c>
      <c r="L106" s="1353">
        <f>SUMIFS(ARBETSBLAD!L11:L30,ARBETSBLAD!$E11:$E30,$E106,ARBETSBLAD!$G11:$G30,$G106)*L$57+0.3*L120+0.67*L121+L122*0.567</f>
        <v>0</v>
      </c>
      <c r="M106" s="1353">
        <f>SUMIFS(ARBETSBLAD!M11:M30,ARBETSBLAD!$E11:$E30,$E106,ARBETSBLAD!$G11:$G30,$G106)*M$57+0.3*M120+0.67*M121+M122*0.567</f>
        <v>0</v>
      </c>
      <c r="N106" s="1353">
        <f>SUMIFS(ARBETSBLAD!N11:N30,ARBETSBLAD!$E11:$E30,$E106,ARBETSBLAD!$G11:$G30,$G106)*N$57+0.3*N120+0.67*N121+N122*0.567</f>
        <v>0</v>
      </c>
      <c r="O106" s="1353">
        <f>SUMIFS(ARBETSBLAD!O11:O30,ARBETSBLAD!$E11:$E30,$E106,ARBETSBLAD!$G11:$G30,$G106)*O$57+0.3*O120+0.67*O121+O122*0.567</f>
        <v>0</v>
      </c>
      <c r="P106" s="1353">
        <f>SUMIFS(ARBETSBLAD!P11:P30,ARBETSBLAD!$E11:$E30,$E106,ARBETSBLAD!$G11:$G30,$G106)*P$57+0.3*P120+0.67*P121+P122*0.567</f>
        <v>0</v>
      </c>
      <c r="Q106" s="1353">
        <f>SUMIFS(ARBETSBLAD!Q11:Q30,ARBETSBLAD!$E11:$E30,$E106,ARBETSBLAD!$G11:$G30,$G106)*Q$57+0.3*Q120+0.67*Q121+Q122*0.567</f>
        <v>0</v>
      </c>
      <c r="R106" s="1353">
        <f>SUMIFS(ARBETSBLAD!R11:R30,ARBETSBLAD!$E11:$E30,$E106,ARBETSBLAD!$G11:$G30,$G106)*R$57+0.3*R120+0.67*R121+R122*0.567</f>
        <v>0</v>
      </c>
      <c r="S106" s="1353">
        <f>SUMIFS(ARBETSBLAD!S11:S30,ARBETSBLAD!$E11:$E30,$E106,ARBETSBLAD!$G11:$G30,$G106)*S$57+0.3*S120+0.67*S121+S122*0.567</f>
        <v>0</v>
      </c>
      <c r="T106" s="1353">
        <f>SUMIFS(ARBETSBLAD!T11:T30,ARBETSBLAD!$E11:$E30,$E106,ARBETSBLAD!$G11:$G30,$G106)*T$57+0.3*T120+0.67*T121+T122*0.567</f>
        <v>0</v>
      </c>
      <c r="U106" s="1353">
        <f>SUMIFS(ARBETSBLAD!U11:U30,ARBETSBLAD!$E11:$E30,$E106,ARBETSBLAD!$G11:$G30,$G106)*U$57+0.3*U120+0.67*U121+U122*0.567</f>
        <v>0</v>
      </c>
      <c r="V106" s="1353">
        <f>SUMIFS(ARBETSBLAD!V11:V30,ARBETSBLAD!$E11:$E30,$E106,ARBETSBLAD!$G11:$G30,$G106)*V$57+0.3*V120+0.67*V121+V122*0.567</f>
        <v>0</v>
      </c>
      <c r="W106" s="1353">
        <f>SUMIFS(ARBETSBLAD!W11:W30,ARBETSBLAD!$E11:$E30,$E106,ARBETSBLAD!$G11:$G30,$G106)*W$57+0.3*W120+0.67*W121+W122*0.567</f>
        <v>0</v>
      </c>
      <c r="X106" s="1353">
        <f>SUMIFS(ARBETSBLAD!X11:X30,ARBETSBLAD!$E11:$E30,$E106,ARBETSBLAD!$G11:$G30,$G106)*X$57+0.3*X120+0.67*X121+X122*0.567</f>
        <v>0</v>
      </c>
      <c r="Y106" s="1353">
        <f>SUMIFS(ARBETSBLAD!Y11:Y30,ARBETSBLAD!$E11:$E30,$E106,ARBETSBLAD!$G11:$G30,$G106)*Y$57+0.3*Y120+0.67*Y121+Y122*0.567</f>
        <v>0</v>
      </c>
      <c r="Z106" s="1353">
        <f>SUMIFS(ARBETSBLAD!Z11:Z30,ARBETSBLAD!$E11:$E30,$E106,ARBETSBLAD!$G11:$G30,$G106)*Z$57+0.3*Z120+0.67*Z121+Z122*0.567</f>
        <v>0</v>
      </c>
      <c r="AA106" s="1353">
        <f>SUMIFS(ARBETSBLAD!AA11:AA30,ARBETSBLAD!$E11:$E30,$E106,ARBETSBLAD!$G11:$G30,$G106)*AA$57+0.3*AA120+0.67*AA121+AA122*0.567</f>
        <v>0</v>
      </c>
      <c r="AB106" s="1353">
        <f>SUMIFS(ARBETSBLAD!AB11:AB30,ARBETSBLAD!$E11:$E30,$E106,ARBETSBLAD!$G11:$G30,$G106)*AB$57+0.3*AB120+0.67*AB121+AB122*0.567</f>
        <v>0</v>
      </c>
      <c r="AC106" s="1353">
        <f>SUMIFS(ARBETSBLAD!AC11:AC30,ARBETSBLAD!$E11:$E30,$E106,ARBETSBLAD!$G11:$G30,$G106)*AC$57+0.3*AC120+0.67*AC121+AC122*0.567</f>
        <v>0</v>
      </c>
      <c r="AD106" s="1353">
        <f>SUMIFS(ARBETSBLAD!AD11:AD30,ARBETSBLAD!$E11:$E30,$E106,ARBETSBLAD!$G11:$G30,$G106)*AD$57+0.3*AD120+0.67*AD121+AD122*0.567</f>
        <v>0</v>
      </c>
      <c r="AE106" s="1353">
        <f>SUMIFS(ARBETSBLAD!AE11:AE30,ARBETSBLAD!$E11:$E30,$E106,ARBETSBLAD!$G11:$G30,$G106)*AE$57+0.3*AE120+0.67*AE121+AE122*0.567</f>
        <v>0</v>
      </c>
      <c r="AF106" s="1353">
        <f>SUMIFS(ARBETSBLAD!AF11:AF30,ARBETSBLAD!$E11:$E30,$E106,ARBETSBLAD!$G11:$G30,$G106)*AF$57+0.3*AF120+0.67*AF121+AF122*0.567</f>
        <v>0</v>
      </c>
      <c r="AH106" s="1354">
        <f>IF($C$57=1,SUM(I106:T106),IF($C$57=2,SUM(O106:AF106)))</f>
        <v>0</v>
      </c>
      <c r="AI106" s="1355"/>
      <c r="AJ106" s="1354">
        <f>IF($C$57=1,SUM(U106:AF106),0)</f>
        <v>0</v>
      </c>
      <c r="AL106" s="1356"/>
      <c r="AM106" s="1357"/>
      <c r="AN106" s="1358"/>
    </row>
    <row r="107" spans="1:40" s="1349" customFormat="1" ht="12.9" hidden="1" customHeight="1">
      <c r="A107" s="1270"/>
      <c r="B107" s="1317"/>
      <c r="C107" s="1348">
        <f>F107+H107</f>
        <v>600.12</v>
      </c>
      <c r="E107" s="1347" t="s">
        <v>2</v>
      </c>
      <c r="F107" s="1350">
        <v>600</v>
      </c>
      <c r="G107" s="1351">
        <f>$O$65</f>
        <v>0.12</v>
      </c>
      <c r="H107" s="1352">
        <f>$P$65</f>
        <v>0.12</v>
      </c>
      <c r="I107" s="1353">
        <f>SUMIFS(ARBETSBLAD!I11:I30,ARBETSBLAD!$E11:$E30,$E107,ARBETSBLAD!$G11:$G30,$G107)*I$57+I122*0.433</f>
        <v>0</v>
      </c>
      <c r="J107" s="1353">
        <f>SUMIFS(ARBETSBLAD!J11:J30,ARBETSBLAD!$E11:$E30,$E107,ARBETSBLAD!$G11:$G30,$G107)*J$57+J122*0.433</f>
        <v>0</v>
      </c>
      <c r="K107" s="1353">
        <f>SUMIFS(ARBETSBLAD!K11:K30,ARBETSBLAD!$E11:$E30,$E107,ARBETSBLAD!$G11:$G30,$G107)*K$57+K122*0.433</f>
        <v>0</v>
      </c>
      <c r="L107" s="1353">
        <f>SUMIFS(ARBETSBLAD!L11:L30,ARBETSBLAD!$E11:$E30,$E107,ARBETSBLAD!$G11:$G30,$G107)*L$57+L122*0.433</f>
        <v>0</v>
      </c>
      <c r="M107" s="1353">
        <f>SUMIFS(ARBETSBLAD!M11:M30,ARBETSBLAD!$E11:$E30,$E107,ARBETSBLAD!$G11:$G30,$G107)*M$57+M122*0.433</f>
        <v>0</v>
      </c>
      <c r="N107" s="1353">
        <f>SUMIFS(ARBETSBLAD!N11:N30,ARBETSBLAD!$E11:$E30,$E107,ARBETSBLAD!$G11:$G30,$G107)*N$57+N122*0.433</f>
        <v>0</v>
      </c>
      <c r="O107" s="1353">
        <f>SUMIFS(ARBETSBLAD!O11:O30,ARBETSBLAD!$E11:$E30,$E107,ARBETSBLAD!$G11:$G30,$G107)*O$57+O122*0.433</f>
        <v>0</v>
      </c>
      <c r="P107" s="1353">
        <f>SUMIFS(ARBETSBLAD!P11:P30,ARBETSBLAD!$E11:$E30,$E107,ARBETSBLAD!$G11:$G30,$G107)*P$57+P122*0.433</f>
        <v>0</v>
      </c>
      <c r="Q107" s="1353">
        <f>SUMIFS(ARBETSBLAD!Q11:Q30,ARBETSBLAD!$E11:$E30,$E107,ARBETSBLAD!$G11:$G30,$G107)*Q$57+Q122*0.433</f>
        <v>0</v>
      </c>
      <c r="R107" s="1353">
        <f>SUMIFS(ARBETSBLAD!R11:R30,ARBETSBLAD!$E11:$E30,$E107,ARBETSBLAD!$G11:$G30,$G107)*R$57+R122*0.433</f>
        <v>0</v>
      </c>
      <c r="S107" s="1353">
        <f>SUMIFS(ARBETSBLAD!S11:S30,ARBETSBLAD!$E11:$E30,$E107,ARBETSBLAD!$G11:$G30,$G107)*S$57+S122*0.433</f>
        <v>0</v>
      </c>
      <c r="T107" s="1353">
        <f>SUMIFS(ARBETSBLAD!T11:T30,ARBETSBLAD!$E11:$E30,$E107,ARBETSBLAD!$G11:$G30,$G107)*T$57+T122*0.433</f>
        <v>0</v>
      </c>
      <c r="U107" s="1353">
        <f>SUMIFS(ARBETSBLAD!U11:U30,ARBETSBLAD!$E11:$E30,$E107,ARBETSBLAD!$G11:$G30,$G107)*U$57+U122*0.433</f>
        <v>0</v>
      </c>
      <c r="V107" s="1353">
        <f>SUMIFS(ARBETSBLAD!V11:V30,ARBETSBLAD!$E11:$E30,$E107,ARBETSBLAD!$G11:$G30,$G107)*V$57+V122*0.433</f>
        <v>0</v>
      </c>
      <c r="W107" s="1353">
        <f>SUMIFS(ARBETSBLAD!W11:W30,ARBETSBLAD!$E11:$E30,$E107,ARBETSBLAD!$G11:$G30,$G107)*W$57+W122*0.433</f>
        <v>0</v>
      </c>
      <c r="X107" s="1353">
        <f>SUMIFS(ARBETSBLAD!X11:X30,ARBETSBLAD!$E11:$E30,$E107,ARBETSBLAD!$G11:$G30,$G107)*X$57+X122*0.433</f>
        <v>0</v>
      </c>
      <c r="Y107" s="1353">
        <f>SUMIFS(ARBETSBLAD!Y11:Y30,ARBETSBLAD!$E11:$E30,$E107,ARBETSBLAD!$G11:$G30,$G107)*Y$57+Y122*0.433</f>
        <v>0</v>
      </c>
      <c r="Z107" s="1353">
        <f>SUMIFS(ARBETSBLAD!Z11:Z30,ARBETSBLAD!$E11:$E30,$E107,ARBETSBLAD!$G11:$G30,$G107)*Z$57+Z122*0.433</f>
        <v>0</v>
      </c>
      <c r="AA107" s="1353">
        <f>SUMIFS(ARBETSBLAD!AA11:AA30,ARBETSBLAD!$E11:$E30,$E107,ARBETSBLAD!$G11:$G30,$G107)*AA$57+AA122*0.433</f>
        <v>0</v>
      </c>
      <c r="AB107" s="1353">
        <f>SUMIFS(ARBETSBLAD!AB11:AB30,ARBETSBLAD!$E11:$E30,$E107,ARBETSBLAD!$G11:$G30,$G107)*AB$57+AB122*0.433</f>
        <v>0</v>
      </c>
      <c r="AC107" s="1353">
        <f>SUMIFS(ARBETSBLAD!AC11:AC30,ARBETSBLAD!$E11:$E30,$E107,ARBETSBLAD!$G11:$G30,$G107)*AC$57+AC122*0.433</f>
        <v>0</v>
      </c>
      <c r="AD107" s="1353">
        <f>SUMIFS(ARBETSBLAD!AD11:AD30,ARBETSBLAD!$E11:$E30,$E107,ARBETSBLAD!$G11:$G30,$G107)*AD$57+AD122*0.433</f>
        <v>0</v>
      </c>
      <c r="AE107" s="1353">
        <f>SUMIFS(ARBETSBLAD!AE11:AE30,ARBETSBLAD!$E11:$E30,$E107,ARBETSBLAD!$G11:$G30,$G107)*AE$57+AE122*0.433</f>
        <v>0</v>
      </c>
      <c r="AF107" s="1353">
        <f>SUMIFS(ARBETSBLAD!AF11:AF30,ARBETSBLAD!$E11:$E30,$E107,ARBETSBLAD!$G11:$G30,$G107)*AF$57+AF122*0.433</f>
        <v>0</v>
      </c>
      <c r="AH107" s="1354">
        <f>IF($C$57=1,SUM(I107:T107),IF($C$57=2,SUM(O107:AF107)))</f>
        <v>0</v>
      </c>
      <c r="AI107" s="1355"/>
      <c r="AJ107" s="1354">
        <f>IF($C$57=1,SUM(U107:AF107),0)</f>
        <v>0</v>
      </c>
      <c r="AL107" s="1356"/>
      <c r="AM107" s="1357"/>
      <c r="AN107" s="1358"/>
    </row>
    <row r="108" spans="1:40" s="1349" customFormat="1" ht="12.9" hidden="1" customHeight="1">
      <c r="A108" s="1270"/>
      <c r="B108" s="1317"/>
      <c r="C108" s="1348">
        <f>F108+H108</f>
        <v>900.12</v>
      </c>
      <c r="E108" s="1347" t="s">
        <v>3</v>
      </c>
      <c r="F108" s="1350">
        <v>900</v>
      </c>
      <c r="G108" s="1351">
        <f>$O$65</f>
        <v>0.12</v>
      </c>
      <c r="H108" s="1352">
        <f>$P$65</f>
        <v>0.12</v>
      </c>
      <c r="I108" s="1353">
        <f>SUMIFS(ARBETSBLAD!I11:I30,ARBETSBLAD!$E11:$E30,$E108,ARBETSBLAD!$G11:$G30,$G108)*I$57</f>
        <v>0</v>
      </c>
      <c r="J108" s="1353">
        <f>SUMIFS(ARBETSBLAD!J11:J30,ARBETSBLAD!$E11:$E30,$E108,ARBETSBLAD!$G11:$G30,$G108)*J$57</f>
        <v>0</v>
      </c>
      <c r="K108" s="1353">
        <f>SUMIFS(ARBETSBLAD!K11:K30,ARBETSBLAD!$E11:$E30,$E108,ARBETSBLAD!$G11:$G30,$G108)*K$57</f>
        <v>0</v>
      </c>
      <c r="L108" s="1353">
        <f>SUMIFS(ARBETSBLAD!L11:L30,ARBETSBLAD!$E11:$E30,$E108,ARBETSBLAD!$G11:$G30,$G108)*L$57</f>
        <v>0</v>
      </c>
      <c r="M108" s="1353">
        <f>SUMIFS(ARBETSBLAD!M11:M30,ARBETSBLAD!$E11:$E30,$E108,ARBETSBLAD!$G11:$G30,$G108)*M$57</f>
        <v>0</v>
      </c>
      <c r="N108" s="1353">
        <f>SUMIFS(ARBETSBLAD!N11:N30,ARBETSBLAD!$E11:$E30,$E108,ARBETSBLAD!$G11:$G30,$G108)*N$57</f>
        <v>0</v>
      </c>
      <c r="O108" s="1353">
        <f>SUMIFS(ARBETSBLAD!O11:O30,ARBETSBLAD!$E11:$E30,$E108,ARBETSBLAD!$G11:$G30,$G108)*O$57</f>
        <v>0</v>
      </c>
      <c r="P108" s="1353">
        <f>SUMIFS(ARBETSBLAD!P11:P30,ARBETSBLAD!$E11:$E30,$E108,ARBETSBLAD!$G11:$G30,$G108)*P$57</f>
        <v>0</v>
      </c>
      <c r="Q108" s="1353">
        <f>SUMIFS(ARBETSBLAD!Q11:Q30,ARBETSBLAD!$E11:$E30,$E108,ARBETSBLAD!$G11:$G30,$G108)*Q$57</f>
        <v>0</v>
      </c>
      <c r="R108" s="1353">
        <f>SUMIFS(ARBETSBLAD!R11:R30,ARBETSBLAD!$E11:$E30,$E108,ARBETSBLAD!$G11:$G30,$G108)*R$57</f>
        <v>0</v>
      </c>
      <c r="S108" s="1353">
        <f>SUMIFS(ARBETSBLAD!S11:S30,ARBETSBLAD!$E11:$E30,$E108,ARBETSBLAD!$G11:$G30,$G108)*S$57</f>
        <v>0</v>
      </c>
      <c r="T108" s="1353">
        <f>SUMIFS(ARBETSBLAD!T11:T30,ARBETSBLAD!$E11:$E30,$E108,ARBETSBLAD!$G11:$G30,$G108)*T$57</f>
        <v>0</v>
      </c>
      <c r="U108" s="1353">
        <f>SUMIFS(ARBETSBLAD!U11:U30,ARBETSBLAD!$E11:$E30,$E108,ARBETSBLAD!$G11:$G30,$G108)*U$57</f>
        <v>0</v>
      </c>
      <c r="V108" s="1353">
        <f>SUMIFS(ARBETSBLAD!V11:V30,ARBETSBLAD!$E11:$E30,$E108,ARBETSBLAD!$G11:$G30,$G108)*V$57</f>
        <v>0</v>
      </c>
      <c r="W108" s="1353">
        <f>SUMIFS(ARBETSBLAD!W11:W30,ARBETSBLAD!$E11:$E30,$E108,ARBETSBLAD!$G11:$G30,$G108)*W$57</f>
        <v>0</v>
      </c>
      <c r="X108" s="1353">
        <f>SUMIFS(ARBETSBLAD!X11:X30,ARBETSBLAD!$E11:$E30,$E108,ARBETSBLAD!$G11:$G30,$G108)*X$57</f>
        <v>0</v>
      </c>
      <c r="Y108" s="1353">
        <f>SUMIFS(ARBETSBLAD!Y11:Y30,ARBETSBLAD!$E11:$E30,$E108,ARBETSBLAD!$G11:$G30,$G108)*Y$57</f>
        <v>0</v>
      </c>
      <c r="Z108" s="1353">
        <f>SUMIFS(ARBETSBLAD!Z11:Z30,ARBETSBLAD!$E11:$E30,$E108,ARBETSBLAD!$G11:$G30,$G108)*Z$57</f>
        <v>0</v>
      </c>
      <c r="AA108" s="1353">
        <f>SUMIFS(ARBETSBLAD!AA11:AA30,ARBETSBLAD!$E11:$E30,$E108,ARBETSBLAD!$G11:$G30,$G108)*AA$57</f>
        <v>0</v>
      </c>
      <c r="AB108" s="1353">
        <f>SUMIFS(ARBETSBLAD!AB11:AB30,ARBETSBLAD!$E11:$E30,$E108,ARBETSBLAD!$G11:$G30,$G108)*AB$57</f>
        <v>0</v>
      </c>
      <c r="AC108" s="1353">
        <f>SUMIFS(ARBETSBLAD!AC11:AC30,ARBETSBLAD!$E11:$E30,$E108,ARBETSBLAD!$G11:$G30,$G108)*AC$57</f>
        <v>0</v>
      </c>
      <c r="AD108" s="1353">
        <f>SUMIFS(ARBETSBLAD!AD11:AD30,ARBETSBLAD!$E11:$E30,$E108,ARBETSBLAD!$G11:$G30,$G108)*AD$57</f>
        <v>0</v>
      </c>
      <c r="AE108" s="1353">
        <f>SUMIFS(ARBETSBLAD!AE11:AE30,ARBETSBLAD!$E11:$E30,$E108,ARBETSBLAD!$G11:$G30,$G108)*AE$57</f>
        <v>0</v>
      </c>
      <c r="AF108" s="1353">
        <f>SUMIFS(ARBETSBLAD!AF11:AF30,ARBETSBLAD!$E11:$E30,$E108,ARBETSBLAD!$G11:$G30,$G108)*AF$57</f>
        <v>0</v>
      </c>
      <c r="AH108" s="1354">
        <f>IF($C$57=1,SUM(I108:T108),IF($C$57=2,SUM(O108:AF108)))</f>
        <v>0</v>
      </c>
      <c r="AI108" s="1355"/>
      <c r="AJ108" s="1354">
        <f>IF($C$57=1,SUM(U108:AF108),0)</f>
        <v>0</v>
      </c>
      <c r="AL108" s="1356"/>
      <c r="AM108" s="1357"/>
      <c r="AN108" s="1358"/>
    </row>
    <row r="109" spans="1:40" s="1349" customFormat="1" ht="12.9" hidden="1" customHeight="1">
      <c r="A109" s="1270"/>
      <c r="AL109" s="1357"/>
      <c r="AM109" s="1357"/>
      <c r="AN109" s="1360"/>
    </row>
    <row r="110" spans="1:40" s="1349" customFormat="1" ht="12.9" hidden="1" customHeight="1">
      <c r="A110" s="1270"/>
      <c r="B110" s="1317"/>
      <c r="C110" s="1361">
        <f t="shared" ref="C110:C125" si="25">F110+H110</f>
        <v>1.25</v>
      </c>
      <c r="E110" s="1347" t="s">
        <v>0</v>
      </c>
      <c r="F110" s="1350">
        <v>1</v>
      </c>
      <c r="G110" s="1351">
        <f>$O$66</f>
        <v>0.25</v>
      </c>
      <c r="H110" s="1362">
        <f>$P$66</f>
        <v>0.25</v>
      </c>
      <c r="I110" s="1381">
        <f>SUMIFS(ARBETSBLAD!I11:I30,ARBETSBLAD!$E11:$E30,$E110,ARBETSBLAD!$G11:$G30,$G110)*I$57+IF($M$93=$C$110,ARBETSBLAD!I257,0)*I57+IF($M$94=$C$110,ARBETSBLAD!I252,0)*I57+I123*0.7+I124*0.33</f>
        <v>0</v>
      </c>
      <c r="J110" s="1381">
        <f>SUMIFS(ARBETSBLAD!J11:J30,ARBETSBLAD!$E11:$E30,$E110,ARBETSBLAD!$G11:$G30,$G110)*J$57+IF($M$93=$C$110,ARBETSBLAD!J257,0)*J57+IF($M$94=$C$110,ARBETSBLAD!J252,0)*J57+J123*0.7+J124*0.33</f>
        <v>0</v>
      </c>
      <c r="K110" s="1381">
        <f>SUMIFS(ARBETSBLAD!K11:K30,ARBETSBLAD!$E11:$E30,$E110,ARBETSBLAD!$G11:$G30,$G110)*K$57+IF($M$93=$C$110,ARBETSBLAD!K257,0)*K57+IF($M$94=$C$110,ARBETSBLAD!K252,0)*K57+K123*0.7+K124*0.33</f>
        <v>0</v>
      </c>
      <c r="L110" s="1381">
        <f>SUMIFS(ARBETSBLAD!L11:L30,ARBETSBLAD!$E11:$E30,$E110,ARBETSBLAD!$G11:$G30,$G110)*L$57+IF($M$93=$C$110,ARBETSBLAD!L257,0)*L57+IF($M$94=$C$110,ARBETSBLAD!L252,0)*L57+L123*0.7+L124*0.33</f>
        <v>0</v>
      </c>
      <c r="M110" s="1381">
        <f>SUMIFS(ARBETSBLAD!M11:M30,ARBETSBLAD!$E11:$E30,$E110,ARBETSBLAD!$G11:$G30,$G110)*M$57+IF($M$93=$C$110,ARBETSBLAD!M257,0)*M57+IF($M$94=$C$110,ARBETSBLAD!M252,0)*M57+M123*0.7+M124*0.33</f>
        <v>0</v>
      </c>
      <c r="N110" s="1381">
        <f>SUMIFS(ARBETSBLAD!N11:N30,ARBETSBLAD!$E11:$E30,$E110,ARBETSBLAD!$G11:$G30,$G110)*N$57+IF($M$93=$C$110,ARBETSBLAD!N257,0)*N57+IF($M$94=$C$110,ARBETSBLAD!N252,0)*N57+N123*0.7+N124*0.33</f>
        <v>0</v>
      </c>
      <c r="O110" s="1381">
        <f>SUMIFS(ARBETSBLAD!O11:O30,ARBETSBLAD!$E11:$E30,$E110,ARBETSBLAD!$G11:$G30,$G110)*O$57+IF($M$93=$C$110,ARBETSBLAD!O257,0)*O57+IF($M$94=$C$110,ARBETSBLAD!O252,0)*O57+O123*0.7+O124*0.33</f>
        <v>0</v>
      </c>
      <c r="P110" s="1381">
        <f>SUMIFS(ARBETSBLAD!P11:P30,ARBETSBLAD!$E11:$E30,$E110,ARBETSBLAD!$G11:$G30,$G110)*P$57+IF($M$93=$C$110,ARBETSBLAD!P257,0)*P57+IF($M$94=$C$110,ARBETSBLAD!P252,0)*P57+P123*0.7+P124*0.33</f>
        <v>0</v>
      </c>
      <c r="Q110" s="1381">
        <f>SUMIFS(ARBETSBLAD!Q11:Q30,ARBETSBLAD!$E11:$E30,$E110,ARBETSBLAD!$G11:$G30,$G110)*Q$57+IF($M$93=$C$110,ARBETSBLAD!Q257,0)*Q57+IF($M$94=$C$110,ARBETSBLAD!Q252,0)*Q57+Q123*0.7+Q124*0.33</f>
        <v>0</v>
      </c>
      <c r="R110" s="1381">
        <f>SUMIFS(ARBETSBLAD!R11:R30,ARBETSBLAD!$E11:$E30,$E110,ARBETSBLAD!$G11:$G30,$G110)*R$57+IF($M$93=$C$110,ARBETSBLAD!R257,0)*R57+IF($M$94=$C$110,ARBETSBLAD!R252,0)*R57+R123*0.7+R124*0.33</f>
        <v>0</v>
      </c>
      <c r="S110" s="1381">
        <f>SUMIFS(ARBETSBLAD!S11:S30,ARBETSBLAD!$E11:$E30,$E110,ARBETSBLAD!$G11:$G30,$G110)*S$57+IF($M$93=$C$110,ARBETSBLAD!S257,0)*S57+IF($M$94=$C$110,ARBETSBLAD!S252,0)*S57+S123*0.7+S124*0.33</f>
        <v>0</v>
      </c>
      <c r="T110" s="1381">
        <f>SUMIFS(ARBETSBLAD!T11:T30,ARBETSBLAD!$E11:$E30,$E110,ARBETSBLAD!$G11:$G30,$G110)*T$57+IF($M$93=$C$110,ARBETSBLAD!T257,0)*T57+IF($M$94=$C$110,ARBETSBLAD!T252,0)*T57+T123*0.7+T124*0.33</f>
        <v>0</v>
      </c>
      <c r="U110" s="1381">
        <f>SUMIFS(ARBETSBLAD!U11:U30,ARBETSBLAD!$E11:$E30,$E110,ARBETSBLAD!$G11:$G30,$G110)*U$57+IF($M$93=$C$110,ARBETSBLAD!U257,0)*U57+IF($M$94=$C$110,ARBETSBLAD!U252,0)*U57+U123*0.7+U124*0.33</f>
        <v>0</v>
      </c>
      <c r="V110" s="1381">
        <f>SUMIFS(ARBETSBLAD!V11:V30,ARBETSBLAD!$E11:$E30,$E110,ARBETSBLAD!$G11:$G30,$G110)*V$57+IF($M$93=$C$110,ARBETSBLAD!V257,0)*V57+IF($M$94=$C$110,ARBETSBLAD!V252,0)*V57+V123*0.7+V124*0.33</f>
        <v>0</v>
      </c>
      <c r="W110" s="1381">
        <f>SUMIFS(ARBETSBLAD!W11:W30,ARBETSBLAD!$E11:$E30,$E110,ARBETSBLAD!$G11:$G30,$G110)*W$57+IF($M$93=$C$110,ARBETSBLAD!W257,0)*W57+IF($M$94=$C$110,ARBETSBLAD!W252,0)*W57+W123*0.7+W124*0.33</f>
        <v>0</v>
      </c>
      <c r="X110" s="1381">
        <f>SUMIFS(ARBETSBLAD!X11:X30,ARBETSBLAD!$E11:$E30,$E110,ARBETSBLAD!$G11:$G30,$G110)*X$57+IF($M$93=$C$110,ARBETSBLAD!X257,0)*X57+IF($M$94=$C$110,ARBETSBLAD!X252,0)*X57+X123*0.7+X124*0.33</f>
        <v>0</v>
      </c>
      <c r="Y110" s="1381">
        <f>SUMIFS(ARBETSBLAD!Y11:Y30,ARBETSBLAD!$E11:$E30,$E110,ARBETSBLAD!$G11:$G30,$G110)*Y$57+IF($M$93=$C$110,ARBETSBLAD!Y257,0)*Y57+IF($M$94=$C$110,ARBETSBLAD!Y252,0)*Y57+Y123*0.7+Y124*0.33</f>
        <v>0</v>
      </c>
      <c r="Z110" s="1381">
        <f>SUMIFS(ARBETSBLAD!Z11:Z30,ARBETSBLAD!$E11:$E30,$E110,ARBETSBLAD!$G11:$G30,$G110)*Z$57+IF($M$93=$C$110,ARBETSBLAD!Z257,0)*Z57+IF($M$94=$C$110,ARBETSBLAD!Z252,0)*Z57+Z123*0.7+Z124*0.33</f>
        <v>0</v>
      </c>
      <c r="AA110" s="1381">
        <f>SUMIFS(ARBETSBLAD!AA11:AA30,ARBETSBLAD!$E11:$E30,$E110,ARBETSBLAD!$G11:$G30,$G110)*AA$57+IF($M$93=$C$110,ARBETSBLAD!AA257,0)*AA57+IF($M$94=$C$110,ARBETSBLAD!AA252,0)*AA57+AA123*0.7+AA124*0.33</f>
        <v>0</v>
      </c>
      <c r="AB110" s="1381">
        <f>SUMIFS(ARBETSBLAD!AB11:AB30,ARBETSBLAD!$E11:$E30,$E110,ARBETSBLAD!$G11:$G30,$G110)*AB$57+IF($M$93=$C$110,ARBETSBLAD!AB257,0)*AB57+IF($M$94=$C$110,ARBETSBLAD!AB252,0)*AB57+AB123*0.7+AB124*0.33</f>
        <v>0</v>
      </c>
      <c r="AC110" s="1381">
        <f>SUMIFS(ARBETSBLAD!AC11:AC30,ARBETSBLAD!$E11:$E30,$E110,ARBETSBLAD!$G11:$G30,$G110)*AC$57+IF($M$93=$C$110,ARBETSBLAD!AC257,0)*AC57+IF($M$94=$C$110,ARBETSBLAD!AC252,0)*AC57+AC123*0.7+AC124*0.33</f>
        <v>0</v>
      </c>
      <c r="AD110" s="1381">
        <f>SUMIFS(ARBETSBLAD!AD11:AD30,ARBETSBLAD!$E11:$E30,$E110,ARBETSBLAD!$G11:$G30,$G110)*AD$57+IF($M$93=$C$110,ARBETSBLAD!AD257,0)*AD57+IF($M$94=$C$110,ARBETSBLAD!AD252,0)*AD57+AD123*0.7+AD124*0.33</f>
        <v>0</v>
      </c>
      <c r="AE110" s="1381">
        <f>SUMIFS(ARBETSBLAD!AE11:AE30,ARBETSBLAD!$E11:$E30,$E110,ARBETSBLAD!$G11:$G30,$G110)*AE$57+IF($M$93=$C$110,ARBETSBLAD!AE257,0)*AE57+IF($M$94=$C$110,ARBETSBLAD!AE252,0)*AE57+AE123*0.7+AE124*0.33</f>
        <v>0</v>
      </c>
      <c r="AF110" s="1381">
        <f>SUMIFS(ARBETSBLAD!AF11:AF30,ARBETSBLAD!$E11:$E30,$E110,ARBETSBLAD!$G11:$G30,$G110)*AF$57+IF($M$93=$C$110,ARBETSBLAD!AF257,0)*AF57+IF($M$94=$C$110,ARBETSBLAD!AF252,0)*AF57+AF123*0.7+AF124*0.33</f>
        <v>0</v>
      </c>
      <c r="AH110" s="1354">
        <f t="shared" ref="AH110:AH133" si="26">IF($C$57=1,SUM(I110:T110),IF($C$57=2,SUM(O110:AF110)))</f>
        <v>0</v>
      </c>
      <c r="AI110" s="1355"/>
      <c r="AJ110" s="1354">
        <f t="shared" ref="AJ110:AJ133" si="27">IF($C$57=1,SUM(U110:AF110),0)</f>
        <v>0</v>
      </c>
      <c r="AL110" s="1356"/>
      <c r="AM110" s="1357"/>
      <c r="AN110" s="1358"/>
    </row>
    <row r="111" spans="1:40" s="1349" customFormat="1" ht="12.9" hidden="1" customHeight="1">
      <c r="A111" s="1270"/>
      <c r="B111" s="1317"/>
      <c r="C111" s="1361">
        <f t="shared" si="25"/>
        <v>300.25</v>
      </c>
      <c r="E111" s="1347" t="s">
        <v>1</v>
      </c>
      <c r="F111" s="1350">
        <v>300</v>
      </c>
      <c r="G111" s="1351">
        <f>$O$66</f>
        <v>0.25</v>
      </c>
      <c r="H111" s="1362">
        <f>$P$66</f>
        <v>0.25</v>
      </c>
      <c r="I111" s="1381">
        <f>SUMIFS(ARBETSBLAD!I11:I30,ARBETSBLAD!$E11:$E30,$E111,ARBETSBLAD!$G11:$G30,$G111)*I$57+0.3*I123+0.67*I124+I125*0.567</f>
        <v>0</v>
      </c>
      <c r="J111" s="1381">
        <f>SUMIFS(ARBETSBLAD!J11:J30,ARBETSBLAD!$E11:$E30,$E111,ARBETSBLAD!$G11:$G30,$G111)*J$57+0.3*J123+0.67*J124+J125*0.567</f>
        <v>0</v>
      </c>
      <c r="K111" s="1381">
        <f>SUMIFS(ARBETSBLAD!K11:K30,ARBETSBLAD!$E11:$E30,$E111,ARBETSBLAD!$G11:$G30,$G111)*K$57+0.3*K123+0.67*K124+K125*0.567</f>
        <v>0</v>
      </c>
      <c r="L111" s="1381">
        <f>SUMIFS(ARBETSBLAD!L11:L30,ARBETSBLAD!$E11:$E30,$E111,ARBETSBLAD!$G11:$G30,$G111)*L$57+0.3*L123+0.67*L124+L125*0.567</f>
        <v>0</v>
      </c>
      <c r="M111" s="1381">
        <f>SUMIFS(ARBETSBLAD!M11:M30,ARBETSBLAD!$E11:$E30,$E111,ARBETSBLAD!$G11:$G30,$G111)*M$57+0.3*M123+0.67*M124+M125*0.567</f>
        <v>0</v>
      </c>
      <c r="N111" s="1381">
        <f>SUMIFS(ARBETSBLAD!N11:N30,ARBETSBLAD!$E11:$E30,$E111,ARBETSBLAD!$G11:$G30,$G111)*N$57+0.3*N123+0.67*N124+N125*0.567</f>
        <v>0</v>
      </c>
      <c r="O111" s="1381">
        <f>SUMIFS(ARBETSBLAD!O11:O30,ARBETSBLAD!$E11:$E30,$E111,ARBETSBLAD!$G11:$G30,$G111)*O$57+0.3*O123+0.67*O124+O125*0.567</f>
        <v>0</v>
      </c>
      <c r="P111" s="1381">
        <f>SUMIFS(ARBETSBLAD!P11:P30,ARBETSBLAD!$E11:$E30,$E111,ARBETSBLAD!$G11:$G30,$G111)*P$57+0.3*P123+0.67*P124+P125*0.567</f>
        <v>0</v>
      </c>
      <c r="Q111" s="1381">
        <f>SUMIFS(ARBETSBLAD!Q11:Q30,ARBETSBLAD!$E11:$E30,$E111,ARBETSBLAD!$G11:$G30,$G111)*Q$57+0.3*Q123+0.67*Q124+Q125*0.567</f>
        <v>0</v>
      </c>
      <c r="R111" s="1381">
        <f>SUMIFS(ARBETSBLAD!R11:R30,ARBETSBLAD!$E11:$E30,$E111,ARBETSBLAD!$G11:$G30,$G111)*R$57+0.3*R123+0.67*R124+R125*0.567</f>
        <v>0</v>
      </c>
      <c r="S111" s="1381">
        <f>SUMIFS(ARBETSBLAD!S11:S30,ARBETSBLAD!$E11:$E30,$E111,ARBETSBLAD!$G11:$G30,$G111)*S$57+0.3*S123+0.67*S124+S125*0.567</f>
        <v>0</v>
      </c>
      <c r="T111" s="1381">
        <f>SUMIFS(ARBETSBLAD!T11:T30,ARBETSBLAD!$E11:$E30,$E111,ARBETSBLAD!$G11:$G30,$G111)*T$57+0.3*T123+0.67*T124+T125*0.567</f>
        <v>0</v>
      </c>
      <c r="U111" s="1381">
        <f>SUMIFS(ARBETSBLAD!U11:U30,ARBETSBLAD!$E11:$E30,$E111,ARBETSBLAD!$G11:$G30,$G111)*U$57+0.3*U123+0.67*U124+U125*0.567</f>
        <v>0</v>
      </c>
      <c r="V111" s="1381">
        <f>SUMIFS(ARBETSBLAD!V11:V30,ARBETSBLAD!$E11:$E30,$E111,ARBETSBLAD!$G11:$G30,$G111)*V$57+0.3*V123+0.67*V124+V125*0.567</f>
        <v>0</v>
      </c>
      <c r="W111" s="1381">
        <f>SUMIFS(ARBETSBLAD!W11:W30,ARBETSBLAD!$E11:$E30,$E111,ARBETSBLAD!$G11:$G30,$G111)*W$57+0.3*W123+0.67*W124+W125*0.567</f>
        <v>0</v>
      </c>
      <c r="X111" s="1381">
        <f>SUMIFS(ARBETSBLAD!X11:X30,ARBETSBLAD!$E11:$E30,$E111,ARBETSBLAD!$G11:$G30,$G111)*X$57+0.3*X123+0.67*X124+X125*0.567</f>
        <v>0</v>
      </c>
      <c r="Y111" s="1381">
        <f>SUMIFS(ARBETSBLAD!Y11:Y30,ARBETSBLAD!$E11:$E30,$E111,ARBETSBLAD!$G11:$G30,$G111)*Y$57+0.3*Y123+0.67*Y124+Y125*0.567</f>
        <v>0</v>
      </c>
      <c r="Z111" s="1381">
        <f>SUMIFS(ARBETSBLAD!Z11:Z30,ARBETSBLAD!$E11:$E30,$E111,ARBETSBLAD!$G11:$G30,$G111)*Z$57+0.3*Z123+0.67*Z124+Z125*0.567</f>
        <v>0</v>
      </c>
      <c r="AA111" s="1381">
        <f>SUMIFS(ARBETSBLAD!AA11:AA30,ARBETSBLAD!$E11:$E30,$E111,ARBETSBLAD!$G11:$G30,$G111)*AA$57+0.3*AA123+0.67*AA124+AA125*0.567</f>
        <v>0</v>
      </c>
      <c r="AB111" s="1381">
        <f>SUMIFS(ARBETSBLAD!AB11:AB30,ARBETSBLAD!$E11:$E30,$E111,ARBETSBLAD!$G11:$G30,$G111)*AB$57+0.3*AB123+0.67*AB124+AB125*0.567</f>
        <v>0</v>
      </c>
      <c r="AC111" s="1381">
        <f>SUMIFS(ARBETSBLAD!AC11:AC30,ARBETSBLAD!$E11:$E30,$E111,ARBETSBLAD!$G11:$G30,$G111)*AC$57+0.3*AC123+0.67*AC124+AC125*0.567</f>
        <v>0</v>
      </c>
      <c r="AD111" s="1381">
        <f>SUMIFS(ARBETSBLAD!AD11:AD30,ARBETSBLAD!$E11:$E30,$E111,ARBETSBLAD!$G11:$G30,$G111)*AD$57+0.3*AD123+0.67*AD124+AD125*0.567</f>
        <v>0</v>
      </c>
      <c r="AE111" s="1381">
        <f>SUMIFS(ARBETSBLAD!AE11:AE30,ARBETSBLAD!$E11:$E30,$E111,ARBETSBLAD!$G11:$G30,$G111)*AE$57+0.3*AE123+0.67*AE124+AE125*0.567</f>
        <v>0</v>
      </c>
      <c r="AF111" s="1381">
        <f>SUMIFS(ARBETSBLAD!AF11:AF30,ARBETSBLAD!$E11:$E30,$E111,ARBETSBLAD!$G11:$G30,$G111)*AF$57+0.3*AF123+0.67*AF124+AF125*0.567</f>
        <v>0</v>
      </c>
      <c r="AH111" s="1354">
        <f t="shared" si="26"/>
        <v>0</v>
      </c>
      <c r="AI111" s="1355"/>
      <c r="AJ111" s="1354">
        <f t="shared" si="27"/>
        <v>0</v>
      </c>
      <c r="AL111" s="1356"/>
      <c r="AM111" s="1357"/>
      <c r="AN111" s="1358"/>
    </row>
    <row r="112" spans="1:40" s="1349" customFormat="1" ht="12.9" hidden="1" customHeight="1">
      <c r="A112" s="1270"/>
      <c r="B112" s="1317"/>
      <c r="C112" s="1361">
        <f t="shared" si="25"/>
        <v>600.25</v>
      </c>
      <c r="E112" s="1347" t="s">
        <v>2</v>
      </c>
      <c r="F112" s="1350">
        <v>600</v>
      </c>
      <c r="G112" s="1351">
        <f>$O$66</f>
        <v>0.25</v>
      </c>
      <c r="H112" s="1362">
        <f>$P$66</f>
        <v>0.25</v>
      </c>
      <c r="I112" s="1381">
        <f>SUMIFS(ARBETSBLAD!I11:I30,ARBETSBLAD!$E11:$E30,$E112,ARBETSBLAD!$G11:$G30,$G112)*I$57+I125*0.433</f>
        <v>0</v>
      </c>
      <c r="J112" s="1381">
        <f>SUMIFS(ARBETSBLAD!J11:J30,ARBETSBLAD!$E11:$E30,$E112,ARBETSBLAD!$G11:$G30,$G112)*J$57+J125*0.433</f>
        <v>0</v>
      </c>
      <c r="K112" s="1381">
        <f>SUMIFS(ARBETSBLAD!K11:K30,ARBETSBLAD!$E11:$E30,$E112,ARBETSBLAD!$G11:$G30,$G112)*K$57+K125*0.433</f>
        <v>0</v>
      </c>
      <c r="L112" s="1381">
        <f>SUMIFS(ARBETSBLAD!L11:L30,ARBETSBLAD!$E11:$E30,$E112,ARBETSBLAD!$G11:$G30,$G112)*L$57+L125*0.433</f>
        <v>0</v>
      </c>
      <c r="M112" s="1381">
        <f>SUMIFS(ARBETSBLAD!M11:M30,ARBETSBLAD!$E11:$E30,$E112,ARBETSBLAD!$G11:$G30,$G112)*M$57+M125*0.433</f>
        <v>0</v>
      </c>
      <c r="N112" s="1381">
        <f>SUMIFS(ARBETSBLAD!N11:N30,ARBETSBLAD!$E11:$E30,$E112,ARBETSBLAD!$G11:$G30,$G112)*N$57+N125*0.433</f>
        <v>0</v>
      </c>
      <c r="O112" s="1381">
        <f>SUMIFS(ARBETSBLAD!O11:O30,ARBETSBLAD!$E11:$E30,$E112,ARBETSBLAD!$G11:$G30,$G112)*O$57+O125*0.433</f>
        <v>0</v>
      </c>
      <c r="P112" s="1381">
        <f>SUMIFS(ARBETSBLAD!P11:P30,ARBETSBLAD!$E11:$E30,$E112,ARBETSBLAD!$G11:$G30,$G112)*P$57+P125*0.433</f>
        <v>0</v>
      </c>
      <c r="Q112" s="1381">
        <f>SUMIFS(ARBETSBLAD!Q11:Q30,ARBETSBLAD!$E11:$E30,$E112,ARBETSBLAD!$G11:$G30,$G112)*Q$57+Q125*0.433</f>
        <v>0</v>
      </c>
      <c r="R112" s="1381">
        <f>SUMIFS(ARBETSBLAD!R11:R30,ARBETSBLAD!$E11:$E30,$E112,ARBETSBLAD!$G11:$G30,$G112)*R$57+R125*0.433</f>
        <v>0</v>
      </c>
      <c r="S112" s="1381">
        <f>SUMIFS(ARBETSBLAD!S11:S30,ARBETSBLAD!$E11:$E30,$E112,ARBETSBLAD!$G11:$G30,$G112)*S$57+S125*0.433</f>
        <v>0</v>
      </c>
      <c r="T112" s="1381">
        <f>SUMIFS(ARBETSBLAD!T11:T30,ARBETSBLAD!$E11:$E30,$E112,ARBETSBLAD!$G11:$G30,$G112)*T$57+T125*0.433</f>
        <v>0</v>
      </c>
      <c r="U112" s="1381">
        <f>SUMIFS(ARBETSBLAD!U11:U30,ARBETSBLAD!$E11:$E30,$E112,ARBETSBLAD!$G11:$G30,$G112)*U$57+U125*0.433</f>
        <v>0</v>
      </c>
      <c r="V112" s="1381">
        <f>SUMIFS(ARBETSBLAD!V11:V30,ARBETSBLAD!$E11:$E30,$E112,ARBETSBLAD!$G11:$G30,$G112)*V$57+V125*0.433</f>
        <v>0</v>
      </c>
      <c r="W112" s="1381">
        <f>SUMIFS(ARBETSBLAD!W11:W30,ARBETSBLAD!$E11:$E30,$E112,ARBETSBLAD!$G11:$G30,$G112)*W$57+W125*0.433</f>
        <v>0</v>
      </c>
      <c r="X112" s="1381">
        <f>SUMIFS(ARBETSBLAD!X11:X30,ARBETSBLAD!$E11:$E30,$E112,ARBETSBLAD!$G11:$G30,$G112)*X$57+X125*0.433</f>
        <v>0</v>
      </c>
      <c r="Y112" s="1381">
        <f>SUMIFS(ARBETSBLAD!Y11:Y30,ARBETSBLAD!$E11:$E30,$E112,ARBETSBLAD!$G11:$G30,$G112)*Y$57+Y125*0.433</f>
        <v>0</v>
      </c>
      <c r="Z112" s="1381">
        <f>SUMIFS(ARBETSBLAD!Z11:Z30,ARBETSBLAD!$E11:$E30,$E112,ARBETSBLAD!$G11:$G30,$G112)*Z$57+Z125*0.433</f>
        <v>0</v>
      </c>
      <c r="AA112" s="1381">
        <f>SUMIFS(ARBETSBLAD!AA11:AA30,ARBETSBLAD!$E11:$E30,$E112,ARBETSBLAD!$G11:$G30,$G112)*AA$57+AA125*0.433</f>
        <v>0</v>
      </c>
      <c r="AB112" s="1381">
        <f>SUMIFS(ARBETSBLAD!AB11:AB30,ARBETSBLAD!$E11:$E30,$E112,ARBETSBLAD!$G11:$G30,$G112)*AB$57+AB125*0.433</f>
        <v>0</v>
      </c>
      <c r="AC112" s="1381">
        <f>SUMIFS(ARBETSBLAD!AC11:AC30,ARBETSBLAD!$E11:$E30,$E112,ARBETSBLAD!$G11:$G30,$G112)*AC$57+AC125*0.433</f>
        <v>0</v>
      </c>
      <c r="AD112" s="1381">
        <f>SUMIFS(ARBETSBLAD!AD11:AD30,ARBETSBLAD!$E11:$E30,$E112,ARBETSBLAD!$G11:$G30,$G112)*AD$57+AD125*0.433</f>
        <v>0</v>
      </c>
      <c r="AE112" s="1381">
        <f>SUMIFS(ARBETSBLAD!AE11:AE30,ARBETSBLAD!$E11:$E30,$E112,ARBETSBLAD!$G11:$G30,$G112)*AE$57+AE125*0.433</f>
        <v>0</v>
      </c>
      <c r="AF112" s="1381">
        <f>SUMIFS(ARBETSBLAD!AF11:AF30,ARBETSBLAD!$E11:$E30,$E112,ARBETSBLAD!$G11:$G30,$G112)*AF$57+AF125*0.433</f>
        <v>0</v>
      </c>
      <c r="AH112" s="1354">
        <f t="shared" si="26"/>
        <v>0</v>
      </c>
      <c r="AI112" s="1355"/>
      <c r="AJ112" s="1354">
        <f t="shared" si="27"/>
        <v>0</v>
      </c>
      <c r="AL112" s="1356"/>
      <c r="AM112" s="1357"/>
      <c r="AN112" s="1358"/>
    </row>
    <row r="113" spans="1:40" s="1349" customFormat="1" ht="12.9" hidden="1" customHeight="1">
      <c r="A113" s="1270"/>
      <c r="B113" s="1317"/>
      <c r="C113" s="1361">
        <f t="shared" si="25"/>
        <v>900.25</v>
      </c>
      <c r="E113" s="1347" t="s">
        <v>3</v>
      </c>
      <c r="F113" s="1350">
        <v>900</v>
      </c>
      <c r="G113" s="1351">
        <f>$O$66</f>
        <v>0.25</v>
      </c>
      <c r="H113" s="1362">
        <f>$P$66</f>
        <v>0.25</v>
      </c>
      <c r="I113" s="1440">
        <f>SUMIFS(ARBETSBLAD!I11:I30,ARBETSBLAD!$E11:$E30,$E113,ARBETSBLAD!$G11:$G30,$G113)*I$57</f>
        <v>0</v>
      </c>
      <c r="J113" s="1440">
        <f>SUMIFS(ARBETSBLAD!J11:J30,ARBETSBLAD!$E11:$E30,$E113,ARBETSBLAD!$G11:$G30,$G113)*J$57</f>
        <v>0</v>
      </c>
      <c r="K113" s="1440">
        <f>SUMIFS(ARBETSBLAD!K11:K30,ARBETSBLAD!$E11:$E30,$E113,ARBETSBLAD!$G11:$G30,$G113)*K$57</f>
        <v>0</v>
      </c>
      <c r="L113" s="1440">
        <f>SUMIFS(ARBETSBLAD!L11:L30,ARBETSBLAD!$E11:$E30,$E113,ARBETSBLAD!$G11:$G30,$G113)*L$57</f>
        <v>0</v>
      </c>
      <c r="M113" s="1440">
        <f>SUMIFS(ARBETSBLAD!M11:M30,ARBETSBLAD!$E11:$E30,$E113,ARBETSBLAD!$G11:$G30,$G113)*M$57</f>
        <v>0</v>
      </c>
      <c r="N113" s="1440">
        <f>SUMIFS(ARBETSBLAD!N11:N30,ARBETSBLAD!$E11:$E30,$E113,ARBETSBLAD!$G11:$G30,$G113)*N$57</f>
        <v>0</v>
      </c>
      <c r="O113" s="1440">
        <f>SUMIFS(ARBETSBLAD!O11:O30,ARBETSBLAD!$E11:$E30,$E113,ARBETSBLAD!$G11:$G30,$G113)*O$57</f>
        <v>0</v>
      </c>
      <c r="P113" s="1440">
        <f>SUMIFS(ARBETSBLAD!P11:P30,ARBETSBLAD!$E11:$E30,$E113,ARBETSBLAD!$G11:$G30,$G113)*P$57</f>
        <v>0</v>
      </c>
      <c r="Q113" s="1440">
        <f>SUMIFS(ARBETSBLAD!Q11:Q30,ARBETSBLAD!$E11:$E30,$E113,ARBETSBLAD!$G11:$G30,$G113)*Q$57</f>
        <v>0</v>
      </c>
      <c r="R113" s="1440">
        <f>SUMIFS(ARBETSBLAD!R11:R30,ARBETSBLAD!$E11:$E30,$E113,ARBETSBLAD!$G11:$G30,$G113)*R$57</f>
        <v>0</v>
      </c>
      <c r="S113" s="1440">
        <f>SUMIFS(ARBETSBLAD!S11:S30,ARBETSBLAD!$E11:$E30,$E113,ARBETSBLAD!$G11:$G30,$G113)*S$57</f>
        <v>0</v>
      </c>
      <c r="T113" s="1440">
        <f>SUMIFS(ARBETSBLAD!T11:T30,ARBETSBLAD!$E11:$E30,$E113,ARBETSBLAD!$G11:$G30,$G113)*T$57</f>
        <v>0</v>
      </c>
      <c r="U113" s="1440">
        <f>SUMIFS(ARBETSBLAD!U11:U30,ARBETSBLAD!$E11:$E30,$E113,ARBETSBLAD!$G11:$G30,$G113)*U$57</f>
        <v>0</v>
      </c>
      <c r="V113" s="1440">
        <f>SUMIFS(ARBETSBLAD!V11:V30,ARBETSBLAD!$E11:$E30,$E113,ARBETSBLAD!$G11:$G30,$G113)*V$57</f>
        <v>0</v>
      </c>
      <c r="W113" s="1440">
        <f>SUMIFS(ARBETSBLAD!W11:W30,ARBETSBLAD!$E11:$E30,$E113,ARBETSBLAD!$G11:$G30,$G113)*W$57</f>
        <v>0</v>
      </c>
      <c r="X113" s="1440">
        <f>SUMIFS(ARBETSBLAD!X11:X30,ARBETSBLAD!$E11:$E30,$E113,ARBETSBLAD!$G11:$G30,$G113)*X$57</f>
        <v>0</v>
      </c>
      <c r="Y113" s="1440">
        <f>SUMIFS(ARBETSBLAD!Y11:Y30,ARBETSBLAD!$E11:$E30,$E113,ARBETSBLAD!$G11:$G30,$G113)*Y$57</f>
        <v>0</v>
      </c>
      <c r="Z113" s="1440">
        <f>SUMIFS(ARBETSBLAD!Z11:Z30,ARBETSBLAD!$E11:$E30,$E113,ARBETSBLAD!$G11:$G30,$G113)*Z$57</f>
        <v>0</v>
      </c>
      <c r="AA113" s="1440">
        <f>SUMIFS(ARBETSBLAD!AA11:AA30,ARBETSBLAD!$E11:$E30,$E113,ARBETSBLAD!$G11:$G30,$G113)*AA$57</f>
        <v>0</v>
      </c>
      <c r="AB113" s="1440">
        <f>SUMIFS(ARBETSBLAD!AB11:AB30,ARBETSBLAD!$E11:$E30,$E113,ARBETSBLAD!$G11:$G30,$G113)*AB$57</f>
        <v>0</v>
      </c>
      <c r="AC113" s="1440">
        <f>SUMIFS(ARBETSBLAD!AC11:AC30,ARBETSBLAD!$E11:$E30,$E113,ARBETSBLAD!$G11:$G30,$G113)*AC$57</f>
        <v>0</v>
      </c>
      <c r="AD113" s="1440">
        <f>SUMIFS(ARBETSBLAD!AD11:AD30,ARBETSBLAD!$E11:$E30,$E113,ARBETSBLAD!$G11:$G30,$G113)*AD$57</f>
        <v>0</v>
      </c>
      <c r="AE113" s="1440">
        <f>SUMIFS(ARBETSBLAD!AE11:AE30,ARBETSBLAD!$E11:$E30,$E113,ARBETSBLAD!$G11:$G30,$G113)*AE$57</f>
        <v>0</v>
      </c>
      <c r="AF113" s="1440">
        <f>SUMIFS(ARBETSBLAD!AF11:AF30,ARBETSBLAD!$E11:$E30,$E113,ARBETSBLAD!$G11:$G30,$G113)*AF$57</f>
        <v>0</v>
      </c>
      <c r="AH113" s="1354">
        <f t="shared" si="26"/>
        <v>0</v>
      </c>
      <c r="AI113" s="1355"/>
      <c r="AJ113" s="1354">
        <f t="shared" si="27"/>
        <v>0</v>
      </c>
      <c r="AL113" s="1356"/>
      <c r="AM113" s="1357"/>
      <c r="AN113" s="1358"/>
    </row>
    <row r="114" spans="1:40" s="1349" customFormat="1" ht="12.9" hidden="1" customHeight="1">
      <c r="A114" s="1270"/>
      <c r="B114" s="1363" t="s">
        <v>908</v>
      </c>
      <c r="C114" s="1364">
        <f t="shared" si="25"/>
        <v>100.001</v>
      </c>
      <c r="D114" s="1365"/>
      <c r="E114" s="1366" t="s">
        <v>907</v>
      </c>
      <c r="F114" s="1350">
        <v>100</v>
      </c>
      <c r="G114" s="1367">
        <f>ARBETSBLAD!G315</f>
        <v>9.9999999999999995E-7</v>
      </c>
      <c r="H114" s="1368">
        <v>1E-3</v>
      </c>
      <c r="I114" s="1369">
        <f>SUMIFS(ARBETSBLAD!I11:I30,ARBETSBLAD!$E$11:$E$30,$E114,ARBETSBLAD!$G$11:$G$30,$G114)*I$57</f>
        <v>0</v>
      </c>
      <c r="J114" s="1369">
        <f>SUMIFS(ARBETSBLAD!J11:J30,ARBETSBLAD!$E$11:$E$30,$E114,ARBETSBLAD!$G$11:$G$30,$G114)*J$57</f>
        <v>0</v>
      </c>
      <c r="K114" s="1369">
        <f>SUMIFS(ARBETSBLAD!K11:K30,ARBETSBLAD!$E$11:$E$30,$E114,ARBETSBLAD!$G$11:$G$30,$G114)*K$57</f>
        <v>0</v>
      </c>
      <c r="L114" s="1369">
        <f>SUMIFS(ARBETSBLAD!L11:L30,ARBETSBLAD!$E$11:$E$30,$E114,ARBETSBLAD!$G$11:$G$30,$G114)*L$57</f>
        <v>0</v>
      </c>
      <c r="M114" s="1369">
        <f>SUMIFS(ARBETSBLAD!M11:M30,ARBETSBLAD!$E$11:$E$30,$E114,ARBETSBLAD!$G$11:$G$30,$G114)*M$57</f>
        <v>0</v>
      </c>
      <c r="N114" s="1369">
        <f>SUMIFS(ARBETSBLAD!N11:N30,ARBETSBLAD!$E$11:$E$30,$E114,ARBETSBLAD!$G$11:$G$30,$G114)*N$57</f>
        <v>0</v>
      </c>
      <c r="O114" s="1369">
        <f>SUMIFS(ARBETSBLAD!O11:O30,ARBETSBLAD!$E$11:$E$30,$E114,ARBETSBLAD!$G$11:$G$30,$G114)*O$57</f>
        <v>0</v>
      </c>
      <c r="P114" s="1369">
        <f>SUMIFS(ARBETSBLAD!P11:P30,ARBETSBLAD!$E$11:$E$30,$E114,ARBETSBLAD!$G$11:$G$30,$G114)*P$57</f>
        <v>0</v>
      </c>
      <c r="Q114" s="1369">
        <f>SUMIFS(ARBETSBLAD!Q11:Q30,ARBETSBLAD!$E$11:$E$30,$E114,ARBETSBLAD!$G$11:$G$30,$G114)*Q$57</f>
        <v>0</v>
      </c>
      <c r="R114" s="1369">
        <f>SUMIFS(ARBETSBLAD!R11:R30,ARBETSBLAD!$E$11:$E$30,$E114,ARBETSBLAD!$G$11:$G$30,$G114)*R$57</f>
        <v>0</v>
      </c>
      <c r="S114" s="1369">
        <f>SUMIFS(ARBETSBLAD!S11:S30,ARBETSBLAD!$E$11:$E$30,$E114,ARBETSBLAD!$G$11:$G$30,$G114)*S$57</f>
        <v>0</v>
      </c>
      <c r="T114" s="1369">
        <f>SUMIFS(ARBETSBLAD!T11:T30,ARBETSBLAD!$E$11:$E$30,$E114,ARBETSBLAD!$G$11:$G$30,$G114)*T$57</f>
        <v>0</v>
      </c>
      <c r="U114" s="1369">
        <f>SUMIFS(ARBETSBLAD!U11:U30,ARBETSBLAD!$E$11:$E$30,$E114,ARBETSBLAD!$G$11:$G$30,$G114)*U$57</f>
        <v>0</v>
      </c>
      <c r="V114" s="1369">
        <f>SUMIFS(ARBETSBLAD!V11:V30,ARBETSBLAD!$E$11:$E$30,$E114,ARBETSBLAD!$G$11:$G$30,$G114)*V$57</f>
        <v>0</v>
      </c>
      <c r="W114" s="1369">
        <f>SUMIFS(ARBETSBLAD!W11:W30,ARBETSBLAD!$E$11:$E$30,$E114,ARBETSBLAD!$G$11:$G$30,$G114)*W$57</f>
        <v>0</v>
      </c>
      <c r="X114" s="1369">
        <f>SUMIFS(ARBETSBLAD!X11:X30,ARBETSBLAD!$E$11:$E$30,$E114,ARBETSBLAD!$G$11:$G$30,$G114)*X$57</f>
        <v>0</v>
      </c>
      <c r="Y114" s="1369">
        <f>SUMIFS(ARBETSBLAD!Y11:Y30,ARBETSBLAD!$E$11:$E$30,$E114,ARBETSBLAD!$G$11:$G$30,$G114)*Y$57</f>
        <v>0</v>
      </c>
      <c r="Z114" s="1369">
        <f>SUMIFS(ARBETSBLAD!Z11:Z30,ARBETSBLAD!$E$11:$E$30,$E114,ARBETSBLAD!$G$11:$G$30,$G114)*Z$57</f>
        <v>0</v>
      </c>
      <c r="AA114" s="1369">
        <f>SUMIFS(ARBETSBLAD!AA11:AA30,ARBETSBLAD!$E$11:$E$30,$E114,ARBETSBLAD!$G$11:$G$30,$G114)*AA$57</f>
        <v>0</v>
      </c>
      <c r="AB114" s="1369">
        <f>SUMIFS(ARBETSBLAD!AB11:AB30,ARBETSBLAD!$E$11:$E$30,$E114,ARBETSBLAD!$G$11:$G$30,$G114)*AB$57</f>
        <v>0</v>
      </c>
      <c r="AC114" s="1369">
        <f>SUMIFS(ARBETSBLAD!AC11:AC30,ARBETSBLAD!$E$11:$E$30,$E114,ARBETSBLAD!$G$11:$G$30,$G114)*AC$57</f>
        <v>0</v>
      </c>
      <c r="AD114" s="1369">
        <f>SUMIFS(ARBETSBLAD!AD11:AD30,ARBETSBLAD!$E$11:$E$30,$E114,ARBETSBLAD!$G$11:$G$30,$G114)*AD$57</f>
        <v>0</v>
      </c>
      <c r="AE114" s="1369">
        <f>SUMIFS(ARBETSBLAD!AE11:AE30,ARBETSBLAD!$E$11:$E$30,$E114,ARBETSBLAD!$G$11:$G$30,$G114)*AE$57</f>
        <v>0</v>
      </c>
      <c r="AF114" s="1369">
        <f>SUMIFS(ARBETSBLAD!AF11:AF30,ARBETSBLAD!$E$11:$E$30,$E114,ARBETSBLAD!$G$11:$G$30,$G114)*AF$57</f>
        <v>0</v>
      </c>
      <c r="AH114" s="1370">
        <f t="shared" si="26"/>
        <v>0</v>
      </c>
      <c r="AI114" s="1371"/>
      <c r="AJ114" s="1370">
        <f t="shared" si="27"/>
        <v>0</v>
      </c>
      <c r="AL114" s="1356"/>
      <c r="AM114" s="1357"/>
      <c r="AN114" s="1358"/>
    </row>
    <row r="115" spans="1:40" s="1349" customFormat="1" ht="12.9" hidden="1" customHeight="1">
      <c r="A115" s="1270"/>
      <c r="B115" s="1363" t="s">
        <v>909</v>
      </c>
      <c r="C115" s="1364">
        <f t="shared" si="25"/>
        <v>200.001</v>
      </c>
      <c r="D115" s="1365"/>
      <c r="E115" s="1366" t="s">
        <v>912</v>
      </c>
      <c r="F115" s="1350">
        <v>200</v>
      </c>
      <c r="G115" s="1367">
        <f>ARBETSBLAD!G315</f>
        <v>9.9999999999999995E-7</v>
      </c>
      <c r="H115" s="1368">
        <v>1E-3</v>
      </c>
      <c r="I115" s="1369">
        <f>SUMIFS(ARBETSBLAD!I11:I30,ARBETSBLAD!$E$11:$E$30,$E115,ARBETSBLAD!$G$11:$G$30,$G115)*I$57</f>
        <v>0</v>
      </c>
      <c r="J115" s="1369">
        <f>SUMIFS(ARBETSBLAD!J11:J30,ARBETSBLAD!$E$11:$E$30,$E115,ARBETSBLAD!$G$11:$G$30,$G115)*J$57</f>
        <v>0</v>
      </c>
      <c r="K115" s="1369">
        <f>SUMIFS(ARBETSBLAD!K11:K30,ARBETSBLAD!$E$11:$E$30,$E115,ARBETSBLAD!$G$11:$G$30,$G115)*K$57</f>
        <v>0</v>
      </c>
      <c r="L115" s="1369">
        <f>SUMIFS(ARBETSBLAD!L11:L30,ARBETSBLAD!$E$11:$E$30,$E115,ARBETSBLAD!$G$11:$G$30,$G115)*L$57</f>
        <v>0</v>
      </c>
      <c r="M115" s="1369">
        <f>SUMIFS(ARBETSBLAD!M11:M30,ARBETSBLAD!$E$11:$E$30,$E115,ARBETSBLAD!$G$11:$G$30,$G115)*M$57</f>
        <v>0</v>
      </c>
      <c r="N115" s="1369">
        <f>SUMIFS(ARBETSBLAD!N11:N30,ARBETSBLAD!$E$11:$E$30,$E115,ARBETSBLAD!$G$11:$G$30,$G115)*N$57</f>
        <v>0</v>
      </c>
      <c r="O115" s="1369">
        <f>SUMIFS(ARBETSBLAD!O11:O30,ARBETSBLAD!$E$11:$E$30,$E115,ARBETSBLAD!$G$11:$G$30,$G115)*O$57</f>
        <v>0</v>
      </c>
      <c r="P115" s="1369">
        <f>SUMIFS(ARBETSBLAD!P11:P30,ARBETSBLAD!$E$11:$E$30,$E115,ARBETSBLAD!$G$11:$G$30,$G115)*P$57</f>
        <v>0</v>
      </c>
      <c r="Q115" s="1369">
        <f>SUMIFS(ARBETSBLAD!Q11:Q30,ARBETSBLAD!$E$11:$E$30,$E115,ARBETSBLAD!$G$11:$G$30,$G115)*Q$57</f>
        <v>0</v>
      </c>
      <c r="R115" s="1369">
        <f>SUMIFS(ARBETSBLAD!R11:R30,ARBETSBLAD!$E$11:$E$30,$E115,ARBETSBLAD!$G$11:$G$30,$G115)*R$57</f>
        <v>0</v>
      </c>
      <c r="S115" s="1369">
        <f>SUMIFS(ARBETSBLAD!S11:S30,ARBETSBLAD!$E$11:$E$30,$E115,ARBETSBLAD!$G$11:$G$30,$G115)*S$57</f>
        <v>0</v>
      </c>
      <c r="T115" s="1369">
        <f>SUMIFS(ARBETSBLAD!T11:T30,ARBETSBLAD!$E$11:$E$30,$E115,ARBETSBLAD!$G$11:$G$30,$G115)*T$57</f>
        <v>0</v>
      </c>
      <c r="U115" s="1369">
        <f>SUMIFS(ARBETSBLAD!U11:U30,ARBETSBLAD!$E$11:$E$30,$E115,ARBETSBLAD!$G$11:$G$30,$G115)*U$57</f>
        <v>0</v>
      </c>
      <c r="V115" s="1369">
        <f>SUMIFS(ARBETSBLAD!V11:V30,ARBETSBLAD!$E$11:$E$30,$E115,ARBETSBLAD!$G$11:$G$30,$G115)*V$57</f>
        <v>0</v>
      </c>
      <c r="W115" s="1369">
        <f>SUMIFS(ARBETSBLAD!W11:W30,ARBETSBLAD!$E$11:$E$30,$E115,ARBETSBLAD!$G$11:$G$30,$G115)*W$57</f>
        <v>0</v>
      </c>
      <c r="X115" s="1369">
        <f>SUMIFS(ARBETSBLAD!X11:X30,ARBETSBLAD!$E$11:$E$30,$E115,ARBETSBLAD!$G$11:$G$30,$G115)*X$57</f>
        <v>0</v>
      </c>
      <c r="Y115" s="1369">
        <f>SUMIFS(ARBETSBLAD!Y11:Y30,ARBETSBLAD!$E$11:$E$30,$E115,ARBETSBLAD!$G$11:$G$30,$G115)*Y$57</f>
        <v>0</v>
      </c>
      <c r="Z115" s="1369">
        <f>SUMIFS(ARBETSBLAD!Z11:Z30,ARBETSBLAD!$E$11:$E$30,$E115,ARBETSBLAD!$G$11:$G$30,$G115)*Z$57</f>
        <v>0</v>
      </c>
      <c r="AA115" s="1369">
        <f>SUMIFS(ARBETSBLAD!AA11:AA30,ARBETSBLAD!$E$11:$E$30,$E115,ARBETSBLAD!$G$11:$G$30,$G115)*AA$57</f>
        <v>0</v>
      </c>
      <c r="AB115" s="1369">
        <f>SUMIFS(ARBETSBLAD!AB11:AB30,ARBETSBLAD!$E$11:$E$30,$E115,ARBETSBLAD!$G$11:$G$30,$G115)*AB$57</f>
        <v>0</v>
      </c>
      <c r="AC115" s="1369">
        <f>SUMIFS(ARBETSBLAD!AC11:AC30,ARBETSBLAD!$E$11:$E$30,$E115,ARBETSBLAD!$G$11:$G$30,$G115)*AC$57</f>
        <v>0</v>
      </c>
      <c r="AD115" s="1369">
        <f>SUMIFS(ARBETSBLAD!AD11:AD30,ARBETSBLAD!$E$11:$E$30,$E115,ARBETSBLAD!$G$11:$G$30,$G115)*AD$57</f>
        <v>0</v>
      </c>
      <c r="AE115" s="1369">
        <f>SUMIFS(ARBETSBLAD!AE11:AE30,ARBETSBLAD!$E$11:$E$30,$E115,ARBETSBLAD!$G$11:$G$30,$G115)*AE$57</f>
        <v>0</v>
      </c>
      <c r="AF115" s="1369">
        <f>SUMIFS(ARBETSBLAD!AF11:AF30,ARBETSBLAD!$E$11:$E$30,$E115,ARBETSBLAD!$G$11:$G$30,$G115)*AF$57</f>
        <v>0</v>
      </c>
      <c r="AH115" s="1370">
        <f t="shared" si="26"/>
        <v>0</v>
      </c>
      <c r="AI115" s="1371"/>
      <c r="AJ115" s="1370">
        <f t="shared" si="27"/>
        <v>0</v>
      </c>
      <c r="AL115" s="1356"/>
      <c r="AM115" s="1357"/>
      <c r="AN115" s="1358"/>
    </row>
    <row r="116" spans="1:40" s="1349" customFormat="1" ht="12.9" hidden="1" customHeight="1">
      <c r="A116" s="1270"/>
      <c r="B116" s="1363" t="s">
        <v>911</v>
      </c>
      <c r="C116" s="1364">
        <f t="shared" si="25"/>
        <v>450.00099999999998</v>
      </c>
      <c r="D116" s="1365"/>
      <c r="E116" s="1366" t="s">
        <v>910</v>
      </c>
      <c r="F116" s="1350">
        <v>450</v>
      </c>
      <c r="G116" s="1367">
        <f>ARBETSBLAD!G315</f>
        <v>9.9999999999999995E-7</v>
      </c>
      <c r="H116" s="1368">
        <v>1E-3</v>
      </c>
      <c r="I116" s="1369">
        <f>SUMIFS(ARBETSBLAD!I11:I30,ARBETSBLAD!$E$11:$E$30,$E116,ARBETSBLAD!$G$11:$G$30,$G116)*I$57</f>
        <v>0</v>
      </c>
      <c r="J116" s="1369">
        <f>SUMIFS(ARBETSBLAD!J11:J30,ARBETSBLAD!$E$11:$E$30,$E116,ARBETSBLAD!$G$11:$G$30,$G116)*J$57</f>
        <v>0</v>
      </c>
      <c r="K116" s="1369">
        <f>SUMIFS(ARBETSBLAD!K11:K30,ARBETSBLAD!$E$11:$E$30,$E116,ARBETSBLAD!$G$11:$G$30,$G116)*K$57</f>
        <v>0</v>
      </c>
      <c r="L116" s="1369">
        <f>SUMIFS(ARBETSBLAD!L11:L30,ARBETSBLAD!$E$11:$E$30,$E116,ARBETSBLAD!$G$11:$G$30,$G116)*L$57</f>
        <v>0</v>
      </c>
      <c r="M116" s="1369">
        <f>SUMIFS(ARBETSBLAD!M11:M30,ARBETSBLAD!$E$11:$E$30,$E116,ARBETSBLAD!$G$11:$G$30,$G116)*M$57</f>
        <v>0</v>
      </c>
      <c r="N116" s="1369">
        <f>SUMIFS(ARBETSBLAD!N11:N30,ARBETSBLAD!$E$11:$E$30,$E116,ARBETSBLAD!$G$11:$G$30,$G116)*N$57</f>
        <v>0</v>
      </c>
      <c r="O116" s="1369">
        <f>SUMIFS(ARBETSBLAD!O11:O30,ARBETSBLAD!$E$11:$E$30,$E116,ARBETSBLAD!$G$11:$G$30,$G116)*O$57</f>
        <v>0</v>
      </c>
      <c r="P116" s="1369">
        <f>SUMIFS(ARBETSBLAD!P11:P30,ARBETSBLAD!$E$11:$E$30,$E116,ARBETSBLAD!$G$11:$G$30,$G116)*P$57</f>
        <v>0</v>
      </c>
      <c r="Q116" s="1369">
        <f>SUMIFS(ARBETSBLAD!Q11:Q30,ARBETSBLAD!$E$11:$E$30,$E116,ARBETSBLAD!$G$11:$G$30,$G116)*Q$57</f>
        <v>0</v>
      </c>
      <c r="R116" s="1369">
        <f>SUMIFS(ARBETSBLAD!R11:R30,ARBETSBLAD!$E$11:$E$30,$E116,ARBETSBLAD!$G$11:$G$30,$G116)*R$57</f>
        <v>0</v>
      </c>
      <c r="S116" s="1369">
        <f>SUMIFS(ARBETSBLAD!S11:S30,ARBETSBLAD!$E$11:$E$30,$E116,ARBETSBLAD!$G$11:$G$30,$G116)*S$57</f>
        <v>0</v>
      </c>
      <c r="T116" s="1369">
        <f>SUMIFS(ARBETSBLAD!T11:T30,ARBETSBLAD!$E$11:$E$30,$E116,ARBETSBLAD!$G$11:$G$30,$G116)*T$57</f>
        <v>0</v>
      </c>
      <c r="U116" s="1369">
        <f>SUMIFS(ARBETSBLAD!U11:U30,ARBETSBLAD!$E$11:$E$30,$E116,ARBETSBLAD!$G$11:$G$30,$G116)*U$57</f>
        <v>0</v>
      </c>
      <c r="V116" s="1369">
        <f>SUMIFS(ARBETSBLAD!V11:V30,ARBETSBLAD!$E$11:$E$30,$E116,ARBETSBLAD!$G$11:$G$30,$G116)*V$57</f>
        <v>0</v>
      </c>
      <c r="W116" s="1369">
        <f>SUMIFS(ARBETSBLAD!W11:W30,ARBETSBLAD!$E$11:$E$30,$E116,ARBETSBLAD!$G$11:$G$30,$G116)*W$57</f>
        <v>0</v>
      </c>
      <c r="X116" s="1369">
        <f>SUMIFS(ARBETSBLAD!X11:X30,ARBETSBLAD!$E$11:$E$30,$E116,ARBETSBLAD!$G$11:$G$30,$G116)*X$57</f>
        <v>0</v>
      </c>
      <c r="Y116" s="1369">
        <f>SUMIFS(ARBETSBLAD!Y11:Y30,ARBETSBLAD!$E$11:$E$30,$E116,ARBETSBLAD!$G$11:$G$30,$G116)*Y$57</f>
        <v>0</v>
      </c>
      <c r="Z116" s="1369">
        <f>SUMIFS(ARBETSBLAD!Z11:Z30,ARBETSBLAD!$E$11:$E$30,$E116,ARBETSBLAD!$G$11:$G$30,$G116)*Z$57</f>
        <v>0</v>
      </c>
      <c r="AA116" s="1369">
        <f>SUMIFS(ARBETSBLAD!AA11:AA30,ARBETSBLAD!$E$11:$E$30,$E116,ARBETSBLAD!$G$11:$G$30,$G116)*AA$57</f>
        <v>0</v>
      </c>
      <c r="AB116" s="1369">
        <f>SUMIFS(ARBETSBLAD!AB11:AB30,ARBETSBLAD!$E$11:$E$30,$E116,ARBETSBLAD!$G$11:$G$30,$G116)*AB$57</f>
        <v>0</v>
      </c>
      <c r="AC116" s="1369">
        <f>SUMIFS(ARBETSBLAD!AC11:AC30,ARBETSBLAD!$E$11:$E$30,$E116,ARBETSBLAD!$G$11:$G$30,$G116)*AC$57</f>
        <v>0</v>
      </c>
      <c r="AD116" s="1369">
        <f>SUMIFS(ARBETSBLAD!AD11:AD30,ARBETSBLAD!$E$11:$E$30,$E116,ARBETSBLAD!$G$11:$G$30,$G116)*AD$57</f>
        <v>0</v>
      </c>
      <c r="AE116" s="1369">
        <f>SUMIFS(ARBETSBLAD!AE11:AE30,ARBETSBLAD!$E$11:$E$30,$E116,ARBETSBLAD!$G$11:$G$30,$G116)*AE$57</f>
        <v>0</v>
      </c>
      <c r="AF116" s="1369">
        <f>SUMIFS(ARBETSBLAD!AF11:AF30,ARBETSBLAD!$E$11:$E$30,$E116,ARBETSBLAD!$G$11:$G$30,$G116)*AF$57</f>
        <v>0</v>
      </c>
      <c r="AH116" s="1370">
        <f t="shared" si="26"/>
        <v>0</v>
      </c>
      <c r="AI116" s="1371"/>
      <c r="AJ116" s="1370">
        <f t="shared" si="27"/>
        <v>0</v>
      </c>
      <c r="AL116" s="1356"/>
      <c r="AM116" s="1357"/>
      <c r="AN116" s="1358"/>
    </row>
    <row r="117" spans="1:40" s="1349" customFormat="1" ht="12.9" hidden="1" customHeight="1">
      <c r="A117" s="1270"/>
      <c r="B117" s="1363" t="s">
        <v>908</v>
      </c>
      <c r="C117" s="1364">
        <f t="shared" si="25"/>
        <v>100.06</v>
      </c>
      <c r="D117" s="1365"/>
      <c r="E117" s="1366" t="s">
        <v>907</v>
      </c>
      <c r="F117" s="1350">
        <v>100</v>
      </c>
      <c r="G117" s="1367">
        <f>$O$64</f>
        <v>0.06</v>
      </c>
      <c r="H117" s="1368">
        <f>$P$64</f>
        <v>0.06</v>
      </c>
      <c r="I117" s="1369">
        <f>SUMIFS(ARBETSBLAD!I11:I30,ARBETSBLAD!$E$11:$E$30,$E117,ARBETSBLAD!$G$11:$G$30,$G117)*I$57</f>
        <v>0</v>
      </c>
      <c r="J117" s="1369">
        <f>SUMIFS(ARBETSBLAD!J11:J30,ARBETSBLAD!$E$11:$E$30,$E117,ARBETSBLAD!$G$11:$G$30,$G117)*J$57</f>
        <v>0</v>
      </c>
      <c r="K117" s="1369">
        <f>SUMIFS(ARBETSBLAD!K11:K30,ARBETSBLAD!$E$11:$E$30,$E117,ARBETSBLAD!$G$11:$G$30,$G117)*K$57</f>
        <v>0</v>
      </c>
      <c r="L117" s="1369">
        <f>SUMIFS(ARBETSBLAD!L11:L30,ARBETSBLAD!$E$11:$E$30,$E117,ARBETSBLAD!$G$11:$G$30,$G117)*L$57</f>
        <v>0</v>
      </c>
      <c r="M117" s="1369">
        <f>SUMIFS(ARBETSBLAD!M11:M30,ARBETSBLAD!$E$11:$E$30,$E117,ARBETSBLAD!$G$11:$G$30,$G117)*M$57</f>
        <v>0</v>
      </c>
      <c r="N117" s="1369">
        <f>SUMIFS(ARBETSBLAD!N11:N30,ARBETSBLAD!$E$11:$E$30,$E117,ARBETSBLAD!$G$11:$G$30,$G117)*N$57</f>
        <v>0</v>
      </c>
      <c r="O117" s="1369">
        <f>SUMIFS(ARBETSBLAD!O11:O30,ARBETSBLAD!$E$11:$E$30,$E117,ARBETSBLAD!$G$11:$G$30,$G117)*O$57</f>
        <v>0</v>
      </c>
      <c r="P117" s="1369">
        <f>SUMIFS(ARBETSBLAD!P11:P30,ARBETSBLAD!$E$11:$E$30,$E117,ARBETSBLAD!$G$11:$G$30,$G117)*P$57</f>
        <v>0</v>
      </c>
      <c r="Q117" s="1369">
        <f>SUMIFS(ARBETSBLAD!Q11:Q30,ARBETSBLAD!$E$11:$E$30,$E117,ARBETSBLAD!$G$11:$G$30,$G117)*Q$57</f>
        <v>0</v>
      </c>
      <c r="R117" s="1369">
        <f>SUMIFS(ARBETSBLAD!R11:R30,ARBETSBLAD!$E$11:$E$30,$E117,ARBETSBLAD!$G$11:$G$30,$G117)*R$57</f>
        <v>0</v>
      </c>
      <c r="S117" s="1369">
        <f>SUMIFS(ARBETSBLAD!S11:S30,ARBETSBLAD!$E$11:$E$30,$E117,ARBETSBLAD!$G$11:$G$30,$G117)*S$57</f>
        <v>0</v>
      </c>
      <c r="T117" s="1369">
        <f>SUMIFS(ARBETSBLAD!T11:T30,ARBETSBLAD!$E$11:$E$30,$E117,ARBETSBLAD!$G$11:$G$30,$G117)*T$57</f>
        <v>0</v>
      </c>
      <c r="U117" s="1369">
        <f>SUMIFS(ARBETSBLAD!U11:U30,ARBETSBLAD!$E$11:$E$30,$E117,ARBETSBLAD!$G$11:$G$30,$G117)*U$57</f>
        <v>0</v>
      </c>
      <c r="V117" s="1369">
        <f>SUMIFS(ARBETSBLAD!V11:V30,ARBETSBLAD!$E$11:$E$30,$E117,ARBETSBLAD!$G$11:$G$30,$G117)*V$57</f>
        <v>0</v>
      </c>
      <c r="W117" s="1369">
        <f>SUMIFS(ARBETSBLAD!W11:W30,ARBETSBLAD!$E$11:$E$30,$E117,ARBETSBLAD!$G$11:$G$30,$G117)*W$57</f>
        <v>0</v>
      </c>
      <c r="X117" s="1369">
        <f>SUMIFS(ARBETSBLAD!X11:X30,ARBETSBLAD!$E$11:$E$30,$E117,ARBETSBLAD!$G$11:$G$30,$G117)*X$57</f>
        <v>0</v>
      </c>
      <c r="Y117" s="1369">
        <f>SUMIFS(ARBETSBLAD!Y11:Y30,ARBETSBLAD!$E$11:$E$30,$E117,ARBETSBLAD!$G$11:$G$30,$G117)*Y$57</f>
        <v>0</v>
      </c>
      <c r="Z117" s="1369">
        <f>SUMIFS(ARBETSBLAD!Z11:Z30,ARBETSBLAD!$E$11:$E$30,$E117,ARBETSBLAD!$G$11:$G$30,$G117)*Z$57</f>
        <v>0</v>
      </c>
      <c r="AA117" s="1369">
        <f>SUMIFS(ARBETSBLAD!AA11:AA30,ARBETSBLAD!$E$11:$E$30,$E117,ARBETSBLAD!$G$11:$G$30,$G117)*AA$57</f>
        <v>0</v>
      </c>
      <c r="AB117" s="1369">
        <f>SUMIFS(ARBETSBLAD!AB11:AB30,ARBETSBLAD!$E$11:$E$30,$E117,ARBETSBLAD!$G$11:$G$30,$G117)*AB$57</f>
        <v>0</v>
      </c>
      <c r="AC117" s="1369">
        <f>SUMIFS(ARBETSBLAD!AC11:AC30,ARBETSBLAD!$E$11:$E$30,$E117,ARBETSBLAD!$G$11:$G$30,$G117)*AC$57</f>
        <v>0</v>
      </c>
      <c r="AD117" s="1369">
        <f>SUMIFS(ARBETSBLAD!AD11:AD30,ARBETSBLAD!$E$11:$E$30,$E117,ARBETSBLAD!$G$11:$G$30,$G117)*AD$57</f>
        <v>0</v>
      </c>
      <c r="AE117" s="1369">
        <f>SUMIFS(ARBETSBLAD!AE11:AE30,ARBETSBLAD!$E$11:$E$30,$E117,ARBETSBLAD!$G$11:$G$30,$G117)*AE$57</f>
        <v>0</v>
      </c>
      <c r="AF117" s="1369">
        <f>SUMIFS(ARBETSBLAD!AF11:AF30,ARBETSBLAD!$E$11:$E$30,$E117,ARBETSBLAD!$G$11:$G$30,$G117)*AF$57</f>
        <v>0</v>
      </c>
      <c r="AH117" s="1370">
        <f t="shared" si="26"/>
        <v>0</v>
      </c>
      <c r="AI117" s="1371"/>
      <c r="AJ117" s="1370">
        <f t="shared" si="27"/>
        <v>0</v>
      </c>
      <c r="AL117" s="1356"/>
      <c r="AM117" s="1357"/>
      <c r="AN117" s="1358"/>
    </row>
    <row r="118" spans="1:40" s="1349" customFormat="1" ht="12.9" hidden="1" customHeight="1">
      <c r="A118" s="1270"/>
      <c r="B118" s="1363" t="s">
        <v>909</v>
      </c>
      <c r="C118" s="1364">
        <f t="shared" si="25"/>
        <v>200.06</v>
      </c>
      <c r="D118" s="1365"/>
      <c r="E118" s="1366" t="s">
        <v>912</v>
      </c>
      <c r="F118" s="1350">
        <v>200</v>
      </c>
      <c r="G118" s="1367">
        <f>$O$64</f>
        <v>0.06</v>
      </c>
      <c r="H118" s="1368">
        <f>$P$64</f>
        <v>0.06</v>
      </c>
      <c r="I118" s="1369">
        <f>SUMIFS(ARBETSBLAD!I11:I30,ARBETSBLAD!$E$11:$E$30,$E118,ARBETSBLAD!$G$11:$G$30,$G118)*I$57</f>
        <v>0</v>
      </c>
      <c r="J118" s="1369">
        <f>SUMIFS(ARBETSBLAD!J11:J30,ARBETSBLAD!$E$11:$E$30,$E118,ARBETSBLAD!$G$11:$G$30,$G118)*J$57</f>
        <v>0</v>
      </c>
      <c r="K118" s="1369">
        <f>SUMIFS(ARBETSBLAD!K11:K30,ARBETSBLAD!$E$11:$E$30,$E118,ARBETSBLAD!$G$11:$G$30,$G118)*K$57</f>
        <v>0</v>
      </c>
      <c r="L118" s="1369">
        <f>SUMIFS(ARBETSBLAD!L11:L30,ARBETSBLAD!$E$11:$E$30,$E118,ARBETSBLAD!$G$11:$G$30,$G118)*L$57</f>
        <v>0</v>
      </c>
      <c r="M118" s="1369">
        <f>SUMIFS(ARBETSBLAD!M11:M30,ARBETSBLAD!$E$11:$E$30,$E118,ARBETSBLAD!$G$11:$G$30,$G118)*M$57</f>
        <v>0</v>
      </c>
      <c r="N118" s="1369">
        <f>SUMIFS(ARBETSBLAD!N11:N30,ARBETSBLAD!$E$11:$E$30,$E118,ARBETSBLAD!$G$11:$G$30,$G118)*N$57</f>
        <v>0</v>
      </c>
      <c r="O118" s="1369">
        <f>SUMIFS(ARBETSBLAD!O11:O30,ARBETSBLAD!$E$11:$E$30,$E118,ARBETSBLAD!$G$11:$G$30,$G118)*O$57</f>
        <v>0</v>
      </c>
      <c r="P118" s="1369">
        <f>SUMIFS(ARBETSBLAD!P11:P30,ARBETSBLAD!$E$11:$E$30,$E118,ARBETSBLAD!$G$11:$G$30,$G118)*P$57</f>
        <v>0</v>
      </c>
      <c r="Q118" s="1369">
        <f>SUMIFS(ARBETSBLAD!Q11:Q30,ARBETSBLAD!$E$11:$E$30,$E118,ARBETSBLAD!$G$11:$G$30,$G118)*Q$57</f>
        <v>0</v>
      </c>
      <c r="R118" s="1369">
        <f>SUMIFS(ARBETSBLAD!R11:R30,ARBETSBLAD!$E$11:$E$30,$E118,ARBETSBLAD!$G$11:$G$30,$G118)*R$57</f>
        <v>0</v>
      </c>
      <c r="S118" s="1369">
        <f>SUMIFS(ARBETSBLAD!S11:S30,ARBETSBLAD!$E$11:$E$30,$E118,ARBETSBLAD!$G$11:$G$30,$G118)*S$57</f>
        <v>0</v>
      </c>
      <c r="T118" s="1369">
        <f>SUMIFS(ARBETSBLAD!T11:T30,ARBETSBLAD!$E$11:$E$30,$E118,ARBETSBLAD!$G$11:$G$30,$G118)*T$57</f>
        <v>0</v>
      </c>
      <c r="U118" s="1369">
        <f>SUMIFS(ARBETSBLAD!U11:U30,ARBETSBLAD!$E$11:$E$30,$E118,ARBETSBLAD!$G$11:$G$30,$G118)*U$57</f>
        <v>0</v>
      </c>
      <c r="V118" s="1369">
        <f>SUMIFS(ARBETSBLAD!V11:V30,ARBETSBLAD!$E$11:$E$30,$E118,ARBETSBLAD!$G$11:$G$30,$G118)*V$57</f>
        <v>0</v>
      </c>
      <c r="W118" s="1369">
        <f>SUMIFS(ARBETSBLAD!W11:W30,ARBETSBLAD!$E$11:$E$30,$E118,ARBETSBLAD!$G$11:$G$30,$G118)*W$57</f>
        <v>0</v>
      </c>
      <c r="X118" s="1369">
        <f>SUMIFS(ARBETSBLAD!X11:X30,ARBETSBLAD!$E$11:$E$30,$E118,ARBETSBLAD!$G$11:$G$30,$G118)*X$57</f>
        <v>0</v>
      </c>
      <c r="Y118" s="1369">
        <f>SUMIFS(ARBETSBLAD!Y11:Y30,ARBETSBLAD!$E$11:$E$30,$E118,ARBETSBLAD!$G$11:$G$30,$G118)*Y$57</f>
        <v>0</v>
      </c>
      <c r="Z118" s="1369">
        <f>SUMIFS(ARBETSBLAD!Z11:Z30,ARBETSBLAD!$E$11:$E$30,$E118,ARBETSBLAD!$G$11:$G$30,$G118)*Z$57</f>
        <v>0</v>
      </c>
      <c r="AA118" s="1369">
        <f>SUMIFS(ARBETSBLAD!AA11:AA30,ARBETSBLAD!$E$11:$E$30,$E118,ARBETSBLAD!$G$11:$G$30,$G118)*AA$57</f>
        <v>0</v>
      </c>
      <c r="AB118" s="1369">
        <f>SUMIFS(ARBETSBLAD!AB11:AB30,ARBETSBLAD!$E$11:$E$30,$E118,ARBETSBLAD!$G$11:$G$30,$G118)*AB$57</f>
        <v>0</v>
      </c>
      <c r="AC118" s="1369">
        <f>SUMIFS(ARBETSBLAD!AC11:AC30,ARBETSBLAD!$E$11:$E$30,$E118,ARBETSBLAD!$G$11:$G$30,$G118)*AC$57</f>
        <v>0</v>
      </c>
      <c r="AD118" s="1369">
        <f>SUMIFS(ARBETSBLAD!AD11:AD30,ARBETSBLAD!$E$11:$E$30,$E118,ARBETSBLAD!$G$11:$G$30,$G118)*AD$57</f>
        <v>0</v>
      </c>
      <c r="AE118" s="1369">
        <f>SUMIFS(ARBETSBLAD!AE11:AE30,ARBETSBLAD!$E$11:$E$30,$E118,ARBETSBLAD!$G$11:$G$30,$G118)*AE$57</f>
        <v>0</v>
      </c>
      <c r="AF118" s="1369">
        <f>SUMIFS(ARBETSBLAD!AF11:AF30,ARBETSBLAD!$E$11:$E$30,$E118,ARBETSBLAD!$G$11:$G$30,$G118)*AF$57</f>
        <v>0</v>
      </c>
      <c r="AH118" s="1370">
        <f t="shared" si="26"/>
        <v>0</v>
      </c>
      <c r="AI118" s="1371"/>
      <c r="AJ118" s="1370">
        <f t="shared" si="27"/>
        <v>0</v>
      </c>
      <c r="AL118" s="1356"/>
      <c r="AM118" s="1357"/>
      <c r="AN118" s="1358"/>
    </row>
    <row r="119" spans="1:40" s="1349" customFormat="1" ht="12.9" hidden="1" customHeight="1">
      <c r="A119" s="1270"/>
      <c r="B119" s="1363" t="s">
        <v>911</v>
      </c>
      <c r="C119" s="1364">
        <f t="shared" si="25"/>
        <v>450.06</v>
      </c>
      <c r="D119" s="1365"/>
      <c r="E119" s="1366" t="s">
        <v>910</v>
      </c>
      <c r="F119" s="1350">
        <v>450</v>
      </c>
      <c r="G119" s="1367">
        <f>$O$64</f>
        <v>0.06</v>
      </c>
      <c r="H119" s="1368">
        <f>$P$64</f>
        <v>0.06</v>
      </c>
      <c r="I119" s="1369">
        <f>SUMIFS(ARBETSBLAD!I11:I30,ARBETSBLAD!$E$11:$E$30,$E119,ARBETSBLAD!$G$11:$G$30,$G119)*I$57</f>
        <v>0</v>
      </c>
      <c r="J119" s="1369">
        <f>SUMIFS(ARBETSBLAD!J11:J30,ARBETSBLAD!$E$11:$E$30,$E119,ARBETSBLAD!$G$11:$G$30,$G119)*J$57</f>
        <v>0</v>
      </c>
      <c r="K119" s="1369">
        <f>SUMIFS(ARBETSBLAD!K11:K30,ARBETSBLAD!$E$11:$E$30,$E119,ARBETSBLAD!$G$11:$G$30,$G119)*K$57</f>
        <v>0</v>
      </c>
      <c r="L119" s="1369">
        <f>SUMIFS(ARBETSBLAD!L11:L30,ARBETSBLAD!$E$11:$E$30,$E119,ARBETSBLAD!$G$11:$G$30,$G119)*L$57</f>
        <v>0</v>
      </c>
      <c r="M119" s="1369">
        <f>SUMIFS(ARBETSBLAD!M11:M30,ARBETSBLAD!$E$11:$E$30,$E119,ARBETSBLAD!$G$11:$G$30,$G119)*M$57</f>
        <v>0</v>
      </c>
      <c r="N119" s="1369">
        <f>SUMIFS(ARBETSBLAD!N11:N30,ARBETSBLAD!$E$11:$E$30,$E119,ARBETSBLAD!$G$11:$G$30,$G119)*N$57</f>
        <v>0</v>
      </c>
      <c r="O119" s="1369">
        <f>SUMIFS(ARBETSBLAD!O11:O30,ARBETSBLAD!$E$11:$E$30,$E119,ARBETSBLAD!$G$11:$G$30,$G119)*O$57</f>
        <v>0</v>
      </c>
      <c r="P119" s="1369">
        <f>SUMIFS(ARBETSBLAD!P11:P30,ARBETSBLAD!$E$11:$E$30,$E119,ARBETSBLAD!$G$11:$G$30,$G119)*P$57</f>
        <v>0</v>
      </c>
      <c r="Q119" s="1369">
        <f>SUMIFS(ARBETSBLAD!Q11:Q30,ARBETSBLAD!$E$11:$E$30,$E119,ARBETSBLAD!$G$11:$G$30,$G119)*Q$57</f>
        <v>0</v>
      </c>
      <c r="R119" s="1369">
        <f>SUMIFS(ARBETSBLAD!R11:R30,ARBETSBLAD!$E$11:$E$30,$E119,ARBETSBLAD!$G$11:$G$30,$G119)*R$57</f>
        <v>0</v>
      </c>
      <c r="S119" s="1369">
        <f>SUMIFS(ARBETSBLAD!S11:S30,ARBETSBLAD!$E$11:$E$30,$E119,ARBETSBLAD!$G$11:$G$30,$G119)*S$57</f>
        <v>0</v>
      </c>
      <c r="T119" s="1369">
        <f>SUMIFS(ARBETSBLAD!T11:T30,ARBETSBLAD!$E$11:$E$30,$E119,ARBETSBLAD!$G$11:$G$30,$G119)*T$57</f>
        <v>0</v>
      </c>
      <c r="U119" s="1369">
        <f>SUMIFS(ARBETSBLAD!U11:U30,ARBETSBLAD!$E$11:$E$30,$E119,ARBETSBLAD!$G$11:$G$30,$G119)*U$57</f>
        <v>0</v>
      </c>
      <c r="V119" s="1369">
        <f>SUMIFS(ARBETSBLAD!V11:V30,ARBETSBLAD!$E$11:$E$30,$E119,ARBETSBLAD!$G$11:$G$30,$G119)*V$57</f>
        <v>0</v>
      </c>
      <c r="W119" s="1369">
        <f>SUMIFS(ARBETSBLAD!W11:W30,ARBETSBLAD!$E$11:$E$30,$E119,ARBETSBLAD!$G$11:$G$30,$G119)*W$57</f>
        <v>0</v>
      </c>
      <c r="X119" s="1369">
        <f>SUMIFS(ARBETSBLAD!X11:X30,ARBETSBLAD!$E$11:$E$30,$E119,ARBETSBLAD!$G$11:$G$30,$G119)*X$57</f>
        <v>0</v>
      </c>
      <c r="Y119" s="1369">
        <f>SUMIFS(ARBETSBLAD!Y11:Y30,ARBETSBLAD!$E$11:$E$30,$E119,ARBETSBLAD!$G$11:$G$30,$G119)*Y$57</f>
        <v>0</v>
      </c>
      <c r="Z119" s="1369">
        <f>SUMIFS(ARBETSBLAD!Z11:Z30,ARBETSBLAD!$E$11:$E$30,$E119,ARBETSBLAD!$G$11:$G$30,$G119)*Z$57</f>
        <v>0</v>
      </c>
      <c r="AA119" s="1369">
        <f>SUMIFS(ARBETSBLAD!AA11:AA30,ARBETSBLAD!$E$11:$E$30,$E119,ARBETSBLAD!$G$11:$G$30,$G119)*AA$57</f>
        <v>0</v>
      </c>
      <c r="AB119" s="1369">
        <f>SUMIFS(ARBETSBLAD!AB11:AB30,ARBETSBLAD!$E$11:$E$30,$E119,ARBETSBLAD!$G$11:$G$30,$G119)*AB$57</f>
        <v>0</v>
      </c>
      <c r="AC119" s="1369">
        <f>SUMIFS(ARBETSBLAD!AC11:AC30,ARBETSBLAD!$E$11:$E$30,$E119,ARBETSBLAD!$G$11:$G$30,$G119)*AC$57</f>
        <v>0</v>
      </c>
      <c r="AD119" s="1369">
        <f>SUMIFS(ARBETSBLAD!AD11:AD30,ARBETSBLAD!$E$11:$E$30,$E119,ARBETSBLAD!$G$11:$G$30,$G119)*AD$57</f>
        <v>0</v>
      </c>
      <c r="AE119" s="1369">
        <f>SUMIFS(ARBETSBLAD!AE11:AE30,ARBETSBLAD!$E$11:$E$30,$E119,ARBETSBLAD!$G$11:$G$30,$G119)*AE$57</f>
        <v>0</v>
      </c>
      <c r="AF119" s="1369">
        <f>SUMIFS(ARBETSBLAD!AF11:AF30,ARBETSBLAD!$E$11:$E$30,$E119,ARBETSBLAD!$G$11:$G$30,$G119)*AF$57</f>
        <v>0</v>
      </c>
      <c r="AH119" s="1370">
        <f t="shared" si="26"/>
        <v>0</v>
      </c>
      <c r="AI119" s="1371"/>
      <c r="AJ119" s="1370">
        <f t="shared" si="27"/>
        <v>0</v>
      </c>
      <c r="AL119" s="1356"/>
      <c r="AM119" s="1357"/>
      <c r="AN119" s="1358"/>
    </row>
    <row r="120" spans="1:40" s="1349" customFormat="1" ht="12.9" hidden="1" customHeight="1">
      <c r="A120" s="1270"/>
      <c r="B120" s="1363" t="s">
        <v>908</v>
      </c>
      <c r="C120" s="1364">
        <f t="shared" si="25"/>
        <v>100.12</v>
      </c>
      <c r="D120" s="1365"/>
      <c r="E120" s="1366" t="s">
        <v>907</v>
      </c>
      <c r="F120" s="1350">
        <v>100</v>
      </c>
      <c r="G120" s="1367">
        <f>$O$65</f>
        <v>0.12</v>
      </c>
      <c r="H120" s="1368">
        <f>$P$65</f>
        <v>0.12</v>
      </c>
      <c r="I120" s="1369">
        <f>SUMIFS(ARBETSBLAD!I11:I30,ARBETSBLAD!$E$11:$E$30,$E120,ARBETSBLAD!$G$11:$G$30,$G120)*I$57</f>
        <v>0</v>
      </c>
      <c r="J120" s="1369">
        <f>SUMIFS(ARBETSBLAD!J11:J30,ARBETSBLAD!$E$11:$E$30,$E120,ARBETSBLAD!$G$11:$G$30,$G120)*J$57</f>
        <v>0</v>
      </c>
      <c r="K120" s="1369">
        <f>SUMIFS(ARBETSBLAD!K11:K30,ARBETSBLAD!$E$11:$E$30,$E120,ARBETSBLAD!$G$11:$G$30,$G120)*K$57</f>
        <v>0</v>
      </c>
      <c r="L120" s="1369">
        <f>SUMIFS(ARBETSBLAD!L11:L30,ARBETSBLAD!$E$11:$E$30,$E120,ARBETSBLAD!$G$11:$G$30,$G120)*L$57</f>
        <v>0</v>
      </c>
      <c r="M120" s="1369">
        <f>SUMIFS(ARBETSBLAD!M11:M30,ARBETSBLAD!$E$11:$E$30,$E120,ARBETSBLAD!$G$11:$G$30,$G120)*M$57</f>
        <v>0</v>
      </c>
      <c r="N120" s="1369">
        <f>SUMIFS(ARBETSBLAD!N11:N30,ARBETSBLAD!$E$11:$E$30,$E120,ARBETSBLAD!$G$11:$G$30,$G120)*N$57</f>
        <v>0</v>
      </c>
      <c r="O120" s="1369">
        <f>SUMIFS(ARBETSBLAD!O11:O30,ARBETSBLAD!$E$11:$E$30,$E120,ARBETSBLAD!$G$11:$G$30,$G120)*O$57</f>
        <v>0</v>
      </c>
      <c r="P120" s="1369">
        <f>SUMIFS(ARBETSBLAD!P11:P30,ARBETSBLAD!$E$11:$E$30,$E120,ARBETSBLAD!$G$11:$G$30,$G120)*P$57</f>
        <v>0</v>
      </c>
      <c r="Q120" s="1369">
        <f>SUMIFS(ARBETSBLAD!Q11:Q30,ARBETSBLAD!$E$11:$E$30,$E120,ARBETSBLAD!$G$11:$G$30,$G120)*Q$57</f>
        <v>0</v>
      </c>
      <c r="R120" s="1369">
        <f>SUMIFS(ARBETSBLAD!R11:R30,ARBETSBLAD!$E$11:$E$30,$E120,ARBETSBLAD!$G$11:$G$30,$G120)*R$57</f>
        <v>0</v>
      </c>
      <c r="S120" s="1369">
        <f>SUMIFS(ARBETSBLAD!S11:S30,ARBETSBLAD!$E$11:$E$30,$E120,ARBETSBLAD!$G$11:$G$30,$G120)*S$57</f>
        <v>0</v>
      </c>
      <c r="T120" s="1369">
        <f>SUMIFS(ARBETSBLAD!T11:T30,ARBETSBLAD!$E$11:$E$30,$E120,ARBETSBLAD!$G$11:$G$30,$G120)*T$57</f>
        <v>0</v>
      </c>
      <c r="U120" s="1369">
        <f>SUMIFS(ARBETSBLAD!U11:U30,ARBETSBLAD!$E$11:$E$30,$E120,ARBETSBLAD!$G$11:$G$30,$G120)*U$57</f>
        <v>0</v>
      </c>
      <c r="V120" s="1369">
        <f>SUMIFS(ARBETSBLAD!V11:V30,ARBETSBLAD!$E$11:$E$30,$E120,ARBETSBLAD!$G$11:$G$30,$G120)*V$57</f>
        <v>0</v>
      </c>
      <c r="W120" s="1369">
        <f>SUMIFS(ARBETSBLAD!W11:W30,ARBETSBLAD!$E$11:$E$30,$E120,ARBETSBLAD!$G$11:$G$30,$G120)*W$57</f>
        <v>0</v>
      </c>
      <c r="X120" s="1369">
        <f>SUMIFS(ARBETSBLAD!X11:X30,ARBETSBLAD!$E$11:$E$30,$E120,ARBETSBLAD!$G$11:$G$30,$G120)*X$57</f>
        <v>0</v>
      </c>
      <c r="Y120" s="1369">
        <f>SUMIFS(ARBETSBLAD!Y11:Y30,ARBETSBLAD!$E$11:$E$30,$E120,ARBETSBLAD!$G$11:$G$30,$G120)*Y$57</f>
        <v>0</v>
      </c>
      <c r="Z120" s="1369">
        <f>SUMIFS(ARBETSBLAD!Z11:Z30,ARBETSBLAD!$E$11:$E$30,$E120,ARBETSBLAD!$G$11:$G$30,$G120)*Z$57</f>
        <v>0</v>
      </c>
      <c r="AA120" s="1369">
        <f>SUMIFS(ARBETSBLAD!AA11:AA30,ARBETSBLAD!$E$11:$E$30,$E120,ARBETSBLAD!$G$11:$G$30,$G120)*AA$57</f>
        <v>0</v>
      </c>
      <c r="AB120" s="1369">
        <f>SUMIFS(ARBETSBLAD!AB11:AB30,ARBETSBLAD!$E$11:$E$30,$E120,ARBETSBLAD!$G$11:$G$30,$G120)*AB$57</f>
        <v>0</v>
      </c>
      <c r="AC120" s="1369">
        <f>SUMIFS(ARBETSBLAD!AC11:AC30,ARBETSBLAD!$E$11:$E$30,$E120,ARBETSBLAD!$G$11:$G$30,$G120)*AC$57</f>
        <v>0</v>
      </c>
      <c r="AD120" s="1369">
        <f>SUMIFS(ARBETSBLAD!AD11:AD30,ARBETSBLAD!$E$11:$E$30,$E120,ARBETSBLAD!$G$11:$G$30,$G120)*AD$57</f>
        <v>0</v>
      </c>
      <c r="AE120" s="1369">
        <f>SUMIFS(ARBETSBLAD!AE11:AE30,ARBETSBLAD!$E$11:$E$30,$E120,ARBETSBLAD!$G$11:$G$30,$G120)*AE$57</f>
        <v>0</v>
      </c>
      <c r="AF120" s="1369">
        <f>SUMIFS(ARBETSBLAD!AF11:AF30,ARBETSBLAD!$E$11:$E$30,$E120,ARBETSBLAD!$G$11:$G$30,$G120)*AF$57</f>
        <v>0</v>
      </c>
      <c r="AH120" s="1370">
        <f t="shared" si="26"/>
        <v>0</v>
      </c>
      <c r="AI120" s="1371"/>
      <c r="AJ120" s="1370">
        <f t="shared" si="27"/>
        <v>0</v>
      </c>
      <c r="AL120" s="1356"/>
      <c r="AM120" s="1357"/>
      <c r="AN120" s="1358"/>
    </row>
    <row r="121" spans="1:40" s="1349" customFormat="1" ht="12.9" hidden="1" customHeight="1">
      <c r="A121" s="1270"/>
      <c r="B121" s="1363" t="s">
        <v>909</v>
      </c>
      <c r="C121" s="1364">
        <f t="shared" si="25"/>
        <v>200.12</v>
      </c>
      <c r="D121" s="1365"/>
      <c r="E121" s="1366" t="s">
        <v>912</v>
      </c>
      <c r="F121" s="1350">
        <v>200</v>
      </c>
      <c r="G121" s="1367">
        <f>$O$65</f>
        <v>0.12</v>
      </c>
      <c r="H121" s="1368">
        <f>$P$65</f>
        <v>0.12</v>
      </c>
      <c r="I121" s="1369">
        <f>SUMIFS(ARBETSBLAD!I11:I30,ARBETSBLAD!$E$11:$E$30,$E121,ARBETSBLAD!$G$11:$G$30,$G121)*I$57</f>
        <v>0</v>
      </c>
      <c r="J121" s="1369">
        <f>SUMIFS(ARBETSBLAD!J11:J30,ARBETSBLAD!$E$11:$E$30,$E121,ARBETSBLAD!$G$11:$G$30,$G121)*J$57</f>
        <v>0</v>
      </c>
      <c r="K121" s="1369">
        <f>SUMIFS(ARBETSBLAD!K11:K30,ARBETSBLAD!$E$11:$E$30,$E121,ARBETSBLAD!$G$11:$G$30,$G121)*K$57</f>
        <v>0</v>
      </c>
      <c r="L121" s="1369">
        <f>SUMIFS(ARBETSBLAD!L11:L30,ARBETSBLAD!$E$11:$E$30,$E121,ARBETSBLAD!$G$11:$G$30,$G121)*L$57</f>
        <v>0</v>
      </c>
      <c r="M121" s="1369">
        <f>SUMIFS(ARBETSBLAD!M11:M30,ARBETSBLAD!$E$11:$E$30,$E121,ARBETSBLAD!$G$11:$G$30,$G121)*M$57</f>
        <v>0</v>
      </c>
      <c r="N121" s="1369">
        <f>SUMIFS(ARBETSBLAD!N11:N30,ARBETSBLAD!$E$11:$E$30,$E121,ARBETSBLAD!$G$11:$G$30,$G121)*N$57</f>
        <v>0</v>
      </c>
      <c r="O121" s="1369">
        <f>SUMIFS(ARBETSBLAD!O11:O30,ARBETSBLAD!$E$11:$E$30,$E121,ARBETSBLAD!$G$11:$G$30,$G121)*O$57</f>
        <v>0</v>
      </c>
      <c r="P121" s="1369">
        <f>SUMIFS(ARBETSBLAD!P11:P30,ARBETSBLAD!$E$11:$E$30,$E121,ARBETSBLAD!$G$11:$G$30,$G121)*P$57</f>
        <v>0</v>
      </c>
      <c r="Q121" s="1369">
        <f>SUMIFS(ARBETSBLAD!Q11:Q30,ARBETSBLAD!$E$11:$E$30,$E121,ARBETSBLAD!$G$11:$G$30,$G121)*Q$57</f>
        <v>0</v>
      </c>
      <c r="R121" s="1369">
        <f>SUMIFS(ARBETSBLAD!R11:R30,ARBETSBLAD!$E$11:$E$30,$E121,ARBETSBLAD!$G$11:$G$30,$G121)*R$57</f>
        <v>0</v>
      </c>
      <c r="S121" s="1369">
        <f>SUMIFS(ARBETSBLAD!S11:S30,ARBETSBLAD!$E$11:$E$30,$E121,ARBETSBLAD!$G$11:$G$30,$G121)*S$57</f>
        <v>0</v>
      </c>
      <c r="T121" s="1369">
        <f>SUMIFS(ARBETSBLAD!T11:T30,ARBETSBLAD!$E$11:$E$30,$E121,ARBETSBLAD!$G$11:$G$30,$G121)*T$57</f>
        <v>0</v>
      </c>
      <c r="U121" s="1369">
        <f>SUMIFS(ARBETSBLAD!U11:U30,ARBETSBLAD!$E$11:$E$30,$E121,ARBETSBLAD!$G$11:$G$30,$G121)*U$57</f>
        <v>0</v>
      </c>
      <c r="V121" s="1369">
        <f>SUMIFS(ARBETSBLAD!V11:V30,ARBETSBLAD!$E$11:$E$30,$E121,ARBETSBLAD!$G$11:$G$30,$G121)*V$57</f>
        <v>0</v>
      </c>
      <c r="W121" s="1369">
        <f>SUMIFS(ARBETSBLAD!W11:W30,ARBETSBLAD!$E$11:$E$30,$E121,ARBETSBLAD!$G$11:$G$30,$G121)*W$57</f>
        <v>0</v>
      </c>
      <c r="X121" s="1369">
        <f>SUMIFS(ARBETSBLAD!X11:X30,ARBETSBLAD!$E$11:$E$30,$E121,ARBETSBLAD!$G$11:$G$30,$G121)*X$57</f>
        <v>0</v>
      </c>
      <c r="Y121" s="1369">
        <f>SUMIFS(ARBETSBLAD!Y11:Y30,ARBETSBLAD!$E$11:$E$30,$E121,ARBETSBLAD!$G$11:$G$30,$G121)*Y$57</f>
        <v>0</v>
      </c>
      <c r="Z121" s="1369">
        <f>SUMIFS(ARBETSBLAD!Z11:Z30,ARBETSBLAD!$E$11:$E$30,$E121,ARBETSBLAD!$G$11:$G$30,$G121)*Z$57</f>
        <v>0</v>
      </c>
      <c r="AA121" s="1369">
        <f>SUMIFS(ARBETSBLAD!AA11:AA30,ARBETSBLAD!$E$11:$E$30,$E121,ARBETSBLAD!$G$11:$G$30,$G121)*AA$57</f>
        <v>0</v>
      </c>
      <c r="AB121" s="1369">
        <f>SUMIFS(ARBETSBLAD!AB11:AB30,ARBETSBLAD!$E$11:$E$30,$E121,ARBETSBLAD!$G$11:$G$30,$G121)*AB$57</f>
        <v>0</v>
      </c>
      <c r="AC121" s="1369">
        <f>SUMIFS(ARBETSBLAD!AC11:AC30,ARBETSBLAD!$E$11:$E$30,$E121,ARBETSBLAD!$G$11:$G$30,$G121)*AC$57</f>
        <v>0</v>
      </c>
      <c r="AD121" s="1369">
        <f>SUMIFS(ARBETSBLAD!AD11:AD30,ARBETSBLAD!$E$11:$E$30,$E121,ARBETSBLAD!$G$11:$G$30,$G121)*AD$57</f>
        <v>0</v>
      </c>
      <c r="AE121" s="1369">
        <f>SUMIFS(ARBETSBLAD!AE11:AE30,ARBETSBLAD!$E$11:$E$30,$E121,ARBETSBLAD!$G$11:$G$30,$G121)*AE$57</f>
        <v>0</v>
      </c>
      <c r="AF121" s="1369">
        <f>SUMIFS(ARBETSBLAD!AF11:AF30,ARBETSBLAD!$E$11:$E$30,$E121,ARBETSBLAD!$G$11:$G$30,$G121)*AF$57</f>
        <v>0</v>
      </c>
      <c r="AH121" s="1370">
        <f t="shared" si="26"/>
        <v>0</v>
      </c>
      <c r="AI121" s="1371"/>
      <c r="AJ121" s="1370">
        <f t="shared" si="27"/>
        <v>0</v>
      </c>
      <c r="AL121" s="1356"/>
      <c r="AM121" s="1357"/>
      <c r="AN121" s="1358"/>
    </row>
    <row r="122" spans="1:40" s="1349" customFormat="1" ht="12.9" hidden="1" customHeight="1">
      <c r="A122" s="1270"/>
      <c r="B122" s="1363" t="s">
        <v>911</v>
      </c>
      <c r="C122" s="1364">
        <f t="shared" si="25"/>
        <v>450.12</v>
      </c>
      <c r="D122" s="1365"/>
      <c r="E122" s="1366" t="s">
        <v>910</v>
      </c>
      <c r="F122" s="1350">
        <v>450</v>
      </c>
      <c r="G122" s="1367">
        <f>$O$65</f>
        <v>0.12</v>
      </c>
      <c r="H122" s="1368">
        <f>$P$65</f>
        <v>0.12</v>
      </c>
      <c r="I122" s="1369">
        <f>SUMIFS(ARBETSBLAD!I11:I30,ARBETSBLAD!$E$11:$E$30,$E122,ARBETSBLAD!$G$11:$G$30,$G122)*I$57</f>
        <v>0</v>
      </c>
      <c r="J122" s="1369">
        <f>SUMIFS(ARBETSBLAD!J11:J30,ARBETSBLAD!$E$11:$E$30,$E122,ARBETSBLAD!$G$11:$G$30,$G122)*J$57</f>
        <v>0</v>
      </c>
      <c r="K122" s="1369">
        <f>SUMIFS(ARBETSBLAD!K11:K30,ARBETSBLAD!$E$11:$E$30,$E122,ARBETSBLAD!$G$11:$G$30,$G122)*K$57</f>
        <v>0</v>
      </c>
      <c r="L122" s="1369">
        <f>SUMIFS(ARBETSBLAD!L11:L30,ARBETSBLAD!$E$11:$E$30,$E122,ARBETSBLAD!$G$11:$G$30,$G122)*L$57</f>
        <v>0</v>
      </c>
      <c r="M122" s="1369">
        <f>SUMIFS(ARBETSBLAD!M11:M30,ARBETSBLAD!$E$11:$E$30,$E122,ARBETSBLAD!$G$11:$G$30,$G122)*M$57</f>
        <v>0</v>
      </c>
      <c r="N122" s="1369">
        <f>SUMIFS(ARBETSBLAD!N11:N30,ARBETSBLAD!$E$11:$E$30,$E122,ARBETSBLAD!$G$11:$G$30,$G122)*N$57</f>
        <v>0</v>
      </c>
      <c r="O122" s="1369">
        <f>SUMIFS(ARBETSBLAD!O11:O30,ARBETSBLAD!$E$11:$E$30,$E122,ARBETSBLAD!$G$11:$G$30,$G122)*O$57</f>
        <v>0</v>
      </c>
      <c r="P122" s="1369">
        <f>SUMIFS(ARBETSBLAD!P11:P30,ARBETSBLAD!$E$11:$E$30,$E122,ARBETSBLAD!$G$11:$G$30,$G122)*P$57</f>
        <v>0</v>
      </c>
      <c r="Q122" s="1369">
        <f>SUMIFS(ARBETSBLAD!Q11:Q30,ARBETSBLAD!$E$11:$E$30,$E122,ARBETSBLAD!$G$11:$G$30,$G122)*Q$57</f>
        <v>0</v>
      </c>
      <c r="R122" s="1369">
        <f>SUMIFS(ARBETSBLAD!R11:R30,ARBETSBLAD!$E$11:$E$30,$E122,ARBETSBLAD!$G$11:$G$30,$G122)*R$57</f>
        <v>0</v>
      </c>
      <c r="S122" s="1369">
        <f>SUMIFS(ARBETSBLAD!S11:S30,ARBETSBLAD!$E$11:$E$30,$E122,ARBETSBLAD!$G$11:$G$30,$G122)*S$57</f>
        <v>0</v>
      </c>
      <c r="T122" s="1369">
        <f>SUMIFS(ARBETSBLAD!T11:T30,ARBETSBLAD!$E$11:$E$30,$E122,ARBETSBLAD!$G$11:$G$30,$G122)*T$57</f>
        <v>0</v>
      </c>
      <c r="U122" s="1369">
        <f>SUMIFS(ARBETSBLAD!U11:U30,ARBETSBLAD!$E$11:$E$30,$E122,ARBETSBLAD!$G$11:$G$30,$G122)*U$57</f>
        <v>0</v>
      </c>
      <c r="V122" s="1369">
        <f>SUMIFS(ARBETSBLAD!V11:V30,ARBETSBLAD!$E$11:$E$30,$E122,ARBETSBLAD!$G$11:$G$30,$G122)*V$57</f>
        <v>0</v>
      </c>
      <c r="W122" s="1369">
        <f>SUMIFS(ARBETSBLAD!W11:W30,ARBETSBLAD!$E$11:$E$30,$E122,ARBETSBLAD!$G$11:$G$30,$G122)*W$57</f>
        <v>0</v>
      </c>
      <c r="X122" s="1369">
        <f>SUMIFS(ARBETSBLAD!X11:X30,ARBETSBLAD!$E$11:$E$30,$E122,ARBETSBLAD!$G$11:$G$30,$G122)*X$57</f>
        <v>0</v>
      </c>
      <c r="Y122" s="1369">
        <f>SUMIFS(ARBETSBLAD!Y11:Y30,ARBETSBLAD!$E$11:$E$30,$E122,ARBETSBLAD!$G$11:$G$30,$G122)*Y$57</f>
        <v>0</v>
      </c>
      <c r="Z122" s="1369">
        <f>SUMIFS(ARBETSBLAD!Z11:Z30,ARBETSBLAD!$E$11:$E$30,$E122,ARBETSBLAD!$G$11:$G$30,$G122)*Z$57</f>
        <v>0</v>
      </c>
      <c r="AA122" s="1369">
        <f>SUMIFS(ARBETSBLAD!AA11:AA30,ARBETSBLAD!$E$11:$E$30,$E122,ARBETSBLAD!$G$11:$G$30,$G122)*AA$57</f>
        <v>0</v>
      </c>
      <c r="AB122" s="1369">
        <f>SUMIFS(ARBETSBLAD!AB11:AB30,ARBETSBLAD!$E$11:$E$30,$E122,ARBETSBLAD!$G$11:$G$30,$G122)*AB$57</f>
        <v>0</v>
      </c>
      <c r="AC122" s="1369">
        <f>SUMIFS(ARBETSBLAD!AC11:AC30,ARBETSBLAD!$E$11:$E$30,$E122,ARBETSBLAD!$G$11:$G$30,$G122)*AC$57</f>
        <v>0</v>
      </c>
      <c r="AD122" s="1369">
        <f>SUMIFS(ARBETSBLAD!AD11:AD30,ARBETSBLAD!$E$11:$E$30,$E122,ARBETSBLAD!$G$11:$G$30,$G122)*AD$57</f>
        <v>0</v>
      </c>
      <c r="AE122" s="1369">
        <f>SUMIFS(ARBETSBLAD!AE11:AE30,ARBETSBLAD!$E$11:$E$30,$E122,ARBETSBLAD!$G$11:$G$30,$G122)*AE$57</f>
        <v>0</v>
      </c>
      <c r="AF122" s="1369">
        <f>SUMIFS(ARBETSBLAD!AF11:AF30,ARBETSBLAD!$E$11:$E$30,$E122,ARBETSBLAD!$G$11:$G$30,$G122)*AF$57</f>
        <v>0</v>
      </c>
      <c r="AH122" s="1370">
        <f t="shared" si="26"/>
        <v>0</v>
      </c>
      <c r="AI122" s="1371"/>
      <c r="AJ122" s="1370">
        <f t="shared" si="27"/>
        <v>0</v>
      </c>
      <c r="AL122" s="1356"/>
      <c r="AM122" s="1357"/>
      <c r="AN122" s="1358"/>
    </row>
    <row r="123" spans="1:40" s="1349" customFormat="1" ht="12.9" hidden="1" customHeight="1">
      <c r="A123" s="1270"/>
      <c r="B123" s="1363" t="s">
        <v>908</v>
      </c>
      <c r="C123" s="1364">
        <f t="shared" si="25"/>
        <v>100.25</v>
      </c>
      <c r="D123" s="1365"/>
      <c r="E123" s="1366" t="s">
        <v>907</v>
      </c>
      <c r="F123" s="1350">
        <v>100</v>
      </c>
      <c r="G123" s="1367">
        <f>$O$66</f>
        <v>0.25</v>
      </c>
      <c r="H123" s="1368">
        <f>$P$66</f>
        <v>0.25</v>
      </c>
      <c r="I123" s="1369">
        <f>SUMIFS(ARBETSBLAD!I11:I30,ARBETSBLAD!$E$11:$E$30,$E123,ARBETSBLAD!$G$11:$G$30,$G123)*I$57</f>
        <v>0</v>
      </c>
      <c r="J123" s="1369">
        <f>SUMIFS(ARBETSBLAD!J11:J30,ARBETSBLAD!$E$11:$E$30,$E123,ARBETSBLAD!$G$11:$G$30,$G123)*J$57</f>
        <v>0</v>
      </c>
      <c r="K123" s="1369">
        <f>SUMIFS(ARBETSBLAD!K11:K30,ARBETSBLAD!$E$11:$E$30,$E123,ARBETSBLAD!$G$11:$G$30,$G123)*K$57</f>
        <v>0</v>
      </c>
      <c r="L123" s="1369">
        <f>SUMIFS(ARBETSBLAD!L11:L30,ARBETSBLAD!$E$11:$E$30,$E123,ARBETSBLAD!$G$11:$G$30,$G123)*L$57</f>
        <v>0</v>
      </c>
      <c r="M123" s="1369">
        <f>SUMIFS(ARBETSBLAD!M11:M30,ARBETSBLAD!$E$11:$E$30,$E123,ARBETSBLAD!$G$11:$G$30,$G123)*M$57</f>
        <v>0</v>
      </c>
      <c r="N123" s="1369">
        <f>SUMIFS(ARBETSBLAD!N11:N30,ARBETSBLAD!$E$11:$E$30,$E123,ARBETSBLAD!$G$11:$G$30,$G123)*N$57</f>
        <v>0</v>
      </c>
      <c r="O123" s="1369">
        <f>SUMIFS(ARBETSBLAD!O11:O30,ARBETSBLAD!$E$11:$E$30,$E123,ARBETSBLAD!$G$11:$G$30,$G123)*O$57</f>
        <v>0</v>
      </c>
      <c r="P123" s="1369">
        <f>SUMIFS(ARBETSBLAD!P11:P30,ARBETSBLAD!$E$11:$E$30,$E123,ARBETSBLAD!$G$11:$G$30,$G123)*P$57</f>
        <v>0</v>
      </c>
      <c r="Q123" s="1369">
        <f>SUMIFS(ARBETSBLAD!Q11:Q30,ARBETSBLAD!$E$11:$E$30,$E123,ARBETSBLAD!$G$11:$G$30,$G123)*Q$57</f>
        <v>0</v>
      </c>
      <c r="R123" s="1369">
        <f>SUMIFS(ARBETSBLAD!R11:R30,ARBETSBLAD!$E$11:$E$30,$E123,ARBETSBLAD!$G$11:$G$30,$G123)*R$57</f>
        <v>0</v>
      </c>
      <c r="S123" s="1369">
        <f>SUMIFS(ARBETSBLAD!S11:S30,ARBETSBLAD!$E$11:$E$30,$E123,ARBETSBLAD!$G$11:$G$30,$G123)*S$57</f>
        <v>0</v>
      </c>
      <c r="T123" s="1369">
        <f>SUMIFS(ARBETSBLAD!T11:T30,ARBETSBLAD!$E$11:$E$30,$E123,ARBETSBLAD!$G$11:$G$30,$G123)*T$57</f>
        <v>0</v>
      </c>
      <c r="U123" s="1369">
        <f>SUMIFS(ARBETSBLAD!U11:U30,ARBETSBLAD!$E$11:$E$30,$E123,ARBETSBLAD!$G$11:$G$30,$G123)*U$57</f>
        <v>0</v>
      </c>
      <c r="V123" s="1369">
        <f>SUMIFS(ARBETSBLAD!V11:V30,ARBETSBLAD!$E$11:$E$30,$E123,ARBETSBLAD!$G$11:$G$30,$G123)*V$57</f>
        <v>0</v>
      </c>
      <c r="W123" s="1369">
        <f>SUMIFS(ARBETSBLAD!W11:W30,ARBETSBLAD!$E$11:$E$30,$E123,ARBETSBLAD!$G$11:$G$30,$G123)*W$57</f>
        <v>0</v>
      </c>
      <c r="X123" s="1369">
        <f>SUMIFS(ARBETSBLAD!X11:X30,ARBETSBLAD!$E$11:$E$30,$E123,ARBETSBLAD!$G$11:$G$30,$G123)*X$57</f>
        <v>0</v>
      </c>
      <c r="Y123" s="1369">
        <f>SUMIFS(ARBETSBLAD!Y11:Y30,ARBETSBLAD!$E$11:$E$30,$E123,ARBETSBLAD!$G$11:$G$30,$G123)*Y$57</f>
        <v>0</v>
      </c>
      <c r="Z123" s="1369">
        <f>SUMIFS(ARBETSBLAD!Z11:Z30,ARBETSBLAD!$E$11:$E$30,$E123,ARBETSBLAD!$G$11:$G$30,$G123)*Z$57</f>
        <v>0</v>
      </c>
      <c r="AA123" s="1369">
        <f>SUMIFS(ARBETSBLAD!AA11:AA30,ARBETSBLAD!$E$11:$E$30,$E123,ARBETSBLAD!$G$11:$G$30,$G123)*AA$57</f>
        <v>0</v>
      </c>
      <c r="AB123" s="1369">
        <f>SUMIFS(ARBETSBLAD!AB11:AB30,ARBETSBLAD!$E$11:$E$30,$E123,ARBETSBLAD!$G$11:$G$30,$G123)*AB$57</f>
        <v>0</v>
      </c>
      <c r="AC123" s="1369">
        <f>SUMIFS(ARBETSBLAD!AC11:AC30,ARBETSBLAD!$E$11:$E$30,$E123,ARBETSBLAD!$G$11:$G$30,$G123)*AC$57</f>
        <v>0</v>
      </c>
      <c r="AD123" s="1369">
        <f>SUMIFS(ARBETSBLAD!AD11:AD30,ARBETSBLAD!$E$11:$E$30,$E123,ARBETSBLAD!$G$11:$G$30,$G123)*AD$57</f>
        <v>0</v>
      </c>
      <c r="AE123" s="1369">
        <f>SUMIFS(ARBETSBLAD!AE11:AE30,ARBETSBLAD!$E$11:$E$30,$E123,ARBETSBLAD!$G$11:$G$30,$G123)*AE$57</f>
        <v>0</v>
      </c>
      <c r="AF123" s="1369">
        <f>SUMIFS(ARBETSBLAD!AF11:AF30,ARBETSBLAD!$E$11:$E$30,$E123,ARBETSBLAD!$G$11:$G$30,$G123)*AF$57</f>
        <v>0</v>
      </c>
      <c r="AH123" s="1370">
        <f t="shared" si="26"/>
        <v>0</v>
      </c>
      <c r="AI123" s="1371"/>
      <c r="AJ123" s="1370">
        <f t="shared" si="27"/>
        <v>0</v>
      </c>
      <c r="AL123" s="1356"/>
      <c r="AM123" s="1357"/>
      <c r="AN123" s="1358"/>
    </row>
    <row r="124" spans="1:40" s="1349" customFormat="1" ht="12.9" hidden="1" customHeight="1">
      <c r="A124" s="1270"/>
      <c r="B124" s="1363" t="s">
        <v>909</v>
      </c>
      <c r="C124" s="1364">
        <f t="shared" si="25"/>
        <v>200.25</v>
      </c>
      <c r="D124" s="1365"/>
      <c r="E124" s="1366" t="s">
        <v>912</v>
      </c>
      <c r="F124" s="1350">
        <v>200</v>
      </c>
      <c r="G124" s="1367">
        <f>$O$66</f>
        <v>0.25</v>
      </c>
      <c r="H124" s="1368">
        <f>$P$66</f>
        <v>0.25</v>
      </c>
      <c r="I124" s="1369">
        <f>SUMIFS(ARBETSBLAD!I11:I30,ARBETSBLAD!$E$11:$E$30,$E124,ARBETSBLAD!$G$11:$G$30,$G124)*I$57</f>
        <v>0</v>
      </c>
      <c r="J124" s="1369">
        <f>SUMIFS(ARBETSBLAD!J11:J30,ARBETSBLAD!$E$11:$E$30,$E124,ARBETSBLAD!$G$11:$G$30,$G124)*J$57</f>
        <v>0</v>
      </c>
      <c r="K124" s="1369">
        <f>SUMIFS(ARBETSBLAD!K11:K30,ARBETSBLAD!$E$11:$E$30,$E124,ARBETSBLAD!$G$11:$G$30,$G124)*K$57</f>
        <v>0</v>
      </c>
      <c r="L124" s="1369">
        <f>SUMIFS(ARBETSBLAD!L11:L30,ARBETSBLAD!$E$11:$E$30,$E124,ARBETSBLAD!$G$11:$G$30,$G124)*L$57</f>
        <v>0</v>
      </c>
      <c r="M124" s="1369">
        <f>SUMIFS(ARBETSBLAD!M11:M30,ARBETSBLAD!$E$11:$E$30,$E124,ARBETSBLAD!$G$11:$G$30,$G124)*M$57</f>
        <v>0</v>
      </c>
      <c r="N124" s="1369">
        <f>SUMIFS(ARBETSBLAD!N11:N30,ARBETSBLAD!$E$11:$E$30,$E124,ARBETSBLAD!$G$11:$G$30,$G124)*N$57</f>
        <v>0</v>
      </c>
      <c r="O124" s="1369">
        <f>SUMIFS(ARBETSBLAD!O11:O30,ARBETSBLAD!$E$11:$E$30,$E124,ARBETSBLAD!$G$11:$G$30,$G124)*O$57</f>
        <v>0</v>
      </c>
      <c r="P124" s="1369">
        <f>SUMIFS(ARBETSBLAD!P11:P30,ARBETSBLAD!$E$11:$E$30,$E124,ARBETSBLAD!$G$11:$G$30,$G124)*P$57</f>
        <v>0</v>
      </c>
      <c r="Q124" s="1369">
        <f>SUMIFS(ARBETSBLAD!Q11:Q30,ARBETSBLAD!$E$11:$E$30,$E124,ARBETSBLAD!$G$11:$G$30,$G124)*Q$57</f>
        <v>0</v>
      </c>
      <c r="R124" s="1369">
        <f>SUMIFS(ARBETSBLAD!R11:R30,ARBETSBLAD!$E$11:$E$30,$E124,ARBETSBLAD!$G$11:$G$30,$G124)*R$57</f>
        <v>0</v>
      </c>
      <c r="S124" s="1369">
        <f>SUMIFS(ARBETSBLAD!S11:S30,ARBETSBLAD!$E$11:$E$30,$E124,ARBETSBLAD!$G$11:$G$30,$G124)*S$57</f>
        <v>0</v>
      </c>
      <c r="T124" s="1369">
        <f>SUMIFS(ARBETSBLAD!T11:T30,ARBETSBLAD!$E$11:$E$30,$E124,ARBETSBLAD!$G$11:$G$30,$G124)*T$57</f>
        <v>0</v>
      </c>
      <c r="U124" s="1369">
        <f>SUMIFS(ARBETSBLAD!U11:U30,ARBETSBLAD!$E$11:$E$30,$E124,ARBETSBLAD!$G$11:$G$30,$G124)*U$57</f>
        <v>0</v>
      </c>
      <c r="V124" s="1369">
        <f>SUMIFS(ARBETSBLAD!V11:V30,ARBETSBLAD!$E$11:$E$30,$E124,ARBETSBLAD!$G$11:$G$30,$G124)*V$57</f>
        <v>0</v>
      </c>
      <c r="W124" s="1369">
        <f>SUMIFS(ARBETSBLAD!W11:W30,ARBETSBLAD!$E$11:$E$30,$E124,ARBETSBLAD!$G$11:$G$30,$G124)*W$57</f>
        <v>0</v>
      </c>
      <c r="X124" s="1369">
        <f>SUMIFS(ARBETSBLAD!X11:X30,ARBETSBLAD!$E$11:$E$30,$E124,ARBETSBLAD!$G$11:$G$30,$G124)*X$57</f>
        <v>0</v>
      </c>
      <c r="Y124" s="1369">
        <f>SUMIFS(ARBETSBLAD!Y11:Y30,ARBETSBLAD!$E$11:$E$30,$E124,ARBETSBLAD!$G$11:$G$30,$G124)*Y$57</f>
        <v>0</v>
      </c>
      <c r="Z124" s="1369">
        <f>SUMIFS(ARBETSBLAD!Z11:Z30,ARBETSBLAD!$E$11:$E$30,$E124,ARBETSBLAD!$G$11:$G$30,$G124)*Z$57</f>
        <v>0</v>
      </c>
      <c r="AA124" s="1369">
        <f>SUMIFS(ARBETSBLAD!AA11:AA30,ARBETSBLAD!$E$11:$E$30,$E124,ARBETSBLAD!$G$11:$G$30,$G124)*AA$57</f>
        <v>0</v>
      </c>
      <c r="AB124" s="1369">
        <f>SUMIFS(ARBETSBLAD!AB11:AB30,ARBETSBLAD!$E$11:$E$30,$E124,ARBETSBLAD!$G$11:$G$30,$G124)*AB$57</f>
        <v>0</v>
      </c>
      <c r="AC124" s="1369">
        <f>SUMIFS(ARBETSBLAD!AC11:AC30,ARBETSBLAD!$E$11:$E$30,$E124,ARBETSBLAD!$G$11:$G$30,$G124)*AC$57</f>
        <v>0</v>
      </c>
      <c r="AD124" s="1369">
        <f>SUMIFS(ARBETSBLAD!AD11:AD30,ARBETSBLAD!$E$11:$E$30,$E124,ARBETSBLAD!$G$11:$G$30,$G124)*AD$57</f>
        <v>0</v>
      </c>
      <c r="AE124" s="1369">
        <f>SUMIFS(ARBETSBLAD!AE11:AE30,ARBETSBLAD!$E$11:$E$30,$E124,ARBETSBLAD!$G$11:$G$30,$G124)*AE$57</f>
        <v>0</v>
      </c>
      <c r="AF124" s="1369">
        <f>SUMIFS(ARBETSBLAD!AF11:AF30,ARBETSBLAD!$E$11:$E$30,$E124,ARBETSBLAD!$G$11:$G$30,$G124)*AF$57</f>
        <v>0</v>
      </c>
      <c r="AH124" s="1370">
        <f t="shared" si="26"/>
        <v>0</v>
      </c>
      <c r="AI124" s="1371"/>
      <c r="AJ124" s="1370">
        <f t="shared" si="27"/>
        <v>0</v>
      </c>
      <c r="AL124" s="1356"/>
      <c r="AM124" s="1357"/>
      <c r="AN124" s="1358"/>
    </row>
    <row r="125" spans="1:40" s="1349" customFormat="1" ht="12.9" hidden="1" customHeight="1">
      <c r="A125" s="1270"/>
      <c r="B125" s="1363" t="s">
        <v>911</v>
      </c>
      <c r="C125" s="1364">
        <f t="shared" si="25"/>
        <v>450.25</v>
      </c>
      <c r="D125" s="1372"/>
      <c r="E125" s="1366" t="s">
        <v>910</v>
      </c>
      <c r="F125" s="1350">
        <v>450</v>
      </c>
      <c r="G125" s="1367">
        <f>$O$66</f>
        <v>0.25</v>
      </c>
      <c r="H125" s="1368">
        <f>$P$66</f>
        <v>0.25</v>
      </c>
      <c r="I125" s="1369">
        <f>SUMIFS(ARBETSBLAD!I11:I30,ARBETSBLAD!$E$11:$E$30,$E125,ARBETSBLAD!$G$11:$G$30,$G125)*I$57</f>
        <v>0</v>
      </c>
      <c r="J125" s="1369">
        <f>SUMIFS(ARBETSBLAD!J11:J30,ARBETSBLAD!$E$11:$E$30,$E125,ARBETSBLAD!$G$11:$G$30,$G125)*J$57</f>
        <v>0</v>
      </c>
      <c r="K125" s="1369">
        <f>SUMIFS(ARBETSBLAD!K11:K30,ARBETSBLAD!$E$11:$E$30,$E125,ARBETSBLAD!$G$11:$G$30,$G125)*K$57</f>
        <v>0</v>
      </c>
      <c r="L125" s="1369">
        <f>SUMIFS(ARBETSBLAD!L11:L30,ARBETSBLAD!$E$11:$E$30,$E125,ARBETSBLAD!$G$11:$G$30,$G125)*L$57</f>
        <v>0</v>
      </c>
      <c r="M125" s="1369">
        <f>SUMIFS(ARBETSBLAD!M11:M30,ARBETSBLAD!$E$11:$E$30,$E125,ARBETSBLAD!$G$11:$G$30,$G125)*M$57</f>
        <v>0</v>
      </c>
      <c r="N125" s="1369">
        <f>SUMIFS(ARBETSBLAD!N11:N30,ARBETSBLAD!$E$11:$E$30,$E125,ARBETSBLAD!$G$11:$G$30,$G125)*N$57</f>
        <v>0</v>
      </c>
      <c r="O125" s="1369">
        <f>SUMIFS(ARBETSBLAD!O11:O30,ARBETSBLAD!$E$11:$E$30,$E125,ARBETSBLAD!$G$11:$G$30,$G125)*O$57</f>
        <v>0</v>
      </c>
      <c r="P125" s="1369">
        <f>SUMIFS(ARBETSBLAD!P11:P30,ARBETSBLAD!$E$11:$E$30,$E125,ARBETSBLAD!$G$11:$G$30,$G125)*P$57</f>
        <v>0</v>
      </c>
      <c r="Q125" s="1369">
        <f>SUMIFS(ARBETSBLAD!Q11:Q30,ARBETSBLAD!$E$11:$E$30,$E125,ARBETSBLAD!$G$11:$G$30,$G125)*Q$57</f>
        <v>0</v>
      </c>
      <c r="R125" s="1369">
        <f>SUMIFS(ARBETSBLAD!R11:R30,ARBETSBLAD!$E$11:$E$30,$E125,ARBETSBLAD!$G$11:$G$30,$G125)*R$57</f>
        <v>0</v>
      </c>
      <c r="S125" s="1369">
        <f>SUMIFS(ARBETSBLAD!S11:S30,ARBETSBLAD!$E$11:$E$30,$E125,ARBETSBLAD!$G$11:$G$30,$G125)*S$57</f>
        <v>0</v>
      </c>
      <c r="T125" s="1369">
        <f>SUMIFS(ARBETSBLAD!T11:T30,ARBETSBLAD!$E$11:$E$30,$E125,ARBETSBLAD!$G$11:$G$30,$G125)*T$57</f>
        <v>0</v>
      </c>
      <c r="U125" s="1369">
        <f>SUMIFS(ARBETSBLAD!U11:U30,ARBETSBLAD!$E$11:$E$30,$E125,ARBETSBLAD!$G$11:$G$30,$G125)*U$57</f>
        <v>0</v>
      </c>
      <c r="V125" s="1369">
        <f>SUMIFS(ARBETSBLAD!V11:V30,ARBETSBLAD!$E$11:$E$30,$E125,ARBETSBLAD!$G$11:$G$30,$G125)*V$57</f>
        <v>0</v>
      </c>
      <c r="W125" s="1369">
        <f>SUMIFS(ARBETSBLAD!W11:W30,ARBETSBLAD!$E$11:$E$30,$E125,ARBETSBLAD!$G$11:$G$30,$G125)*W$57</f>
        <v>0</v>
      </c>
      <c r="X125" s="1369">
        <f>SUMIFS(ARBETSBLAD!X11:X30,ARBETSBLAD!$E$11:$E$30,$E125,ARBETSBLAD!$G$11:$G$30,$G125)*X$57</f>
        <v>0</v>
      </c>
      <c r="Y125" s="1369">
        <f>SUMIFS(ARBETSBLAD!Y11:Y30,ARBETSBLAD!$E$11:$E$30,$E125,ARBETSBLAD!$G$11:$G$30,$G125)*Y$57</f>
        <v>0</v>
      </c>
      <c r="Z125" s="1369">
        <f>SUMIFS(ARBETSBLAD!Z11:Z30,ARBETSBLAD!$E$11:$E$30,$E125,ARBETSBLAD!$G$11:$G$30,$G125)*Z$57</f>
        <v>0</v>
      </c>
      <c r="AA125" s="1369">
        <f>SUMIFS(ARBETSBLAD!AA11:AA30,ARBETSBLAD!$E$11:$E$30,$E125,ARBETSBLAD!$G$11:$G$30,$G125)*AA$57</f>
        <v>0</v>
      </c>
      <c r="AB125" s="1369">
        <f>SUMIFS(ARBETSBLAD!AB11:AB30,ARBETSBLAD!$E$11:$E$30,$E125,ARBETSBLAD!$G$11:$G$30,$G125)*AB$57</f>
        <v>0</v>
      </c>
      <c r="AC125" s="1369">
        <f>SUMIFS(ARBETSBLAD!AC11:AC30,ARBETSBLAD!$E$11:$E$30,$E125,ARBETSBLAD!$G$11:$G$30,$G125)*AC$57</f>
        <v>0</v>
      </c>
      <c r="AD125" s="1369">
        <f>SUMIFS(ARBETSBLAD!AD11:AD30,ARBETSBLAD!$E$11:$E$30,$E125,ARBETSBLAD!$G$11:$G$30,$G125)*AD$57</f>
        <v>0</v>
      </c>
      <c r="AE125" s="1369">
        <f>SUMIFS(ARBETSBLAD!AE11:AE30,ARBETSBLAD!$E$11:$E$30,$E125,ARBETSBLAD!$G$11:$G$30,$G125)*AE$57</f>
        <v>0</v>
      </c>
      <c r="AF125" s="1369">
        <f>SUMIFS(ARBETSBLAD!AF11:AF30,ARBETSBLAD!$E$11:$E$30,$E125,ARBETSBLAD!$G$11:$G$30,$G125)*AF$57</f>
        <v>0</v>
      </c>
      <c r="AH125" s="1370">
        <f t="shared" si="26"/>
        <v>0</v>
      </c>
      <c r="AI125" s="1371"/>
      <c r="AJ125" s="1370">
        <f t="shared" si="27"/>
        <v>0</v>
      </c>
      <c r="AL125" s="1356"/>
      <c r="AM125" s="1357"/>
      <c r="AN125" s="1358"/>
    </row>
    <row r="126" spans="1:40" s="115" customFormat="1" ht="12" hidden="1" customHeight="1">
      <c r="A126" s="1270"/>
      <c r="B126" s="1625"/>
      <c r="C126" s="1626"/>
      <c r="D126" s="1372"/>
      <c r="E126" s="1441" t="s">
        <v>954</v>
      </c>
      <c r="F126" s="1350"/>
      <c r="G126" s="1442">
        <f t="shared" ref="G126:G132" si="28">$O$66</f>
        <v>0.25</v>
      </c>
      <c r="H126" s="1368"/>
      <c r="I126" s="1443">
        <f>(SUMIF(ARBETSBLAD!$E$31:$E$32,$E$126,ARBETSBLAD!I31:I32))*I$57*$C$127</f>
        <v>0</v>
      </c>
      <c r="J126" s="1443">
        <f>(SUMIF(ARBETSBLAD!$E$31:$E$32,$E$126,ARBETSBLAD!J31:J32))*J$57*$C$127</f>
        <v>0</v>
      </c>
      <c r="K126" s="1443">
        <f>(SUMIF(ARBETSBLAD!$E$31:$E$32,$E$126,ARBETSBLAD!K31:K32))*K$57*$C$127</f>
        <v>0</v>
      </c>
      <c r="L126" s="1443">
        <f>(SUMIF(ARBETSBLAD!$E$31:$E$32,$E$126,ARBETSBLAD!L31:L32))*L$57*$C$127</f>
        <v>0</v>
      </c>
      <c r="M126" s="1443">
        <f>(SUMIF(ARBETSBLAD!$E$31:$E$32,$E$126,ARBETSBLAD!M31:M32))*M$57*$C$127</f>
        <v>0</v>
      </c>
      <c r="N126" s="1443">
        <f>(SUMIF(ARBETSBLAD!$E$31:$E$32,$E$126,ARBETSBLAD!N31:N32))*N$57*$C$127</f>
        <v>0</v>
      </c>
      <c r="O126" s="1443">
        <f>(SUMIF(ARBETSBLAD!$E$31:$E$32,$E$126,ARBETSBLAD!O31:O32))*O$57*$C$127</f>
        <v>0</v>
      </c>
      <c r="P126" s="1443">
        <f>(SUMIF(ARBETSBLAD!$E$31:$E$32,$E$126,ARBETSBLAD!P31:P32))*P$57*$C$127</f>
        <v>0</v>
      </c>
      <c r="Q126" s="1443">
        <f>(SUMIF(ARBETSBLAD!$E$31:$E$32,$E$126,ARBETSBLAD!Q31:Q32))*Q$57*$C$127</f>
        <v>0</v>
      </c>
      <c r="R126" s="1443">
        <f>(SUMIF(ARBETSBLAD!$E$31:$E$32,$E$126,ARBETSBLAD!R31:R32))*R$57*$C$127</f>
        <v>0</v>
      </c>
      <c r="S126" s="1443">
        <f>(SUMIF(ARBETSBLAD!$E$31:$E$32,$E$126,ARBETSBLAD!S31:S32))*S$57*$C$127</f>
        <v>0</v>
      </c>
      <c r="T126" s="1443">
        <f>(SUMIF(ARBETSBLAD!$E$31:$E$32,$E$126,ARBETSBLAD!T31:T32))*T$57*$C$127</f>
        <v>0</v>
      </c>
      <c r="U126" s="1443">
        <f>(SUMIF(ARBETSBLAD!$E$31:$E$32,$E$126,ARBETSBLAD!U31:U32))*U$57*$C$127</f>
        <v>0</v>
      </c>
      <c r="V126" s="1443">
        <f>(SUMIF(ARBETSBLAD!$E$31:$E$32,$E$126,ARBETSBLAD!V31:V32))*V$57*$C$127</f>
        <v>0</v>
      </c>
      <c r="W126" s="1443">
        <f>(SUMIF(ARBETSBLAD!$E$31:$E$32,$E$126,ARBETSBLAD!W31:W32))*W$57*$C$127</f>
        <v>0</v>
      </c>
      <c r="X126" s="1443">
        <f>(SUMIF(ARBETSBLAD!$E$31:$E$32,$E$126,ARBETSBLAD!X31:X32))*X$57*$C$127</f>
        <v>0</v>
      </c>
      <c r="Y126" s="1443">
        <f>(SUMIF(ARBETSBLAD!$E$31:$E$32,$E$126,ARBETSBLAD!Y31:Y32))*Y$57*$C$127</f>
        <v>0</v>
      </c>
      <c r="Z126" s="1443">
        <f>(SUMIF(ARBETSBLAD!$E$31:$E$32,$E$126,ARBETSBLAD!Z31:Z32))*Z$57*$C$127</f>
        <v>0</v>
      </c>
      <c r="AA126" s="1443">
        <f>(SUMIF(ARBETSBLAD!$E$31:$E$32,$E$126,ARBETSBLAD!AA31:AA32))*AA$57*$C$127</f>
        <v>0</v>
      </c>
      <c r="AB126" s="1443">
        <f>(SUMIF(ARBETSBLAD!$E$31:$E$32,$E$126,ARBETSBLAD!AB31:AB32))*AB$57*$C$127</f>
        <v>0</v>
      </c>
      <c r="AC126" s="1443">
        <f>(SUMIF(ARBETSBLAD!$E$31:$E$32,$E$126,ARBETSBLAD!AC31:AC32))*AC$57*$C$127</f>
        <v>0</v>
      </c>
      <c r="AD126" s="1443">
        <f>(SUMIF(ARBETSBLAD!$E$31:$E$32,$E$126,ARBETSBLAD!AD31:AD32))*AD$57*$C$127</f>
        <v>0</v>
      </c>
      <c r="AE126" s="1443">
        <f>(SUMIF(ARBETSBLAD!$E$31:$E$32,$E$126,ARBETSBLAD!AE31:AE32))*AE$57*$C$127</f>
        <v>0</v>
      </c>
      <c r="AF126" s="1443">
        <f>(SUMIF(ARBETSBLAD!$E$31:$E$32,$E$126,ARBETSBLAD!AF31:AF32))*AF$57*$C$127</f>
        <v>0</v>
      </c>
      <c r="AG126" s="1444"/>
      <c r="AH126" s="1627"/>
      <c r="AI126" s="1355"/>
      <c r="AJ126" s="1627"/>
      <c r="AL126" s="1356"/>
      <c r="AM126" s="1357"/>
      <c r="AN126" s="1437"/>
    </row>
    <row r="127" spans="1:40" s="115" customFormat="1" ht="12" hidden="1" customHeight="1">
      <c r="A127" s="1270"/>
      <c r="B127" s="2350" t="s">
        <v>1276</v>
      </c>
      <c r="C127" s="2351">
        <f>IF(C58=2,0,1)</f>
        <v>1</v>
      </c>
      <c r="D127" s="1372"/>
      <c r="E127" s="1441" t="s">
        <v>955</v>
      </c>
      <c r="F127" s="1350"/>
      <c r="G127" s="1442">
        <f t="shared" si="28"/>
        <v>0.25</v>
      </c>
      <c r="H127" s="1368"/>
      <c r="I127" s="1443">
        <f>SUMIF(ARBETSBLAD!$E$31:$E$32,$E$127,ARBETSBLAD!I31:I32)*I$57*$C$127</f>
        <v>0</v>
      </c>
      <c r="J127" s="1443">
        <f>SUMIF(ARBETSBLAD!$E$31:$E$32,$E$127,ARBETSBLAD!J31:J32)*J$57*$C$127</f>
        <v>0</v>
      </c>
      <c r="K127" s="1443">
        <f>SUMIF(ARBETSBLAD!$E$31:$E$32,$E$127,ARBETSBLAD!K31:K32)*K$57*$C$127</f>
        <v>0</v>
      </c>
      <c r="L127" s="1443">
        <f>SUMIF(ARBETSBLAD!$E$31:$E$32,$E$127,ARBETSBLAD!L31:L32)*L$57*$C$127</f>
        <v>0</v>
      </c>
      <c r="M127" s="1443">
        <f>SUMIF(ARBETSBLAD!$E$31:$E$32,$E$127,ARBETSBLAD!M31:M32)*M$57*$C$127</f>
        <v>0</v>
      </c>
      <c r="N127" s="1443">
        <f>SUMIF(ARBETSBLAD!$E$31:$E$32,$E$127,ARBETSBLAD!N31:N32)*N$57*$C$127</f>
        <v>0</v>
      </c>
      <c r="O127" s="1443">
        <f>SUMIF(ARBETSBLAD!$E$31:$E$32,$E$127,ARBETSBLAD!O31:O32)*O$57*$C$127</f>
        <v>0</v>
      </c>
      <c r="P127" s="1443">
        <f>SUMIF(ARBETSBLAD!$E$31:$E$32,$E$127,ARBETSBLAD!P31:P32)*P$57*$C$127</f>
        <v>0</v>
      </c>
      <c r="Q127" s="1443">
        <f>SUMIF(ARBETSBLAD!$E$31:$E$32,$E$127,ARBETSBLAD!Q31:Q32)*Q$57*$C$127</f>
        <v>0</v>
      </c>
      <c r="R127" s="1443">
        <f>SUMIF(ARBETSBLAD!$E$31:$E$32,$E$127,ARBETSBLAD!R31:R32)*R$57*$C$127</f>
        <v>0</v>
      </c>
      <c r="S127" s="1443">
        <f>SUMIF(ARBETSBLAD!$E$31:$E$32,$E$127,ARBETSBLAD!S31:S32)*S$57*$C$127</f>
        <v>0</v>
      </c>
      <c r="T127" s="1443">
        <f>SUMIF(ARBETSBLAD!$E$31:$E$32,$E$127,ARBETSBLAD!T31:T32)*T$57*$C$127</f>
        <v>0</v>
      </c>
      <c r="U127" s="1443">
        <f>SUMIF(ARBETSBLAD!$E$31:$E$32,$E$127,ARBETSBLAD!U31:U32)*U$57*$C$127</f>
        <v>0</v>
      </c>
      <c r="V127" s="1443">
        <f>SUMIF(ARBETSBLAD!$E$31:$E$32,$E$127,ARBETSBLAD!V31:V32)*V$57*$C$127</f>
        <v>0</v>
      </c>
      <c r="W127" s="1443">
        <f>SUMIF(ARBETSBLAD!$E$31:$E$32,$E$127,ARBETSBLAD!W31:W32)*W$57*$C$127</f>
        <v>0</v>
      </c>
      <c r="X127" s="1443">
        <f>SUMIF(ARBETSBLAD!$E$31:$E$32,$E$127,ARBETSBLAD!X31:X32)*X$57*$C$127</f>
        <v>0</v>
      </c>
      <c r="Y127" s="1443">
        <f>SUMIF(ARBETSBLAD!$E$31:$E$32,$E$127,ARBETSBLAD!Y31:Y32)*Y$57*$C$127</f>
        <v>0</v>
      </c>
      <c r="Z127" s="1443">
        <f>SUMIF(ARBETSBLAD!$E$31:$E$32,$E$127,ARBETSBLAD!Z31:Z32)*Z$57*$C$127</f>
        <v>0</v>
      </c>
      <c r="AA127" s="1443">
        <f>SUMIF(ARBETSBLAD!$E$31:$E$32,$E$127,ARBETSBLAD!AA31:AA32)*AA$57*$C$127</f>
        <v>0</v>
      </c>
      <c r="AB127" s="1443">
        <f>SUMIF(ARBETSBLAD!$E$31:$E$32,$E$127,ARBETSBLAD!AB31:AB32)*AB$57*$C$127</f>
        <v>0</v>
      </c>
      <c r="AC127" s="1443">
        <f>SUMIF(ARBETSBLAD!$E$31:$E$32,$E$127,ARBETSBLAD!AC31:AC32)*AC$57*$C$127</f>
        <v>0</v>
      </c>
      <c r="AD127" s="1443">
        <f>SUMIF(ARBETSBLAD!$E$31:$E$32,$E$127,ARBETSBLAD!AD31:AD32)*AD$57*$C$127</f>
        <v>0</v>
      </c>
      <c r="AE127" s="1443">
        <f>SUMIF(ARBETSBLAD!$E$31:$E$32,$E$127,ARBETSBLAD!AE31:AE32)*AE$57*$C$127</f>
        <v>0</v>
      </c>
      <c r="AF127" s="1443">
        <f>SUMIF(ARBETSBLAD!$E$31:$E$32,$E$127,ARBETSBLAD!AF31:AF32)*AF$57*$C$127</f>
        <v>0</v>
      </c>
      <c r="AG127" s="1444"/>
      <c r="AH127" s="1627"/>
      <c r="AI127" s="1355"/>
      <c r="AJ127" s="1627"/>
      <c r="AL127" s="1356"/>
      <c r="AM127" s="1357"/>
      <c r="AN127" s="1437"/>
    </row>
    <row r="128" spans="1:40" s="115" customFormat="1" ht="12" hidden="1" customHeight="1">
      <c r="A128" s="1270"/>
      <c r="B128" s="1625"/>
      <c r="C128" s="1626"/>
      <c r="D128" s="1372"/>
      <c r="E128" s="1441" t="s">
        <v>956</v>
      </c>
      <c r="F128" s="1350"/>
      <c r="G128" s="1442">
        <f t="shared" si="28"/>
        <v>0.25</v>
      </c>
      <c r="H128" s="1368"/>
      <c r="I128" s="1443">
        <f>SUMIF(ARBETSBLAD!$E$31:$E$32,$E$128,ARBETSBLAD!I31:I32)*I$57*$C$127</f>
        <v>0</v>
      </c>
      <c r="J128" s="1443">
        <f>SUMIF(ARBETSBLAD!$E$31:$E$32,$E$128,ARBETSBLAD!J31:J32)*J$57*$C$127</f>
        <v>0</v>
      </c>
      <c r="K128" s="1443">
        <f>SUMIF(ARBETSBLAD!$E$31:$E$32,$E$128,ARBETSBLAD!K31:K32)*K$57*$C$127</f>
        <v>0</v>
      </c>
      <c r="L128" s="1443">
        <f>SUMIF(ARBETSBLAD!$E$31:$E$32,$E$128,ARBETSBLAD!L31:L32)*L$57*$C$127</f>
        <v>0</v>
      </c>
      <c r="M128" s="1443">
        <f>SUMIF(ARBETSBLAD!$E$31:$E$32,$E$128,ARBETSBLAD!M31:M32)*M$57*$C$127</f>
        <v>0</v>
      </c>
      <c r="N128" s="1443">
        <f>SUMIF(ARBETSBLAD!$E$31:$E$32,$E$128,ARBETSBLAD!N31:N32)*N$57*$C$127</f>
        <v>0</v>
      </c>
      <c r="O128" s="1443">
        <f>SUMIF(ARBETSBLAD!$E$31:$E$32,$E$128,ARBETSBLAD!O31:O32)*O$57*$C$127</f>
        <v>0</v>
      </c>
      <c r="P128" s="1443">
        <f>SUMIF(ARBETSBLAD!$E$31:$E$32,$E$128,ARBETSBLAD!P31:P32)*P$57*$C$127</f>
        <v>0</v>
      </c>
      <c r="Q128" s="1443">
        <f>SUMIF(ARBETSBLAD!$E$31:$E$32,$E$128,ARBETSBLAD!Q31:Q32)*Q$57*$C$127</f>
        <v>0</v>
      </c>
      <c r="R128" s="1443">
        <f>SUMIF(ARBETSBLAD!$E$31:$E$32,$E$128,ARBETSBLAD!R31:R32)*R$57*$C$127</f>
        <v>0</v>
      </c>
      <c r="S128" s="1443">
        <f>SUMIF(ARBETSBLAD!$E$31:$E$32,$E$128,ARBETSBLAD!S31:S32)*S$57*$C$127</f>
        <v>0</v>
      </c>
      <c r="T128" s="1443">
        <f>SUMIF(ARBETSBLAD!$E$31:$E$32,$E$128,ARBETSBLAD!T31:T32)*T$57*$C$127</f>
        <v>0</v>
      </c>
      <c r="U128" s="1443">
        <f>SUMIF(ARBETSBLAD!$E$31:$E$32,$E$128,ARBETSBLAD!U31:U32)*U$57*$C$127</f>
        <v>0</v>
      </c>
      <c r="V128" s="1443">
        <f>SUMIF(ARBETSBLAD!$E$31:$E$32,$E$128,ARBETSBLAD!V31:V32)*V$57*$C$127</f>
        <v>0</v>
      </c>
      <c r="W128" s="1443">
        <f>SUMIF(ARBETSBLAD!$E$31:$E$32,$E$128,ARBETSBLAD!W31:W32)*W$57*$C$127</f>
        <v>0</v>
      </c>
      <c r="X128" s="1443">
        <f>SUMIF(ARBETSBLAD!$E$31:$E$32,$E$128,ARBETSBLAD!X31:X32)*X$57*$C$127</f>
        <v>0</v>
      </c>
      <c r="Y128" s="1443">
        <f>SUMIF(ARBETSBLAD!$E$31:$E$32,$E$128,ARBETSBLAD!Y31:Y32)*Y$57*$C$127</f>
        <v>0</v>
      </c>
      <c r="Z128" s="1443">
        <f>SUMIF(ARBETSBLAD!$E$31:$E$32,$E$128,ARBETSBLAD!Z31:Z32)*Z$57*$C$127</f>
        <v>0</v>
      </c>
      <c r="AA128" s="1443">
        <f>SUMIF(ARBETSBLAD!$E$31:$E$32,$E$128,ARBETSBLAD!AA31:AA32)*AA$57*$C$127</f>
        <v>0</v>
      </c>
      <c r="AB128" s="1443">
        <f>SUMIF(ARBETSBLAD!$E$31:$E$32,$E$128,ARBETSBLAD!AB31:AB32)*AB$57*$C$127</f>
        <v>0</v>
      </c>
      <c r="AC128" s="1443">
        <f>SUMIF(ARBETSBLAD!$E$31:$E$32,$E$128,ARBETSBLAD!AC31:AC32)*AC$57*$C$127</f>
        <v>0</v>
      </c>
      <c r="AD128" s="1443">
        <f>SUMIF(ARBETSBLAD!$E$31:$E$32,$E$128,ARBETSBLAD!AD31:AD32)*AD$57*$C$127</f>
        <v>0</v>
      </c>
      <c r="AE128" s="1443">
        <f>SUMIF(ARBETSBLAD!$E$31:$E$32,$E$128,ARBETSBLAD!AE31:AE32)*AE$57*$C$127</f>
        <v>0</v>
      </c>
      <c r="AF128" s="1443">
        <f>SUMIF(ARBETSBLAD!$E$31:$E$32,$E$128,ARBETSBLAD!AF31:AF32)*AF$57*$C$127</f>
        <v>0</v>
      </c>
      <c r="AG128" s="1444"/>
      <c r="AH128" s="1627"/>
      <c r="AI128" s="1355"/>
      <c r="AJ128" s="1627"/>
      <c r="AL128" s="1356"/>
      <c r="AM128" s="1357"/>
      <c r="AN128" s="1437"/>
    </row>
    <row r="129" spans="1:40" s="115" customFormat="1" ht="12" hidden="1" customHeight="1">
      <c r="A129" s="1270"/>
      <c r="B129" s="1625"/>
      <c r="C129" s="1626"/>
      <c r="D129" s="1372"/>
      <c r="E129" s="1441" t="s">
        <v>957</v>
      </c>
      <c r="F129" s="1350"/>
      <c r="G129" s="1442">
        <f t="shared" si="28"/>
        <v>0.25</v>
      </c>
      <c r="H129" s="1368"/>
      <c r="I129" s="1443">
        <f>SUMIF(ARBETSBLAD!$E$31:$E$32,$E$129,ARBETSBLAD!I31:I32)*I$57*$C$127</f>
        <v>0</v>
      </c>
      <c r="J129" s="1443">
        <f>SUMIF(ARBETSBLAD!$E$31:$E$32,$E$129,ARBETSBLAD!J31:J32)*J$57*$C$127</f>
        <v>0</v>
      </c>
      <c r="K129" s="1443">
        <f>SUMIF(ARBETSBLAD!$E$31:$E$32,$E$129,ARBETSBLAD!K31:K32)*K$57*$C$127</f>
        <v>0</v>
      </c>
      <c r="L129" s="1443">
        <f>SUMIF(ARBETSBLAD!$E$31:$E$32,$E$129,ARBETSBLAD!L31:L32)*L$57*$C$127</f>
        <v>0</v>
      </c>
      <c r="M129" s="1443">
        <f>SUMIF(ARBETSBLAD!$E$31:$E$32,$E$129,ARBETSBLAD!M31:M32)*M$57*$C$127</f>
        <v>0</v>
      </c>
      <c r="N129" s="1443">
        <f>SUMIF(ARBETSBLAD!$E$31:$E$32,$E$129,ARBETSBLAD!N31:N32)*N$57*$C$127</f>
        <v>0</v>
      </c>
      <c r="O129" s="1443">
        <f>SUMIF(ARBETSBLAD!$E$31:$E$32,$E$129,ARBETSBLAD!O31:O32)*O$57*$C$127</f>
        <v>0</v>
      </c>
      <c r="P129" s="1443">
        <f>SUMIF(ARBETSBLAD!$E$31:$E$32,$E$129,ARBETSBLAD!P31:P32)*P$57*$C$127</f>
        <v>0</v>
      </c>
      <c r="Q129" s="1443">
        <f>SUMIF(ARBETSBLAD!$E$31:$E$32,$E$129,ARBETSBLAD!Q31:Q32)*Q$57*$C$127</f>
        <v>0</v>
      </c>
      <c r="R129" s="1443">
        <f>SUMIF(ARBETSBLAD!$E$31:$E$32,$E$129,ARBETSBLAD!R31:R32)*R$57*$C$127</f>
        <v>0</v>
      </c>
      <c r="S129" s="1443">
        <f>SUMIF(ARBETSBLAD!$E$31:$E$32,$E$129,ARBETSBLAD!S31:S32)*S$57*$C$127</f>
        <v>0</v>
      </c>
      <c r="T129" s="1443">
        <f>SUMIF(ARBETSBLAD!$E$31:$E$32,$E$129,ARBETSBLAD!T31:T32)*T$57*$C$127</f>
        <v>0</v>
      </c>
      <c r="U129" s="1443">
        <f>SUMIF(ARBETSBLAD!$E$31:$E$32,$E$129,ARBETSBLAD!U31:U32)*U$57*$C$127</f>
        <v>0</v>
      </c>
      <c r="V129" s="1443">
        <f>SUMIF(ARBETSBLAD!$E$31:$E$32,$E$129,ARBETSBLAD!V31:V32)*V$57*$C$127</f>
        <v>0</v>
      </c>
      <c r="W129" s="1443">
        <f>SUMIF(ARBETSBLAD!$E$31:$E$32,$E$129,ARBETSBLAD!W31:W32)*W$57*$C$127</f>
        <v>0</v>
      </c>
      <c r="X129" s="1443">
        <f>SUMIF(ARBETSBLAD!$E$31:$E$32,$E$129,ARBETSBLAD!X31:X32)*X$57*$C$127</f>
        <v>0</v>
      </c>
      <c r="Y129" s="1443">
        <f>SUMIF(ARBETSBLAD!$E$31:$E$32,$E$129,ARBETSBLAD!Y31:Y32)*Y$57*$C$127</f>
        <v>0</v>
      </c>
      <c r="Z129" s="1443">
        <f>SUMIF(ARBETSBLAD!$E$31:$E$32,$E$129,ARBETSBLAD!Z31:Z32)*Z$57*$C$127</f>
        <v>0</v>
      </c>
      <c r="AA129" s="1443">
        <f>SUMIF(ARBETSBLAD!$E$31:$E$32,$E$129,ARBETSBLAD!AA31:AA32)*AA$57*$C$127</f>
        <v>0</v>
      </c>
      <c r="AB129" s="1443">
        <f>SUMIF(ARBETSBLAD!$E$31:$E$32,$E$129,ARBETSBLAD!AB31:AB32)*AB$57*$C$127</f>
        <v>0</v>
      </c>
      <c r="AC129" s="1443">
        <f>SUMIF(ARBETSBLAD!$E$31:$E$32,$E$129,ARBETSBLAD!AC31:AC32)*AC$57*$C$127</f>
        <v>0</v>
      </c>
      <c r="AD129" s="1443">
        <f>SUMIF(ARBETSBLAD!$E$31:$E$32,$E$129,ARBETSBLAD!AD31:AD32)*AD$57*$C$127</f>
        <v>0</v>
      </c>
      <c r="AE129" s="1443">
        <f>SUMIF(ARBETSBLAD!$E$31:$E$32,$E$129,ARBETSBLAD!AE31:AE32)*AE$57*$C$127</f>
        <v>0</v>
      </c>
      <c r="AF129" s="1443">
        <f>SUMIF(ARBETSBLAD!$E$31:$E$32,$E$129,ARBETSBLAD!AF31:AF32)*AF$57*$C$127</f>
        <v>0</v>
      </c>
      <c r="AG129" s="1444"/>
      <c r="AH129" s="1627"/>
      <c r="AI129" s="1355"/>
      <c r="AJ129" s="1627"/>
      <c r="AL129" s="1356"/>
      <c r="AM129" s="1357"/>
      <c r="AN129" s="1437"/>
    </row>
    <row r="130" spans="1:40" s="115" customFormat="1" ht="12" hidden="1" customHeight="1">
      <c r="A130" s="1270"/>
      <c r="B130" s="1625"/>
      <c r="C130" s="1626"/>
      <c r="D130" s="1372"/>
      <c r="E130" s="1441" t="s">
        <v>958</v>
      </c>
      <c r="F130" s="1350"/>
      <c r="G130" s="1442">
        <f t="shared" si="28"/>
        <v>0.25</v>
      </c>
      <c r="H130" s="1368"/>
      <c r="I130" s="1443">
        <f>SUMIF(ARBETSBLAD!$E$31:$E$32,$E$130,ARBETSBLAD!I31:I32)*I$57*$C$127</f>
        <v>0</v>
      </c>
      <c r="J130" s="1443">
        <f>SUMIF(ARBETSBLAD!$E$31:$E$32,$E$130,ARBETSBLAD!J31:J32)*J$57*$C$127</f>
        <v>0</v>
      </c>
      <c r="K130" s="1443">
        <f>SUMIF(ARBETSBLAD!$E$31:$E$32,$E$130,ARBETSBLAD!K31:K32)*K$57*$C$127</f>
        <v>0</v>
      </c>
      <c r="L130" s="1443">
        <f>SUMIF(ARBETSBLAD!$E$31:$E$32,$E$130,ARBETSBLAD!L31:L32)*L$57*$C$127</f>
        <v>0</v>
      </c>
      <c r="M130" s="1443">
        <f>SUMIF(ARBETSBLAD!$E$31:$E$32,$E$130,ARBETSBLAD!M31:M32)*M$57*$C$127</f>
        <v>0</v>
      </c>
      <c r="N130" s="1443">
        <f>SUMIF(ARBETSBLAD!$E$31:$E$32,$E$130,ARBETSBLAD!N31:N32)*N$57*$C$127</f>
        <v>0</v>
      </c>
      <c r="O130" s="1443">
        <f>SUMIF(ARBETSBLAD!$E$31:$E$32,$E$130,ARBETSBLAD!O31:O32)*O$57*$C$127</f>
        <v>0</v>
      </c>
      <c r="P130" s="1443">
        <f>SUMIF(ARBETSBLAD!$E$31:$E$32,$E$130,ARBETSBLAD!P31:P32)*P$57*$C$127</f>
        <v>0</v>
      </c>
      <c r="Q130" s="1443">
        <f>SUMIF(ARBETSBLAD!$E$31:$E$32,$E$130,ARBETSBLAD!Q31:Q32)*Q$57*$C$127</f>
        <v>0</v>
      </c>
      <c r="R130" s="1443">
        <f>SUMIF(ARBETSBLAD!$E$31:$E$32,$E$130,ARBETSBLAD!R31:R32)*R$57*$C$127</f>
        <v>0</v>
      </c>
      <c r="S130" s="1443">
        <f>SUMIF(ARBETSBLAD!$E$31:$E$32,$E$130,ARBETSBLAD!S31:S32)*S$57*$C$127</f>
        <v>0</v>
      </c>
      <c r="T130" s="1443">
        <f>SUMIF(ARBETSBLAD!$E$31:$E$32,$E$130,ARBETSBLAD!T31:T32)*T$57*$C$127</f>
        <v>0</v>
      </c>
      <c r="U130" s="1443">
        <f>SUMIF(ARBETSBLAD!$E$31:$E$32,$E$130,ARBETSBLAD!U31:U32)*U$57*$C$127</f>
        <v>0</v>
      </c>
      <c r="V130" s="1443">
        <f>SUMIF(ARBETSBLAD!$E$31:$E$32,$E$130,ARBETSBLAD!V31:V32)*V$57*$C$127</f>
        <v>0</v>
      </c>
      <c r="W130" s="1443">
        <f>SUMIF(ARBETSBLAD!$E$31:$E$32,$E$130,ARBETSBLAD!W31:W32)*W$57*$C$127</f>
        <v>0</v>
      </c>
      <c r="X130" s="1443">
        <f>SUMIF(ARBETSBLAD!$E$31:$E$32,$E$130,ARBETSBLAD!X31:X32)*X$57*$C$127</f>
        <v>0</v>
      </c>
      <c r="Y130" s="1443">
        <f>SUMIF(ARBETSBLAD!$E$31:$E$32,$E$130,ARBETSBLAD!Y31:Y32)*Y$57*$C$127</f>
        <v>0</v>
      </c>
      <c r="Z130" s="1443">
        <f>SUMIF(ARBETSBLAD!$E$31:$E$32,$E$130,ARBETSBLAD!Z31:Z32)*Z$57*$C$127</f>
        <v>0</v>
      </c>
      <c r="AA130" s="1443">
        <f>SUMIF(ARBETSBLAD!$E$31:$E$32,$E$130,ARBETSBLAD!AA31:AA32)*AA$57*$C$127</f>
        <v>0</v>
      </c>
      <c r="AB130" s="1443">
        <f>SUMIF(ARBETSBLAD!$E$31:$E$32,$E$130,ARBETSBLAD!AB31:AB32)*AB$57*$C$127</f>
        <v>0</v>
      </c>
      <c r="AC130" s="1443">
        <f>SUMIF(ARBETSBLAD!$E$31:$E$32,$E$130,ARBETSBLAD!AC31:AC32)*AC$57*$C$127</f>
        <v>0</v>
      </c>
      <c r="AD130" s="1443">
        <f>SUMIF(ARBETSBLAD!$E$31:$E$32,$E$130,ARBETSBLAD!AD31:AD32)*AD$57*$C$127</f>
        <v>0</v>
      </c>
      <c r="AE130" s="1443">
        <f>SUMIF(ARBETSBLAD!$E$31:$E$32,$E$130,ARBETSBLAD!AE31:AE32)*AE$57*$C$127</f>
        <v>0</v>
      </c>
      <c r="AF130" s="1443">
        <f>SUMIF(ARBETSBLAD!$E$31:$E$32,$E$130,ARBETSBLAD!AF31:AF32)*AF$57*$C$127</f>
        <v>0</v>
      </c>
      <c r="AG130" s="1444"/>
      <c r="AH130" s="1627"/>
      <c r="AI130" s="1355"/>
      <c r="AJ130" s="1627"/>
      <c r="AL130" s="1356"/>
      <c r="AM130" s="1357"/>
      <c r="AN130" s="1437"/>
    </row>
    <row r="131" spans="1:40" s="115" customFormat="1" ht="12" hidden="1" customHeight="1">
      <c r="A131" s="1270"/>
      <c r="B131" s="1625"/>
      <c r="C131" s="1626"/>
      <c r="D131" s="1372"/>
      <c r="E131" s="1441" t="s">
        <v>959</v>
      </c>
      <c r="F131" s="1350"/>
      <c r="G131" s="1442">
        <f t="shared" si="28"/>
        <v>0.25</v>
      </c>
      <c r="H131" s="1368"/>
      <c r="I131" s="1443">
        <f>SUMIF(ARBETSBLAD!$E$31:$E$32,$E$131,ARBETSBLAD!I31:I32)*I$57*$C$127</f>
        <v>0</v>
      </c>
      <c r="J131" s="1443">
        <f>SUMIF(ARBETSBLAD!$E$31:$E$32,$E$131,ARBETSBLAD!J31:J32)*J$57*$C$127</f>
        <v>0</v>
      </c>
      <c r="K131" s="1443">
        <f>SUMIF(ARBETSBLAD!$E$31:$E$32,$E$131,ARBETSBLAD!K31:K32)*K$57*$C$127</f>
        <v>0</v>
      </c>
      <c r="L131" s="1443">
        <f>SUMIF(ARBETSBLAD!$E$31:$E$32,$E$131,ARBETSBLAD!L31:L32)*L$57*$C$127</f>
        <v>0</v>
      </c>
      <c r="M131" s="1443">
        <f>SUMIF(ARBETSBLAD!$E$31:$E$32,$E$131,ARBETSBLAD!M31:M32)*M$57*$C$127</f>
        <v>0</v>
      </c>
      <c r="N131" s="1443">
        <f>SUMIF(ARBETSBLAD!$E$31:$E$32,$E$131,ARBETSBLAD!N31:N32)*N$57*$C$127</f>
        <v>0</v>
      </c>
      <c r="O131" s="1443">
        <f>SUMIF(ARBETSBLAD!$E$31:$E$32,$E$131,ARBETSBLAD!O31:O32)*O$57*$C$127</f>
        <v>0</v>
      </c>
      <c r="P131" s="1443">
        <f>SUMIF(ARBETSBLAD!$E$31:$E$32,$E$131,ARBETSBLAD!P31:P32)*P$57*$C$127</f>
        <v>0</v>
      </c>
      <c r="Q131" s="1443">
        <f>SUMIF(ARBETSBLAD!$E$31:$E$32,$E$131,ARBETSBLAD!Q31:Q32)*Q$57*$C$127</f>
        <v>0</v>
      </c>
      <c r="R131" s="1443">
        <f>SUMIF(ARBETSBLAD!$E$31:$E$32,$E$131,ARBETSBLAD!R31:R32)*R$57*$C$127</f>
        <v>0</v>
      </c>
      <c r="S131" s="1443">
        <f>SUMIF(ARBETSBLAD!$E$31:$E$32,$E$131,ARBETSBLAD!S31:S32)*S$57*$C$127</f>
        <v>0</v>
      </c>
      <c r="T131" s="1443">
        <f>SUMIF(ARBETSBLAD!$E$31:$E$32,$E$131,ARBETSBLAD!T31:T32)*T$57*$C$127</f>
        <v>0</v>
      </c>
      <c r="U131" s="1443">
        <f>SUMIF(ARBETSBLAD!$E$31:$E$32,$E$131,ARBETSBLAD!U31:U32)*U$57*$C$127</f>
        <v>0</v>
      </c>
      <c r="V131" s="1443">
        <f>SUMIF(ARBETSBLAD!$E$31:$E$32,$E$131,ARBETSBLAD!V31:V32)*V$57*$C$127</f>
        <v>0</v>
      </c>
      <c r="W131" s="1443">
        <f>SUMIF(ARBETSBLAD!$E$31:$E$32,$E$131,ARBETSBLAD!W31:W32)*W$57*$C$127</f>
        <v>0</v>
      </c>
      <c r="X131" s="1443">
        <f>SUMIF(ARBETSBLAD!$E$31:$E$32,$E$131,ARBETSBLAD!X31:X32)*X$57*$C$127</f>
        <v>0</v>
      </c>
      <c r="Y131" s="1443">
        <f>SUMIF(ARBETSBLAD!$E$31:$E$32,$E$131,ARBETSBLAD!Y31:Y32)*Y$57*$C$127</f>
        <v>0</v>
      </c>
      <c r="Z131" s="1443">
        <f>SUMIF(ARBETSBLAD!$E$31:$E$32,$E$131,ARBETSBLAD!Z31:Z32)*Z$57*$C$127</f>
        <v>0</v>
      </c>
      <c r="AA131" s="1443">
        <f>SUMIF(ARBETSBLAD!$E$31:$E$32,$E$131,ARBETSBLAD!AA31:AA32)*AA$57*$C$127</f>
        <v>0</v>
      </c>
      <c r="AB131" s="1443">
        <f>SUMIF(ARBETSBLAD!$E$31:$E$32,$E$131,ARBETSBLAD!AB31:AB32)*AB$57*$C$127</f>
        <v>0</v>
      </c>
      <c r="AC131" s="1443">
        <f>SUMIF(ARBETSBLAD!$E$31:$E$32,$E$131,ARBETSBLAD!AC31:AC32)*AC$57*$C$127</f>
        <v>0</v>
      </c>
      <c r="AD131" s="1443">
        <f>SUMIF(ARBETSBLAD!$E$31:$E$32,$E$131,ARBETSBLAD!AD31:AD32)*AD$57*$C$127</f>
        <v>0</v>
      </c>
      <c r="AE131" s="1443">
        <f>SUMIF(ARBETSBLAD!$E$31:$E$32,$E$131,ARBETSBLAD!AE31:AE32)*AE$57*$C$127</f>
        <v>0</v>
      </c>
      <c r="AF131" s="1443">
        <f>SUMIF(ARBETSBLAD!$E$31:$E$32,$E$131,ARBETSBLAD!AF31:AF32)*AF$57*$C$127</f>
        <v>0</v>
      </c>
      <c r="AG131" s="1444"/>
      <c r="AH131" s="1627"/>
      <c r="AI131" s="1355"/>
      <c r="AJ131" s="1627"/>
      <c r="AL131" s="1356"/>
      <c r="AM131" s="1357"/>
      <c r="AN131" s="1437"/>
    </row>
    <row r="132" spans="1:40" s="115" customFormat="1" ht="12" hidden="1" customHeight="1" thickBot="1">
      <c r="A132" s="1270"/>
      <c r="B132" s="1625"/>
      <c r="C132" s="1626"/>
      <c r="D132" s="1372"/>
      <c r="E132" s="1441" t="s">
        <v>960</v>
      </c>
      <c r="F132" s="1350"/>
      <c r="G132" s="1442">
        <f t="shared" si="28"/>
        <v>0.25</v>
      </c>
      <c r="H132" s="1368"/>
      <c r="I132" s="1443">
        <f>SUMIF(ARBETSBLAD!$E$31:$E$32,$E$132,ARBETSBLAD!I31:I32)*I$57*$C$127</f>
        <v>0</v>
      </c>
      <c r="J132" s="1443">
        <f>SUMIF(ARBETSBLAD!$E$31:$E$32,$E$132,ARBETSBLAD!J31:J32)*J$57*$C$127</f>
        <v>0</v>
      </c>
      <c r="K132" s="1443">
        <f>SUMIF(ARBETSBLAD!$E$31:$E$32,$E$132,ARBETSBLAD!K31:K32)*K$57*$C$127</f>
        <v>0</v>
      </c>
      <c r="L132" s="1443">
        <f>SUMIF(ARBETSBLAD!$E$31:$E$32,$E$132,ARBETSBLAD!L31:L32)*L$57*$C$127</f>
        <v>0</v>
      </c>
      <c r="M132" s="1443">
        <f>SUMIF(ARBETSBLAD!$E$31:$E$32,$E$132,ARBETSBLAD!M31:M32)*M$57*$C$127</f>
        <v>0</v>
      </c>
      <c r="N132" s="1443">
        <f>SUMIF(ARBETSBLAD!$E$31:$E$32,$E$132,ARBETSBLAD!N31:N32)*N$57*$C$127</f>
        <v>0</v>
      </c>
      <c r="O132" s="1443">
        <f>SUMIF(ARBETSBLAD!$E$31:$E$32,$E$132,ARBETSBLAD!O31:O32)*O$57*$C$127</f>
        <v>0</v>
      </c>
      <c r="P132" s="1443">
        <f>SUMIF(ARBETSBLAD!$E$31:$E$32,$E$132,ARBETSBLAD!P31:P32)*P$57*$C$127</f>
        <v>0</v>
      </c>
      <c r="Q132" s="1443">
        <f>SUMIF(ARBETSBLAD!$E$31:$E$32,$E$132,ARBETSBLAD!Q31:Q32)*Q$57*$C$127</f>
        <v>0</v>
      </c>
      <c r="R132" s="1443">
        <f>SUMIF(ARBETSBLAD!$E$31:$E$32,$E$132,ARBETSBLAD!R31:R32)*R$57*$C$127</f>
        <v>0</v>
      </c>
      <c r="S132" s="1443">
        <f>SUMIF(ARBETSBLAD!$E$31:$E$32,$E$132,ARBETSBLAD!S31:S32)*S$57*$C$127</f>
        <v>0</v>
      </c>
      <c r="T132" s="1443">
        <f>SUMIF(ARBETSBLAD!$E$31:$E$32,$E$132,ARBETSBLAD!T31:T32)*T$57*$C$127</f>
        <v>0</v>
      </c>
      <c r="U132" s="1443">
        <f>SUMIF(ARBETSBLAD!$E$31:$E$32,$E$132,ARBETSBLAD!U31:U32)*U$57*$C$127</f>
        <v>0</v>
      </c>
      <c r="V132" s="1443">
        <f>SUMIF(ARBETSBLAD!$E$31:$E$32,$E$132,ARBETSBLAD!V31:V32)*V$57*$C$127</f>
        <v>0</v>
      </c>
      <c r="W132" s="1443">
        <f>SUMIF(ARBETSBLAD!$E$31:$E$32,$E$132,ARBETSBLAD!W31:W32)*W$57*$C$127</f>
        <v>0</v>
      </c>
      <c r="X132" s="1443">
        <f>SUMIF(ARBETSBLAD!$E$31:$E$32,$E$132,ARBETSBLAD!X31:X32)*X$57*$C$127</f>
        <v>0</v>
      </c>
      <c r="Y132" s="1443">
        <f>SUMIF(ARBETSBLAD!$E$31:$E$32,$E$132,ARBETSBLAD!Y31:Y32)*Y$57*$C$127</f>
        <v>0</v>
      </c>
      <c r="Z132" s="1443">
        <f>SUMIF(ARBETSBLAD!$E$31:$E$32,$E$132,ARBETSBLAD!Z31:Z32)*Z$57*$C$127</f>
        <v>0</v>
      </c>
      <c r="AA132" s="1443">
        <f>SUMIF(ARBETSBLAD!$E$31:$E$32,$E$132,ARBETSBLAD!AA31:AA32)*AA$57*$C$127</f>
        <v>0</v>
      </c>
      <c r="AB132" s="1443">
        <f>SUMIF(ARBETSBLAD!$E$31:$E$32,$E$132,ARBETSBLAD!AB31:AB32)*AB$57*$C$127</f>
        <v>0</v>
      </c>
      <c r="AC132" s="1443">
        <f>SUMIF(ARBETSBLAD!$E$31:$E$32,$E$132,ARBETSBLAD!AC31:AC32)*AC$57*$C$127</f>
        <v>0</v>
      </c>
      <c r="AD132" s="1443">
        <f>SUMIF(ARBETSBLAD!$E$31:$E$32,$E$132,ARBETSBLAD!AD31:AD32)*AD$57*$C$127</f>
        <v>0</v>
      </c>
      <c r="AE132" s="1443">
        <f>SUMIF(ARBETSBLAD!$E$31:$E$32,$E$132,ARBETSBLAD!AE31:AE32)*AE$57*$C$127</f>
        <v>0</v>
      </c>
      <c r="AF132" s="1443">
        <f>SUMIF(ARBETSBLAD!$E$31:$E$32,$E$132,ARBETSBLAD!AF31:AF32)*AF$57*$C$127</f>
        <v>0</v>
      </c>
      <c r="AG132" s="1444"/>
      <c r="AH132" s="1627"/>
      <c r="AI132" s="1355"/>
      <c r="AJ132" s="1627"/>
      <c r="AL132" s="1356"/>
      <c r="AM132" s="1357"/>
      <c r="AN132" s="1437"/>
    </row>
    <row r="133" spans="1:40" s="1349" customFormat="1" ht="12.75" hidden="1" customHeight="1">
      <c r="A133" s="1270"/>
      <c r="B133" s="1317"/>
      <c r="E133" s="1373"/>
      <c r="F133" s="1368"/>
      <c r="G133" s="1374" t="s">
        <v>211</v>
      </c>
      <c r="H133" s="1368"/>
      <c r="I133" s="1375">
        <f>SUMIFS(I95:I113,$E95:$E113,$E95)</f>
        <v>0</v>
      </c>
      <c r="J133" s="1375">
        <f>SUMIFS(J95:J113,$E95:$E113,$E95)+SUMIFS(I95:I113,$E95:$E113,$E96)</f>
        <v>0</v>
      </c>
      <c r="K133" s="1375">
        <f>SUMIFS(K95:K113,$E95:$E113,$E95)+SUMIFS(J95:J113,$E95:$E113,$E96)+SUMIFS(I95:I113,$E95:$E113,$E97)</f>
        <v>0</v>
      </c>
      <c r="L133" s="1375">
        <f>SUMIFS(L95:L113,$E95:$E113,$E95)+SUMIFS(K95:K113,$E95:$E113,$E96)+SUMIFS(J95:J113,$E95:$E113,$E97)+SUMIFS(I95:I113,$E95:$E113,$E98)</f>
        <v>0</v>
      </c>
      <c r="M133" s="1375">
        <f>SUMIFS(M95:M113,$E95:$E113,$E95)+SUMIFS(L95:L113,$E95:$E113,$E96)+SUMIFS(K95:K113,$E95:$E113,$E97)+SUMIFS(J95:J113,$E95:$E113,$E98)+SUMIFS(I126:I132,$E126:$E132,$E126)</f>
        <v>0</v>
      </c>
      <c r="N133" s="1375">
        <f>SUMIFS(N95:N113,$E95:$E113,$E95)+SUMIFS(M95:M113,$E95:$E113,$E96)+SUMIFS(L95:L113,$E95:$E113,$E97)+SUMIFS(K95:K113,$E95:$E113,$E98)+SUMIFS(J126:J132,$E126:$E132,$E126)+SUMIFS(I126:I132,$E126:$E132,$E127)</f>
        <v>0</v>
      </c>
      <c r="O133" s="1375">
        <f>SUMIFS(O95:O113,$E95:$E113,$E95)+SUMIFS(N95:N113,$E95:$E113,$E96)+SUMIFS(M95:M113,$E95:$E113,$E97)+SUMIFS(L95:L113,$E95:$E113,$E98)+SUMIFS(K126:K132,$E126:$E132,$E126)+SUMIFS(J126:J132,$E126:$E132,$E127)+SUMIFS(I126:I132,$E126:$E132,$E128)</f>
        <v>0</v>
      </c>
      <c r="P133" s="1375">
        <f>SUMIFS(P95:P113,$E95:$E113,$E95)+SUMIFS(O95:O113,$E95:$E113,$E96)+SUMIFS(N95:N113,$E95:$E113,$E97)+SUMIFS(M95:M113,$E95:$E113,$E98)+SUMIFS(L126:L132,$E126:$E132,$E126)+SUMIFS(K126:K132,$E126:$E132,$E127)+SUMIFS(J126:J132,$E126:$E132,$E128)+SUMIFS(I126:I132,$E126:$E132,$E129)</f>
        <v>0</v>
      </c>
      <c r="Q133" s="1375">
        <f>SUMIFS(Q95:Q113,$E95:$E113,$E95)+SUMIFS(P95:P113,$E95:$E113,$E96)+SUMIFS(O95:O113,$E95:$E113,$E97)+SUMIFS(N95:N113,$E95:$E113,$E98)+SUMIFS(M126:M132,$E126:$E132,$E126)+SUMIFS(L126:L132,$E126:$E132,$E127)+SUMIFS(K126:K132,$E126:$E132,$E128)+SUMIFS(J126:J132,$E126:$E132,$E129)+SUMIFS(I126:I132,$E126:$E132,$E130)</f>
        <v>0</v>
      </c>
      <c r="R133" s="1375">
        <f>SUMIFS(R95:R113,$E95:$E113,$E95)+SUMIFS(Q95:Q113,$E95:$E113,$E96)+SUMIFS(P95:P113,$E95:$E113,$E97)+SUMIFS(O95:O113,$E95:$E113,$E98)+SUMIFS(N126:N132,$E126:$E132,$E126)+SUMIFS(M126:M132,$E126:$E132,$E127)+SUMIFS(L126:L132,$E126:$E132,$E128)+SUMIFS(K126:K132,$E126:$E132,$E129)+SUMIFS(J126:J132,$E126:$E132,$E130)+SUMIFS(I126:I132,$E126:$E132,$E131)</f>
        <v>0</v>
      </c>
      <c r="S133" s="1375">
        <f>SUMIFS(S95:S113,$E95:$E113,$E95)+SUMIFS(R95:R113,$E95:$E113,$E96)+SUMIFS(Q95:Q113,$E95:$E113,$E97)+SUMIFS(P95:P113,$E95:$E113,$E98)+SUMIFS(O126:O132,$E126:$E132,$E126)+SUMIFS(N126:N132,$E126:$E132,$E127)+SUMIFS(M126:M132,$E126:$E132,$E128)+SUMIFS(L126:L132,$E126:$E132,$E129)+SUMIFS(K126:K132,$E126:$E132,$E130)+SUMIFS(J126:J132,$E126:$E132,$E131)+SUMIFS(I126:I132,$E126:$E132,$E132)</f>
        <v>0</v>
      </c>
      <c r="T133" s="1375">
        <f t="shared" ref="T133:AF133" si="29">SUMIFS(T95:T113,$E95:$E113,$E95)+SUMIFS(S95:S113,$E95:$E113,$E96)+SUMIFS(R95:R113,$E95:$E113,$E97)+SUMIFS(Q95:Q113,$E95:$E113,$E98)+SUMIFS(P126:P132,$E126:$E132,$E126)+SUMIFS(O126:O132,$E126:$E132,$E127)+SUMIFS(N126:N132,$E126:$E132,$E128)+SUMIFS(M126:M132,$E126:$E132,$E129)+SUMIFS(L126:L132,$E126:$E132,$E130)+SUMIFS(K126:K132,$E126:$E132,$E131)+SUMIFS(J126:J132,$E126:$E132,$E132)</f>
        <v>0</v>
      </c>
      <c r="U133" s="1375">
        <f t="shared" si="29"/>
        <v>0</v>
      </c>
      <c r="V133" s="1375">
        <f t="shared" si="29"/>
        <v>0</v>
      </c>
      <c r="W133" s="1375">
        <f t="shared" si="29"/>
        <v>0</v>
      </c>
      <c r="X133" s="1375">
        <f t="shared" si="29"/>
        <v>0</v>
      </c>
      <c r="Y133" s="1375">
        <f t="shared" si="29"/>
        <v>0</v>
      </c>
      <c r="Z133" s="1375">
        <f t="shared" si="29"/>
        <v>0</v>
      </c>
      <c r="AA133" s="1375">
        <f t="shared" si="29"/>
        <v>0</v>
      </c>
      <c r="AB133" s="1375">
        <f t="shared" si="29"/>
        <v>0</v>
      </c>
      <c r="AC133" s="1375">
        <f t="shared" si="29"/>
        <v>0</v>
      </c>
      <c r="AD133" s="1375">
        <f t="shared" si="29"/>
        <v>0</v>
      </c>
      <c r="AE133" s="1375">
        <f t="shared" si="29"/>
        <v>0</v>
      </c>
      <c r="AF133" s="1375">
        <f t="shared" si="29"/>
        <v>0</v>
      </c>
      <c r="AH133" s="1354">
        <f t="shared" si="26"/>
        <v>0</v>
      </c>
      <c r="AI133" s="1355"/>
      <c r="AJ133" s="1354">
        <f t="shared" si="27"/>
        <v>0</v>
      </c>
      <c r="AL133" s="1376"/>
      <c r="AM133" s="1377"/>
      <c r="AN133" s="1378"/>
    </row>
    <row r="134" spans="1:40" s="1349" customFormat="1" ht="12.75" hidden="1" customHeight="1">
      <c r="A134" s="1270"/>
      <c r="B134" s="1317"/>
      <c r="E134" s="1373"/>
      <c r="F134" s="1368"/>
      <c r="G134" s="1374" t="s">
        <v>216</v>
      </c>
      <c r="H134" s="1368"/>
      <c r="I134" s="1353">
        <f>G100*I100+G105*I105+G110*I110</f>
        <v>0</v>
      </c>
      <c r="J134" s="1353">
        <f>$G95*J95+$G100*J100+$G105*J105+$G110*J110+$G96*I96+$G101*I101+$G106*I106+$G111*I111</f>
        <v>0</v>
      </c>
      <c r="K134" s="1353">
        <f>$G95*K95+$G100*K100+$G105*K105+$G110*K110+$G96*J96+$G101*J101+$G106*J106+$G111*J111+$G97*I97+$G102*I102+$G107*I107+$G112*I112</f>
        <v>0</v>
      </c>
      <c r="L134" s="1353">
        <f>$G95*L95+$G100*L100+$G105*L105+$G110*L110+$G96*K96+$G101*K101+$G106*K106+$G111*K111+$G97*J97+$G102*J102+$G107*J107+$G112*J112+$G98*I98+$G103*I103+$G108*I108+$G113*I113</f>
        <v>0</v>
      </c>
      <c r="M134" s="1353">
        <f>$G95*M95+$G100*M100+$G105*M105+$G110*M110+$G96*L96+$G101*L101+$G106*L106+$G111*L111+$G97*K97+$G102*K102+$G107*K107+$G112*K112+$G98*J98+$G103*J103+$G108*J108+$G113*J113+I126*$G$126</f>
        <v>0</v>
      </c>
      <c r="N134" s="1353">
        <f>$G95*N95+$G100*N100+$G105*N105+$G110*N110+$G96*M96+$G101*M101+$G106*M106+$G111*M111+$G97*L97+$G102*L102+$G107*L107+$G112*L112+$G98*K98+$G103*K103+$G108*K108+$G113*K113+J126*$G$126+I127*$G$127</f>
        <v>0</v>
      </c>
      <c r="O134" s="1353">
        <f>$G95*O95+$G100*O100+$G105*O105+$G110*O110+$G96*N96+$G101*N101+$G106*N106+$G111*N111+$G97*M97+$G102*M102+$G107*M107+$G112*M112+$G98*L98+$G103*L103+$G108*L108+$G113*L113+K126*$G$126+J127*$G$127+I128*$G$128</f>
        <v>0</v>
      </c>
      <c r="P134" s="1353">
        <f>$G95*P95+$G100*P100+$G105*P105+$G110*P110+$G96*O96+$G101*O101+$G106*O106+$G111*O111+$G97*N97+$G102*N102+$G107*N107+$G112*N112+$G98*M98+$G103*M103+$G108*M108+$G113*M113+L126*$G$126+K127*$G$127+J128*$G$128+I129*$G$129</f>
        <v>0</v>
      </c>
      <c r="Q134" s="1353">
        <f>$G95*Q95+$G100*Q100+$G105*Q105+$G110*Q110+$G96*P96+$G101*P101+$G106*P106+$G111*P111+$G97*O97+$G102*O102+$G107*O107+$G112*O112+$G98*N98+$G103*N103+$G108*N108+$G113*N113+M126*$G$126+L127*$G$127+K128*$G$128+J129*$G$129+I130*$G$130</f>
        <v>0</v>
      </c>
      <c r="R134" s="1353">
        <f>$G95*R95+$G100*R100+$G105*R105+$G110*R110+$G96*Q96+$G101*Q101+$G106*Q106+$G111*Q111+$G97*P97+$G102*P102+$G107*P107+$G112*P112+$G98*O98+$G103*O103+$G108*O108+$G113*O113+N126*$G$126+M127*$G$127+L128*$G$128+K129*$G$129+J130*$G$130+I131*$G$131</f>
        <v>0</v>
      </c>
      <c r="S134" s="1353">
        <f>$G95*S95+$G100*S100+$G105*S105+$G110*S110+$G96*R96+$G101*R101+$G106*R106+$G111*R111+$G97*Q97+$G102*Q102+$G107*Q107+$G112*Q112+$G98*P98+$G103*P103+$G108*P108+$G113*P113+O126*$G$126+N127*$G$127+M128*$G$128+L129*$G$129+K130*$G$130+J131*$G$131+I132*$G$132</f>
        <v>0</v>
      </c>
      <c r="T134" s="1353">
        <f t="shared" ref="T134:AF134" si="30">$G95*T95+$G100*T100+$G105*T105+$G110*T110+$G96*S96+$G101*S101+$G106*S106+$G111*S111+$G97*R97+$G102*R102+$G107*R107+$G112*R112+$G98*Q98+$G103*Q103+$G108*Q108+$G113*Q113+P126*$G$126+O127*$G$127+N128*$G$128+M129*$G$129+L130*$G$130+K131*$G$131+J132*$G$132</f>
        <v>0</v>
      </c>
      <c r="U134" s="1353">
        <f t="shared" si="30"/>
        <v>0</v>
      </c>
      <c r="V134" s="1353">
        <f t="shared" si="30"/>
        <v>0</v>
      </c>
      <c r="W134" s="1353">
        <f t="shared" si="30"/>
        <v>0</v>
      </c>
      <c r="X134" s="1353">
        <f t="shared" si="30"/>
        <v>0</v>
      </c>
      <c r="Y134" s="1353">
        <f t="shared" si="30"/>
        <v>0</v>
      </c>
      <c r="Z134" s="1353">
        <f t="shared" si="30"/>
        <v>0</v>
      </c>
      <c r="AA134" s="1353">
        <f t="shared" si="30"/>
        <v>0</v>
      </c>
      <c r="AB134" s="1353">
        <f t="shared" si="30"/>
        <v>0</v>
      </c>
      <c r="AC134" s="1353">
        <f t="shared" si="30"/>
        <v>0</v>
      </c>
      <c r="AD134" s="1353">
        <f t="shared" si="30"/>
        <v>0</v>
      </c>
      <c r="AE134" s="1353">
        <f t="shared" si="30"/>
        <v>0</v>
      </c>
      <c r="AF134" s="1353">
        <f t="shared" si="30"/>
        <v>0</v>
      </c>
      <c r="AH134" s="1354"/>
      <c r="AI134" s="1355"/>
      <c r="AJ134" s="1354"/>
      <c r="AL134" s="1376"/>
      <c r="AM134" s="1377"/>
      <c r="AN134" s="1378"/>
    </row>
    <row r="135" spans="1:40" s="1349" customFormat="1" ht="12.75" hidden="1" customHeight="1">
      <c r="A135" s="1270"/>
      <c r="B135" s="1317"/>
      <c r="E135" s="1373"/>
      <c r="F135" s="1368"/>
      <c r="G135" s="1374" t="s">
        <v>259</v>
      </c>
      <c r="H135" s="1368"/>
      <c r="I135" s="1379">
        <f>$G95*SUM(I95:I98)+$G100*SUM(I100:I103)+$G105*SUM(I105:I108)+$G110*SUM(I110:I113)+$G$126*SUM(I126:I132)</f>
        <v>0</v>
      </c>
      <c r="J135" s="1379">
        <f t="shared" ref="J135:AF135" si="31">$G95*SUM(J95:J98)+$G100*SUM(J100:J103)+$G105*SUM(J105:J108)+$G110*SUM(J110:J113)+$G$126*SUM(J126:J132)</f>
        <v>0</v>
      </c>
      <c r="K135" s="1379">
        <f t="shared" si="31"/>
        <v>0</v>
      </c>
      <c r="L135" s="1379">
        <f t="shared" si="31"/>
        <v>0</v>
      </c>
      <c r="M135" s="1379">
        <f t="shared" si="31"/>
        <v>0</v>
      </c>
      <c r="N135" s="1379">
        <f t="shared" si="31"/>
        <v>0</v>
      </c>
      <c r="O135" s="1379">
        <f t="shared" si="31"/>
        <v>0</v>
      </c>
      <c r="P135" s="1379">
        <f t="shared" si="31"/>
        <v>0</v>
      </c>
      <c r="Q135" s="1379">
        <f t="shared" si="31"/>
        <v>0</v>
      </c>
      <c r="R135" s="1379">
        <f t="shared" si="31"/>
        <v>0</v>
      </c>
      <c r="S135" s="1379">
        <f t="shared" si="31"/>
        <v>0</v>
      </c>
      <c r="T135" s="1379">
        <f t="shared" si="31"/>
        <v>0</v>
      </c>
      <c r="U135" s="1379">
        <f t="shared" si="31"/>
        <v>0</v>
      </c>
      <c r="V135" s="1379">
        <f t="shared" si="31"/>
        <v>0</v>
      </c>
      <c r="W135" s="1379">
        <f t="shared" si="31"/>
        <v>0</v>
      </c>
      <c r="X135" s="1379">
        <f t="shared" si="31"/>
        <v>0</v>
      </c>
      <c r="Y135" s="1379">
        <f t="shared" si="31"/>
        <v>0</v>
      </c>
      <c r="Z135" s="1379">
        <f t="shared" si="31"/>
        <v>0</v>
      </c>
      <c r="AA135" s="1379">
        <f t="shared" si="31"/>
        <v>0</v>
      </c>
      <c r="AB135" s="1379">
        <f t="shared" si="31"/>
        <v>0</v>
      </c>
      <c r="AC135" s="1379">
        <f t="shared" si="31"/>
        <v>0</v>
      </c>
      <c r="AD135" s="1379">
        <f t="shared" si="31"/>
        <v>0</v>
      </c>
      <c r="AE135" s="1379">
        <f t="shared" si="31"/>
        <v>0</v>
      </c>
      <c r="AF135" s="1379">
        <f t="shared" si="31"/>
        <v>0</v>
      </c>
      <c r="AH135" s="1354"/>
      <c r="AI135" s="1355"/>
      <c r="AJ135" s="1354"/>
      <c r="AL135" s="1376"/>
      <c r="AM135" s="1377"/>
      <c r="AN135" s="1378"/>
    </row>
    <row r="136" spans="1:40" s="1349" customFormat="1" ht="12.75" hidden="1" customHeight="1">
      <c r="A136" s="1270"/>
      <c r="B136" s="1317"/>
      <c r="E136" s="1373"/>
      <c r="F136" s="1368"/>
      <c r="G136" s="1374" t="s">
        <v>260</v>
      </c>
      <c r="H136" s="1368"/>
      <c r="I136" s="1380">
        <f>$G95*I95+$G100*I100+$G105*I105+$G110*I110</f>
        <v>0</v>
      </c>
      <c r="J136" s="1380">
        <f>$G95*J95+$G100*J100+$G105*J105+$G110*J110+$G96*I96+$G101*I101+$G106*I106+$G111*I111</f>
        <v>0</v>
      </c>
      <c r="K136" s="1380">
        <f>$G95*K95+$G100*K100+$G105*K105+$G110*K110+$G96*J96+$G101*J101+$G106*J106+$G111*J111+$G97*I97+$G102*I102+$G107*I107+$G112*I112</f>
        <v>0</v>
      </c>
      <c r="L136" s="1380">
        <f t="shared" ref="L136:AF136" si="32">$G95*L95+$G100*L100+$G105*L105+$G110*L110+$G96*K96+$G101*K101+$G106*K106+$G111*K111+$G97*J97+$G102*J102+$G107*J107+$G112*J112+$G98*I98+$G103*I103+$G108*I108+$G113*I113</f>
        <v>0</v>
      </c>
      <c r="M136" s="1380">
        <f t="shared" si="32"/>
        <v>0</v>
      </c>
      <c r="N136" s="1380">
        <f t="shared" si="32"/>
        <v>0</v>
      </c>
      <c r="O136" s="1380">
        <f t="shared" si="32"/>
        <v>0</v>
      </c>
      <c r="P136" s="1381">
        <f t="shared" si="32"/>
        <v>0</v>
      </c>
      <c r="Q136" s="1381">
        <f t="shared" si="32"/>
        <v>0</v>
      </c>
      <c r="R136" s="1381">
        <f t="shared" si="32"/>
        <v>0</v>
      </c>
      <c r="S136" s="1381">
        <f t="shared" si="32"/>
        <v>0</v>
      </c>
      <c r="T136" s="1381">
        <f t="shared" si="32"/>
        <v>0</v>
      </c>
      <c r="U136" s="1381">
        <f t="shared" si="32"/>
        <v>0</v>
      </c>
      <c r="V136" s="1381">
        <f t="shared" si="32"/>
        <v>0</v>
      </c>
      <c r="W136" s="1381">
        <f t="shared" si="32"/>
        <v>0</v>
      </c>
      <c r="X136" s="1381">
        <f t="shared" si="32"/>
        <v>0</v>
      </c>
      <c r="Y136" s="1381">
        <f t="shared" si="32"/>
        <v>0</v>
      </c>
      <c r="Z136" s="1380">
        <f t="shared" si="32"/>
        <v>0</v>
      </c>
      <c r="AA136" s="1380">
        <f t="shared" si="32"/>
        <v>0</v>
      </c>
      <c r="AB136" s="1380">
        <f t="shared" si="32"/>
        <v>0</v>
      </c>
      <c r="AC136" s="1380">
        <f t="shared" si="32"/>
        <v>0</v>
      </c>
      <c r="AD136" s="1380">
        <f t="shared" si="32"/>
        <v>0</v>
      </c>
      <c r="AE136" s="1380">
        <f t="shared" si="32"/>
        <v>0</v>
      </c>
      <c r="AF136" s="1380">
        <f t="shared" si="32"/>
        <v>0</v>
      </c>
      <c r="AH136" s="1354"/>
      <c r="AI136" s="1355"/>
      <c r="AJ136" s="1354"/>
      <c r="AL136" s="1376"/>
      <c r="AM136" s="1377"/>
      <c r="AN136" s="1378"/>
    </row>
    <row r="137" spans="1:40" s="1372" customFormat="1" ht="12.75" hidden="1" customHeight="1">
      <c r="A137" s="1270"/>
      <c r="B137" s="1343"/>
      <c r="E137" s="1382"/>
      <c r="F137" s="1383"/>
      <c r="G137" s="1384" t="s">
        <v>223</v>
      </c>
      <c r="H137" s="1383"/>
      <c r="I137" s="1385">
        <f>SUM(I95:I113)+SUM(I126:I132)-I133</f>
        <v>0</v>
      </c>
      <c r="J137" s="1385">
        <f>SUM($I$95:J113)+SUM($I$126:J132)-SUM($I$133:J133)</f>
        <v>0</v>
      </c>
      <c r="K137" s="1385">
        <f>SUM($I$95:K113)+SUM($I$126:K132)-SUM($I$133:K133)</f>
        <v>0</v>
      </c>
      <c r="L137" s="1385">
        <f>SUM($I$95:L113)+SUM($I$126:L132)-SUM($I$133:L133)</f>
        <v>0</v>
      </c>
      <c r="M137" s="1385">
        <f>SUM($I$95:M113)+SUM($I$126:M132)-SUM($I$133:M133)</f>
        <v>0</v>
      </c>
      <c r="N137" s="1385">
        <f>SUM($I$95:N113)+SUM($I$126:N132)-SUM($I$133:N133)</f>
        <v>0</v>
      </c>
      <c r="O137" s="1385">
        <f>SUM($I$95:O113)+SUM($I$126:O132)-SUM($I$133:O133)</f>
        <v>0</v>
      </c>
      <c r="P137" s="1385">
        <f>SUM($I$95:P113)+SUM($I$126:P132)-SUM($I$133:P133)</f>
        <v>0</v>
      </c>
      <c r="Q137" s="1385">
        <f>SUM($I$95:Q113)+SUM($I$126:Q132)-SUM($I$133:Q133)</f>
        <v>0</v>
      </c>
      <c r="R137" s="1385">
        <f>SUM($I$95:R113)+SUM($I$126:R132)-SUM($I$133:R133)</f>
        <v>0</v>
      </c>
      <c r="S137" s="1385">
        <f>SUM($I$95:S113)+SUM($I$126:S132)-SUM($I$133:S133)</f>
        <v>0</v>
      </c>
      <c r="T137" s="1385">
        <f>SUM($I$95:T113)+SUM($I$126:T132)-SUM($I$133:T133)</f>
        <v>0</v>
      </c>
      <c r="U137" s="1385">
        <f>SUM($I$95:U113)+SUM($I$126:U132)-SUM($I$133:U133)</f>
        <v>0</v>
      </c>
      <c r="V137" s="1385">
        <f>SUM($I$95:V113)+SUM($I$126:V132)-SUM($I$133:V133)</f>
        <v>0</v>
      </c>
      <c r="W137" s="1385">
        <f>SUM($I$95:W113)+SUM($I$126:W132)-SUM($I$133:W133)</f>
        <v>0</v>
      </c>
      <c r="X137" s="1385">
        <f>SUM($I$95:X113)+SUM($I$126:X132)-SUM($I$133:X133)</f>
        <v>0</v>
      </c>
      <c r="Y137" s="1385">
        <f>SUM($I$95:Y113)+SUM($I$126:Y132)-SUM($I$133:Y133)</f>
        <v>0</v>
      </c>
      <c r="Z137" s="1385">
        <f>SUM($I$95:Z113)+SUM($I$126:Z132)-SUM($I$133:Z133)</f>
        <v>0</v>
      </c>
      <c r="AA137" s="1385">
        <f>SUM($I$95:AA113)+SUM($I$126:AA132)-SUM($I$133:AA133)</f>
        <v>0</v>
      </c>
      <c r="AB137" s="1385">
        <f>SUM($I$95:AB113)+SUM($I$126:AB132)-SUM($I$133:AB133)</f>
        <v>0</v>
      </c>
      <c r="AC137" s="1385">
        <f>SUM($I$95:AC113)+SUM($I$126:AC132)-SUM($I$133:AC133)</f>
        <v>0</v>
      </c>
      <c r="AD137" s="1385">
        <f>SUM($I$95:AD113)+SUM($I$126:AD132)-SUM($I$133:AD133)</f>
        <v>0</v>
      </c>
      <c r="AE137" s="1385">
        <f>SUM($I$95:AE113)+SUM($I$126:AE132)-SUM($I$133:AE133)</f>
        <v>0</v>
      </c>
      <c r="AF137" s="1385">
        <f>SUM($I$95:AF113)+SUM($I$126:AF132)-SUM($I$133:AF133)</f>
        <v>0</v>
      </c>
      <c r="AH137" s="1386"/>
      <c r="AI137" s="1387"/>
      <c r="AJ137" s="1386"/>
      <c r="AL137" s="1376"/>
      <c r="AM137" s="1377"/>
      <c r="AN137" s="1378"/>
    </row>
    <row r="138" spans="1:40" s="1372" customFormat="1" ht="12.75" hidden="1" customHeight="1">
      <c r="A138" s="1270"/>
      <c r="B138" s="1343"/>
      <c r="E138" s="1382"/>
      <c r="F138" s="1383"/>
      <c r="G138" s="1384" t="s">
        <v>228</v>
      </c>
      <c r="H138" s="1383"/>
      <c r="I138" s="1353">
        <f>I137+I135-I134</f>
        <v>0</v>
      </c>
      <c r="J138" s="1353">
        <f>J137+SUM($I$135:J135)-SUM($I$134:J134)</f>
        <v>0</v>
      </c>
      <c r="K138" s="1353">
        <f>K137+SUM($I$135:K135)-SUM($I$134:K134)</f>
        <v>0</v>
      </c>
      <c r="L138" s="1353">
        <f>L137+SUM($I$135:L135)-SUM($I$134:L134)</f>
        <v>0</v>
      </c>
      <c r="M138" s="1353">
        <f>M137+SUM($I$135:M135)-SUM($I$134:M134)</f>
        <v>0</v>
      </c>
      <c r="N138" s="1353">
        <f>N137+SUM($I$135:N135)-SUM($I$134:N134)</f>
        <v>0</v>
      </c>
      <c r="O138" s="1353">
        <f>O137+SUM($I$135:O135)-SUM($I$134:O134)</f>
        <v>0</v>
      </c>
      <c r="P138" s="1353">
        <f>P137+SUM($I$135:P135)-SUM($I$134:P134)</f>
        <v>0</v>
      </c>
      <c r="Q138" s="1353">
        <f>Q137+SUM($I$135:Q135)-SUM($I$134:Q134)</f>
        <v>0</v>
      </c>
      <c r="R138" s="1353">
        <f>R137+SUM($I$135:R135)-SUM($I$134:R134)</f>
        <v>0</v>
      </c>
      <c r="S138" s="1353">
        <f>S137+SUM($I$135:S135)-SUM($I$134:S134)</f>
        <v>0</v>
      </c>
      <c r="T138" s="1353">
        <f>T137+SUM($I$135:T135)-SUM($I$134:T134)</f>
        <v>0</v>
      </c>
      <c r="U138" s="1353">
        <f>U137+SUM($I$135:U135)-SUM($I$134:U134)</f>
        <v>0</v>
      </c>
      <c r="V138" s="1353">
        <f>V137+SUM($I$135:V135)-SUM($I$134:V134)</f>
        <v>0</v>
      </c>
      <c r="W138" s="1353">
        <f>W137+SUM($I$135:W135)-SUM($I$134:W134)</f>
        <v>0</v>
      </c>
      <c r="X138" s="1353">
        <f>X137+SUM($I$135:X135)-SUM($I$134:X134)</f>
        <v>0</v>
      </c>
      <c r="Y138" s="1353">
        <f>Y137+SUM($I$135:Y135)-SUM($I$134:Y134)</f>
        <v>0</v>
      </c>
      <c r="Z138" s="1353">
        <f>Z137+SUM($I$135:Z135)-SUM($I$134:Z134)</f>
        <v>0</v>
      </c>
      <c r="AA138" s="1353">
        <f>AA137+SUM($I$135:AA135)-SUM($I$134:AA134)</f>
        <v>0</v>
      </c>
      <c r="AB138" s="1353">
        <f>AB137+SUM($I$135:AB135)-SUM($I$134:AB134)</f>
        <v>0</v>
      </c>
      <c r="AC138" s="1353">
        <f>AC137+SUM($I$135:AC135)-SUM($I$134:AC134)</f>
        <v>0</v>
      </c>
      <c r="AD138" s="1353">
        <f>AD137+SUM($I$135:AD135)-SUM($I$134:AD134)</f>
        <v>0</v>
      </c>
      <c r="AE138" s="1353">
        <f>AE137+SUM($I$135:AE135)-SUM($I$134:AE134)</f>
        <v>0</v>
      </c>
      <c r="AF138" s="1353">
        <f>AF137+SUM($I$135:AF135)-SUM($I$134:AF134)</f>
        <v>0</v>
      </c>
      <c r="AH138" s="1386"/>
      <c r="AI138" s="1387"/>
      <c r="AJ138" s="1386"/>
      <c r="AL138" s="1376"/>
      <c r="AM138" s="1377"/>
      <c r="AN138" s="1378"/>
    </row>
    <row r="139" spans="1:40" s="1372" customFormat="1" ht="12.75" hidden="1" customHeight="1">
      <c r="A139" s="1270"/>
      <c r="E139" s="1382"/>
      <c r="F139" s="1383"/>
      <c r="G139" s="1388" t="s">
        <v>241</v>
      </c>
      <c r="H139" s="1383"/>
      <c r="I139" s="1389">
        <f>IF(I57=1,I135,0)</f>
        <v>0</v>
      </c>
      <c r="J139" s="1389">
        <f>IF(J57=1,SUM($I$135:J135)-I140,0)</f>
        <v>0</v>
      </c>
      <c r="K139" s="1389">
        <f>IF(K57=1,SUM($I$135:K135)-SUM($I$140:J140),0)</f>
        <v>0</v>
      </c>
      <c r="L139" s="1389">
        <f>IF(L57=1,SUM($I$135:L135)-SUM($I$140:K140),0)</f>
        <v>0</v>
      </c>
      <c r="M139" s="1389">
        <f>IF(M57=1,SUM($I$135:M135)-SUM($I$140:L140),0)</f>
        <v>0</v>
      </c>
      <c r="N139" s="1389">
        <f>IF(N57=1,SUM($I$135:N135)-SUM($I$140:M140),0)</f>
        <v>0</v>
      </c>
      <c r="O139" s="1389">
        <f>IF(O57=1,SUM($I$135:O135)-SUM($I$140:N140),0)</f>
        <v>0</v>
      </c>
      <c r="P139" s="1389">
        <f>IF(P57=1,SUM($I$135:P135)-SUM($I$140:O140),0)</f>
        <v>0</v>
      </c>
      <c r="Q139" s="1389">
        <f>IF(Q57=1,SUM($I$135:Q135)-SUM($I$140:P140),0)</f>
        <v>0</v>
      </c>
      <c r="R139" s="1389">
        <f>IF(R57=1,SUM($I$135:R135)-SUM($I$140:Q140),0)</f>
        <v>0</v>
      </c>
      <c r="S139" s="1389">
        <f>IF(S57=1,SUM($I$135:S135)-SUM($I$140:R140),0)</f>
        <v>0</v>
      </c>
      <c r="T139" s="1389">
        <f>IF(T57=1,SUM($I$135:T135)-SUM($I$140:S140),0)</f>
        <v>0</v>
      </c>
      <c r="U139" s="1389">
        <f>IF(U57=1,SUM($I$135:U135)-SUM($I$140:T140),0)</f>
        <v>0</v>
      </c>
      <c r="V139" s="1389">
        <f>IF(V57=1,SUM($I$135:V135)-SUM($I$140:U140),0)</f>
        <v>0</v>
      </c>
      <c r="W139" s="1389">
        <f>IF(W57=1,SUM($I$135:W135)-SUM($I$140:V140),0)</f>
        <v>0</v>
      </c>
      <c r="X139" s="1389">
        <f>IF(X57=1,SUM($I$135:X135)-SUM($I$140:W140),0)</f>
        <v>0</v>
      </c>
      <c r="Y139" s="1389">
        <f>IF(Y57=1,SUM($I$135:Y135)-SUM($I$140:X140),0)</f>
        <v>0</v>
      </c>
      <c r="Z139" s="1389">
        <f>IF(Z57=1,SUM($I$135:Z135)-SUM($I$140:Y140),0)</f>
        <v>0</v>
      </c>
      <c r="AA139" s="1389">
        <f>IF(AA57=1,SUM($I$135:AA135)-SUM($I$140:Z140),0)</f>
        <v>0</v>
      </c>
      <c r="AB139" s="1389">
        <f>IF(AB57=1,SUM($I$135:AB135)-SUM($I$140:AA140),0)</f>
        <v>0</v>
      </c>
      <c r="AC139" s="1389">
        <f>IF(AC57=1,SUM($I$135:AC135)-SUM($I$140:AB140),0)</f>
        <v>0</v>
      </c>
      <c r="AD139" s="1389">
        <f>IF(AD57=1,SUM($I$135:AD135)-SUM($I$140:AC140),0)</f>
        <v>0</v>
      </c>
      <c r="AE139" s="1389">
        <f>IF(AE57=1,SUM($I$135:AE135)-SUM($I$140:AD140),0)</f>
        <v>0</v>
      </c>
      <c r="AF139" s="1389">
        <f>IF(AF57=1,SUM($I$135:AF135)-SUM($I$140:AE140),0)</f>
        <v>0</v>
      </c>
      <c r="AH139" s="1386"/>
      <c r="AI139" s="1387"/>
      <c r="AJ139" s="1386"/>
      <c r="AL139" s="1376"/>
      <c r="AM139" s="1377"/>
      <c r="AN139" s="1390"/>
    </row>
    <row r="140" spans="1:40" s="1372" customFormat="1" ht="12.75" hidden="1" customHeight="1">
      <c r="A140" s="1270"/>
      <c r="E140" s="1382"/>
      <c r="F140" s="1383"/>
      <c r="G140" s="1388" t="s">
        <v>266</v>
      </c>
      <c r="H140" s="1383"/>
      <c r="I140" s="1391"/>
      <c r="J140" s="1391"/>
      <c r="K140" s="1391">
        <f t="shared" ref="K140:AF140" si="33">I135</f>
        <v>0</v>
      </c>
      <c r="L140" s="1391">
        <f t="shared" si="33"/>
        <v>0</v>
      </c>
      <c r="M140" s="1391">
        <f t="shared" si="33"/>
        <v>0</v>
      </c>
      <c r="N140" s="1391">
        <f t="shared" si="33"/>
        <v>0</v>
      </c>
      <c r="O140" s="1391">
        <f t="shared" si="33"/>
        <v>0</v>
      </c>
      <c r="P140" s="1391">
        <f t="shared" si="33"/>
        <v>0</v>
      </c>
      <c r="Q140" s="1391">
        <f t="shared" si="33"/>
        <v>0</v>
      </c>
      <c r="R140" s="1391">
        <f t="shared" si="33"/>
        <v>0</v>
      </c>
      <c r="S140" s="1391">
        <f t="shared" si="33"/>
        <v>0</v>
      </c>
      <c r="T140" s="1391">
        <f t="shared" si="33"/>
        <v>0</v>
      </c>
      <c r="U140" s="1392">
        <f t="shared" si="33"/>
        <v>0</v>
      </c>
      <c r="V140" s="1392">
        <f t="shared" si="33"/>
        <v>0</v>
      </c>
      <c r="W140" s="1392">
        <f t="shared" si="33"/>
        <v>0</v>
      </c>
      <c r="X140" s="1392">
        <f t="shared" si="33"/>
        <v>0</v>
      </c>
      <c r="Y140" s="1392">
        <f t="shared" si="33"/>
        <v>0</v>
      </c>
      <c r="Z140" s="1392">
        <f t="shared" si="33"/>
        <v>0</v>
      </c>
      <c r="AA140" s="1392">
        <f t="shared" si="33"/>
        <v>0</v>
      </c>
      <c r="AB140" s="1392">
        <f t="shared" si="33"/>
        <v>0</v>
      </c>
      <c r="AC140" s="1392">
        <f t="shared" si="33"/>
        <v>0</v>
      </c>
      <c r="AD140" s="1392">
        <f t="shared" si="33"/>
        <v>0</v>
      </c>
      <c r="AE140" s="1392">
        <f t="shared" si="33"/>
        <v>0</v>
      </c>
      <c r="AF140" s="1392">
        <f t="shared" si="33"/>
        <v>0</v>
      </c>
      <c r="AH140" s="1386"/>
      <c r="AI140" s="1387"/>
      <c r="AJ140" s="1386"/>
      <c r="AL140" s="1376"/>
      <c r="AM140" s="1377"/>
      <c r="AN140" s="1390"/>
    </row>
    <row r="141" spans="1:40" s="1372" customFormat="1" ht="12.75" hidden="1" customHeight="1">
      <c r="A141" s="1270"/>
      <c r="E141" s="1382"/>
      <c r="F141" s="1383"/>
      <c r="G141" s="1388" t="s">
        <v>267</v>
      </c>
      <c r="H141" s="1383"/>
      <c r="I141" s="1393">
        <f t="shared" ref="I141:AF141" si="34">I139-I140</f>
        <v>0</v>
      </c>
      <c r="J141" s="1393">
        <f t="shared" si="34"/>
        <v>0</v>
      </c>
      <c r="K141" s="1393">
        <f t="shared" si="34"/>
        <v>0</v>
      </c>
      <c r="L141" s="1393">
        <f t="shared" si="34"/>
        <v>0</v>
      </c>
      <c r="M141" s="1393">
        <f t="shared" si="34"/>
        <v>0</v>
      </c>
      <c r="N141" s="1393">
        <f t="shared" si="34"/>
        <v>0</v>
      </c>
      <c r="O141" s="1393">
        <f t="shared" si="34"/>
        <v>0</v>
      </c>
      <c r="P141" s="1393">
        <f t="shared" si="34"/>
        <v>0</v>
      </c>
      <c r="Q141" s="1393">
        <f t="shared" si="34"/>
        <v>0</v>
      </c>
      <c r="R141" s="1393">
        <f t="shared" si="34"/>
        <v>0</v>
      </c>
      <c r="S141" s="1393">
        <f t="shared" si="34"/>
        <v>0</v>
      </c>
      <c r="T141" s="1393">
        <f t="shared" si="34"/>
        <v>0</v>
      </c>
      <c r="U141" s="1394">
        <f t="shared" si="34"/>
        <v>0</v>
      </c>
      <c r="V141" s="1394">
        <f t="shared" si="34"/>
        <v>0</v>
      </c>
      <c r="W141" s="1394">
        <f t="shared" si="34"/>
        <v>0</v>
      </c>
      <c r="X141" s="1394">
        <f t="shared" si="34"/>
        <v>0</v>
      </c>
      <c r="Y141" s="1394">
        <f t="shared" si="34"/>
        <v>0</v>
      </c>
      <c r="Z141" s="1394">
        <f t="shared" si="34"/>
        <v>0</v>
      </c>
      <c r="AA141" s="1394">
        <f t="shared" si="34"/>
        <v>0</v>
      </c>
      <c r="AB141" s="1394">
        <f t="shared" si="34"/>
        <v>0</v>
      </c>
      <c r="AC141" s="1394">
        <f t="shared" si="34"/>
        <v>0</v>
      </c>
      <c r="AD141" s="1394">
        <f t="shared" si="34"/>
        <v>0</v>
      </c>
      <c r="AE141" s="1394">
        <f t="shared" si="34"/>
        <v>0</v>
      </c>
      <c r="AF141" s="1394">
        <f t="shared" si="34"/>
        <v>0</v>
      </c>
      <c r="AH141" s="1386"/>
      <c r="AI141" s="1387"/>
      <c r="AJ141" s="1386"/>
      <c r="AL141" s="1376"/>
      <c r="AM141" s="1377"/>
      <c r="AN141" s="1390"/>
    </row>
    <row r="142" spans="1:40" s="1372" customFormat="1" ht="12.75" hidden="1" customHeight="1">
      <c r="A142" s="1270"/>
      <c r="B142" s="1343"/>
      <c r="E142" s="1382"/>
      <c r="F142" s="1383"/>
      <c r="G142" s="1395" t="s">
        <v>261</v>
      </c>
      <c r="H142" s="1383"/>
      <c r="I142" s="1396">
        <f>IF(I57=1,SUM($I$135:I135),0)</f>
        <v>0</v>
      </c>
      <c r="J142" s="1396">
        <f>IF(J57=1,SUM($I$135:J135),0)</f>
        <v>0</v>
      </c>
      <c r="K142" s="1396">
        <f>IF(K57=1,SUM($I$135:K135),0)</f>
        <v>0</v>
      </c>
      <c r="L142" s="1396">
        <f>IF(L57=1,SUM($I$135:L135)-SUM($I$143:K143),0)</f>
        <v>0</v>
      </c>
      <c r="M142" s="1396">
        <f>IF(M57=1,SUM($I$135:M135)-SUM($I$143:L143),0)</f>
        <v>0</v>
      </c>
      <c r="N142" s="1396">
        <f>IF(N57=1,SUM($I$135:N135)-SUM($I$143:M143),0)</f>
        <v>0</v>
      </c>
      <c r="O142" s="1396">
        <f>IF(O57=1,SUM($I$135:O135)-SUM($I$143:N143),0)</f>
        <v>0</v>
      </c>
      <c r="P142" s="1396">
        <f>IF(P57=1,SUM($I$135:P135)-SUM($I$143:O143),0)</f>
        <v>0</v>
      </c>
      <c r="Q142" s="1396">
        <f>IF(Q57=1,SUM($I$135:Q135)-SUM($I$143:P143),0)</f>
        <v>0</v>
      </c>
      <c r="R142" s="1396">
        <f>IF(R57=1,SUM($I$135:R135)-SUM($I$143:Q143),0)</f>
        <v>0</v>
      </c>
      <c r="S142" s="1396">
        <f>IF(S57=1,SUM($I$135:S135)-SUM($I$143:R143),0)</f>
        <v>0</v>
      </c>
      <c r="T142" s="1396">
        <f>IF(T57=1,SUM($I$135:T135)-SUM($I$143:S143),0)</f>
        <v>0</v>
      </c>
      <c r="U142" s="1397">
        <f>IF(U57=1,SUM($I$135:U135)-SUM($I$143:T143),0)</f>
        <v>0</v>
      </c>
      <c r="V142" s="1397">
        <f>IF(V57=1,SUM($I$135:V135)-SUM($I$143:U143),0)</f>
        <v>0</v>
      </c>
      <c r="W142" s="1397">
        <f>IF(W57=1,SUM($I$135:W135)-SUM($I$143:V143),0)</f>
        <v>0</v>
      </c>
      <c r="X142" s="1397">
        <f>IF(X57=1,SUM($I$135:X135)-SUM($I$143:W143),0)</f>
        <v>0</v>
      </c>
      <c r="Y142" s="1397">
        <f>IF(Y57=1,SUM($I$135:Y135)-SUM($I$143:X143),0)</f>
        <v>0</v>
      </c>
      <c r="Z142" s="1397">
        <f>IF(Z57=1,SUM($I$135:Z135)-SUM($I$143:Y143),0)</f>
        <v>0</v>
      </c>
      <c r="AA142" s="1397">
        <f>IF(AA57=1,SUM($I$135:AA135)-SUM($I$143:Z143),0)</f>
        <v>0</v>
      </c>
      <c r="AB142" s="1397">
        <f>IF(AB57=1,SUM($I$135:AB135)-SUM($I$143:AA143),0)</f>
        <v>0</v>
      </c>
      <c r="AC142" s="1397">
        <f>IF(AC57=1,SUM($I$135:AC135)-SUM($I$143:AB143),0)</f>
        <v>0</v>
      </c>
      <c r="AD142" s="1397">
        <f>IF(AD57=1,SUM($I$135:AD135)-SUM($I$143:AC143),0)</f>
        <v>0</v>
      </c>
      <c r="AE142" s="1397">
        <f>IF(AE57=1,SUM($I$135:AE135)-SUM($I$143:AD143),0)</f>
        <v>0</v>
      </c>
      <c r="AF142" s="1397">
        <f>IF(AF57=1,SUM($I$135:AF135)-SUM($I$143:AE143),0)</f>
        <v>0</v>
      </c>
      <c r="AH142" s="1386"/>
      <c r="AI142" s="1387"/>
      <c r="AJ142" s="1386"/>
      <c r="AL142" s="1376"/>
      <c r="AM142" s="1377"/>
      <c r="AN142" s="1398"/>
    </row>
    <row r="143" spans="1:40" s="1372" customFormat="1" ht="12" hidden="1" customHeight="1">
      <c r="A143" s="1270"/>
      <c r="B143" s="1343"/>
      <c r="E143" s="1382"/>
      <c r="F143" s="1383"/>
      <c r="G143" s="1395" t="s">
        <v>262</v>
      </c>
      <c r="H143" s="1383"/>
      <c r="I143" s="1399"/>
      <c r="J143" s="1399"/>
      <c r="K143" s="1399">
        <f t="shared" ref="K143:U143" si="35">I136</f>
        <v>0</v>
      </c>
      <c r="L143" s="1399">
        <f t="shared" si="35"/>
        <v>0</v>
      </c>
      <c r="M143" s="1399">
        <f t="shared" si="35"/>
        <v>0</v>
      </c>
      <c r="N143" s="1399">
        <f t="shared" si="35"/>
        <v>0</v>
      </c>
      <c r="O143" s="1399">
        <f t="shared" si="35"/>
        <v>0</v>
      </c>
      <c r="P143" s="1399">
        <f t="shared" si="35"/>
        <v>0</v>
      </c>
      <c r="Q143" s="1399">
        <f t="shared" si="35"/>
        <v>0</v>
      </c>
      <c r="R143" s="1399">
        <f t="shared" si="35"/>
        <v>0</v>
      </c>
      <c r="S143" s="1399">
        <f t="shared" si="35"/>
        <v>0</v>
      </c>
      <c r="T143" s="1399">
        <f t="shared" si="35"/>
        <v>0</v>
      </c>
      <c r="U143" s="1399">
        <f t="shared" si="35"/>
        <v>0</v>
      </c>
      <c r="V143" s="1399">
        <f>IF(AND($G$149=3,$C$57=1),T136+SUM(R321:W321),IF(AND($G$149=2,$C$57=1),T136+SUM(R324:W324),IF(AND($G$149=1,$C$57=1),T136+SUM(R327:W327),T136)))</f>
        <v>0</v>
      </c>
      <c r="W143" s="1399">
        <f>IF(AND($G$149=3,$C$57=1),U136-(R321+U321+V321),IF(AND($G$149=2,$C$57=1),U136-R324-U324-W324,IF(AND($G$149=1,$C$57=1),U136-R327-T327-W327,U136)))</f>
        <v>0</v>
      </c>
      <c r="X143" s="1399">
        <f>IF(AND($G$149=3,$C$57=1),V136-W321-S321,IF(AND($G$149=2,$C$57=1),V136-S324-V324,IF(AND($G$149=1,$C$57=1),V136-S327-V327,V136)))</f>
        <v>0</v>
      </c>
      <c r="Y143" s="1399">
        <f>IF(AND($G$149=3,$C$57=1),W136-T321,IF(AND($G$149=2,$C$57=1),W136-T324,IF(AND($G$149=1,$C$57=1),W136-U327,W136)))</f>
        <v>0</v>
      </c>
      <c r="Z143" s="1399">
        <f t="shared" ref="Z143:AF143" si="36">X136</f>
        <v>0</v>
      </c>
      <c r="AA143" s="1399">
        <f t="shared" si="36"/>
        <v>0</v>
      </c>
      <c r="AB143" s="1399">
        <f t="shared" si="36"/>
        <v>0</v>
      </c>
      <c r="AC143" s="1399">
        <f t="shared" si="36"/>
        <v>0</v>
      </c>
      <c r="AD143" s="1399">
        <f t="shared" si="36"/>
        <v>0</v>
      </c>
      <c r="AE143" s="1399">
        <f t="shared" si="36"/>
        <v>0</v>
      </c>
      <c r="AF143" s="1399">
        <f t="shared" si="36"/>
        <v>0</v>
      </c>
      <c r="AH143" s="1386"/>
      <c r="AI143" s="1387"/>
      <c r="AJ143" s="1386"/>
      <c r="AL143" s="1376"/>
      <c r="AM143" s="1377"/>
      <c r="AN143" s="1398"/>
    </row>
    <row r="144" spans="1:40" s="1372" customFormat="1" ht="12" hidden="1" customHeight="1">
      <c r="A144" s="1270"/>
      <c r="B144" s="1343"/>
      <c r="E144" s="1382"/>
      <c r="F144" s="1383"/>
      <c r="G144" s="1395" t="s">
        <v>263</v>
      </c>
      <c r="H144" s="1383"/>
      <c r="I144" s="1396">
        <f t="shared" ref="I144:AF144" si="37">I142-I143</f>
        <v>0</v>
      </c>
      <c r="J144" s="1400">
        <f t="shared" si="37"/>
        <v>0</v>
      </c>
      <c r="K144" s="1400">
        <f t="shared" si="37"/>
        <v>0</v>
      </c>
      <c r="L144" s="1400">
        <f t="shared" si="37"/>
        <v>0</v>
      </c>
      <c r="M144" s="1400">
        <f t="shared" si="37"/>
        <v>0</v>
      </c>
      <c r="N144" s="1400">
        <f t="shared" si="37"/>
        <v>0</v>
      </c>
      <c r="O144" s="1400">
        <f t="shared" si="37"/>
        <v>0</v>
      </c>
      <c r="P144" s="1400">
        <f t="shared" si="37"/>
        <v>0</v>
      </c>
      <c r="Q144" s="1400">
        <f t="shared" si="37"/>
        <v>0</v>
      </c>
      <c r="R144" s="1400">
        <f t="shared" si="37"/>
        <v>0</v>
      </c>
      <c r="S144" s="1400">
        <f t="shared" si="37"/>
        <v>0</v>
      </c>
      <c r="T144" s="1400">
        <f t="shared" si="37"/>
        <v>0</v>
      </c>
      <c r="U144" s="1400">
        <f t="shared" si="37"/>
        <v>0</v>
      </c>
      <c r="V144" s="1400">
        <f t="shared" si="37"/>
        <v>0</v>
      </c>
      <c r="W144" s="1400">
        <f t="shared" si="37"/>
        <v>0</v>
      </c>
      <c r="X144" s="1400">
        <f t="shared" si="37"/>
        <v>0</v>
      </c>
      <c r="Y144" s="1400">
        <f t="shared" si="37"/>
        <v>0</v>
      </c>
      <c r="Z144" s="1400">
        <f t="shared" si="37"/>
        <v>0</v>
      </c>
      <c r="AA144" s="1400">
        <f t="shared" si="37"/>
        <v>0</v>
      </c>
      <c r="AB144" s="1400">
        <f t="shared" si="37"/>
        <v>0</v>
      </c>
      <c r="AC144" s="1400">
        <f t="shared" si="37"/>
        <v>0</v>
      </c>
      <c r="AD144" s="1400">
        <f t="shared" si="37"/>
        <v>0</v>
      </c>
      <c r="AE144" s="1400">
        <f t="shared" si="37"/>
        <v>0</v>
      </c>
      <c r="AF144" s="1400">
        <f t="shared" si="37"/>
        <v>0</v>
      </c>
      <c r="AH144" s="1386"/>
      <c r="AI144" s="1387"/>
      <c r="AJ144" s="1386"/>
      <c r="AL144" s="1376"/>
      <c r="AM144" s="1377"/>
      <c r="AN144" s="1398"/>
    </row>
    <row r="145" spans="1:40" s="1372" customFormat="1" ht="12" hidden="1" customHeight="1">
      <c r="A145" s="1270"/>
      <c r="B145" s="1343"/>
      <c r="E145" s="1382"/>
      <c r="F145" s="1383"/>
      <c r="G145" s="1401" t="s">
        <v>244</v>
      </c>
      <c r="H145" s="1383"/>
      <c r="I145" s="1402">
        <f>IF($C$57=1,I57*I135,0)</f>
        <v>0</v>
      </c>
      <c r="J145" s="1403">
        <f>IF($C$57=1,I57*I135+J57*J135,0)</f>
        <v>0</v>
      </c>
      <c r="K145" s="1404">
        <f>IF($C$57=1,I$57*I$135+J$57*J$135+K$57*K$135,0)</f>
        <v>0</v>
      </c>
      <c r="L145" s="1405">
        <f>IF($C$57=1,I$57*I$135+J$57*J$135+K$57*K$135+L$57*L$135,0)</f>
        <v>0</v>
      </c>
      <c r="M145" s="1403">
        <f>IF($C$57=1,I$57*I$135+J$57*J$135+K$57*K$135+L$57*L$135+M$57*M$135,0)</f>
        <v>0</v>
      </c>
      <c r="N145" s="1405">
        <f>IF($C$57=1,L$57*L$135+M$57*M$135+N$57*N$135,0)</f>
        <v>0</v>
      </c>
      <c r="O145" s="1404">
        <f>IF($C$57=1,L$57*L$135+M$57*M$135+N$57*N$135+O$57*O$135,IF($C$57=2,O57*O135))</f>
        <v>0</v>
      </c>
      <c r="P145" s="1403">
        <f>IF($C$57=1,L$57*L$135+M$57*M$135+N$57*N$135+O$57*O$135+P$57*P$135,IF($C$57=2,O$57*O$135+P$57*P$135))</f>
        <v>0</v>
      </c>
      <c r="Q145" s="1404">
        <f>IF($C$57=1,O$57*O$135+P$57*P$135+Q$57*Q$135,IF($C$57=2,O$57*O$135+P$57*P$135+Q$57*Q$135))</f>
        <v>0</v>
      </c>
      <c r="R145" s="1405">
        <f>IF($C$57=1,O$57*O$135+P$57*P$135+Q$57*Q$135+R$57*R$135,IF($C$57=2,O$57*O$135+P$57*P$135+Q$57*Q$135+R$57*R$135))</f>
        <v>0</v>
      </c>
      <c r="S145" s="1403">
        <f>IF($C$57=1,O$57*O$135+P$57*P$135+Q$57*Q$135+R$57*R$135+S$57*S$135,IF($C$57=2,O$57*O$135+P$57*P$135+Q$57*Q$135+R$57*R$135+S$57*S$135))</f>
        <v>0</v>
      </c>
      <c r="T145" s="1405">
        <f>IF($C$57=1,R$57*R$135+S$57*S$135+T$57*T$135,IF($C$57=2,R$57*R$135+S$57*S$135+T$57*T$135))</f>
        <v>0</v>
      </c>
      <c r="U145" s="1404">
        <f>IF($C$57=1,R$57*R$135+S$57*S$135+T$57*T$135+U$57*U$135,IF($C$57=2,R$57*R$135+S$57*S$135+T$57*T$135+U$57*U$135))</f>
        <v>0</v>
      </c>
      <c r="V145" s="1403">
        <f>IF($C$57=1,R$57*R$135+S$57*S$135+T$57*T$135+U$57*U$135+V$57*V$135,IF($C$57=2,R$57*R$135+S$57*S$135+T$57*T$135+U$57*U$135+V$57*V$135))</f>
        <v>0</v>
      </c>
      <c r="W145" s="1402">
        <f>IF($C$57=1,U$57*U$135+V$57*V$135+W$57*W$135,IF($C$57=2,U$57*U$135+V$57*V$135+W$57*W$135))</f>
        <v>0</v>
      </c>
      <c r="X145" s="1379">
        <f>IF($C$57=1,U$57*U$135+V$57*V$135+W$57*W$135+X$57*X$135,IF($C$57=2,U$57*U$135+V$57*V$135+W$57*W$135+X$57*X$135))</f>
        <v>0</v>
      </c>
      <c r="Y145" s="1403">
        <f>IF($C$57=1,U$57*U$135+V$57*V$135+W$57*W$135+X$57*X$135+Y$57*Y$135,IF($C$57=2,U$57*U$135+V$57*V$135+W$57*W$135+X$57*X$135+Y$57*Y$135))</f>
        <v>0</v>
      </c>
      <c r="Z145" s="1379">
        <f>IF($C$57=1,X$57*X$135+Y$57*Y$135+Z$57*Z$135,IF($C$57=2,X$57*X$135+Y$57*Y$135+Z$57*Z$135))</f>
        <v>0</v>
      </c>
      <c r="AA145" s="1379">
        <f>IF($C$57=1,X$57*X$135+Y$57*Y$135+Z$57*Z$135+AA$57*AA$135,IF($C$57=2,X$57*X$135+Y$57*Y$135+Z$57*Z$135+AA$57*AA$135))</f>
        <v>0</v>
      </c>
      <c r="AB145" s="1403">
        <f>IF($C$57=1,X$57*X$135+Y$57*Y$135+Z$57*Z$135+AA$57*AA$135+AB$57*AB$135,IF($C$57=2,X$57*X$135+Y$57*Y$135+Z$57*Z$135+AA$57*AA$135+AB$57*AB$135))</f>
        <v>0</v>
      </c>
      <c r="AC145" s="1379">
        <f>IF($C$57=1,AA$57*AA$135+AB$57*AB$135+AC$57*AC$135,IF($C$57=2,AA$57*AA$135+AB$57*AB$135+AC$57*AC$135))</f>
        <v>0</v>
      </c>
      <c r="AD145" s="1379">
        <f>IF($C$57=1,AA$57*AA$135+AB$57*AB$135+AC$57*AC$135+AD$57*AD$135,IF($C$57=2,AA$57*AA$135+AB$57*AB$135+AC$57*AC$135+AD$57*AD$135))</f>
        <v>0</v>
      </c>
      <c r="AE145" s="1403">
        <f>IF($C$57=1,AA$57*AA$135+AB$57*AB$135+AC$57*AC$135+AD$57*AD$135+AE$57*AE$135,IF($C$57=2,AA$57*AA$135+AB$57*AB$135+AC$57*AC$135+AD$57*AD$135+AE$57*AE$135))</f>
        <v>0</v>
      </c>
      <c r="AF145" s="1379">
        <f>IF($C$57=1,AD$57*AD$135+AE$57*AE$135+AF$57*AF$135,IF($C$57=2,AD$57*AD$135+AE$57*AE$135+AF$57*AF$135))</f>
        <v>0</v>
      </c>
      <c r="AH145" s="1386"/>
      <c r="AI145" s="1387"/>
      <c r="AJ145" s="1386"/>
      <c r="AL145" s="1376"/>
      <c r="AM145" s="1377"/>
      <c r="AN145" s="1406"/>
    </row>
    <row r="146" spans="1:40" s="1407" customFormat="1" ht="12" hidden="1" customHeight="1">
      <c r="A146" s="1270"/>
      <c r="B146" s="1328"/>
      <c r="E146" s="1376"/>
      <c r="F146" s="1377"/>
      <c r="G146" s="1401" t="s">
        <v>245</v>
      </c>
      <c r="H146" s="1377"/>
      <c r="I146" s="1408">
        <f>IF($C$57=1,I$57*I$135,0)</f>
        <v>0</v>
      </c>
      <c r="J146" s="1404">
        <f>IF($C$57=1,I$57*I$135+J$57*J$135,0)</f>
        <v>0</v>
      </c>
      <c r="K146" s="1403">
        <f>IF($C$57=1,I$57*I$135+J$57*J$135+K$57*K$135,0)</f>
        <v>0</v>
      </c>
      <c r="L146" s="1402">
        <f>IF($C$57=1,J$57*J$135+K$57*K$135+L$57*L$135,0)</f>
        <v>0</v>
      </c>
      <c r="M146" s="1405">
        <f>IF($C$57=1,J$57*J$135+K$57*K$135+L$57*L$135+M$57*M$135,0)</f>
        <v>0</v>
      </c>
      <c r="N146" s="1403">
        <f>IF($C$57=1,J$57*J$135+K$57*K$135+L$57*L$135+M$57*M$135+N$57*N$135,0)</f>
        <v>0</v>
      </c>
      <c r="O146" s="1405">
        <f>IF($C$57=1,M$57*M$135+N$57*N$135+O$57*O$135,IF($C$57=2,O$57*O$135))</f>
        <v>0</v>
      </c>
      <c r="P146" s="1404">
        <f>IF($C$57=1,M$57*M$135+N$57*N$135+O$57*O$135+P$57*P$135,IF($C$57=2,O$57*O$135+P$57*P$135))</f>
        <v>0</v>
      </c>
      <c r="Q146" s="1403">
        <f>IF($C$57=1,M$57*M$135+N$57*N$135+O$57*O$135+P$57*P$135+Q$57*Q$135,IF($C$57=2,O$57*O$135+P$57*P$135+Q$57*Q$135))</f>
        <v>0</v>
      </c>
      <c r="R146" s="1402">
        <f>IF($C$57=1,P$57*P$135+Q$57*Q$135+R$57*R$135,IF($C$57=2,P$57*P$135+Q$57*Q$135+R$57*R$135))</f>
        <v>0</v>
      </c>
      <c r="S146" s="1405">
        <f>IF($C$57=1,P$57*P$135+Q$57*Q$135+R$57*R$135+S$57*S$135,IF($C$57=2,P$57*P$135+Q$57*Q$135+R$57*R$135+S$57*S$135))</f>
        <v>0</v>
      </c>
      <c r="T146" s="1403">
        <f>IF($C$57=1,P$57*P$135+Q$57*Q$135+R$57*R$135+S$57*S$135+T$57*T$135,IF($C$57=2,P$57*P$135+Q$57*Q$135+R$57*R$135+S$57*S$135+T$57*T$135))</f>
        <v>0</v>
      </c>
      <c r="U146" s="1405">
        <f>IF($C$57=1,S$57*S$135+T$57*T$135+U$57*U$135,IF($C$57=2,S$57*S$135+T$57*T$135+U$57*U$135))</f>
        <v>0</v>
      </c>
      <c r="V146" s="1404">
        <f>IF($C$57=1,S$57*S$135+T$57*T$135+U$57*U$135+V$57*V$135,IF($C$57=2,S$57*S$135+T$57*T$135+U$57*U$135+V$57*V$135))</f>
        <v>0</v>
      </c>
      <c r="W146" s="1403">
        <f>IF($C$57=1,S$57*S$135+T$57*T$135+U$57*U$135+V$57*V$135+W$57*W$135,IF($C$57=2,S$57*S$135+T$57*T$135+U$57*U$135+V$57*V$135+W$57*W$135))</f>
        <v>0</v>
      </c>
      <c r="X146" s="1402">
        <f>IF($C$57=1,V$57*V$135+W$57*W$135+X$57*X$135,IF($C$57=2,V$57*V$135+W$57*W$135+X$57*X$135))</f>
        <v>0</v>
      </c>
      <c r="Y146" s="1409">
        <f>IF($C$57=1,V$57*V$135+W$57*W$135+X$57*X$135+Y$57*Y$135,IF($C$57=2,V$57*V$135+W$57*W$135+X$57*X$135+Y$57*Y$135))</f>
        <v>0</v>
      </c>
      <c r="Z146" s="1403">
        <f>IF($C$57=1,V$57*V$135+W$57*W$135+X$57*X$135+Y$57*Y$135+Z$57*Z$135,IF($C$57=2,V$57*V$135+W$57*W$135+X$57*X$135+Y$57*Y$135+Z$57*Z$135))</f>
        <v>0</v>
      </c>
      <c r="AA146" s="1409">
        <f>IF($C$57=1,Y$57*Y$135+Z$57*Z$135+AA$57*AA$135,IF($C$57=2,Y$57*Y$135+Z$57*Z$135+AA$57*AA$135))</f>
        <v>0</v>
      </c>
      <c r="AB146" s="1409">
        <f>IF($C$57=1,Y$57*Y$135+Z$57*Z$135+AA$57*AA$135+AB$57*AB$135,IF($C$57=2,Y$57*Y$135+Z$57*Z$135+AA$57*AA$135+AB$57*AB$135))</f>
        <v>0</v>
      </c>
      <c r="AC146" s="1403">
        <f>IF($C$57=1,Y$57*Y$135+Z$57*Z$135+AA$57*AA$135+AB$57*AB$135+AC$57*AC$135,IF($C$57=2,Y$57*Y$135+Z$57*Z$135+AA$57*AA$135+AB$57*AB$135+AC$57*AC$135))</f>
        <v>0</v>
      </c>
      <c r="AD146" s="1409">
        <f>IF($C$57=1,AB$57*AB$135+AC$57*AC$135+AD$57*AD$135,IF($C$57=2,AB$57*AB$135+AC$57*AC$135+AD$57*AD$135))</f>
        <v>0</v>
      </c>
      <c r="AE146" s="1409">
        <f>IF($C$57=1,AB$57*AB$135+AC$57*AC$135+AD$57*AD$135+AE$57*AE$135,IF($C$57=2,AB$57*AB$135+AC$57*AC$135+AD$57*AD$135+AE$57*AE$135))</f>
        <v>0</v>
      </c>
      <c r="AF146" s="1403">
        <f>IF($C$57=1,AB$57*AB$135+AC$57*AC$135+AD$57*AD$135+AE$57*AE$135+AF$57*AF$135,IF($C$57=2,AB$57*AB$135+AC$57*AC$135+AD$57*AD$135+AE$57*AE$135+AF$57*AF$135))</f>
        <v>0</v>
      </c>
      <c r="AG146" s="1407">
        <f>IF($C$57=1,AE58*AE136+AF58*AF136+AG58*AG136,IF($C$57=2,AE58*AE136+AF58*AF136+AG58*AG136))</f>
        <v>0</v>
      </c>
      <c r="AH146" s="1410"/>
      <c r="AI146" s="1411"/>
      <c r="AJ146" s="1410"/>
      <c r="AL146" s="1376"/>
      <c r="AM146" s="1377"/>
      <c r="AN146" s="1406"/>
    </row>
    <row r="147" spans="1:40" s="1407" customFormat="1" ht="12" hidden="1" customHeight="1">
      <c r="A147" s="1270"/>
      <c r="B147" s="1328"/>
      <c r="E147" s="1376"/>
      <c r="F147" s="1377"/>
      <c r="G147" s="1401" t="s">
        <v>246</v>
      </c>
      <c r="H147" s="1377"/>
      <c r="I147" s="1412">
        <f>IF($C$57=1,I$57*I$135,0)</f>
        <v>0</v>
      </c>
      <c r="J147" s="1409">
        <f>IF($C$57=1,I$57*I$135+J$57*J$135,0)</f>
        <v>0</v>
      </c>
      <c r="K147" s="1409">
        <f>IF($C$57=1,I$57*I$135+J$57*J$135+K$57*K$135,0)</f>
        <v>0</v>
      </c>
      <c r="L147" s="1403">
        <f>IF($C$57=1,I$57*I$135+J$57*J$135+K$57*K$135+L$57*L$135,0)</f>
        <v>0</v>
      </c>
      <c r="M147" s="1409">
        <f>IF($C$57=1,K$57*K$135+L$57*L$135+M$57*M$135,0)</f>
        <v>0</v>
      </c>
      <c r="N147" s="1409">
        <f>IF($C$57=1,K$57*K$135+L$57*L$135+M$57*M$135+N$57*N$135,0)</f>
        <v>0</v>
      </c>
      <c r="O147" s="1403">
        <f>IF($C$57=1,K$57*K$135+L$57*L$135+M$57*M$135+N$57*N$135+O$57*O$135,IF($C$57=2,O$57*O$135))</f>
        <v>0</v>
      </c>
      <c r="P147" s="1409">
        <f>IF($C$57=1,N$57*N$135+O$57*O$135+P$57*P$135,IF($C$57=2,O$57*O$135+P$57*P$135))</f>
        <v>0</v>
      </c>
      <c r="Q147" s="1409">
        <f>IF($C$57=1,N$57*N$135+O$57*O$135+P$57*P$135+Q$57*Q$135,IF($C$57=2,O$57*O$135+P$57*P$135+Q$57*Q$135))</f>
        <v>0</v>
      </c>
      <c r="R147" s="1403">
        <f>IF($C$57=1,N$57*N$135+O$57*O$135+P$57*P$135+Q$57*Q$135+R$57*R$135,IF($C$57=2,O$57*O$135+P$57*P$135+Q$57*Q$135+R$57*R$135))</f>
        <v>0</v>
      </c>
      <c r="S147" s="1409">
        <f>IF($C$57=1,Q$57*Q$135+R$57*R$135+S$57*S$135,IF($C$57=2,Q$57*Q$135+R$57*R$135+S$57*S$135))</f>
        <v>0</v>
      </c>
      <c r="T147" s="1409">
        <f>IF($C$57=1,Q$57*Q$135+R$57*R$135+S$57*S$135+T$57*T$135,IF($C$57=2,Q$57*Q$135+R$57*R$135+S$57*S$135+T$57*T$135))</f>
        <v>0</v>
      </c>
      <c r="U147" s="1403">
        <f>IF($C$57=1,Q$57*Q$135+R$57*R$135+S$57*S$135+T$57*T$135+U$57*U$135,IF($C$57=2,Q$57*Q$135+R$57*R$135+S$57*S$135+T$57*T$135+U$57*U$135))</f>
        <v>0</v>
      </c>
      <c r="V147" s="1409">
        <f>IF($C$57=1,T$57*T$135+U$57*U$135+V$57*V$135,IF($C$57=2,T$57*T$135+U$57*U$135+V$57*V$135))</f>
        <v>0</v>
      </c>
      <c r="W147" s="1409">
        <f>IF($C$57=1,T$57*T$135+U$57*U$135+V$57*V$135+W$57*W$135,IF($C$57=2,T$57*T$135+U$57*U$135+V$57*V$135+W$57*W$135))</f>
        <v>0</v>
      </c>
      <c r="X147" s="1403">
        <f>IF($C$57=1,T$57*T$135+U$57*U$135+V$57*V$135+W$57*W$135+X$57*X$135,IF($C$57=2,T$57*T$135+U$57*U$135+V$57*V$135+W$57*W$135+X$57*X$135))</f>
        <v>0</v>
      </c>
      <c r="Y147" s="1409">
        <f>IF($C$57=1,W$57*W$135+X$57*X$135+Y$57*Y$135,IF($C$57=2,W$57*W$135+X$57*X$135+Y$57*Y$135))</f>
        <v>0</v>
      </c>
      <c r="Z147" s="1409">
        <f>IF($C$57=1,W$57*W$135+X$57*X$135+Y$57*Y$135+Z$57*Z$135,IF($C$57=2,W$57*W$135+X$57*X$135+Y$57*Y$135+Z$57*Z$135))</f>
        <v>0</v>
      </c>
      <c r="AA147" s="1403">
        <f>IF($C$57=1,W$57*W$135+X$57*X$135+Y$57*Y$135+Z$57*Z$135+AA$57*AA$135,IF($C$57=2,W$57*W$135+X$57*X$135+Y$57*Y$135+Z$57*Z$135+AA$57*AA$135))</f>
        <v>0</v>
      </c>
      <c r="AB147" s="1409">
        <f>IF($C$57=1,Z$57*Z$135+AA$57*AA$135+AB$57*AB$135,IF($C$57=2,Z$57*Z$135+AA$57*AA$135+AB$57*AB$135))</f>
        <v>0</v>
      </c>
      <c r="AC147" s="1409">
        <f>IF($C$57=1,Z$57*Z$135+AA$57*AA$135+AB$57*AB$135+AC$57*AC$135,IF($C$57=2,Z$57*Z$135+AA$57*AA$135+AB$57*AB$135+AC$57*AC$135))</f>
        <v>0</v>
      </c>
      <c r="AD147" s="1403">
        <f>IF($C$57=1,Z$57*Z$135+AA$57*AA$135+AB$57*AB$135+AC$57*AC$135+AD$57*AD$135,IF($C$57=2,Z$57*Z$135+AA$57*AA$135+AB$57*AB$135+AC$57*AC$135+AD$57*AD$135))</f>
        <v>0</v>
      </c>
      <c r="AE147" s="1409">
        <f>IF($C$57=1,AC$57*AC$135+AD$57*AD$135+AE$57*AE$135,IF($C$57=2,AC$57*AC$135+AD$57*AD$135+AE$57*AE$135))</f>
        <v>0</v>
      </c>
      <c r="AF147" s="1409">
        <f>IF($C$57=1,AC$57*AC$135+AD$57*AD$135+AE$57*AE$135+AF$57*AF$135,IF($C$57=2,AC$57*AC$135+AD$57*AD$135+AE$57*AE$135+AF$57*AF$135))</f>
        <v>0</v>
      </c>
      <c r="AH147" s="1410"/>
      <c r="AI147" s="1411"/>
      <c r="AJ147" s="1410"/>
      <c r="AL147" s="1376"/>
      <c r="AM147" s="1377"/>
      <c r="AN147" s="1406"/>
    </row>
    <row r="148" spans="1:40" s="1407" customFormat="1" ht="12" hidden="1" customHeight="1" thickBot="1">
      <c r="A148" s="1270"/>
      <c r="B148" s="1328"/>
      <c r="E148" s="1376"/>
      <c r="F148" s="1377"/>
      <c r="G148" s="1401" t="s">
        <v>274</v>
      </c>
      <c r="H148" s="1377"/>
      <c r="I148" s="1412"/>
      <c r="J148" s="1409"/>
      <c r="K148" s="1409">
        <f>IF($G$149=2,SUM(I135:I135),0)</f>
        <v>0</v>
      </c>
      <c r="L148" s="1409">
        <f>IF(G149=1,SUM(I135:J135),0)</f>
        <v>0</v>
      </c>
      <c r="M148" s="1409">
        <f>IF($G$149=3,SUM(I135:K135),0)</f>
        <v>0</v>
      </c>
      <c r="N148" s="1409">
        <f>IF($G$149=2,SUM(J135:L135),0)</f>
        <v>0</v>
      </c>
      <c r="O148" s="1409">
        <f>IF($G$149=1,SUM(K135:M135),0)</f>
        <v>0</v>
      </c>
      <c r="P148" s="1409">
        <f>IF($G$149=3,SUM(L135:N135),0)</f>
        <v>0</v>
      </c>
      <c r="Q148" s="1409">
        <f>IF($G$149=2,SUM(M135:O135),0)</f>
        <v>0</v>
      </c>
      <c r="R148" s="1409">
        <f>IF($G$149=1,SUM(N135:P135),0)</f>
        <v>0</v>
      </c>
      <c r="S148" s="1409">
        <f>IF($G$149=3,SUM(O135:Q135),0)</f>
        <v>0</v>
      </c>
      <c r="T148" s="1409">
        <f>IF($G$149=2,SUM(P135:R135),0)</f>
        <v>0</v>
      </c>
      <c r="U148" s="1409">
        <f>IF($G$149=1,SUM(Q135:S135),0)</f>
        <v>0</v>
      </c>
      <c r="V148" s="1409">
        <f>IF($G$149=3,SUM(R135:T135),0)</f>
        <v>0</v>
      </c>
      <c r="W148" s="1409">
        <f>IF($G$149=2,SUM(S135:U135),0)</f>
        <v>0</v>
      </c>
      <c r="X148" s="1409">
        <f>IF($G$149=1,SUM(T135:V135),0)</f>
        <v>0</v>
      </c>
      <c r="Y148" s="1409">
        <f>IF($G$149=3,SUM(U135:W135),0)</f>
        <v>0</v>
      </c>
      <c r="Z148" s="1409">
        <f>IF($G$149=2,SUM(V135:X135),0)</f>
        <v>0</v>
      </c>
      <c r="AA148" s="1409">
        <f>IF($G$149=1,SUM(W135:Y135),0)</f>
        <v>0</v>
      </c>
      <c r="AB148" s="1409">
        <f>IF($G$149=3,SUM(X135:Z135),0)</f>
        <v>0</v>
      </c>
      <c r="AC148" s="1409">
        <f>IF($G$149=2,SUM(Y135:AA135),0)</f>
        <v>0</v>
      </c>
      <c r="AD148" s="1409">
        <f>IF($G$149=1,SUM(Z135:AB135),0)</f>
        <v>0</v>
      </c>
      <c r="AE148" s="1409">
        <f>IF($G$149=3,SUM(AA135:AC135),0)</f>
        <v>0</v>
      </c>
      <c r="AF148" s="1409">
        <f>IF($G$149=2,SUM(AB135:AD135),0)</f>
        <v>0</v>
      </c>
      <c r="AH148" s="1410"/>
      <c r="AI148" s="1411"/>
      <c r="AJ148" s="1410"/>
      <c r="AL148" s="1376"/>
      <c r="AM148" s="1377"/>
      <c r="AN148" s="1406"/>
    </row>
    <row r="149" spans="1:40" s="1407" customFormat="1" ht="12" hidden="1" customHeight="1" thickBot="1">
      <c r="A149" s="1270"/>
      <c r="B149" s="1328"/>
      <c r="E149" s="1406" t="s">
        <v>250</v>
      </c>
      <c r="F149" s="1413"/>
      <c r="G149" s="1414">
        <f>T429</f>
        <v>3</v>
      </c>
      <c r="H149" s="1377"/>
      <c r="I149" s="1412">
        <f t="shared" ref="I149:AF149" si="38">IF($G$149=1,I147,IF($G$149=2,I146,IF($G$149=3,I145)))-I148</f>
        <v>0</v>
      </c>
      <c r="J149" s="1412">
        <f t="shared" si="38"/>
        <v>0</v>
      </c>
      <c r="K149" s="1409">
        <f t="shared" si="38"/>
        <v>0</v>
      </c>
      <c r="L149" s="1409">
        <f t="shared" si="38"/>
        <v>0</v>
      </c>
      <c r="M149" s="1409">
        <f t="shared" si="38"/>
        <v>0</v>
      </c>
      <c r="N149" s="1409">
        <f t="shared" si="38"/>
        <v>0</v>
      </c>
      <c r="O149" s="1409">
        <f t="shared" si="38"/>
        <v>0</v>
      </c>
      <c r="P149" s="1409">
        <f t="shared" si="38"/>
        <v>0</v>
      </c>
      <c r="Q149" s="1409">
        <f t="shared" si="38"/>
        <v>0</v>
      </c>
      <c r="R149" s="1409">
        <f t="shared" si="38"/>
        <v>0</v>
      </c>
      <c r="S149" s="1409">
        <f t="shared" si="38"/>
        <v>0</v>
      </c>
      <c r="T149" s="1409">
        <f t="shared" si="38"/>
        <v>0</v>
      </c>
      <c r="U149" s="1409">
        <f t="shared" si="38"/>
        <v>0</v>
      </c>
      <c r="V149" s="1409">
        <f t="shared" si="38"/>
        <v>0</v>
      </c>
      <c r="W149" s="1409">
        <f t="shared" si="38"/>
        <v>0</v>
      </c>
      <c r="X149" s="1409">
        <f t="shared" si="38"/>
        <v>0</v>
      </c>
      <c r="Y149" s="1409">
        <f t="shared" si="38"/>
        <v>0</v>
      </c>
      <c r="Z149" s="1409">
        <f t="shared" si="38"/>
        <v>0</v>
      </c>
      <c r="AA149" s="1409">
        <f t="shared" si="38"/>
        <v>0</v>
      </c>
      <c r="AB149" s="1409">
        <f t="shared" si="38"/>
        <v>0</v>
      </c>
      <c r="AC149" s="1409">
        <f t="shared" si="38"/>
        <v>0</v>
      </c>
      <c r="AD149" s="1409">
        <f t="shared" si="38"/>
        <v>0</v>
      </c>
      <c r="AE149" s="1409">
        <f t="shared" si="38"/>
        <v>0</v>
      </c>
      <c r="AF149" s="1409">
        <f t="shared" si="38"/>
        <v>0</v>
      </c>
      <c r="AH149" s="1410"/>
      <c r="AI149" s="1411"/>
      <c r="AJ149" s="1410"/>
      <c r="AL149" s="1406"/>
      <c r="AM149" s="1413"/>
      <c r="AN149" s="1415"/>
    </row>
    <row r="150" spans="1:40" s="1372" customFormat="1" ht="12" hidden="1" customHeight="1">
      <c r="A150" s="1270"/>
      <c r="B150" s="1343"/>
      <c r="E150" s="1382"/>
      <c r="F150" s="1383"/>
      <c r="G150" s="1416" t="s">
        <v>277</v>
      </c>
      <c r="H150" s="1383"/>
      <c r="I150" s="1417">
        <f>IF($C$57=1,IF(I57=1,SUM($I$135:I135)-SUM(I$151:$I151),IF($C$57=2,0)))</f>
        <v>0</v>
      </c>
      <c r="J150" s="1417">
        <f>IF($C$57=1,IF(J57=1,SUM($I$135:J135)-SUM($I$151:I151),IF($C$57=2,0)))</f>
        <v>0</v>
      </c>
      <c r="K150" s="1417">
        <f>IF($C$57=1,IF(K57=1,SUM($I$135:K135)-SUM($I$151:J151),IF($C$57=2,0)))</f>
        <v>0</v>
      </c>
      <c r="L150" s="1417">
        <f>IF($C$57=1,IF(L57=1,SUM($I$135:L135)-SUM($I$151:K151),IF($C$57=2,0)))</f>
        <v>0</v>
      </c>
      <c r="M150" s="1417">
        <f>IF($C$57=1,IF(M57=1,SUM($I$135:M135)-SUM($I$151:L151),IF($C$57=2,0)))</f>
        <v>0</v>
      </c>
      <c r="N150" s="1417">
        <f>IF($C$57=1,IF(N57=1,SUM($I$135:N135)-SUM($I$151:M151),IF($C$57=2,0)))</f>
        <v>0</v>
      </c>
      <c r="O150" s="1417">
        <f>IF($C$57=1,IF(O57=1,SUM($I$135:O135))-SUM($I$151:N151),IF($C$57=2,IF(O57=1,SUM($O$135:O135)-SUM(N$151:$O151))))</f>
        <v>0</v>
      </c>
      <c r="P150" s="1417">
        <f>IF($C$57=1,IF(P57=1,SUM($I$135:P135))-SUM($I$151:O151),IF($C$57=2,IF(P57=1,SUM($O$135:P135)-SUM($O$151:O151))))</f>
        <v>0</v>
      </c>
      <c r="Q150" s="1417">
        <f>IF($C$57=1,IF(Q57=1,SUM($I$135:Q135))-SUM($I$151:P151),IF($C$57=2,IF(Q57=1,SUM($O$135:Q135)-SUM($O$151:P151))))</f>
        <v>0</v>
      </c>
      <c r="R150" s="1417">
        <f>IF($C$57=1,IF(R57=1,SUM($I$135:R135))-SUM($I$151:Q151),IF($C$57=2,IF(R57=1,SUM($O$135:R135)-SUM($O$151:Q151))))</f>
        <v>0</v>
      </c>
      <c r="S150" s="1417">
        <f>IF($C$57=1,IF(S57=1,SUM($I$135:S135))-SUM($I$151:R151),IF($C$57=2,IF(S57=1,SUM($O$135:S135)-SUM($O$151:R151))))</f>
        <v>0</v>
      </c>
      <c r="T150" s="1417">
        <f>IF($C$57=1,IF(T57=1,SUM($I$135:T135))-SUM($I$151:S151),IF($C$57=2,IF(T57=1,SUM($O$135:T135)-SUM($O$151:S151))))</f>
        <v>0</v>
      </c>
      <c r="U150" s="1417">
        <f>IF($C$57=1,IF(U57=1,SUM($I$135:U135))-SUM($I$151:T151),IF($C$57=2,IF(U57=1,SUM($O$135:U135)-SUM($O$151:T151))))</f>
        <v>0</v>
      </c>
      <c r="V150" s="1417">
        <f>IF($C$57=1,IF(V57=1,SUM($I$135:V135))-SUM($I$151:U151),IF($C$57=2,IF(V57=1,SUM($O$135:V135)-SUM($O$151:U151))))</f>
        <v>0</v>
      </c>
      <c r="W150" s="1417">
        <f>IF($C$57=1,IF(W57=1,SUM($I$135:W135))-SUM($I$151:V151),IF($C$57=2,IF(W57=1,SUM($O$135:W135)-SUM($O$151:V151))))</f>
        <v>0</v>
      </c>
      <c r="X150" s="1417">
        <f>IF($C$57=1,IF(X57=1,SUM($I$135:X135))-SUM($I$151:W151),IF($C$57=2,IF(X57=1,SUM($O$135:X135)-SUM($O$151:W151))))</f>
        <v>0</v>
      </c>
      <c r="Y150" s="1417">
        <f>IF($C$57=1,IF(Y57=1,SUM($I$135:Y135))-SUM($I$151:X151),IF($C$57=2,IF(Y57=1,SUM($O$135:Y135)-SUM($O$151:X151))))</f>
        <v>0</v>
      </c>
      <c r="Z150" s="1417">
        <f>IF($C$57=1,IF(Z57=1,SUM($I$135:Z135))-SUM($I$151:Y151),IF($C$57=2,IF(Z57=1,SUM($O$135:Z135)-SUM($O$151:Y151))))</f>
        <v>0</v>
      </c>
      <c r="AA150" s="1417">
        <f>IF($C$57=1,IF(AA57=1,SUM($I$135:AA135))-SUM($I$151:Z151),IF($C$57=2,IF(AA57=1,SUM($O$135:AA135)-SUM($O$151:Z151))))</f>
        <v>0</v>
      </c>
      <c r="AB150" s="1417">
        <f>IF($C$57=1,IF(AB57=1,SUM($I$135:AB135))-SUM($I$151:AA151),IF($C$57=2,IF(AB57=1,SUM($O$135:AB135)-SUM($O$151:AA151))))</f>
        <v>0</v>
      </c>
      <c r="AC150" s="1417">
        <f>IF($C$57=1,IF(AC57=1,SUM($I$135:AC135))-SUM($I$151:AB151),IF($C$57=2,IF(AC57=1,SUM($O$135:AC135)-SUM($O$151:AB151))))</f>
        <v>0</v>
      </c>
      <c r="AD150" s="1417">
        <f>IF($C$57=1,IF(AD57=1,SUM($I$135:AD135))-SUM($I$151:AC151),IF($C$57=2,IF(AD57=1,SUM($O$135:AD135)-SUM($O$151:AC151))))</f>
        <v>0</v>
      </c>
      <c r="AE150" s="1417">
        <f>IF($C$57=1,IF(AE57=1,SUM($I$135:AE135))-SUM($I$151:AD151),IF($C$57=2,IF(AE57=1,SUM($O$135:AE135)-SUM($O$151:AD151))))</f>
        <v>0</v>
      </c>
      <c r="AF150" s="1417">
        <f>IF($C$57=1,IF(AF57=1,SUM($I$135:AF135))-SUM($I$151:AE151),IF($C$57=2,IF(AF57=1,SUM($O$135:AF135)-SUM($O$151:AE151))))</f>
        <v>0</v>
      </c>
      <c r="AH150" s="1386"/>
      <c r="AI150" s="1387"/>
      <c r="AJ150" s="1386"/>
      <c r="AL150" s="1376"/>
      <c r="AM150" s="1377"/>
      <c r="AN150" s="1418"/>
    </row>
    <row r="151" spans="1:40" s="1372" customFormat="1" ht="12" hidden="1" customHeight="1">
      <c r="A151" s="1270"/>
      <c r="B151" s="1343"/>
      <c r="E151" s="1382"/>
      <c r="F151" s="1383"/>
      <c r="G151" s="1416" t="s">
        <v>276</v>
      </c>
      <c r="H151" s="1383"/>
      <c r="I151" s="1419"/>
      <c r="J151" s="1420"/>
      <c r="K151" s="1421">
        <f>IF($G$149=2,I136,0)</f>
        <v>0</v>
      </c>
      <c r="L151" s="1422">
        <f>IF($G$149=1,SUM(I136:J136),0)</f>
        <v>0</v>
      </c>
      <c r="M151" s="1420">
        <f>IF($G$149=3,SUM(I136:K136),0)</f>
        <v>0</v>
      </c>
      <c r="N151" s="1421">
        <f>IF($G$149=2,SUM(J136:L136),0)</f>
        <v>0</v>
      </c>
      <c r="O151" s="1422">
        <f>IF($G$149=1,SUM(K136:M136),0)</f>
        <v>0</v>
      </c>
      <c r="P151" s="1420">
        <f>IF(AND($G$149=3,$C$57=1),SUM(L136:N136),0)</f>
        <v>0</v>
      </c>
      <c r="Q151" s="1421">
        <f>IF(AND($G$149=2,$C$57=1),SUM(M136:O136),IF(AND($G$149=2,$C$57=2),O136,0))</f>
        <v>0</v>
      </c>
      <c r="R151" s="1422">
        <f>IF(AND($G$149=1,$C$57=1),SUM(N136:P136),IF(AND($G$149=1,$C$57=2),O369+P369,0))</f>
        <v>0</v>
      </c>
      <c r="S151" s="1420">
        <f>IF($G$149=3,SUM(O136:Q136),0)</f>
        <v>0</v>
      </c>
      <c r="T151" s="1421">
        <f>IF($G$149=2,SUM(P136:R136),0)</f>
        <v>0</v>
      </c>
      <c r="U151" s="1423">
        <f>IF($G$149=1,SUM(Q136:S136),0)</f>
        <v>0</v>
      </c>
      <c r="V151" s="1424">
        <f>IF(AND($G$149=3,$C$57=1),SUM(R136:T136)+SUM(R321:W321),IF(AND($G$149=3,$C$57=2),SUM(R136:T136),0))</f>
        <v>0</v>
      </c>
      <c r="W151" s="1425">
        <f>IF(AND($G$149=2,$C$57=1),SUM(S136:U136)+S324+T324+V324,IF(AND($G$149=2,$C$57=2),SUM(S136:U136),0))</f>
        <v>0</v>
      </c>
      <c r="X151" s="1423">
        <f>IF(AND($G$149=1,$C$57=1),SUM(T136:V136)+U327,IF(AND($G$149=1,$C$57=2),SUM(T136:V136),0))</f>
        <v>0</v>
      </c>
      <c r="Y151" s="1424">
        <f>IF(AND($G$149=3,$C$57=1),SUM(U136:W136)-SUM(R321:W321),IF(AND($G$149=3,$C$57=2),SUM(U136:W136),0))</f>
        <v>0</v>
      </c>
      <c r="Z151" s="1425">
        <f>IF(AND($G$149=2,$C$57=1),SUM(V136:X136)-S324-T324-V324,IF(AND($G$149=2,$C$57=2),SUM(V136:X136),0))</f>
        <v>0</v>
      </c>
      <c r="AA151" s="1423">
        <f>IF(AND($G$149=1,$C$57=1),SUM(W136:Y136)-U327,IF(AND($G$149=1,$C$57=2),SUM(W136:Y136),0))</f>
        <v>0</v>
      </c>
      <c r="AB151" s="1424">
        <f>IF($G$149=3,SUM(X136:Z136),0)</f>
        <v>0</v>
      </c>
      <c r="AC151" s="1425">
        <f>IF($G$149=2,SUM(Y136:AA136),0)</f>
        <v>0</v>
      </c>
      <c r="AD151" s="1423">
        <f>IF($G$149=1,SUM(Z136:AB136),0)</f>
        <v>0</v>
      </c>
      <c r="AE151" s="1424">
        <f>IF($G$149=3,SUM(AA136:AC136),0)</f>
        <v>0</v>
      </c>
      <c r="AF151" s="1425">
        <f>IF($G$149=2,SUM(AB136:AD136),0)</f>
        <v>0</v>
      </c>
      <c r="AH151" s="1386"/>
      <c r="AI151" s="1387"/>
      <c r="AJ151" s="1386"/>
      <c r="AL151" s="1376"/>
      <c r="AM151" s="1377"/>
      <c r="AN151" s="1418"/>
    </row>
    <row r="152" spans="1:40" s="1372" customFormat="1" ht="12" hidden="1" customHeight="1">
      <c r="A152" s="1270"/>
      <c r="B152" s="1343"/>
      <c r="E152" s="1382"/>
      <c r="F152" s="1383"/>
      <c r="G152" s="1418" t="s">
        <v>278</v>
      </c>
      <c r="H152" s="1383"/>
      <c r="I152" s="1417">
        <f t="shared" ref="I152:AF152" si="39">I150-I151</f>
        <v>0</v>
      </c>
      <c r="J152" s="1417">
        <f t="shared" si="39"/>
        <v>0</v>
      </c>
      <c r="K152" s="1417">
        <f t="shared" si="39"/>
        <v>0</v>
      </c>
      <c r="L152" s="1417">
        <f t="shared" si="39"/>
        <v>0</v>
      </c>
      <c r="M152" s="1417">
        <f t="shared" si="39"/>
        <v>0</v>
      </c>
      <c r="N152" s="1417">
        <f t="shared" si="39"/>
        <v>0</v>
      </c>
      <c r="O152" s="1417">
        <f t="shared" si="39"/>
        <v>0</v>
      </c>
      <c r="P152" s="1417">
        <f t="shared" si="39"/>
        <v>0</v>
      </c>
      <c r="Q152" s="1419">
        <f t="shared" si="39"/>
        <v>0</v>
      </c>
      <c r="R152" s="1417">
        <f t="shared" si="39"/>
        <v>0</v>
      </c>
      <c r="S152" s="1417">
        <f t="shared" si="39"/>
        <v>0</v>
      </c>
      <c r="T152" s="1417">
        <f t="shared" si="39"/>
        <v>0</v>
      </c>
      <c r="U152" s="1417">
        <f t="shared" si="39"/>
        <v>0</v>
      </c>
      <c r="V152" s="1417">
        <f t="shared" si="39"/>
        <v>0</v>
      </c>
      <c r="W152" s="1417">
        <f t="shared" si="39"/>
        <v>0</v>
      </c>
      <c r="X152" s="1417">
        <f t="shared" si="39"/>
        <v>0</v>
      </c>
      <c r="Y152" s="1417">
        <f t="shared" si="39"/>
        <v>0</v>
      </c>
      <c r="Z152" s="1417">
        <f t="shared" si="39"/>
        <v>0</v>
      </c>
      <c r="AA152" s="1417">
        <f t="shared" si="39"/>
        <v>0</v>
      </c>
      <c r="AB152" s="1417">
        <f t="shared" si="39"/>
        <v>0</v>
      </c>
      <c r="AC152" s="1417">
        <f t="shared" si="39"/>
        <v>0</v>
      </c>
      <c r="AD152" s="1417">
        <f t="shared" si="39"/>
        <v>0</v>
      </c>
      <c r="AE152" s="1417">
        <f t="shared" si="39"/>
        <v>0</v>
      </c>
      <c r="AF152" s="1417">
        <f t="shared" si="39"/>
        <v>0</v>
      </c>
      <c r="AH152" s="1386"/>
      <c r="AI152" s="1387"/>
      <c r="AJ152" s="1386"/>
      <c r="AL152" s="1376"/>
      <c r="AM152" s="1377"/>
      <c r="AN152" s="1418"/>
    </row>
    <row r="153" spans="1:40" s="1372" customFormat="1" ht="12" hidden="1" customHeight="1" thickBot="1">
      <c r="A153" s="1270"/>
      <c r="B153" s="1343"/>
      <c r="E153" s="1382"/>
      <c r="F153" s="1383"/>
      <c r="G153" s="1388" t="s">
        <v>242</v>
      </c>
      <c r="H153" s="1383"/>
      <c r="I153" s="1426">
        <f>IF($C$57=1,SUMIF($I$57:I57,1,$I135:I135),0)</f>
        <v>0</v>
      </c>
      <c r="J153" s="1426">
        <f>IF($C$57=1,SUMIF($I$57:J57,1,$I135:J135),0)</f>
        <v>0</v>
      </c>
      <c r="K153" s="1426">
        <f>IF($C$57=1,SUMIF($I$57:K57,1,$I135:K135),0)</f>
        <v>0</v>
      </c>
      <c r="L153" s="1426">
        <f>IF($C$57=1,SUMIF($I$57:L57,1,$I135:L135),0)</f>
        <v>0</v>
      </c>
      <c r="M153" s="1426">
        <f>IF($C$57=1,SUMIF($I$57:M57,1,$I135:M135),0)</f>
        <v>0</v>
      </c>
      <c r="N153" s="1426">
        <f>IF($C$57=1,SUMIF($I$57:N57,1,$I135:N135),0)</f>
        <v>0</v>
      </c>
      <c r="O153" s="1426">
        <f>IF($C$57=1,SUMIF($I57:O57,1,$I135:O135),IF($C$57=2,SUMIF($O57:O57,1,$O135:O135)))</f>
        <v>0</v>
      </c>
      <c r="P153" s="1426">
        <f>IF($C$57=1,SUMIF($I57:P57,1,$I135:P135),IF($C$57=2,SUMIF($O57:P57,1,$O135:P135)))</f>
        <v>0</v>
      </c>
      <c r="Q153" s="1427">
        <f>IF($C$57=1,SUMIF($I57:Q57,1,$I135:Q135),IF($C$57=2,SUMIF($O57:Q57,1,$O135:Q135)))</f>
        <v>0</v>
      </c>
      <c r="R153" s="1426">
        <f>IF($C$57=1,SUMIF($I57:R57,1,$I135:R135),IF($C$57=2,SUMIF($O57:R57,1,$O135:R135)))</f>
        <v>0</v>
      </c>
      <c r="S153" s="1426">
        <f>IF($C$57=1,SUMIF($I57:S57,1,$I135:S135),IF($C$57=2,SUMIF($O57:S57,1,$O135:S135)))</f>
        <v>0</v>
      </c>
      <c r="T153" s="1426">
        <f>IF($C$57=1,SUMIF($I57:T57,1,$I135:T135),IF($C$57=2,SUMIF($O57:T57,1,$O135:T135)))</f>
        <v>0</v>
      </c>
      <c r="U153" s="1426">
        <f>IF($C$57=1,SUMIF($I57:U57,1,$I135:U135),IF($C$57=2,SUMIF($O57:U57,1,$O135:U135)))</f>
        <v>0</v>
      </c>
      <c r="V153" s="1426">
        <f>IF($C$57=1,SUMIF($I57:V57,1,$I135:V135),IF($C$57=2,SUMIF($O57:V57,1,$O135:V135)))</f>
        <v>0</v>
      </c>
      <c r="W153" s="1426">
        <f>IF($C$57=1,SUMIF($I57:W57,1,$I135:W135),IF($C$57=2,SUMIF($O57:W57,1,$O135:W135)))</f>
        <v>0</v>
      </c>
      <c r="X153" s="1426">
        <f>IF($C$57=1,SUMIF($I57:X57,1,$I135:X135),IF($C$57=2,SUMIF($O57:X57,1,$O135:X135)))</f>
        <v>0</v>
      </c>
      <c r="Y153" s="1610">
        <f>IF($C$57=1,SUMIF($I57:Y57,1,$I135:Y135),IF($C$57=2,SUMIF($O57:Y57,1,$O135:Y135)))</f>
        <v>0</v>
      </c>
      <c r="Z153" s="1426">
        <f>IF($C$57=1,SUMIF($I57:Z57,1,$I135:Z135),IF($C$57=2,SUMIF($O57:Z57,1,$O135:Z135)))</f>
        <v>0</v>
      </c>
      <c r="AA153" s="1610">
        <f>IF($C$57=1,SUMIF($I57:AA57,1,$I135:AA135),IF($C$57=2,SUMIF($O57:AA57,1,$O135:AA135)))</f>
        <v>0</v>
      </c>
      <c r="AB153" s="1426">
        <f>IF($C$57=1,SUMIF($I57:AB57,1,$I135:AB135),IF($C$57=2,SUMIF($O57:AB57,1,$O135:AB135)))</f>
        <v>0</v>
      </c>
      <c r="AC153" s="1426">
        <f>IF($C$57=1,SUMIF($I57:AC57,1,$I135:AC135),IF($C$57=2,SUMIF($O57:AC57,1,$O135:AC135)))</f>
        <v>0</v>
      </c>
      <c r="AD153" s="1426">
        <f>IF($C$57=1,SUMIF($I57:AD57,1,$I135:AD135),IF($C$57=2,SUMIF($O57:AD57,1,$O135:AD135)))</f>
        <v>0</v>
      </c>
      <c r="AE153" s="1426">
        <f>IF($C$57=1,SUMIF($I57:AE57,1,$I135:AE135),IF($C$57=2,SUMIF($O57:AE57,1,$O135:AE135)))</f>
        <v>0</v>
      </c>
      <c r="AF153" s="1426">
        <f>IF($C$57=1,SUMIF($I57:AF57,1,$I135:AF135),IF($C$57=2,SUMIF($O57:AF57,1,$O135:AF135)))</f>
        <v>0</v>
      </c>
      <c r="AH153" s="1386"/>
      <c r="AI153" s="1387"/>
      <c r="AJ153" s="1386"/>
      <c r="AL153" s="1376"/>
      <c r="AM153" s="1377"/>
      <c r="AN153" s="1390"/>
    </row>
    <row r="154" spans="1:40" s="1372" customFormat="1" ht="12" hidden="1" customHeight="1" thickBot="1">
      <c r="A154" s="1270"/>
      <c r="B154" s="1343"/>
      <c r="E154" s="1382"/>
      <c r="F154" s="1383"/>
      <c r="G154" s="1388" t="s">
        <v>945</v>
      </c>
      <c r="H154" s="1383"/>
      <c r="I154" s="1426"/>
      <c r="J154" s="1426"/>
      <c r="K154" s="1426"/>
      <c r="L154" s="1426"/>
      <c r="M154" s="1426"/>
      <c r="N154" s="1426"/>
      <c r="O154" s="1426"/>
      <c r="P154" s="1426"/>
      <c r="Q154" s="1427"/>
      <c r="R154" s="1426"/>
      <c r="S154" s="1426"/>
      <c r="T154" s="1426"/>
      <c r="U154" s="1426"/>
      <c r="V154" s="1426"/>
      <c r="W154" s="1426"/>
      <c r="X154" s="1614"/>
      <c r="Y154" s="1611">
        <f>IF($C$57=1,IF(AND($T$428=12,C63=4),$T$153,0))</f>
        <v>0</v>
      </c>
      <c r="Z154" s="1612"/>
      <c r="AA154" s="1615"/>
      <c r="AB154" s="1609"/>
      <c r="AC154" s="1426"/>
      <c r="AD154" s="1426"/>
      <c r="AE154" s="1426"/>
      <c r="AF154" s="1426"/>
      <c r="AH154" s="1386"/>
      <c r="AI154" s="1387"/>
      <c r="AJ154" s="1386"/>
      <c r="AL154" s="1376"/>
      <c r="AM154" s="1377"/>
      <c r="AN154" s="1390"/>
    </row>
    <row r="155" spans="1:40" s="1372" customFormat="1" ht="12" hidden="1" customHeight="1">
      <c r="A155" s="1270"/>
      <c r="B155" s="1343"/>
      <c r="E155" s="1382"/>
      <c r="F155" s="1383"/>
      <c r="G155" s="1388" t="s">
        <v>946</v>
      </c>
      <c r="H155" s="1383"/>
      <c r="I155" s="1426"/>
      <c r="J155" s="1426"/>
      <c r="K155" s="1426"/>
      <c r="L155" s="1426"/>
      <c r="M155" s="1426"/>
      <c r="N155" s="1426"/>
      <c r="O155" s="1426"/>
      <c r="P155" s="1426"/>
      <c r="Q155" s="1427"/>
      <c r="R155" s="1426"/>
      <c r="S155" s="1426"/>
      <c r="T155" s="1426"/>
      <c r="U155" s="1426"/>
      <c r="V155" s="1426"/>
      <c r="W155" s="1426"/>
      <c r="X155" s="1613"/>
      <c r="Y155" s="1426"/>
      <c r="Z155" s="1613">
        <f>IF($C$57=1,(IF(AND(C63=5,$T$428=6),$T$153,0)))</f>
        <v>0</v>
      </c>
      <c r="AA155" s="1613" t="b">
        <f>IF($C$57=1,IF($C$63=5,IF(OR($T$428=12,$T$428=8,$T$428=5,$T$428=4),$T$153,0)))</f>
        <v>0</v>
      </c>
      <c r="AB155" s="1609" t="b">
        <f>IF($C$57=1,IF($C$63=5,IF(OR($T$428=3,$T$428=7,$T$428=11),$T$153,0)))</f>
        <v>0</v>
      </c>
      <c r="AC155" s="1426" t="b">
        <f>IF($C$57=1,IF($C$63=5,(IF(OR($T$428=2,$T$428=10),$T$153,0))))</f>
        <v>0</v>
      </c>
      <c r="AD155" s="1426" t="b">
        <f>IF($C$57=1,IF($C$63=5,IF(OR($T$428=1,$T$428=9),$T$153,0)))</f>
        <v>0</v>
      </c>
      <c r="AE155" s="1426"/>
      <c r="AF155" s="1426"/>
      <c r="AH155" s="1386"/>
      <c r="AI155" s="1387"/>
      <c r="AJ155" s="1386"/>
      <c r="AL155" s="1376"/>
      <c r="AM155" s="1377"/>
      <c r="AN155" s="1390"/>
    </row>
    <row r="156" spans="1:40" s="1372" customFormat="1" ht="12" hidden="1" customHeight="1">
      <c r="A156" s="1270"/>
      <c r="B156" s="1343"/>
      <c r="E156" s="1382"/>
      <c r="F156" s="1383"/>
      <c r="G156" s="1388" t="s">
        <v>269</v>
      </c>
      <c r="H156" s="1383"/>
      <c r="I156" s="1426">
        <f t="shared" ref="I156:T156" si="40">I153-I154</f>
        <v>0</v>
      </c>
      <c r="J156" s="1426">
        <f t="shared" si="40"/>
        <v>0</v>
      </c>
      <c r="K156" s="1426">
        <f t="shared" si="40"/>
        <v>0</v>
      </c>
      <c r="L156" s="1426">
        <f t="shared" si="40"/>
        <v>0</v>
      </c>
      <c r="M156" s="1426">
        <f t="shared" si="40"/>
        <v>0</v>
      </c>
      <c r="N156" s="1426">
        <f t="shared" si="40"/>
        <v>0</v>
      </c>
      <c r="O156" s="1426">
        <f t="shared" si="40"/>
        <v>0</v>
      </c>
      <c r="P156" s="1426">
        <f t="shared" si="40"/>
        <v>0</v>
      </c>
      <c r="Q156" s="1427">
        <f t="shared" si="40"/>
        <v>0</v>
      </c>
      <c r="R156" s="1426">
        <f t="shared" si="40"/>
        <v>0</v>
      </c>
      <c r="S156" s="1426">
        <f t="shared" si="40"/>
        <v>0</v>
      </c>
      <c r="T156" s="1426">
        <f t="shared" si="40"/>
        <v>0</v>
      </c>
      <c r="U156" s="1426">
        <f>U153-SUM($U$154:U155)</f>
        <v>0</v>
      </c>
      <c r="V156" s="1426">
        <f>V153-SUM($U$154:V155)</f>
        <v>0</v>
      </c>
      <c r="W156" s="1426">
        <f>W153-SUM($U$154:W155)</f>
        <v>0</v>
      </c>
      <c r="X156" s="1426">
        <f>X153-SUM($U$154:X155)</f>
        <v>0</v>
      </c>
      <c r="Y156" s="1426">
        <f>Y153-SUM($U$154:Y155)</f>
        <v>0</v>
      </c>
      <c r="Z156" s="1426">
        <f>Z153-SUM($U$154:Z155)</f>
        <v>0</v>
      </c>
      <c r="AA156" s="1426">
        <f>AA153-SUM($U$154:AA155)</f>
        <v>0</v>
      </c>
      <c r="AB156" s="1426">
        <f>AB153-SUM($U$154:AB155)</f>
        <v>0</v>
      </c>
      <c r="AC156" s="1426">
        <f>AC153-SUM($U$154:AC155)</f>
        <v>0</v>
      </c>
      <c r="AD156" s="1426">
        <f>AD153-SUM($U$154:AD155)</f>
        <v>0</v>
      </c>
      <c r="AE156" s="1426">
        <f>AE153-SUM($U$154:AE155)</f>
        <v>0</v>
      </c>
      <c r="AF156" s="1426">
        <f>AF153-SUM($U$154:AF155)</f>
        <v>0</v>
      </c>
      <c r="AH156" s="1386"/>
      <c r="AI156" s="1387"/>
      <c r="AJ156" s="1386"/>
      <c r="AL156" s="1376"/>
      <c r="AM156" s="1377"/>
      <c r="AN156" s="1390"/>
    </row>
    <row r="157" spans="1:40" s="1372" customFormat="1" ht="12" hidden="1" customHeight="1">
      <c r="A157" s="1270"/>
      <c r="B157" s="1343"/>
      <c r="E157" s="1382"/>
      <c r="F157" s="1383"/>
      <c r="G157" s="1395" t="s">
        <v>243</v>
      </c>
      <c r="H157" s="1383"/>
      <c r="I157" s="1428">
        <f>IF($C$57=1,SUMIF($I57:I57,1,$I136:I136),0)</f>
        <v>0</v>
      </c>
      <c r="J157" s="1428">
        <f>IF($C$57=1,SUMIF($I57:J57,1,$I136:J136),0)</f>
        <v>0</v>
      </c>
      <c r="K157" s="1428">
        <f>IF($C$57=1,SUMIF($I57:K57,1,$I136:K136),0)</f>
        <v>0</v>
      </c>
      <c r="L157" s="1428">
        <f>IF($C$57=1,SUMIF($I57:L57,1,$I136:L136),0)</f>
        <v>0</v>
      </c>
      <c r="M157" s="1428">
        <f>IF($C$57=1,SUMIF($I57:M57,1,$I136:M136),0)</f>
        <v>0</v>
      </c>
      <c r="N157" s="1428">
        <f>IF($C$57=1,SUMIF($I57:N57,1,$I136:N136),0)</f>
        <v>0</v>
      </c>
      <c r="O157" s="1428">
        <f>IF($C$57=1,SUMIF($I57:O57,1,$I136:O136),IF($C$57=2,SUMIF($O57:O57,1,$O136:O136)))</f>
        <v>0</v>
      </c>
      <c r="P157" s="1428">
        <f>IF($C$57=1,SUMIF($I57:P57,1,$I136:P136),IF($C$57=2,SUMIF($O57:P57,1,$O136:P136)))</f>
        <v>0</v>
      </c>
      <c r="Q157" s="1428">
        <f>IF($C$57=1,SUMIF($I57:Q57,1,$I136:Q136),IF($C$57=2,SUMIF($O57:Q57,1,$O136:Q136)))</f>
        <v>0</v>
      </c>
      <c r="R157" s="1428">
        <f>IF($C$57=1,SUMIF($I57:R57,1,$I136:R136),IF($C$57=2,SUMIF($O57:R57,1,$O136:R136)))</f>
        <v>0</v>
      </c>
      <c r="S157" s="1428">
        <f>IF($C$57=1,SUMIF($I57:S57,1,$I136:S136),IF($C$57=2,SUMIF($O57:S57,1,$O136:S136)))</f>
        <v>0</v>
      </c>
      <c r="T157" s="1428">
        <f>IF($C$57=1,SUMIF($I57:T57,1,$I136:T136),IF($C$57=2,SUMIF($O57:T57,1,$O136:T136)))</f>
        <v>0</v>
      </c>
      <c r="U157" s="1428">
        <f>IF($C$57=1,SUMIF($I57:U57,1,$I136:U136),IF($C$57=2,SUMIF($O57:U57,1,$O136:U136)))</f>
        <v>0</v>
      </c>
      <c r="V157" s="1428">
        <f>IF($C$57=1,SUMIF($I57:V57,1,$I136:V136),IF($C$57=2,SUMIF($O57:V57,1,$O136:V136)))</f>
        <v>0</v>
      </c>
      <c r="W157" s="1428">
        <f>IF($C$57=1,SUMIF($U57:W57,1,$U136:W136),IF($C$57=2,SUMIF($O57:W57,1,$O136:W136)))</f>
        <v>0</v>
      </c>
      <c r="X157" s="1428">
        <f>IF($C$57=1,SUMIF($U57:X57,1,$U136:X136),IF($C$57=2,SUMIF($O57:X57,1,$O136:X136)))</f>
        <v>0</v>
      </c>
      <c r="Y157" s="1428">
        <f>IF($C$57=1,SUMIF($U57:Y57,1,$U136:Y136),IF($C$57=2,SUMIF($O57:Y57,1,$O136:Y136)))</f>
        <v>0</v>
      </c>
      <c r="Z157" s="1428">
        <f>IF($C$57=1,SUMIF($U57:Z57,1,$U136:Z136),IF($C$57=2,SUMIF($O57:Z57,1,$O136:Z136)))</f>
        <v>0</v>
      </c>
      <c r="AA157" s="1428">
        <f>IF($C$57=1,SUMIF($U57:AA57,1,$U136:AA136),IF($C$57=2,SUMIF($O57:AA57,1,$O136:AA136)))</f>
        <v>0</v>
      </c>
      <c r="AB157" s="1428">
        <f>IF($C$57=1,SUMIF($U57:AB57,1,$U136:AB136),IF($C$57=2,SUMIF($O57:AB57,1,$O136:AB136)))</f>
        <v>0</v>
      </c>
      <c r="AC157" s="1428">
        <f>IF($C$57=1,SUMIF($U57:AC57,1,$U136:AC136),IF($C$57=2,SUMIF($O57:AC57,1,$O136:AC136)))</f>
        <v>0</v>
      </c>
      <c r="AD157" s="1428">
        <f>IF($C$57=1,SUMIF($U57:AD57,1,$U136:AD136),IF($C$57=2,SUMIF($O57:AD57,1,$O136:AD136)))</f>
        <v>0</v>
      </c>
      <c r="AE157" s="1428">
        <f>IF($C$57=1,SUMIF($U57:AE57,1,$U136:AE136),IF($C$57=2,SUMIF($O57:AE57,1,$O136:AE136)))</f>
        <v>0</v>
      </c>
      <c r="AF157" s="1428">
        <f>IF($C$57=1,SUMIF($U57:AF57,1,$U136:AF136),IF($C$57=2,SUMIF($O57:AF57,1,$O136:AF136)))</f>
        <v>0</v>
      </c>
      <c r="AH157" s="1386"/>
      <c r="AI157" s="1387"/>
      <c r="AJ157" s="1386"/>
      <c r="AL157" s="1376"/>
      <c r="AM157" s="1377"/>
      <c r="AN157" s="1398"/>
    </row>
    <row r="158" spans="1:40" s="1372" customFormat="1" ht="12" hidden="1" customHeight="1">
      <c r="A158" s="1270"/>
      <c r="B158" s="1343"/>
      <c r="E158" s="1382"/>
      <c r="F158" s="1383"/>
      <c r="G158" s="1395" t="s">
        <v>270</v>
      </c>
      <c r="H158" s="1383"/>
      <c r="I158" s="1428"/>
      <c r="J158" s="1428"/>
      <c r="K158" s="1428"/>
      <c r="L158" s="1428"/>
      <c r="M158" s="1428"/>
      <c r="N158" s="1428"/>
      <c r="O158" s="1428"/>
      <c r="P158" s="1428"/>
      <c r="Q158" s="1429"/>
      <c r="R158" s="1428"/>
      <c r="S158" s="1428"/>
      <c r="T158" s="1428"/>
      <c r="U158" s="1428"/>
      <c r="V158" s="1428">
        <f>T157</f>
        <v>0</v>
      </c>
      <c r="W158" s="1428"/>
      <c r="X158" s="1428"/>
      <c r="Y158" s="1428"/>
      <c r="Z158" s="1428"/>
      <c r="AA158" s="1428"/>
      <c r="AB158" s="1428"/>
      <c r="AC158" s="1428"/>
      <c r="AD158" s="1428"/>
      <c r="AE158" s="1428"/>
      <c r="AF158" s="1428"/>
      <c r="AH158" s="1386"/>
      <c r="AI158" s="1387"/>
      <c r="AJ158" s="1386"/>
      <c r="AL158" s="1376"/>
      <c r="AM158" s="1377"/>
      <c r="AN158" s="1398"/>
    </row>
    <row r="159" spans="1:40" s="1372" customFormat="1" ht="12" hidden="1" customHeight="1">
      <c r="A159" s="1270"/>
      <c r="B159" s="1343"/>
      <c r="E159" s="1382"/>
      <c r="F159" s="1383"/>
      <c r="G159" s="1395" t="s">
        <v>271</v>
      </c>
      <c r="H159" s="1383"/>
      <c r="I159" s="1428">
        <f t="shared" ref="I159:AF159" si="41">I157-I158</f>
        <v>0</v>
      </c>
      <c r="J159" s="1428">
        <f t="shared" si="41"/>
        <v>0</v>
      </c>
      <c r="K159" s="1428">
        <f t="shared" si="41"/>
        <v>0</v>
      </c>
      <c r="L159" s="1428">
        <f t="shared" si="41"/>
        <v>0</v>
      </c>
      <c r="M159" s="1428">
        <f t="shared" si="41"/>
        <v>0</v>
      </c>
      <c r="N159" s="1428">
        <f t="shared" si="41"/>
        <v>0</v>
      </c>
      <c r="O159" s="1428">
        <f t="shared" si="41"/>
        <v>0</v>
      </c>
      <c r="P159" s="1428">
        <f t="shared" si="41"/>
        <v>0</v>
      </c>
      <c r="Q159" s="1429">
        <f t="shared" si="41"/>
        <v>0</v>
      </c>
      <c r="R159" s="1428">
        <f t="shared" si="41"/>
        <v>0</v>
      </c>
      <c r="S159" s="1428">
        <f t="shared" si="41"/>
        <v>0</v>
      </c>
      <c r="T159" s="1428">
        <f t="shared" si="41"/>
        <v>0</v>
      </c>
      <c r="U159" s="1428">
        <f t="shared" si="41"/>
        <v>0</v>
      </c>
      <c r="V159" s="1428">
        <f t="shared" si="41"/>
        <v>0</v>
      </c>
      <c r="W159" s="1428">
        <f t="shared" si="41"/>
        <v>0</v>
      </c>
      <c r="X159" s="1428">
        <f t="shared" si="41"/>
        <v>0</v>
      </c>
      <c r="Y159" s="1428">
        <f t="shared" si="41"/>
        <v>0</v>
      </c>
      <c r="Z159" s="1428">
        <f t="shared" si="41"/>
        <v>0</v>
      </c>
      <c r="AA159" s="1428">
        <f t="shared" si="41"/>
        <v>0</v>
      </c>
      <c r="AB159" s="1428">
        <f t="shared" si="41"/>
        <v>0</v>
      </c>
      <c r="AC159" s="1428">
        <f t="shared" si="41"/>
        <v>0</v>
      </c>
      <c r="AD159" s="1428">
        <f t="shared" si="41"/>
        <v>0</v>
      </c>
      <c r="AE159" s="1428">
        <f t="shared" si="41"/>
        <v>0</v>
      </c>
      <c r="AF159" s="1428">
        <f t="shared" si="41"/>
        <v>0</v>
      </c>
      <c r="AH159" s="1386"/>
      <c r="AI159" s="1387"/>
      <c r="AJ159" s="1386"/>
      <c r="AL159" s="1376"/>
      <c r="AM159" s="1377"/>
      <c r="AN159" s="1398"/>
    </row>
    <row r="160" spans="1:40" s="1372" customFormat="1" ht="12" hidden="1" customHeight="1">
      <c r="A160" s="1270"/>
      <c r="B160" s="1343"/>
      <c r="E160" s="1382"/>
      <c r="F160" s="1383"/>
      <c r="G160" s="1384" t="s">
        <v>273</v>
      </c>
      <c r="H160" s="1383"/>
      <c r="I160" s="1427">
        <f t="shared" ref="I160:AF160" si="42">IF(AND($C$58=1,$C$61=1),I141,IF(AND($C$58=1,$C$61=2),I149,IF(AND($C$58=1,$C$61=3),I156,IF(AND($C$58=2,$C$61=1),I144,IF(AND($C$58=2,$C$61=2),I152,IF(AND($C$58=2,$C$61=3),I156,0))))))</f>
        <v>0</v>
      </c>
      <c r="J160" s="1427">
        <f t="shared" si="42"/>
        <v>0</v>
      </c>
      <c r="K160" s="1427">
        <f t="shared" si="42"/>
        <v>0</v>
      </c>
      <c r="L160" s="1427">
        <f t="shared" si="42"/>
        <v>0</v>
      </c>
      <c r="M160" s="1427">
        <f t="shared" si="42"/>
        <v>0</v>
      </c>
      <c r="N160" s="1427">
        <f t="shared" si="42"/>
        <v>0</v>
      </c>
      <c r="O160" s="1427">
        <f t="shared" si="42"/>
        <v>0</v>
      </c>
      <c r="P160" s="1427">
        <f t="shared" si="42"/>
        <v>0</v>
      </c>
      <c r="Q160" s="1427">
        <f t="shared" si="42"/>
        <v>0</v>
      </c>
      <c r="R160" s="1427">
        <f t="shared" si="42"/>
        <v>0</v>
      </c>
      <c r="S160" s="1427">
        <f t="shared" si="42"/>
        <v>0</v>
      </c>
      <c r="T160" s="1427">
        <f t="shared" si="42"/>
        <v>0</v>
      </c>
      <c r="U160" s="1427">
        <f t="shared" si="42"/>
        <v>0</v>
      </c>
      <c r="V160" s="1427">
        <f t="shared" si="42"/>
        <v>0</v>
      </c>
      <c r="W160" s="1427">
        <f t="shared" si="42"/>
        <v>0</v>
      </c>
      <c r="X160" s="1427">
        <f t="shared" si="42"/>
        <v>0</v>
      </c>
      <c r="Y160" s="1427">
        <f t="shared" si="42"/>
        <v>0</v>
      </c>
      <c r="Z160" s="1427">
        <f t="shared" si="42"/>
        <v>0</v>
      </c>
      <c r="AA160" s="1427">
        <f t="shared" si="42"/>
        <v>0</v>
      </c>
      <c r="AB160" s="1427">
        <f t="shared" si="42"/>
        <v>0</v>
      </c>
      <c r="AC160" s="1427">
        <f t="shared" si="42"/>
        <v>0</v>
      </c>
      <c r="AD160" s="1427">
        <f t="shared" si="42"/>
        <v>0</v>
      </c>
      <c r="AE160" s="1427">
        <f t="shared" si="42"/>
        <v>0</v>
      </c>
      <c r="AF160" s="1427">
        <f t="shared" si="42"/>
        <v>0</v>
      </c>
      <c r="AH160" s="1386"/>
      <c r="AI160" s="1387"/>
      <c r="AJ160" s="1386"/>
      <c r="AL160" s="1376"/>
      <c r="AM160" s="1377"/>
      <c r="AN160" s="1378"/>
    </row>
    <row r="161" spans="1:40" s="1372" customFormat="1" ht="12" hidden="1" customHeight="1">
      <c r="A161" s="1270"/>
      <c r="B161" s="1343"/>
      <c r="E161" s="1382"/>
      <c r="F161" s="1383"/>
      <c r="G161" s="1384"/>
      <c r="H161" s="1383"/>
      <c r="I161" s="1430"/>
      <c r="J161" s="1430"/>
      <c r="K161" s="1430"/>
      <c r="L161" s="1430"/>
      <c r="M161" s="1430"/>
      <c r="N161" s="1430"/>
      <c r="O161" s="1430"/>
      <c r="P161" s="1430"/>
      <c r="Q161" s="1430"/>
      <c r="R161" s="1430"/>
      <c r="S161" s="1430"/>
      <c r="T161" s="1430"/>
      <c r="U161" s="1430"/>
      <c r="V161" s="1430"/>
      <c r="W161" s="1430"/>
      <c r="X161" s="1430"/>
      <c r="Y161" s="1430"/>
      <c r="Z161" s="1430"/>
      <c r="AA161" s="1430"/>
      <c r="AB161" s="1430"/>
      <c r="AC161" s="1430"/>
      <c r="AD161" s="1430"/>
      <c r="AE161" s="1430"/>
      <c r="AF161" s="1430"/>
      <c r="AH161" s="1386"/>
      <c r="AI161" s="1387"/>
      <c r="AJ161" s="1386"/>
      <c r="AL161" s="1376"/>
      <c r="AM161" s="1377"/>
      <c r="AN161" s="1378"/>
    </row>
    <row r="162" spans="1:40" s="1433" customFormat="1" ht="12" hidden="1" customHeight="1">
      <c r="A162" s="1270"/>
      <c r="B162" s="1317" t="s">
        <v>209</v>
      </c>
      <c r="C162" s="1348">
        <f>F162+H162</f>
        <v>1.0009999999999999</v>
      </c>
      <c r="D162" s="1349"/>
      <c r="E162" s="1431" t="s">
        <v>0</v>
      </c>
      <c r="F162" s="1350">
        <v>1</v>
      </c>
      <c r="G162" s="2352">
        <f>ARBETSBLAD!G315</f>
        <v>9.9999999999999995E-7</v>
      </c>
      <c r="H162" s="1352">
        <v>1E-3</v>
      </c>
      <c r="I162" s="2353">
        <f>SUMIFS(ARBETSBLAD!I37:I56,ARBETSBLAD!$E37:$E56,$E162,ARBETSBLAD!$G37:$G56,$G162)*I$57+0.7*I181+0.33*I182</f>
        <v>0</v>
      </c>
      <c r="J162" s="2353">
        <f>SUMIFS(ARBETSBLAD!J37:J56,ARBETSBLAD!$E37:$E56,$E162,ARBETSBLAD!$G37:$G56,$G162)*J$57+0.7*J181+0.33*J182</f>
        <v>0</v>
      </c>
      <c r="K162" s="2353">
        <f>SUMIFS(ARBETSBLAD!K37:K56,ARBETSBLAD!$E37:$E56,$E162,ARBETSBLAD!$G37:$G56,$G162)*K$57+0.7*K181+0.33*K182</f>
        <v>0</v>
      </c>
      <c r="L162" s="2353">
        <f>SUMIFS(ARBETSBLAD!L37:L56,ARBETSBLAD!$E37:$E56,$E162,ARBETSBLAD!$G37:$G56,$G162)*L$57+0.7*L181+0.33*L182</f>
        <v>0</v>
      </c>
      <c r="M162" s="2353">
        <f>SUMIFS(ARBETSBLAD!M37:M56,ARBETSBLAD!$E37:$E56,$E162,ARBETSBLAD!$G37:$G56,$G162)*M$57+0.7*M181+0.33*M182</f>
        <v>0</v>
      </c>
      <c r="N162" s="2353">
        <f>SUMIFS(ARBETSBLAD!N37:N56,ARBETSBLAD!$E37:$E56,$E162,ARBETSBLAD!$G37:$G56,$G162)*N$57+0.7*N181+0.33*N182</f>
        <v>0</v>
      </c>
      <c r="O162" s="2353">
        <f>SUMIFS(ARBETSBLAD!O37:O56,ARBETSBLAD!$E37:$E56,$E162,ARBETSBLAD!$G37:$G56,$G162)*O$57+0.7*O181+0.33*O182</f>
        <v>0</v>
      </c>
      <c r="P162" s="2353">
        <f>SUMIFS(ARBETSBLAD!P37:P56,ARBETSBLAD!$E37:$E56,$E162,ARBETSBLAD!$G37:$G56,$G162)*P$57+0.7*P181+0.33*P182</f>
        <v>0</v>
      </c>
      <c r="Q162" s="2353">
        <f>SUMIFS(ARBETSBLAD!Q37:Q56,ARBETSBLAD!$E37:$E56,$E162,ARBETSBLAD!$G37:$G56,$G162)*Q$57+0.7*Q181+0.33*Q182</f>
        <v>0</v>
      </c>
      <c r="R162" s="2353">
        <f>SUMIFS(ARBETSBLAD!R37:R56,ARBETSBLAD!$E37:$E56,$E162,ARBETSBLAD!$G37:$G56,$G162)*R$57+0.7*R181+0.33*R182</f>
        <v>0</v>
      </c>
      <c r="S162" s="2353">
        <f>SUMIFS(ARBETSBLAD!S37:S56,ARBETSBLAD!$E37:$E56,$E162,ARBETSBLAD!$G37:$G56,$G162)*S$57+0.7*S181+0.33*S182</f>
        <v>0</v>
      </c>
      <c r="T162" s="2353">
        <f>SUMIFS(ARBETSBLAD!T37:T56,ARBETSBLAD!$E37:$E56,$E162,ARBETSBLAD!$G37:$G56,$G162)*T$57+0.7*T181+0.33*T182</f>
        <v>0</v>
      </c>
      <c r="U162" s="2353">
        <f>SUMIFS(ARBETSBLAD!U37:U56,ARBETSBLAD!$E37:$E56,$E162,ARBETSBLAD!$G37:$G56,$G162)*U$57+0.7*U181+0.33*U182</f>
        <v>0</v>
      </c>
      <c r="V162" s="2353">
        <f>SUMIFS(ARBETSBLAD!V37:V56,ARBETSBLAD!$E37:$E56,$E162,ARBETSBLAD!$G37:$G56,$G162)*V$57+0.7*V181+0.33*V182</f>
        <v>0</v>
      </c>
      <c r="W162" s="2353">
        <f>SUMIFS(ARBETSBLAD!W37:W56,ARBETSBLAD!$E37:$E56,$E162,ARBETSBLAD!$G37:$G56,$G162)*W$57+0.7*W181+0.33*W182</f>
        <v>0</v>
      </c>
      <c r="X162" s="2353">
        <f>SUMIFS(ARBETSBLAD!X37:X56,ARBETSBLAD!$E37:$E56,$E162,ARBETSBLAD!$G37:$G56,$G162)*X$57+0.7*X181+0.33*X182</f>
        <v>0</v>
      </c>
      <c r="Y162" s="2353">
        <f>SUMIFS(ARBETSBLAD!Y37:Y56,ARBETSBLAD!$E37:$E56,$E162,ARBETSBLAD!$G37:$G56,$G162)*Y$57+0.7*Y181+0.33*Y182</f>
        <v>0</v>
      </c>
      <c r="Z162" s="2353">
        <f>SUMIFS(ARBETSBLAD!Z37:Z56,ARBETSBLAD!$E37:$E56,$E162,ARBETSBLAD!$G37:$G56,$G162)*Z$57+0.7*Z181+0.33*Z182</f>
        <v>0</v>
      </c>
      <c r="AA162" s="2353">
        <f>SUMIFS(ARBETSBLAD!AA37:AA56,ARBETSBLAD!$E37:$E56,$E162,ARBETSBLAD!$G37:$G56,$G162)*AA$57+0.7*AA181+0.33*AA182</f>
        <v>0</v>
      </c>
      <c r="AB162" s="2353">
        <f>SUMIFS(ARBETSBLAD!AB37:AB56,ARBETSBLAD!$E37:$E56,$E162,ARBETSBLAD!$G37:$G56,$G162)*AB$57+0.7*AB181+0.33*AB182</f>
        <v>0</v>
      </c>
      <c r="AC162" s="2353">
        <f>SUMIFS(ARBETSBLAD!AC37:AC56,ARBETSBLAD!$E37:$E56,$E162,ARBETSBLAD!$G37:$G56,$G162)*AC$57+0.7*AC181+0.33*AC182</f>
        <v>0</v>
      </c>
      <c r="AD162" s="2353">
        <f>SUMIFS(ARBETSBLAD!AD37:AD56,ARBETSBLAD!$E37:$E56,$E162,ARBETSBLAD!$G37:$G56,$G162)*AD$57+0.7*AD181+0.33*AD182</f>
        <v>0</v>
      </c>
      <c r="AE162" s="2353">
        <f>SUMIFS(ARBETSBLAD!AE37:AE56,ARBETSBLAD!$E37:$E56,$E162,ARBETSBLAD!$G37:$G56,$G162)*AE$57+0.7*AE181+0.33*AE182</f>
        <v>0</v>
      </c>
      <c r="AF162" s="2353">
        <f>SUMIFS(ARBETSBLAD!AF37:AF56,ARBETSBLAD!$E37:$E56,$E162,ARBETSBLAD!$G37:$G56,$G162)*AF$57+0.7*AF181+0.33*AF182</f>
        <v>0</v>
      </c>
      <c r="AG162" s="1349"/>
      <c r="AH162" s="1354">
        <f t="shared" ref="AH162:AH192" si="43">IF($C$57=1,SUM(I162:T162),IF($C$57=2,SUM(O162:AF162)))</f>
        <v>0</v>
      </c>
      <c r="AI162" s="1355"/>
      <c r="AJ162" s="1354">
        <f t="shared" ref="AJ162:AJ192" si="44">IF($C$57=1,SUM(U162:AF162),0)</f>
        <v>0</v>
      </c>
      <c r="AL162" s="1356"/>
      <c r="AM162" s="1357"/>
      <c r="AN162" s="1434"/>
    </row>
    <row r="163" spans="1:40" s="1433" customFormat="1" ht="12" hidden="1" customHeight="1">
      <c r="A163" s="1270"/>
      <c r="B163" s="1317"/>
      <c r="C163" s="1348">
        <f>F163+H163</f>
        <v>300.00099999999998</v>
      </c>
      <c r="D163" s="1349"/>
      <c r="E163" s="1431" t="s">
        <v>1</v>
      </c>
      <c r="F163" s="1350">
        <v>300</v>
      </c>
      <c r="G163" s="2352">
        <f>ARBETSBLAD!G315</f>
        <v>9.9999999999999995E-7</v>
      </c>
      <c r="H163" s="1352">
        <v>1E-3</v>
      </c>
      <c r="I163" s="2354">
        <f>SUMIFS(ARBETSBLAD!I37:I56,ARBETSBLAD!$E37:$E56,$E163,ARBETSBLAD!$G37:$G56,$G163)*I$57+0.3*I181+0.67*I182+0.567*I183</f>
        <v>0</v>
      </c>
      <c r="J163" s="2354">
        <f>SUMIFS(ARBETSBLAD!J37:J56,ARBETSBLAD!$E37:$E56,$E163,ARBETSBLAD!$G37:$G56,$G163)*J$57+0.3*J181+0.67*J182+0.567*J183</f>
        <v>0</v>
      </c>
      <c r="K163" s="2354">
        <f>SUMIFS(ARBETSBLAD!K37:K56,ARBETSBLAD!$E37:$E56,$E163,ARBETSBLAD!$G37:$G56,$G163)*K$57+0.3*K181+0.67*K182+0.567*K183</f>
        <v>0</v>
      </c>
      <c r="L163" s="2354">
        <f>SUMIFS(ARBETSBLAD!L37:L56,ARBETSBLAD!$E37:$E56,$E163,ARBETSBLAD!$G37:$G56,$G163)*L$57+0.3*L181+0.67*L182+0.567*L183</f>
        <v>0</v>
      </c>
      <c r="M163" s="2354">
        <f>SUMIFS(ARBETSBLAD!M37:M56,ARBETSBLAD!$E37:$E56,$E163,ARBETSBLAD!$G37:$G56,$G163)*M$57+0.3*M181+0.67*M182+0.567*M183</f>
        <v>0</v>
      </c>
      <c r="N163" s="2354">
        <f>SUMIFS(ARBETSBLAD!N37:N56,ARBETSBLAD!$E37:$E56,$E163,ARBETSBLAD!$G37:$G56,$G163)*N$57+0.3*N181+0.67*N182+0.567*N183</f>
        <v>0</v>
      </c>
      <c r="O163" s="2354">
        <f>SUMIFS(ARBETSBLAD!O37:O56,ARBETSBLAD!$E37:$E56,$E163,ARBETSBLAD!$G37:$G56,$G163)*O$57+0.3*O181+0.67*O182+0.567*O183</f>
        <v>0</v>
      </c>
      <c r="P163" s="2354">
        <f>SUMIFS(ARBETSBLAD!P37:P56,ARBETSBLAD!$E37:$E56,$E163,ARBETSBLAD!$G37:$G56,$G163)*P$57+0.3*P181+0.67*P182+0.567*P183</f>
        <v>0</v>
      </c>
      <c r="Q163" s="2354">
        <f>SUMIFS(ARBETSBLAD!Q37:Q56,ARBETSBLAD!$E37:$E56,$E163,ARBETSBLAD!$G37:$G56,$G163)*Q$57+0.3*Q181+0.67*Q182+0.567*Q183</f>
        <v>0</v>
      </c>
      <c r="R163" s="2354">
        <f>SUMIFS(ARBETSBLAD!R37:R56,ARBETSBLAD!$E37:$E56,$E163,ARBETSBLAD!$G37:$G56,$G163)*R$57+0.3*R181+0.67*R182+0.567*R183</f>
        <v>0</v>
      </c>
      <c r="S163" s="2354">
        <f>SUMIFS(ARBETSBLAD!S37:S56,ARBETSBLAD!$E37:$E56,$E163,ARBETSBLAD!$G37:$G56,$G163)*S$57+0.3*S181+0.67*S182+0.567*S183</f>
        <v>0</v>
      </c>
      <c r="T163" s="2354">
        <f>SUMIFS(ARBETSBLAD!T37:T56,ARBETSBLAD!$E37:$E56,$E163,ARBETSBLAD!$G37:$G56,$G163)*T$57+0.3*T181+0.67*T182+0.567*T183</f>
        <v>0</v>
      </c>
      <c r="U163" s="2354">
        <f>SUMIFS(ARBETSBLAD!U37:U56,ARBETSBLAD!$E37:$E56,$E163,ARBETSBLAD!$G37:$G56,$G163)*U$57+0.3*U181+0.67*U182+0.567*U183</f>
        <v>0</v>
      </c>
      <c r="V163" s="2354">
        <f>SUMIFS(ARBETSBLAD!V37:V56,ARBETSBLAD!$E37:$E56,$E163,ARBETSBLAD!$G37:$G56,$G163)*V$57+0.3*V181+0.67*V182+0.567*V183</f>
        <v>0</v>
      </c>
      <c r="W163" s="2354">
        <f>SUMIFS(ARBETSBLAD!W37:W56,ARBETSBLAD!$E37:$E56,$E163,ARBETSBLAD!$G37:$G56,$G163)*W$57+0.3*W181+0.67*W182+0.567*W183</f>
        <v>0</v>
      </c>
      <c r="X163" s="2354">
        <f>SUMIFS(ARBETSBLAD!X37:X56,ARBETSBLAD!$E37:$E56,$E163,ARBETSBLAD!$G37:$G56,$G163)*X$57+0.3*X181+0.67*X182+0.567*X183</f>
        <v>0</v>
      </c>
      <c r="Y163" s="2354">
        <f>SUMIFS(ARBETSBLAD!Y37:Y56,ARBETSBLAD!$E37:$E56,$E163,ARBETSBLAD!$G37:$G56,$G163)*Y$57+0.3*Y181+0.67*Y182+0.567*Y183</f>
        <v>0</v>
      </c>
      <c r="Z163" s="2354">
        <f>SUMIFS(ARBETSBLAD!Z37:Z56,ARBETSBLAD!$E37:$E56,$E163,ARBETSBLAD!$G37:$G56,$G163)*Z$57+0.3*Z181+0.67*Z182+0.567*Z183</f>
        <v>0</v>
      </c>
      <c r="AA163" s="2354">
        <f>SUMIFS(ARBETSBLAD!AA37:AA56,ARBETSBLAD!$E37:$E56,$E163,ARBETSBLAD!$G37:$G56,$G163)*AA$57+0.3*AA181+0.67*AA182+0.567*AA183</f>
        <v>0</v>
      </c>
      <c r="AB163" s="2354">
        <f>SUMIFS(ARBETSBLAD!AB37:AB56,ARBETSBLAD!$E37:$E56,$E163,ARBETSBLAD!$G37:$G56,$G163)*AB$57+0.3*AB181+0.67*AB182+0.567*AB183</f>
        <v>0</v>
      </c>
      <c r="AC163" s="2354">
        <f>SUMIFS(ARBETSBLAD!AC37:AC56,ARBETSBLAD!$E37:$E56,$E163,ARBETSBLAD!$G37:$G56,$G163)*AC$57+0.3*AC181+0.67*AC182+0.567*AC183</f>
        <v>0</v>
      </c>
      <c r="AD163" s="2354">
        <f>SUMIFS(ARBETSBLAD!AD37:AD56,ARBETSBLAD!$E37:$E56,$E163,ARBETSBLAD!$G37:$G56,$G163)*AD$57+0.3*AD181+0.67*AD182+0.567*AD183</f>
        <v>0</v>
      </c>
      <c r="AE163" s="2354">
        <f>SUMIFS(ARBETSBLAD!AE37:AE56,ARBETSBLAD!$E37:$E56,$E163,ARBETSBLAD!$G37:$G56,$G163)*AE$57+0.3*AE181+0.67*AE182+0.567*AE183</f>
        <v>0</v>
      </c>
      <c r="AF163" s="2354">
        <f>SUMIFS(ARBETSBLAD!AF37:AF56,ARBETSBLAD!$E37:$E56,$E163,ARBETSBLAD!$G37:$G56,$G163)*AF$57+0.3*AF181+0.67*AF182+0.567*AF183</f>
        <v>0</v>
      </c>
      <c r="AG163" s="1349"/>
      <c r="AH163" s="1354">
        <f t="shared" si="43"/>
        <v>0</v>
      </c>
      <c r="AI163" s="1355"/>
      <c r="AJ163" s="1354">
        <f t="shared" si="44"/>
        <v>0</v>
      </c>
      <c r="AL163" s="1356"/>
      <c r="AM163" s="1357"/>
      <c r="AN163" s="1434"/>
    </row>
    <row r="164" spans="1:40" s="1433" customFormat="1" ht="12" hidden="1" customHeight="1">
      <c r="A164" s="1270"/>
      <c r="B164" s="1317"/>
      <c r="C164" s="1348">
        <f>F164+H164</f>
        <v>600.00099999999998</v>
      </c>
      <c r="D164" s="1349"/>
      <c r="E164" s="1431" t="s">
        <v>2</v>
      </c>
      <c r="F164" s="1350">
        <v>600</v>
      </c>
      <c r="G164" s="2352">
        <f>ARBETSBLAD!G315</f>
        <v>9.9999999999999995E-7</v>
      </c>
      <c r="H164" s="1352">
        <v>1E-3</v>
      </c>
      <c r="I164" s="2354">
        <f>SUMIFS(ARBETSBLAD!I37:I56,ARBETSBLAD!$E37:$E56,$E164,ARBETSBLAD!$G37:$G56,$G164)*I$57+0.433*I183</f>
        <v>0</v>
      </c>
      <c r="J164" s="2354">
        <f>SUMIFS(ARBETSBLAD!J37:J56,ARBETSBLAD!$E37:$E56,$E164,ARBETSBLAD!$G37:$G56,$G164)*J$57+0.433*J183</f>
        <v>0</v>
      </c>
      <c r="K164" s="2354">
        <f>SUMIFS(ARBETSBLAD!K37:K56,ARBETSBLAD!$E37:$E56,$E164,ARBETSBLAD!$G37:$G56,$G164)*K$57+0.433*K183</f>
        <v>0</v>
      </c>
      <c r="L164" s="2354">
        <f>SUMIFS(ARBETSBLAD!L37:L56,ARBETSBLAD!$E37:$E56,$E164,ARBETSBLAD!$G37:$G56,$G164)*L$57+0.433*L183</f>
        <v>0</v>
      </c>
      <c r="M164" s="2354">
        <f>SUMIFS(ARBETSBLAD!M37:M56,ARBETSBLAD!$E37:$E56,$E164,ARBETSBLAD!$G37:$G56,$G164)*M$57+0.433*M183</f>
        <v>0</v>
      </c>
      <c r="N164" s="2354">
        <f>SUMIFS(ARBETSBLAD!N37:N56,ARBETSBLAD!$E37:$E56,$E164,ARBETSBLAD!$G37:$G56,$G164)*N$57+0.433*N183</f>
        <v>0</v>
      </c>
      <c r="O164" s="2354">
        <f>SUMIFS(ARBETSBLAD!O37:O56,ARBETSBLAD!$E37:$E56,$E164,ARBETSBLAD!$G37:$G56,$G164)*O$57+0.433*O183</f>
        <v>0</v>
      </c>
      <c r="P164" s="2354">
        <f>SUMIFS(ARBETSBLAD!P37:P56,ARBETSBLAD!$E37:$E56,$E164,ARBETSBLAD!$G37:$G56,$G164)*P$57+0.433*P183</f>
        <v>0</v>
      </c>
      <c r="Q164" s="2354">
        <f>SUMIFS(ARBETSBLAD!Q37:Q56,ARBETSBLAD!$E37:$E56,$E164,ARBETSBLAD!$G37:$G56,$G164)*Q$57+0.433*Q183</f>
        <v>0</v>
      </c>
      <c r="R164" s="2354">
        <f>SUMIFS(ARBETSBLAD!R37:R56,ARBETSBLAD!$E37:$E56,$E164,ARBETSBLAD!$G37:$G56,$G164)*R$57+0.433*R183</f>
        <v>0</v>
      </c>
      <c r="S164" s="2354">
        <f>SUMIFS(ARBETSBLAD!S37:S56,ARBETSBLAD!$E37:$E56,$E164,ARBETSBLAD!$G37:$G56,$G164)*S$57+0.433*S183</f>
        <v>0</v>
      </c>
      <c r="T164" s="2354">
        <f>SUMIFS(ARBETSBLAD!T37:T56,ARBETSBLAD!$E37:$E56,$E164,ARBETSBLAD!$G37:$G56,$G164)*T$57+0.433*T183</f>
        <v>0</v>
      </c>
      <c r="U164" s="2354">
        <f>SUMIFS(ARBETSBLAD!U37:U56,ARBETSBLAD!$E37:$E56,$E164,ARBETSBLAD!$G37:$G56,$G164)*U$57+0.433*U183</f>
        <v>0</v>
      </c>
      <c r="V164" s="2354">
        <f>SUMIFS(ARBETSBLAD!V37:V56,ARBETSBLAD!$E37:$E56,$E164,ARBETSBLAD!$G37:$G56,$G164)*V$57+0.433*V183</f>
        <v>0</v>
      </c>
      <c r="W164" s="2354">
        <f>SUMIFS(ARBETSBLAD!W37:W56,ARBETSBLAD!$E37:$E56,$E164,ARBETSBLAD!$G37:$G56,$G164)*W$57+0.433*W183</f>
        <v>0</v>
      </c>
      <c r="X164" s="2354">
        <f>SUMIFS(ARBETSBLAD!X37:X56,ARBETSBLAD!$E37:$E56,$E164,ARBETSBLAD!$G37:$G56,$G164)*X$57+0.433*X183</f>
        <v>0</v>
      </c>
      <c r="Y164" s="2354">
        <f>SUMIFS(ARBETSBLAD!Y37:Y56,ARBETSBLAD!$E37:$E56,$E164,ARBETSBLAD!$G37:$G56,$G164)*Y$57+0.433*Y183</f>
        <v>0</v>
      </c>
      <c r="Z164" s="2354">
        <f>SUMIFS(ARBETSBLAD!Z37:Z56,ARBETSBLAD!$E37:$E56,$E164,ARBETSBLAD!$G37:$G56,$G164)*Z$57+0.433*Z183</f>
        <v>0</v>
      </c>
      <c r="AA164" s="2354">
        <f>SUMIFS(ARBETSBLAD!AA37:AA56,ARBETSBLAD!$E37:$E56,$E164,ARBETSBLAD!$G37:$G56,$G164)*AA$57+0.433*AA183</f>
        <v>0</v>
      </c>
      <c r="AB164" s="2354">
        <f>SUMIFS(ARBETSBLAD!AB37:AB56,ARBETSBLAD!$E37:$E56,$E164,ARBETSBLAD!$G37:$G56,$G164)*AB$57+0.433*AB183</f>
        <v>0</v>
      </c>
      <c r="AC164" s="2354">
        <f>SUMIFS(ARBETSBLAD!AC37:AC56,ARBETSBLAD!$E37:$E56,$E164,ARBETSBLAD!$G37:$G56,$G164)*AC$57+0.433*AC183</f>
        <v>0</v>
      </c>
      <c r="AD164" s="2354">
        <f>SUMIFS(ARBETSBLAD!AD37:AD56,ARBETSBLAD!$E37:$E56,$E164,ARBETSBLAD!$G37:$G56,$G164)*AD$57+0.433*AD183</f>
        <v>0</v>
      </c>
      <c r="AE164" s="2354">
        <f>SUMIFS(ARBETSBLAD!AE37:AE56,ARBETSBLAD!$E37:$E56,$E164,ARBETSBLAD!$G37:$G56,$G164)*AE$57+0.433*AE183</f>
        <v>0</v>
      </c>
      <c r="AF164" s="2354">
        <f>SUMIFS(ARBETSBLAD!AF37:AF56,ARBETSBLAD!$E37:$E56,$E164,ARBETSBLAD!$G37:$G56,$G164)*AF$57+0.433*AF183</f>
        <v>0</v>
      </c>
      <c r="AG164" s="1349"/>
      <c r="AH164" s="1354">
        <f t="shared" si="43"/>
        <v>0</v>
      </c>
      <c r="AI164" s="1355"/>
      <c r="AJ164" s="1354">
        <f t="shared" si="44"/>
        <v>0</v>
      </c>
      <c r="AL164" s="1356"/>
      <c r="AM164" s="1357"/>
      <c r="AN164" s="1434"/>
    </row>
    <row r="165" spans="1:40" s="1433" customFormat="1" ht="12" hidden="1" customHeight="1">
      <c r="A165" s="1270"/>
      <c r="B165" s="1317"/>
      <c r="C165" s="1348">
        <f>F165+H165</f>
        <v>900.00099999999998</v>
      </c>
      <c r="D165" s="1349"/>
      <c r="E165" s="1431" t="s">
        <v>3</v>
      </c>
      <c r="F165" s="1350">
        <v>900</v>
      </c>
      <c r="G165" s="2352">
        <f>ARBETSBLAD!G315</f>
        <v>9.9999999999999995E-7</v>
      </c>
      <c r="H165" s="1352">
        <v>1E-3</v>
      </c>
      <c r="I165" s="2354">
        <f>SUMIFS(ARBETSBLAD!I37:I56,ARBETSBLAD!$E37:$E56,$E165,ARBETSBLAD!$G37:$G56,$G165)*I$57</f>
        <v>0</v>
      </c>
      <c r="J165" s="2354">
        <f>SUMIFS(ARBETSBLAD!J37:J56,ARBETSBLAD!$E37:$E56,$E165,ARBETSBLAD!$G37:$G56,$G165)*J$57</f>
        <v>0</v>
      </c>
      <c r="K165" s="2354">
        <f>SUMIFS(ARBETSBLAD!K37:K56,ARBETSBLAD!$E37:$E56,$E165,ARBETSBLAD!$G37:$G56,$G165)*K$57</f>
        <v>0</v>
      </c>
      <c r="L165" s="2354">
        <f>SUMIFS(ARBETSBLAD!L37:L56,ARBETSBLAD!$E37:$E56,$E165,ARBETSBLAD!$G37:$G56,$G165)*L$57</f>
        <v>0</v>
      </c>
      <c r="M165" s="2354">
        <f>SUMIFS(ARBETSBLAD!M37:M56,ARBETSBLAD!$E37:$E56,$E165,ARBETSBLAD!$G37:$G56,$G165)*M$57</f>
        <v>0</v>
      </c>
      <c r="N165" s="2354">
        <f>SUMIFS(ARBETSBLAD!N37:N56,ARBETSBLAD!$E37:$E56,$E165,ARBETSBLAD!$G37:$G56,$G165)*N$57</f>
        <v>0</v>
      </c>
      <c r="O165" s="2354">
        <f>SUMIFS(ARBETSBLAD!O37:O56,ARBETSBLAD!$E37:$E56,$E165,ARBETSBLAD!$G37:$G56,$G165)*O$57</f>
        <v>0</v>
      </c>
      <c r="P165" s="2354">
        <f>SUMIFS(ARBETSBLAD!P37:P56,ARBETSBLAD!$E37:$E56,$E165,ARBETSBLAD!$G37:$G56,$G165)*P$57</f>
        <v>0</v>
      </c>
      <c r="Q165" s="2354">
        <f>SUMIFS(ARBETSBLAD!Q37:Q56,ARBETSBLAD!$E37:$E56,$E165,ARBETSBLAD!$G37:$G56,$G165)*Q$57</f>
        <v>0</v>
      </c>
      <c r="R165" s="2354">
        <f>SUMIFS(ARBETSBLAD!R37:R56,ARBETSBLAD!$E37:$E56,$E165,ARBETSBLAD!$G37:$G56,$G165)*R$57</f>
        <v>0</v>
      </c>
      <c r="S165" s="2354">
        <f>SUMIFS(ARBETSBLAD!S37:S56,ARBETSBLAD!$E37:$E56,$E165,ARBETSBLAD!$G37:$G56,$G165)*S$57</f>
        <v>0</v>
      </c>
      <c r="T165" s="2354">
        <f>SUMIFS(ARBETSBLAD!T37:T56,ARBETSBLAD!$E37:$E56,$E165,ARBETSBLAD!$G37:$G56,$G165)*T$57</f>
        <v>0</v>
      </c>
      <c r="U165" s="2354">
        <f>SUMIFS(ARBETSBLAD!U37:U56,ARBETSBLAD!$E37:$E56,$E165,ARBETSBLAD!$G37:$G56,$G165)*U$57</f>
        <v>0</v>
      </c>
      <c r="V165" s="2354">
        <f>SUMIFS(ARBETSBLAD!V37:V56,ARBETSBLAD!$E37:$E56,$E165,ARBETSBLAD!$G37:$G56,$G165)*V$57</f>
        <v>0</v>
      </c>
      <c r="W165" s="2354">
        <f>SUMIFS(ARBETSBLAD!W37:W56,ARBETSBLAD!$E37:$E56,$E165,ARBETSBLAD!$G37:$G56,$G165)*W$57</f>
        <v>0</v>
      </c>
      <c r="X165" s="2354">
        <f>SUMIFS(ARBETSBLAD!X37:X56,ARBETSBLAD!$E37:$E56,$E165,ARBETSBLAD!$G37:$G56,$G165)*X$57</f>
        <v>0</v>
      </c>
      <c r="Y165" s="2354">
        <f>SUMIFS(ARBETSBLAD!Y37:Y56,ARBETSBLAD!$E37:$E56,$E165,ARBETSBLAD!$G37:$G56,$G165)*Y$57</f>
        <v>0</v>
      </c>
      <c r="Z165" s="2354">
        <f>SUMIFS(ARBETSBLAD!Z37:Z56,ARBETSBLAD!$E37:$E56,$E165,ARBETSBLAD!$G37:$G56,$G165)*Z$57</f>
        <v>0</v>
      </c>
      <c r="AA165" s="2354">
        <f>SUMIFS(ARBETSBLAD!AA37:AA56,ARBETSBLAD!$E37:$E56,$E165,ARBETSBLAD!$G37:$G56,$G165)*AA$57</f>
        <v>0</v>
      </c>
      <c r="AB165" s="2354">
        <f>SUMIFS(ARBETSBLAD!AB37:AB56,ARBETSBLAD!$E37:$E56,$E165,ARBETSBLAD!$G37:$G56,$G165)*AB$57</f>
        <v>0</v>
      </c>
      <c r="AC165" s="2354">
        <f>SUMIFS(ARBETSBLAD!AC37:AC56,ARBETSBLAD!$E37:$E56,$E165,ARBETSBLAD!$G37:$G56,$G165)*AC$57</f>
        <v>0</v>
      </c>
      <c r="AD165" s="2354">
        <f>SUMIFS(ARBETSBLAD!AD37:AD56,ARBETSBLAD!$E37:$E56,$E165,ARBETSBLAD!$G37:$G56,$G165)*AD$57</f>
        <v>0</v>
      </c>
      <c r="AE165" s="2354">
        <f>SUMIFS(ARBETSBLAD!AE37:AE56,ARBETSBLAD!$E37:$E56,$E165,ARBETSBLAD!$G37:$G56,$G165)*AE$57</f>
        <v>0</v>
      </c>
      <c r="AF165" s="2354">
        <f>SUMIFS(ARBETSBLAD!AF37:AF56,ARBETSBLAD!$E37:$E56,$E165,ARBETSBLAD!$G37:$G56,$G165)*AF$57</f>
        <v>0</v>
      </c>
      <c r="AG165" s="1349"/>
      <c r="AH165" s="1354">
        <f t="shared" si="43"/>
        <v>0</v>
      </c>
      <c r="AI165" s="1355"/>
      <c r="AJ165" s="1354">
        <f t="shared" si="44"/>
        <v>0</v>
      </c>
      <c r="AL165" s="1356"/>
      <c r="AM165" s="1357"/>
      <c r="AN165" s="1434"/>
    </row>
    <row r="166" spans="1:40" s="115" customFormat="1" ht="12" hidden="1" customHeight="1">
      <c r="A166" s="1270"/>
      <c r="B166" s="1317"/>
      <c r="C166" s="1348"/>
      <c r="D166" s="1349"/>
      <c r="E166" s="1350"/>
      <c r="F166" s="1349"/>
      <c r="G166" s="1350"/>
      <c r="H166" s="1368"/>
      <c r="I166" s="1435"/>
      <c r="J166" s="1435"/>
      <c r="K166" s="1435"/>
      <c r="L166" s="1435"/>
      <c r="M166" s="1435"/>
      <c r="N166" s="1435"/>
      <c r="O166" s="1435"/>
      <c r="P166" s="1435"/>
      <c r="Q166" s="1435"/>
      <c r="R166" s="1435"/>
      <c r="S166" s="1435"/>
      <c r="T166" s="1435"/>
      <c r="U166" s="1435"/>
      <c r="V166" s="1435"/>
      <c r="W166" s="1435"/>
      <c r="X166" s="1435"/>
      <c r="Y166" s="1435"/>
      <c r="Z166" s="1435"/>
      <c r="AA166" s="1435"/>
      <c r="AB166" s="1435"/>
      <c r="AC166" s="1435"/>
      <c r="AD166" s="1435"/>
      <c r="AE166" s="1435"/>
      <c r="AF166" s="1435"/>
      <c r="AG166" s="1349"/>
      <c r="AH166" s="1354">
        <f t="shared" si="43"/>
        <v>0</v>
      </c>
      <c r="AI166" s="1355"/>
      <c r="AJ166" s="1354">
        <f t="shared" si="44"/>
        <v>0</v>
      </c>
      <c r="AL166" s="1357"/>
      <c r="AM166" s="1357"/>
      <c r="AN166" s="1357"/>
    </row>
    <row r="167" spans="1:40" s="115" customFormat="1" ht="12" hidden="1" customHeight="1">
      <c r="A167" s="1270"/>
      <c r="B167" s="1317"/>
      <c r="C167" s="1348">
        <f>F167+H167</f>
        <v>1.06</v>
      </c>
      <c r="D167" s="1349"/>
      <c r="E167" s="1431" t="s">
        <v>0</v>
      </c>
      <c r="F167" s="1350">
        <v>1</v>
      </c>
      <c r="G167" s="1436">
        <f>$O$64</f>
        <v>0.06</v>
      </c>
      <c r="H167" s="1368">
        <f>$P$64</f>
        <v>0.06</v>
      </c>
      <c r="I167" s="2354">
        <f>SUMIFS(ARBETSBLAD!I37:I56,ARBETSBLAD!$E37:$E56,$E167,ARBETSBLAD!$G37:$G56,$G167)*I$57+0.7*I184+0.33*I185</f>
        <v>0</v>
      </c>
      <c r="J167" s="2354">
        <f>SUMIFS(ARBETSBLAD!J37:J56,ARBETSBLAD!$E37:$E56,$E167,ARBETSBLAD!$G37:$G56,$G167)*J$57+0.7*J184+0.33*J185</f>
        <v>0</v>
      </c>
      <c r="K167" s="2354">
        <f>SUMIFS(ARBETSBLAD!K37:K56,ARBETSBLAD!$E37:$E56,$E167,ARBETSBLAD!$G37:$G56,$G167)*K$57+0.7*K184+0.33*K185</f>
        <v>0</v>
      </c>
      <c r="L167" s="2354">
        <f>SUMIFS(ARBETSBLAD!L37:L56,ARBETSBLAD!$E37:$E56,$E167,ARBETSBLAD!$G37:$G56,$G167)*L$57+0.7*L184+0.33*L185</f>
        <v>0</v>
      </c>
      <c r="M167" s="2354">
        <f>SUMIFS(ARBETSBLAD!M37:M56,ARBETSBLAD!$E37:$E56,$E167,ARBETSBLAD!$G37:$G56,$G167)*M$57+0.7*M184+0.33*M185</f>
        <v>0</v>
      </c>
      <c r="N167" s="2354">
        <f>SUMIFS(ARBETSBLAD!N37:N56,ARBETSBLAD!$E37:$E56,$E167,ARBETSBLAD!$G37:$G56,$G167)*N$57+0.7*N184+0.33*N185</f>
        <v>0</v>
      </c>
      <c r="O167" s="2354">
        <f>SUMIFS(ARBETSBLAD!O37:O56,ARBETSBLAD!$E37:$E56,$E167,ARBETSBLAD!$G37:$G56,$G167)*O$57+0.7*O184+0.33*O185</f>
        <v>0</v>
      </c>
      <c r="P167" s="2354">
        <f>SUMIFS(ARBETSBLAD!P37:P56,ARBETSBLAD!$E37:$E56,$E167,ARBETSBLAD!$G37:$G56,$G167)*P$57+0.7*P184+0.33*P185</f>
        <v>0</v>
      </c>
      <c r="Q167" s="2354">
        <f>SUMIFS(ARBETSBLAD!Q37:Q56,ARBETSBLAD!$E37:$E56,$E167,ARBETSBLAD!$G37:$G56,$G167)*Q$57+0.7*Q184+0.33*Q185</f>
        <v>0</v>
      </c>
      <c r="R167" s="2354">
        <f>SUMIFS(ARBETSBLAD!R37:R56,ARBETSBLAD!$E37:$E56,$E167,ARBETSBLAD!$G37:$G56,$G167)*R$57+0.7*R184+0.33*R185</f>
        <v>0</v>
      </c>
      <c r="S167" s="2354">
        <f>SUMIFS(ARBETSBLAD!S37:S56,ARBETSBLAD!$E37:$E56,$E167,ARBETSBLAD!$G37:$G56,$G167)*S$57+0.7*S184+0.33*S185</f>
        <v>0</v>
      </c>
      <c r="T167" s="2354">
        <f>SUMIFS(ARBETSBLAD!T37:T56,ARBETSBLAD!$E37:$E56,$E167,ARBETSBLAD!$G37:$G56,$G167)*T$57+0.7*T184+0.33*T185</f>
        <v>0</v>
      </c>
      <c r="U167" s="2354">
        <f>SUMIFS(ARBETSBLAD!U37:U56,ARBETSBLAD!$E37:$E56,$E167,ARBETSBLAD!$G37:$G56,$G167)*U$57+0.7*U184+0.33*U185</f>
        <v>0</v>
      </c>
      <c r="V167" s="2354">
        <f>SUMIFS(ARBETSBLAD!V37:V56,ARBETSBLAD!$E37:$E56,$E167,ARBETSBLAD!$G37:$G56,$G167)*V$57+0.7*V184+0.33*V185</f>
        <v>0</v>
      </c>
      <c r="W167" s="2354">
        <f>SUMIFS(ARBETSBLAD!W37:W56,ARBETSBLAD!$E37:$E56,$E167,ARBETSBLAD!$G37:$G56,$G167)*W$57+0.7*W184+0.33*W185</f>
        <v>0</v>
      </c>
      <c r="X167" s="2354">
        <f>SUMIFS(ARBETSBLAD!X37:X56,ARBETSBLAD!$E37:$E56,$E167,ARBETSBLAD!$G37:$G56,$G167)*X$57+0.7*X184+0.33*X185</f>
        <v>0</v>
      </c>
      <c r="Y167" s="2354">
        <f>SUMIFS(ARBETSBLAD!Y37:Y56,ARBETSBLAD!$E37:$E56,$E167,ARBETSBLAD!$G37:$G56,$G167)*Y$57+0.7*Y184+0.33*Y185</f>
        <v>0</v>
      </c>
      <c r="Z167" s="2354">
        <f>SUMIFS(ARBETSBLAD!Z37:Z56,ARBETSBLAD!$E37:$E56,$E167,ARBETSBLAD!$G37:$G56,$G167)*Z$57+0.7*Z184+0.33*Z185</f>
        <v>0</v>
      </c>
      <c r="AA167" s="2354">
        <f>SUMIFS(ARBETSBLAD!AA37:AA56,ARBETSBLAD!$E37:$E56,$E167,ARBETSBLAD!$G37:$G56,$G167)*AA$57+0.7*AA184+0.33*AA185</f>
        <v>0</v>
      </c>
      <c r="AB167" s="2354">
        <f>SUMIFS(ARBETSBLAD!AB37:AB56,ARBETSBLAD!$E37:$E56,$E167,ARBETSBLAD!$G37:$G56,$G167)*AB$57+0.7*AB184+0.33*AB185</f>
        <v>0</v>
      </c>
      <c r="AC167" s="2354">
        <f>SUMIFS(ARBETSBLAD!AC37:AC56,ARBETSBLAD!$E37:$E56,$E167,ARBETSBLAD!$G37:$G56,$G167)*AC$57+0.7*AC184+0.33*AC185</f>
        <v>0</v>
      </c>
      <c r="AD167" s="2354">
        <f>SUMIFS(ARBETSBLAD!AD37:AD56,ARBETSBLAD!$E37:$E56,$E167,ARBETSBLAD!$G37:$G56,$G167)*AD$57+0.7*AD184+0.33*AD185</f>
        <v>0</v>
      </c>
      <c r="AE167" s="2354">
        <f>SUMIFS(ARBETSBLAD!AE37:AE56,ARBETSBLAD!$E37:$E56,$E167,ARBETSBLAD!$G37:$G56,$G167)*AE$57+0.7*AE184+0.33*AE185</f>
        <v>0</v>
      </c>
      <c r="AF167" s="2354">
        <f>SUMIFS(ARBETSBLAD!AF37:AF56,ARBETSBLAD!$E37:$E56,$E167,ARBETSBLAD!$G37:$G56,$G167)*AF$57+0.7*AF184+0.33*AF185</f>
        <v>0</v>
      </c>
      <c r="AG167" s="1349"/>
      <c r="AH167" s="1354">
        <f t="shared" si="43"/>
        <v>0</v>
      </c>
      <c r="AI167" s="1355"/>
      <c r="AJ167" s="1354">
        <f t="shared" si="44"/>
        <v>0</v>
      </c>
      <c r="AL167" s="1356"/>
      <c r="AM167" s="1357"/>
      <c r="AN167" s="1437"/>
    </row>
    <row r="168" spans="1:40" s="115" customFormat="1" ht="12" hidden="1" customHeight="1">
      <c r="A168" s="1270"/>
      <c r="B168" s="1317"/>
      <c r="C168" s="1348">
        <f>F168+H168</f>
        <v>300.06</v>
      </c>
      <c r="D168" s="1349"/>
      <c r="E168" s="1431" t="s">
        <v>1</v>
      </c>
      <c r="F168" s="1350">
        <v>300</v>
      </c>
      <c r="G168" s="1436">
        <f>$O$64</f>
        <v>0.06</v>
      </c>
      <c r="H168" s="1368">
        <f>$P$64</f>
        <v>0.06</v>
      </c>
      <c r="I168" s="2354">
        <f>SUMIFS(ARBETSBLAD!I37:I56,ARBETSBLAD!$E37:$E56,$E168,ARBETSBLAD!$G37:$G56,$G168)*I$57+0.3*I184+0.67*I185+0.567*I186</f>
        <v>0</v>
      </c>
      <c r="J168" s="2354">
        <f>SUMIFS(ARBETSBLAD!J37:J56,ARBETSBLAD!$E37:$E56,$E168,ARBETSBLAD!$G37:$G56,$G168)*J$57+0.3*J184+0.67*J185+0.567*J186</f>
        <v>0</v>
      </c>
      <c r="K168" s="2354">
        <f>SUMIFS(ARBETSBLAD!K37:K56,ARBETSBLAD!$E37:$E56,$E168,ARBETSBLAD!$G37:$G56,$G168)*K$57+0.3*K184+0.67*K185+0.567*K186</f>
        <v>0</v>
      </c>
      <c r="L168" s="2354">
        <f>SUMIFS(ARBETSBLAD!L37:L56,ARBETSBLAD!$E37:$E56,$E168,ARBETSBLAD!$G37:$G56,$G168)*L$57+0.3*L184+0.67*L185+0.567*L186</f>
        <v>0</v>
      </c>
      <c r="M168" s="2354">
        <f>SUMIFS(ARBETSBLAD!M37:M56,ARBETSBLAD!$E37:$E56,$E168,ARBETSBLAD!$G37:$G56,$G168)*M$57+0.3*M184+0.67*M185+0.567*M186</f>
        <v>0</v>
      </c>
      <c r="N168" s="2354">
        <f>SUMIFS(ARBETSBLAD!N37:N56,ARBETSBLAD!$E37:$E56,$E168,ARBETSBLAD!$G37:$G56,$G168)*N$57+0.3*N184+0.67*N185+0.567*N186</f>
        <v>0</v>
      </c>
      <c r="O168" s="2354">
        <f>SUMIFS(ARBETSBLAD!O37:O56,ARBETSBLAD!$E37:$E56,$E168,ARBETSBLAD!$G37:$G56,$G168)*O$57+0.3*O184+0.67*O185+0.567*O186</f>
        <v>0</v>
      </c>
      <c r="P168" s="2354">
        <f>SUMIFS(ARBETSBLAD!P37:P56,ARBETSBLAD!$E37:$E56,$E168,ARBETSBLAD!$G37:$G56,$G168)*P$57+0.3*P184+0.67*P185+0.567*P186</f>
        <v>0</v>
      </c>
      <c r="Q168" s="2354">
        <f>SUMIFS(ARBETSBLAD!Q37:Q56,ARBETSBLAD!$E37:$E56,$E168,ARBETSBLAD!$G37:$G56,$G168)*Q$57+0.3*Q184+0.67*Q185+0.567*Q186</f>
        <v>0</v>
      </c>
      <c r="R168" s="2354">
        <f>SUMIFS(ARBETSBLAD!R37:R56,ARBETSBLAD!$E37:$E56,$E168,ARBETSBLAD!$G37:$G56,$G168)*R$57+0.3*R184+0.67*R185+0.567*R186</f>
        <v>0</v>
      </c>
      <c r="S168" s="2354">
        <f>SUMIFS(ARBETSBLAD!S37:S56,ARBETSBLAD!$E37:$E56,$E168,ARBETSBLAD!$G37:$G56,$G168)*S$57+0.3*S184+0.67*S185+0.567*S186</f>
        <v>0</v>
      </c>
      <c r="T168" s="2354">
        <f>SUMIFS(ARBETSBLAD!T37:T56,ARBETSBLAD!$E37:$E56,$E168,ARBETSBLAD!$G37:$G56,$G168)*T$57+0.3*T184+0.67*T185+0.567*T186</f>
        <v>0</v>
      </c>
      <c r="U168" s="2354">
        <f>SUMIFS(ARBETSBLAD!U37:U56,ARBETSBLAD!$E37:$E56,$E168,ARBETSBLAD!$G37:$G56,$G168)*U$57+0.3*U184+0.67*U185+0.567*U186</f>
        <v>0</v>
      </c>
      <c r="V168" s="2354">
        <f>SUMIFS(ARBETSBLAD!V37:V56,ARBETSBLAD!$E37:$E56,$E168,ARBETSBLAD!$G37:$G56,$G168)*V$57+0.3*V184+0.67*V185+0.567*V186</f>
        <v>0</v>
      </c>
      <c r="W168" s="2354">
        <f>SUMIFS(ARBETSBLAD!W37:W56,ARBETSBLAD!$E37:$E56,$E168,ARBETSBLAD!$G37:$G56,$G168)*W$57+0.3*W184+0.67*W185+0.567*W186</f>
        <v>0</v>
      </c>
      <c r="X168" s="2354">
        <f>SUMIFS(ARBETSBLAD!X37:X56,ARBETSBLAD!$E37:$E56,$E168,ARBETSBLAD!$G37:$G56,$G168)*X$57+0.3*X184+0.67*X185+0.567*X186</f>
        <v>0</v>
      </c>
      <c r="Y168" s="2354">
        <f>SUMIFS(ARBETSBLAD!Y37:Y56,ARBETSBLAD!$E37:$E56,$E168,ARBETSBLAD!$G37:$G56,$G168)*Y$57+0.3*Y184+0.67*Y185+0.567*Y186</f>
        <v>0</v>
      </c>
      <c r="Z168" s="2354">
        <f>SUMIFS(ARBETSBLAD!Z37:Z56,ARBETSBLAD!$E37:$E56,$E168,ARBETSBLAD!$G37:$G56,$G168)*Z$57+0.3*Z184+0.67*Z185+0.567*Z186</f>
        <v>0</v>
      </c>
      <c r="AA168" s="2354">
        <f>SUMIFS(ARBETSBLAD!AA37:AA56,ARBETSBLAD!$E37:$E56,$E168,ARBETSBLAD!$G37:$G56,$G168)*AA$57+0.3*AA184+0.67*AA185+0.567*AA186</f>
        <v>0</v>
      </c>
      <c r="AB168" s="2354">
        <f>SUMIFS(ARBETSBLAD!AB37:AB56,ARBETSBLAD!$E37:$E56,$E168,ARBETSBLAD!$G37:$G56,$G168)*AB$57+0.3*AB184+0.67*AB185+0.567*AB186</f>
        <v>0</v>
      </c>
      <c r="AC168" s="2354">
        <f>SUMIFS(ARBETSBLAD!AC37:AC56,ARBETSBLAD!$E37:$E56,$E168,ARBETSBLAD!$G37:$G56,$G168)*AC$57+0.3*AC184+0.67*AC185+0.567*AC186</f>
        <v>0</v>
      </c>
      <c r="AD168" s="2354">
        <f>SUMIFS(ARBETSBLAD!AD37:AD56,ARBETSBLAD!$E37:$E56,$E168,ARBETSBLAD!$G37:$G56,$G168)*AD$57+0.3*AD184+0.67*AD185+0.567*AD186</f>
        <v>0</v>
      </c>
      <c r="AE168" s="2354">
        <f>SUMIFS(ARBETSBLAD!AE37:AE56,ARBETSBLAD!$E37:$E56,$E168,ARBETSBLAD!$G37:$G56,$G168)*AE$57+0.3*AE184+0.67*AE185+0.567*AE186</f>
        <v>0</v>
      </c>
      <c r="AF168" s="2354">
        <f>SUMIFS(ARBETSBLAD!AF37:AF56,ARBETSBLAD!$E37:$E56,$E168,ARBETSBLAD!$G37:$G56,$G168)*AF$57+0.3*AF184+0.67*AF185+0.567*AF186</f>
        <v>0</v>
      </c>
      <c r="AG168" s="1349"/>
      <c r="AH168" s="1354">
        <f t="shared" si="43"/>
        <v>0</v>
      </c>
      <c r="AI168" s="1355"/>
      <c r="AJ168" s="1354">
        <f t="shared" si="44"/>
        <v>0</v>
      </c>
      <c r="AL168" s="1356"/>
      <c r="AM168" s="1357"/>
      <c r="AN168" s="1437"/>
    </row>
    <row r="169" spans="1:40" s="115" customFormat="1" ht="12" hidden="1" customHeight="1">
      <c r="A169" s="1270"/>
      <c r="B169" s="1317"/>
      <c r="C169" s="1348">
        <f>F169+H169</f>
        <v>600.05999999999995</v>
      </c>
      <c r="D169" s="1349"/>
      <c r="E169" s="1431" t="s">
        <v>2</v>
      </c>
      <c r="F169" s="1350">
        <v>600</v>
      </c>
      <c r="G169" s="1436">
        <f>$O$64</f>
        <v>0.06</v>
      </c>
      <c r="H169" s="1368">
        <f>$P$64</f>
        <v>0.06</v>
      </c>
      <c r="I169" s="2354">
        <f>SUMIFS(ARBETSBLAD!I37:I56,ARBETSBLAD!$E37:$E56,$E169,ARBETSBLAD!$G37:$G56,$G169)*I$57+0.433*I186</f>
        <v>0</v>
      </c>
      <c r="J169" s="2354">
        <f>SUMIFS(ARBETSBLAD!J37:J56,ARBETSBLAD!$E37:$E56,$E169,ARBETSBLAD!$G37:$G56,$G169)*J$57+0.433*J186</f>
        <v>0</v>
      </c>
      <c r="K169" s="2354">
        <f>SUMIFS(ARBETSBLAD!K37:K56,ARBETSBLAD!$E37:$E56,$E169,ARBETSBLAD!$G37:$G56,$G169)*K$57+0.433*K186</f>
        <v>0</v>
      </c>
      <c r="L169" s="2354">
        <f>SUMIFS(ARBETSBLAD!L37:L56,ARBETSBLAD!$E37:$E56,$E169,ARBETSBLAD!$G37:$G56,$G169)*L$57+0.433*L186</f>
        <v>0</v>
      </c>
      <c r="M169" s="2354">
        <f>SUMIFS(ARBETSBLAD!M37:M56,ARBETSBLAD!$E37:$E56,$E169,ARBETSBLAD!$G37:$G56,$G169)*M$57+0.433*M186</f>
        <v>0</v>
      </c>
      <c r="N169" s="2354">
        <f>SUMIFS(ARBETSBLAD!N37:N56,ARBETSBLAD!$E37:$E56,$E169,ARBETSBLAD!$G37:$G56,$G169)*N$57+0.433*N186</f>
        <v>0</v>
      </c>
      <c r="O169" s="2354">
        <f>SUMIFS(ARBETSBLAD!O37:O56,ARBETSBLAD!$E37:$E56,$E169,ARBETSBLAD!$G37:$G56,$G169)*O$57+0.433*O186</f>
        <v>0</v>
      </c>
      <c r="P169" s="2354">
        <f>SUMIFS(ARBETSBLAD!P37:P56,ARBETSBLAD!$E37:$E56,$E169,ARBETSBLAD!$G37:$G56,$G169)*P$57+0.433*P186</f>
        <v>0</v>
      </c>
      <c r="Q169" s="2354">
        <f>SUMIFS(ARBETSBLAD!Q37:Q56,ARBETSBLAD!$E37:$E56,$E169,ARBETSBLAD!$G37:$G56,$G169)*Q$57+0.433*Q186</f>
        <v>0</v>
      </c>
      <c r="R169" s="2354">
        <f>SUMIFS(ARBETSBLAD!R37:R56,ARBETSBLAD!$E37:$E56,$E169,ARBETSBLAD!$G37:$G56,$G169)*R$57+0.433*R186</f>
        <v>0</v>
      </c>
      <c r="S169" s="2354">
        <f>SUMIFS(ARBETSBLAD!S37:S56,ARBETSBLAD!$E37:$E56,$E169,ARBETSBLAD!$G37:$G56,$G169)*S$57+0.433*S186</f>
        <v>0</v>
      </c>
      <c r="T169" s="2354">
        <f>SUMIFS(ARBETSBLAD!T37:T56,ARBETSBLAD!$E37:$E56,$E169,ARBETSBLAD!$G37:$G56,$G169)*T$57+0.433*T186</f>
        <v>0</v>
      </c>
      <c r="U169" s="2354">
        <f>SUMIFS(ARBETSBLAD!U37:U56,ARBETSBLAD!$E37:$E56,$E169,ARBETSBLAD!$G37:$G56,$G169)*U$57+0.433*U186</f>
        <v>0</v>
      </c>
      <c r="V169" s="2354">
        <f>SUMIFS(ARBETSBLAD!V37:V56,ARBETSBLAD!$E37:$E56,$E169,ARBETSBLAD!$G37:$G56,$G169)*V$57+0.433*V186</f>
        <v>0</v>
      </c>
      <c r="W169" s="2354">
        <f>SUMIFS(ARBETSBLAD!W37:W56,ARBETSBLAD!$E37:$E56,$E169,ARBETSBLAD!$G37:$G56,$G169)*W$57+0.433*W186</f>
        <v>0</v>
      </c>
      <c r="X169" s="2354">
        <f>SUMIFS(ARBETSBLAD!X37:X56,ARBETSBLAD!$E37:$E56,$E169,ARBETSBLAD!$G37:$G56,$G169)*X$57+0.433*X186</f>
        <v>0</v>
      </c>
      <c r="Y169" s="2354">
        <f>SUMIFS(ARBETSBLAD!Y37:Y56,ARBETSBLAD!$E37:$E56,$E169,ARBETSBLAD!$G37:$G56,$G169)*Y$57+0.433*Y186</f>
        <v>0</v>
      </c>
      <c r="Z169" s="2354">
        <f>SUMIFS(ARBETSBLAD!Z37:Z56,ARBETSBLAD!$E37:$E56,$E169,ARBETSBLAD!$G37:$G56,$G169)*Z$57+0.433*Z186</f>
        <v>0</v>
      </c>
      <c r="AA169" s="2354">
        <f>SUMIFS(ARBETSBLAD!AA37:AA56,ARBETSBLAD!$E37:$E56,$E169,ARBETSBLAD!$G37:$G56,$G169)*AA$57+0.433*AA186</f>
        <v>0</v>
      </c>
      <c r="AB169" s="2354">
        <f>SUMIFS(ARBETSBLAD!AB37:AB56,ARBETSBLAD!$E37:$E56,$E169,ARBETSBLAD!$G37:$G56,$G169)*AB$57+0.433*AB186</f>
        <v>0</v>
      </c>
      <c r="AC169" s="2354">
        <f>SUMIFS(ARBETSBLAD!AC37:AC56,ARBETSBLAD!$E37:$E56,$E169,ARBETSBLAD!$G37:$G56,$G169)*AC$57+0.433*AC186</f>
        <v>0</v>
      </c>
      <c r="AD169" s="2354">
        <f>SUMIFS(ARBETSBLAD!AD37:AD56,ARBETSBLAD!$E37:$E56,$E169,ARBETSBLAD!$G37:$G56,$G169)*AD$57+0.433*AD186</f>
        <v>0</v>
      </c>
      <c r="AE169" s="2354">
        <f>SUMIFS(ARBETSBLAD!AE37:AE56,ARBETSBLAD!$E37:$E56,$E169,ARBETSBLAD!$G37:$G56,$G169)*AE$57+0.433*AE186</f>
        <v>0</v>
      </c>
      <c r="AF169" s="2354">
        <f>SUMIFS(ARBETSBLAD!AF37:AF56,ARBETSBLAD!$E37:$E56,$E169,ARBETSBLAD!$G37:$G56,$G169)*AF$57+0.433*AF186</f>
        <v>0</v>
      </c>
      <c r="AG169" s="1349"/>
      <c r="AH169" s="1354">
        <f t="shared" si="43"/>
        <v>0</v>
      </c>
      <c r="AI169" s="1355"/>
      <c r="AJ169" s="1354">
        <f t="shared" si="44"/>
        <v>0</v>
      </c>
      <c r="AL169" s="1356"/>
      <c r="AM169" s="1357"/>
      <c r="AN169" s="1437"/>
    </row>
    <row r="170" spans="1:40" s="115" customFormat="1" ht="12" hidden="1" customHeight="1">
      <c r="A170" s="1270"/>
      <c r="B170" s="1317"/>
      <c r="C170" s="1348">
        <f>F170+H170</f>
        <v>900.06</v>
      </c>
      <c r="D170" s="1349"/>
      <c r="E170" s="1431" t="s">
        <v>3</v>
      </c>
      <c r="F170" s="1350">
        <v>900</v>
      </c>
      <c r="G170" s="1436">
        <f>$O$64</f>
        <v>0.06</v>
      </c>
      <c r="H170" s="1368">
        <f>$P$64</f>
        <v>0.06</v>
      </c>
      <c r="I170" s="2354">
        <f>SUMIFS(ARBETSBLAD!I37:I56,ARBETSBLAD!$E37:$E56,$E170,ARBETSBLAD!$G37:$G56,$G170)*I$57</f>
        <v>0</v>
      </c>
      <c r="J170" s="2354">
        <f>SUMIFS(ARBETSBLAD!J37:J56,ARBETSBLAD!$E37:$E56,$E170,ARBETSBLAD!$G37:$G56,$G170)*J$57</f>
        <v>0</v>
      </c>
      <c r="K170" s="2354">
        <f>SUMIFS(ARBETSBLAD!K37:K56,ARBETSBLAD!$E37:$E56,$E170,ARBETSBLAD!$G37:$G56,$G170)*K$57</f>
        <v>0</v>
      </c>
      <c r="L170" s="2354">
        <f>SUMIFS(ARBETSBLAD!L37:L56,ARBETSBLAD!$E37:$E56,$E170,ARBETSBLAD!$G37:$G56,$G170)*L$57</f>
        <v>0</v>
      </c>
      <c r="M170" s="2354">
        <f>SUMIFS(ARBETSBLAD!M37:M56,ARBETSBLAD!$E37:$E56,$E170,ARBETSBLAD!$G37:$G56,$G170)*M$57</f>
        <v>0</v>
      </c>
      <c r="N170" s="2354">
        <f>SUMIFS(ARBETSBLAD!N37:N56,ARBETSBLAD!$E37:$E56,$E170,ARBETSBLAD!$G37:$G56,$G170)*N$57</f>
        <v>0</v>
      </c>
      <c r="O170" s="2354">
        <f>SUMIFS(ARBETSBLAD!O37:O56,ARBETSBLAD!$E37:$E56,$E170,ARBETSBLAD!$G37:$G56,$G170)*O$57</f>
        <v>0</v>
      </c>
      <c r="P170" s="2354">
        <f>SUMIFS(ARBETSBLAD!P37:P56,ARBETSBLAD!$E37:$E56,$E170,ARBETSBLAD!$G37:$G56,$G170)*P$57</f>
        <v>0</v>
      </c>
      <c r="Q170" s="2354">
        <f>SUMIFS(ARBETSBLAD!Q37:Q56,ARBETSBLAD!$E37:$E56,$E170,ARBETSBLAD!$G37:$G56,$G170)*Q$57</f>
        <v>0</v>
      </c>
      <c r="R170" s="2354">
        <f>SUMIFS(ARBETSBLAD!R37:R56,ARBETSBLAD!$E37:$E56,$E170,ARBETSBLAD!$G37:$G56,$G170)*R$57</f>
        <v>0</v>
      </c>
      <c r="S170" s="2354">
        <f>SUMIFS(ARBETSBLAD!S37:S56,ARBETSBLAD!$E37:$E56,$E170,ARBETSBLAD!$G37:$G56,$G170)*S$57</f>
        <v>0</v>
      </c>
      <c r="T170" s="2354">
        <f>SUMIFS(ARBETSBLAD!T37:T56,ARBETSBLAD!$E37:$E56,$E170,ARBETSBLAD!$G37:$G56,$G170)*T$57</f>
        <v>0</v>
      </c>
      <c r="U170" s="2354">
        <f>SUMIFS(ARBETSBLAD!U37:U56,ARBETSBLAD!$E37:$E56,$E170,ARBETSBLAD!$G37:$G56,$G170)*U$57</f>
        <v>0</v>
      </c>
      <c r="V170" s="2354">
        <f>SUMIFS(ARBETSBLAD!V37:V56,ARBETSBLAD!$E37:$E56,$E170,ARBETSBLAD!$G37:$G56,$G170)*V$57</f>
        <v>0</v>
      </c>
      <c r="W170" s="2354">
        <f>SUMIFS(ARBETSBLAD!W37:W56,ARBETSBLAD!$E37:$E56,$E170,ARBETSBLAD!$G37:$G56,$G170)*W$57</f>
        <v>0</v>
      </c>
      <c r="X170" s="2354">
        <f>SUMIFS(ARBETSBLAD!X37:X56,ARBETSBLAD!$E37:$E56,$E170,ARBETSBLAD!$G37:$G56,$G170)*X$57</f>
        <v>0</v>
      </c>
      <c r="Y170" s="2354">
        <f>SUMIFS(ARBETSBLAD!Y37:Y56,ARBETSBLAD!$E37:$E56,$E170,ARBETSBLAD!$G37:$G56,$G170)*Y$57</f>
        <v>0</v>
      </c>
      <c r="Z170" s="2354">
        <f>SUMIFS(ARBETSBLAD!Z37:Z56,ARBETSBLAD!$E37:$E56,$E170,ARBETSBLAD!$G37:$G56,$G170)*Z$57</f>
        <v>0</v>
      </c>
      <c r="AA170" s="2354">
        <f>SUMIFS(ARBETSBLAD!AA37:AA56,ARBETSBLAD!$E37:$E56,$E170,ARBETSBLAD!$G37:$G56,$G170)*AA$57</f>
        <v>0</v>
      </c>
      <c r="AB170" s="2354">
        <f>SUMIFS(ARBETSBLAD!AB37:AB56,ARBETSBLAD!$E37:$E56,$E170,ARBETSBLAD!$G37:$G56,$G170)*AB$57</f>
        <v>0</v>
      </c>
      <c r="AC170" s="2354">
        <f>SUMIFS(ARBETSBLAD!AC37:AC56,ARBETSBLAD!$E37:$E56,$E170,ARBETSBLAD!$G37:$G56,$G170)*AC$57</f>
        <v>0</v>
      </c>
      <c r="AD170" s="2354">
        <f>SUMIFS(ARBETSBLAD!AD37:AD56,ARBETSBLAD!$E37:$E56,$E170,ARBETSBLAD!$G37:$G56,$G170)*AD$57</f>
        <v>0</v>
      </c>
      <c r="AE170" s="2354">
        <f>SUMIFS(ARBETSBLAD!AE37:AE56,ARBETSBLAD!$E37:$E56,$E170,ARBETSBLAD!$G37:$G56,$G170)*AE$57</f>
        <v>0</v>
      </c>
      <c r="AF170" s="2354">
        <f>SUMIFS(ARBETSBLAD!AF37:AF56,ARBETSBLAD!$E37:$E56,$E170,ARBETSBLAD!$G37:$G56,$G170)*AF$57</f>
        <v>0</v>
      </c>
      <c r="AG170" s="1349"/>
      <c r="AH170" s="1354">
        <f t="shared" si="43"/>
        <v>0</v>
      </c>
      <c r="AI170" s="1355"/>
      <c r="AJ170" s="1354">
        <f t="shared" si="44"/>
        <v>0</v>
      </c>
      <c r="AL170" s="1356"/>
      <c r="AM170" s="1357"/>
      <c r="AN170" s="1437"/>
    </row>
    <row r="171" spans="1:40" s="115" customFormat="1" ht="12" hidden="1" customHeight="1">
      <c r="A171" s="1270"/>
      <c r="B171" s="1317"/>
      <c r="C171" s="1348"/>
      <c r="D171" s="1349"/>
      <c r="E171" s="1350"/>
      <c r="F171" s="1349"/>
      <c r="G171" s="1350"/>
      <c r="H171" s="1368"/>
      <c r="I171" s="1435"/>
      <c r="J171" s="1435"/>
      <c r="K171" s="1435"/>
      <c r="L171" s="1435"/>
      <c r="M171" s="1435"/>
      <c r="N171" s="1435"/>
      <c r="O171" s="1435"/>
      <c r="P171" s="1435"/>
      <c r="Q171" s="1435"/>
      <c r="R171" s="1435"/>
      <c r="S171" s="1435"/>
      <c r="T171" s="1435"/>
      <c r="U171" s="1435"/>
      <c r="V171" s="1435"/>
      <c r="W171" s="1435"/>
      <c r="X171" s="1435"/>
      <c r="Y171" s="1435"/>
      <c r="Z171" s="1435"/>
      <c r="AA171" s="1435"/>
      <c r="AB171" s="1435"/>
      <c r="AC171" s="1435"/>
      <c r="AD171" s="1435"/>
      <c r="AE171" s="1435"/>
      <c r="AF171" s="1435"/>
      <c r="AG171" s="1349"/>
      <c r="AH171" s="1354">
        <f t="shared" si="43"/>
        <v>0</v>
      </c>
      <c r="AI171" s="1355"/>
      <c r="AJ171" s="1354">
        <f t="shared" si="44"/>
        <v>0</v>
      </c>
      <c r="AL171" s="1357"/>
      <c r="AM171" s="1357"/>
      <c r="AN171" s="1357"/>
    </row>
    <row r="172" spans="1:40" s="115" customFormat="1" ht="12" hidden="1" customHeight="1">
      <c r="A172" s="1270"/>
      <c r="B172" s="1317"/>
      <c r="C172" s="1348">
        <f>F172+H172</f>
        <v>1.1200000000000001</v>
      </c>
      <c r="D172" s="1349"/>
      <c r="E172" s="1431" t="s">
        <v>0</v>
      </c>
      <c r="F172" s="1350">
        <v>1</v>
      </c>
      <c r="G172" s="1436">
        <f>$O$65</f>
        <v>0.12</v>
      </c>
      <c r="H172" s="1368">
        <f>$P$65</f>
        <v>0.12</v>
      </c>
      <c r="I172" s="2354">
        <f>SUMIFS(ARBETSBLAD!I37:I56,ARBETSBLAD!$E37:$E56,$E172,ARBETSBLAD!$G37:$G56,$G172)*I$57+0.7*I187+0.33*I188</f>
        <v>0</v>
      </c>
      <c r="J172" s="2354">
        <f>SUMIFS(ARBETSBLAD!J37:J56,ARBETSBLAD!$E37:$E56,$E172,ARBETSBLAD!$G37:$G56,$G172)*J$57+0.7*J187+0.33*J188</f>
        <v>0</v>
      </c>
      <c r="K172" s="2354">
        <f>SUMIFS(ARBETSBLAD!K37:K56,ARBETSBLAD!$E37:$E56,$E172,ARBETSBLAD!$G37:$G56,$G172)*K$57+0.7*K187+0.33*K188</f>
        <v>0</v>
      </c>
      <c r="L172" s="2354">
        <f>SUMIFS(ARBETSBLAD!L37:L56,ARBETSBLAD!$E37:$E56,$E172,ARBETSBLAD!$G37:$G56,$G172)*L$57+0.7*L187+0.33*L188</f>
        <v>0</v>
      </c>
      <c r="M172" s="2354">
        <f>SUMIFS(ARBETSBLAD!M37:M56,ARBETSBLAD!$E37:$E56,$E172,ARBETSBLAD!$G37:$G56,$G172)*M$57+0.7*M187+0.33*M188</f>
        <v>0</v>
      </c>
      <c r="N172" s="2354">
        <f>SUMIFS(ARBETSBLAD!N37:N56,ARBETSBLAD!$E37:$E56,$E172,ARBETSBLAD!$G37:$G56,$G172)*N$57+0.7*N187+0.33*N188</f>
        <v>0</v>
      </c>
      <c r="O172" s="2354">
        <f>SUMIFS(ARBETSBLAD!O37:O56,ARBETSBLAD!$E37:$E56,$E172,ARBETSBLAD!$G37:$G56,$G172)*O$57+0.7*O187+0.33*O188</f>
        <v>0</v>
      </c>
      <c r="P172" s="2354">
        <f>SUMIFS(ARBETSBLAD!P37:P56,ARBETSBLAD!$E37:$E56,$E172,ARBETSBLAD!$G37:$G56,$G172)*P$57+0.7*P187+0.33*P188</f>
        <v>0</v>
      </c>
      <c r="Q172" s="2354">
        <f>SUMIFS(ARBETSBLAD!Q37:Q56,ARBETSBLAD!$E37:$E56,$E172,ARBETSBLAD!$G37:$G56,$G172)*Q$57+0.7*Q187+0.33*Q188</f>
        <v>0</v>
      </c>
      <c r="R172" s="2354">
        <f>SUMIFS(ARBETSBLAD!R37:R56,ARBETSBLAD!$E37:$E56,$E172,ARBETSBLAD!$G37:$G56,$G172)*R$57+0.7*R187+0.33*R188</f>
        <v>0</v>
      </c>
      <c r="S172" s="2354">
        <f>SUMIFS(ARBETSBLAD!S37:S56,ARBETSBLAD!$E37:$E56,$E172,ARBETSBLAD!$G37:$G56,$G172)*S$57+0.7*S187+0.33*S188</f>
        <v>0</v>
      </c>
      <c r="T172" s="2354">
        <f>SUMIFS(ARBETSBLAD!T37:T56,ARBETSBLAD!$E37:$E56,$E172,ARBETSBLAD!$G37:$G56,$G172)*T$57+0.7*T187+0.33*T188</f>
        <v>0</v>
      </c>
      <c r="U172" s="2354">
        <f>SUMIFS(ARBETSBLAD!U37:U56,ARBETSBLAD!$E37:$E56,$E172,ARBETSBLAD!$G37:$G56,$G172)*U$57+0.7*U187+0.33*U188</f>
        <v>0</v>
      </c>
      <c r="V172" s="2354">
        <f>SUMIFS(ARBETSBLAD!V37:V56,ARBETSBLAD!$E37:$E56,$E172,ARBETSBLAD!$G37:$G56,$G172)*V$57+0.7*V187+0.33*V188</f>
        <v>0</v>
      </c>
      <c r="W172" s="2354">
        <f>SUMIFS(ARBETSBLAD!W37:W56,ARBETSBLAD!$E37:$E56,$E172,ARBETSBLAD!$G37:$G56,$G172)*W$57+0.7*W187+0.33*W188</f>
        <v>0</v>
      </c>
      <c r="X172" s="2354">
        <f>SUMIFS(ARBETSBLAD!X37:X56,ARBETSBLAD!$E37:$E56,$E172,ARBETSBLAD!$G37:$G56,$G172)*X$57+0.7*X187+0.33*X188</f>
        <v>0</v>
      </c>
      <c r="Y172" s="2354">
        <f>SUMIFS(ARBETSBLAD!Y37:Y56,ARBETSBLAD!$E37:$E56,$E172,ARBETSBLAD!$G37:$G56,$G172)*Y$57+0.7*Y187+0.33*Y188</f>
        <v>0</v>
      </c>
      <c r="Z172" s="2354">
        <f>SUMIFS(ARBETSBLAD!Z37:Z56,ARBETSBLAD!$E37:$E56,$E172,ARBETSBLAD!$G37:$G56,$G172)*Z$57+0.7*Z187+0.33*Z188</f>
        <v>0</v>
      </c>
      <c r="AA172" s="2354">
        <f>SUMIFS(ARBETSBLAD!AA37:AA56,ARBETSBLAD!$E37:$E56,$E172,ARBETSBLAD!$G37:$G56,$G172)*AA$57+0.7*AA187+0.33*AA188</f>
        <v>0</v>
      </c>
      <c r="AB172" s="2354">
        <f>SUMIFS(ARBETSBLAD!AB37:AB56,ARBETSBLAD!$E37:$E56,$E172,ARBETSBLAD!$G37:$G56,$G172)*AB$57+0.7*AB187+0.33*AB188</f>
        <v>0</v>
      </c>
      <c r="AC172" s="2354">
        <f>SUMIFS(ARBETSBLAD!AC37:AC56,ARBETSBLAD!$E37:$E56,$E172,ARBETSBLAD!$G37:$G56,$G172)*AC$57+0.7*AC187+0.33*AC188</f>
        <v>0</v>
      </c>
      <c r="AD172" s="2354">
        <f>SUMIFS(ARBETSBLAD!AD37:AD56,ARBETSBLAD!$E37:$E56,$E172,ARBETSBLAD!$G37:$G56,$G172)*AD$57+0.7*AD187+0.33*AD188</f>
        <v>0</v>
      </c>
      <c r="AE172" s="2354">
        <f>SUMIFS(ARBETSBLAD!AE37:AE56,ARBETSBLAD!$E37:$E56,$E172,ARBETSBLAD!$G37:$G56,$G172)*AE$57+0.7*AE187+0.33*AE188</f>
        <v>0</v>
      </c>
      <c r="AF172" s="2354">
        <f>SUMIFS(ARBETSBLAD!AF37:AF56,ARBETSBLAD!$E37:$E56,$E172,ARBETSBLAD!$G37:$G56,$G172)*AF$57+0.7*AF187+0.33*AF188</f>
        <v>0</v>
      </c>
      <c r="AG172" s="1349"/>
      <c r="AH172" s="1354">
        <f t="shared" si="43"/>
        <v>0</v>
      </c>
      <c r="AI172" s="1355"/>
      <c r="AJ172" s="1354">
        <f t="shared" si="44"/>
        <v>0</v>
      </c>
      <c r="AL172" s="1356"/>
      <c r="AM172" s="1357"/>
      <c r="AN172" s="1437"/>
    </row>
    <row r="173" spans="1:40" s="115" customFormat="1" ht="12" hidden="1" customHeight="1">
      <c r="A173" s="1270"/>
      <c r="B173" s="1317"/>
      <c r="C173" s="1348">
        <f>F173+H173</f>
        <v>300.12</v>
      </c>
      <c r="D173" s="1349"/>
      <c r="E173" s="1431" t="s">
        <v>1</v>
      </c>
      <c r="F173" s="1350">
        <v>300</v>
      </c>
      <c r="G173" s="1436">
        <f>$O$65</f>
        <v>0.12</v>
      </c>
      <c r="H173" s="1368">
        <f>$P$65</f>
        <v>0.12</v>
      </c>
      <c r="I173" s="2354">
        <f>SUMIFS(ARBETSBLAD!I37:I56,ARBETSBLAD!$E37:$E56,$E173,ARBETSBLAD!$G37:$G56,$G173)*I$57+0.3*I187+0.67*I188+0.567*I189</f>
        <v>0</v>
      </c>
      <c r="J173" s="2354">
        <f>SUMIFS(ARBETSBLAD!J37:J56,ARBETSBLAD!$E37:$E56,$E173,ARBETSBLAD!$G37:$G56,$G173)*J$57+0.3*J187+0.67*J188+0.567*J189</f>
        <v>0</v>
      </c>
      <c r="K173" s="2354">
        <f>SUMIFS(ARBETSBLAD!K37:K56,ARBETSBLAD!$E37:$E56,$E173,ARBETSBLAD!$G37:$G56,$G173)*K$57+0.3*K187+0.67*K188+0.567*K189</f>
        <v>0</v>
      </c>
      <c r="L173" s="2354">
        <f>SUMIFS(ARBETSBLAD!L37:L56,ARBETSBLAD!$E37:$E56,$E173,ARBETSBLAD!$G37:$G56,$G173)*L$57+0.3*L187+0.67*L188+0.567*L189</f>
        <v>0</v>
      </c>
      <c r="M173" s="2354">
        <f>SUMIFS(ARBETSBLAD!M37:M56,ARBETSBLAD!$E37:$E56,$E173,ARBETSBLAD!$G37:$G56,$G173)*M$57+0.3*M187+0.67*M188+0.567*M189</f>
        <v>0</v>
      </c>
      <c r="N173" s="2354">
        <f>SUMIFS(ARBETSBLAD!N37:N56,ARBETSBLAD!$E37:$E56,$E173,ARBETSBLAD!$G37:$G56,$G173)*N$57+0.3*N187+0.67*N188+0.567*N189</f>
        <v>0</v>
      </c>
      <c r="O173" s="2354">
        <f>SUMIFS(ARBETSBLAD!O37:O56,ARBETSBLAD!$E37:$E56,$E173,ARBETSBLAD!$G37:$G56,$G173)*O$57+0.3*O187+0.67*O188+0.567*O189</f>
        <v>0</v>
      </c>
      <c r="P173" s="2354">
        <f>SUMIFS(ARBETSBLAD!P37:P56,ARBETSBLAD!$E37:$E56,$E173,ARBETSBLAD!$G37:$G56,$G173)*P$57+0.3*P187+0.67*P188+0.567*P189</f>
        <v>0</v>
      </c>
      <c r="Q173" s="2354">
        <f>SUMIFS(ARBETSBLAD!Q37:Q56,ARBETSBLAD!$E37:$E56,$E173,ARBETSBLAD!$G37:$G56,$G173)*Q$57+0.3*Q187+0.67*Q188+0.567*Q189</f>
        <v>0</v>
      </c>
      <c r="R173" s="2354">
        <f>SUMIFS(ARBETSBLAD!R37:R56,ARBETSBLAD!$E37:$E56,$E173,ARBETSBLAD!$G37:$G56,$G173)*R$57+0.3*R187+0.67*R188+0.567*R189</f>
        <v>0</v>
      </c>
      <c r="S173" s="2354">
        <f>SUMIFS(ARBETSBLAD!S37:S56,ARBETSBLAD!$E37:$E56,$E173,ARBETSBLAD!$G37:$G56,$G173)*S$57+0.3*S187+0.67*S188+0.567*S189</f>
        <v>0</v>
      </c>
      <c r="T173" s="2354">
        <f>SUMIFS(ARBETSBLAD!T37:T56,ARBETSBLAD!$E37:$E56,$E173,ARBETSBLAD!$G37:$G56,$G173)*T$57+0.3*T187+0.67*T188+0.567*T189</f>
        <v>0</v>
      </c>
      <c r="U173" s="2354">
        <f>SUMIFS(ARBETSBLAD!U37:U56,ARBETSBLAD!$E37:$E56,$E173,ARBETSBLAD!$G37:$G56,$G173)*U$57+0.3*U187+0.67*U188+0.567*U189</f>
        <v>0</v>
      </c>
      <c r="V173" s="2354">
        <f>SUMIFS(ARBETSBLAD!V37:V56,ARBETSBLAD!$E37:$E56,$E173,ARBETSBLAD!$G37:$G56,$G173)*V$57+0.3*V187+0.67*V188+0.567*V189</f>
        <v>0</v>
      </c>
      <c r="W173" s="2354">
        <f>SUMIFS(ARBETSBLAD!W37:W56,ARBETSBLAD!$E37:$E56,$E173,ARBETSBLAD!$G37:$G56,$G173)*W$57+0.3*W187+0.67*W188+0.567*W189</f>
        <v>0</v>
      </c>
      <c r="X173" s="2354">
        <f>SUMIFS(ARBETSBLAD!X37:X56,ARBETSBLAD!$E37:$E56,$E173,ARBETSBLAD!$G37:$G56,$G173)*X$57+0.3*X187+0.67*X188+0.567*X189</f>
        <v>0</v>
      </c>
      <c r="Y173" s="2354">
        <f>SUMIFS(ARBETSBLAD!Y37:Y56,ARBETSBLAD!$E37:$E56,$E173,ARBETSBLAD!$G37:$G56,$G173)*Y$57+0.3*Y187+0.67*Y188+0.567*Y189</f>
        <v>0</v>
      </c>
      <c r="Z173" s="2354">
        <f>SUMIFS(ARBETSBLAD!Z37:Z56,ARBETSBLAD!$E37:$E56,$E173,ARBETSBLAD!$G37:$G56,$G173)*Z$57+0.3*Z187+0.67*Z188+0.567*Z189</f>
        <v>0</v>
      </c>
      <c r="AA173" s="2354">
        <f>SUMIFS(ARBETSBLAD!AA37:AA56,ARBETSBLAD!$E37:$E56,$E173,ARBETSBLAD!$G37:$G56,$G173)*AA$57+0.3*AA187+0.67*AA188+0.567*AA189</f>
        <v>0</v>
      </c>
      <c r="AB173" s="2354">
        <f>SUMIFS(ARBETSBLAD!AB37:AB56,ARBETSBLAD!$E37:$E56,$E173,ARBETSBLAD!$G37:$G56,$G173)*AB$57+0.3*AB187+0.67*AB188+0.567*AB189</f>
        <v>0</v>
      </c>
      <c r="AC173" s="2354">
        <f>SUMIFS(ARBETSBLAD!AC37:AC56,ARBETSBLAD!$E37:$E56,$E173,ARBETSBLAD!$G37:$G56,$G173)*AC$57+0.3*AC187+0.67*AC188+0.567*AC189</f>
        <v>0</v>
      </c>
      <c r="AD173" s="2354">
        <f>SUMIFS(ARBETSBLAD!AD37:AD56,ARBETSBLAD!$E37:$E56,$E173,ARBETSBLAD!$G37:$G56,$G173)*AD$57+0.3*AD187+0.67*AD188+0.567*AD189</f>
        <v>0</v>
      </c>
      <c r="AE173" s="2354">
        <f>SUMIFS(ARBETSBLAD!AE37:AE56,ARBETSBLAD!$E37:$E56,$E173,ARBETSBLAD!$G37:$G56,$G173)*AE$57+0.3*AE187+0.67*AE188+0.567*AE189</f>
        <v>0</v>
      </c>
      <c r="AF173" s="2354">
        <f>SUMIFS(ARBETSBLAD!AF37:AF56,ARBETSBLAD!$E37:$E56,$E173,ARBETSBLAD!$G37:$G56,$G173)*AF$57+0.3*AF187+0.67*AF188+0.567*AF189</f>
        <v>0</v>
      </c>
      <c r="AG173" s="1349"/>
      <c r="AH173" s="1354">
        <f t="shared" si="43"/>
        <v>0</v>
      </c>
      <c r="AI173" s="1355"/>
      <c r="AJ173" s="1354">
        <f t="shared" si="44"/>
        <v>0</v>
      </c>
      <c r="AL173" s="1356"/>
      <c r="AM173" s="1357"/>
      <c r="AN173" s="1437"/>
    </row>
    <row r="174" spans="1:40" s="115" customFormat="1" ht="12" hidden="1" customHeight="1">
      <c r="A174" s="1270"/>
      <c r="B174" s="1317"/>
      <c r="C174" s="1348">
        <f>F174+H174</f>
        <v>600.12</v>
      </c>
      <c r="D174" s="1349"/>
      <c r="E174" s="1431" t="s">
        <v>2</v>
      </c>
      <c r="F174" s="1350">
        <v>600</v>
      </c>
      <c r="G174" s="1436">
        <f>$O$65</f>
        <v>0.12</v>
      </c>
      <c r="H174" s="1368">
        <f>$P$65</f>
        <v>0.12</v>
      </c>
      <c r="I174" s="2354">
        <f>SUMIFS(ARBETSBLAD!I37:I56,ARBETSBLAD!$E37:$E56,$E174,ARBETSBLAD!$G37:$G56,$G174)*I$57+0.433*I189</f>
        <v>0</v>
      </c>
      <c r="J174" s="2354">
        <f>SUMIFS(ARBETSBLAD!J37:J56,ARBETSBLAD!$E37:$E56,$E174,ARBETSBLAD!$G37:$G56,$G174)*J$57+0.433*J189</f>
        <v>0</v>
      </c>
      <c r="K174" s="2354">
        <f>SUMIFS(ARBETSBLAD!K37:K56,ARBETSBLAD!$E37:$E56,$E174,ARBETSBLAD!$G37:$G56,$G174)*K$57+0.433*K189</f>
        <v>0</v>
      </c>
      <c r="L174" s="2354">
        <f>SUMIFS(ARBETSBLAD!L37:L56,ARBETSBLAD!$E37:$E56,$E174,ARBETSBLAD!$G37:$G56,$G174)*L$57+0.433*L189</f>
        <v>0</v>
      </c>
      <c r="M174" s="2354">
        <f>SUMIFS(ARBETSBLAD!M37:M56,ARBETSBLAD!$E37:$E56,$E174,ARBETSBLAD!$G37:$G56,$G174)*M$57+0.433*M189</f>
        <v>0</v>
      </c>
      <c r="N174" s="2354">
        <f>SUMIFS(ARBETSBLAD!N37:N56,ARBETSBLAD!$E37:$E56,$E174,ARBETSBLAD!$G37:$G56,$G174)*N$57+0.433*N189</f>
        <v>0</v>
      </c>
      <c r="O174" s="2354">
        <f>SUMIFS(ARBETSBLAD!O37:O56,ARBETSBLAD!$E37:$E56,$E174,ARBETSBLAD!$G37:$G56,$G174)*O$57+0.433*O189</f>
        <v>0</v>
      </c>
      <c r="P174" s="2354">
        <f>SUMIFS(ARBETSBLAD!P37:P56,ARBETSBLAD!$E37:$E56,$E174,ARBETSBLAD!$G37:$G56,$G174)*P$57+0.433*P189</f>
        <v>0</v>
      </c>
      <c r="Q174" s="2354">
        <f>SUMIFS(ARBETSBLAD!Q37:Q56,ARBETSBLAD!$E37:$E56,$E174,ARBETSBLAD!$G37:$G56,$G174)*Q$57+0.433*Q189</f>
        <v>0</v>
      </c>
      <c r="R174" s="2354">
        <f>SUMIFS(ARBETSBLAD!R37:R56,ARBETSBLAD!$E37:$E56,$E174,ARBETSBLAD!$G37:$G56,$G174)*R$57+0.433*R189</f>
        <v>0</v>
      </c>
      <c r="S174" s="2354">
        <f>SUMIFS(ARBETSBLAD!S37:S56,ARBETSBLAD!$E37:$E56,$E174,ARBETSBLAD!$G37:$G56,$G174)*S$57+0.433*S189</f>
        <v>0</v>
      </c>
      <c r="T174" s="2354">
        <f>SUMIFS(ARBETSBLAD!T37:T56,ARBETSBLAD!$E37:$E56,$E174,ARBETSBLAD!$G37:$G56,$G174)*T$57+0.433*T189</f>
        <v>0</v>
      </c>
      <c r="U174" s="2354">
        <f>SUMIFS(ARBETSBLAD!U37:U56,ARBETSBLAD!$E37:$E56,$E174,ARBETSBLAD!$G37:$G56,$G174)*U$57+0.433*U189</f>
        <v>0</v>
      </c>
      <c r="V174" s="2354">
        <f>SUMIFS(ARBETSBLAD!V37:V56,ARBETSBLAD!$E37:$E56,$E174,ARBETSBLAD!$G37:$G56,$G174)*V$57+0.433*V189</f>
        <v>0</v>
      </c>
      <c r="W174" s="2354">
        <f>SUMIFS(ARBETSBLAD!W37:W56,ARBETSBLAD!$E37:$E56,$E174,ARBETSBLAD!$G37:$G56,$G174)*W$57+0.433*W189</f>
        <v>0</v>
      </c>
      <c r="X174" s="2354">
        <f>SUMIFS(ARBETSBLAD!X37:X56,ARBETSBLAD!$E37:$E56,$E174,ARBETSBLAD!$G37:$G56,$G174)*X$57+0.433*X189</f>
        <v>0</v>
      </c>
      <c r="Y174" s="2354">
        <f>SUMIFS(ARBETSBLAD!Y37:Y56,ARBETSBLAD!$E37:$E56,$E174,ARBETSBLAD!$G37:$G56,$G174)*Y$57+0.433*Y189</f>
        <v>0</v>
      </c>
      <c r="Z174" s="2354">
        <f>SUMIFS(ARBETSBLAD!Z37:Z56,ARBETSBLAD!$E37:$E56,$E174,ARBETSBLAD!$G37:$G56,$G174)*Z$57+0.433*Z189</f>
        <v>0</v>
      </c>
      <c r="AA174" s="2354">
        <f>SUMIFS(ARBETSBLAD!AA37:AA56,ARBETSBLAD!$E37:$E56,$E174,ARBETSBLAD!$G37:$G56,$G174)*AA$57+0.433*AA189</f>
        <v>0</v>
      </c>
      <c r="AB174" s="2354">
        <f>SUMIFS(ARBETSBLAD!AB37:AB56,ARBETSBLAD!$E37:$E56,$E174,ARBETSBLAD!$G37:$G56,$G174)*AB$57+0.433*AB189</f>
        <v>0</v>
      </c>
      <c r="AC174" s="2354">
        <f>SUMIFS(ARBETSBLAD!AC37:AC56,ARBETSBLAD!$E37:$E56,$E174,ARBETSBLAD!$G37:$G56,$G174)*AC$57+0.433*AC189</f>
        <v>0</v>
      </c>
      <c r="AD174" s="2354">
        <f>SUMIFS(ARBETSBLAD!AD37:AD56,ARBETSBLAD!$E37:$E56,$E174,ARBETSBLAD!$G37:$G56,$G174)*AD$57+0.433*AD189</f>
        <v>0</v>
      </c>
      <c r="AE174" s="2354">
        <f>SUMIFS(ARBETSBLAD!AE37:AE56,ARBETSBLAD!$E37:$E56,$E174,ARBETSBLAD!$G37:$G56,$G174)*AE$57+0.433*AE189</f>
        <v>0</v>
      </c>
      <c r="AF174" s="2354">
        <f>SUMIFS(ARBETSBLAD!AF37:AF56,ARBETSBLAD!$E37:$E56,$E174,ARBETSBLAD!$G37:$G56,$G174)*AF$57+0.433*AF189</f>
        <v>0</v>
      </c>
      <c r="AG174" s="1349"/>
      <c r="AH174" s="1354">
        <f t="shared" si="43"/>
        <v>0</v>
      </c>
      <c r="AI174" s="1355"/>
      <c r="AJ174" s="1354">
        <f t="shared" si="44"/>
        <v>0</v>
      </c>
      <c r="AL174" s="1356"/>
      <c r="AM174" s="1357"/>
      <c r="AN174" s="1437"/>
    </row>
    <row r="175" spans="1:40" s="115" customFormat="1" ht="12" hidden="1" customHeight="1">
      <c r="A175" s="1270"/>
      <c r="B175" s="1317"/>
      <c r="C175" s="1348">
        <f>F175+H175</f>
        <v>900.12</v>
      </c>
      <c r="D175" s="1349"/>
      <c r="E175" s="1431" t="s">
        <v>3</v>
      </c>
      <c r="F175" s="1350">
        <v>900</v>
      </c>
      <c r="G175" s="1436">
        <f>$O$65</f>
        <v>0.12</v>
      </c>
      <c r="H175" s="1368">
        <f>$P$65</f>
        <v>0.12</v>
      </c>
      <c r="I175" s="2354">
        <f>SUMIFS(ARBETSBLAD!I37:I56,ARBETSBLAD!$E37:$E56,$E175,ARBETSBLAD!$G37:$G56,$G175)*I$57</f>
        <v>0</v>
      </c>
      <c r="J175" s="2354">
        <f>SUMIFS(ARBETSBLAD!J37:J56,ARBETSBLAD!$E37:$E56,$E175,ARBETSBLAD!$G37:$G56,$G175)*J$57</f>
        <v>0</v>
      </c>
      <c r="K175" s="2354">
        <f>SUMIFS(ARBETSBLAD!K37:K56,ARBETSBLAD!$E37:$E56,$E175,ARBETSBLAD!$G37:$G56,$G175)*K$57</f>
        <v>0</v>
      </c>
      <c r="L175" s="2354">
        <f>SUMIFS(ARBETSBLAD!L37:L56,ARBETSBLAD!$E37:$E56,$E175,ARBETSBLAD!$G37:$G56,$G175)*L$57</f>
        <v>0</v>
      </c>
      <c r="M175" s="2354">
        <f>SUMIFS(ARBETSBLAD!M37:M56,ARBETSBLAD!$E37:$E56,$E175,ARBETSBLAD!$G37:$G56,$G175)*M$57</f>
        <v>0</v>
      </c>
      <c r="N175" s="2354">
        <f>SUMIFS(ARBETSBLAD!N37:N56,ARBETSBLAD!$E37:$E56,$E175,ARBETSBLAD!$G37:$G56,$G175)*N$57</f>
        <v>0</v>
      </c>
      <c r="O175" s="2354">
        <f>SUMIFS(ARBETSBLAD!O37:O56,ARBETSBLAD!$E37:$E56,$E175,ARBETSBLAD!$G37:$G56,$G175)*O$57</f>
        <v>0</v>
      </c>
      <c r="P175" s="2354">
        <f>SUMIFS(ARBETSBLAD!P37:P56,ARBETSBLAD!$E37:$E56,$E175,ARBETSBLAD!$G37:$G56,$G175)*P$57</f>
        <v>0</v>
      </c>
      <c r="Q175" s="2354">
        <f>SUMIFS(ARBETSBLAD!Q37:Q56,ARBETSBLAD!$E37:$E56,$E175,ARBETSBLAD!$G37:$G56,$G175)*Q$57</f>
        <v>0</v>
      </c>
      <c r="R175" s="2354">
        <f>SUMIFS(ARBETSBLAD!R37:R56,ARBETSBLAD!$E37:$E56,$E175,ARBETSBLAD!$G37:$G56,$G175)*R$57</f>
        <v>0</v>
      </c>
      <c r="S175" s="2354">
        <f>SUMIFS(ARBETSBLAD!S37:S56,ARBETSBLAD!$E37:$E56,$E175,ARBETSBLAD!$G37:$G56,$G175)*S$57</f>
        <v>0</v>
      </c>
      <c r="T175" s="2354">
        <f>SUMIFS(ARBETSBLAD!T37:T56,ARBETSBLAD!$E37:$E56,$E175,ARBETSBLAD!$G37:$G56,$G175)*T$57</f>
        <v>0</v>
      </c>
      <c r="U175" s="2354">
        <f>SUMIFS(ARBETSBLAD!U37:U56,ARBETSBLAD!$E37:$E56,$E175,ARBETSBLAD!$G37:$G56,$G175)*U$57</f>
        <v>0</v>
      </c>
      <c r="V175" s="2354">
        <f>SUMIFS(ARBETSBLAD!V37:V56,ARBETSBLAD!$E37:$E56,$E175,ARBETSBLAD!$G37:$G56,$G175)*V$57</f>
        <v>0</v>
      </c>
      <c r="W175" s="2354">
        <f>SUMIFS(ARBETSBLAD!W37:W56,ARBETSBLAD!$E37:$E56,$E175,ARBETSBLAD!$G37:$G56,$G175)*W$57</f>
        <v>0</v>
      </c>
      <c r="X175" s="2354">
        <f>SUMIFS(ARBETSBLAD!X37:X56,ARBETSBLAD!$E37:$E56,$E175,ARBETSBLAD!$G37:$G56,$G175)*X$57</f>
        <v>0</v>
      </c>
      <c r="Y175" s="2354">
        <f>SUMIFS(ARBETSBLAD!Y37:Y56,ARBETSBLAD!$E37:$E56,$E175,ARBETSBLAD!$G37:$G56,$G175)*Y$57</f>
        <v>0</v>
      </c>
      <c r="Z175" s="2354">
        <f>SUMIFS(ARBETSBLAD!Z37:Z56,ARBETSBLAD!$E37:$E56,$E175,ARBETSBLAD!$G37:$G56,$G175)*Z$57</f>
        <v>0</v>
      </c>
      <c r="AA175" s="2354">
        <f>SUMIFS(ARBETSBLAD!AA37:AA56,ARBETSBLAD!$E37:$E56,$E175,ARBETSBLAD!$G37:$G56,$G175)*AA$57</f>
        <v>0</v>
      </c>
      <c r="AB175" s="2354">
        <f>SUMIFS(ARBETSBLAD!AB37:AB56,ARBETSBLAD!$E37:$E56,$E175,ARBETSBLAD!$G37:$G56,$G175)*AB$57</f>
        <v>0</v>
      </c>
      <c r="AC175" s="2354">
        <f>SUMIFS(ARBETSBLAD!AC37:AC56,ARBETSBLAD!$E37:$E56,$E175,ARBETSBLAD!$G37:$G56,$G175)*AC$57</f>
        <v>0</v>
      </c>
      <c r="AD175" s="2354">
        <f>SUMIFS(ARBETSBLAD!AD37:AD56,ARBETSBLAD!$E37:$E56,$E175,ARBETSBLAD!$G37:$G56,$G175)*AD$57</f>
        <v>0</v>
      </c>
      <c r="AE175" s="2354">
        <f>SUMIFS(ARBETSBLAD!AE37:AE56,ARBETSBLAD!$E37:$E56,$E175,ARBETSBLAD!$G37:$G56,$G175)*AE$57</f>
        <v>0</v>
      </c>
      <c r="AF175" s="2354">
        <f>SUMIFS(ARBETSBLAD!AF37:AF56,ARBETSBLAD!$E37:$E56,$E175,ARBETSBLAD!$G37:$G56,$G175)*AF$57</f>
        <v>0</v>
      </c>
      <c r="AG175" s="1349"/>
      <c r="AH175" s="1354">
        <f t="shared" si="43"/>
        <v>0</v>
      </c>
      <c r="AI175" s="1355"/>
      <c r="AJ175" s="1354">
        <f t="shared" si="44"/>
        <v>0</v>
      </c>
      <c r="AL175" s="1356"/>
      <c r="AM175" s="1357"/>
      <c r="AN175" s="1437"/>
    </row>
    <row r="176" spans="1:40" s="115" customFormat="1" ht="12" hidden="1" customHeight="1">
      <c r="A176" s="1270"/>
      <c r="B176" s="1317"/>
      <c r="C176" s="1348"/>
      <c r="D176" s="1349"/>
      <c r="E176" s="1350"/>
      <c r="F176" s="1349"/>
      <c r="G176" s="1350"/>
      <c r="H176" s="1368"/>
      <c r="I176" s="1435"/>
      <c r="J176" s="1435"/>
      <c r="K176" s="1435"/>
      <c r="L176" s="1435"/>
      <c r="M176" s="1435"/>
      <c r="N176" s="1435"/>
      <c r="O176" s="1435"/>
      <c r="P176" s="1435"/>
      <c r="Q176" s="1435"/>
      <c r="R176" s="1435"/>
      <c r="S176" s="1435"/>
      <c r="T176" s="1435"/>
      <c r="U176" s="1435"/>
      <c r="V176" s="1435"/>
      <c r="W176" s="1435"/>
      <c r="X176" s="1435"/>
      <c r="Y176" s="1435"/>
      <c r="Z176" s="1435"/>
      <c r="AA176" s="1435"/>
      <c r="AB176" s="1435"/>
      <c r="AC176" s="1435"/>
      <c r="AD176" s="1435"/>
      <c r="AE176" s="1435"/>
      <c r="AF176" s="1435"/>
      <c r="AG176" s="1349"/>
      <c r="AH176" s="1354">
        <f t="shared" si="43"/>
        <v>0</v>
      </c>
      <c r="AI176" s="1355"/>
      <c r="AJ176" s="1354">
        <f t="shared" si="44"/>
        <v>0</v>
      </c>
      <c r="AL176" s="1357"/>
      <c r="AM176" s="1357"/>
      <c r="AN176" s="1357"/>
    </row>
    <row r="177" spans="1:40" s="115" customFormat="1" ht="12" hidden="1" customHeight="1">
      <c r="A177" s="1270"/>
      <c r="B177" s="1317"/>
      <c r="C177" s="1361">
        <f t="shared" ref="C177:C192" si="45">F177+H177</f>
        <v>1.25</v>
      </c>
      <c r="D177" s="1349"/>
      <c r="E177" s="1431" t="s">
        <v>0</v>
      </c>
      <c r="F177" s="1350">
        <v>1</v>
      </c>
      <c r="G177" s="1436">
        <f>$O$66</f>
        <v>0.25</v>
      </c>
      <c r="H177" s="1368">
        <f>$P$66</f>
        <v>0.25</v>
      </c>
      <c r="I177" s="2354">
        <f>SUMIFS(ARBETSBLAD!I37:I56,ARBETSBLAD!$E37:$E56,$E177,ARBETSBLAD!$G37:$G56,$G177)*I$57+0.7*I190+0.33*I191</f>
        <v>0</v>
      </c>
      <c r="J177" s="2354">
        <f>SUMIFS(ARBETSBLAD!J37:J56,ARBETSBLAD!$E37:$E56,$E177,ARBETSBLAD!$G37:$G56,$G177)*J$57+0.7*J190+0.33*J191</f>
        <v>0</v>
      </c>
      <c r="K177" s="2354">
        <f>SUMIFS(ARBETSBLAD!K37:K56,ARBETSBLAD!$E37:$E56,$E177,ARBETSBLAD!$G37:$G56,$G177)*K$57+0.7*K190+0.33*K191</f>
        <v>0</v>
      </c>
      <c r="L177" s="2354">
        <f>SUMIFS(ARBETSBLAD!L37:L56,ARBETSBLAD!$E37:$E56,$E177,ARBETSBLAD!$G37:$G56,$G177)*L$57+0.7*L190+0.33*L191</f>
        <v>0</v>
      </c>
      <c r="M177" s="2354">
        <f>SUMIFS(ARBETSBLAD!M37:M56,ARBETSBLAD!$E37:$E56,$E177,ARBETSBLAD!$G37:$G56,$G177)*M$57+0.7*M190+0.33*M191</f>
        <v>0</v>
      </c>
      <c r="N177" s="2354">
        <f>SUMIFS(ARBETSBLAD!N37:N56,ARBETSBLAD!$E37:$E56,$E177,ARBETSBLAD!$G37:$G56,$G177)*N$57+0.7*N190+0.33*N191</f>
        <v>0</v>
      </c>
      <c r="O177" s="2354">
        <f>SUMIFS(ARBETSBLAD!O37:O56,ARBETSBLAD!$E37:$E56,$E177,ARBETSBLAD!$G37:$G56,$G177)*O$57+0.7*O190+0.33*O191</f>
        <v>0</v>
      </c>
      <c r="P177" s="2354">
        <f>SUMIFS(ARBETSBLAD!P37:P56,ARBETSBLAD!$E37:$E56,$E177,ARBETSBLAD!$G37:$G56,$G177)*P$57+0.7*P190+0.33*P191</f>
        <v>0</v>
      </c>
      <c r="Q177" s="2354">
        <f>SUMIFS(ARBETSBLAD!Q37:Q56,ARBETSBLAD!$E37:$E56,$E177,ARBETSBLAD!$G37:$G56,$G177)*Q$57+0.7*Q190+0.33*Q191</f>
        <v>0</v>
      </c>
      <c r="R177" s="2354">
        <f>SUMIFS(ARBETSBLAD!R37:R56,ARBETSBLAD!$E37:$E56,$E177,ARBETSBLAD!$G37:$G56,$G177)*R$57+0.7*R190+0.33*R191</f>
        <v>0</v>
      </c>
      <c r="S177" s="2354">
        <f>SUMIFS(ARBETSBLAD!S37:S56,ARBETSBLAD!$E37:$E56,$E177,ARBETSBLAD!$G37:$G56,$G177)*S$57+0.7*S190+0.33*S191</f>
        <v>0</v>
      </c>
      <c r="T177" s="2354">
        <f>SUMIFS(ARBETSBLAD!T37:T56,ARBETSBLAD!$E37:$E56,$E177,ARBETSBLAD!$G37:$G56,$G177)*T$57+0.7*T190+0.33*T191</f>
        <v>0</v>
      </c>
      <c r="U177" s="2354">
        <f>SUMIFS(ARBETSBLAD!U37:U56,ARBETSBLAD!$E37:$E56,$E177,ARBETSBLAD!$G37:$G56,$G177)*U$57+0.7*U190+0.33*U191</f>
        <v>0</v>
      </c>
      <c r="V177" s="2354">
        <f>SUMIFS(ARBETSBLAD!V37:V56,ARBETSBLAD!$E37:$E56,$E177,ARBETSBLAD!$G37:$G56,$G177)*V$57+0.7*V190+0.33*V191</f>
        <v>0</v>
      </c>
      <c r="W177" s="2354">
        <f>SUMIFS(ARBETSBLAD!W37:W56,ARBETSBLAD!$E37:$E56,$E177,ARBETSBLAD!$G37:$G56,$G177)*W$57+0.7*W190+0.33*W191</f>
        <v>0</v>
      </c>
      <c r="X177" s="2354">
        <f>SUMIFS(ARBETSBLAD!X37:X56,ARBETSBLAD!$E37:$E56,$E177,ARBETSBLAD!$G37:$G56,$G177)*X$57+0.7*X190+0.33*X191</f>
        <v>0</v>
      </c>
      <c r="Y177" s="2354">
        <f>SUMIFS(ARBETSBLAD!Y37:Y56,ARBETSBLAD!$E37:$E56,$E177,ARBETSBLAD!$G37:$G56,$G177)*Y$57+0.7*Y190+0.33*Y191</f>
        <v>0</v>
      </c>
      <c r="Z177" s="2354">
        <f>SUMIFS(ARBETSBLAD!Z37:Z56,ARBETSBLAD!$E37:$E56,$E177,ARBETSBLAD!$G37:$G56,$G177)*Z$57+0.7*Z190+0.33*Z191</f>
        <v>0</v>
      </c>
      <c r="AA177" s="2354">
        <f>SUMIFS(ARBETSBLAD!AA37:AA56,ARBETSBLAD!$E37:$E56,$E177,ARBETSBLAD!$G37:$G56,$G177)*AA$57+0.7*AA190+0.33*AA191</f>
        <v>0</v>
      </c>
      <c r="AB177" s="2354">
        <f>SUMIFS(ARBETSBLAD!AB37:AB56,ARBETSBLAD!$E37:$E56,$E177,ARBETSBLAD!$G37:$G56,$G177)*AB$57+0.7*AB190+0.33*AB191</f>
        <v>0</v>
      </c>
      <c r="AC177" s="2354">
        <f>SUMIFS(ARBETSBLAD!AC37:AC56,ARBETSBLAD!$E37:$E56,$E177,ARBETSBLAD!$G37:$G56,$G177)*AC$57+0.7*AC190+0.33*AC191</f>
        <v>0</v>
      </c>
      <c r="AD177" s="2354">
        <f>SUMIFS(ARBETSBLAD!AD37:AD56,ARBETSBLAD!$E37:$E56,$E177,ARBETSBLAD!$G37:$G56,$G177)*AD$57+0.7*AD190+0.33*AD191</f>
        <v>0</v>
      </c>
      <c r="AE177" s="2354">
        <f>SUMIFS(ARBETSBLAD!AE37:AE56,ARBETSBLAD!$E37:$E56,$E177,ARBETSBLAD!$G37:$G56,$G177)*AE$57+0.7*AE190+0.33*AE191</f>
        <v>0</v>
      </c>
      <c r="AF177" s="2354">
        <f>SUMIFS(ARBETSBLAD!AF37:AF56,ARBETSBLAD!$E37:$E56,$E177,ARBETSBLAD!$G37:$G56,$G177)*AF$57+0.7*AF190+0.33*AF191</f>
        <v>0</v>
      </c>
      <c r="AG177" s="1349"/>
      <c r="AH177" s="1354">
        <f t="shared" si="43"/>
        <v>0</v>
      </c>
      <c r="AI177" s="1355"/>
      <c r="AJ177" s="1354">
        <f t="shared" si="44"/>
        <v>0</v>
      </c>
      <c r="AL177" s="1356"/>
      <c r="AM177" s="1357"/>
      <c r="AN177" s="1437"/>
    </row>
    <row r="178" spans="1:40" s="115" customFormat="1" ht="12" hidden="1" customHeight="1">
      <c r="A178" s="1270"/>
      <c r="B178" s="1438"/>
      <c r="C178" s="1361">
        <f t="shared" si="45"/>
        <v>300.25</v>
      </c>
      <c r="D178" s="1349"/>
      <c r="E178" s="1431" t="s">
        <v>1</v>
      </c>
      <c r="F178" s="1350">
        <v>300</v>
      </c>
      <c r="G178" s="1436">
        <f>$O$66</f>
        <v>0.25</v>
      </c>
      <c r="H178" s="1368">
        <f>$P$66</f>
        <v>0.25</v>
      </c>
      <c r="I178" s="2355">
        <f>SUMIFS(ARBETSBLAD!I37:I56,ARBETSBLAD!$E37:$E56,$E178,ARBETSBLAD!$G37:$G56,$G178)*I$57+0.3*I190+0.67*I191+0.567*I192</f>
        <v>0</v>
      </c>
      <c r="J178" s="2355">
        <f>SUMIFS(ARBETSBLAD!J37:J56,ARBETSBLAD!$E37:$E56,$E178,ARBETSBLAD!$G37:$G56,$G178)*J$57+0.3*J190+0.67*J191+0.567*J192</f>
        <v>0</v>
      </c>
      <c r="K178" s="2355">
        <f>SUMIFS(ARBETSBLAD!K37:K56,ARBETSBLAD!$E37:$E56,$E178,ARBETSBLAD!$G37:$G56,$G178)*K$57+0.3*K190+0.67*K191+0.567*K192</f>
        <v>0</v>
      </c>
      <c r="L178" s="2355">
        <f>SUMIFS(ARBETSBLAD!L37:L56,ARBETSBLAD!$E37:$E56,$E178,ARBETSBLAD!$G37:$G56,$G178)*L$57+0.3*L190+0.67*L191+0.567*L192</f>
        <v>0</v>
      </c>
      <c r="M178" s="2355">
        <f>SUMIFS(ARBETSBLAD!M37:M56,ARBETSBLAD!$E37:$E56,$E178,ARBETSBLAD!$G37:$G56,$G178)*M$57+0.3*M190+0.67*M191+0.567*M192</f>
        <v>0</v>
      </c>
      <c r="N178" s="2355">
        <f>SUMIFS(ARBETSBLAD!N37:N56,ARBETSBLAD!$E37:$E56,$E178,ARBETSBLAD!$G37:$G56,$G178)*N$57+0.3*N190+0.67*N191+0.567*N192</f>
        <v>0</v>
      </c>
      <c r="O178" s="2355">
        <f>SUMIFS(ARBETSBLAD!O37:O56,ARBETSBLAD!$E37:$E56,$E178,ARBETSBLAD!$G37:$G56,$G178)*O$57+0.3*O190+0.67*O191+0.567*O192</f>
        <v>0</v>
      </c>
      <c r="P178" s="2355">
        <f>SUMIFS(ARBETSBLAD!P37:P56,ARBETSBLAD!$E37:$E56,$E178,ARBETSBLAD!$G37:$G56,$G178)*P$57+0.3*P190+0.67*P191+0.567*P192</f>
        <v>0</v>
      </c>
      <c r="Q178" s="2355">
        <f>SUMIFS(ARBETSBLAD!Q37:Q56,ARBETSBLAD!$E37:$E56,$E178,ARBETSBLAD!$G37:$G56,$G178)*Q$57+0.3*Q190+0.67*Q191+0.567*Q192</f>
        <v>0</v>
      </c>
      <c r="R178" s="2355">
        <f>SUMIFS(ARBETSBLAD!R37:R56,ARBETSBLAD!$E37:$E56,$E178,ARBETSBLAD!$G37:$G56,$G178)*R$57+0.3*R190+0.67*R191+0.567*R192</f>
        <v>0</v>
      </c>
      <c r="S178" s="2355">
        <f>SUMIFS(ARBETSBLAD!S37:S56,ARBETSBLAD!$E37:$E56,$E178,ARBETSBLAD!$G37:$G56,$G178)*S$57+0.3*S190+0.67*S191+0.567*S192</f>
        <v>0</v>
      </c>
      <c r="T178" s="2355">
        <f>SUMIFS(ARBETSBLAD!T37:T56,ARBETSBLAD!$E37:$E56,$E178,ARBETSBLAD!$G37:$G56,$G178)*T$57+0.3*T190+0.67*T191+0.567*T192</f>
        <v>0</v>
      </c>
      <c r="U178" s="2355">
        <f>SUMIFS(ARBETSBLAD!U37:U56,ARBETSBLAD!$E37:$E56,$E178,ARBETSBLAD!$G37:$G56,$G178)*U$57+0.3*U190+0.67*U191+0.567*U192</f>
        <v>0</v>
      </c>
      <c r="V178" s="2355">
        <f>SUMIFS(ARBETSBLAD!V37:V56,ARBETSBLAD!$E37:$E56,$E178,ARBETSBLAD!$G37:$G56,$G178)*V$57+0.3*V190+0.67*V191+0.567*V192</f>
        <v>0</v>
      </c>
      <c r="W178" s="2355">
        <f>SUMIFS(ARBETSBLAD!W37:W56,ARBETSBLAD!$E37:$E56,$E178,ARBETSBLAD!$G37:$G56,$G178)*W$57+0.3*W190+0.67*W191+0.567*W192</f>
        <v>0</v>
      </c>
      <c r="X178" s="2355">
        <f>SUMIFS(ARBETSBLAD!X37:X56,ARBETSBLAD!$E37:$E56,$E178,ARBETSBLAD!$G37:$G56,$G178)*X$57+0.3*X190+0.67*X191+0.567*X192</f>
        <v>0</v>
      </c>
      <c r="Y178" s="2355">
        <f>SUMIFS(ARBETSBLAD!Y37:Y56,ARBETSBLAD!$E37:$E56,$E178,ARBETSBLAD!$G37:$G56,$G178)*Y$57+0.3*Y190+0.67*Y191+0.567*Y192</f>
        <v>0</v>
      </c>
      <c r="Z178" s="2355">
        <f>SUMIFS(ARBETSBLAD!Z37:Z56,ARBETSBLAD!$E37:$E56,$E178,ARBETSBLAD!$G37:$G56,$G178)*Z$57+0.3*Z190+0.67*Z191+0.567*Z192</f>
        <v>0</v>
      </c>
      <c r="AA178" s="2355">
        <f>SUMIFS(ARBETSBLAD!AA37:AA56,ARBETSBLAD!$E37:$E56,$E178,ARBETSBLAD!$G37:$G56,$G178)*AA$57+0.3*AA190+0.67*AA191+0.567*AA192</f>
        <v>0</v>
      </c>
      <c r="AB178" s="2355">
        <f>SUMIFS(ARBETSBLAD!AB37:AB56,ARBETSBLAD!$E37:$E56,$E178,ARBETSBLAD!$G37:$G56,$G178)*AB$57+0.3*AB190+0.67*AB191+0.567*AB192</f>
        <v>0</v>
      </c>
      <c r="AC178" s="2355">
        <f>SUMIFS(ARBETSBLAD!AC37:AC56,ARBETSBLAD!$E37:$E56,$E178,ARBETSBLAD!$G37:$G56,$G178)*AC$57+0.3*AC190+0.67*AC191+0.567*AC192</f>
        <v>0</v>
      </c>
      <c r="AD178" s="2355">
        <f>SUMIFS(ARBETSBLAD!AD37:AD56,ARBETSBLAD!$E37:$E56,$E178,ARBETSBLAD!$G37:$G56,$G178)*AD$57+0.3*AD190+0.67*AD191+0.567*AD192</f>
        <v>0</v>
      </c>
      <c r="AE178" s="2355">
        <f>SUMIFS(ARBETSBLAD!AE37:AE56,ARBETSBLAD!$E37:$E56,$E178,ARBETSBLAD!$G37:$G56,$G178)*AE$57+0.3*AE190+0.67*AE191+0.567*AE192</f>
        <v>0</v>
      </c>
      <c r="AF178" s="2355">
        <f>SUMIFS(ARBETSBLAD!AF37:AF56,ARBETSBLAD!$E37:$E56,$E178,ARBETSBLAD!$G37:$G56,$G178)*AF$57+0.3*AF190+0.67*AF191+0.567*AF192</f>
        <v>0</v>
      </c>
      <c r="AG178" s="1349"/>
      <c r="AH178" s="1354">
        <f t="shared" si="43"/>
        <v>0</v>
      </c>
      <c r="AI178" s="1355"/>
      <c r="AJ178" s="1354">
        <f t="shared" si="44"/>
        <v>0</v>
      </c>
      <c r="AL178" s="1356"/>
      <c r="AM178" s="1357"/>
      <c r="AN178" s="1437"/>
    </row>
    <row r="179" spans="1:40" s="115" customFormat="1" ht="12" hidden="1" customHeight="1">
      <c r="A179" s="1270"/>
      <c r="B179" s="1317"/>
      <c r="C179" s="1361">
        <f t="shared" si="45"/>
        <v>600.25</v>
      </c>
      <c r="D179" s="1349"/>
      <c r="E179" s="1431" t="s">
        <v>2</v>
      </c>
      <c r="F179" s="1350">
        <v>600</v>
      </c>
      <c r="G179" s="1436">
        <f>$O$66</f>
        <v>0.25</v>
      </c>
      <c r="H179" s="1368">
        <f>$P$66</f>
        <v>0.25</v>
      </c>
      <c r="I179" s="2354">
        <f>SUMIFS(ARBETSBLAD!I37:I56,ARBETSBLAD!$E37:$E56,$E179,ARBETSBLAD!$G37:$G56,$G179)*I$57+0.433*I192</f>
        <v>0</v>
      </c>
      <c r="J179" s="2354">
        <f>SUMIFS(ARBETSBLAD!J37:J56,ARBETSBLAD!$E37:$E56,$E179,ARBETSBLAD!$G37:$G56,$G179)*J$57+0.433*J192</f>
        <v>0</v>
      </c>
      <c r="K179" s="2354">
        <f>SUMIFS(ARBETSBLAD!K37:K56,ARBETSBLAD!$E37:$E56,$E179,ARBETSBLAD!$G37:$G56,$G179)*K$57+0.433*K192</f>
        <v>0</v>
      </c>
      <c r="L179" s="2354">
        <f>SUMIFS(ARBETSBLAD!L37:L56,ARBETSBLAD!$E37:$E56,$E179,ARBETSBLAD!$G37:$G56,$G179)*L$57+0.433*L192</f>
        <v>0</v>
      </c>
      <c r="M179" s="2354">
        <f>SUMIFS(ARBETSBLAD!M37:M56,ARBETSBLAD!$E37:$E56,$E179,ARBETSBLAD!$G37:$G56,$G179)*M$57+0.433*M192</f>
        <v>0</v>
      </c>
      <c r="N179" s="2354">
        <f>SUMIFS(ARBETSBLAD!N37:N56,ARBETSBLAD!$E37:$E56,$E179,ARBETSBLAD!$G37:$G56,$G179)*N$57+0.433*N192</f>
        <v>0</v>
      </c>
      <c r="O179" s="2354">
        <f>SUMIFS(ARBETSBLAD!O37:O56,ARBETSBLAD!$E37:$E56,$E179,ARBETSBLAD!$G37:$G56,$G179)*O$57+0.433*O192</f>
        <v>0</v>
      </c>
      <c r="P179" s="2354">
        <f>SUMIFS(ARBETSBLAD!P37:P56,ARBETSBLAD!$E37:$E56,$E179,ARBETSBLAD!$G37:$G56,$G179)*P$57+0.433*P192</f>
        <v>0</v>
      </c>
      <c r="Q179" s="2354">
        <f>SUMIFS(ARBETSBLAD!Q37:Q56,ARBETSBLAD!$E37:$E56,$E179,ARBETSBLAD!$G37:$G56,$G179)*Q$57+0.433*Q192</f>
        <v>0</v>
      </c>
      <c r="R179" s="2354">
        <f>SUMIFS(ARBETSBLAD!R37:R56,ARBETSBLAD!$E37:$E56,$E179,ARBETSBLAD!$G37:$G56,$G179)*R$57+0.433*R192</f>
        <v>0</v>
      </c>
      <c r="S179" s="2354">
        <f>SUMIFS(ARBETSBLAD!S37:S56,ARBETSBLAD!$E37:$E56,$E179,ARBETSBLAD!$G37:$G56,$G179)*S$57+0.433*S192</f>
        <v>0</v>
      </c>
      <c r="T179" s="2354">
        <f>SUMIFS(ARBETSBLAD!T37:T56,ARBETSBLAD!$E37:$E56,$E179,ARBETSBLAD!$G37:$G56,$G179)*T$57+0.433*T192</f>
        <v>0</v>
      </c>
      <c r="U179" s="2354">
        <f>SUMIFS(ARBETSBLAD!U37:U56,ARBETSBLAD!$E37:$E56,$E179,ARBETSBLAD!$G37:$G56,$G179)*U$57+0.433*U192</f>
        <v>0</v>
      </c>
      <c r="V179" s="2354">
        <f>SUMIFS(ARBETSBLAD!V37:V56,ARBETSBLAD!$E37:$E56,$E179,ARBETSBLAD!$G37:$G56,$G179)*V$57+0.433*V192</f>
        <v>0</v>
      </c>
      <c r="W179" s="2354">
        <f>SUMIFS(ARBETSBLAD!W37:W56,ARBETSBLAD!$E37:$E56,$E179,ARBETSBLAD!$G37:$G56,$G179)*W$57+0.433*W192</f>
        <v>0</v>
      </c>
      <c r="X179" s="2354">
        <f>SUMIFS(ARBETSBLAD!X37:X56,ARBETSBLAD!$E37:$E56,$E179,ARBETSBLAD!$G37:$G56,$G179)*X$57+0.433*X192</f>
        <v>0</v>
      </c>
      <c r="Y179" s="2354">
        <f>SUMIFS(ARBETSBLAD!Y37:Y56,ARBETSBLAD!$E37:$E56,$E179,ARBETSBLAD!$G37:$G56,$G179)*Y$57+0.433*Y192</f>
        <v>0</v>
      </c>
      <c r="Z179" s="2354">
        <f>SUMIFS(ARBETSBLAD!Z37:Z56,ARBETSBLAD!$E37:$E56,$E179,ARBETSBLAD!$G37:$G56,$G179)*Z$57+0.433*Z192</f>
        <v>0</v>
      </c>
      <c r="AA179" s="2354">
        <f>SUMIFS(ARBETSBLAD!AA37:AA56,ARBETSBLAD!$E37:$E56,$E179,ARBETSBLAD!$G37:$G56,$G179)*AA$57+0.433*AA192</f>
        <v>0</v>
      </c>
      <c r="AB179" s="2354">
        <f>SUMIFS(ARBETSBLAD!AB37:AB56,ARBETSBLAD!$E37:$E56,$E179,ARBETSBLAD!$G37:$G56,$G179)*AB$57+0.433*AB192</f>
        <v>0</v>
      </c>
      <c r="AC179" s="2354">
        <f>SUMIFS(ARBETSBLAD!AC37:AC56,ARBETSBLAD!$E37:$E56,$E179,ARBETSBLAD!$G37:$G56,$G179)*AC$57+0.433*AC192</f>
        <v>0</v>
      </c>
      <c r="AD179" s="2354">
        <f>SUMIFS(ARBETSBLAD!AD37:AD56,ARBETSBLAD!$E37:$E56,$E179,ARBETSBLAD!$G37:$G56,$G179)*AD$57+0.433*AD192</f>
        <v>0</v>
      </c>
      <c r="AE179" s="2354">
        <f>SUMIFS(ARBETSBLAD!AE37:AE56,ARBETSBLAD!$E37:$E56,$E179,ARBETSBLAD!$G37:$G56,$G179)*AE$57+0.433*AE192</f>
        <v>0</v>
      </c>
      <c r="AF179" s="2354">
        <f>SUMIFS(ARBETSBLAD!AF37:AF56,ARBETSBLAD!$E37:$E56,$E179,ARBETSBLAD!$G37:$G56,$G179)*AF$57+0.433*AF192</f>
        <v>0</v>
      </c>
      <c r="AG179" s="1349"/>
      <c r="AH179" s="1354">
        <f t="shared" si="43"/>
        <v>0</v>
      </c>
      <c r="AI179" s="1355"/>
      <c r="AJ179" s="1354">
        <f t="shared" si="44"/>
        <v>0</v>
      </c>
      <c r="AL179" s="1356"/>
      <c r="AM179" s="1357"/>
      <c r="AN179" s="1437"/>
    </row>
    <row r="180" spans="1:40" s="115" customFormat="1" ht="12" hidden="1" customHeight="1">
      <c r="A180" s="1270"/>
      <c r="B180" s="1317"/>
      <c r="C180" s="1361">
        <f t="shared" si="45"/>
        <v>900.25</v>
      </c>
      <c r="D180" s="1349"/>
      <c r="E180" s="1439" t="s">
        <v>3</v>
      </c>
      <c r="F180" s="1350">
        <v>900</v>
      </c>
      <c r="G180" s="1436">
        <f>$O$66</f>
        <v>0.25</v>
      </c>
      <c r="H180" s="1368">
        <f>$P$66</f>
        <v>0.25</v>
      </c>
      <c r="I180" s="2356">
        <f>SUMIFS(ARBETSBLAD!I37:I56,ARBETSBLAD!$E37:$E56,$E180,ARBETSBLAD!$G37:$G56,$G180)*I$57</f>
        <v>0</v>
      </c>
      <c r="J180" s="2356">
        <f>SUMIFS(ARBETSBLAD!J37:J56,ARBETSBLAD!$E37:$E56,$E180,ARBETSBLAD!$G37:$G56,$G180)*J$57</f>
        <v>0</v>
      </c>
      <c r="K180" s="2356">
        <f>SUMIFS(ARBETSBLAD!K37:K56,ARBETSBLAD!$E37:$E56,$E180,ARBETSBLAD!$G37:$G56,$G180)*K$57</f>
        <v>0</v>
      </c>
      <c r="L180" s="2356">
        <f>SUMIFS(ARBETSBLAD!L37:L56,ARBETSBLAD!$E37:$E56,$E180,ARBETSBLAD!$G37:$G56,$G180)*L$57</f>
        <v>0</v>
      </c>
      <c r="M180" s="2356">
        <f>SUMIFS(ARBETSBLAD!M37:M56,ARBETSBLAD!$E37:$E56,$E180,ARBETSBLAD!$G37:$G56,$G180)*M$57</f>
        <v>0</v>
      </c>
      <c r="N180" s="2356">
        <f>SUMIFS(ARBETSBLAD!N37:N56,ARBETSBLAD!$E37:$E56,$E180,ARBETSBLAD!$G37:$G56,$G180)*N$57</f>
        <v>0</v>
      </c>
      <c r="O180" s="2356">
        <f>SUMIFS(ARBETSBLAD!O37:O56,ARBETSBLAD!$E37:$E56,$E180,ARBETSBLAD!$G37:$G56,$G180)*O$57</f>
        <v>0</v>
      </c>
      <c r="P180" s="2356">
        <f>SUMIFS(ARBETSBLAD!P37:P56,ARBETSBLAD!$E37:$E56,$E180,ARBETSBLAD!$G37:$G56,$G180)*P$57</f>
        <v>0</v>
      </c>
      <c r="Q180" s="2356">
        <f>SUMIFS(ARBETSBLAD!Q37:Q56,ARBETSBLAD!$E37:$E56,$E180,ARBETSBLAD!$G37:$G56,$G180)*Q$57</f>
        <v>0</v>
      </c>
      <c r="R180" s="2356">
        <f>SUMIFS(ARBETSBLAD!R37:R56,ARBETSBLAD!$E37:$E56,$E180,ARBETSBLAD!$G37:$G56,$G180)*R$57</f>
        <v>0</v>
      </c>
      <c r="S180" s="2356">
        <f>SUMIFS(ARBETSBLAD!S37:S56,ARBETSBLAD!$E37:$E56,$E180,ARBETSBLAD!$G37:$G56,$G180)*S$57</f>
        <v>0</v>
      </c>
      <c r="T180" s="2356">
        <f>SUMIFS(ARBETSBLAD!T37:T56,ARBETSBLAD!$E37:$E56,$E180,ARBETSBLAD!$G37:$G56,$G180)*T$57</f>
        <v>0</v>
      </c>
      <c r="U180" s="2356">
        <f>SUMIFS(ARBETSBLAD!U37:U56,ARBETSBLAD!$E37:$E56,$E180,ARBETSBLAD!$G37:$G56,$G180)*U$57</f>
        <v>0</v>
      </c>
      <c r="V180" s="2356">
        <f>SUMIFS(ARBETSBLAD!V37:V56,ARBETSBLAD!$E37:$E56,$E180,ARBETSBLAD!$G37:$G56,$G180)*V$57</f>
        <v>0</v>
      </c>
      <c r="W180" s="2356">
        <f>SUMIFS(ARBETSBLAD!W37:W56,ARBETSBLAD!$E37:$E56,$E180,ARBETSBLAD!$G37:$G56,$G180)*W$57</f>
        <v>0</v>
      </c>
      <c r="X180" s="2356">
        <f>SUMIFS(ARBETSBLAD!X37:X56,ARBETSBLAD!$E37:$E56,$E180,ARBETSBLAD!$G37:$G56,$G180)*X$57</f>
        <v>0</v>
      </c>
      <c r="Y180" s="2356">
        <f>SUMIFS(ARBETSBLAD!Y37:Y56,ARBETSBLAD!$E37:$E56,$E180,ARBETSBLAD!$G37:$G56,$G180)*Y$57</f>
        <v>0</v>
      </c>
      <c r="Z180" s="2356">
        <f>SUMIFS(ARBETSBLAD!Z37:Z56,ARBETSBLAD!$E37:$E56,$E180,ARBETSBLAD!$G37:$G56,$G180)*Z$57</f>
        <v>0</v>
      </c>
      <c r="AA180" s="2356">
        <f>SUMIFS(ARBETSBLAD!AA37:AA56,ARBETSBLAD!$E37:$E56,$E180,ARBETSBLAD!$G37:$G56,$G180)*AA$57</f>
        <v>0</v>
      </c>
      <c r="AB180" s="2356">
        <f>SUMIFS(ARBETSBLAD!AB37:AB56,ARBETSBLAD!$E37:$E56,$E180,ARBETSBLAD!$G37:$G56,$G180)*AB$57</f>
        <v>0</v>
      </c>
      <c r="AC180" s="2356">
        <f>SUMIFS(ARBETSBLAD!AC37:AC56,ARBETSBLAD!$E37:$E56,$E180,ARBETSBLAD!$G37:$G56,$G180)*AC$57</f>
        <v>0</v>
      </c>
      <c r="AD180" s="2356">
        <f>SUMIFS(ARBETSBLAD!AD37:AD56,ARBETSBLAD!$E37:$E56,$E180,ARBETSBLAD!$G37:$G56,$G180)*AD$57</f>
        <v>0</v>
      </c>
      <c r="AE180" s="2356">
        <f>SUMIFS(ARBETSBLAD!AE37:AE56,ARBETSBLAD!$E37:$E56,$E180,ARBETSBLAD!$G37:$G56,$G180)*AE$57</f>
        <v>0</v>
      </c>
      <c r="AF180" s="2356">
        <f>SUMIFS(ARBETSBLAD!AF37:AF56,ARBETSBLAD!$E37:$E56,$E180,ARBETSBLAD!$G37:$G56,$G180)*AF$57</f>
        <v>0</v>
      </c>
      <c r="AG180" s="1349"/>
      <c r="AH180" s="1354">
        <f t="shared" si="43"/>
        <v>0</v>
      </c>
      <c r="AI180" s="1355"/>
      <c r="AJ180" s="1354">
        <f t="shared" si="44"/>
        <v>0</v>
      </c>
      <c r="AL180" s="1356"/>
      <c r="AM180" s="1357"/>
      <c r="AN180" s="1437"/>
    </row>
    <row r="181" spans="1:40" s="115" customFormat="1" ht="12" hidden="1" customHeight="1">
      <c r="A181" s="1270"/>
      <c r="B181" s="1363" t="s">
        <v>908</v>
      </c>
      <c r="C181" s="1364">
        <f t="shared" si="45"/>
        <v>100.001</v>
      </c>
      <c r="D181" s="1365"/>
      <c r="E181" s="1441" t="s">
        <v>907</v>
      </c>
      <c r="F181" s="1350">
        <v>100</v>
      </c>
      <c r="G181" s="1442">
        <f>ARBETSBLAD!G315</f>
        <v>9.9999999999999995E-7</v>
      </c>
      <c r="H181" s="1352">
        <v>1E-3</v>
      </c>
      <c r="I181" s="2357">
        <f>SUMIFS(ARBETSBLAD!I$37:I$56,ARBETSBLAD!$E$37:$E$56,$E181,ARBETSBLAD!$G$37:$G$56,$G181)*I$57</f>
        <v>0</v>
      </c>
      <c r="J181" s="2357">
        <f>SUMIFS(ARBETSBLAD!J37:J56,ARBETSBLAD!$E37:$E56,$E181,ARBETSBLAD!$G37:$G56,$G181)*J$57</f>
        <v>0</v>
      </c>
      <c r="K181" s="2357">
        <f>SUMIFS(ARBETSBLAD!K37:K56,ARBETSBLAD!$E37:$E56,$E181,ARBETSBLAD!$G37:$G56,$G181)*K$57</f>
        <v>0</v>
      </c>
      <c r="L181" s="2357">
        <f>SUMIFS(ARBETSBLAD!L37:L56,ARBETSBLAD!$E37:$E56,$E181,ARBETSBLAD!$G37:$G56,$G181)*L$57</f>
        <v>0</v>
      </c>
      <c r="M181" s="2357">
        <f>SUMIFS(ARBETSBLAD!M37:M56,ARBETSBLAD!$E37:$E56,$E181,ARBETSBLAD!$G37:$G56,$G181)*M$57</f>
        <v>0</v>
      </c>
      <c r="N181" s="2357">
        <f>SUMIFS(ARBETSBLAD!N37:N56,ARBETSBLAD!$E37:$E56,$E181,ARBETSBLAD!$G37:$G56,$G181)*N$57</f>
        <v>0</v>
      </c>
      <c r="O181" s="2357">
        <f>SUMIFS(ARBETSBLAD!O37:O56,ARBETSBLAD!$E37:$E56,$E181,ARBETSBLAD!$G37:$G56,$G181)*O$57</f>
        <v>0</v>
      </c>
      <c r="P181" s="2357">
        <f>SUMIFS(ARBETSBLAD!P37:P56,ARBETSBLAD!$E37:$E56,$E181,ARBETSBLAD!$G37:$G56,$G181)*P$57</f>
        <v>0</v>
      </c>
      <c r="Q181" s="2357">
        <f>SUMIFS(ARBETSBLAD!Q37:Q56,ARBETSBLAD!$E37:$E56,$E181,ARBETSBLAD!$G37:$G56,$G181)*Q$57</f>
        <v>0</v>
      </c>
      <c r="R181" s="2357">
        <f>SUMIFS(ARBETSBLAD!R37:R56,ARBETSBLAD!$E37:$E56,$E181,ARBETSBLAD!$G37:$G56,$G181)*R$57</f>
        <v>0</v>
      </c>
      <c r="S181" s="2357">
        <f>SUMIFS(ARBETSBLAD!S37:S56,ARBETSBLAD!$E37:$E56,$E181,ARBETSBLAD!$G37:$G56,$G181)*S$57</f>
        <v>0</v>
      </c>
      <c r="T181" s="2357">
        <f>SUMIFS(ARBETSBLAD!T37:T56,ARBETSBLAD!$E37:$E56,$E181,ARBETSBLAD!$G37:$G56,$G181)*T$57</f>
        <v>0</v>
      </c>
      <c r="U181" s="2357">
        <f>SUMIFS(ARBETSBLAD!U37:U56,ARBETSBLAD!$E37:$E56,$E181,ARBETSBLAD!$G37:$G56,$G181)*U$57</f>
        <v>0</v>
      </c>
      <c r="V181" s="2357">
        <f>SUMIFS(ARBETSBLAD!V37:V56,ARBETSBLAD!$E37:$E56,$E181,ARBETSBLAD!$G37:$G56,$G181)*V$57</f>
        <v>0</v>
      </c>
      <c r="W181" s="2357">
        <f>SUMIFS(ARBETSBLAD!W37:W56,ARBETSBLAD!$E37:$E56,$E181,ARBETSBLAD!$G37:$G56,$G181)*W$57</f>
        <v>0</v>
      </c>
      <c r="X181" s="2357">
        <f>SUMIFS(ARBETSBLAD!X37:X56,ARBETSBLAD!$E37:$E56,$E181,ARBETSBLAD!$G37:$G56,$G181)*X$57</f>
        <v>0</v>
      </c>
      <c r="Y181" s="2357">
        <f>SUMIFS(ARBETSBLAD!Y37:Y56,ARBETSBLAD!$E37:$E56,$E181,ARBETSBLAD!$G37:$G56,$G181)*Y$57</f>
        <v>0</v>
      </c>
      <c r="Z181" s="2357">
        <f>SUMIFS(ARBETSBLAD!Z37:Z56,ARBETSBLAD!$E37:$E56,$E181,ARBETSBLAD!$G37:$G56,$G181)*Z$57</f>
        <v>0</v>
      </c>
      <c r="AA181" s="2357">
        <f>SUMIFS(ARBETSBLAD!AA37:AA56,ARBETSBLAD!$E37:$E56,$E181,ARBETSBLAD!$G37:$G56,$G181)*AA$57</f>
        <v>0</v>
      </c>
      <c r="AB181" s="2357">
        <f>SUMIFS(ARBETSBLAD!AB37:AB56,ARBETSBLAD!$E37:$E56,$E181,ARBETSBLAD!$G37:$G56,$G181)*AB$57</f>
        <v>0</v>
      </c>
      <c r="AC181" s="2357">
        <f>SUMIFS(ARBETSBLAD!AC37:AC56,ARBETSBLAD!$E37:$E56,$E181,ARBETSBLAD!$G37:$G56,$G181)*AC$57</f>
        <v>0</v>
      </c>
      <c r="AD181" s="2357">
        <f>SUMIFS(ARBETSBLAD!AD37:AD56,ARBETSBLAD!$E37:$E56,$E181,ARBETSBLAD!$G37:$G56,$G181)*AD$57</f>
        <v>0</v>
      </c>
      <c r="AE181" s="2357">
        <f>SUMIFS(ARBETSBLAD!AE37:AE56,ARBETSBLAD!$E37:$E56,$E181,ARBETSBLAD!$G37:$G56,$G181)*AE$57</f>
        <v>0</v>
      </c>
      <c r="AF181" s="2357">
        <f>SUMIFS(ARBETSBLAD!AF37:AF56,ARBETSBLAD!$E37:$E56,$E181,ARBETSBLAD!$G37:$G56,$G181)*AF$57</f>
        <v>0</v>
      </c>
      <c r="AG181" s="1444"/>
      <c r="AH181" s="1354">
        <f t="shared" si="43"/>
        <v>0</v>
      </c>
      <c r="AI181" s="1355"/>
      <c r="AJ181" s="1354">
        <f t="shared" si="44"/>
        <v>0</v>
      </c>
      <c r="AL181" s="1356"/>
      <c r="AM181" s="1357"/>
      <c r="AN181" s="1437"/>
    </row>
    <row r="182" spans="1:40" s="115" customFormat="1" ht="12" hidden="1" customHeight="1">
      <c r="A182" s="1270"/>
      <c r="B182" s="1363" t="s">
        <v>909</v>
      </c>
      <c r="C182" s="1364">
        <f t="shared" si="45"/>
        <v>200.001</v>
      </c>
      <c r="D182" s="1365"/>
      <c r="E182" s="1441" t="s">
        <v>912</v>
      </c>
      <c r="F182" s="1350">
        <v>200</v>
      </c>
      <c r="G182" s="1442">
        <f>ARBETSBLAD!G315</f>
        <v>9.9999999999999995E-7</v>
      </c>
      <c r="H182" s="1352">
        <v>1E-3</v>
      </c>
      <c r="I182" s="2357">
        <f>SUMIFS(ARBETSBLAD!I$37:I$56,ARBETSBLAD!$E$37:$E$56,$E182,ARBETSBLAD!$G$37:$G$56,$G182)*I$57</f>
        <v>0</v>
      </c>
      <c r="J182" s="2357">
        <f>SUMIFS(ARBETSBLAD!J$37:J$56,ARBETSBLAD!$E$37:$E$56,$E182,ARBETSBLAD!$G$37:$G$56,$G182)*J$57</f>
        <v>0</v>
      </c>
      <c r="K182" s="2357">
        <f>SUMIFS(ARBETSBLAD!K$37:K$56,ARBETSBLAD!$E$37:$E$56,$E182,ARBETSBLAD!$G$37:$G$56,$G182)*K$57</f>
        <v>0</v>
      </c>
      <c r="L182" s="2357">
        <f>SUMIFS(ARBETSBLAD!L$37:L$56,ARBETSBLAD!$E$37:$E$56,$E182,ARBETSBLAD!$G$37:$G$56,$G182)*L$57</f>
        <v>0</v>
      </c>
      <c r="M182" s="2357">
        <f>SUMIFS(ARBETSBLAD!M$37:M$56,ARBETSBLAD!$E$37:$E$56,$E182,ARBETSBLAD!$G$37:$G$56,$G182)*M$57</f>
        <v>0</v>
      </c>
      <c r="N182" s="2357">
        <f>SUMIFS(ARBETSBLAD!N$37:N$56,ARBETSBLAD!$E$37:$E$56,$E182,ARBETSBLAD!$G$37:$G$56,$G182)*N$57</f>
        <v>0</v>
      </c>
      <c r="O182" s="2357">
        <f>SUMIFS(ARBETSBLAD!O$37:O$56,ARBETSBLAD!$E$37:$E$56,$E182,ARBETSBLAD!$G$37:$G$56,$G182)*O$57</f>
        <v>0</v>
      </c>
      <c r="P182" s="2357">
        <f>SUMIFS(ARBETSBLAD!P$37:P$56,ARBETSBLAD!$E$37:$E$56,$E182,ARBETSBLAD!$G$37:$G$56,$G182)*P$57</f>
        <v>0</v>
      </c>
      <c r="Q182" s="2357">
        <f>SUMIFS(ARBETSBLAD!Q$37:Q$56,ARBETSBLAD!$E$37:$E$56,$E182,ARBETSBLAD!$G$37:$G$56,$G182)*Q$57</f>
        <v>0</v>
      </c>
      <c r="R182" s="2357">
        <f>SUMIFS(ARBETSBLAD!R$37:R$56,ARBETSBLAD!$E$37:$E$56,$E182,ARBETSBLAD!$G$37:$G$56,$G182)*R$57</f>
        <v>0</v>
      </c>
      <c r="S182" s="2357">
        <f>SUMIFS(ARBETSBLAD!S$37:S$56,ARBETSBLAD!$E$37:$E$56,$E182,ARBETSBLAD!$G$37:$G$56,$G182)*S$57</f>
        <v>0</v>
      </c>
      <c r="T182" s="2357">
        <f>SUMIFS(ARBETSBLAD!T$37:T$56,ARBETSBLAD!$E$37:$E$56,$E182,ARBETSBLAD!$G$37:$G$56,$G182)*T$57</f>
        <v>0</v>
      </c>
      <c r="U182" s="2357">
        <f>SUMIFS(ARBETSBLAD!U$37:U$56,ARBETSBLAD!$E$37:$E$56,$E182,ARBETSBLAD!$G$37:$G$56,$G182)*U$57</f>
        <v>0</v>
      </c>
      <c r="V182" s="2357">
        <f>SUMIFS(ARBETSBLAD!V$37:V$56,ARBETSBLAD!$E$37:$E$56,$E182,ARBETSBLAD!$G$37:$G$56,$G182)*V$57</f>
        <v>0</v>
      </c>
      <c r="W182" s="2357">
        <f>SUMIFS(ARBETSBLAD!W$37:W$56,ARBETSBLAD!$E$37:$E$56,$E182,ARBETSBLAD!$G$37:$G$56,$G182)*W$57</f>
        <v>0</v>
      </c>
      <c r="X182" s="2357">
        <f>SUMIFS(ARBETSBLAD!X$37:X$56,ARBETSBLAD!$E$37:$E$56,$E182,ARBETSBLAD!$G$37:$G$56,$G182)*X$57</f>
        <v>0</v>
      </c>
      <c r="Y182" s="2357">
        <f>SUMIFS(ARBETSBLAD!Y$37:Y$56,ARBETSBLAD!$E$37:$E$56,$E182,ARBETSBLAD!$G$37:$G$56,$G182)*Y$57</f>
        <v>0</v>
      </c>
      <c r="Z182" s="2357">
        <f>SUMIFS(ARBETSBLAD!Z$37:Z$56,ARBETSBLAD!$E$37:$E$56,$E182,ARBETSBLAD!$G$37:$G$56,$G182)*Z$57</f>
        <v>0</v>
      </c>
      <c r="AA182" s="2357">
        <f>SUMIFS(ARBETSBLAD!AA$37:AA$56,ARBETSBLAD!$E$37:$E$56,$E182,ARBETSBLAD!$G$37:$G$56,$G182)*AA$57</f>
        <v>0</v>
      </c>
      <c r="AB182" s="2357">
        <f>SUMIFS(ARBETSBLAD!AB$37:AB$56,ARBETSBLAD!$E$37:$E$56,$E182,ARBETSBLAD!$G$37:$G$56,$G182)*AB$57</f>
        <v>0</v>
      </c>
      <c r="AC182" s="2357">
        <f>SUMIFS(ARBETSBLAD!AC$37:AC$56,ARBETSBLAD!$E$37:$E$56,$E182,ARBETSBLAD!$G$37:$G$56,$G182)*AC$57</f>
        <v>0</v>
      </c>
      <c r="AD182" s="2357">
        <f>SUMIFS(ARBETSBLAD!AD$37:AD$56,ARBETSBLAD!$E$37:$E$56,$E182,ARBETSBLAD!$G$37:$G$56,$G182)*AD$57</f>
        <v>0</v>
      </c>
      <c r="AE182" s="2357">
        <f>SUMIFS(ARBETSBLAD!AE$37:AE$56,ARBETSBLAD!$E$37:$E$56,$E182,ARBETSBLAD!$G$37:$G$56,$G182)*AE$57</f>
        <v>0</v>
      </c>
      <c r="AF182" s="2357">
        <f>SUMIFS(ARBETSBLAD!AF$37:AF$56,ARBETSBLAD!$E$37:$E$56,$E182,ARBETSBLAD!$G$37:$G$56,$G182)*AF$57</f>
        <v>0</v>
      </c>
      <c r="AG182" s="1444"/>
      <c r="AH182" s="1354">
        <f t="shared" si="43"/>
        <v>0</v>
      </c>
      <c r="AI182" s="1355"/>
      <c r="AJ182" s="1354">
        <f t="shared" si="44"/>
        <v>0</v>
      </c>
      <c r="AL182" s="1356"/>
      <c r="AM182" s="1357"/>
      <c r="AN182" s="1437"/>
    </row>
    <row r="183" spans="1:40" s="115" customFormat="1" ht="12" hidden="1" customHeight="1">
      <c r="A183" s="1270"/>
      <c r="B183" s="1363" t="s">
        <v>911</v>
      </c>
      <c r="C183" s="1364">
        <f t="shared" si="45"/>
        <v>450.00099999999998</v>
      </c>
      <c r="D183" s="1365"/>
      <c r="E183" s="1441" t="s">
        <v>910</v>
      </c>
      <c r="F183" s="1350">
        <v>450</v>
      </c>
      <c r="G183" s="1442">
        <f>ARBETSBLAD!G315</f>
        <v>9.9999999999999995E-7</v>
      </c>
      <c r="H183" s="1352">
        <v>1E-3</v>
      </c>
      <c r="I183" s="2357">
        <f>SUMIFS(ARBETSBLAD!I$37:I$56,ARBETSBLAD!$E$37:$E$56,$E183,ARBETSBLAD!$G$37:$G$56,$G183)*I$57</f>
        <v>0</v>
      </c>
      <c r="J183" s="2357">
        <f>SUMIFS(ARBETSBLAD!J$37:J$56,ARBETSBLAD!$E$37:$E$56,$E183,ARBETSBLAD!$G$37:$G$56,$G183)*J$57</f>
        <v>0</v>
      </c>
      <c r="K183" s="2357">
        <f>SUMIFS(ARBETSBLAD!K$37:K$56,ARBETSBLAD!$E$37:$E$56,$E183,ARBETSBLAD!$G$37:$G$56,$G183)*K$57</f>
        <v>0</v>
      </c>
      <c r="L183" s="2357">
        <f>SUMIFS(ARBETSBLAD!L$37:L$56,ARBETSBLAD!$E$37:$E$56,$E183,ARBETSBLAD!$G$37:$G$56,$G183)*L$57</f>
        <v>0</v>
      </c>
      <c r="M183" s="2357">
        <f>SUMIFS(ARBETSBLAD!M$37:M$56,ARBETSBLAD!$E$37:$E$56,$E183,ARBETSBLAD!$G$37:$G$56,$G183)*M$57</f>
        <v>0</v>
      </c>
      <c r="N183" s="2357">
        <f>SUMIFS(ARBETSBLAD!N$37:N$56,ARBETSBLAD!$E$37:$E$56,$E183,ARBETSBLAD!$G$37:$G$56,$G183)*N$57</f>
        <v>0</v>
      </c>
      <c r="O183" s="2357">
        <f>SUMIFS(ARBETSBLAD!O$37:O$56,ARBETSBLAD!$E$37:$E$56,$E183,ARBETSBLAD!$G$37:$G$56,$G183)*O$57</f>
        <v>0</v>
      </c>
      <c r="P183" s="2357">
        <f>SUMIFS(ARBETSBLAD!P$37:P$56,ARBETSBLAD!$E$37:$E$56,$E183,ARBETSBLAD!$G$37:$G$56,$G183)*P$57</f>
        <v>0</v>
      </c>
      <c r="Q183" s="2357">
        <f>SUMIFS(ARBETSBLAD!Q$37:Q$56,ARBETSBLAD!$E$37:$E$56,$E183,ARBETSBLAD!$G$37:$G$56,$G183)*Q$57</f>
        <v>0</v>
      </c>
      <c r="R183" s="2357">
        <f>SUMIFS(ARBETSBLAD!R$37:R$56,ARBETSBLAD!$E$37:$E$56,$E183,ARBETSBLAD!$G$37:$G$56,$G183)*R$57</f>
        <v>0</v>
      </c>
      <c r="S183" s="2357">
        <f>SUMIFS(ARBETSBLAD!S$37:S$56,ARBETSBLAD!$E$37:$E$56,$E183,ARBETSBLAD!$G$37:$G$56,$G183)*S$57</f>
        <v>0</v>
      </c>
      <c r="T183" s="2357">
        <f>SUMIFS(ARBETSBLAD!T$37:T$56,ARBETSBLAD!$E$37:$E$56,$E183,ARBETSBLAD!$G$37:$G$56,$G183)*T$57</f>
        <v>0</v>
      </c>
      <c r="U183" s="2357">
        <f>SUMIFS(ARBETSBLAD!U$37:U$56,ARBETSBLAD!$E$37:$E$56,$E183,ARBETSBLAD!$G$37:$G$56,$G183)*U$57</f>
        <v>0</v>
      </c>
      <c r="V183" s="2357">
        <f>SUMIFS(ARBETSBLAD!V$37:V$56,ARBETSBLAD!$E$37:$E$56,$E183,ARBETSBLAD!$G$37:$G$56,$G183)*V$57</f>
        <v>0</v>
      </c>
      <c r="W183" s="2357">
        <f>SUMIFS(ARBETSBLAD!W$37:W$56,ARBETSBLAD!$E$37:$E$56,$E183,ARBETSBLAD!$G$37:$G$56,$G183)*W$57</f>
        <v>0</v>
      </c>
      <c r="X183" s="2357">
        <f>SUMIFS(ARBETSBLAD!X$37:X$56,ARBETSBLAD!$E$37:$E$56,$E183,ARBETSBLAD!$G$37:$G$56,$G183)*X$57</f>
        <v>0</v>
      </c>
      <c r="Y183" s="2357">
        <f>SUMIFS(ARBETSBLAD!Y$37:Y$56,ARBETSBLAD!$E$37:$E$56,$E183,ARBETSBLAD!$G$37:$G$56,$G183)*Y$57</f>
        <v>0</v>
      </c>
      <c r="Z183" s="2357">
        <f>SUMIFS(ARBETSBLAD!Z$37:Z$56,ARBETSBLAD!$E$37:$E$56,$E183,ARBETSBLAD!$G$37:$G$56,$G183)*Z$57</f>
        <v>0</v>
      </c>
      <c r="AA183" s="2357">
        <f>SUMIFS(ARBETSBLAD!AA$37:AA$56,ARBETSBLAD!$E$37:$E$56,$E183,ARBETSBLAD!$G$37:$G$56,$G183)*AA$57</f>
        <v>0</v>
      </c>
      <c r="AB183" s="2357">
        <f>SUMIFS(ARBETSBLAD!AB$37:AB$56,ARBETSBLAD!$E$37:$E$56,$E183,ARBETSBLAD!$G$37:$G$56,$G183)*AB$57</f>
        <v>0</v>
      </c>
      <c r="AC183" s="2357">
        <f>SUMIFS(ARBETSBLAD!AC$37:AC$56,ARBETSBLAD!$E$37:$E$56,$E183,ARBETSBLAD!$G$37:$G$56,$G183)*AC$57</f>
        <v>0</v>
      </c>
      <c r="AD183" s="2357">
        <f>SUMIFS(ARBETSBLAD!AD$37:AD$56,ARBETSBLAD!$E$37:$E$56,$E183,ARBETSBLAD!$G$37:$G$56,$G183)*AD$57</f>
        <v>0</v>
      </c>
      <c r="AE183" s="2357">
        <f>SUMIFS(ARBETSBLAD!AE$37:AE$56,ARBETSBLAD!$E$37:$E$56,$E183,ARBETSBLAD!$G$37:$G$56,$G183)*AE$57</f>
        <v>0</v>
      </c>
      <c r="AF183" s="2357">
        <f>SUMIFS(ARBETSBLAD!AF$37:AF$56,ARBETSBLAD!$E$37:$E$56,$E183,ARBETSBLAD!$G$37:$G$56,$G183)*AF$57</f>
        <v>0</v>
      </c>
      <c r="AG183" s="1444"/>
      <c r="AH183" s="1354">
        <f t="shared" si="43"/>
        <v>0</v>
      </c>
      <c r="AI183" s="1355"/>
      <c r="AJ183" s="1354">
        <f t="shared" si="44"/>
        <v>0</v>
      </c>
      <c r="AL183" s="1356"/>
      <c r="AM183" s="1357"/>
      <c r="AN183" s="1437"/>
    </row>
    <row r="184" spans="1:40" s="115" customFormat="1" ht="12" hidden="1" customHeight="1">
      <c r="A184" s="1270"/>
      <c r="B184" s="1363" t="s">
        <v>908</v>
      </c>
      <c r="C184" s="1364">
        <f t="shared" si="45"/>
        <v>100.06</v>
      </c>
      <c r="D184" s="1365"/>
      <c r="E184" s="1441" t="s">
        <v>907</v>
      </c>
      <c r="F184" s="1350">
        <v>100</v>
      </c>
      <c r="G184" s="1442">
        <f>$O$64</f>
        <v>0.06</v>
      </c>
      <c r="H184" s="1368">
        <f>$P$64</f>
        <v>0.06</v>
      </c>
      <c r="I184" s="2357">
        <f>SUMIFS(ARBETSBLAD!I$37:I$56,ARBETSBLAD!$E$37:$E$56,$E184,ARBETSBLAD!$G$37:$G$56,$G184)*I$57</f>
        <v>0</v>
      </c>
      <c r="J184" s="2357">
        <f>SUMIFS(ARBETSBLAD!J$37:J$56,ARBETSBLAD!$E$37:$E$56,$E184,ARBETSBLAD!$G$37:$G$56,$G184)*J$57</f>
        <v>0</v>
      </c>
      <c r="K184" s="2357">
        <f>SUMIFS(ARBETSBLAD!K$37:K$56,ARBETSBLAD!$E$37:$E$56,$E184,ARBETSBLAD!$G$37:$G$56,$G184)*K$57</f>
        <v>0</v>
      </c>
      <c r="L184" s="2357">
        <f>SUMIFS(ARBETSBLAD!L$37:L$56,ARBETSBLAD!$E$37:$E$56,$E184,ARBETSBLAD!$G$37:$G$56,$G184)*L$57</f>
        <v>0</v>
      </c>
      <c r="M184" s="2357">
        <f>SUMIFS(ARBETSBLAD!M$37:M$56,ARBETSBLAD!$E$37:$E$56,$E184,ARBETSBLAD!$G$37:$G$56,$G184)*M$57</f>
        <v>0</v>
      </c>
      <c r="N184" s="2357">
        <f>SUMIFS(ARBETSBLAD!N$37:N$56,ARBETSBLAD!$E$37:$E$56,$E184,ARBETSBLAD!$G$37:$G$56,$G184)*N$57</f>
        <v>0</v>
      </c>
      <c r="O184" s="2357">
        <f>SUMIFS(ARBETSBLAD!O$37:O$56,ARBETSBLAD!$E$37:$E$56,$E184,ARBETSBLAD!$G$37:$G$56,$G184)*O$57</f>
        <v>0</v>
      </c>
      <c r="P184" s="2357">
        <f>SUMIFS(ARBETSBLAD!P$37:P$56,ARBETSBLAD!$E$37:$E$56,$E184,ARBETSBLAD!$G$37:$G$56,$G184)*P$57</f>
        <v>0</v>
      </c>
      <c r="Q184" s="2357">
        <f>SUMIFS(ARBETSBLAD!Q$37:Q$56,ARBETSBLAD!$E$37:$E$56,$E184,ARBETSBLAD!$G$37:$G$56,$G184)*Q$57</f>
        <v>0</v>
      </c>
      <c r="R184" s="2357">
        <f>SUMIFS(ARBETSBLAD!R$37:R$56,ARBETSBLAD!$E$37:$E$56,$E184,ARBETSBLAD!$G$37:$G$56,$G184)*R$57</f>
        <v>0</v>
      </c>
      <c r="S184" s="2357">
        <f>SUMIFS(ARBETSBLAD!S$37:S$56,ARBETSBLAD!$E$37:$E$56,$E184,ARBETSBLAD!$G$37:$G$56,$G184)*S$57</f>
        <v>0</v>
      </c>
      <c r="T184" s="2357">
        <f>SUMIFS(ARBETSBLAD!T$37:T$56,ARBETSBLAD!$E$37:$E$56,$E184,ARBETSBLAD!$G$37:$G$56,$G184)*T$57</f>
        <v>0</v>
      </c>
      <c r="U184" s="2357">
        <f>SUMIFS(ARBETSBLAD!U$37:U$56,ARBETSBLAD!$E$37:$E$56,$E184,ARBETSBLAD!$G$37:$G$56,$G184)*U$57</f>
        <v>0</v>
      </c>
      <c r="V184" s="2357">
        <f>SUMIFS(ARBETSBLAD!V$37:V$56,ARBETSBLAD!$E$37:$E$56,$E184,ARBETSBLAD!$G$37:$G$56,$G184)*V$57</f>
        <v>0</v>
      </c>
      <c r="W184" s="2357">
        <f>SUMIFS(ARBETSBLAD!W$37:W$56,ARBETSBLAD!$E$37:$E$56,$E184,ARBETSBLAD!$G$37:$G$56,$G184)*W$57</f>
        <v>0</v>
      </c>
      <c r="X184" s="2357">
        <f>SUMIFS(ARBETSBLAD!X$37:X$56,ARBETSBLAD!$E$37:$E$56,$E184,ARBETSBLAD!$G$37:$G$56,$G184)*X$57</f>
        <v>0</v>
      </c>
      <c r="Y184" s="2357">
        <f>SUMIFS(ARBETSBLAD!Y$37:Y$56,ARBETSBLAD!$E$37:$E$56,$E184,ARBETSBLAD!$G$37:$G$56,$G184)*Y$57</f>
        <v>0</v>
      </c>
      <c r="Z184" s="2357">
        <f>SUMIFS(ARBETSBLAD!Z$37:Z$56,ARBETSBLAD!$E$37:$E$56,$E184,ARBETSBLAD!$G$37:$G$56,$G184)*Z$57</f>
        <v>0</v>
      </c>
      <c r="AA184" s="2357">
        <f>SUMIFS(ARBETSBLAD!AA$37:AA$56,ARBETSBLAD!$E$37:$E$56,$E184,ARBETSBLAD!$G$37:$G$56,$G184)*AA$57</f>
        <v>0</v>
      </c>
      <c r="AB184" s="2357">
        <f>SUMIFS(ARBETSBLAD!AB$37:AB$56,ARBETSBLAD!$E$37:$E$56,$E184,ARBETSBLAD!$G$37:$G$56,$G184)*AB$57</f>
        <v>0</v>
      </c>
      <c r="AC184" s="2357">
        <f>SUMIFS(ARBETSBLAD!AC$37:AC$56,ARBETSBLAD!$E$37:$E$56,$E184,ARBETSBLAD!$G$37:$G$56,$G184)*AC$57</f>
        <v>0</v>
      </c>
      <c r="AD184" s="2357">
        <f>SUMIFS(ARBETSBLAD!AD$37:AD$56,ARBETSBLAD!$E$37:$E$56,$E184,ARBETSBLAD!$G$37:$G$56,$G184)*AD$57</f>
        <v>0</v>
      </c>
      <c r="AE184" s="2357">
        <f>SUMIFS(ARBETSBLAD!AE$37:AE$56,ARBETSBLAD!$E$37:$E$56,$E184,ARBETSBLAD!$G$37:$G$56,$G184)*AE$57</f>
        <v>0</v>
      </c>
      <c r="AF184" s="2357">
        <f>SUMIFS(ARBETSBLAD!AF$37:AF$56,ARBETSBLAD!$E$37:$E$56,$E184,ARBETSBLAD!$G$37:$G$56,$G184)*AF$57</f>
        <v>0</v>
      </c>
      <c r="AG184" s="1444"/>
      <c r="AH184" s="1354">
        <f t="shared" si="43"/>
        <v>0</v>
      </c>
      <c r="AI184" s="1355"/>
      <c r="AJ184" s="1354">
        <f t="shared" si="44"/>
        <v>0</v>
      </c>
      <c r="AL184" s="1356"/>
      <c r="AM184" s="1357"/>
      <c r="AN184" s="1437"/>
    </row>
    <row r="185" spans="1:40" s="115" customFormat="1" ht="12" hidden="1" customHeight="1">
      <c r="A185" s="1270"/>
      <c r="B185" s="1363" t="s">
        <v>909</v>
      </c>
      <c r="C185" s="1364">
        <f t="shared" si="45"/>
        <v>200.06</v>
      </c>
      <c r="D185" s="1365"/>
      <c r="E185" s="1441" t="s">
        <v>912</v>
      </c>
      <c r="F185" s="1350">
        <v>200</v>
      </c>
      <c r="G185" s="1442">
        <f>$O$64</f>
        <v>0.06</v>
      </c>
      <c r="H185" s="1368">
        <f>$P$64</f>
        <v>0.06</v>
      </c>
      <c r="I185" s="2357">
        <f>SUMIFS(ARBETSBLAD!I$37:I$56,ARBETSBLAD!$E$37:$E$56,$E185,ARBETSBLAD!$G$37:$G$56,$G185)*I$57</f>
        <v>0</v>
      </c>
      <c r="J185" s="2357">
        <f>SUMIFS(ARBETSBLAD!J$37:J$56,ARBETSBLAD!$E$37:$E$56,$E185,ARBETSBLAD!$G$37:$G$56,$G185)*J$57</f>
        <v>0</v>
      </c>
      <c r="K185" s="2357">
        <f>SUMIFS(ARBETSBLAD!K$37:K$56,ARBETSBLAD!$E$37:$E$56,$E185,ARBETSBLAD!$G$37:$G$56,$G185)*K$57</f>
        <v>0</v>
      </c>
      <c r="L185" s="2357">
        <f>SUMIFS(ARBETSBLAD!L$37:L$56,ARBETSBLAD!$E$37:$E$56,$E185,ARBETSBLAD!$G$37:$G$56,$G185)*L$57</f>
        <v>0</v>
      </c>
      <c r="M185" s="2357">
        <f>SUMIFS(ARBETSBLAD!M$37:M$56,ARBETSBLAD!$E$37:$E$56,$E185,ARBETSBLAD!$G$37:$G$56,$G185)*M$57</f>
        <v>0</v>
      </c>
      <c r="N185" s="2357">
        <f>SUMIFS(ARBETSBLAD!N$37:N$56,ARBETSBLAD!$E$37:$E$56,$E185,ARBETSBLAD!$G$37:$G$56,$G185)*N$57</f>
        <v>0</v>
      </c>
      <c r="O185" s="2357">
        <f>SUMIFS(ARBETSBLAD!O$37:O$56,ARBETSBLAD!$E$37:$E$56,$E185,ARBETSBLAD!$G$37:$G$56,$G185)*O$57</f>
        <v>0</v>
      </c>
      <c r="P185" s="2357">
        <f>SUMIFS(ARBETSBLAD!P$37:P$56,ARBETSBLAD!$E$37:$E$56,$E185,ARBETSBLAD!$G$37:$G$56,$G185)*P$57</f>
        <v>0</v>
      </c>
      <c r="Q185" s="2357">
        <f>SUMIFS(ARBETSBLAD!Q$37:Q$56,ARBETSBLAD!$E$37:$E$56,$E185,ARBETSBLAD!$G$37:$G$56,$G185)*Q$57</f>
        <v>0</v>
      </c>
      <c r="R185" s="2357">
        <f>SUMIFS(ARBETSBLAD!R$37:R$56,ARBETSBLAD!$E$37:$E$56,$E185,ARBETSBLAD!$G$37:$G$56,$G185)*R$57</f>
        <v>0</v>
      </c>
      <c r="S185" s="2357">
        <f>SUMIFS(ARBETSBLAD!S$37:S$56,ARBETSBLAD!$E$37:$E$56,$E185,ARBETSBLAD!$G$37:$G$56,$G185)*S$57</f>
        <v>0</v>
      </c>
      <c r="T185" s="2357">
        <f>SUMIFS(ARBETSBLAD!T$37:T$56,ARBETSBLAD!$E$37:$E$56,$E185,ARBETSBLAD!$G$37:$G$56,$G185)*T$57</f>
        <v>0</v>
      </c>
      <c r="U185" s="2357">
        <f>SUMIFS(ARBETSBLAD!U$37:U$56,ARBETSBLAD!$E$37:$E$56,$E185,ARBETSBLAD!$G$37:$G$56,$G185)*U$57</f>
        <v>0</v>
      </c>
      <c r="V185" s="2357">
        <f>SUMIFS(ARBETSBLAD!V$37:V$56,ARBETSBLAD!$E$37:$E$56,$E185,ARBETSBLAD!$G$37:$G$56,$G185)*V$57</f>
        <v>0</v>
      </c>
      <c r="W185" s="2357">
        <f>SUMIFS(ARBETSBLAD!W$37:W$56,ARBETSBLAD!$E$37:$E$56,$E185,ARBETSBLAD!$G$37:$G$56,$G185)*W$57</f>
        <v>0</v>
      </c>
      <c r="X185" s="2357">
        <f>SUMIFS(ARBETSBLAD!X$37:X$56,ARBETSBLAD!$E$37:$E$56,$E185,ARBETSBLAD!$G$37:$G$56,$G185)*X$57</f>
        <v>0</v>
      </c>
      <c r="Y185" s="2357">
        <f>SUMIFS(ARBETSBLAD!Y$37:Y$56,ARBETSBLAD!$E$37:$E$56,$E185,ARBETSBLAD!$G$37:$G$56,$G185)*Y$57</f>
        <v>0</v>
      </c>
      <c r="Z185" s="2357">
        <f>SUMIFS(ARBETSBLAD!Z$37:Z$56,ARBETSBLAD!$E$37:$E$56,$E185,ARBETSBLAD!$G$37:$G$56,$G185)*Z$57</f>
        <v>0</v>
      </c>
      <c r="AA185" s="2357">
        <f>SUMIFS(ARBETSBLAD!AA$37:AA$56,ARBETSBLAD!$E$37:$E$56,$E185,ARBETSBLAD!$G$37:$G$56,$G185)*AA$57</f>
        <v>0</v>
      </c>
      <c r="AB185" s="2357">
        <f>SUMIFS(ARBETSBLAD!AB$37:AB$56,ARBETSBLAD!$E$37:$E$56,$E185,ARBETSBLAD!$G$37:$G$56,$G185)*AB$57</f>
        <v>0</v>
      </c>
      <c r="AC185" s="2357">
        <f>SUMIFS(ARBETSBLAD!AC$37:AC$56,ARBETSBLAD!$E$37:$E$56,$E185,ARBETSBLAD!$G$37:$G$56,$G185)*AC$57</f>
        <v>0</v>
      </c>
      <c r="AD185" s="2357">
        <f>SUMIFS(ARBETSBLAD!AD$37:AD$56,ARBETSBLAD!$E$37:$E$56,$E185,ARBETSBLAD!$G$37:$G$56,$G185)*AD$57</f>
        <v>0</v>
      </c>
      <c r="AE185" s="2357">
        <f>SUMIFS(ARBETSBLAD!AE$37:AE$56,ARBETSBLAD!$E$37:$E$56,$E185,ARBETSBLAD!$G$37:$G$56,$G185)*AE$57</f>
        <v>0</v>
      </c>
      <c r="AF185" s="2357">
        <f>SUMIFS(ARBETSBLAD!AF$37:AF$56,ARBETSBLAD!$E$37:$E$56,$E185,ARBETSBLAD!$G$37:$G$56,$G185)*AF$57</f>
        <v>0</v>
      </c>
      <c r="AG185" s="1444"/>
      <c r="AH185" s="1354">
        <f t="shared" si="43"/>
        <v>0</v>
      </c>
      <c r="AI185" s="1355"/>
      <c r="AJ185" s="1354">
        <f t="shared" si="44"/>
        <v>0</v>
      </c>
      <c r="AL185" s="1356"/>
      <c r="AM185" s="1357"/>
      <c r="AN185" s="1437"/>
    </row>
    <row r="186" spans="1:40" s="115" customFormat="1" ht="12" hidden="1" customHeight="1">
      <c r="A186" s="1270"/>
      <c r="B186" s="1363" t="s">
        <v>911</v>
      </c>
      <c r="C186" s="1364">
        <f t="shared" si="45"/>
        <v>450.06</v>
      </c>
      <c r="D186" s="1365"/>
      <c r="E186" s="1441" t="s">
        <v>910</v>
      </c>
      <c r="F186" s="1350">
        <v>450</v>
      </c>
      <c r="G186" s="1442">
        <f>$O$64</f>
        <v>0.06</v>
      </c>
      <c r="H186" s="1368">
        <f>$P$64</f>
        <v>0.06</v>
      </c>
      <c r="I186" s="2357">
        <f>SUMIFS(ARBETSBLAD!I$37:I$56,ARBETSBLAD!$E$37:$E$56,$E186,ARBETSBLAD!$G$37:$G$56,$G186)*I$57</f>
        <v>0</v>
      </c>
      <c r="J186" s="2357">
        <f>SUMIFS(ARBETSBLAD!J$37:J$56,ARBETSBLAD!$E$37:$E$56,$E186,ARBETSBLAD!$G$37:$G$56,$G186)*J$57</f>
        <v>0</v>
      </c>
      <c r="K186" s="2357">
        <f>SUMIFS(ARBETSBLAD!K$37:K$56,ARBETSBLAD!$E$37:$E$56,$E186,ARBETSBLAD!$G$37:$G$56,$G186)*K$57</f>
        <v>0</v>
      </c>
      <c r="L186" s="2357">
        <f>SUMIFS(ARBETSBLAD!L$37:L$56,ARBETSBLAD!$E$37:$E$56,$E186,ARBETSBLAD!$G$37:$G$56,$G186)*L$57</f>
        <v>0</v>
      </c>
      <c r="M186" s="2357">
        <f>SUMIFS(ARBETSBLAD!M$37:M$56,ARBETSBLAD!$E$37:$E$56,$E186,ARBETSBLAD!$G$37:$G$56,$G186)*M$57</f>
        <v>0</v>
      </c>
      <c r="N186" s="2357">
        <f>SUMIFS(ARBETSBLAD!N$37:N$56,ARBETSBLAD!$E$37:$E$56,$E186,ARBETSBLAD!$G$37:$G$56,$G186)*N$57</f>
        <v>0</v>
      </c>
      <c r="O186" s="2357">
        <f>SUMIFS(ARBETSBLAD!O$37:O$56,ARBETSBLAD!$E$37:$E$56,$E186,ARBETSBLAD!$G$37:$G$56,$G186)*O$57</f>
        <v>0</v>
      </c>
      <c r="P186" s="2357">
        <f>SUMIFS(ARBETSBLAD!P$37:P$56,ARBETSBLAD!$E$37:$E$56,$E186,ARBETSBLAD!$G$37:$G$56,$G186)*P$57</f>
        <v>0</v>
      </c>
      <c r="Q186" s="2357">
        <f>SUMIFS(ARBETSBLAD!Q$37:Q$56,ARBETSBLAD!$E$37:$E$56,$E186,ARBETSBLAD!$G$37:$G$56,$G186)*Q$57</f>
        <v>0</v>
      </c>
      <c r="R186" s="2357">
        <f>SUMIFS(ARBETSBLAD!R$37:R$56,ARBETSBLAD!$E$37:$E$56,$E186,ARBETSBLAD!$G$37:$G$56,$G186)*R$57</f>
        <v>0</v>
      </c>
      <c r="S186" s="2357">
        <f>SUMIFS(ARBETSBLAD!S$37:S$56,ARBETSBLAD!$E$37:$E$56,$E186,ARBETSBLAD!$G$37:$G$56,$G186)*S$57</f>
        <v>0</v>
      </c>
      <c r="T186" s="2357">
        <f>SUMIFS(ARBETSBLAD!T$37:T$56,ARBETSBLAD!$E$37:$E$56,$E186,ARBETSBLAD!$G$37:$G$56,$G186)*T$57</f>
        <v>0</v>
      </c>
      <c r="U186" s="2357">
        <f>SUMIFS(ARBETSBLAD!U$37:U$56,ARBETSBLAD!$E$37:$E$56,$E186,ARBETSBLAD!$G$37:$G$56,$G186)*U$57</f>
        <v>0</v>
      </c>
      <c r="V186" s="2357">
        <f>SUMIFS(ARBETSBLAD!V$37:V$56,ARBETSBLAD!$E$37:$E$56,$E186,ARBETSBLAD!$G$37:$G$56,$G186)*V$57</f>
        <v>0</v>
      </c>
      <c r="W186" s="2357">
        <f>SUMIFS(ARBETSBLAD!W$37:W$56,ARBETSBLAD!$E$37:$E$56,$E186,ARBETSBLAD!$G$37:$G$56,$G186)*W$57</f>
        <v>0</v>
      </c>
      <c r="X186" s="2357">
        <f>SUMIFS(ARBETSBLAD!X$37:X$56,ARBETSBLAD!$E$37:$E$56,$E186,ARBETSBLAD!$G$37:$G$56,$G186)*X$57</f>
        <v>0</v>
      </c>
      <c r="Y186" s="2357">
        <f>SUMIFS(ARBETSBLAD!Y$37:Y$56,ARBETSBLAD!$E$37:$E$56,$E186,ARBETSBLAD!$G$37:$G$56,$G186)*Y$57</f>
        <v>0</v>
      </c>
      <c r="Z186" s="2357">
        <f>SUMIFS(ARBETSBLAD!Z$37:Z$56,ARBETSBLAD!$E$37:$E$56,$E186,ARBETSBLAD!$G$37:$G$56,$G186)*Z$57</f>
        <v>0</v>
      </c>
      <c r="AA186" s="2357">
        <f>SUMIFS(ARBETSBLAD!AA$37:AA$56,ARBETSBLAD!$E$37:$E$56,$E186,ARBETSBLAD!$G$37:$G$56,$G186)*AA$57</f>
        <v>0</v>
      </c>
      <c r="AB186" s="2357">
        <f>SUMIFS(ARBETSBLAD!AB$37:AB$56,ARBETSBLAD!$E$37:$E$56,$E186,ARBETSBLAD!$G$37:$G$56,$G186)*AB$57</f>
        <v>0</v>
      </c>
      <c r="AC186" s="2357">
        <f>SUMIFS(ARBETSBLAD!AC$37:AC$56,ARBETSBLAD!$E$37:$E$56,$E186,ARBETSBLAD!$G$37:$G$56,$G186)*AC$57</f>
        <v>0</v>
      </c>
      <c r="AD186" s="2357">
        <f>SUMIFS(ARBETSBLAD!AD$37:AD$56,ARBETSBLAD!$E$37:$E$56,$E186,ARBETSBLAD!$G$37:$G$56,$G186)*AD$57</f>
        <v>0</v>
      </c>
      <c r="AE186" s="2357">
        <f>SUMIFS(ARBETSBLAD!AE$37:AE$56,ARBETSBLAD!$E$37:$E$56,$E186,ARBETSBLAD!$G$37:$G$56,$G186)*AE$57</f>
        <v>0</v>
      </c>
      <c r="AF186" s="2357">
        <f>SUMIFS(ARBETSBLAD!AF$37:AF$56,ARBETSBLAD!$E$37:$E$56,$E186,ARBETSBLAD!$G$37:$G$56,$G186)*AF$57</f>
        <v>0</v>
      </c>
      <c r="AG186" s="1444"/>
      <c r="AH186" s="1354">
        <f t="shared" si="43"/>
        <v>0</v>
      </c>
      <c r="AI186" s="1355"/>
      <c r="AJ186" s="1354">
        <f t="shared" si="44"/>
        <v>0</v>
      </c>
      <c r="AL186" s="1356"/>
      <c r="AM186" s="1357"/>
      <c r="AN186" s="1437"/>
    </row>
    <row r="187" spans="1:40" s="115" customFormat="1" ht="12" hidden="1" customHeight="1">
      <c r="A187" s="1270"/>
      <c r="B187" s="1363" t="s">
        <v>908</v>
      </c>
      <c r="C187" s="1364">
        <f t="shared" si="45"/>
        <v>100.12</v>
      </c>
      <c r="D187" s="1365"/>
      <c r="E187" s="1441" t="s">
        <v>907</v>
      </c>
      <c r="F187" s="1350">
        <v>100</v>
      </c>
      <c r="G187" s="1442">
        <f>$O$65</f>
        <v>0.12</v>
      </c>
      <c r="H187" s="1368">
        <f>$P$65</f>
        <v>0.12</v>
      </c>
      <c r="I187" s="2357">
        <f>SUMIFS(ARBETSBLAD!I$37:I$56,ARBETSBLAD!$E$37:$E$56,$E187,ARBETSBLAD!$G$37:$G$56,$G187)*I$57</f>
        <v>0</v>
      </c>
      <c r="J187" s="2357">
        <f>SUMIFS(ARBETSBLAD!J$37:J$56,ARBETSBLAD!$E$37:$E$56,$E187,ARBETSBLAD!$G$37:$G$56,$G187)*J$57</f>
        <v>0</v>
      </c>
      <c r="K187" s="2357">
        <f>SUMIFS(ARBETSBLAD!K$37:K$56,ARBETSBLAD!$E$37:$E$56,$E187,ARBETSBLAD!$G$37:$G$56,$G187)*K$57</f>
        <v>0</v>
      </c>
      <c r="L187" s="2357">
        <f>SUMIFS(ARBETSBLAD!L$37:L$56,ARBETSBLAD!$E$37:$E$56,$E187,ARBETSBLAD!$G$37:$G$56,$G187)*L$57</f>
        <v>0</v>
      </c>
      <c r="M187" s="2357">
        <f>SUMIFS(ARBETSBLAD!M$37:M$56,ARBETSBLAD!$E$37:$E$56,$E187,ARBETSBLAD!$G$37:$G$56,$G187)*M$57</f>
        <v>0</v>
      </c>
      <c r="N187" s="2357">
        <f>SUMIFS(ARBETSBLAD!N$37:N$56,ARBETSBLAD!$E$37:$E$56,$E187,ARBETSBLAD!$G$37:$G$56,$G187)*N$57</f>
        <v>0</v>
      </c>
      <c r="O187" s="2357">
        <f>SUMIFS(ARBETSBLAD!O$37:O$56,ARBETSBLAD!$E$37:$E$56,$E187,ARBETSBLAD!$G$37:$G$56,$G187)*O$57</f>
        <v>0</v>
      </c>
      <c r="P187" s="2357">
        <f>SUMIFS(ARBETSBLAD!P$37:P$56,ARBETSBLAD!$E$37:$E$56,$E187,ARBETSBLAD!$G$37:$G$56,$G187)*P$57</f>
        <v>0</v>
      </c>
      <c r="Q187" s="2357">
        <f>SUMIFS(ARBETSBLAD!Q$37:Q$56,ARBETSBLAD!$E$37:$E$56,$E187,ARBETSBLAD!$G$37:$G$56,$G187)*Q$57</f>
        <v>0</v>
      </c>
      <c r="R187" s="2357">
        <f>SUMIFS(ARBETSBLAD!R$37:R$56,ARBETSBLAD!$E$37:$E$56,$E187,ARBETSBLAD!$G$37:$G$56,$G187)*R$57</f>
        <v>0</v>
      </c>
      <c r="S187" s="2357">
        <f>SUMIFS(ARBETSBLAD!S$37:S$56,ARBETSBLAD!$E$37:$E$56,$E187,ARBETSBLAD!$G$37:$G$56,$G187)*S$57</f>
        <v>0</v>
      </c>
      <c r="T187" s="2357">
        <f>SUMIFS(ARBETSBLAD!T$37:T$56,ARBETSBLAD!$E$37:$E$56,$E187,ARBETSBLAD!$G$37:$G$56,$G187)*T$57</f>
        <v>0</v>
      </c>
      <c r="U187" s="2357">
        <f>SUMIFS(ARBETSBLAD!U$37:U$56,ARBETSBLAD!$E$37:$E$56,$E187,ARBETSBLAD!$G$37:$G$56,$G187)*U$57</f>
        <v>0</v>
      </c>
      <c r="V187" s="2357">
        <f>SUMIFS(ARBETSBLAD!V$37:V$56,ARBETSBLAD!$E$37:$E$56,$E187,ARBETSBLAD!$G$37:$G$56,$G187)*V$57</f>
        <v>0</v>
      </c>
      <c r="W187" s="2357">
        <f>SUMIFS(ARBETSBLAD!W$37:W$56,ARBETSBLAD!$E$37:$E$56,$E187,ARBETSBLAD!$G$37:$G$56,$G187)*W$57</f>
        <v>0</v>
      </c>
      <c r="X187" s="2357">
        <f>SUMIFS(ARBETSBLAD!X$37:X$56,ARBETSBLAD!$E$37:$E$56,$E187,ARBETSBLAD!$G$37:$G$56,$G187)*X$57</f>
        <v>0</v>
      </c>
      <c r="Y187" s="2357">
        <f>SUMIFS(ARBETSBLAD!Y$37:Y$56,ARBETSBLAD!$E$37:$E$56,$E187,ARBETSBLAD!$G$37:$G$56,$G187)*Y$57</f>
        <v>0</v>
      </c>
      <c r="Z187" s="2357">
        <f>SUMIFS(ARBETSBLAD!Z$37:Z$56,ARBETSBLAD!$E$37:$E$56,$E187,ARBETSBLAD!$G$37:$G$56,$G187)*Z$57</f>
        <v>0</v>
      </c>
      <c r="AA187" s="2357">
        <f>SUMIFS(ARBETSBLAD!AA$37:AA$56,ARBETSBLAD!$E$37:$E$56,$E187,ARBETSBLAD!$G$37:$G$56,$G187)*AA$57</f>
        <v>0</v>
      </c>
      <c r="AB187" s="2357">
        <f>SUMIFS(ARBETSBLAD!AB$37:AB$56,ARBETSBLAD!$E$37:$E$56,$E187,ARBETSBLAD!$G$37:$G$56,$G187)*AB$57</f>
        <v>0</v>
      </c>
      <c r="AC187" s="2357">
        <f>SUMIFS(ARBETSBLAD!AC$37:AC$56,ARBETSBLAD!$E$37:$E$56,$E187,ARBETSBLAD!$G$37:$G$56,$G187)*AC$57</f>
        <v>0</v>
      </c>
      <c r="AD187" s="2357">
        <f>SUMIFS(ARBETSBLAD!AD$37:AD$56,ARBETSBLAD!$E$37:$E$56,$E187,ARBETSBLAD!$G$37:$G$56,$G187)*AD$57</f>
        <v>0</v>
      </c>
      <c r="AE187" s="2357">
        <f>SUMIFS(ARBETSBLAD!AE$37:AE$56,ARBETSBLAD!$E$37:$E$56,$E187,ARBETSBLAD!$G$37:$G$56,$G187)*AE$57</f>
        <v>0</v>
      </c>
      <c r="AF187" s="2357">
        <f>SUMIFS(ARBETSBLAD!AF$37:AF$56,ARBETSBLAD!$E$37:$E$56,$E187,ARBETSBLAD!$G$37:$G$56,$G187)*AF$57</f>
        <v>0</v>
      </c>
      <c r="AG187" s="1444"/>
      <c r="AH187" s="1354">
        <f t="shared" si="43"/>
        <v>0</v>
      </c>
      <c r="AI187" s="1355"/>
      <c r="AJ187" s="1354">
        <f t="shared" si="44"/>
        <v>0</v>
      </c>
      <c r="AL187" s="1356"/>
      <c r="AM187" s="1357"/>
      <c r="AN187" s="1437"/>
    </row>
    <row r="188" spans="1:40" s="115" customFormat="1" ht="12" hidden="1" customHeight="1">
      <c r="A188" s="1270"/>
      <c r="B188" s="1363" t="s">
        <v>909</v>
      </c>
      <c r="C188" s="1364">
        <f t="shared" si="45"/>
        <v>200.12</v>
      </c>
      <c r="D188" s="1365"/>
      <c r="E188" s="1441" t="s">
        <v>912</v>
      </c>
      <c r="F188" s="1350">
        <v>200</v>
      </c>
      <c r="G188" s="1442">
        <f>$O$65</f>
        <v>0.12</v>
      </c>
      <c r="H188" s="1368">
        <f>$P$65</f>
        <v>0.12</v>
      </c>
      <c r="I188" s="2357">
        <f>SUMIFS(ARBETSBLAD!I$37:I$56,ARBETSBLAD!$E$37:$E$56,$E188,ARBETSBLAD!$G$37:$G$56,$G188)*I$57</f>
        <v>0</v>
      </c>
      <c r="J188" s="2357">
        <f>SUMIFS(ARBETSBLAD!J$37:J$56,ARBETSBLAD!$E$37:$E$56,$E188,ARBETSBLAD!$G$37:$G$56,$G188)*J$57</f>
        <v>0</v>
      </c>
      <c r="K188" s="2357">
        <f>SUMIFS(ARBETSBLAD!K$37:K$56,ARBETSBLAD!$E$37:$E$56,$E188,ARBETSBLAD!$G$37:$G$56,$G188)*K$57</f>
        <v>0</v>
      </c>
      <c r="L188" s="2357">
        <f>SUMIFS(ARBETSBLAD!L$37:L$56,ARBETSBLAD!$E$37:$E$56,$E188,ARBETSBLAD!$G$37:$G$56,$G188)*L$57</f>
        <v>0</v>
      </c>
      <c r="M188" s="2357">
        <f>SUMIFS(ARBETSBLAD!M$37:M$56,ARBETSBLAD!$E$37:$E$56,$E188,ARBETSBLAD!$G$37:$G$56,$G188)*M$57</f>
        <v>0</v>
      </c>
      <c r="N188" s="2357">
        <f>SUMIFS(ARBETSBLAD!N$37:N$56,ARBETSBLAD!$E$37:$E$56,$E188,ARBETSBLAD!$G$37:$G$56,$G188)*N$57</f>
        <v>0</v>
      </c>
      <c r="O188" s="2357">
        <f>SUMIFS(ARBETSBLAD!O$37:O$56,ARBETSBLAD!$E$37:$E$56,$E188,ARBETSBLAD!$G$37:$G$56,$G188)*O$57</f>
        <v>0</v>
      </c>
      <c r="P188" s="2357">
        <f>SUMIFS(ARBETSBLAD!P$37:P$56,ARBETSBLAD!$E$37:$E$56,$E188,ARBETSBLAD!$G$37:$G$56,$G188)*P$57</f>
        <v>0</v>
      </c>
      <c r="Q188" s="2357">
        <f>SUMIFS(ARBETSBLAD!Q$37:Q$56,ARBETSBLAD!$E$37:$E$56,$E188,ARBETSBLAD!$G$37:$G$56,$G188)*Q$57</f>
        <v>0</v>
      </c>
      <c r="R188" s="2357">
        <f>SUMIFS(ARBETSBLAD!R$37:R$56,ARBETSBLAD!$E$37:$E$56,$E188,ARBETSBLAD!$G$37:$G$56,$G188)*R$57</f>
        <v>0</v>
      </c>
      <c r="S188" s="2357">
        <f>SUMIFS(ARBETSBLAD!S$37:S$56,ARBETSBLAD!$E$37:$E$56,$E188,ARBETSBLAD!$G$37:$G$56,$G188)*S$57</f>
        <v>0</v>
      </c>
      <c r="T188" s="2357">
        <f>SUMIFS(ARBETSBLAD!T$37:T$56,ARBETSBLAD!$E$37:$E$56,$E188,ARBETSBLAD!$G$37:$G$56,$G188)*T$57</f>
        <v>0</v>
      </c>
      <c r="U188" s="2357">
        <f>SUMIFS(ARBETSBLAD!U$37:U$56,ARBETSBLAD!$E$37:$E$56,$E188,ARBETSBLAD!$G$37:$G$56,$G188)*U$57</f>
        <v>0</v>
      </c>
      <c r="V188" s="2357">
        <f>SUMIFS(ARBETSBLAD!V$37:V$56,ARBETSBLAD!$E$37:$E$56,$E188,ARBETSBLAD!$G$37:$G$56,$G188)*V$57</f>
        <v>0</v>
      </c>
      <c r="W188" s="2357">
        <f>SUMIFS(ARBETSBLAD!W$37:W$56,ARBETSBLAD!$E$37:$E$56,$E188,ARBETSBLAD!$G$37:$G$56,$G188)*W$57</f>
        <v>0</v>
      </c>
      <c r="X188" s="2357">
        <f>SUMIFS(ARBETSBLAD!X$37:X$56,ARBETSBLAD!$E$37:$E$56,$E188,ARBETSBLAD!$G$37:$G$56,$G188)*X$57</f>
        <v>0</v>
      </c>
      <c r="Y188" s="2357">
        <f>SUMIFS(ARBETSBLAD!Y$37:Y$56,ARBETSBLAD!$E$37:$E$56,$E188,ARBETSBLAD!$G$37:$G$56,$G188)*Y$57</f>
        <v>0</v>
      </c>
      <c r="Z188" s="2357">
        <f>SUMIFS(ARBETSBLAD!Z$37:Z$56,ARBETSBLAD!$E$37:$E$56,$E188,ARBETSBLAD!$G$37:$G$56,$G188)*Z$57</f>
        <v>0</v>
      </c>
      <c r="AA188" s="2357">
        <f>SUMIFS(ARBETSBLAD!AA$37:AA$56,ARBETSBLAD!$E$37:$E$56,$E188,ARBETSBLAD!$G$37:$G$56,$G188)*AA$57</f>
        <v>0</v>
      </c>
      <c r="AB188" s="2357">
        <f>SUMIFS(ARBETSBLAD!AB$37:AB$56,ARBETSBLAD!$E$37:$E$56,$E188,ARBETSBLAD!$G$37:$G$56,$G188)*AB$57</f>
        <v>0</v>
      </c>
      <c r="AC188" s="2357">
        <f>SUMIFS(ARBETSBLAD!AC$37:AC$56,ARBETSBLAD!$E$37:$E$56,$E188,ARBETSBLAD!$G$37:$G$56,$G188)*AC$57</f>
        <v>0</v>
      </c>
      <c r="AD188" s="2357">
        <f>SUMIFS(ARBETSBLAD!AD$37:AD$56,ARBETSBLAD!$E$37:$E$56,$E188,ARBETSBLAD!$G$37:$G$56,$G188)*AD$57</f>
        <v>0</v>
      </c>
      <c r="AE188" s="2357">
        <f>SUMIFS(ARBETSBLAD!AE$37:AE$56,ARBETSBLAD!$E$37:$E$56,$E188,ARBETSBLAD!$G$37:$G$56,$G188)*AE$57</f>
        <v>0</v>
      </c>
      <c r="AF188" s="2357">
        <f>SUMIFS(ARBETSBLAD!AF$37:AF$56,ARBETSBLAD!$E$37:$E$56,$E188,ARBETSBLAD!$G$37:$G$56,$G188)*AF$57</f>
        <v>0</v>
      </c>
      <c r="AG188" s="1444"/>
      <c r="AH188" s="1354">
        <f t="shared" si="43"/>
        <v>0</v>
      </c>
      <c r="AI188" s="1355"/>
      <c r="AJ188" s="1354">
        <f t="shared" si="44"/>
        <v>0</v>
      </c>
      <c r="AL188" s="1356"/>
      <c r="AM188" s="1357"/>
      <c r="AN188" s="1437"/>
    </row>
    <row r="189" spans="1:40" s="115" customFormat="1" ht="12" hidden="1" customHeight="1">
      <c r="A189" s="1270"/>
      <c r="B189" s="1363" t="s">
        <v>911</v>
      </c>
      <c r="C189" s="1364">
        <f t="shared" si="45"/>
        <v>450.12</v>
      </c>
      <c r="D189" s="1365"/>
      <c r="E189" s="1441" t="s">
        <v>910</v>
      </c>
      <c r="F189" s="1350">
        <v>450</v>
      </c>
      <c r="G189" s="1442">
        <f>$O$65</f>
        <v>0.12</v>
      </c>
      <c r="H189" s="1368">
        <f>$P$65</f>
        <v>0.12</v>
      </c>
      <c r="I189" s="2357">
        <f>SUMIFS(ARBETSBLAD!I$37:I$56,ARBETSBLAD!$E$37:$E$56,$E189,ARBETSBLAD!$G$37:$G$56,$G189)*I$57</f>
        <v>0</v>
      </c>
      <c r="J189" s="2357">
        <f>SUMIFS(ARBETSBLAD!J$37:J$56,ARBETSBLAD!$E$37:$E$56,$E189,ARBETSBLAD!$G$37:$G$56,$G189)*J$57</f>
        <v>0</v>
      </c>
      <c r="K189" s="2357">
        <f>SUMIFS(ARBETSBLAD!K$37:K$56,ARBETSBLAD!$E$37:$E$56,$E189,ARBETSBLAD!$G$37:$G$56,$G189)*K$57</f>
        <v>0</v>
      </c>
      <c r="L189" s="2357">
        <f>SUMIFS(ARBETSBLAD!L$37:L$56,ARBETSBLAD!$E$37:$E$56,$E189,ARBETSBLAD!$G$37:$G$56,$G189)*L$57</f>
        <v>0</v>
      </c>
      <c r="M189" s="2357">
        <f>SUMIFS(ARBETSBLAD!M$37:M$56,ARBETSBLAD!$E$37:$E$56,$E189,ARBETSBLAD!$G$37:$G$56,$G189)*M$57</f>
        <v>0</v>
      </c>
      <c r="N189" s="2357">
        <f>SUMIFS(ARBETSBLAD!N$37:N$56,ARBETSBLAD!$E$37:$E$56,$E189,ARBETSBLAD!$G$37:$G$56,$G189)*N$57</f>
        <v>0</v>
      </c>
      <c r="O189" s="2357">
        <f>SUMIFS(ARBETSBLAD!O$37:O$56,ARBETSBLAD!$E$37:$E$56,$E189,ARBETSBLAD!$G$37:$G$56,$G189)*O$57</f>
        <v>0</v>
      </c>
      <c r="P189" s="2357">
        <f>SUMIFS(ARBETSBLAD!P$37:P$56,ARBETSBLAD!$E$37:$E$56,$E189,ARBETSBLAD!$G$37:$G$56,$G189)*P$57</f>
        <v>0</v>
      </c>
      <c r="Q189" s="2357">
        <f>SUMIFS(ARBETSBLAD!Q$37:Q$56,ARBETSBLAD!$E$37:$E$56,$E189,ARBETSBLAD!$G$37:$G$56,$G189)*Q$57</f>
        <v>0</v>
      </c>
      <c r="R189" s="2357">
        <f>SUMIFS(ARBETSBLAD!R$37:R$56,ARBETSBLAD!$E$37:$E$56,$E189,ARBETSBLAD!$G$37:$G$56,$G189)*R$57</f>
        <v>0</v>
      </c>
      <c r="S189" s="2357">
        <f>SUMIFS(ARBETSBLAD!S$37:S$56,ARBETSBLAD!$E$37:$E$56,$E189,ARBETSBLAD!$G$37:$G$56,$G189)*S$57</f>
        <v>0</v>
      </c>
      <c r="T189" s="2357">
        <f>SUMIFS(ARBETSBLAD!T$37:T$56,ARBETSBLAD!$E$37:$E$56,$E189,ARBETSBLAD!$G$37:$G$56,$G189)*T$57</f>
        <v>0</v>
      </c>
      <c r="U189" s="2357">
        <f>SUMIFS(ARBETSBLAD!U$37:U$56,ARBETSBLAD!$E$37:$E$56,$E189,ARBETSBLAD!$G$37:$G$56,$G189)*U$57</f>
        <v>0</v>
      </c>
      <c r="V189" s="2357">
        <f>SUMIFS(ARBETSBLAD!V$37:V$56,ARBETSBLAD!$E$37:$E$56,$E189,ARBETSBLAD!$G$37:$G$56,$G189)*V$57</f>
        <v>0</v>
      </c>
      <c r="W189" s="2357">
        <f>SUMIFS(ARBETSBLAD!W$37:W$56,ARBETSBLAD!$E$37:$E$56,$E189,ARBETSBLAD!$G$37:$G$56,$G189)*W$57</f>
        <v>0</v>
      </c>
      <c r="X189" s="2357">
        <f>SUMIFS(ARBETSBLAD!X$37:X$56,ARBETSBLAD!$E$37:$E$56,$E189,ARBETSBLAD!$G$37:$G$56,$G189)*X$57</f>
        <v>0</v>
      </c>
      <c r="Y189" s="2357">
        <f>SUMIFS(ARBETSBLAD!Y$37:Y$56,ARBETSBLAD!$E$37:$E$56,$E189,ARBETSBLAD!$G$37:$G$56,$G189)*Y$57</f>
        <v>0</v>
      </c>
      <c r="Z189" s="2357">
        <f>SUMIFS(ARBETSBLAD!Z$37:Z$56,ARBETSBLAD!$E$37:$E$56,$E189,ARBETSBLAD!$G$37:$G$56,$G189)*Z$57</f>
        <v>0</v>
      </c>
      <c r="AA189" s="2357">
        <f>SUMIFS(ARBETSBLAD!AA$37:AA$56,ARBETSBLAD!$E$37:$E$56,$E189,ARBETSBLAD!$G$37:$G$56,$G189)*AA$57</f>
        <v>0</v>
      </c>
      <c r="AB189" s="2357">
        <f>SUMIFS(ARBETSBLAD!AB$37:AB$56,ARBETSBLAD!$E$37:$E$56,$E189,ARBETSBLAD!$G$37:$G$56,$G189)*AB$57</f>
        <v>0</v>
      </c>
      <c r="AC189" s="2357">
        <f>SUMIFS(ARBETSBLAD!AC$37:AC$56,ARBETSBLAD!$E$37:$E$56,$E189,ARBETSBLAD!$G$37:$G$56,$G189)*AC$57</f>
        <v>0</v>
      </c>
      <c r="AD189" s="2357">
        <f>SUMIFS(ARBETSBLAD!AD$37:AD$56,ARBETSBLAD!$E$37:$E$56,$E189,ARBETSBLAD!$G$37:$G$56,$G189)*AD$57</f>
        <v>0</v>
      </c>
      <c r="AE189" s="2357">
        <f>SUMIFS(ARBETSBLAD!AE$37:AE$56,ARBETSBLAD!$E$37:$E$56,$E189,ARBETSBLAD!$G$37:$G$56,$G189)*AE$57</f>
        <v>0</v>
      </c>
      <c r="AF189" s="2357">
        <f>SUMIFS(ARBETSBLAD!AF$37:AF$56,ARBETSBLAD!$E$37:$E$56,$E189,ARBETSBLAD!$G$37:$G$56,$G189)*AF$57</f>
        <v>0</v>
      </c>
      <c r="AG189" s="1444"/>
      <c r="AH189" s="1354">
        <f t="shared" si="43"/>
        <v>0</v>
      </c>
      <c r="AI189" s="1355"/>
      <c r="AJ189" s="1354">
        <f t="shared" si="44"/>
        <v>0</v>
      </c>
      <c r="AL189" s="1356"/>
      <c r="AM189" s="1357"/>
      <c r="AN189" s="1437"/>
    </row>
    <row r="190" spans="1:40" s="115" customFormat="1" ht="12" hidden="1" customHeight="1">
      <c r="A190" s="1270"/>
      <c r="B190" s="1363" t="s">
        <v>908</v>
      </c>
      <c r="C190" s="1364">
        <f t="shared" si="45"/>
        <v>100.25</v>
      </c>
      <c r="D190" s="1365"/>
      <c r="E190" s="1441" t="s">
        <v>907</v>
      </c>
      <c r="F190" s="1350">
        <v>100</v>
      </c>
      <c r="G190" s="1442">
        <f t="shared" ref="G190:G199" si="46">$O$66</f>
        <v>0.25</v>
      </c>
      <c r="H190" s="1368">
        <f>$P$66</f>
        <v>0.25</v>
      </c>
      <c r="I190" s="2357">
        <f>SUMIFS(ARBETSBLAD!I$37:I$56,ARBETSBLAD!$E$37:$E$56,$E190,ARBETSBLAD!$G$37:$G$56,$G190)*I$57</f>
        <v>0</v>
      </c>
      <c r="J190" s="2357">
        <f>SUMIFS(ARBETSBLAD!J$37:J$56,ARBETSBLAD!$E$37:$E$56,$E190,ARBETSBLAD!$G$37:$G$56,$G190)*J$57</f>
        <v>0</v>
      </c>
      <c r="K190" s="2357">
        <f>SUMIFS(ARBETSBLAD!K$37:K$56,ARBETSBLAD!$E$37:$E$56,$E190,ARBETSBLAD!$G$37:$G$56,$G190)*K$57</f>
        <v>0</v>
      </c>
      <c r="L190" s="2357">
        <f>SUMIFS(ARBETSBLAD!L$37:L$56,ARBETSBLAD!$E$37:$E$56,$E190,ARBETSBLAD!$G$37:$G$56,$G190)*L$57</f>
        <v>0</v>
      </c>
      <c r="M190" s="2357">
        <f>SUMIFS(ARBETSBLAD!M$37:M$56,ARBETSBLAD!$E$37:$E$56,$E190,ARBETSBLAD!$G$37:$G$56,$G190)*M$57</f>
        <v>0</v>
      </c>
      <c r="N190" s="2357">
        <f>SUMIFS(ARBETSBLAD!N$37:N$56,ARBETSBLAD!$E$37:$E$56,$E190,ARBETSBLAD!$G$37:$G$56,$G190)*N$57</f>
        <v>0</v>
      </c>
      <c r="O190" s="2357">
        <f>SUMIFS(ARBETSBLAD!O$37:O$56,ARBETSBLAD!$E$37:$E$56,$E190,ARBETSBLAD!$G$37:$G$56,$G190)*O$57</f>
        <v>0</v>
      </c>
      <c r="P190" s="2357">
        <f>SUMIFS(ARBETSBLAD!P$37:P$56,ARBETSBLAD!$E$37:$E$56,$E190,ARBETSBLAD!$G$37:$G$56,$G190)*P$57</f>
        <v>0</v>
      </c>
      <c r="Q190" s="2357">
        <f>SUMIFS(ARBETSBLAD!Q$37:Q$56,ARBETSBLAD!$E$37:$E$56,$E190,ARBETSBLAD!$G$37:$G$56,$G190)*Q$57</f>
        <v>0</v>
      </c>
      <c r="R190" s="2357">
        <f>SUMIFS(ARBETSBLAD!R$37:R$56,ARBETSBLAD!$E$37:$E$56,$E190,ARBETSBLAD!$G$37:$G$56,$G190)*R$57</f>
        <v>0</v>
      </c>
      <c r="S190" s="2357">
        <f>SUMIFS(ARBETSBLAD!S$37:S$56,ARBETSBLAD!$E$37:$E$56,$E190,ARBETSBLAD!$G$37:$G$56,$G190)*S$57</f>
        <v>0</v>
      </c>
      <c r="T190" s="2357">
        <f>SUMIFS(ARBETSBLAD!T$37:T$56,ARBETSBLAD!$E$37:$E$56,$E190,ARBETSBLAD!$G$37:$G$56,$G190)*T$57</f>
        <v>0</v>
      </c>
      <c r="U190" s="2357">
        <f>SUMIFS(ARBETSBLAD!U$37:U$56,ARBETSBLAD!$E$37:$E$56,$E190,ARBETSBLAD!$G$37:$G$56,$G190)*U$57</f>
        <v>0</v>
      </c>
      <c r="V190" s="2357">
        <f>SUMIFS(ARBETSBLAD!V$37:V$56,ARBETSBLAD!$E$37:$E$56,$E190,ARBETSBLAD!$G$37:$G$56,$G190)*V$57</f>
        <v>0</v>
      </c>
      <c r="W190" s="2357">
        <f>SUMIFS(ARBETSBLAD!W$37:W$56,ARBETSBLAD!$E$37:$E$56,$E190,ARBETSBLAD!$G$37:$G$56,$G190)*W$57</f>
        <v>0</v>
      </c>
      <c r="X190" s="2357">
        <f>SUMIFS(ARBETSBLAD!X$37:X$56,ARBETSBLAD!$E$37:$E$56,$E190,ARBETSBLAD!$G$37:$G$56,$G190)*X$57</f>
        <v>0</v>
      </c>
      <c r="Y190" s="2357">
        <f>SUMIFS(ARBETSBLAD!Y$37:Y$56,ARBETSBLAD!$E$37:$E$56,$E190,ARBETSBLAD!$G$37:$G$56,$G190)*Y$57</f>
        <v>0</v>
      </c>
      <c r="Z190" s="2357">
        <f>SUMIFS(ARBETSBLAD!Z$37:Z$56,ARBETSBLAD!$E$37:$E$56,$E190,ARBETSBLAD!$G$37:$G$56,$G190)*Z$57</f>
        <v>0</v>
      </c>
      <c r="AA190" s="2357">
        <f>SUMIFS(ARBETSBLAD!AA$37:AA$56,ARBETSBLAD!$E$37:$E$56,$E190,ARBETSBLAD!$G$37:$G$56,$G190)*AA$57</f>
        <v>0</v>
      </c>
      <c r="AB190" s="2357">
        <f>SUMIFS(ARBETSBLAD!AB$37:AB$56,ARBETSBLAD!$E$37:$E$56,$E190,ARBETSBLAD!$G$37:$G$56,$G190)*AB$57</f>
        <v>0</v>
      </c>
      <c r="AC190" s="2357">
        <f>SUMIFS(ARBETSBLAD!AC$37:AC$56,ARBETSBLAD!$E$37:$E$56,$E190,ARBETSBLAD!$G$37:$G$56,$G190)*AC$57</f>
        <v>0</v>
      </c>
      <c r="AD190" s="2357">
        <f>SUMIFS(ARBETSBLAD!AD$37:AD$56,ARBETSBLAD!$E$37:$E$56,$E190,ARBETSBLAD!$G$37:$G$56,$G190)*AD$57</f>
        <v>0</v>
      </c>
      <c r="AE190" s="2357">
        <f>SUMIFS(ARBETSBLAD!AE$37:AE$56,ARBETSBLAD!$E$37:$E$56,$E190,ARBETSBLAD!$G$37:$G$56,$G190)*AE$57</f>
        <v>0</v>
      </c>
      <c r="AF190" s="2357">
        <f>SUMIFS(ARBETSBLAD!AF$37:AF$56,ARBETSBLAD!$E$37:$E$56,$E190,ARBETSBLAD!$G$37:$G$56,$G190)*AF$57</f>
        <v>0</v>
      </c>
      <c r="AG190" s="1444"/>
      <c r="AH190" s="1354">
        <f t="shared" si="43"/>
        <v>0</v>
      </c>
      <c r="AI190" s="1355"/>
      <c r="AJ190" s="1354">
        <f t="shared" si="44"/>
        <v>0</v>
      </c>
      <c r="AL190" s="1356"/>
      <c r="AM190" s="1357"/>
      <c r="AN190" s="1437"/>
    </row>
    <row r="191" spans="1:40" s="115" customFormat="1" ht="12" hidden="1" customHeight="1">
      <c r="A191" s="1270"/>
      <c r="B191" s="1363" t="s">
        <v>909</v>
      </c>
      <c r="C191" s="1364">
        <f t="shared" si="45"/>
        <v>200.25</v>
      </c>
      <c r="D191" s="1365"/>
      <c r="E191" s="1441" t="s">
        <v>912</v>
      </c>
      <c r="F191" s="1350">
        <v>200</v>
      </c>
      <c r="G191" s="1442">
        <f t="shared" si="46"/>
        <v>0.25</v>
      </c>
      <c r="H191" s="1368">
        <f>$P$66</f>
        <v>0.25</v>
      </c>
      <c r="I191" s="2357">
        <f>SUMIFS(ARBETSBLAD!I$37:I$56,ARBETSBLAD!$E$37:$E$56,$E191,ARBETSBLAD!$G$37:$G$56,$G191)*I$57</f>
        <v>0</v>
      </c>
      <c r="J191" s="2357">
        <f>SUMIFS(ARBETSBLAD!J$37:J$56,ARBETSBLAD!$E$37:$E$56,$E191,ARBETSBLAD!$G$37:$G$56,$G191)*J$57</f>
        <v>0</v>
      </c>
      <c r="K191" s="2357">
        <f>SUMIFS(ARBETSBLAD!K$37:K$56,ARBETSBLAD!$E$37:$E$56,$E191,ARBETSBLAD!$G$37:$G$56,$G191)*K$57</f>
        <v>0</v>
      </c>
      <c r="L191" s="2357">
        <f>SUMIFS(ARBETSBLAD!L$37:L$56,ARBETSBLAD!$E$37:$E$56,$E191,ARBETSBLAD!$G$37:$G$56,$G191)*L$57</f>
        <v>0</v>
      </c>
      <c r="M191" s="2357">
        <f>SUMIFS(ARBETSBLAD!M$37:M$56,ARBETSBLAD!$E$37:$E$56,$E191,ARBETSBLAD!$G$37:$G$56,$G191)*M$57</f>
        <v>0</v>
      </c>
      <c r="N191" s="2357">
        <f>SUMIFS(ARBETSBLAD!N$37:N$56,ARBETSBLAD!$E$37:$E$56,$E191,ARBETSBLAD!$G$37:$G$56,$G191)*N$57</f>
        <v>0</v>
      </c>
      <c r="O191" s="2357">
        <f>SUMIFS(ARBETSBLAD!O$37:O$56,ARBETSBLAD!$E$37:$E$56,$E191,ARBETSBLAD!$G$37:$G$56,$G191)*O$57</f>
        <v>0</v>
      </c>
      <c r="P191" s="2357">
        <f>SUMIFS(ARBETSBLAD!P$37:P$56,ARBETSBLAD!$E$37:$E$56,$E191,ARBETSBLAD!$G$37:$G$56,$G191)*P$57</f>
        <v>0</v>
      </c>
      <c r="Q191" s="2357">
        <f>SUMIFS(ARBETSBLAD!Q$37:Q$56,ARBETSBLAD!$E$37:$E$56,$E191,ARBETSBLAD!$G$37:$G$56,$G191)*Q$57</f>
        <v>0</v>
      </c>
      <c r="R191" s="2357">
        <f>SUMIFS(ARBETSBLAD!R$37:R$56,ARBETSBLAD!$E$37:$E$56,$E191,ARBETSBLAD!$G$37:$G$56,$G191)*R$57</f>
        <v>0</v>
      </c>
      <c r="S191" s="2357">
        <f>SUMIFS(ARBETSBLAD!S$37:S$56,ARBETSBLAD!$E$37:$E$56,$E191,ARBETSBLAD!$G$37:$G$56,$G191)*S$57</f>
        <v>0</v>
      </c>
      <c r="T191" s="2357">
        <f>SUMIFS(ARBETSBLAD!T$37:T$56,ARBETSBLAD!$E$37:$E$56,$E191,ARBETSBLAD!$G$37:$G$56,$G191)*T$57</f>
        <v>0</v>
      </c>
      <c r="U191" s="2357">
        <f>SUMIFS(ARBETSBLAD!U$37:U$56,ARBETSBLAD!$E$37:$E$56,$E191,ARBETSBLAD!$G$37:$G$56,$G191)*U$57</f>
        <v>0</v>
      </c>
      <c r="V191" s="2357">
        <f>SUMIFS(ARBETSBLAD!V$37:V$56,ARBETSBLAD!$E$37:$E$56,$E191,ARBETSBLAD!$G$37:$G$56,$G191)*V$57</f>
        <v>0</v>
      </c>
      <c r="W191" s="2357">
        <f>SUMIFS(ARBETSBLAD!W$37:W$56,ARBETSBLAD!$E$37:$E$56,$E191,ARBETSBLAD!$G$37:$G$56,$G191)*W$57</f>
        <v>0</v>
      </c>
      <c r="X191" s="2357">
        <f>SUMIFS(ARBETSBLAD!X$37:X$56,ARBETSBLAD!$E$37:$E$56,$E191,ARBETSBLAD!$G$37:$G$56,$G191)*X$57</f>
        <v>0</v>
      </c>
      <c r="Y191" s="2357">
        <f>SUMIFS(ARBETSBLAD!Y$37:Y$56,ARBETSBLAD!$E$37:$E$56,$E191,ARBETSBLAD!$G$37:$G$56,$G191)*Y$57</f>
        <v>0</v>
      </c>
      <c r="Z191" s="2357">
        <f>SUMIFS(ARBETSBLAD!Z$37:Z$56,ARBETSBLAD!$E$37:$E$56,$E191,ARBETSBLAD!$G$37:$G$56,$G191)*Z$57</f>
        <v>0</v>
      </c>
      <c r="AA191" s="2357">
        <f>SUMIFS(ARBETSBLAD!AA$37:AA$56,ARBETSBLAD!$E$37:$E$56,$E191,ARBETSBLAD!$G$37:$G$56,$G191)*AA$57</f>
        <v>0</v>
      </c>
      <c r="AB191" s="2357">
        <f>SUMIFS(ARBETSBLAD!AB$37:AB$56,ARBETSBLAD!$E$37:$E$56,$E191,ARBETSBLAD!$G$37:$G$56,$G191)*AB$57</f>
        <v>0</v>
      </c>
      <c r="AC191" s="2357">
        <f>SUMIFS(ARBETSBLAD!AC$37:AC$56,ARBETSBLAD!$E$37:$E$56,$E191,ARBETSBLAD!$G$37:$G$56,$G191)*AC$57</f>
        <v>0</v>
      </c>
      <c r="AD191" s="2357">
        <f>SUMIFS(ARBETSBLAD!AD$37:AD$56,ARBETSBLAD!$E$37:$E$56,$E191,ARBETSBLAD!$G$37:$G$56,$G191)*AD$57</f>
        <v>0</v>
      </c>
      <c r="AE191" s="2357">
        <f>SUMIFS(ARBETSBLAD!AE$37:AE$56,ARBETSBLAD!$E$37:$E$56,$E191,ARBETSBLAD!$G$37:$G$56,$G191)*AE$57</f>
        <v>0</v>
      </c>
      <c r="AF191" s="2357">
        <f>SUMIFS(ARBETSBLAD!AF$37:AF$56,ARBETSBLAD!$E$37:$E$56,$E191,ARBETSBLAD!$G$37:$G$56,$G191)*AF$57</f>
        <v>0</v>
      </c>
      <c r="AG191" s="1444"/>
      <c r="AH191" s="1354">
        <f t="shared" si="43"/>
        <v>0</v>
      </c>
      <c r="AI191" s="1355"/>
      <c r="AJ191" s="1354">
        <f t="shared" si="44"/>
        <v>0</v>
      </c>
      <c r="AL191" s="1356"/>
      <c r="AM191" s="1357"/>
      <c r="AN191" s="1437"/>
    </row>
    <row r="192" spans="1:40" s="115" customFormat="1" ht="12" hidden="1" customHeight="1">
      <c r="A192" s="1270"/>
      <c r="B192" s="1363" t="s">
        <v>911</v>
      </c>
      <c r="C192" s="1364">
        <f t="shared" si="45"/>
        <v>450.25</v>
      </c>
      <c r="D192" s="1372"/>
      <c r="E192" s="1441" t="s">
        <v>910</v>
      </c>
      <c r="F192" s="1350">
        <v>450</v>
      </c>
      <c r="G192" s="1442">
        <f t="shared" si="46"/>
        <v>0.25</v>
      </c>
      <c r="H192" s="1368">
        <f>$P$66</f>
        <v>0.25</v>
      </c>
      <c r="I192" s="2357">
        <f>SUMIFS(ARBETSBLAD!I$37:I$56,ARBETSBLAD!$E$37:$E$56,$E192,ARBETSBLAD!$G$37:$G$56,$G192)*I$57</f>
        <v>0</v>
      </c>
      <c r="J192" s="2357">
        <f>SUMIFS(ARBETSBLAD!J$37:J$56,ARBETSBLAD!$E$37:$E$56,$E192,ARBETSBLAD!$G$37:$G$56,$G192)*J$57</f>
        <v>0</v>
      </c>
      <c r="K192" s="2357">
        <f>SUMIFS(ARBETSBLAD!K$37:K$56,ARBETSBLAD!$E$37:$E$56,$E192,ARBETSBLAD!$G$37:$G$56,$G192)*K$57</f>
        <v>0</v>
      </c>
      <c r="L192" s="2357">
        <f>SUMIFS(ARBETSBLAD!L$37:L$56,ARBETSBLAD!$E$37:$E$56,$E192,ARBETSBLAD!$G$37:$G$56,$G192)*L$57</f>
        <v>0</v>
      </c>
      <c r="M192" s="2357">
        <f>SUMIFS(ARBETSBLAD!M$37:M$56,ARBETSBLAD!$E$37:$E$56,$E192,ARBETSBLAD!$G$37:$G$56,$G192)*M$57</f>
        <v>0</v>
      </c>
      <c r="N192" s="2357">
        <f>SUMIFS(ARBETSBLAD!N$37:N$56,ARBETSBLAD!$E$37:$E$56,$E192,ARBETSBLAD!$G$37:$G$56,$G192)*N$57</f>
        <v>0</v>
      </c>
      <c r="O192" s="2357">
        <f>SUMIFS(ARBETSBLAD!O$37:O$56,ARBETSBLAD!$E$37:$E$56,$E192,ARBETSBLAD!$G$37:$G$56,$G192)*O$57</f>
        <v>0</v>
      </c>
      <c r="P192" s="2357">
        <f>SUMIFS(ARBETSBLAD!P$37:P$56,ARBETSBLAD!$E$37:$E$56,$E192,ARBETSBLAD!$G$37:$G$56,$G192)*P$57</f>
        <v>0</v>
      </c>
      <c r="Q192" s="2357">
        <f>SUMIFS(ARBETSBLAD!Q$37:Q$56,ARBETSBLAD!$E$37:$E$56,$E192,ARBETSBLAD!$G$37:$G$56,$G192)*Q$57</f>
        <v>0</v>
      </c>
      <c r="R192" s="2357">
        <f>SUMIFS(ARBETSBLAD!R$37:R$56,ARBETSBLAD!$E$37:$E$56,$E192,ARBETSBLAD!$G$37:$G$56,$G192)*R$57</f>
        <v>0</v>
      </c>
      <c r="S192" s="2357">
        <f>SUMIFS(ARBETSBLAD!S$37:S$56,ARBETSBLAD!$E$37:$E$56,$E192,ARBETSBLAD!$G$37:$G$56,$G192)*S$57</f>
        <v>0</v>
      </c>
      <c r="T192" s="2357">
        <f>SUMIFS(ARBETSBLAD!T$37:T$56,ARBETSBLAD!$E$37:$E$56,$E192,ARBETSBLAD!$G$37:$G$56,$G192)*T$57</f>
        <v>0</v>
      </c>
      <c r="U192" s="2357">
        <f>SUMIFS(ARBETSBLAD!U$37:U$56,ARBETSBLAD!$E$37:$E$56,$E192,ARBETSBLAD!$G$37:$G$56,$G192)*U$57</f>
        <v>0</v>
      </c>
      <c r="V192" s="2357">
        <f>SUMIFS(ARBETSBLAD!V$37:V$56,ARBETSBLAD!$E$37:$E$56,$E192,ARBETSBLAD!$G$37:$G$56,$G192)*V$57</f>
        <v>0</v>
      </c>
      <c r="W192" s="2357">
        <f>SUMIFS(ARBETSBLAD!W$37:W$56,ARBETSBLAD!$E$37:$E$56,$E192,ARBETSBLAD!$G$37:$G$56,$G192)*W$57</f>
        <v>0</v>
      </c>
      <c r="X192" s="2357">
        <f>SUMIFS(ARBETSBLAD!X$37:X$56,ARBETSBLAD!$E$37:$E$56,$E192,ARBETSBLAD!$G$37:$G$56,$G192)*X$57</f>
        <v>0</v>
      </c>
      <c r="Y192" s="2357">
        <f>SUMIFS(ARBETSBLAD!Y$37:Y$56,ARBETSBLAD!$E$37:$E$56,$E192,ARBETSBLAD!$G$37:$G$56,$G192)*Y$57</f>
        <v>0</v>
      </c>
      <c r="Z192" s="2357">
        <f>SUMIFS(ARBETSBLAD!Z$37:Z$56,ARBETSBLAD!$E$37:$E$56,$E192,ARBETSBLAD!$G$37:$G$56,$G192)*Z$57</f>
        <v>0</v>
      </c>
      <c r="AA192" s="2357">
        <f>SUMIFS(ARBETSBLAD!AA$37:AA$56,ARBETSBLAD!$E$37:$E$56,$E192,ARBETSBLAD!$G$37:$G$56,$G192)*AA$57</f>
        <v>0</v>
      </c>
      <c r="AB192" s="2357">
        <f>SUMIFS(ARBETSBLAD!AB$37:AB$56,ARBETSBLAD!$E$37:$E$56,$E192,ARBETSBLAD!$G$37:$G$56,$G192)*AB$57</f>
        <v>0</v>
      </c>
      <c r="AC192" s="2357">
        <f>SUMIFS(ARBETSBLAD!AC$37:AC$56,ARBETSBLAD!$E$37:$E$56,$E192,ARBETSBLAD!$G$37:$G$56,$G192)*AC$57</f>
        <v>0</v>
      </c>
      <c r="AD192" s="2357">
        <f>SUMIFS(ARBETSBLAD!AD$37:AD$56,ARBETSBLAD!$E$37:$E$56,$E192,ARBETSBLAD!$G$37:$G$56,$G192)*AD$57</f>
        <v>0</v>
      </c>
      <c r="AE192" s="2357">
        <f>SUMIFS(ARBETSBLAD!AE$37:AE$56,ARBETSBLAD!$E$37:$E$56,$E192,ARBETSBLAD!$G$37:$G$56,$G192)*AE$57</f>
        <v>0</v>
      </c>
      <c r="AF192" s="2357">
        <f>SUMIFS(ARBETSBLAD!AF$37:AF$56,ARBETSBLAD!$E$37:$E$56,$E192,ARBETSBLAD!$G$37:$G$56,$G192)*AF$57</f>
        <v>0</v>
      </c>
      <c r="AG192" s="1444"/>
      <c r="AH192" s="1354">
        <f t="shared" si="43"/>
        <v>0</v>
      </c>
      <c r="AI192" s="1355"/>
      <c r="AJ192" s="1354">
        <f t="shared" si="44"/>
        <v>0</v>
      </c>
      <c r="AL192" s="1356"/>
      <c r="AM192" s="1357"/>
      <c r="AN192" s="1437"/>
    </row>
    <row r="193" spans="1:40" s="115" customFormat="1" ht="12" hidden="1" customHeight="1">
      <c r="A193" s="1270"/>
      <c r="B193" s="1625"/>
      <c r="C193" s="1626"/>
      <c r="D193" s="1372"/>
      <c r="E193" s="1441" t="s">
        <v>954</v>
      </c>
      <c r="F193" s="1350"/>
      <c r="G193" s="1442">
        <f t="shared" si="46"/>
        <v>0.25</v>
      </c>
      <c r="H193" s="1368"/>
      <c r="I193" s="1443"/>
      <c r="J193" s="1443"/>
      <c r="K193" s="1443"/>
      <c r="L193" s="1443"/>
      <c r="M193" s="1443">
        <f>SUMIF($S$66:$S$67,4,ARBETSBLAD!I57:I58)*I57*$C194</f>
        <v>0</v>
      </c>
      <c r="N193" s="1443">
        <f>SUMIF($S$66:$S$67,4,ARBETSBLAD!J57:J58)*J57*$C194</f>
        <v>0</v>
      </c>
      <c r="O193" s="1443">
        <f>SUMIF($S$66:$S$67,4,ARBETSBLAD!K57:K58)*K57*$C194</f>
        <v>0</v>
      </c>
      <c r="P193" s="1443">
        <f>SUMIF($S$66:$S$67,4,ARBETSBLAD!L57:L58)*L57*$C194</f>
        <v>0</v>
      </c>
      <c r="Q193" s="1443">
        <f>SUMIF($S$66:$S$67,4,ARBETSBLAD!M57:M58)*M57*$C194</f>
        <v>0</v>
      </c>
      <c r="R193" s="1443">
        <f>SUMIF($S$66:$S$67,4,ARBETSBLAD!N57:N58)*N57*$C194</f>
        <v>0</v>
      </c>
      <c r="S193" s="1443">
        <f>SUMIF($S$66:$S$67,4,ARBETSBLAD!O57:O58)*O57*$C194</f>
        <v>0</v>
      </c>
      <c r="T193" s="1443">
        <f>SUMIF($S$66:$S$67,4,ARBETSBLAD!P57:P58)*P57*$C194</f>
        <v>0</v>
      </c>
      <c r="U193" s="1443">
        <f>SUMIF($S$66:$S$67,4,ARBETSBLAD!Q57:Q58)*Q57*$C194</f>
        <v>0</v>
      </c>
      <c r="V193" s="1443">
        <f>SUMIF($S$66:$S$67,4,ARBETSBLAD!R57:R58)*R57*$C194</f>
        <v>0</v>
      </c>
      <c r="W193" s="1443">
        <f>SUMIF($S$66:$S$67,4,ARBETSBLAD!S57:S58)*S57*$C194</f>
        <v>0</v>
      </c>
      <c r="X193" s="1443">
        <f>SUMIF($S$66:$S$67,4,ARBETSBLAD!T57:T58)*T57*$C194</f>
        <v>0</v>
      </c>
      <c r="Y193" s="1443">
        <f>SUMIF($S$66:$S$67,4,ARBETSBLAD!U57:U58)*U57*$C194</f>
        <v>0</v>
      </c>
      <c r="Z193" s="1443">
        <f>SUMIF($S$66:$S$67,4,ARBETSBLAD!V57:V58)*V57*$C194</f>
        <v>0</v>
      </c>
      <c r="AA193" s="1443">
        <f>SUMIF($S$66:$S$67,4,ARBETSBLAD!W57:W58)*W57*$C194</f>
        <v>0</v>
      </c>
      <c r="AB193" s="1443">
        <f>SUMIF($S$66:$S$67,4,ARBETSBLAD!X57:X58)*X57*$C194</f>
        <v>0</v>
      </c>
      <c r="AC193" s="1443">
        <f>SUMIF($S$66:$S$67,4,ARBETSBLAD!Y57:Y58)*Y57*$C194</f>
        <v>0</v>
      </c>
      <c r="AD193" s="1443">
        <f>SUMIF($S$66:$S$67,4,ARBETSBLAD!Z57:Z58)*Z57*$C194</f>
        <v>0</v>
      </c>
      <c r="AE193" s="1443">
        <f>SUMIF($S$66:$S$67,4,ARBETSBLAD!AA57:AA58)*AA57*$C194</f>
        <v>0</v>
      </c>
      <c r="AF193" s="1443">
        <f>SUMIF($S$66:$S$67,4,ARBETSBLAD!AB57:AB58)*AB57*$C194</f>
        <v>0</v>
      </c>
      <c r="AG193" s="1444"/>
      <c r="AH193" s="1627"/>
      <c r="AI193" s="1355"/>
      <c r="AJ193" s="1627"/>
      <c r="AL193" s="1356"/>
      <c r="AM193" s="1357"/>
      <c r="AN193" s="1437"/>
    </row>
    <row r="194" spans="1:40" s="115" customFormat="1" ht="12" hidden="1" customHeight="1">
      <c r="A194" s="1270"/>
      <c r="B194" s="2350" t="s">
        <v>1276</v>
      </c>
      <c r="C194" s="2351">
        <f>IF($C$58=2,0,1)</f>
        <v>1</v>
      </c>
      <c r="D194" s="1372"/>
      <c r="E194" s="1441" t="s">
        <v>955</v>
      </c>
      <c r="F194" s="1350"/>
      <c r="G194" s="1442">
        <f t="shared" si="46"/>
        <v>0.25</v>
      </c>
      <c r="H194" s="1368"/>
      <c r="I194" s="1443"/>
      <c r="J194" s="1443"/>
      <c r="K194" s="1443"/>
      <c r="L194" s="1443"/>
      <c r="M194" s="1443"/>
      <c r="N194" s="1443">
        <f>SUMIF($S$66:$S$67,5,ARBETSBLAD!I$57:I$58)*I57*$C194</f>
        <v>0</v>
      </c>
      <c r="O194" s="1443">
        <f>SUMIF($S$66:$S$67,5,ARBETSBLAD!J$57:J$58)*J57*$C194</f>
        <v>0</v>
      </c>
      <c r="P194" s="1443">
        <f>SUMIF($S$66:$S$67,5,ARBETSBLAD!K$57:K$58)*K57*$C194</f>
        <v>0</v>
      </c>
      <c r="Q194" s="1443">
        <f>SUMIF($S$66:$S$67,5,ARBETSBLAD!L$57:L$58)*L57*$C194</f>
        <v>0</v>
      </c>
      <c r="R194" s="1443">
        <f>SUMIF($S$66:$S$67,5,ARBETSBLAD!M$57:M$58)*M57*$C194</f>
        <v>0</v>
      </c>
      <c r="S194" s="1443">
        <f>SUMIF($S$66:$S$67,5,ARBETSBLAD!N$57:N$58)*N57*$C194</f>
        <v>0</v>
      </c>
      <c r="T194" s="1443">
        <f>SUMIF($S$66:$S$67,5,ARBETSBLAD!O$57:O$58)*O57*$C194</f>
        <v>0</v>
      </c>
      <c r="U194" s="1443">
        <f>SUMIF($S$66:$S$67,5,ARBETSBLAD!P$57:P$58)*P57*$C194</f>
        <v>0</v>
      </c>
      <c r="V194" s="1443">
        <f>SUMIF($S$66:$S$67,5,ARBETSBLAD!Q$57:Q$58)*Q57*$C194</f>
        <v>0</v>
      </c>
      <c r="W194" s="1443">
        <f>SUMIF($S$66:$S$67,5,ARBETSBLAD!R$57:R$58)*R57*$C194</f>
        <v>0</v>
      </c>
      <c r="X194" s="1443">
        <f>SUMIF($S$66:$S$67,5,ARBETSBLAD!S$57:S$58)*S57*$C194</f>
        <v>0</v>
      </c>
      <c r="Y194" s="1443">
        <f>SUMIF($S$66:$S$67,5,ARBETSBLAD!T$57:T$58)*T57*$C194</f>
        <v>0</v>
      </c>
      <c r="Z194" s="1443">
        <f>SUMIF($S$66:$S$67,5,ARBETSBLAD!U$57:U$58)*U57*$C194</f>
        <v>0</v>
      </c>
      <c r="AA194" s="1443">
        <f>SUMIF($S$66:$S$67,5,ARBETSBLAD!V$57:V$58)*V57*$C194</f>
        <v>0</v>
      </c>
      <c r="AB194" s="1443">
        <f>SUMIF($S$66:$S$67,5,ARBETSBLAD!W$57:W$58)*W57*$C194</f>
        <v>0</v>
      </c>
      <c r="AC194" s="1443">
        <f>SUMIF($S$66:$S$67,5,ARBETSBLAD!X$57:X$58)*X57*$C194</f>
        <v>0</v>
      </c>
      <c r="AD194" s="1443">
        <f>SUMIF($S$66:$S$67,5,ARBETSBLAD!Y$57:Y$58)*Y57*$C194</f>
        <v>0</v>
      </c>
      <c r="AE194" s="1443">
        <f>SUMIF($S$66:$S$67,5,ARBETSBLAD!Z$57:Z$58)*Z57*$C194</f>
        <v>0</v>
      </c>
      <c r="AF194" s="1443">
        <f>SUMIF($S$66:$S$67,5,ARBETSBLAD!AA$57:AA$58)*AA57*$C194</f>
        <v>0</v>
      </c>
      <c r="AG194" s="1444"/>
      <c r="AH194" s="1627"/>
      <c r="AI194" s="1355"/>
      <c r="AJ194" s="1627"/>
      <c r="AL194" s="1356"/>
      <c r="AM194" s="1357"/>
      <c r="AN194" s="1437"/>
    </row>
    <row r="195" spans="1:40" s="115" customFormat="1" ht="12" hidden="1" customHeight="1">
      <c r="A195" s="1270"/>
      <c r="B195" s="1625"/>
      <c r="C195" s="1626"/>
      <c r="D195" s="1372"/>
      <c r="E195" s="1441" t="s">
        <v>956</v>
      </c>
      <c r="F195" s="1350"/>
      <c r="G195" s="1442">
        <f t="shared" si="46"/>
        <v>0.25</v>
      </c>
      <c r="H195" s="1368"/>
      <c r="I195" s="1443"/>
      <c r="J195" s="1443"/>
      <c r="K195" s="1443"/>
      <c r="L195" s="1443"/>
      <c r="M195" s="1443"/>
      <c r="N195" s="1443"/>
      <c r="O195" s="1443">
        <f>SUMIF($S$66:$S$67,6,ARBETSBLAD!I$57:I$58)*I57*$C194</f>
        <v>0</v>
      </c>
      <c r="P195" s="1443">
        <f>SUMIF($S$66:$S$67,6,ARBETSBLAD!J$57:J$58)*J57*$C194</f>
        <v>0</v>
      </c>
      <c r="Q195" s="1443">
        <f>SUMIF($S$66:$S$67,6,ARBETSBLAD!K$57:K$58)*K57*$C194</f>
        <v>0</v>
      </c>
      <c r="R195" s="1443">
        <f>SUMIF($S$66:$S$67,6,ARBETSBLAD!L$57:L$58)*L57*$C194</f>
        <v>0</v>
      </c>
      <c r="S195" s="1443">
        <f>SUMIF($S$66:$S$67,6,ARBETSBLAD!M$57:M$58)*M57*$C194</f>
        <v>0</v>
      </c>
      <c r="T195" s="1443">
        <f>SUMIF($S$66:$S$67,6,ARBETSBLAD!N$57:N$58)*N57*$C194</f>
        <v>0</v>
      </c>
      <c r="U195" s="1443">
        <f>SUMIF($S$66:$S$67,6,ARBETSBLAD!O$57:O$58)*O57*$C194</f>
        <v>0</v>
      </c>
      <c r="V195" s="1443">
        <f>SUMIF($S$66:$S$67,6,ARBETSBLAD!P$57:P$58)*P57*$C194</f>
        <v>0</v>
      </c>
      <c r="W195" s="1443">
        <f>SUMIF($S$66:$S$67,6,ARBETSBLAD!Q$57:Q$58)*Q57*$C194</f>
        <v>0</v>
      </c>
      <c r="X195" s="1443">
        <f>SUMIF($S$66:$S$67,6,ARBETSBLAD!R$57:R$58)*R57*$C194</f>
        <v>0</v>
      </c>
      <c r="Y195" s="1443">
        <f>SUMIF($S$66:$S$67,6,ARBETSBLAD!S$57:S$58)*S57*$C194</f>
        <v>0</v>
      </c>
      <c r="Z195" s="1443">
        <f>SUMIF($S$66:$S$67,6,ARBETSBLAD!T$57:T$58)*T57*$C194</f>
        <v>0</v>
      </c>
      <c r="AA195" s="1443">
        <f>SUMIF($S$66:$S$67,6,ARBETSBLAD!U$57:U$58)*U57*$C194</f>
        <v>0</v>
      </c>
      <c r="AB195" s="1443">
        <f>SUMIF($S$66:$S$67,6,ARBETSBLAD!V$57:V$58)*V57*$C194</f>
        <v>0</v>
      </c>
      <c r="AC195" s="1443">
        <f>SUMIF($S$66:$S$67,6,ARBETSBLAD!W$57:W$58)*W57*$C194</f>
        <v>0</v>
      </c>
      <c r="AD195" s="1443">
        <f>SUMIF($S$66:$S$67,6,ARBETSBLAD!X$57:X$58)*X57*$C194</f>
        <v>0</v>
      </c>
      <c r="AE195" s="1443">
        <f>SUMIF($S$66:$S$67,6,ARBETSBLAD!Y$57:Y$58)*Y57*$C194</f>
        <v>0</v>
      </c>
      <c r="AF195" s="1443">
        <f>SUMIF($S$66:$S$67,6,ARBETSBLAD!Z$57:Z$58)*Z57*$C194</f>
        <v>0</v>
      </c>
      <c r="AG195" s="1444"/>
      <c r="AH195" s="1627"/>
      <c r="AI195" s="1355"/>
      <c r="AJ195" s="1627"/>
      <c r="AL195" s="1356"/>
      <c r="AM195" s="1357"/>
      <c r="AN195" s="1437"/>
    </row>
    <row r="196" spans="1:40" s="115" customFormat="1" ht="12" hidden="1" customHeight="1">
      <c r="A196" s="1270"/>
      <c r="B196" s="1625"/>
      <c r="C196" s="1626"/>
      <c r="D196" s="1372"/>
      <c r="E196" s="1441" t="s">
        <v>957</v>
      </c>
      <c r="F196" s="1350"/>
      <c r="G196" s="1442">
        <f t="shared" si="46"/>
        <v>0.25</v>
      </c>
      <c r="H196" s="1368"/>
      <c r="I196" s="1443"/>
      <c r="J196" s="1443"/>
      <c r="K196" s="1443"/>
      <c r="L196" s="1443"/>
      <c r="M196" s="1443"/>
      <c r="N196" s="1443"/>
      <c r="O196" s="1443"/>
      <c r="P196" s="1443">
        <f>SUMIF($S$66:$S$67,7,ARBETSBLAD!I$57:I$58)*I57*$C194</f>
        <v>0</v>
      </c>
      <c r="Q196" s="1443">
        <f>SUMIF($S$66:$S$67,7,ARBETSBLAD!J$57:J$58)*J57*$C194</f>
        <v>0</v>
      </c>
      <c r="R196" s="1443">
        <f>SUMIF($S$66:$S$67,7,ARBETSBLAD!K$57:K$58)*K57*$C194</f>
        <v>0</v>
      </c>
      <c r="S196" s="1443">
        <f>SUMIF($S$66:$S$67,7,ARBETSBLAD!L$57:L$58)*L57*$C194</f>
        <v>0</v>
      </c>
      <c r="T196" s="1443">
        <f>SUMIF($S$66:$S$67,7,ARBETSBLAD!M$57:M$58)*M57*$C194</f>
        <v>0</v>
      </c>
      <c r="U196" s="1443">
        <f>SUMIF($S$66:$S$67,7,ARBETSBLAD!N$57:N$58)*N57*$C194</f>
        <v>0</v>
      </c>
      <c r="V196" s="1443">
        <f>SUMIF($S$66:$S$67,7,ARBETSBLAD!O$57:O$58)*O57*$C194</f>
        <v>0</v>
      </c>
      <c r="W196" s="1443">
        <f>SUMIF($S$66:$S$67,7,ARBETSBLAD!P$57:P$58)*P57*$C194</f>
        <v>0</v>
      </c>
      <c r="X196" s="1443">
        <f>SUMIF($S$66:$S$67,7,ARBETSBLAD!Q$57:Q$58)*Q57*$C194</f>
        <v>0</v>
      </c>
      <c r="Y196" s="1443">
        <f>SUMIF($S$66:$S$67,7,ARBETSBLAD!R$57:R$58)*R57*$C194</f>
        <v>0</v>
      </c>
      <c r="Z196" s="1443">
        <f>SUMIF($S$66:$S$67,7,ARBETSBLAD!S$57:S$58)*S57*$C194</f>
        <v>0</v>
      </c>
      <c r="AA196" s="1443">
        <f>SUMIF($S$66:$S$67,7,ARBETSBLAD!T$57:T$58)*T57*$C194</f>
        <v>0</v>
      </c>
      <c r="AB196" s="1443">
        <f>SUMIF($S$66:$S$67,7,ARBETSBLAD!U$57:U$58)*U57*$C194</f>
        <v>0</v>
      </c>
      <c r="AC196" s="1443">
        <f>SUMIF($S$66:$S$67,7,ARBETSBLAD!V$57:V$58)*V57*$C194</f>
        <v>0</v>
      </c>
      <c r="AD196" s="1443">
        <f>SUMIF($S$66:$S$67,7,ARBETSBLAD!W$57:W$58)*W57*$C194</f>
        <v>0</v>
      </c>
      <c r="AE196" s="1443">
        <f>SUMIF($S$66:$S$67,7,ARBETSBLAD!X$57:X$58)*X57*$C194</f>
        <v>0</v>
      </c>
      <c r="AF196" s="1443">
        <f>SUMIF($S$66:$S$67,7,ARBETSBLAD!Y$57:Y$58)*Y57*$C194</f>
        <v>0</v>
      </c>
      <c r="AG196" s="1444"/>
      <c r="AH196" s="1627"/>
      <c r="AI196" s="1355"/>
      <c r="AJ196" s="1627"/>
      <c r="AL196" s="1356"/>
      <c r="AM196" s="1357"/>
      <c r="AN196" s="1437"/>
    </row>
    <row r="197" spans="1:40" s="115" customFormat="1" ht="12" hidden="1" customHeight="1">
      <c r="A197" s="1270"/>
      <c r="B197" s="1625"/>
      <c r="C197" s="1626"/>
      <c r="D197" s="1372"/>
      <c r="E197" s="1441" t="s">
        <v>958</v>
      </c>
      <c r="F197" s="1350"/>
      <c r="G197" s="1442">
        <f t="shared" si="46"/>
        <v>0.25</v>
      </c>
      <c r="H197" s="1368"/>
      <c r="I197" s="1443"/>
      <c r="J197" s="1443"/>
      <c r="K197" s="1443"/>
      <c r="L197" s="1443"/>
      <c r="M197" s="1443"/>
      <c r="N197" s="1443"/>
      <c r="O197" s="1443"/>
      <c r="P197" s="1443"/>
      <c r="Q197" s="1443">
        <f>SUMIF($S$66:$S$67,8,ARBETSBLAD!I$57:I$58)*I57*$C194</f>
        <v>0</v>
      </c>
      <c r="R197" s="1443">
        <f>SUMIF($S$66:$S$67,8,ARBETSBLAD!J$57:J$58)*J57*$C194</f>
        <v>0</v>
      </c>
      <c r="S197" s="1443">
        <f>SUMIF($S$66:$S$67,8,ARBETSBLAD!K$57:K$58)*K57*$C194</f>
        <v>0</v>
      </c>
      <c r="T197" s="1443">
        <f>SUMIF($S$66:$S$67,8,ARBETSBLAD!L$57:L$58)*L57*$C194</f>
        <v>0</v>
      </c>
      <c r="U197" s="1443">
        <f>SUMIF($S$66:$S$67,8,ARBETSBLAD!M$57:M$58)*M57*$C194</f>
        <v>0</v>
      </c>
      <c r="V197" s="1443">
        <f>SUMIF($S$66:$S$67,8,ARBETSBLAD!N$57:N$58)*N57*$C194</f>
        <v>0</v>
      </c>
      <c r="W197" s="1443">
        <f>SUMIF($S$66:$S$67,8,ARBETSBLAD!O$57:O$58)*O57*$C194</f>
        <v>0</v>
      </c>
      <c r="X197" s="1443">
        <f>SUMIF($S$66:$S$67,8,ARBETSBLAD!P$57:P$58)*P57*$C194</f>
        <v>0</v>
      </c>
      <c r="Y197" s="1443">
        <f>SUMIF($S$66:$S$67,8,ARBETSBLAD!Q$57:Q$58)*Q57*$C194</f>
        <v>0</v>
      </c>
      <c r="Z197" s="1443">
        <f>SUMIF($S$66:$S$67,8,ARBETSBLAD!R$57:R$58)*R57*$C194</f>
        <v>0</v>
      </c>
      <c r="AA197" s="1443">
        <f>SUMIF($S$66:$S$67,8,ARBETSBLAD!S$57:S$58)*S57*$C194</f>
        <v>0</v>
      </c>
      <c r="AB197" s="1443">
        <f>SUMIF($S$66:$S$67,8,ARBETSBLAD!T$57:T$58)*T57*$C194</f>
        <v>0</v>
      </c>
      <c r="AC197" s="1443">
        <f>SUMIF($S$66:$S$67,8,ARBETSBLAD!U$57:U$58)*U57*$C194</f>
        <v>0</v>
      </c>
      <c r="AD197" s="1443">
        <f>SUMIF($S$66:$S$67,8,ARBETSBLAD!V$57:V$58)*V57*$C194</f>
        <v>0</v>
      </c>
      <c r="AE197" s="1443">
        <f>SUMIF($S$66:$S$67,8,ARBETSBLAD!W$57:W$58)*W57*$C194</f>
        <v>0</v>
      </c>
      <c r="AF197" s="1443">
        <f>SUMIF($S$66:$S$67,8,ARBETSBLAD!X$57:X$58)*X57*$C194</f>
        <v>0</v>
      </c>
      <c r="AG197" s="1444"/>
      <c r="AH197" s="1627"/>
      <c r="AI197" s="1355"/>
      <c r="AJ197" s="1627"/>
      <c r="AL197" s="1356"/>
      <c r="AM197" s="1357"/>
      <c r="AN197" s="1437"/>
    </row>
    <row r="198" spans="1:40" s="115" customFormat="1" ht="12" hidden="1" customHeight="1">
      <c r="A198" s="1270"/>
      <c r="B198" s="1625"/>
      <c r="C198" s="1626"/>
      <c r="D198" s="1372"/>
      <c r="E198" s="1441" t="s">
        <v>959</v>
      </c>
      <c r="F198" s="1350"/>
      <c r="G198" s="1442">
        <f t="shared" si="46"/>
        <v>0.25</v>
      </c>
      <c r="H198" s="1368"/>
      <c r="I198" s="1443"/>
      <c r="J198" s="1443"/>
      <c r="K198" s="1443"/>
      <c r="L198" s="1443"/>
      <c r="M198" s="1443"/>
      <c r="N198" s="1443"/>
      <c r="O198" s="1443"/>
      <c r="P198" s="1443"/>
      <c r="Q198" s="1443"/>
      <c r="R198" s="1443">
        <f>SUMIF($S$66:$S$67,9,ARBETSBLAD!I$57:I$58)*I57*$C194</f>
        <v>0</v>
      </c>
      <c r="S198" s="1443">
        <f>SUMIF($S$66:$S$67,9,ARBETSBLAD!J$57:J$58)*J57*$C194</f>
        <v>0</v>
      </c>
      <c r="T198" s="1443">
        <f>SUMIF($S$66:$S$67,9,ARBETSBLAD!K$57:K$58)*K57*$C194</f>
        <v>0</v>
      </c>
      <c r="U198" s="1443">
        <f>SUMIF($S$66:$S$67,9,ARBETSBLAD!L$57:L$58)*L57*$C194</f>
        <v>0</v>
      </c>
      <c r="V198" s="1443">
        <f>SUMIF($S$66:$S$67,9,ARBETSBLAD!M$57:M$58)*M57*$C194</f>
        <v>0</v>
      </c>
      <c r="W198" s="1443">
        <f>SUMIF($S$66:$S$67,9,ARBETSBLAD!N$57:N$58)*N57*$C194</f>
        <v>0</v>
      </c>
      <c r="X198" s="1443">
        <f>SUMIF($S$66:$S$67,9,ARBETSBLAD!O$57:O$58)*O57*$C194</f>
        <v>0</v>
      </c>
      <c r="Y198" s="1443">
        <f>SUMIF($S$66:$S$67,9,ARBETSBLAD!P$57:P$58)*P57*$C194</f>
        <v>0</v>
      </c>
      <c r="Z198" s="1443">
        <f>SUMIF($S$66:$S$67,9,ARBETSBLAD!Q$57:Q$58)*Q57*$C194</f>
        <v>0</v>
      </c>
      <c r="AA198" s="1443">
        <f>SUMIF($S$66:$S$67,9,ARBETSBLAD!R$57:R$58)*R57*$C194</f>
        <v>0</v>
      </c>
      <c r="AB198" s="1443">
        <f>SUMIF($S$66:$S$67,9,ARBETSBLAD!S$57:S$58)*S57*$C194</f>
        <v>0</v>
      </c>
      <c r="AC198" s="1443">
        <f>SUMIF($S$66:$S$67,9,ARBETSBLAD!T$57:T$58)*T57*$C194</f>
        <v>0</v>
      </c>
      <c r="AD198" s="1443">
        <f>SUMIF($S$66:$S$67,9,ARBETSBLAD!U$57:U$58)*U57*$C194</f>
        <v>0</v>
      </c>
      <c r="AE198" s="1443">
        <f>SUMIF($S$66:$S$67,9,ARBETSBLAD!V$57:V$58)*V57*$C194</f>
        <v>0</v>
      </c>
      <c r="AF198" s="1443">
        <f>SUMIF($S$66:$S$67,9,ARBETSBLAD!W$57:W$58)*W57*$C194</f>
        <v>0</v>
      </c>
      <c r="AG198" s="1444"/>
      <c r="AH198" s="1627"/>
      <c r="AI198" s="1355"/>
      <c r="AJ198" s="1627"/>
      <c r="AL198" s="1356"/>
      <c r="AM198" s="1357"/>
      <c r="AN198" s="1437"/>
    </row>
    <row r="199" spans="1:40" s="115" customFormat="1" ht="12" hidden="1" customHeight="1">
      <c r="A199" s="1270"/>
      <c r="B199" s="1625"/>
      <c r="C199" s="1626"/>
      <c r="D199" s="1372"/>
      <c r="E199" s="1441" t="s">
        <v>960</v>
      </c>
      <c r="F199" s="1350"/>
      <c r="G199" s="1442">
        <f t="shared" si="46"/>
        <v>0.25</v>
      </c>
      <c r="H199" s="1368"/>
      <c r="I199" s="1443"/>
      <c r="J199" s="1443"/>
      <c r="K199" s="1443"/>
      <c r="L199" s="1443"/>
      <c r="M199" s="1443"/>
      <c r="N199" s="1443"/>
      <c r="O199" s="1443"/>
      <c r="P199" s="1443"/>
      <c r="Q199" s="1443"/>
      <c r="R199" s="1443"/>
      <c r="S199" s="1443">
        <f>SUMIF($S$66:$S$67,10,ARBETSBLAD!I$57:I$58)*I57*$C194</f>
        <v>0</v>
      </c>
      <c r="T199" s="1443">
        <f>SUMIF($S$66:$S$67,10,ARBETSBLAD!J$57:J$58)*J57*$C194</f>
        <v>0</v>
      </c>
      <c r="U199" s="1443">
        <f>SUMIF($S$66:$S$67,10,ARBETSBLAD!K$57:K$58)*K57*$C194</f>
        <v>0</v>
      </c>
      <c r="V199" s="1443">
        <f>SUMIF($S$66:$S$67,10,ARBETSBLAD!L$57:L$58)*L57*$C194</f>
        <v>0</v>
      </c>
      <c r="W199" s="1443">
        <f>SUMIF($S$66:$S$67,10,ARBETSBLAD!M$57:M$58)*M57*$C194</f>
        <v>0</v>
      </c>
      <c r="X199" s="1443">
        <f>SUMIF($S$66:$S$67,10,ARBETSBLAD!N$57:N$58)*N57*$C194</f>
        <v>0</v>
      </c>
      <c r="Y199" s="1443">
        <f>SUMIF($S$66:$S$67,10,ARBETSBLAD!O$57:O$58)*O57*$C194</f>
        <v>0</v>
      </c>
      <c r="Z199" s="1443">
        <f>SUMIF($S$66:$S$67,10,ARBETSBLAD!P$57:P$58)*P57*$C194</f>
        <v>0</v>
      </c>
      <c r="AA199" s="1443">
        <f>SUMIF($S$66:$S$67,10,ARBETSBLAD!Q$57:Q$58)*Q57*$C194</f>
        <v>0</v>
      </c>
      <c r="AB199" s="1443">
        <f>SUMIF($S$66:$S$67,10,ARBETSBLAD!R$57:R$58)*R57*$C194</f>
        <v>0</v>
      </c>
      <c r="AC199" s="1443">
        <f>SUMIF($S$66:$S$67,10,ARBETSBLAD!S$57:S$58)*S57*$C194</f>
        <v>0</v>
      </c>
      <c r="AD199" s="1443">
        <f>SUMIF($S$66:$S$67,10,ARBETSBLAD!T$57:T$58)*T57*$C194</f>
        <v>0</v>
      </c>
      <c r="AE199" s="1443">
        <f>SUMIF($S$66:$S$67,10,ARBETSBLAD!U$57:U$58)*U57*$C194</f>
        <v>0</v>
      </c>
      <c r="AF199" s="1443">
        <f>SUMIF($S$66:$S$67,10,ARBETSBLAD!V$57:V$58)*V57*$C194</f>
        <v>0</v>
      </c>
      <c r="AG199" s="1444"/>
      <c r="AH199" s="1627"/>
      <c r="AI199" s="1355"/>
      <c r="AJ199" s="1627"/>
      <c r="AL199" s="1356"/>
      <c r="AM199" s="1357"/>
      <c r="AN199" s="1437"/>
    </row>
    <row r="200" spans="1:40" s="115" customFormat="1" ht="12" hidden="1" customHeight="1" thickBot="1">
      <c r="A200" s="1270"/>
      <c r="B200" s="1317"/>
      <c r="C200" s="1445"/>
      <c r="G200" s="1313" t="s">
        <v>217</v>
      </c>
      <c r="I200" s="1628">
        <f>(I162+I167+I172+I177)*I57</f>
        <v>0</v>
      </c>
      <c r="J200" s="1628">
        <f>(J162+J167+J172+J177)*J57+(I163+I168+I173+I178)*I57</f>
        <v>0</v>
      </c>
      <c r="K200" s="1628">
        <f>(K162+K167+K172+K177)*K57+(J163+J168+J173+J178)*J57+(I164+I169+I174+I179)*I57</f>
        <v>0</v>
      </c>
      <c r="L200" s="1628">
        <f>(L162+L167+L172+L177)*L57+(K163+K168+K173+K178)*K57+(J164+J169+J174+J179)*J57+(I165+I170+I175+I180)*I57</f>
        <v>0</v>
      </c>
      <c r="M200" s="1628">
        <f>((M162+M167+M172+M177)*M57+(L163+L168+L173+L178)*L57+(K164+K169+K174+K179)*K57+(J165+J170+J175+J180)*J57+SUM(M193:M199))*M57</f>
        <v>0</v>
      </c>
      <c r="N200" s="1628">
        <f>((N162+N167+N172+N177)*N57+(M163+M168+M173+M178)*M57+(L164+L169+L174+L179)*L57+(K165+K170+K175+K180)*K57+SUM(N193:N199))*N57</f>
        <v>0</v>
      </c>
      <c r="O200" s="1628">
        <f>((O162+O167+O172+O177)*O57+(N163+N168+N173+N178)*N57+(M164+M169+M174+M179)*M57+(L165+L170+L175+L180)*L57+SUM(O193:O199))*O57</f>
        <v>0</v>
      </c>
      <c r="P200" s="1628">
        <f t="shared" ref="P200:AF200" si="47">((P162+P167+P172+P177+O163+O168+O173+O178+N164+N169+N174+N179+M165+M170+M175+M180)+SUM(P193:P199))*P57</f>
        <v>0</v>
      </c>
      <c r="Q200" s="1628">
        <f t="shared" si="47"/>
        <v>0</v>
      </c>
      <c r="R200" s="1628">
        <f t="shared" si="47"/>
        <v>0</v>
      </c>
      <c r="S200" s="1628">
        <f t="shared" si="47"/>
        <v>0</v>
      </c>
      <c r="T200" s="1628">
        <f t="shared" si="47"/>
        <v>0</v>
      </c>
      <c r="U200" s="1628">
        <f t="shared" si="47"/>
        <v>0</v>
      </c>
      <c r="V200" s="1628">
        <f t="shared" si="47"/>
        <v>0</v>
      </c>
      <c r="W200" s="1628">
        <f t="shared" si="47"/>
        <v>0</v>
      </c>
      <c r="X200" s="1628">
        <f t="shared" si="47"/>
        <v>0</v>
      </c>
      <c r="Y200" s="1628">
        <f t="shared" si="47"/>
        <v>0</v>
      </c>
      <c r="Z200" s="1628">
        <f t="shared" si="47"/>
        <v>0</v>
      </c>
      <c r="AA200" s="1628">
        <f t="shared" si="47"/>
        <v>0</v>
      </c>
      <c r="AB200" s="1628">
        <f t="shared" si="47"/>
        <v>0</v>
      </c>
      <c r="AC200" s="1628">
        <f t="shared" si="47"/>
        <v>0</v>
      </c>
      <c r="AD200" s="1628">
        <f t="shared" si="47"/>
        <v>0</v>
      </c>
      <c r="AE200" s="1628">
        <f t="shared" si="47"/>
        <v>0</v>
      </c>
      <c r="AF200" s="1628">
        <f t="shared" si="47"/>
        <v>0</v>
      </c>
      <c r="AH200" s="1354">
        <f t="shared" ref="AH200:AH231" si="48">IF($C$57=1,SUM(I200:T200),IF($C$57=2,SUM(O200:AF200)))</f>
        <v>0</v>
      </c>
      <c r="AI200" s="1355"/>
      <c r="AJ200" s="1354">
        <f t="shared" ref="AJ200:AJ231" si="49">IF($C$57=1,SUM(U200:AF200),0)</f>
        <v>0</v>
      </c>
      <c r="AL200" s="1290"/>
      <c r="AM200" s="1290"/>
      <c r="AN200" s="1316"/>
    </row>
    <row r="201" spans="1:40" s="115" customFormat="1" ht="12" hidden="1" customHeight="1">
      <c r="A201" s="1270"/>
      <c r="B201" s="1349" t="s">
        <v>213</v>
      </c>
      <c r="C201" s="1348">
        <f>F201+H201</f>
        <v>1.0009999999999999</v>
      </c>
      <c r="D201" s="1349"/>
      <c r="E201" s="1447" t="s">
        <v>0</v>
      </c>
      <c r="F201" s="1350">
        <v>1</v>
      </c>
      <c r="G201" s="2416">
        <f>ARBETSBLAD!G$315</f>
        <v>9.9999999999999995E-7</v>
      </c>
      <c r="H201" s="1352">
        <v>1E-3</v>
      </c>
      <c r="I201" s="1432">
        <f>I$57*(SUMIF($M$60:$M$79,$C$201,ARBETSBLAD!I$114:I$133)+IF($M$80=$C$201,ARBETSBLAD!I$239,0)+0.7*I220+0.33*I221)</f>
        <v>0</v>
      </c>
      <c r="J201" s="1432">
        <f>J57*(SUMIF($M$60:$M$79,$C$201,ARBETSBLAD!J114:J133)+IF($M$80=$C$201,ARBETSBLAD!J239,0)+0.7*J220+0.33*J221)</f>
        <v>0</v>
      </c>
      <c r="K201" s="1432">
        <f>K57*(SUMIF($M$60:$M$79,$C$201,ARBETSBLAD!K114:K133)+IF($M$80=$C$201,ARBETSBLAD!K239,0)+0.7*K220+0.33*K221)</f>
        <v>0</v>
      </c>
      <c r="L201" s="1432">
        <f>L57*(SUMIF($M$60:$M$79,$C$201,ARBETSBLAD!L114:L133)+IF($M$80=$C$201,ARBETSBLAD!L239,0)+0.7*L220+0.33*L221)</f>
        <v>0</v>
      </c>
      <c r="M201" s="1432">
        <f>M57*(SUMIF($M$60:$M$79,$C$201,ARBETSBLAD!M114:M133)+IF($M$80=$C$201,ARBETSBLAD!M239,0)+0.7*M220+0.33*M221)</f>
        <v>0</v>
      </c>
      <c r="N201" s="1432">
        <f>N57*(SUMIF($M$60:$M$79,$C$201,ARBETSBLAD!N114:N133)+IF($M$80=$C$201,ARBETSBLAD!N239,0)+0.7*N220+0.33*N221)</f>
        <v>0</v>
      </c>
      <c r="O201" s="1432">
        <f>O57*(SUMIF($M$60:$M$79,$C$201,ARBETSBLAD!O114:O133)+IF($M$80=$C$201,ARBETSBLAD!O239,0)+0.7*O220+0.33*O221)</f>
        <v>0</v>
      </c>
      <c r="P201" s="1432">
        <f>P57*(SUMIF($M$60:$M$79,$C$201,ARBETSBLAD!P114:P133)+IF($M$80=$C$201,ARBETSBLAD!P239,0)+0.7*P220+0.33*P221)</f>
        <v>0</v>
      </c>
      <c r="Q201" s="1432">
        <f>Q57*(SUMIF($M$60:$M$79,$C$201,ARBETSBLAD!Q114:Q133)+IF($M$80=$C$201,ARBETSBLAD!Q239,0)+0.7*Q220+0.33*Q221)</f>
        <v>0</v>
      </c>
      <c r="R201" s="1432">
        <f>R57*(SUMIF($M$60:$M$79,$C$201,ARBETSBLAD!R114:R133)+IF($M$80=$C$201,ARBETSBLAD!R239,0)+0.7*R220+0.33*R221)</f>
        <v>0</v>
      </c>
      <c r="S201" s="1432">
        <f>S57*(SUMIF($M$60:$M$79,$C$201,ARBETSBLAD!S114:S133)+IF($M$80=$C$201,ARBETSBLAD!S239,0)+0.7*S220+0.33*S221)</f>
        <v>0</v>
      </c>
      <c r="T201" s="1432">
        <f>T57*(SUMIF($M$60:$M$79,$C$201,ARBETSBLAD!T114:T133)+IF($M$80=$C$201,ARBETSBLAD!T239,0)+0.7*T220+0.33*T221)</f>
        <v>0</v>
      </c>
      <c r="U201" s="1432">
        <f>U57*(SUMIF($M$60:$M$79,$C$201,ARBETSBLAD!U114:U133)+IF($M$80=$C$201,ARBETSBLAD!U239,0)+0.7*U220+0.33*U221)</f>
        <v>0</v>
      </c>
      <c r="V201" s="1432">
        <f>V57*(SUMIF($M$60:$M$79,$C$201,ARBETSBLAD!V114:V133)+IF($M$80=$C$201,ARBETSBLAD!V239,0)+0.7*V220+0.33*V221)</f>
        <v>0</v>
      </c>
      <c r="W201" s="1432">
        <f>W57*(SUMIF($M$60:$M$79,$C$201,ARBETSBLAD!W114:W133)+IF($M$80=$C$201,ARBETSBLAD!W239,0)+0.7*W220+0.33*W221)</f>
        <v>0</v>
      </c>
      <c r="X201" s="1432">
        <f>X57*(SUMIF($M$60:$M$79,$C$201,ARBETSBLAD!X114:X133)+IF($M$80=$C$201,ARBETSBLAD!X239,0)+0.7*X220+0.33*X221)</f>
        <v>0</v>
      </c>
      <c r="Y201" s="1432">
        <f>Y57*(SUMIF($M$60:$M$79,$C$201,ARBETSBLAD!Y114:Y133)+IF($M$80=$C$201,ARBETSBLAD!Y239,0)+0.7*Y220+0.33*Y221)</f>
        <v>0</v>
      </c>
      <c r="Z201" s="1432">
        <f>Z57*(SUMIF($M$60:$M$79,$C$201,ARBETSBLAD!Z114:Z133)+IF($M$80=$C$201,ARBETSBLAD!Z239,0)+0.7*Z220+0.33*Z221)</f>
        <v>0</v>
      </c>
      <c r="AA201" s="1432">
        <f>AA57*(SUMIF($M$60:$M$79,$C$201,ARBETSBLAD!AA114:AA133)+IF($M$80=$C$201,ARBETSBLAD!AA239,0)+0.7*AA220+0.33*AA221)</f>
        <v>0</v>
      </c>
      <c r="AB201" s="1432">
        <f>AB57*(SUMIF($M$60:$M$79,$C$201,ARBETSBLAD!AB114:AB133)+IF($M$80=$C$201,ARBETSBLAD!AB239,0)+0.7*AB220+0.33*AB221)</f>
        <v>0</v>
      </c>
      <c r="AC201" s="1432">
        <f>AC57*(SUMIF($M$60:$M$79,$C$201,ARBETSBLAD!AC114:AC133)+IF($M$80=$C$201,ARBETSBLAD!AC239,0)+0.7*AC220+0.33*AC221)</f>
        <v>0</v>
      </c>
      <c r="AD201" s="1432">
        <f>AD57*(SUMIF($M$60:$M$79,$C$201,ARBETSBLAD!AD114:AD133)+IF($M$80=$C$201,ARBETSBLAD!AD239,0)+0.7*AD220+0.33*AD221)</f>
        <v>0</v>
      </c>
      <c r="AE201" s="1432">
        <f>AE57*(SUMIF($M$60:$M$79,$C$201,ARBETSBLAD!AE114:AE133)+IF($M$80=$C$201,ARBETSBLAD!AE239,0)+0.7*AE220+0.33*AE221)</f>
        <v>0</v>
      </c>
      <c r="AF201" s="1432">
        <f>AF57*(SUMIF($M$60:$M$79,$C$201,ARBETSBLAD!AF114:AF133)+IF($M$80=$C$201,ARBETSBLAD!AF239,0)+0.7*AF220+0.33*AF221)</f>
        <v>0</v>
      </c>
      <c r="AG201" s="1349"/>
      <c r="AH201" s="1354">
        <f t="shared" si="48"/>
        <v>0</v>
      </c>
      <c r="AI201" s="1355"/>
      <c r="AJ201" s="1354">
        <f t="shared" si="49"/>
        <v>0</v>
      </c>
      <c r="AL201" s="1356"/>
      <c r="AM201" s="1357"/>
      <c r="AN201" s="1434"/>
    </row>
    <row r="202" spans="1:40" s="115" customFormat="1" ht="12" hidden="1" customHeight="1">
      <c r="A202" s="1270"/>
      <c r="B202" s="1317"/>
      <c r="C202" s="1348">
        <f>F202+H202</f>
        <v>300.00099999999998</v>
      </c>
      <c r="D202" s="1349"/>
      <c r="E202" s="1447" t="s">
        <v>1</v>
      </c>
      <c r="F202" s="1350">
        <v>300</v>
      </c>
      <c r="G202" s="2416">
        <f>ARBETSBLAD!G$315</f>
        <v>9.9999999999999995E-7</v>
      </c>
      <c r="H202" s="1352">
        <v>1E-3</v>
      </c>
      <c r="I202" s="1381">
        <f>I$57*(SUMIF($M$60:$M$79,$C$202,ARBETSBLAD!I$114:I$133)+0.3*I220+0.67*I221+0.567*I222)</f>
        <v>0</v>
      </c>
      <c r="J202" s="1381">
        <f>J$57*(SUMIF($M$60:$M$79,$C$202,ARBETSBLAD!J$114:J$133)+0.3*J220+0.67*J221+0.567*J222)</f>
        <v>0</v>
      </c>
      <c r="K202" s="1381">
        <f>K$57*(SUMIF($M$60:$M$79,$C$202,ARBETSBLAD!K$114:K$133)+0.3*K220+0.67*K221+0.567*K222)</f>
        <v>0</v>
      </c>
      <c r="L202" s="1381">
        <f>L$57*(SUMIF($M$60:$M$79,$C$202,ARBETSBLAD!L$114:L$133)+0.3*L220+0.67*L221+0.567*L222)</f>
        <v>0</v>
      </c>
      <c r="M202" s="1381">
        <f>M$57*(SUMIF($M$60:$M$79,$C$202,ARBETSBLAD!M$114:M$133)+0.3*M220+0.67*M221+0.567*M222)</f>
        <v>0</v>
      </c>
      <c r="N202" s="1381">
        <f>N$57*(SUMIF($M$60:$M$79,$C$202,ARBETSBLAD!N$114:N$133)+0.3*N220+0.67*N221+0.567*N222)</f>
        <v>0</v>
      </c>
      <c r="O202" s="1381">
        <f>O$57*(SUMIF($M$60:$M$79,$C$202,ARBETSBLAD!O$114:O$133)+0.3*O220+0.67*O221+0.567*O222)</f>
        <v>0</v>
      </c>
      <c r="P202" s="1381">
        <f>P$57*(SUMIF($M$60:$M$79,$C$202,ARBETSBLAD!P$114:P$133)+0.3*P220+0.67*P221+0.567*P222)</f>
        <v>0</v>
      </c>
      <c r="Q202" s="1381">
        <f>Q$57*(SUMIF($M$60:$M$79,$C$202,ARBETSBLAD!Q$114:Q$133)+0.3*Q220+0.67*Q221+0.567*Q222)</f>
        <v>0</v>
      </c>
      <c r="R202" s="1381">
        <f>R$57*(SUMIF($M$60:$M$79,$C$202,ARBETSBLAD!R$114:R$133)+0.3*R220+0.67*R221+0.567*R222)</f>
        <v>0</v>
      </c>
      <c r="S202" s="1381">
        <f>S$57*(SUMIF($M$60:$M$79,$C$202,ARBETSBLAD!S$114:S$133)+0.3*S220+0.67*S221+0.567*S222)</f>
        <v>0</v>
      </c>
      <c r="T202" s="1381">
        <f>T$57*(SUMIF($M$60:$M$79,$C$202,ARBETSBLAD!T$114:T$133)+0.3*T220+0.67*T221+0.567*T222)</f>
        <v>0</v>
      </c>
      <c r="U202" s="1381">
        <f>U$57*(SUMIF($M$60:$M$79,$C$202,ARBETSBLAD!U$114:U$133)+0.3*U220+0.67*U221+0.567*U222)</f>
        <v>0</v>
      </c>
      <c r="V202" s="1381">
        <f>V$57*(SUMIF($M$60:$M$79,$C$202,ARBETSBLAD!V$114:V$133)+0.3*V220+0.67*V221+0.567*V222)</f>
        <v>0</v>
      </c>
      <c r="W202" s="1381">
        <f>W$57*(SUMIF($M$60:$M$79,$C$202,ARBETSBLAD!W$114:W$133)+0.3*W220+0.67*W221+0.567*W222)</f>
        <v>0</v>
      </c>
      <c r="X202" s="1381">
        <f>X$57*(SUMIF($M$60:$M$79,$C$202,ARBETSBLAD!X$114:X$133)+0.3*X220+0.67*X221+0.567*X222)</f>
        <v>0</v>
      </c>
      <c r="Y202" s="1381">
        <f>Y$57*(SUMIF($M$60:$M$79,$C$202,ARBETSBLAD!Y$114:Y$133)+0.3*Y220+0.67*Y221+0.567*Y222)</f>
        <v>0</v>
      </c>
      <c r="Z202" s="1381">
        <f>Z$57*(SUMIF($M$60:$M$79,$C$202,ARBETSBLAD!Z$114:Z$133)+0.3*Z220+0.67*Z221+0.567*Z222)</f>
        <v>0</v>
      </c>
      <c r="AA202" s="1381">
        <f>AA$57*(SUMIF($M$60:$M$79,$C$202,ARBETSBLAD!AA$114:AA$133)+0.3*AA220+0.67*AA221+0.567*AA222)</f>
        <v>0</v>
      </c>
      <c r="AB202" s="1381">
        <f>AB$57*(SUMIF($M$60:$M$79,$C$202,ARBETSBLAD!AB$114:AB$133)+0.3*AB220+0.67*AB221+0.567*AB222)</f>
        <v>0</v>
      </c>
      <c r="AC202" s="1381">
        <f>AC$57*(SUMIF($M$60:$M$79,$C$202,ARBETSBLAD!AC$114:AC$133)+0.3*AC220+0.67*AC221+0.567*AC222)</f>
        <v>0</v>
      </c>
      <c r="AD202" s="1381">
        <f>AD$57*(SUMIF($M$60:$M$79,$C$202,ARBETSBLAD!AD$114:AD$133)+0.3*AD220+0.67*AD221+0.567*AD222)</f>
        <v>0</v>
      </c>
      <c r="AE202" s="1381">
        <f>AE$57*(SUMIF($M$60:$M$79,$C$202,ARBETSBLAD!AE$114:AE$133)+0.3*AE220+0.67*AE221+0.567*AE222)</f>
        <v>0</v>
      </c>
      <c r="AF202" s="1381">
        <f>AF$57*(SUMIF($M$60:$M$79,$C$202,ARBETSBLAD!AF$114:AF$133)+0.3*AF220+0.67*AF221+0.567*AF222)</f>
        <v>0</v>
      </c>
      <c r="AG202" s="1349"/>
      <c r="AH202" s="1354">
        <f t="shared" si="48"/>
        <v>0</v>
      </c>
      <c r="AI202" s="1355"/>
      <c r="AJ202" s="1354">
        <f t="shared" si="49"/>
        <v>0</v>
      </c>
      <c r="AL202" s="1356"/>
      <c r="AM202" s="1357"/>
      <c r="AN202" s="1434"/>
    </row>
    <row r="203" spans="1:40" s="115" customFormat="1" ht="12" hidden="1" customHeight="1">
      <c r="A203" s="1270"/>
      <c r="B203" s="1317"/>
      <c r="C203" s="1348">
        <f>F203+H203</f>
        <v>600.00099999999998</v>
      </c>
      <c r="D203" s="1349"/>
      <c r="E203" s="1447" t="s">
        <v>2</v>
      </c>
      <c r="F203" s="1350">
        <v>600</v>
      </c>
      <c r="G203" s="2416">
        <f>ARBETSBLAD!G$315</f>
        <v>9.9999999999999995E-7</v>
      </c>
      <c r="H203" s="1352">
        <v>1E-3</v>
      </c>
      <c r="I203" s="1381">
        <f>I$57*(SUMIF($M$60:$M$79,$C$203,ARBETSBLAD!I$114:I$133)+0.433*I222)</f>
        <v>0</v>
      </c>
      <c r="J203" s="1381">
        <f>J$57*(SUMIF($M$60:$M$79,$C$203,ARBETSBLAD!J$114:J$133)+0.433*J222)</f>
        <v>0</v>
      </c>
      <c r="K203" s="1381">
        <f>K$57*(SUMIF($M$60:$M$79,$C$203,ARBETSBLAD!K$114:K$133)+0.433*K222)</f>
        <v>0</v>
      </c>
      <c r="L203" s="1381">
        <f>L$57*(SUMIF($M$60:$M$79,$C$203,ARBETSBLAD!L$114:L$133)+0.433*L222)</f>
        <v>0</v>
      </c>
      <c r="M203" s="1381">
        <f>M$57*(SUMIF($M$60:$M$79,$C$203,ARBETSBLAD!M$114:M$133)+0.433*M222)</f>
        <v>0</v>
      </c>
      <c r="N203" s="1381">
        <f>N$57*(SUMIF($M$60:$M$79,$C$203,ARBETSBLAD!N$114:N$133)+0.433*N222)</f>
        <v>0</v>
      </c>
      <c r="O203" s="1381">
        <f>O$57*(SUMIF($M$60:$M$79,$C$203,ARBETSBLAD!O$114:O$133)+0.433*O222)</f>
        <v>0</v>
      </c>
      <c r="P203" s="1381">
        <f>P$57*(SUMIF($M$60:$M$79,$C$203,ARBETSBLAD!P$114:P$133)+0.433*P222)</f>
        <v>0</v>
      </c>
      <c r="Q203" s="1381">
        <f>Q$57*(SUMIF($M$60:$M$79,$C$203,ARBETSBLAD!Q$114:Q$133)+0.433*Q222)</f>
        <v>0</v>
      </c>
      <c r="R203" s="1381">
        <f>R$57*(SUMIF($M$60:$M$79,$C$203,ARBETSBLAD!R$114:R$133)+0.433*R222)</f>
        <v>0</v>
      </c>
      <c r="S203" s="1381">
        <f>S$57*(SUMIF($M$60:$M$79,$C$203,ARBETSBLAD!S$114:S$133)+0.433*S222)</f>
        <v>0</v>
      </c>
      <c r="T203" s="1381">
        <f>T$57*(SUMIF($M$60:$M$79,$C$203,ARBETSBLAD!T$114:T$133)+0.433*T222)</f>
        <v>0</v>
      </c>
      <c r="U203" s="1381">
        <f>U$57*(SUMIF($M$60:$M$79,$C$203,ARBETSBLAD!U$114:U$133)+0.433*U222)</f>
        <v>0</v>
      </c>
      <c r="V203" s="1381">
        <f>V$57*(SUMIF($M$60:$M$79,$C$203,ARBETSBLAD!V$114:V$133)+0.433*V222)</f>
        <v>0</v>
      </c>
      <c r="W203" s="1381">
        <f>W$57*(SUMIF($M$60:$M$79,$C$203,ARBETSBLAD!W$114:W$133)+0.433*W222)</f>
        <v>0</v>
      </c>
      <c r="X203" s="1381">
        <f>X$57*(SUMIF($M$60:$M$79,$C$203,ARBETSBLAD!X$114:X$133)+0.433*X222)</f>
        <v>0</v>
      </c>
      <c r="Y203" s="1381">
        <f>Y$57*(SUMIF($M$60:$M$79,$C$203,ARBETSBLAD!Y$114:Y$133)+0.433*Y222)</f>
        <v>0</v>
      </c>
      <c r="Z203" s="1381">
        <f>Z$57*(SUMIF($M$60:$M$79,$C$203,ARBETSBLAD!Z$114:Z$133)+0.433*Z222)</f>
        <v>0</v>
      </c>
      <c r="AA203" s="1381">
        <f>AA$57*(SUMIF($M$60:$M$79,$C$203,ARBETSBLAD!AA$114:AA$133)+0.433*AA222)</f>
        <v>0</v>
      </c>
      <c r="AB203" s="1381">
        <f>AB$57*(SUMIF($M$60:$M$79,$C$203,ARBETSBLAD!AB$114:AB$133)+0.433*AB222)</f>
        <v>0</v>
      </c>
      <c r="AC203" s="1381">
        <f>AC$57*(SUMIF($M$60:$M$79,$C$203,ARBETSBLAD!AC$114:AC$133)+0.433*AC222)</f>
        <v>0</v>
      </c>
      <c r="AD203" s="1381">
        <f>AD$57*(SUMIF($M$60:$M$79,$C$203,ARBETSBLAD!AD$114:AD$133)+0.433*AD222)</f>
        <v>0</v>
      </c>
      <c r="AE203" s="1381">
        <f>AE$57*(SUMIF($M$60:$M$79,$C$203,ARBETSBLAD!AE$114:AE$133)+0.433*AE222)</f>
        <v>0</v>
      </c>
      <c r="AF203" s="1381">
        <f>AF$57*(SUMIF($M$60:$M$79,$C$203,ARBETSBLAD!AF$114:AF$133)+0.433*AF222)</f>
        <v>0</v>
      </c>
      <c r="AG203" s="1349"/>
      <c r="AH203" s="1354">
        <f t="shared" si="48"/>
        <v>0</v>
      </c>
      <c r="AI203" s="1355"/>
      <c r="AJ203" s="1354">
        <f t="shared" si="49"/>
        <v>0</v>
      </c>
      <c r="AL203" s="1356"/>
      <c r="AM203" s="1357"/>
      <c r="AN203" s="1434"/>
    </row>
    <row r="204" spans="1:40" s="115" customFormat="1" ht="12" hidden="1" customHeight="1">
      <c r="A204" s="1270"/>
      <c r="B204" s="1317"/>
      <c r="C204" s="1348">
        <f>F204+H204</f>
        <v>900.00099999999998</v>
      </c>
      <c r="D204" s="1349"/>
      <c r="E204" s="1447" t="s">
        <v>3</v>
      </c>
      <c r="F204" s="1350">
        <v>900</v>
      </c>
      <c r="G204" s="2416">
        <f>ARBETSBLAD!G$315</f>
        <v>9.9999999999999995E-7</v>
      </c>
      <c r="H204" s="1352">
        <v>1E-3</v>
      </c>
      <c r="I204" s="1381">
        <f>I$57*(SUMIF($M$60:$M$79,$C$204,ARBETSBLAD!I$114:I$133))</f>
        <v>0</v>
      </c>
      <c r="J204" s="1381">
        <f>J$57*(SUMIF($M$60:$M$79,$C$204,ARBETSBLAD!J$114:J$133))</f>
        <v>0</v>
      </c>
      <c r="K204" s="1381">
        <f>K$57*(SUMIF($M$60:$M$79,$C$204,ARBETSBLAD!K$114:K$133))</f>
        <v>0</v>
      </c>
      <c r="L204" s="1381">
        <f>L$57*(SUMIF($M$60:$M$79,$C$204,ARBETSBLAD!L$114:L$133))</f>
        <v>0</v>
      </c>
      <c r="M204" s="1381">
        <f>M$57*(SUMIF($M$60:$M$79,$C$204,ARBETSBLAD!M$114:M$133))</f>
        <v>0</v>
      </c>
      <c r="N204" s="1381">
        <f>N$57*(SUMIF($M$60:$M$79,$C$204,ARBETSBLAD!N$114:N$133))</f>
        <v>0</v>
      </c>
      <c r="O204" s="1381">
        <f>O$57*(SUMIF($M$60:$M$79,$C$204,ARBETSBLAD!O$114:O$133))</f>
        <v>0</v>
      </c>
      <c r="P204" s="1381">
        <f>P$57*(SUMIF($M$60:$M$79,$C$204,ARBETSBLAD!P$114:P$133))</f>
        <v>0</v>
      </c>
      <c r="Q204" s="1381">
        <f>Q$57*(SUMIF($M$60:$M$79,$C$204,ARBETSBLAD!Q$114:Q$133))</f>
        <v>0</v>
      </c>
      <c r="R204" s="1381">
        <f>R$57*(SUMIF($M$60:$M$79,$C$204,ARBETSBLAD!R$114:R$133))</f>
        <v>0</v>
      </c>
      <c r="S204" s="1381">
        <f>S$57*(SUMIF($M$60:$M$79,$C$204,ARBETSBLAD!S$114:S$133))</f>
        <v>0</v>
      </c>
      <c r="T204" s="1381">
        <f>T$57*(SUMIF($M$60:$M$79,$C$204,ARBETSBLAD!T$114:T$133))</f>
        <v>0</v>
      </c>
      <c r="U204" s="1381">
        <f>U$57*(SUMIF($M$60:$M$79,$C$204,ARBETSBLAD!U$114:U$133))</f>
        <v>0</v>
      </c>
      <c r="V204" s="1381">
        <f>V$57*(SUMIF($M$60:$M$79,$C$204,ARBETSBLAD!V$114:V$133))</f>
        <v>0</v>
      </c>
      <c r="W204" s="1381">
        <f>W$57*(SUMIF($M$60:$M$79,$C$204,ARBETSBLAD!W$114:W$133))</f>
        <v>0</v>
      </c>
      <c r="X204" s="1381">
        <f>X$57*(SUMIF($M$60:$M$79,$C$204,ARBETSBLAD!X$114:X$133))</f>
        <v>0</v>
      </c>
      <c r="Y204" s="1381">
        <f>Y$57*(SUMIF($M$60:$M$79,$C$204,ARBETSBLAD!Y$114:Y$133))</f>
        <v>0</v>
      </c>
      <c r="Z204" s="1381">
        <f>Z$57*(SUMIF($M$60:$M$79,$C$204,ARBETSBLAD!Z$114:Z$133))</f>
        <v>0</v>
      </c>
      <c r="AA204" s="1381">
        <f>AA$57*(SUMIF($M$60:$M$79,$C$204,ARBETSBLAD!AA$114:AA$133))</f>
        <v>0</v>
      </c>
      <c r="AB204" s="1381">
        <f>AB$57*(SUMIF($M$60:$M$79,$C$204,ARBETSBLAD!AB$114:AB$133))</f>
        <v>0</v>
      </c>
      <c r="AC204" s="1381">
        <f>AC$57*(SUMIF($M$60:$M$79,$C$204,ARBETSBLAD!AC$114:AC$133))</f>
        <v>0</v>
      </c>
      <c r="AD204" s="1381">
        <f>AD$57*(SUMIF($M$60:$M$79,$C$204,ARBETSBLAD!AD$114:AD$133))</f>
        <v>0</v>
      </c>
      <c r="AE204" s="1381">
        <f>AE$57*(SUMIF($M$60:$M$79,$C$204,ARBETSBLAD!AE$114:AE$133))</f>
        <v>0</v>
      </c>
      <c r="AF204" s="1381">
        <f>AF$57*(SUMIF($M$60:$M$79,$C$204,ARBETSBLAD!AF$114:AF$133))</f>
        <v>0</v>
      </c>
      <c r="AG204" s="1349"/>
      <c r="AH204" s="1354">
        <f t="shared" si="48"/>
        <v>0</v>
      </c>
      <c r="AI204" s="1355"/>
      <c r="AJ204" s="1354">
        <f t="shared" si="49"/>
        <v>0</v>
      </c>
      <c r="AL204" s="1356"/>
      <c r="AM204" s="1357"/>
      <c r="AN204" s="1434"/>
    </row>
    <row r="205" spans="1:40" s="115" customFormat="1" ht="12" hidden="1" customHeight="1">
      <c r="A205" s="1270"/>
      <c r="B205" s="1317"/>
      <c r="C205" s="1348"/>
      <c r="D205" s="1349"/>
      <c r="E205" s="1350"/>
      <c r="F205" s="1349"/>
      <c r="G205" s="1350"/>
      <c r="H205" s="1368"/>
      <c r="I205" s="1435"/>
      <c r="J205" s="1435"/>
      <c r="K205" s="1435"/>
      <c r="L205" s="1435"/>
      <c r="M205" s="1435"/>
      <c r="N205" s="1435"/>
      <c r="O205" s="1435"/>
      <c r="P205" s="1435"/>
      <c r="Q205" s="1435"/>
      <c r="R205" s="1435"/>
      <c r="S205" s="1435"/>
      <c r="T205" s="1435"/>
      <c r="U205" s="1435"/>
      <c r="V205" s="1435"/>
      <c r="W205" s="1435"/>
      <c r="X205" s="1435"/>
      <c r="Y205" s="1435"/>
      <c r="Z205" s="1435"/>
      <c r="AA205" s="1435"/>
      <c r="AB205" s="1435"/>
      <c r="AC205" s="1435"/>
      <c r="AD205" s="1435"/>
      <c r="AE205" s="1435"/>
      <c r="AF205" s="1435"/>
      <c r="AG205" s="1349"/>
      <c r="AH205" s="1354">
        <f t="shared" si="48"/>
        <v>0</v>
      </c>
      <c r="AI205" s="1355"/>
      <c r="AJ205" s="1354">
        <f t="shared" si="49"/>
        <v>0</v>
      </c>
      <c r="AL205" s="1357"/>
      <c r="AM205" s="1357"/>
      <c r="AN205" s="1357"/>
    </row>
    <row r="206" spans="1:40" s="115" customFormat="1" ht="12" hidden="1" customHeight="1">
      <c r="A206" s="1270"/>
      <c r="B206" s="1317"/>
      <c r="C206" s="1348">
        <f>F206+H206</f>
        <v>1.06</v>
      </c>
      <c r="D206" s="1349"/>
      <c r="E206" s="1447" t="s">
        <v>0</v>
      </c>
      <c r="F206" s="1350">
        <v>1</v>
      </c>
      <c r="G206" s="1448">
        <f>$O$64</f>
        <v>0.06</v>
      </c>
      <c r="H206" s="1368">
        <f>$P$64</f>
        <v>0.06</v>
      </c>
      <c r="I206" s="1381">
        <f>I$57*(SUMIF($M$60:$M$79,$C$206,ARBETSBLAD!I$114:I$133)+IF($M$80=$C$206,ARBETSBLAD!I$239,0)+0.7*I223+0.33*I224)</f>
        <v>0</v>
      </c>
      <c r="J206" s="1381">
        <f>J$57*(SUMIF($M$60:$M$79,$C$206,ARBETSBLAD!J$114:J$133)+IF($M$80=$C$206,ARBETSBLAD!J$239,0)+0.7*J223+0.33*J224)</f>
        <v>0</v>
      </c>
      <c r="K206" s="1381">
        <f>K$57*(SUMIF($M$60:$M$79,$C$206,ARBETSBLAD!K$114:K$133)+IF($M$80=$C$206,ARBETSBLAD!K$239,0)+0.7*K223+0.33*K224)</f>
        <v>0</v>
      </c>
      <c r="L206" s="1381">
        <f>L$57*(SUMIF($M$60:$M$79,$C$206,ARBETSBLAD!L$114:L$133)+IF($M$80=$C$206,ARBETSBLAD!L$239,0)+0.7*L223+0.33*L224)</f>
        <v>0</v>
      </c>
      <c r="M206" s="1381">
        <f>M$57*(SUMIF($M$60:$M$79,$C$206,ARBETSBLAD!M$114:M$133)+IF($M$80=$C$206,ARBETSBLAD!M$239,0)+0.7*M223+0.33*M224)</f>
        <v>0</v>
      </c>
      <c r="N206" s="1381">
        <f>N$57*(SUMIF($M$60:$M$79,$C$206,ARBETSBLAD!N$114:N$133)+IF($M$80=$C$206,ARBETSBLAD!N$239,0)+0.7*N223+0.33*N224)</f>
        <v>0</v>
      </c>
      <c r="O206" s="1381">
        <f>O$57*(SUMIF($M$60:$M$79,$C$206,ARBETSBLAD!O$114:O$133)+IF($M$80=$C$206,ARBETSBLAD!O$239,0)+0.7*O223+0.33*O224)</f>
        <v>0</v>
      </c>
      <c r="P206" s="1381">
        <f>P$57*(SUMIF($M$60:$M$79,$C$206,ARBETSBLAD!P$114:P$133)+IF($M$80=$C$206,ARBETSBLAD!P$239,0)+0.7*P223+0.33*P224)</f>
        <v>0</v>
      </c>
      <c r="Q206" s="1381">
        <f>Q$57*(SUMIF($M$60:$M$79,$C$206,ARBETSBLAD!Q$114:Q$133)+IF($M$80=$C$206,ARBETSBLAD!Q$239,0)+0.7*Q223+0.33*Q224)</f>
        <v>0</v>
      </c>
      <c r="R206" s="1381">
        <f>R$57*(SUMIF($M$60:$M$79,$C$206,ARBETSBLAD!R$114:R$133)+IF($M$80=$C$206,ARBETSBLAD!R$239,0)+0.7*R223+0.33*R224)</f>
        <v>0</v>
      </c>
      <c r="S206" s="1381">
        <f>S$57*(SUMIF($M$60:$M$79,$C$206,ARBETSBLAD!S$114:S$133)+IF($M$80=$C$206,ARBETSBLAD!S$239,0)+0.7*S223+0.33*S224)</f>
        <v>0</v>
      </c>
      <c r="T206" s="1381">
        <f>T$57*(SUMIF($M$60:$M$79,$C$206,ARBETSBLAD!T$114:T$133)+IF($M$80=$C$206,ARBETSBLAD!T$239,0)+0.7*T223+0.33*T224)</f>
        <v>0</v>
      </c>
      <c r="U206" s="1381">
        <f>U$57*(SUMIF($M$60:$M$79,$C$206,ARBETSBLAD!U$114:U$133)+IF($M$80=$C$206,ARBETSBLAD!U$239,0)+0.7*U223+0.33*U224)</f>
        <v>0</v>
      </c>
      <c r="V206" s="1381">
        <f>V$57*(SUMIF($M$60:$M$79,$C$206,ARBETSBLAD!V$114:V$133)+IF($M$80=$C$206,ARBETSBLAD!V$239,0)+0.7*V223+0.33*V224)</f>
        <v>0</v>
      </c>
      <c r="W206" s="1381">
        <f>W$57*(SUMIF($M$60:$M$79,$C$206,ARBETSBLAD!W$114:W$133)+IF($M$80=$C$206,ARBETSBLAD!W$239,0)+0.7*W223+0.33*W224)</f>
        <v>0</v>
      </c>
      <c r="X206" s="1381">
        <f>X$57*(SUMIF($M$60:$M$79,$C$206,ARBETSBLAD!X$114:X$133)+IF($M$80=$C$206,ARBETSBLAD!X$239,0)+0.7*X223+0.33*X224)</f>
        <v>0</v>
      </c>
      <c r="Y206" s="1381">
        <f>Y$57*(SUMIF($M$60:$M$79,$C$206,ARBETSBLAD!Y$114:Y$133)+IF($M$80=$C$206,ARBETSBLAD!Y$239,0)+0.7*Y223+0.33*Y224)</f>
        <v>0</v>
      </c>
      <c r="Z206" s="1381">
        <f>Z$57*(SUMIF($M$60:$M$79,$C$206,ARBETSBLAD!Z$114:Z$133)+IF($M$80=$C$206,ARBETSBLAD!Z$239,0)+0.7*Z223+0.33*Z224)</f>
        <v>0</v>
      </c>
      <c r="AA206" s="1381">
        <f>AA$57*(SUMIF($M$60:$M$79,$C$206,ARBETSBLAD!AA$114:AA$133)+IF($M$80=$C$206,ARBETSBLAD!AA$239,0)+0.7*AA223+0.33*AA224)</f>
        <v>0</v>
      </c>
      <c r="AB206" s="1381">
        <f>AB$57*(SUMIF($M$60:$M$79,$C$206,ARBETSBLAD!AB$114:AB$133)+IF($M$80=$C$206,ARBETSBLAD!AB$239,0)+0.7*AB223+0.33*AB224)</f>
        <v>0</v>
      </c>
      <c r="AC206" s="1381">
        <f>AC$57*(SUMIF($M$60:$M$79,$C$206,ARBETSBLAD!AC$114:AC$133)+IF($M$80=$C$206,ARBETSBLAD!AC$239,0)+0.7*AC223+0.33*AC224)</f>
        <v>0</v>
      </c>
      <c r="AD206" s="1381">
        <f>AD$57*(SUMIF($M$60:$M$79,$C$206,ARBETSBLAD!AD$114:AD$133)+IF($M$80=$C$206,ARBETSBLAD!AD$239,0)+0.7*AD223+0.33*AD224)</f>
        <v>0</v>
      </c>
      <c r="AE206" s="1381">
        <f>AE$57*(SUMIF($M$60:$M$79,$C$206,ARBETSBLAD!AE$114:AE$133)+IF($M$80=$C$206,ARBETSBLAD!AE$239,0)+0.7*AE223+0.33*AE224)</f>
        <v>0</v>
      </c>
      <c r="AF206" s="1381">
        <f>AF$57*(SUMIF($M$60:$M$79,$C$206,ARBETSBLAD!AF$114:AF$133)+IF($M$80=$C$206,ARBETSBLAD!AF$239,0)+0.7*AF223+0.33*AF224)</f>
        <v>0</v>
      </c>
      <c r="AG206" s="1349"/>
      <c r="AH206" s="1354">
        <f t="shared" si="48"/>
        <v>0</v>
      </c>
      <c r="AI206" s="1355"/>
      <c r="AJ206" s="1354">
        <f t="shared" si="49"/>
        <v>0</v>
      </c>
      <c r="AL206" s="1356"/>
      <c r="AM206" s="1357"/>
      <c r="AN206" s="1437"/>
    </row>
    <row r="207" spans="1:40" s="115" customFormat="1" ht="12" hidden="1" customHeight="1">
      <c r="A207" s="1270"/>
      <c r="B207" s="1317"/>
      <c r="C207" s="1348">
        <f>F207+H207</f>
        <v>300.06</v>
      </c>
      <c r="D207" s="1349"/>
      <c r="E207" s="1447" t="s">
        <v>1</v>
      </c>
      <c r="F207" s="1350">
        <v>300</v>
      </c>
      <c r="G207" s="1448">
        <f>$O$64</f>
        <v>0.06</v>
      </c>
      <c r="H207" s="1368">
        <f>$P$64</f>
        <v>0.06</v>
      </c>
      <c r="I207" s="1381">
        <f>I57*(SUMIF($M$60:$M$79,$C$207,ARBETSBLAD!I$114:I$133)+0.3*I223+0.67*I224+0.567*I225)</f>
        <v>0</v>
      </c>
      <c r="J207" s="1381">
        <f>J57*(SUMIF($M$60:$M$79,$C$207,ARBETSBLAD!J$114:J$133)+0.3*J223+0.67*J224+0.567*J225)</f>
        <v>0</v>
      </c>
      <c r="K207" s="1381">
        <f>K57*(SUMIF($M$60:$M$79,$C$207,ARBETSBLAD!K$114:K$133)+0.3*K223+0.67*K224+0.567*K225)</f>
        <v>0</v>
      </c>
      <c r="L207" s="1381">
        <f>L57*(SUMIF($M$60:$M$79,$C$207,ARBETSBLAD!L$114:L$133)+0.3*L223+0.67*L224+0.567*L225)</f>
        <v>0</v>
      </c>
      <c r="M207" s="1381">
        <f>M57*(SUMIF($M$60:$M$79,$C$207,ARBETSBLAD!M$114:M$133)+0.3*M223+0.67*M224+0.567*M225)</f>
        <v>0</v>
      </c>
      <c r="N207" s="1381">
        <f>N57*(SUMIF($M$60:$M$79,$C$207,ARBETSBLAD!N$114:N$133)+0.3*N223+0.67*N224+0.567*N225)</f>
        <v>0</v>
      </c>
      <c r="O207" s="1381">
        <f>O57*(SUMIF($M$60:$M$79,$C$207,ARBETSBLAD!O$114:O$133)+0.3*O223+0.67*O224+0.567*O225)</f>
        <v>0</v>
      </c>
      <c r="P207" s="1381">
        <f>P57*(SUMIF($M$60:$M$79,$C$207,ARBETSBLAD!P$114:P$133)+0.3*P223+0.67*P224+0.567*P225)</f>
        <v>0</v>
      </c>
      <c r="Q207" s="1381">
        <f>Q57*(SUMIF($M$60:$M$79,$C$207,ARBETSBLAD!Q$114:Q$133)+0.3*Q223+0.67*Q224+0.567*Q225)</f>
        <v>0</v>
      </c>
      <c r="R207" s="1381">
        <f>R57*(SUMIF($M$60:$M$79,$C$207,ARBETSBLAD!R$114:R$133)+0.3*R223+0.67*R224+0.567*R225)</f>
        <v>0</v>
      </c>
      <c r="S207" s="1381">
        <f>S57*(SUMIF($M$60:$M$79,$C$207,ARBETSBLAD!S$114:S$133)+0.3*S223+0.67*S224+0.567*S225)</f>
        <v>0</v>
      </c>
      <c r="T207" s="1381">
        <f>T57*(SUMIF($M$60:$M$79,$C$207,ARBETSBLAD!T$114:T$133)+0.3*T223+0.67*T224+0.567*T225)</f>
        <v>0</v>
      </c>
      <c r="U207" s="1381">
        <f>U57*(SUMIF($M$60:$M$79,$C$207,ARBETSBLAD!U$114:U$133)+0.3*U223+0.67*U224+0.567*U225)</f>
        <v>0</v>
      </c>
      <c r="V207" s="1381">
        <f>V57*(SUMIF($M$60:$M$79,$C$207,ARBETSBLAD!V$114:V$133)+0.3*V223+0.67*V224+0.567*V225)</f>
        <v>0</v>
      </c>
      <c r="W207" s="1381">
        <f>W57*(SUMIF($M$60:$M$79,$C$207,ARBETSBLAD!W$114:W$133)+0.3*W223+0.67*W224+0.567*W225)</f>
        <v>0</v>
      </c>
      <c r="X207" s="1381">
        <f>X57*(SUMIF($M$60:$M$79,$C$207,ARBETSBLAD!X$114:X$133)+0.3*X223+0.67*X224+0.567*X225)</f>
        <v>0</v>
      </c>
      <c r="Y207" s="1381">
        <f>Y57*(SUMIF($M$60:$M$79,$C$207,ARBETSBLAD!Y$114:Y$133)+0.3*Y223+0.67*Y224+0.567*Y225)</f>
        <v>0</v>
      </c>
      <c r="Z207" s="1381">
        <f>Z57*(SUMIF($M$60:$M$79,$C$207,ARBETSBLAD!Z$114:Z$133)+0.3*Z223+0.67*Z224+0.567*Z225)</f>
        <v>0</v>
      </c>
      <c r="AA207" s="1381">
        <f>AA57*(SUMIF($M$60:$M$79,$C$207,ARBETSBLAD!AA$114:AA$133)+0.3*AA223+0.67*AA224+0.567*AA225)</f>
        <v>0</v>
      </c>
      <c r="AB207" s="1381">
        <f>AB57*(SUMIF($M$60:$M$79,$C$207,ARBETSBLAD!AB$114:AB$133)+0.3*AB223+0.67*AB224+0.567*AB225)</f>
        <v>0</v>
      </c>
      <c r="AC207" s="1381">
        <f>AC57*(SUMIF($M$60:$M$79,$C$207,ARBETSBLAD!AC$114:AC$133)+0.3*AC223+0.67*AC224+0.567*AC225)</f>
        <v>0</v>
      </c>
      <c r="AD207" s="1381">
        <f>AD57*(SUMIF($M$60:$M$79,$C$207,ARBETSBLAD!AD$114:AD$133)+0.3*AD223+0.67*AD224+0.567*AD225)</f>
        <v>0</v>
      </c>
      <c r="AE207" s="1381">
        <f>AE57*(SUMIF($M$60:$M$79,$C$207,ARBETSBLAD!AE$114:AE$133)+0.3*AE223+0.67*AE224+0.567*AE225)</f>
        <v>0</v>
      </c>
      <c r="AF207" s="1381">
        <f>AF57*(SUMIF($M$60:$M$79,$C$207,ARBETSBLAD!AF$114:AF$133)+0.3*AF223+0.67*AF224+0.567*AF225)</f>
        <v>0</v>
      </c>
      <c r="AG207" s="1349"/>
      <c r="AH207" s="1354">
        <f t="shared" si="48"/>
        <v>0</v>
      </c>
      <c r="AI207" s="1355"/>
      <c r="AJ207" s="1354">
        <f t="shared" si="49"/>
        <v>0</v>
      </c>
      <c r="AL207" s="1356"/>
      <c r="AM207" s="1357"/>
      <c r="AN207" s="1437"/>
    </row>
    <row r="208" spans="1:40" s="115" customFormat="1" ht="12" hidden="1" customHeight="1">
      <c r="A208" s="1270"/>
      <c r="B208" s="1317"/>
      <c r="C208" s="1348">
        <f>F208+H208</f>
        <v>600.05999999999995</v>
      </c>
      <c r="D208" s="1349"/>
      <c r="E208" s="1447" t="s">
        <v>2</v>
      </c>
      <c r="F208" s="1350">
        <v>600</v>
      </c>
      <c r="G208" s="1448">
        <f>$O$64</f>
        <v>0.06</v>
      </c>
      <c r="H208" s="1368">
        <f>$P$64</f>
        <v>0.06</v>
      </c>
      <c r="I208" s="1381">
        <f ca="1">I57*(SUMIF($M$60:$M$79,$C$208,ARBETSBLAD!I114:I125)+0.433*I225)</f>
        <v>0</v>
      </c>
      <c r="J208" s="1381">
        <f ca="1">J57*(SUMIF($M$60:$M$79,$C$208,ARBETSBLAD!J114:J125)+0.433*J225)</f>
        <v>0</v>
      </c>
      <c r="K208" s="1381">
        <f ca="1">K57*(SUMIF($M$60:$M$79,$C$208,ARBETSBLAD!K114:K125)+0.433*K225)</f>
        <v>0</v>
      </c>
      <c r="L208" s="1381">
        <f ca="1">L57*(SUMIF($M$60:$M$79,$C$208,ARBETSBLAD!L114:L125)+0.433*L225)</f>
        <v>0</v>
      </c>
      <c r="M208" s="1381">
        <f ca="1">M57*(SUMIF($M$60:$M$79,$C$208,ARBETSBLAD!M114:M125)+0.433*M225)</f>
        <v>0</v>
      </c>
      <c r="N208" s="1381">
        <f ca="1">N57*(SUMIF($M$60:$M$79,$C$208,ARBETSBLAD!N114:N125)+0.433*N225)</f>
        <v>0</v>
      </c>
      <c r="O208" s="1381">
        <f ca="1">O57*(SUMIF($M$60:$M$79,$C$208,ARBETSBLAD!O114:O125)+0.433*O225)</f>
        <v>0</v>
      </c>
      <c r="P208" s="1381">
        <f ca="1">P57*(SUMIF($M$60:$M$79,$C$208,ARBETSBLAD!P114:P125)+0.433*P225)</f>
        <v>0</v>
      </c>
      <c r="Q208" s="1381">
        <f ca="1">Q57*(SUMIF($M$60:$M$79,$C$208,ARBETSBLAD!Q114:Q125)+0.433*Q225)</f>
        <v>0</v>
      </c>
      <c r="R208" s="1381">
        <f ca="1">R57*(SUMIF($M$60:$M$79,$C$208,ARBETSBLAD!R114:R125)+0.433*R225)</f>
        <v>0</v>
      </c>
      <c r="S208" s="1381">
        <f ca="1">S57*(SUMIF($M$60:$M$79,$C$208,ARBETSBLAD!S114:S125)+0.433*S225)</f>
        <v>0</v>
      </c>
      <c r="T208" s="1381">
        <f ca="1">T57*(SUMIF($M$60:$M$79,$C$208,ARBETSBLAD!T114:T125)+0.433*T225)</f>
        <v>0</v>
      </c>
      <c r="U208" s="1381">
        <f ca="1">U57*(SUMIF($M$60:$M$79,$C$208,ARBETSBLAD!U114:U125)+0.433*U225)</f>
        <v>0</v>
      </c>
      <c r="V208" s="1381">
        <f ca="1">V57*(SUMIF($M$60:$M$79,$C$208,ARBETSBLAD!V114:V125)+0.433*V225)</f>
        <v>0</v>
      </c>
      <c r="W208" s="1381">
        <f ca="1">W57*(SUMIF($M$60:$M$79,$C$208,ARBETSBLAD!W114:W125)+0.433*W225)</f>
        <v>0</v>
      </c>
      <c r="X208" s="1381">
        <f ca="1">X57*(SUMIF($M$60:$M$79,$C$208,ARBETSBLAD!X114:X125)+0.433*X225)</f>
        <v>0</v>
      </c>
      <c r="Y208" s="1381">
        <f ca="1">Y57*(SUMIF($M$60:$M$79,$C$208,ARBETSBLAD!Y114:Y125)+0.433*Y225)</f>
        <v>0</v>
      </c>
      <c r="Z208" s="1381">
        <f ca="1">Z57*(SUMIF($M$60:$M$79,$C$208,ARBETSBLAD!Z114:Z125)+0.433*Z225)</f>
        <v>0</v>
      </c>
      <c r="AA208" s="1381">
        <f ca="1">AA57*(SUMIF($M$60:$M$79,$C$208,ARBETSBLAD!AA114:AA125)+0.433*AA225)</f>
        <v>0</v>
      </c>
      <c r="AB208" s="1381">
        <f ca="1">AB57*(SUMIF($M$60:$M$79,$C$208,ARBETSBLAD!AB114:AB125)+0.433*AB225)</f>
        <v>0</v>
      </c>
      <c r="AC208" s="1381">
        <f ca="1">AC57*(SUMIF($M$60:$M$79,$C$208,ARBETSBLAD!AC114:AC125)+0.433*AC225)</f>
        <v>0</v>
      </c>
      <c r="AD208" s="1381">
        <f ca="1">AD57*(SUMIF($M$60:$M$79,$C$208,ARBETSBLAD!AD114:AD125)+0.433*AD225)</f>
        <v>0</v>
      </c>
      <c r="AE208" s="1381">
        <f ca="1">AE57*(SUMIF($M$60:$M$79,$C$208,ARBETSBLAD!AE114:AE125)+0.433*AE225)</f>
        <v>0</v>
      </c>
      <c r="AF208" s="1381">
        <f ca="1">AF57*(SUMIF($M$60:$M$79,$C$208,ARBETSBLAD!AF114:AF125)+0.433*AF225)</f>
        <v>0</v>
      </c>
      <c r="AG208" s="1349"/>
      <c r="AH208" s="1354">
        <f t="shared" ca="1" si="48"/>
        <v>0</v>
      </c>
      <c r="AI208" s="1355"/>
      <c r="AJ208" s="1354">
        <f t="shared" ca="1" si="49"/>
        <v>0</v>
      </c>
      <c r="AL208" s="1356"/>
      <c r="AM208" s="1357"/>
      <c r="AN208" s="1437"/>
    </row>
    <row r="209" spans="1:40" s="115" customFormat="1" ht="12" hidden="1" customHeight="1">
      <c r="A209" s="1270"/>
      <c r="B209" s="1317"/>
      <c r="C209" s="1348">
        <f>F209+H209</f>
        <v>900.06</v>
      </c>
      <c r="D209" s="1349"/>
      <c r="E209" s="1447" t="s">
        <v>3</v>
      </c>
      <c r="F209" s="1350">
        <v>900</v>
      </c>
      <c r="G209" s="1448">
        <f>$O$64</f>
        <v>0.06</v>
      </c>
      <c r="H209" s="1368">
        <f>$P$64</f>
        <v>0.06</v>
      </c>
      <c r="I209" s="1381">
        <f ca="1">I57*SUMIF($M$60:$M$79,$C$209,ARBETSBLAD!I114:I125)</f>
        <v>0</v>
      </c>
      <c r="J209" s="1381">
        <f ca="1">J57*SUMIF($M$60:$M$79,$C$209,ARBETSBLAD!J114:J125)</f>
        <v>0</v>
      </c>
      <c r="K209" s="1381">
        <f ca="1">K57*SUMIF($M$60:$M$79,$C$209,ARBETSBLAD!K114:K125)</f>
        <v>0</v>
      </c>
      <c r="L209" s="1381">
        <f ca="1">L57*SUMIF($M$60:$M$79,$C$209,ARBETSBLAD!L114:L125)</f>
        <v>0</v>
      </c>
      <c r="M209" s="1381">
        <f ca="1">M57*SUMIF($M$60:$M$79,$C$209,ARBETSBLAD!M114:M125)</f>
        <v>0</v>
      </c>
      <c r="N209" s="1381">
        <f ca="1">N57*SUMIF($M$60:$M$79,$C$209,ARBETSBLAD!N114:N125)</f>
        <v>0</v>
      </c>
      <c r="O209" s="1381">
        <f ca="1">O57*SUMIF($M$60:$M$79,$C$209,ARBETSBLAD!O114:O125)</f>
        <v>0</v>
      </c>
      <c r="P209" s="1381">
        <f ca="1">P57*SUMIF($M$60:$M$79,$C$209,ARBETSBLAD!P114:P125)</f>
        <v>0</v>
      </c>
      <c r="Q209" s="1381">
        <f ca="1">Q57*SUMIF($M$60:$M$79,$C$209,ARBETSBLAD!Q114:Q125)</f>
        <v>0</v>
      </c>
      <c r="R209" s="1381">
        <f ca="1">R57*SUMIF($M$60:$M$79,$C$209,ARBETSBLAD!R114:R125)</f>
        <v>0</v>
      </c>
      <c r="S209" s="1381">
        <f ca="1">S57*SUMIF($M$60:$M$79,$C$209,ARBETSBLAD!S114:S125)</f>
        <v>0</v>
      </c>
      <c r="T209" s="1381">
        <f ca="1">T57*SUMIF($M$60:$M$79,$C$209,ARBETSBLAD!T114:T125)</f>
        <v>0</v>
      </c>
      <c r="U209" s="1381">
        <f ca="1">U57*SUMIF($M$60:$M$79,$C$209,ARBETSBLAD!U114:U125)</f>
        <v>0</v>
      </c>
      <c r="V209" s="1381">
        <f ca="1">V57*SUMIF($M$60:$M$79,$C$209,ARBETSBLAD!V114:V125)</f>
        <v>0</v>
      </c>
      <c r="W209" s="1381">
        <f ca="1">W57*SUMIF($M$60:$M$79,$C$209,ARBETSBLAD!W114:W125)</f>
        <v>0</v>
      </c>
      <c r="X209" s="1381">
        <f ca="1">X57*SUMIF($M$60:$M$79,$C$209,ARBETSBLAD!X114:X125)</f>
        <v>0</v>
      </c>
      <c r="Y209" s="1381">
        <f ca="1">Y57*SUMIF($M$60:$M$79,$C$209,ARBETSBLAD!Y114:Y125)</f>
        <v>0</v>
      </c>
      <c r="Z209" s="1381">
        <f ca="1">Z57*SUMIF($M$60:$M$79,$C$209,ARBETSBLAD!Z114:Z125)</f>
        <v>0</v>
      </c>
      <c r="AA209" s="1381">
        <f ca="1">AA57*SUMIF($M$60:$M$79,$C$209,ARBETSBLAD!AA114:AA125)</f>
        <v>0</v>
      </c>
      <c r="AB209" s="1381">
        <f ca="1">AB57*SUMIF($M$60:$M$79,$C$209,ARBETSBLAD!AB114:AB125)</f>
        <v>0</v>
      </c>
      <c r="AC209" s="1381">
        <f ca="1">AC57*SUMIF($M$60:$M$79,$C$209,ARBETSBLAD!AC114:AC125)</f>
        <v>0</v>
      </c>
      <c r="AD209" s="1381">
        <f ca="1">AD57*SUMIF($M$60:$M$79,$C$209,ARBETSBLAD!AD114:AD125)</f>
        <v>0</v>
      </c>
      <c r="AE209" s="1381">
        <f ca="1">AE57*SUMIF($M$60:$M$79,$C$209,ARBETSBLAD!AE114:AE125)</f>
        <v>0</v>
      </c>
      <c r="AF209" s="1381">
        <f ca="1">AF57*SUMIF($M$60:$M$79,$C$209,ARBETSBLAD!AF114:AF125)</f>
        <v>0</v>
      </c>
      <c r="AG209" s="1349"/>
      <c r="AH209" s="1354">
        <f t="shared" ca="1" si="48"/>
        <v>0</v>
      </c>
      <c r="AI209" s="1355"/>
      <c r="AJ209" s="1354">
        <f t="shared" ca="1" si="49"/>
        <v>0</v>
      </c>
      <c r="AL209" s="1356"/>
      <c r="AM209" s="1357"/>
      <c r="AN209" s="1437"/>
    </row>
    <row r="210" spans="1:40" s="115" customFormat="1" ht="12" hidden="1" customHeight="1">
      <c r="A210" s="1270"/>
      <c r="B210" s="1317"/>
      <c r="C210" s="1348"/>
      <c r="D210" s="1349"/>
      <c r="E210" s="1350"/>
      <c r="F210" s="1349"/>
      <c r="G210" s="1350"/>
      <c r="H210" s="1368"/>
      <c r="I210" s="1435"/>
      <c r="J210" s="1435"/>
      <c r="K210" s="1435"/>
      <c r="L210" s="1435"/>
      <c r="M210" s="1435"/>
      <c r="N210" s="1435"/>
      <c r="O210" s="1435"/>
      <c r="P210" s="1435"/>
      <c r="Q210" s="1435"/>
      <c r="R210" s="1435"/>
      <c r="S210" s="1435"/>
      <c r="T210" s="1435"/>
      <c r="U210" s="1435"/>
      <c r="V210" s="1435"/>
      <c r="W210" s="1435"/>
      <c r="X210" s="1435"/>
      <c r="Y210" s="1435"/>
      <c r="Z210" s="1435"/>
      <c r="AA210" s="1435"/>
      <c r="AB210" s="1435"/>
      <c r="AC210" s="1435"/>
      <c r="AD210" s="1435"/>
      <c r="AE210" s="1435"/>
      <c r="AF210" s="1435"/>
      <c r="AG210" s="1349"/>
      <c r="AH210" s="1354">
        <f t="shared" si="48"/>
        <v>0</v>
      </c>
      <c r="AI210" s="1355"/>
      <c r="AJ210" s="1354">
        <f t="shared" si="49"/>
        <v>0</v>
      </c>
      <c r="AL210" s="1357"/>
      <c r="AM210" s="1357"/>
      <c r="AN210" s="1357"/>
    </row>
    <row r="211" spans="1:40" s="115" customFormat="1" ht="12" hidden="1" customHeight="1">
      <c r="A211" s="1270"/>
      <c r="B211" s="1317"/>
      <c r="C211" s="1348">
        <f>F211+H211</f>
        <v>1.1200000000000001</v>
      </c>
      <c r="D211" s="1349"/>
      <c r="E211" s="1447" t="s">
        <v>0</v>
      </c>
      <c r="F211" s="1350">
        <v>1</v>
      </c>
      <c r="G211" s="1448">
        <f>$O$65</f>
        <v>0.12</v>
      </c>
      <c r="H211" s="1368">
        <f>$P$65</f>
        <v>0.12</v>
      </c>
      <c r="I211" s="1381">
        <f>I$57*(SUMIF($M$60:$M$79,$C$211,ARBETSBLAD!I$114:I$133)+IF($M$80=$C$211,ARBETSBLAD!I$239,0)+0.7*I226+0.33*I227)</f>
        <v>0</v>
      </c>
      <c r="J211" s="1381">
        <f>J$57*(SUMIF($M$60:$M$79,$C$211,ARBETSBLAD!J$114:J$133)+IF($M$80=$C$211,ARBETSBLAD!J$239,0)+0.7*J226+0.33*J227)</f>
        <v>0</v>
      </c>
      <c r="K211" s="1381">
        <f>K$57*(SUMIF($M$60:$M$79,$C$211,ARBETSBLAD!K$114:K$133)+IF($M$80=$C$211,ARBETSBLAD!K$239,0)+0.7*K226+0.33*K227)</f>
        <v>0</v>
      </c>
      <c r="L211" s="1381">
        <f>L$57*(SUMIF($M$60:$M$79,$C$211,ARBETSBLAD!L$114:L$133)+IF($M$80=$C$211,ARBETSBLAD!L$239,0)+0.7*L226+0.33*L227)</f>
        <v>0</v>
      </c>
      <c r="M211" s="1381">
        <f>M$57*(SUMIF($M$60:$M$79,$C$211,ARBETSBLAD!M$114:M$133)+IF($M$80=$C$211,ARBETSBLAD!M$239,0)+0.7*M226+0.33*M227)</f>
        <v>0</v>
      </c>
      <c r="N211" s="1381">
        <f>N$57*(SUMIF($M$60:$M$79,$C$211,ARBETSBLAD!N$114:N$133)+IF($M$80=$C$211,ARBETSBLAD!N$239,0)+0.7*N226+0.33*N227)</f>
        <v>0</v>
      </c>
      <c r="O211" s="1381">
        <f>O$57*(SUMIF($M$60:$M$79,$C$211,ARBETSBLAD!O$114:O$133)+IF($M$80=$C$211,ARBETSBLAD!O$239,0)+0.7*O226+0.33*O227)</f>
        <v>0</v>
      </c>
      <c r="P211" s="1381">
        <f>P$57*(SUMIF($M$60:$M$79,$C$211,ARBETSBLAD!P$114:P$133)+IF($M$80=$C$211,ARBETSBLAD!P$239,0)+0.7*P226+0.33*P227)</f>
        <v>0</v>
      </c>
      <c r="Q211" s="1381">
        <f>Q$57*(SUMIF($M$60:$M$79,$C$211,ARBETSBLAD!Q$114:Q$133)+IF($M$80=$C$211,ARBETSBLAD!Q$239,0)+0.7*Q226+0.33*Q227)</f>
        <v>0</v>
      </c>
      <c r="R211" s="1381">
        <f>R$57*(SUMIF($M$60:$M$79,$C$211,ARBETSBLAD!R$114:R$133)+IF($M$80=$C$211,ARBETSBLAD!R$239,0)+0.7*R226+0.33*R227)</f>
        <v>0</v>
      </c>
      <c r="S211" s="1381">
        <f>S$57*(SUMIF($M$60:$M$79,$C$211,ARBETSBLAD!S$114:S$133)+IF($M$80=$C$211,ARBETSBLAD!S$239,0)+0.7*S226+0.33*S227)</f>
        <v>0</v>
      </c>
      <c r="T211" s="1381">
        <f>T$57*(SUMIF($M$60:$M$79,$C$211,ARBETSBLAD!T$114:T$133)+IF($M$80=$C$211,ARBETSBLAD!T$239,0)+0.7*T226+0.33*T227)</f>
        <v>0</v>
      </c>
      <c r="U211" s="1381">
        <f>U$57*(SUMIF($M$60:$M$79,$C$211,ARBETSBLAD!U$114:U$133)+IF($M$80=$C$211,ARBETSBLAD!U$239,0)+0.7*U226+0.33*U227)</f>
        <v>0</v>
      </c>
      <c r="V211" s="1381">
        <f>V$57*(SUMIF($M$60:$M$79,$C$211,ARBETSBLAD!V$114:V$133)+IF($M$80=$C$211,ARBETSBLAD!V$239,0)+0.7*V226+0.33*V227)</f>
        <v>0</v>
      </c>
      <c r="W211" s="1381">
        <f>W$57*(SUMIF($M$60:$M$79,$C$211,ARBETSBLAD!W$114:W$133)+IF($M$80=$C$211,ARBETSBLAD!W$239,0)+0.7*W226+0.33*W227)</f>
        <v>0</v>
      </c>
      <c r="X211" s="1381">
        <f>X$57*(SUMIF($M$60:$M$79,$C$211,ARBETSBLAD!X$114:X$133)+IF($M$80=$C$211,ARBETSBLAD!X$239,0)+0.7*X226+0.33*X227)</f>
        <v>0</v>
      </c>
      <c r="Y211" s="1381">
        <f>Y$57*(SUMIF($M$60:$M$79,$C$211,ARBETSBLAD!Y$114:Y$133)+IF($M$80=$C$211,ARBETSBLAD!Y$239,0)+0.7*Y226+0.33*Y227)</f>
        <v>0</v>
      </c>
      <c r="Z211" s="1381">
        <f>Z$57*(SUMIF($M$60:$M$79,$C$211,ARBETSBLAD!Z$114:Z$133)+IF($M$80=$C$211,ARBETSBLAD!Z$239,0)+0.7*Z226+0.33*Z227)</f>
        <v>0</v>
      </c>
      <c r="AA211" s="1381">
        <f>AA$57*(SUMIF($M$60:$M$79,$C$211,ARBETSBLAD!AA$114:AA$133)+IF($M$80=$C$211,ARBETSBLAD!AA$239,0)+0.7*AA226+0.33*AA227)</f>
        <v>0</v>
      </c>
      <c r="AB211" s="1381">
        <f>AB$57*(SUMIF($M$60:$M$79,$C$211,ARBETSBLAD!AB$114:AB$133)+IF($M$80=$C$211,ARBETSBLAD!AB$239,0)+0.7*AB226+0.33*AB227)</f>
        <v>0</v>
      </c>
      <c r="AC211" s="1381">
        <f>AC$57*(SUMIF($M$60:$M$79,$C$211,ARBETSBLAD!AC$114:AC$133)+IF($M$80=$C$211,ARBETSBLAD!AC$239,0)+0.7*AC226+0.33*AC227)</f>
        <v>0</v>
      </c>
      <c r="AD211" s="1381">
        <f>AD$57*(SUMIF($M$60:$M$79,$C$211,ARBETSBLAD!AD$114:AD$133)+IF($M$80=$C$211,ARBETSBLAD!AD$239,0)+0.7*AD226+0.33*AD227)</f>
        <v>0</v>
      </c>
      <c r="AE211" s="1381">
        <f>AE$57*(SUMIF($M$60:$M$79,$C$211,ARBETSBLAD!AE$114:AE$133)+IF($M$80=$C$211,ARBETSBLAD!AE$239,0)+0.7*AE226+0.33*AE227)</f>
        <v>0</v>
      </c>
      <c r="AF211" s="1381">
        <f>AF$57*(SUMIF($M$60:$M$79,$C$211,ARBETSBLAD!AF$114:AF$133)+IF($M$80=$C$211,ARBETSBLAD!AF$239,0)+0.7*AF226+0.33*AF227)</f>
        <v>0</v>
      </c>
      <c r="AG211" s="1349"/>
      <c r="AH211" s="1354">
        <f t="shared" si="48"/>
        <v>0</v>
      </c>
      <c r="AI211" s="1355"/>
      <c r="AJ211" s="1354">
        <f t="shared" si="49"/>
        <v>0</v>
      </c>
      <c r="AL211" s="1356"/>
      <c r="AM211" s="1357"/>
      <c r="AN211" s="1437"/>
    </row>
    <row r="212" spans="1:40" s="115" customFormat="1" ht="12" hidden="1" customHeight="1">
      <c r="A212" s="1270"/>
      <c r="B212" s="1317"/>
      <c r="C212" s="1348">
        <f>F212+H212</f>
        <v>300.12</v>
      </c>
      <c r="D212" s="1349"/>
      <c r="E212" s="1447" t="s">
        <v>1</v>
      </c>
      <c r="F212" s="1350">
        <v>300</v>
      </c>
      <c r="G212" s="1448">
        <f>$O$65</f>
        <v>0.12</v>
      </c>
      <c r="H212" s="1368">
        <f>$P$65</f>
        <v>0.12</v>
      </c>
      <c r="I212" s="1381">
        <f>I57*(SUMIF($M$60:$M$79,$C$212,ARBETSBLAD!I114:I133)+0.3*I226+0.67*I227+0.567*I228)</f>
        <v>0</v>
      </c>
      <c r="J212" s="1381">
        <f>J57*(SUMIF($M$60:$M$79,$C$212,ARBETSBLAD!J114:J133)+0.3*J226+0.67*J227+0.567*J228)</f>
        <v>0</v>
      </c>
      <c r="K212" s="1381">
        <f>K57*(SUMIF($M$60:$M$79,$C$212,ARBETSBLAD!K114:K133)+0.3*K226+0.67*K227+0.567*K228)</f>
        <v>0</v>
      </c>
      <c r="L212" s="1381">
        <f>L57*(SUMIF($M$60:$M$79,$C$212,ARBETSBLAD!L114:L133)+0.3*L226+0.67*L227+0.567*L228)</f>
        <v>0</v>
      </c>
      <c r="M212" s="1381">
        <f>M57*(SUMIF($M$60:$M$79,$C$212,ARBETSBLAD!M114:M133)+0.3*M226+0.67*M227+0.567*M228)</f>
        <v>0</v>
      </c>
      <c r="N212" s="1381">
        <f>N57*(SUMIF($M$60:$M$79,$C$212,ARBETSBLAD!N114:N133)+0.3*N226+0.67*N227+0.567*N228)</f>
        <v>0</v>
      </c>
      <c r="O212" s="1381">
        <f>O57*(SUMIF($M$60:$M$79,$C$212,ARBETSBLAD!O114:O133)+0.3*O226+0.67*O227+0.567*O228)</f>
        <v>0</v>
      </c>
      <c r="P212" s="1381">
        <f>P57*(SUMIF($M$60:$M$79,$C$212,ARBETSBLAD!P114:P133)+0.3*P226+0.67*P227+0.567*P228)</f>
        <v>0</v>
      </c>
      <c r="Q212" s="1381">
        <f>Q57*(SUMIF($M$60:$M$79,$C$212,ARBETSBLAD!Q114:Q133)+0.3*Q226+0.67*Q227+0.567*Q228)</f>
        <v>0</v>
      </c>
      <c r="R212" s="1381">
        <f>R57*(SUMIF($M$60:$M$79,$C$212,ARBETSBLAD!R114:R133)+0.3*R226+0.67*R227+0.567*R228)</f>
        <v>0</v>
      </c>
      <c r="S212" s="1381">
        <f>S57*(SUMIF($M$60:$M$79,$C$212,ARBETSBLAD!S114:S133)+0.3*S226+0.67*S227+0.567*S228)</f>
        <v>0</v>
      </c>
      <c r="T212" s="1381">
        <f>T57*(SUMIF($M$60:$M$79,$C$212,ARBETSBLAD!T114:T133)+0.3*T226+0.67*T227+0.567*T228)</f>
        <v>0</v>
      </c>
      <c r="U212" s="1381">
        <f>U57*(SUMIF($M$60:$M$79,$C$212,ARBETSBLAD!U114:U133)+0.3*U226+0.67*U227+0.567*U228)</f>
        <v>0</v>
      </c>
      <c r="V212" s="1381">
        <f>V57*(SUMIF($M$60:$M$79,$C$212,ARBETSBLAD!V114:V133)+0.3*V226+0.67*V227+0.567*V228)</f>
        <v>0</v>
      </c>
      <c r="W212" s="1381">
        <f>W57*(SUMIF($M$60:$M$79,$C$212,ARBETSBLAD!W114:W133)+0.3*W226+0.67*W227+0.567*W228)</f>
        <v>0</v>
      </c>
      <c r="X212" s="1381">
        <f>X57*(SUMIF($M$60:$M$79,$C$212,ARBETSBLAD!X114:X133)+0.3*X226+0.67*X227+0.567*X228)</f>
        <v>0</v>
      </c>
      <c r="Y212" s="1381">
        <f>Y57*(SUMIF($M$60:$M$79,$C$212,ARBETSBLAD!Y114:Y133)+0.3*Y226+0.67*Y227+0.567*Y228)</f>
        <v>0</v>
      </c>
      <c r="Z212" s="1381">
        <f>Z57*(SUMIF($M$60:$M$79,$C$212,ARBETSBLAD!Z114:Z133)+0.3*Z226+0.67*Z227+0.567*Z228)</f>
        <v>0</v>
      </c>
      <c r="AA212" s="1381">
        <f>AA57*(SUMIF($M$60:$M$79,$C$212,ARBETSBLAD!AA114:AA133)+0.3*AA226+0.67*AA227+0.567*AA228)</f>
        <v>0</v>
      </c>
      <c r="AB212" s="1381">
        <f>AB57*(SUMIF($M$60:$M$79,$C$212,ARBETSBLAD!AB114:AB133)+0.3*AB226+0.67*AB227+0.567*AB228)</f>
        <v>0</v>
      </c>
      <c r="AC212" s="1381">
        <f>AC57*(SUMIF($M$60:$M$79,$C$212,ARBETSBLAD!AC114:AC133)+0.3*AC226+0.67*AC227+0.567*AC228)</f>
        <v>0</v>
      </c>
      <c r="AD212" s="1381">
        <f>AD57*(SUMIF($M$60:$M$79,$C$212,ARBETSBLAD!AD114:AD133)+0.3*AD226+0.67*AD227+0.567*AD228)</f>
        <v>0</v>
      </c>
      <c r="AE212" s="1381">
        <f>AE57*(SUMIF($M$60:$M$79,$C$212,ARBETSBLAD!AE114:AE133)+0.3*AE226+0.67*AE227+0.567*AE228)</f>
        <v>0</v>
      </c>
      <c r="AF212" s="1381">
        <f>AF57*(SUMIF($M$60:$M$79,$C$212,ARBETSBLAD!AF114:AF133)+0.3*AF226+0.67*AF227+0.567*AF228)</f>
        <v>0</v>
      </c>
      <c r="AG212" s="1349"/>
      <c r="AH212" s="1354">
        <f t="shared" si="48"/>
        <v>0</v>
      </c>
      <c r="AI212" s="1355"/>
      <c r="AJ212" s="1354">
        <f t="shared" si="49"/>
        <v>0</v>
      </c>
      <c r="AL212" s="1356"/>
      <c r="AM212" s="1357"/>
      <c r="AN212" s="1437"/>
    </row>
    <row r="213" spans="1:40" s="115" customFormat="1" ht="12" hidden="1" customHeight="1">
      <c r="A213" s="1270"/>
      <c r="B213" s="1317"/>
      <c r="C213" s="1348">
        <f>F213+H213</f>
        <v>600.12</v>
      </c>
      <c r="D213" s="1349"/>
      <c r="E213" s="1447" t="s">
        <v>2</v>
      </c>
      <c r="F213" s="1350">
        <v>600</v>
      </c>
      <c r="G213" s="1448">
        <f>$O$65</f>
        <v>0.12</v>
      </c>
      <c r="H213" s="1368">
        <f>$P$65</f>
        <v>0.12</v>
      </c>
      <c r="I213" s="1381">
        <f>I57*(SUMIF($M$60:$M$79,$C$213,ARBETSBLAD!I114:I133)+0.433*I228)</f>
        <v>0</v>
      </c>
      <c r="J213" s="1381">
        <f>J57*(SUMIF($M$60:$M$79,$C$213,ARBETSBLAD!J114:J133)+0.433*J228)</f>
        <v>0</v>
      </c>
      <c r="K213" s="1381">
        <f>K57*(SUMIF($M$60:$M$79,$C$213,ARBETSBLAD!K114:K133)+0.433*K228)</f>
        <v>0</v>
      </c>
      <c r="L213" s="1381">
        <f>L57*(SUMIF($M$60:$M$79,$C$213,ARBETSBLAD!L114:L133)+0.433*L228)</f>
        <v>0</v>
      </c>
      <c r="M213" s="1381">
        <f>M57*(SUMIF($M$60:$M$79,$C$213,ARBETSBLAD!M114:M133)+0.433*M228)</f>
        <v>0</v>
      </c>
      <c r="N213" s="1381">
        <f>N57*(SUMIF($M$60:$M$79,$C$213,ARBETSBLAD!N114:N133)+0.433*N228)</f>
        <v>0</v>
      </c>
      <c r="O213" s="1381">
        <f>O57*(SUMIF($M$60:$M$79,$C$213,ARBETSBLAD!O114:O133)+0.433*O228)</f>
        <v>0</v>
      </c>
      <c r="P213" s="1381">
        <f>P57*(SUMIF($M$60:$M$79,$C$213,ARBETSBLAD!P114:P133)+0.433*P228)</f>
        <v>0</v>
      </c>
      <c r="Q213" s="1381">
        <f>Q57*(SUMIF($M$60:$M$79,$C$213,ARBETSBLAD!Q114:Q133)+0.433*Q228)</f>
        <v>0</v>
      </c>
      <c r="R213" s="1381">
        <f>R57*(SUMIF($M$60:$M$79,$C$213,ARBETSBLAD!R114:R133)+0.433*R228)</f>
        <v>0</v>
      </c>
      <c r="S213" s="1381">
        <f>S57*(SUMIF($M$60:$M$79,$C$213,ARBETSBLAD!S114:S133)+0.433*S228)</f>
        <v>0</v>
      </c>
      <c r="T213" s="1381">
        <f>T57*(SUMIF($M$60:$M$79,$C$213,ARBETSBLAD!T114:T133)+0.433*T228)</f>
        <v>0</v>
      </c>
      <c r="U213" s="1381">
        <f>U57*(SUMIF($M$60:$M$79,$C$213,ARBETSBLAD!U114:U133)+0.433*U228)</f>
        <v>0</v>
      </c>
      <c r="V213" s="1381">
        <f>V57*(SUMIF($M$60:$M$79,$C$213,ARBETSBLAD!V114:V133)+0.433*V228)</f>
        <v>0</v>
      </c>
      <c r="W213" s="1381">
        <f>W57*(SUMIF($M$60:$M$79,$C$213,ARBETSBLAD!W114:W133)+0.433*W228)</f>
        <v>0</v>
      </c>
      <c r="X213" s="1381">
        <f>X57*(SUMIF($M$60:$M$79,$C$213,ARBETSBLAD!X114:X133)+0.433*X228)</f>
        <v>0</v>
      </c>
      <c r="Y213" s="1381">
        <f>Y57*(SUMIF($M$60:$M$79,$C$213,ARBETSBLAD!Y114:Y133)+0.433*Y228)</f>
        <v>0</v>
      </c>
      <c r="Z213" s="1381">
        <f>Z57*(SUMIF($M$60:$M$79,$C$213,ARBETSBLAD!Z114:Z133)+0.433*Z228)</f>
        <v>0</v>
      </c>
      <c r="AA213" s="1381">
        <f>AA57*(SUMIF($M$60:$M$79,$C$213,ARBETSBLAD!AA114:AA133)+0.433*AA228)</f>
        <v>0</v>
      </c>
      <c r="AB213" s="1381">
        <f>AB57*(SUMIF($M$60:$M$79,$C$213,ARBETSBLAD!AB114:AB133)+0.433*AB228)</f>
        <v>0</v>
      </c>
      <c r="AC213" s="1381">
        <f>AC57*(SUMIF($M$60:$M$79,$C$213,ARBETSBLAD!AC114:AC133)+0.433*AC228)</f>
        <v>0</v>
      </c>
      <c r="AD213" s="1381">
        <f>AD57*(SUMIF($M$60:$M$79,$C$213,ARBETSBLAD!AD114:AD133)+0.433*AD228)</f>
        <v>0</v>
      </c>
      <c r="AE213" s="1381">
        <f>AE57*(SUMIF($M$60:$M$79,$C$213,ARBETSBLAD!AE114:AE133)+0.433*AE228)</f>
        <v>0</v>
      </c>
      <c r="AF213" s="1381">
        <f>AF57*(SUMIF($M$60:$M$79,$C$213,ARBETSBLAD!AF114:AF133)+0.433*AF228)</f>
        <v>0</v>
      </c>
      <c r="AG213" s="1349"/>
      <c r="AH213" s="1354">
        <f t="shared" si="48"/>
        <v>0</v>
      </c>
      <c r="AI213" s="1355"/>
      <c r="AJ213" s="1354">
        <f t="shared" si="49"/>
        <v>0</v>
      </c>
      <c r="AL213" s="1356"/>
      <c r="AM213" s="1357"/>
      <c r="AN213" s="1437"/>
    </row>
    <row r="214" spans="1:40" s="115" customFormat="1" ht="12" hidden="1" customHeight="1">
      <c r="A214" s="1270"/>
      <c r="B214" s="1317"/>
      <c r="C214" s="1348">
        <f>F214+H214</f>
        <v>900.12</v>
      </c>
      <c r="D214" s="1349"/>
      <c r="E214" s="1447" t="s">
        <v>3</v>
      </c>
      <c r="F214" s="1350">
        <v>900</v>
      </c>
      <c r="G214" s="1448">
        <f>$O$65</f>
        <v>0.12</v>
      </c>
      <c r="H214" s="1368">
        <f>$P$65</f>
        <v>0.12</v>
      </c>
      <c r="I214" s="1381">
        <f>I57*SUMIF($M$60:$M$79,$C$214,ARBETSBLAD!I114:I133)</f>
        <v>0</v>
      </c>
      <c r="J214" s="1381">
        <f>J57*SUMIF($M$60:$M$79,$C$214,ARBETSBLAD!J114:J133)</f>
        <v>0</v>
      </c>
      <c r="K214" s="1381">
        <f>K57*SUMIF($M$60:$M$79,$C$214,ARBETSBLAD!K114:K133)</f>
        <v>0</v>
      </c>
      <c r="L214" s="1381">
        <f>L57*SUMIF($M$60:$M$79,$C$214,ARBETSBLAD!L114:L133)</f>
        <v>0</v>
      </c>
      <c r="M214" s="1381">
        <f>M57*SUMIF($M$60:$M$79,$C$214,ARBETSBLAD!M114:M133)</f>
        <v>0</v>
      </c>
      <c r="N214" s="1381">
        <f>N57*SUMIF($M$60:$M$79,$C$214,ARBETSBLAD!N114:N133)</f>
        <v>0</v>
      </c>
      <c r="O214" s="1381">
        <f>O57*SUMIF($M$60:$M$79,$C$214,ARBETSBLAD!O114:O133)</f>
        <v>0</v>
      </c>
      <c r="P214" s="1381">
        <f>P57*SUMIF($M$60:$M$79,$C$214,ARBETSBLAD!P114:P133)</f>
        <v>0</v>
      </c>
      <c r="Q214" s="1381">
        <f>Q57*SUMIF($M$60:$M$79,$C$214,ARBETSBLAD!Q114:Q133)</f>
        <v>0</v>
      </c>
      <c r="R214" s="1381">
        <f>R57*SUMIF($M$60:$M$79,$C$214,ARBETSBLAD!R114:R133)</f>
        <v>0</v>
      </c>
      <c r="S214" s="1381">
        <f>S57*SUMIF($M$60:$M$79,$C$214,ARBETSBLAD!S114:S133)</f>
        <v>0</v>
      </c>
      <c r="T214" s="1381">
        <f>T57*SUMIF($M$60:$M$79,$C$214,ARBETSBLAD!T114:T133)</f>
        <v>0</v>
      </c>
      <c r="U214" s="1381">
        <f>U57*SUMIF($M$60:$M$79,$C$214,ARBETSBLAD!U114:U133)</f>
        <v>0</v>
      </c>
      <c r="V214" s="1381">
        <f>V57*SUMIF($M$60:$M$79,$C$214,ARBETSBLAD!V114:V133)</f>
        <v>0</v>
      </c>
      <c r="W214" s="1381">
        <f>W57*SUMIF($M$60:$M$79,$C$214,ARBETSBLAD!W114:W133)</f>
        <v>0</v>
      </c>
      <c r="X214" s="1381">
        <f>X57*SUMIF($M$60:$M$79,$C$214,ARBETSBLAD!X114:X133)</f>
        <v>0</v>
      </c>
      <c r="Y214" s="1381">
        <f>Y57*SUMIF($M$60:$M$79,$C$214,ARBETSBLAD!Y114:Y133)</f>
        <v>0</v>
      </c>
      <c r="Z214" s="1381">
        <f>Z57*SUMIF($M$60:$M$79,$C$214,ARBETSBLAD!Z114:Z133)</f>
        <v>0</v>
      </c>
      <c r="AA214" s="1381">
        <f>AA57*SUMIF($M$60:$M$79,$C$214,ARBETSBLAD!AA114:AA133)</f>
        <v>0</v>
      </c>
      <c r="AB214" s="1381">
        <f>AB57*SUMIF($M$60:$M$79,$C$214,ARBETSBLAD!AB114:AB133)</f>
        <v>0</v>
      </c>
      <c r="AC214" s="1381">
        <f>AC57*SUMIF($M$60:$M$79,$C$214,ARBETSBLAD!AC114:AC133)</f>
        <v>0</v>
      </c>
      <c r="AD214" s="1381">
        <f>AD57*SUMIF($M$60:$M$79,$C$214,ARBETSBLAD!AD114:AD133)</f>
        <v>0</v>
      </c>
      <c r="AE214" s="1381">
        <f>AE57*SUMIF($M$60:$M$79,$C$214,ARBETSBLAD!AE114:AE133)</f>
        <v>0</v>
      </c>
      <c r="AF214" s="1381">
        <f>AF57*SUMIF($M$60:$M$79,$C$214,ARBETSBLAD!AF114:AF133)</f>
        <v>0</v>
      </c>
      <c r="AG214" s="1349"/>
      <c r="AH214" s="1354">
        <f t="shared" si="48"/>
        <v>0</v>
      </c>
      <c r="AI214" s="1355"/>
      <c r="AJ214" s="1354">
        <f t="shared" si="49"/>
        <v>0</v>
      </c>
      <c r="AL214" s="1356"/>
      <c r="AM214" s="1357"/>
      <c r="AN214" s="1437"/>
    </row>
    <row r="215" spans="1:40" s="115" customFormat="1" ht="12" hidden="1" customHeight="1">
      <c r="A215" s="1270"/>
      <c r="B215" s="1317"/>
      <c r="C215" s="1348"/>
      <c r="D215" s="1349"/>
      <c r="E215" s="1350"/>
      <c r="F215" s="1349"/>
      <c r="G215" s="1350"/>
      <c r="H215" s="1368"/>
      <c r="I215" s="1435"/>
      <c r="J215" s="1435"/>
      <c r="K215" s="1435"/>
      <c r="L215" s="1435"/>
      <c r="M215" s="1435"/>
      <c r="N215" s="1435"/>
      <c r="O215" s="1435"/>
      <c r="P215" s="1435"/>
      <c r="Q215" s="1435"/>
      <c r="R215" s="1435"/>
      <c r="S215" s="1435"/>
      <c r="T215" s="1435"/>
      <c r="U215" s="1435"/>
      <c r="V215" s="1435"/>
      <c r="W215" s="1435"/>
      <c r="X215" s="1435"/>
      <c r="Y215" s="1435"/>
      <c r="Z215" s="1435"/>
      <c r="AA215" s="1435"/>
      <c r="AB215" s="1435"/>
      <c r="AC215" s="1435"/>
      <c r="AD215" s="1435"/>
      <c r="AE215" s="1435"/>
      <c r="AF215" s="1435"/>
      <c r="AG215" s="1349"/>
      <c r="AH215" s="1354">
        <f t="shared" si="48"/>
        <v>0</v>
      </c>
      <c r="AI215" s="1355"/>
      <c r="AJ215" s="1354">
        <f t="shared" si="49"/>
        <v>0</v>
      </c>
      <c r="AL215" s="1357"/>
      <c r="AM215" s="1357"/>
      <c r="AN215" s="1357"/>
    </row>
    <row r="216" spans="1:40" s="115" customFormat="1" ht="12" hidden="1" customHeight="1">
      <c r="A216" s="1270"/>
      <c r="B216" s="1317"/>
      <c r="C216" s="1361">
        <f t="shared" ref="C216:C231" si="50">F216+H216</f>
        <v>1.25</v>
      </c>
      <c r="D216" s="1349"/>
      <c r="E216" s="1447" t="s">
        <v>0</v>
      </c>
      <c r="F216" s="1350">
        <v>1</v>
      </c>
      <c r="G216" s="1448">
        <f>$O$66</f>
        <v>0.25</v>
      </c>
      <c r="H216" s="1368">
        <f>$P$66</f>
        <v>0.25</v>
      </c>
      <c r="I216" s="1381">
        <f>I$57*(SUMIF($M$60:$M$79,$C$216,ARBETSBLAD!I$114:I$133)+IF($M$80=$C$216,ARBETSBLAD!I$239,0)+0.7*I229+0.33*I230)</f>
        <v>0</v>
      </c>
      <c r="J216" s="1381">
        <f>J$57*(SUMIF($M$60:$M$79,$C$216,ARBETSBLAD!J$114:J$133)+IF($M$80=$C$216,ARBETSBLAD!J$239,0)+0.7*J229+0.33*J230)</f>
        <v>0</v>
      </c>
      <c r="K216" s="1381">
        <f>K$57*(SUMIF($M$60:$M$79,$C$216,ARBETSBLAD!K$114:K$133)+IF($M$80=$C$216,ARBETSBLAD!K$239,0)+0.7*K229+0.33*K230)</f>
        <v>0</v>
      </c>
      <c r="L216" s="1381">
        <f>L$57*(SUMIF($M$60:$M$79,$C$216,ARBETSBLAD!L$114:L$133)+IF($M$80=$C$216,ARBETSBLAD!L$239,0)+0.7*L229+0.33*L230)</f>
        <v>0</v>
      </c>
      <c r="M216" s="1381">
        <f>M$57*(SUMIF($M$60:$M$79,$C$216,ARBETSBLAD!M$114:M$133)+IF($M$80=$C$216,ARBETSBLAD!M$239,0)+0.7*M229+0.33*M230)</f>
        <v>0</v>
      </c>
      <c r="N216" s="1381">
        <f>N$57*(SUMIF($M$60:$M$79,$C$216,ARBETSBLAD!N$114:N$133)+IF($M$80=$C$216,ARBETSBLAD!N$239,0)+0.7*N229+0.33*N230)</f>
        <v>0</v>
      </c>
      <c r="O216" s="1381">
        <f>O$57*(SUMIF($M$60:$M$79,$C$216,ARBETSBLAD!O$114:O$133)+IF($M$80=$C$216,ARBETSBLAD!O$239,0)+0.7*O229+0.33*O230)</f>
        <v>0</v>
      </c>
      <c r="P216" s="1381">
        <f>P$57*(SUMIF($M$60:$M$79,$C$216,ARBETSBLAD!P$114:P$133)+IF($M$80=$C$216,ARBETSBLAD!P$239,0)+0.7*P229+0.33*P230)</f>
        <v>0</v>
      </c>
      <c r="Q216" s="1381">
        <f>Q$57*(SUMIF($M$60:$M$79,$C$216,ARBETSBLAD!Q$114:Q$133)+IF($M$80=$C$216,ARBETSBLAD!Q$239,0)+0.7*Q229+0.33*Q230)</f>
        <v>0</v>
      </c>
      <c r="R216" s="1381">
        <f>R$57*(SUMIF($M$60:$M$79,$C$216,ARBETSBLAD!R$114:R$133)+IF($M$80=$C$216,ARBETSBLAD!R$239,0)+0.7*R229+0.33*R230)</f>
        <v>0</v>
      </c>
      <c r="S216" s="1381">
        <f>S$57*(SUMIF($M$60:$M$79,$C$216,ARBETSBLAD!S$114:S$133)+IF($M$80=$C$216,ARBETSBLAD!S$239,0)+0.7*S229+0.33*S230)</f>
        <v>0</v>
      </c>
      <c r="T216" s="1381">
        <f>T$57*(SUMIF($M$60:$M$79,$C$216,ARBETSBLAD!T$114:T$133)+IF($M$80=$C$216,ARBETSBLAD!T$239,0)+0.7*T229+0.33*T230)</f>
        <v>0</v>
      </c>
      <c r="U216" s="1381">
        <f>U$57*(SUMIF($M$60:$M$79,$C$216,ARBETSBLAD!U$114:U$133)+IF($M$80=$C$216,ARBETSBLAD!U$239,0)+0.7*U229+0.33*U230)</f>
        <v>0</v>
      </c>
      <c r="V216" s="1381">
        <f>V$57*(SUMIF($M$60:$M$79,$C$216,ARBETSBLAD!V$114:V$133)+IF($M$80=$C$216,ARBETSBLAD!V$239,0)+0.7*V229+0.33*V230)</f>
        <v>0</v>
      </c>
      <c r="W216" s="1381">
        <f>W$57*(SUMIF($M$60:$M$79,$C$216,ARBETSBLAD!W$114:W$133)+IF($M$80=$C$216,ARBETSBLAD!W$239,0)+0.7*W229+0.33*W230)</f>
        <v>0</v>
      </c>
      <c r="X216" s="1381">
        <f>X$57*(SUMIF($M$60:$M$79,$C$216,ARBETSBLAD!X$114:X$133)+IF($M$80=$C$216,ARBETSBLAD!X$239,0)+0.7*X229+0.33*X230)</f>
        <v>0</v>
      </c>
      <c r="Y216" s="1381">
        <f>Y$57*(SUMIF($M$60:$M$79,$C$216,ARBETSBLAD!Y$114:Y$133)+IF($M$80=$C$216,ARBETSBLAD!Y$239,0)+0.7*Y229+0.33*Y230)</f>
        <v>0</v>
      </c>
      <c r="Z216" s="1381">
        <f>Z$57*(SUMIF($M$60:$M$79,$C$216,ARBETSBLAD!Z$114:Z$133)+IF($M$80=$C$216,ARBETSBLAD!Z$239,0)+0.7*Z229+0.33*Z230)</f>
        <v>0</v>
      </c>
      <c r="AA216" s="1381">
        <f>AA$57*(SUMIF($M$60:$M$79,$C$216,ARBETSBLAD!AA$114:AA$133)+IF($M$80=$C$216,ARBETSBLAD!AA$239,0)+0.7*AA229+0.33*AA230)</f>
        <v>0</v>
      </c>
      <c r="AB216" s="1381">
        <f>AB$57*(SUMIF($M$60:$M$79,$C$216,ARBETSBLAD!AB$114:AB$133)+IF($M$80=$C$216,ARBETSBLAD!AB$239,0)+0.7*AB229+0.33*AB230)</f>
        <v>0</v>
      </c>
      <c r="AC216" s="1381">
        <f>AC$57*(SUMIF($M$60:$M$79,$C$216,ARBETSBLAD!AC$114:AC$133)+IF($M$80=$C$216,ARBETSBLAD!AC$239,0)+0.7*AC229+0.33*AC230)</f>
        <v>0</v>
      </c>
      <c r="AD216" s="1381">
        <f>AD$57*(SUMIF($M$60:$M$79,$C$216,ARBETSBLAD!AD$114:AD$133)+IF($M$80=$C$216,ARBETSBLAD!AD$239,0)+0.7*AD229+0.33*AD230)</f>
        <v>0</v>
      </c>
      <c r="AE216" s="1381">
        <f>AE$57*(SUMIF($M$60:$M$79,$C$216,ARBETSBLAD!AE$114:AE$133)+IF($M$80=$C$216,ARBETSBLAD!AE$239,0)+0.7*AE229+0.33*AE230)</f>
        <v>0</v>
      </c>
      <c r="AF216" s="1381">
        <f>AF$57*(SUMIF($M$60:$M$79,$C$216,ARBETSBLAD!AF$114:AF$133)+IF($M$80=$C$216,ARBETSBLAD!AF$239,0)+0.7*AF229+0.33*AF230)</f>
        <v>0</v>
      </c>
      <c r="AG216" s="1349"/>
      <c r="AH216" s="1354">
        <f t="shared" si="48"/>
        <v>0</v>
      </c>
      <c r="AI216" s="1355"/>
      <c r="AJ216" s="1354">
        <f t="shared" si="49"/>
        <v>0</v>
      </c>
      <c r="AL216" s="1356"/>
      <c r="AM216" s="1357"/>
      <c r="AN216" s="1437"/>
    </row>
    <row r="217" spans="1:40" s="115" customFormat="1" ht="12" hidden="1" customHeight="1">
      <c r="A217" s="1270"/>
      <c r="B217" s="1317"/>
      <c r="C217" s="1361">
        <f t="shared" si="50"/>
        <v>300.25</v>
      </c>
      <c r="D217" s="1349"/>
      <c r="E217" s="1447" t="s">
        <v>1</v>
      </c>
      <c r="F217" s="1350">
        <v>300</v>
      </c>
      <c r="G217" s="1448">
        <f>$O$66</f>
        <v>0.25</v>
      </c>
      <c r="H217" s="1368">
        <f>$P$66</f>
        <v>0.25</v>
      </c>
      <c r="I217" s="1381">
        <f>I57*(SUMIF($M$60:$M$79,$C$217,ARBETSBLAD!I114:I133)+0.3*I229+0.67*I230+0.567*I231)</f>
        <v>0</v>
      </c>
      <c r="J217" s="1381">
        <f>J57*(SUMIF($M$60:$M$79,$C$217,ARBETSBLAD!J114:J133)+0.3*J229+0.67*J230+0.567*J231)</f>
        <v>0</v>
      </c>
      <c r="K217" s="1381">
        <f>K57*(SUMIF($M$60:$M$79,$C$217,ARBETSBLAD!K114:K133)+0.3*K229+0.67*K230+0.567*K231)</f>
        <v>0</v>
      </c>
      <c r="L217" s="1381">
        <f>L57*(SUMIF($M$60:$M$79,$C$217,ARBETSBLAD!L114:L133)+0.3*L229+0.67*L230+0.567*L231)</f>
        <v>0</v>
      </c>
      <c r="M217" s="1381">
        <f>M57*(SUMIF($M$60:$M$79,$C$217,ARBETSBLAD!M114:M133)+0.3*M229+0.67*M230+0.567*M231)</f>
        <v>0</v>
      </c>
      <c r="N217" s="1381">
        <f>N57*(SUMIF($M$60:$M$79,$C$217,ARBETSBLAD!N114:N133)+0.3*N229+0.67*N230+0.567*N231)</f>
        <v>0</v>
      </c>
      <c r="O217" s="1381">
        <f>O57*(SUMIF($M$60:$M$79,$C$217,ARBETSBLAD!O114:O133)+0.3*O229+0.67*O230+0.567*O231)</f>
        <v>0</v>
      </c>
      <c r="P217" s="1381">
        <f>P57*(SUMIF($M$60:$M$79,$C$217,ARBETSBLAD!P114:P133)+0.3*P229+0.67*P230+0.567*P231)</f>
        <v>0</v>
      </c>
      <c r="Q217" s="1381">
        <f>Q57*(SUMIF($M$60:$M$79,$C$217,ARBETSBLAD!Q114:Q133)+0.3*Q229+0.67*Q230+0.567*Q231)</f>
        <v>0</v>
      </c>
      <c r="R217" s="1381">
        <f>R57*(SUMIF($M$60:$M$79,$C$217,ARBETSBLAD!R114:R133)+0.3*R229+0.67*R230+0.567*R231)</f>
        <v>0</v>
      </c>
      <c r="S217" s="1381">
        <f>S57*(SUMIF($M$60:$M$79,$C$217,ARBETSBLAD!S114:S133)+0.3*S229+0.67*S230+0.567*S231)</f>
        <v>0</v>
      </c>
      <c r="T217" s="1381">
        <f>T57*(SUMIF($M$60:$M$79,$C$217,ARBETSBLAD!T114:T133)+0.3*T229+0.67*T230+0.567*T231)</f>
        <v>0</v>
      </c>
      <c r="U217" s="1381">
        <f>U57*(SUMIF($M$60:$M$79,$C$217,ARBETSBLAD!U114:U133)+0.3*U229+0.67*U230+0.567*U231)</f>
        <v>0</v>
      </c>
      <c r="V217" s="1381">
        <f>V57*(SUMIF($M$60:$M$79,$C$217,ARBETSBLAD!V114:V133)+0.3*V229+0.67*V230+0.567*V231)</f>
        <v>0</v>
      </c>
      <c r="W217" s="1381">
        <f>W57*(SUMIF($M$60:$M$79,$C$217,ARBETSBLAD!W114:W133)+0.3*W229+0.67*W230+0.567*W231)</f>
        <v>0</v>
      </c>
      <c r="X217" s="1381">
        <f>X57*(SUMIF($M$60:$M$79,$C$217,ARBETSBLAD!X114:X133)+0.3*X229+0.67*X230+0.567*X231)</f>
        <v>0</v>
      </c>
      <c r="Y217" s="1381">
        <f>Y57*(SUMIF($M$60:$M$79,$C$217,ARBETSBLAD!Y114:Y133)+0.3*Y229+0.67*Y230+0.567*Y231)</f>
        <v>0</v>
      </c>
      <c r="Z217" s="1381">
        <f>Z57*(SUMIF($M$60:$M$79,$C$217,ARBETSBLAD!Z114:Z133)+0.3*Z229+0.67*Z230+0.567*Z231)</f>
        <v>0</v>
      </c>
      <c r="AA217" s="1381">
        <f>AA57*(SUMIF($M$60:$M$79,$C$217,ARBETSBLAD!AA114:AA133)+0.3*AA229+0.67*AA230+0.567*AA231)</f>
        <v>0</v>
      </c>
      <c r="AB217" s="1381">
        <f>AB57*(SUMIF($M$60:$M$79,$C$217,ARBETSBLAD!AB114:AB133)+0.3*AB229+0.67*AB230+0.567*AB231)</f>
        <v>0</v>
      </c>
      <c r="AC217" s="1381">
        <f>AC57*(SUMIF($M$60:$M$79,$C$217,ARBETSBLAD!AC114:AC133)+0.3*AC229+0.67*AC230+0.567*AC231)</f>
        <v>0</v>
      </c>
      <c r="AD217" s="1381">
        <f>AD57*(SUMIF($M$60:$M$79,$C$217,ARBETSBLAD!AD114:AD133)+0.3*AD229+0.67*AD230+0.567*AD231)</f>
        <v>0</v>
      </c>
      <c r="AE217" s="1381">
        <f>AE57*(SUMIF($M$60:$M$79,$C$217,ARBETSBLAD!AE114:AE133)+0.3*AE229+0.67*AE230+0.567*AE231)</f>
        <v>0</v>
      </c>
      <c r="AF217" s="1381">
        <f>AF57*(SUMIF($M$60:$M$79,$C$217,ARBETSBLAD!AF114:AF133)+0.3*AF229+0.67*AF230+0.567*AF231)</f>
        <v>0</v>
      </c>
      <c r="AG217" s="1349"/>
      <c r="AH217" s="1354">
        <f t="shared" si="48"/>
        <v>0</v>
      </c>
      <c r="AI217" s="1355"/>
      <c r="AJ217" s="1354">
        <f t="shared" si="49"/>
        <v>0</v>
      </c>
      <c r="AL217" s="1356"/>
      <c r="AM217" s="1357"/>
      <c r="AN217" s="1437"/>
    </row>
    <row r="218" spans="1:40" s="115" customFormat="1" ht="12" hidden="1" customHeight="1">
      <c r="A218" s="1270"/>
      <c r="B218" s="1317"/>
      <c r="C218" s="1361">
        <f t="shared" si="50"/>
        <v>600.25</v>
      </c>
      <c r="D218" s="1349"/>
      <c r="E218" s="1447" t="s">
        <v>2</v>
      </c>
      <c r="F218" s="1350">
        <v>600</v>
      </c>
      <c r="G218" s="1448">
        <f>$O$66</f>
        <v>0.25</v>
      </c>
      <c r="H218" s="1368">
        <f>$P$66</f>
        <v>0.25</v>
      </c>
      <c r="I218" s="1381">
        <f>I57*(SUMIF($M$60:$M$79,$C$218,ARBETSBLAD!I114:I133)+0.433*I231)</f>
        <v>0</v>
      </c>
      <c r="J218" s="1381">
        <f>J57*(SUMIF($M$60:$M$79,$C$218,ARBETSBLAD!J114:J133)+0.433*J231)</f>
        <v>0</v>
      </c>
      <c r="K218" s="1381">
        <f>K57*(SUMIF($M$60:$M$79,$C$218,ARBETSBLAD!K114:K133)+0.433*K231)</f>
        <v>0</v>
      </c>
      <c r="L218" s="1381">
        <f>L57*(SUMIF($M$60:$M$79,$C$218,ARBETSBLAD!L114:L133)+0.433*L231)</f>
        <v>0</v>
      </c>
      <c r="M218" s="1381">
        <f>M57*(SUMIF($M$60:$M$79,$C$218,ARBETSBLAD!M114:M133)+0.433*M231)</f>
        <v>0</v>
      </c>
      <c r="N218" s="1381">
        <f>N57*(SUMIF($M$60:$M$79,$C$218,ARBETSBLAD!N114:N133)+0.433*N231)</f>
        <v>0</v>
      </c>
      <c r="O218" s="1381">
        <f>O57*(SUMIF($M$60:$M$79,$C$218,ARBETSBLAD!O114:O133)+0.433*O231)</f>
        <v>0</v>
      </c>
      <c r="P218" s="1381">
        <f>P57*(SUMIF($M$60:$M$79,$C$218,ARBETSBLAD!P114:P133)+0.433*P231)</f>
        <v>0</v>
      </c>
      <c r="Q218" s="1381">
        <f>Q57*(SUMIF($M$60:$M$79,$C$218,ARBETSBLAD!Q114:Q133)+0.433*Q231)</f>
        <v>0</v>
      </c>
      <c r="R218" s="1381">
        <f>R57*(SUMIF($M$60:$M$79,$C$218,ARBETSBLAD!R114:R133)+0.433*R231)</f>
        <v>0</v>
      </c>
      <c r="S218" s="1381">
        <f>S57*(SUMIF($M$60:$M$79,$C$218,ARBETSBLAD!S114:S133)+0.433*S231)</f>
        <v>0</v>
      </c>
      <c r="T218" s="1381">
        <f>T57*(SUMIF($M$60:$M$79,$C$218,ARBETSBLAD!T114:T133)+0.433*T231)</f>
        <v>0</v>
      </c>
      <c r="U218" s="1381">
        <f>U57*(SUMIF($M$60:$M$79,$C$218,ARBETSBLAD!U114:U133)+0.433*U231)</f>
        <v>0</v>
      </c>
      <c r="V218" s="1381">
        <f>V57*(SUMIF($M$60:$M$79,$C$218,ARBETSBLAD!V114:V133)+0.433*V231)</f>
        <v>0</v>
      </c>
      <c r="W218" s="1381">
        <f>W57*(SUMIF($M$60:$M$79,$C$218,ARBETSBLAD!W114:W133)+0.433*W231)</f>
        <v>0</v>
      </c>
      <c r="X218" s="1381">
        <f>X57*(SUMIF($M$60:$M$79,$C$218,ARBETSBLAD!X114:X133)+0.433*X231)</f>
        <v>0</v>
      </c>
      <c r="Y218" s="1381">
        <f>Y57*(SUMIF($M$60:$M$79,$C$218,ARBETSBLAD!Y114:Y133)+0.433*Y231)</f>
        <v>0</v>
      </c>
      <c r="Z218" s="1381">
        <f>Z57*(SUMIF($M$60:$M$79,$C$218,ARBETSBLAD!Z114:Z133)+0.433*Z231)</f>
        <v>0</v>
      </c>
      <c r="AA218" s="1381">
        <f>AA57*(SUMIF($M$60:$M$79,$C$218,ARBETSBLAD!AA114:AA133)+0.433*AA231)</f>
        <v>0</v>
      </c>
      <c r="AB218" s="1381">
        <f>AB57*(SUMIF($M$60:$M$79,$C$218,ARBETSBLAD!AB114:AB133)+0.433*AB231)</f>
        <v>0</v>
      </c>
      <c r="AC218" s="1381">
        <f>AC57*(SUMIF($M$60:$M$79,$C$218,ARBETSBLAD!AC114:AC133)+0.433*AC231)</f>
        <v>0</v>
      </c>
      <c r="AD218" s="1381">
        <f>AD57*(SUMIF($M$60:$M$79,$C$218,ARBETSBLAD!AD114:AD133)+0.433*AD231)</f>
        <v>0</v>
      </c>
      <c r="AE218" s="1381">
        <f>AE57*(SUMIF($M$60:$M$79,$C$218,ARBETSBLAD!AE114:AE133)+0.433*AE231)</f>
        <v>0</v>
      </c>
      <c r="AF218" s="1381">
        <f>AF57*(SUMIF($M$60:$M$79,$C$218,ARBETSBLAD!AF114:AF133)+0.433*AF231)</f>
        <v>0</v>
      </c>
      <c r="AG218" s="1349"/>
      <c r="AH218" s="1354">
        <f t="shared" si="48"/>
        <v>0</v>
      </c>
      <c r="AI218" s="1355"/>
      <c r="AJ218" s="1354">
        <f t="shared" si="49"/>
        <v>0</v>
      </c>
      <c r="AL218" s="1356"/>
      <c r="AM218" s="1357"/>
      <c r="AN218" s="1437"/>
    </row>
    <row r="219" spans="1:40" s="115" customFormat="1" ht="12" hidden="1" customHeight="1">
      <c r="A219" s="1270"/>
      <c r="B219" s="1317"/>
      <c r="C219" s="1361">
        <f t="shared" si="50"/>
        <v>900.25</v>
      </c>
      <c r="D219" s="1349"/>
      <c r="E219" s="1447" t="s">
        <v>3</v>
      </c>
      <c r="F219" s="1350">
        <v>900</v>
      </c>
      <c r="G219" s="1448">
        <f>$O$66</f>
        <v>0.25</v>
      </c>
      <c r="H219" s="1368">
        <f>$P$66</f>
        <v>0.25</v>
      </c>
      <c r="I219" s="1381">
        <f>I57*SUMIF($M$60:$M$79,$C$219,ARBETSBLAD!I114:I133)</f>
        <v>0</v>
      </c>
      <c r="J219" s="1381">
        <f>J57*SUMIF($M$60:$M$79,$C$219,ARBETSBLAD!J114:J133)</f>
        <v>0</v>
      </c>
      <c r="K219" s="1381">
        <f>K57*SUMIF($M$60:$M$79,$C$219,ARBETSBLAD!K114:K133)</f>
        <v>0</v>
      </c>
      <c r="L219" s="1381">
        <f>L57*SUMIF($M$60:$M$79,$C$219,ARBETSBLAD!L114:L133)</f>
        <v>0</v>
      </c>
      <c r="M219" s="1381">
        <f>M57*SUMIF($M$60:$M$79,$C$219,ARBETSBLAD!M114:M133)</f>
        <v>0</v>
      </c>
      <c r="N219" s="1381">
        <f>N57*SUMIF($M$60:$M$79,$C$219,ARBETSBLAD!N114:N133)</f>
        <v>0</v>
      </c>
      <c r="O219" s="1381">
        <f>O57*SUMIF($M$60:$M$79,$C$219,ARBETSBLAD!O114:O133)</f>
        <v>0</v>
      </c>
      <c r="P219" s="1381">
        <f>P57*SUMIF($M$60:$M$79,$C$219,ARBETSBLAD!P114:P133)</f>
        <v>0</v>
      </c>
      <c r="Q219" s="1381">
        <f>Q57*SUMIF($M$60:$M$79,$C$219,ARBETSBLAD!Q114:Q133)</f>
        <v>0</v>
      </c>
      <c r="R219" s="1381">
        <f>R57*SUMIF($M$60:$M$79,$C$219,ARBETSBLAD!R114:R133)</f>
        <v>0</v>
      </c>
      <c r="S219" s="1381">
        <f>S57*SUMIF($M$60:$M$79,$C$219,ARBETSBLAD!S114:S133)</f>
        <v>0</v>
      </c>
      <c r="T219" s="1381">
        <f>T57*SUMIF($M$60:$M$79,$C$219,ARBETSBLAD!T114:T133)</f>
        <v>0</v>
      </c>
      <c r="U219" s="1381">
        <f>U57*SUMIF($M$60:$M$79,$C$219,ARBETSBLAD!U114:U133)</f>
        <v>0</v>
      </c>
      <c r="V219" s="1381">
        <f>V57*SUMIF($M$60:$M$79,$C$219,ARBETSBLAD!V114:V133)</f>
        <v>0</v>
      </c>
      <c r="W219" s="1381">
        <f>W57*SUMIF($M$60:$M$79,$C$219,ARBETSBLAD!W114:W133)</f>
        <v>0</v>
      </c>
      <c r="X219" s="1381">
        <f>X57*SUMIF($M$60:$M$79,$C$219,ARBETSBLAD!X114:X133)</f>
        <v>0</v>
      </c>
      <c r="Y219" s="1381">
        <f>Y57*SUMIF($M$60:$M$79,$C$219,ARBETSBLAD!Y114:Y133)</f>
        <v>0</v>
      </c>
      <c r="Z219" s="1381">
        <f>Z57*SUMIF($M$60:$M$79,$C$219,ARBETSBLAD!Z114:Z133)</f>
        <v>0</v>
      </c>
      <c r="AA219" s="1381">
        <f>AA57*SUMIF($M$60:$M$79,$C$219,ARBETSBLAD!AA114:AA133)</f>
        <v>0</v>
      </c>
      <c r="AB219" s="1381">
        <f>AB57*SUMIF($M$60:$M$79,$C$219,ARBETSBLAD!AB114:AB133)</f>
        <v>0</v>
      </c>
      <c r="AC219" s="1381">
        <f>AC57*SUMIF($M$60:$M$79,$C$219,ARBETSBLAD!AC114:AC133)</f>
        <v>0</v>
      </c>
      <c r="AD219" s="1381">
        <f>AD57*SUMIF($M$60:$M$79,$C$219,ARBETSBLAD!AD114:AD133)</f>
        <v>0</v>
      </c>
      <c r="AE219" s="1381">
        <f>AE57*SUMIF($M$60:$M$79,$C$219,ARBETSBLAD!AE114:AE133)</f>
        <v>0</v>
      </c>
      <c r="AF219" s="1381">
        <f>AF57*SUMIF($M$60:$M$79,$C$219,ARBETSBLAD!AF114:AF133)</f>
        <v>0</v>
      </c>
      <c r="AG219" s="1349"/>
      <c r="AH219" s="1354">
        <f t="shared" si="48"/>
        <v>0</v>
      </c>
      <c r="AI219" s="1355"/>
      <c r="AJ219" s="1354">
        <f t="shared" si="49"/>
        <v>0</v>
      </c>
      <c r="AL219" s="1356"/>
      <c r="AM219" s="1357"/>
      <c r="AN219" s="1437"/>
    </row>
    <row r="220" spans="1:40" s="1277" customFormat="1" ht="12" hidden="1" customHeight="1">
      <c r="A220" s="1270"/>
      <c r="B220" s="1363" t="s">
        <v>908</v>
      </c>
      <c r="C220" s="1364">
        <f t="shared" si="50"/>
        <v>100.001</v>
      </c>
      <c r="D220" s="1365"/>
      <c r="E220" s="1449" t="s">
        <v>907</v>
      </c>
      <c r="F220" s="1350">
        <v>100</v>
      </c>
      <c r="G220" s="1450" t="s">
        <v>187</v>
      </c>
      <c r="H220" s="1368">
        <v>1E-3</v>
      </c>
      <c r="I220" s="1451">
        <f>I57*SUMIF($M$60:$M$79,$C$220,ARBETSBLAD!I114:I133)</f>
        <v>0</v>
      </c>
      <c r="J220" s="1451">
        <f>J57*SUMIF($M$60:$M$79,$C$220,ARBETSBLAD!J114:J133)</f>
        <v>0</v>
      </c>
      <c r="K220" s="1451">
        <f>K57*SUMIF($M$60:$M$79,$C$220,ARBETSBLAD!K114:K133)</f>
        <v>0</v>
      </c>
      <c r="L220" s="1451">
        <f>L57*SUMIF($M$60:$M$79,$C$220,ARBETSBLAD!L114:L133)</f>
        <v>0</v>
      </c>
      <c r="M220" s="1451">
        <f>M57*SUMIF($M$60:$M$79,$C$220,ARBETSBLAD!M114:M133)</f>
        <v>0</v>
      </c>
      <c r="N220" s="1451">
        <f>N57*SUMIF($M$60:$M$79,$C$220,ARBETSBLAD!N114:N133)</f>
        <v>0</v>
      </c>
      <c r="O220" s="1451">
        <f>O57*SUMIF($M$60:$M$79,$C$220,ARBETSBLAD!O114:O133)</f>
        <v>0</v>
      </c>
      <c r="P220" s="1451">
        <f>P57*SUMIF($M$60:$M$79,$C$220,ARBETSBLAD!P114:P133)</f>
        <v>0</v>
      </c>
      <c r="Q220" s="1451">
        <f>Q57*SUMIF($M$60:$M$79,$C$220,ARBETSBLAD!Q114:Q133)</f>
        <v>0</v>
      </c>
      <c r="R220" s="1451">
        <f>R57*SUMIF($M$60:$M$79,$C$220,ARBETSBLAD!R114:R133)</f>
        <v>0</v>
      </c>
      <c r="S220" s="1451">
        <f>S57*SUMIF($M$60:$M$79,$C$220,ARBETSBLAD!S114:S133)</f>
        <v>0</v>
      </c>
      <c r="T220" s="1451">
        <f>T57*SUMIF($M$60:$M$79,$C$220,ARBETSBLAD!T114:T133)</f>
        <v>0</v>
      </c>
      <c r="U220" s="1451">
        <f>U57*SUMIF($M$60:$M$79,$C$220,ARBETSBLAD!U114:U133)</f>
        <v>0</v>
      </c>
      <c r="V220" s="1451">
        <f>V57*SUMIF($M$60:$M$79,$C$220,ARBETSBLAD!V114:V133)</f>
        <v>0</v>
      </c>
      <c r="W220" s="1451">
        <f>W57*SUMIF($M$60:$M$79,$C$220,ARBETSBLAD!W114:W133)</f>
        <v>0</v>
      </c>
      <c r="X220" s="1451">
        <f>X57*SUMIF($M$60:$M$79,$C$220,ARBETSBLAD!X114:X133)</f>
        <v>0</v>
      </c>
      <c r="Y220" s="1451">
        <f>Y57*SUMIF($M$60:$M$79,$C$220,ARBETSBLAD!Y114:Y133)</f>
        <v>0</v>
      </c>
      <c r="Z220" s="1451">
        <f>Z57*SUMIF($M$60:$M$79,$C$220,ARBETSBLAD!Z114:Z133)</f>
        <v>0</v>
      </c>
      <c r="AA220" s="1451">
        <f>AA57*SUMIF($M$60:$M$79,$C$220,ARBETSBLAD!AA114:AA133)</f>
        <v>0</v>
      </c>
      <c r="AB220" s="1451">
        <f>AB57*SUMIF($M$60:$M$79,$C$220,ARBETSBLAD!AB114:AB133)</f>
        <v>0</v>
      </c>
      <c r="AC220" s="1451">
        <f>AC57*SUMIF($M$60:$M$79,$C$220,ARBETSBLAD!AC114:AC133)</f>
        <v>0</v>
      </c>
      <c r="AD220" s="1451">
        <f>AD57*SUMIF($M$60:$M$79,$C$220,ARBETSBLAD!AD114:AD133)</f>
        <v>0</v>
      </c>
      <c r="AE220" s="1451">
        <f>AE57*SUMIF($M$60:$M$79,$C$220,ARBETSBLAD!AE114:AE133)</f>
        <v>0</v>
      </c>
      <c r="AF220" s="1451">
        <f>AF57*SUMIF($M$60:$M$79,$C$220,ARBETSBLAD!AF114:AF133)</f>
        <v>0</v>
      </c>
      <c r="AG220" s="1444"/>
      <c r="AH220" s="1354">
        <f t="shared" si="48"/>
        <v>0</v>
      </c>
      <c r="AI220" s="1355"/>
      <c r="AJ220" s="1354">
        <f t="shared" si="49"/>
        <v>0</v>
      </c>
      <c r="AL220" s="1356"/>
      <c r="AM220" s="1357"/>
      <c r="AN220" s="1437"/>
    </row>
    <row r="221" spans="1:40" s="1277" customFormat="1" ht="12" hidden="1" customHeight="1">
      <c r="A221" s="1270"/>
      <c r="B221" s="1363" t="s">
        <v>909</v>
      </c>
      <c r="C221" s="1364">
        <f t="shared" si="50"/>
        <v>200.001</v>
      </c>
      <c r="D221" s="1365"/>
      <c r="E221" s="1449" t="s">
        <v>912</v>
      </c>
      <c r="F221" s="1350">
        <v>200</v>
      </c>
      <c r="G221" s="1450" t="s">
        <v>187</v>
      </c>
      <c r="H221" s="1368">
        <v>1E-3</v>
      </c>
      <c r="I221" s="1451">
        <f>I57*SUMIF($M$60:$M$79,$C$221,ARBETSBLAD!I114:I133)</f>
        <v>0</v>
      </c>
      <c r="J221" s="1451">
        <f>J57*SUMIF($M$60:$M$79,$C$221,ARBETSBLAD!J114:J133)</f>
        <v>0</v>
      </c>
      <c r="K221" s="1451">
        <f>K57*SUMIF($M$60:$M$79,$C$221,ARBETSBLAD!K114:K133)</f>
        <v>0</v>
      </c>
      <c r="L221" s="1451">
        <f>L57*SUMIF($M$60:$M$79,$C$221,ARBETSBLAD!L114:L133)</f>
        <v>0</v>
      </c>
      <c r="M221" s="1451">
        <f>M57*SUMIF($M$60:$M$79,$C$221,ARBETSBLAD!M114:M133)</f>
        <v>0</v>
      </c>
      <c r="N221" s="1451">
        <f>N57*SUMIF($M$60:$M$79,$C$221,ARBETSBLAD!N114:N133)</f>
        <v>0</v>
      </c>
      <c r="O221" s="1451">
        <f>O57*SUMIF($M$60:$M$79,$C$221,ARBETSBLAD!O114:O133)</f>
        <v>0</v>
      </c>
      <c r="P221" s="1451">
        <f>P57*SUMIF($M$60:$M$79,$C$221,ARBETSBLAD!P114:P133)</f>
        <v>0</v>
      </c>
      <c r="Q221" s="1451">
        <f>Q57*SUMIF($M$60:$M$79,$C$221,ARBETSBLAD!Q114:Q133)</f>
        <v>0</v>
      </c>
      <c r="R221" s="1451">
        <f>R57*SUMIF($M$60:$M$79,$C$221,ARBETSBLAD!R114:R133)</f>
        <v>0</v>
      </c>
      <c r="S221" s="1451">
        <f>S57*SUMIF($M$60:$M$79,$C$221,ARBETSBLAD!S114:S133)</f>
        <v>0</v>
      </c>
      <c r="T221" s="1451">
        <f>T57*SUMIF($M$60:$M$79,$C$221,ARBETSBLAD!T114:T133)</f>
        <v>0</v>
      </c>
      <c r="U221" s="1451">
        <f>U57*SUMIF($M$60:$M$79,$C$221,ARBETSBLAD!U114:U133)</f>
        <v>0</v>
      </c>
      <c r="V221" s="1451">
        <f>V57*SUMIF($M$60:$M$79,$C$221,ARBETSBLAD!V114:V133)</f>
        <v>0</v>
      </c>
      <c r="W221" s="1451">
        <f>W57*SUMIF($M$60:$M$79,$C$221,ARBETSBLAD!W114:W133)</f>
        <v>0</v>
      </c>
      <c r="X221" s="1451">
        <f>X57*SUMIF($M$60:$M$79,$C$221,ARBETSBLAD!X114:X133)</f>
        <v>0</v>
      </c>
      <c r="Y221" s="1451">
        <f>Y57*SUMIF($M$60:$M$79,$C$221,ARBETSBLAD!Y114:Y133)</f>
        <v>0</v>
      </c>
      <c r="Z221" s="1451">
        <f>Z57*SUMIF($M$60:$M$79,$C$221,ARBETSBLAD!Z114:Z133)</f>
        <v>0</v>
      </c>
      <c r="AA221" s="1451">
        <f>AA57*SUMIF($M$60:$M$79,$C$221,ARBETSBLAD!AA114:AA133)</f>
        <v>0</v>
      </c>
      <c r="AB221" s="1451">
        <f>AB57*SUMIF($M$60:$M$79,$C$221,ARBETSBLAD!AB114:AB133)</f>
        <v>0</v>
      </c>
      <c r="AC221" s="1451">
        <f>AC57*SUMIF($M$60:$M$79,$C$221,ARBETSBLAD!AC114:AC133)</f>
        <v>0</v>
      </c>
      <c r="AD221" s="1451">
        <f>AD57*SUMIF($M$60:$M$79,$C$221,ARBETSBLAD!AD114:AD133)</f>
        <v>0</v>
      </c>
      <c r="AE221" s="1451">
        <f>AE57*SUMIF($M$60:$M$79,$C$221,ARBETSBLAD!AE114:AE133)</f>
        <v>0</v>
      </c>
      <c r="AF221" s="1451">
        <f>AF57*SUMIF($M$60:$M$79,$C$221,ARBETSBLAD!AF114:AF133)</f>
        <v>0</v>
      </c>
      <c r="AG221" s="1444"/>
      <c r="AH221" s="1354">
        <f t="shared" si="48"/>
        <v>0</v>
      </c>
      <c r="AI221" s="1355"/>
      <c r="AJ221" s="1354">
        <f t="shared" si="49"/>
        <v>0</v>
      </c>
      <c r="AL221" s="1356"/>
      <c r="AM221" s="1357"/>
      <c r="AN221" s="1437"/>
    </row>
    <row r="222" spans="1:40" s="1277" customFormat="1" ht="12" hidden="1" customHeight="1" thickBot="1">
      <c r="A222" s="1270"/>
      <c r="B222" s="1452" t="s">
        <v>911</v>
      </c>
      <c r="C222" s="1453">
        <f t="shared" si="50"/>
        <v>450.00099999999998</v>
      </c>
      <c r="D222" s="1454"/>
      <c r="E222" s="1455" t="s">
        <v>910</v>
      </c>
      <c r="F222" s="1350">
        <v>450</v>
      </c>
      <c r="G222" s="1456" t="s">
        <v>187</v>
      </c>
      <c r="H222" s="1368">
        <v>1E-3</v>
      </c>
      <c r="I222" s="1451">
        <f>I57*SUMIF($M$60:$M$79,$C$222,ARBETSBLAD!I114:I133)</f>
        <v>0</v>
      </c>
      <c r="J222" s="1451">
        <f>J57*SUMIF($M$60:$M$79,$C$222,ARBETSBLAD!J114:J133)</f>
        <v>0</v>
      </c>
      <c r="K222" s="1451">
        <f>K57*SUMIF($M$60:$M$79,$C$222,ARBETSBLAD!K114:K133)</f>
        <v>0</v>
      </c>
      <c r="L222" s="1451">
        <f>L57*SUMIF($M$60:$M$79,$C$222,ARBETSBLAD!L114:L133)</f>
        <v>0</v>
      </c>
      <c r="M222" s="1451">
        <f>M57*SUMIF($M$60:$M$79,$C$222,ARBETSBLAD!M114:M133)</f>
        <v>0</v>
      </c>
      <c r="N222" s="1451">
        <f>N57*SUMIF($M$60:$M$79,$C$222,ARBETSBLAD!N114:N133)</f>
        <v>0</v>
      </c>
      <c r="O222" s="1451">
        <f>O57*SUMIF($M$60:$M$79,$C$222,ARBETSBLAD!O114:O133)</f>
        <v>0</v>
      </c>
      <c r="P222" s="1451">
        <f>P57*SUMIF($M$60:$M$79,$C$222,ARBETSBLAD!P114:P133)</f>
        <v>0</v>
      </c>
      <c r="Q222" s="1451">
        <f>Q57*SUMIF($M$60:$M$79,$C$222,ARBETSBLAD!Q114:Q133)</f>
        <v>0</v>
      </c>
      <c r="R222" s="1451">
        <f>R57*SUMIF($M$60:$M$79,$C$222,ARBETSBLAD!R114:R133)</f>
        <v>0</v>
      </c>
      <c r="S222" s="1451">
        <f>S57*SUMIF($M$60:$M$79,$C$222,ARBETSBLAD!S114:S133)</f>
        <v>0</v>
      </c>
      <c r="T222" s="1451">
        <f>T57*SUMIF($M$60:$M$79,$C$222,ARBETSBLAD!T114:T133)</f>
        <v>0</v>
      </c>
      <c r="U222" s="1451">
        <f>U57*SUMIF($M$60:$M$79,$C$222,ARBETSBLAD!U114:U133)</f>
        <v>0</v>
      </c>
      <c r="V222" s="1451">
        <f>V57*SUMIF($M$60:$M$79,$C$222,ARBETSBLAD!V114:V133)</f>
        <v>0</v>
      </c>
      <c r="W222" s="1451">
        <f>W57*SUMIF($M$60:$M$79,$C$222,ARBETSBLAD!W114:W133)</f>
        <v>0</v>
      </c>
      <c r="X222" s="1451">
        <f>X57*SUMIF($M$60:$M$79,$C$222,ARBETSBLAD!X114:X133)</f>
        <v>0</v>
      </c>
      <c r="Y222" s="1451">
        <f>Y57*SUMIF($M$60:$M$79,$C$222,ARBETSBLAD!Y114:Y133)</f>
        <v>0</v>
      </c>
      <c r="Z222" s="1451">
        <f>Z57*SUMIF($M$60:$M$79,$C$222,ARBETSBLAD!Z114:Z133)</f>
        <v>0</v>
      </c>
      <c r="AA222" s="1451">
        <f>AA57*SUMIF($M$60:$M$79,$C$222,ARBETSBLAD!AA114:AA133)</f>
        <v>0</v>
      </c>
      <c r="AB222" s="1451">
        <f>AB57*SUMIF($M$60:$M$79,$C$222,ARBETSBLAD!AB114:AB133)</f>
        <v>0</v>
      </c>
      <c r="AC222" s="1451">
        <f>AC57*SUMIF($M$60:$M$79,$C$222,ARBETSBLAD!AC114:AC133)</f>
        <v>0</v>
      </c>
      <c r="AD222" s="1451">
        <f>AD57*SUMIF($M$60:$M$79,$C$222,ARBETSBLAD!AD114:AD133)</f>
        <v>0</v>
      </c>
      <c r="AE222" s="1451">
        <f>AE57*SUMIF($M$60:$M$79,$C$222,ARBETSBLAD!AE114:AE133)</f>
        <v>0</v>
      </c>
      <c r="AF222" s="1451">
        <f>AF57*SUMIF($M$60:$M$79,$C$222,ARBETSBLAD!AF114:AF133)</f>
        <v>0</v>
      </c>
      <c r="AG222" s="1444"/>
      <c r="AH222" s="1354">
        <f t="shared" si="48"/>
        <v>0</v>
      </c>
      <c r="AI222" s="1355"/>
      <c r="AJ222" s="1354">
        <f t="shared" si="49"/>
        <v>0</v>
      </c>
      <c r="AL222" s="1356"/>
      <c r="AM222" s="1357"/>
      <c r="AN222" s="1437"/>
    </row>
    <row r="223" spans="1:40" s="1277" customFormat="1" ht="12" hidden="1" customHeight="1">
      <c r="A223" s="1270"/>
      <c r="B223" s="1457" t="s">
        <v>908</v>
      </c>
      <c r="C223" s="1458">
        <f t="shared" si="50"/>
        <v>100.06</v>
      </c>
      <c r="D223" s="1459"/>
      <c r="E223" s="1460" t="s">
        <v>907</v>
      </c>
      <c r="F223" s="1350">
        <v>100</v>
      </c>
      <c r="G223" s="1461">
        <f>$O$64</f>
        <v>0.06</v>
      </c>
      <c r="H223" s="1368">
        <f>$P$64</f>
        <v>0.06</v>
      </c>
      <c r="I223" s="1451">
        <f>I57*SUMIF($M$60:$M$79,$C$223,ARBETSBLAD!I114:I133)</f>
        <v>0</v>
      </c>
      <c r="J223" s="1451">
        <f>J57*SUMIF($M$60:$M$79,$C$223,ARBETSBLAD!J114:J133)</f>
        <v>0</v>
      </c>
      <c r="K223" s="1451">
        <f>K57*SUMIF($M$60:$M$79,$C$223,ARBETSBLAD!K114:K133)</f>
        <v>0</v>
      </c>
      <c r="L223" s="1451">
        <f>L57*SUMIF($M$60:$M$79,$C$223,ARBETSBLAD!L114:L133)</f>
        <v>0</v>
      </c>
      <c r="M223" s="1451">
        <f>M57*SUMIF($M$60:$M$79,$C$223,ARBETSBLAD!M114:M133)</f>
        <v>0</v>
      </c>
      <c r="N223" s="1451">
        <f>N57*SUMIF($M$60:$M$79,$C$223,ARBETSBLAD!N114:N133)</f>
        <v>0</v>
      </c>
      <c r="O223" s="1451">
        <f>O57*SUMIF($M$60:$M$79,$C$223,ARBETSBLAD!O114:O133)</f>
        <v>0</v>
      </c>
      <c r="P223" s="1451">
        <f>P57*SUMIF($M$60:$M$79,$C$223,ARBETSBLAD!P114:P133)</f>
        <v>0</v>
      </c>
      <c r="Q223" s="1451">
        <f>Q57*SUMIF($M$60:$M$79,$C$223,ARBETSBLAD!Q114:Q133)</f>
        <v>0</v>
      </c>
      <c r="R223" s="1451">
        <f>R57*SUMIF($M$60:$M$79,$C$223,ARBETSBLAD!R114:R133)</f>
        <v>0</v>
      </c>
      <c r="S223" s="1451">
        <f>S57*SUMIF($M$60:$M$79,$C$223,ARBETSBLAD!S114:S133)</f>
        <v>0</v>
      </c>
      <c r="T223" s="1451">
        <f>T57*SUMIF($M$60:$M$79,$C$223,ARBETSBLAD!T114:T133)</f>
        <v>0</v>
      </c>
      <c r="U223" s="1451">
        <f>U57*SUMIF($M$60:$M$79,$C$223,ARBETSBLAD!U114:U133)</f>
        <v>0</v>
      </c>
      <c r="V223" s="1451">
        <f>V57*SUMIF($M$60:$M$79,$C$223,ARBETSBLAD!V114:V133)</f>
        <v>0</v>
      </c>
      <c r="W223" s="1451">
        <f>W57*SUMIF($M$60:$M$79,$C$223,ARBETSBLAD!W114:W133)</f>
        <v>0</v>
      </c>
      <c r="X223" s="1451">
        <f>X57*SUMIF($M$60:$M$79,$C$223,ARBETSBLAD!X114:X133)</f>
        <v>0</v>
      </c>
      <c r="Y223" s="1451">
        <f>Y57*SUMIF($M$60:$M$79,$C$223,ARBETSBLAD!Y114:Y133)</f>
        <v>0</v>
      </c>
      <c r="Z223" s="1451">
        <f>Z57*SUMIF($M$60:$M$79,$C$223,ARBETSBLAD!Z114:Z133)</f>
        <v>0</v>
      </c>
      <c r="AA223" s="1451">
        <f>AA57*SUMIF($M$60:$M$79,$C$223,ARBETSBLAD!AA114:AA133)</f>
        <v>0</v>
      </c>
      <c r="AB223" s="1451">
        <f>AB57*SUMIF($M$60:$M$79,$C$223,ARBETSBLAD!AB114:AB133)</f>
        <v>0</v>
      </c>
      <c r="AC223" s="1451">
        <f>AC57*SUMIF($M$60:$M$79,$C$223,ARBETSBLAD!AC114:AC133)</f>
        <v>0</v>
      </c>
      <c r="AD223" s="1451">
        <f>AD57*SUMIF($M$60:$M$79,$C$223,ARBETSBLAD!AD114:AD133)</f>
        <v>0</v>
      </c>
      <c r="AE223" s="1451">
        <f>AE57*SUMIF($M$60:$M$79,$C$223,ARBETSBLAD!AE114:AE133)</f>
        <v>0</v>
      </c>
      <c r="AF223" s="1451">
        <f>AF57*SUMIF($M$60:$M$79,$C$223,ARBETSBLAD!AF114:AF133)</f>
        <v>0</v>
      </c>
      <c r="AG223" s="1444"/>
      <c r="AH223" s="1354">
        <f t="shared" si="48"/>
        <v>0</v>
      </c>
      <c r="AI223" s="1355"/>
      <c r="AJ223" s="1354">
        <f t="shared" si="49"/>
        <v>0</v>
      </c>
      <c r="AL223" s="1356"/>
      <c r="AM223" s="1357"/>
      <c r="AN223" s="1437"/>
    </row>
    <row r="224" spans="1:40" s="1277" customFormat="1" ht="12" hidden="1" customHeight="1">
      <c r="A224" s="1270"/>
      <c r="B224" s="1363" t="s">
        <v>909</v>
      </c>
      <c r="C224" s="1364">
        <f t="shared" si="50"/>
        <v>200.06</v>
      </c>
      <c r="D224" s="1365"/>
      <c r="E224" s="1449" t="s">
        <v>912</v>
      </c>
      <c r="F224" s="1350">
        <v>200</v>
      </c>
      <c r="G224" s="1450">
        <f>$O$64</f>
        <v>0.06</v>
      </c>
      <c r="H224" s="1368">
        <f>$P$64</f>
        <v>0.06</v>
      </c>
      <c r="I224" s="1451">
        <f>I57*SUMIF($M$60:$M$79,$C$224,ARBETSBLAD!I114:I133)</f>
        <v>0</v>
      </c>
      <c r="J224" s="1451">
        <f>J57*SUMIF($M$60:$M$79,$C$224,ARBETSBLAD!J114:J133)</f>
        <v>0</v>
      </c>
      <c r="K224" s="1451">
        <f>K57*SUMIF($M$60:$M$79,$C$224,ARBETSBLAD!K114:K133)</f>
        <v>0</v>
      </c>
      <c r="L224" s="1451">
        <f>L57*SUMIF($M$60:$M$79,$C$224,ARBETSBLAD!L114:L133)</f>
        <v>0</v>
      </c>
      <c r="M224" s="1451">
        <f>M57*SUMIF($M$60:$M$79,$C$224,ARBETSBLAD!M114:M133)</f>
        <v>0</v>
      </c>
      <c r="N224" s="1451">
        <f>N57*SUMIF($M$60:$M$79,$C$224,ARBETSBLAD!N114:N133)</f>
        <v>0</v>
      </c>
      <c r="O224" s="1451">
        <f>O57*SUMIF($M$60:$M$79,$C$224,ARBETSBLAD!O114:O133)</f>
        <v>0</v>
      </c>
      <c r="P224" s="1451">
        <f>P57*SUMIF($M$60:$M$79,$C$224,ARBETSBLAD!P114:P133)</f>
        <v>0</v>
      </c>
      <c r="Q224" s="1451">
        <f>Q57*SUMIF($M$60:$M$79,$C$224,ARBETSBLAD!Q114:Q133)</f>
        <v>0</v>
      </c>
      <c r="R224" s="1451">
        <f>R57*SUMIF($M$60:$M$79,$C$224,ARBETSBLAD!R114:R133)</f>
        <v>0</v>
      </c>
      <c r="S224" s="1451">
        <f>S57*SUMIF($M$60:$M$79,$C$224,ARBETSBLAD!S114:S133)</f>
        <v>0</v>
      </c>
      <c r="T224" s="1451">
        <f>T57*SUMIF($M$60:$M$79,$C$224,ARBETSBLAD!T114:T133)</f>
        <v>0</v>
      </c>
      <c r="U224" s="1451">
        <f>U57*SUMIF($M$60:$M$79,$C$224,ARBETSBLAD!U114:U133)</f>
        <v>0</v>
      </c>
      <c r="V224" s="1451">
        <f>V57*SUMIF($M$60:$M$79,$C$224,ARBETSBLAD!V114:V133)</f>
        <v>0</v>
      </c>
      <c r="W224" s="1451">
        <f>W57*SUMIF($M$60:$M$79,$C$224,ARBETSBLAD!W114:W133)</f>
        <v>0</v>
      </c>
      <c r="X224" s="1451">
        <f>X57*SUMIF($M$60:$M$79,$C$224,ARBETSBLAD!X114:X133)</f>
        <v>0</v>
      </c>
      <c r="Y224" s="1451">
        <f>Y57*SUMIF($M$60:$M$79,$C$224,ARBETSBLAD!Y114:Y133)</f>
        <v>0</v>
      </c>
      <c r="Z224" s="1451">
        <f>Z57*SUMIF($M$60:$M$79,$C$224,ARBETSBLAD!Z114:Z133)</f>
        <v>0</v>
      </c>
      <c r="AA224" s="1451">
        <f>AA57*SUMIF($M$60:$M$79,$C$224,ARBETSBLAD!AA114:AA133)</f>
        <v>0</v>
      </c>
      <c r="AB224" s="1451">
        <f>AB57*SUMIF($M$60:$M$79,$C$224,ARBETSBLAD!AB114:AB133)</f>
        <v>0</v>
      </c>
      <c r="AC224" s="1451">
        <f>AC57*SUMIF($M$60:$M$79,$C$224,ARBETSBLAD!AC114:AC133)</f>
        <v>0</v>
      </c>
      <c r="AD224" s="1451">
        <f>AD57*SUMIF($M$60:$M$79,$C$224,ARBETSBLAD!AD114:AD133)</f>
        <v>0</v>
      </c>
      <c r="AE224" s="1451">
        <f>AE57*SUMIF($M$60:$M$79,$C$224,ARBETSBLAD!AE114:AE133)</f>
        <v>0</v>
      </c>
      <c r="AF224" s="1451">
        <f>AF57*SUMIF($M$60:$M$79,$C$224,ARBETSBLAD!AF114:AF133)</f>
        <v>0</v>
      </c>
      <c r="AG224" s="1444"/>
      <c r="AH224" s="1354">
        <f t="shared" si="48"/>
        <v>0</v>
      </c>
      <c r="AI224" s="1355"/>
      <c r="AJ224" s="1354">
        <f t="shared" si="49"/>
        <v>0</v>
      </c>
      <c r="AL224" s="1356"/>
      <c r="AM224" s="1357"/>
      <c r="AN224" s="1437"/>
    </row>
    <row r="225" spans="1:40" s="1277" customFormat="1" ht="12" hidden="1" customHeight="1" thickBot="1">
      <c r="A225" s="1270"/>
      <c r="B225" s="1452" t="s">
        <v>911</v>
      </c>
      <c r="C225" s="1453">
        <f t="shared" si="50"/>
        <v>450.06</v>
      </c>
      <c r="D225" s="1454"/>
      <c r="E225" s="1455" t="s">
        <v>910</v>
      </c>
      <c r="F225" s="1350">
        <v>450</v>
      </c>
      <c r="G225" s="1456">
        <f>$O$64</f>
        <v>0.06</v>
      </c>
      <c r="H225" s="1368">
        <f>$P$64</f>
        <v>0.06</v>
      </c>
      <c r="I225" s="1451">
        <f>I57*SUMIF($M$60:$M$79,$C$225,ARBETSBLAD!I114:I133)</f>
        <v>0</v>
      </c>
      <c r="J225" s="1451">
        <f>J57*SUMIF($M$60:$M$79,$C$225,ARBETSBLAD!J114:J133)</f>
        <v>0</v>
      </c>
      <c r="K225" s="1451">
        <f>K57*SUMIF($M$60:$M$79,$C$225,ARBETSBLAD!K114:K133)</f>
        <v>0</v>
      </c>
      <c r="L225" s="1451">
        <f>L57*SUMIF($M$60:$M$79,$C$225,ARBETSBLAD!L114:L133)</f>
        <v>0</v>
      </c>
      <c r="M225" s="1451">
        <f>M57*SUMIF($M$60:$M$79,$C$225,ARBETSBLAD!M114:M133)</f>
        <v>0</v>
      </c>
      <c r="N225" s="1451">
        <f>N57*SUMIF($M$60:$M$79,$C$225,ARBETSBLAD!N114:N133)</f>
        <v>0</v>
      </c>
      <c r="O225" s="1451">
        <f>O57*SUMIF($M$60:$M$79,$C$225,ARBETSBLAD!O114:O133)</f>
        <v>0</v>
      </c>
      <c r="P225" s="1451">
        <f>P57*SUMIF($M$60:$M$79,$C$225,ARBETSBLAD!P114:P133)</f>
        <v>0</v>
      </c>
      <c r="Q225" s="1451">
        <f>Q57*SUMIF($M$60:$M$79,$C$225,ARBETSBLAD!Q114:Q133)</f>
        <v>0</v>
      </c>
      <c r="R225" s="1451">
        <f>R57*SUMIF($M$60:$M$79,$C$225,ARBETSBLAD!R114:R133)</f>
        <v>0</v>
      </c>
      <c r="S225" s="1451">
        <f>S57*SUMIF($M$60:$M$79,$C$225,ARBETSBLAD!S114:S133)</f>
        <v>0</v>
      </c>
      <c r="T225" s="1451">
        <f>T57*SUMIF($M$60:$M$79,$C$225,ARBETSBLAD!T114:T133)</f>
        <v>0</v>
      </c>
      <c r="U225" s="1451">
        <f>U57*SUMIF($M$60:$M$79,$C$225,ARBETSBLAD!U114:U133)</f>
        <v>0</v>
      </c>
      <c r="V225" s="1451">
        <f>V57*SUMIF($M$60:$M$79,$C$225,ARBETSBLAD!V114:V133)</f>
        <v>0</v>
      </c>
      <c r="W225" s="1451">
        <f>W57*SUMIF($M$60:$M$79,$C$225,ARBETSBLAD!W114:W133)</f>
        <v>0</v>
      </c>
      <c r="X225" s="1451">
        <f>X57*SUMIF($M$60:$M$79,$C$225,ARBETSBLAD!X114:X133)</f>
        <v>0</v>
      </c>
      <c r="Y225" s="1451">
        <f>Y57*SUMIF($M$60:$M$79,$C$225,ARBETSBLAD!Y114:Y133)</f>
        <v>0</v>
      </c>
      <c r="Z225" s="1451">
        <f>Z57*SUMIF($M$60:$M$79,$C$225,ARBETSBLAD!Z114:Z133)</f>
        <v>0</v>
      </c>
      <c r="AA225" s="1451">
        <f>AA57*SUMIF($M$60:$M$79,$C$225,ARBETSBLAD!AA114:AA133)</f>
        <v>0</v>
      </c>
      <c r="AB225" s="1451">
        <f>AB57*SUMIF($M$60:$M$79,$C$225,ARBETSBLAD!AB114:AB133)</f>
        <v>0</v>
      </c>
      <c r="AC225" s="1451">
        <f>AC57*SUMIF($M$60:$M$79,$C$225,ARBETSBLAD!AC114:AC133)</f>
        <v>0</v>
      </c>
      <c r="AD225" s="1451">
        <f>AD57*SUMIF($M$60:$M$79,$C$225,ARBETSBLAD!AD114:AD133)</f>
        <v>0</v>
      </c>
      <c r="AE225" s="1451">
        <f>AE57*SUMIF($M$60:$M$79,$C$225,ARBETSBLAD!AE114:AE133)</f>
        <v>0</v>
      </c>
      <c r="AF225" s="1451">
        <f>AF57*SUMIF($M$60:$M$79,$C$225,ARBETSBLAD!AF114:AF133)</f>
        <v>0</v>
      </c>
      <c r="AG225" s="1444"/>
      <c r="AH225" s="1354">
        <f t="shared" si="48"/>
        <v>0</v>
      </c>
      <c r="AI225" s="1355"/>
      <c r="AJ225" s="1354">
        <f t="shared" si="49"/>
        <v>0</v>
      </c>
      <c r="AL225" s="1356"/>
      <c r="AM225" s="1357"/>
      <c r="AN225" s="1437"/>
    </row>
    <row r="226" spans="1:40" s="1277" customFormat="1" ht="12" hidden="1" customHeight="1">
      <c r="A226" s="1270"/>
      <c r="B226" s="1457" t="s">
        <v>908</v>
      </c>
      <c r="C226" s="1458">
        <f t="shared" si="50"/>
        <v>100.12</v>
      </c>
      <c r="D226" s="1459"/>
      <c r="E226" s="1460" t="s">
        <v>907</v>
      </c>
      <c r="F226" s="1350">
        <v>100</v>
      </c>
      <c r="G226" s="1461">
        <f>$O$65</f>
        <v>0.12</v>
      </c>
      <c r="H226" s="1368">
        <f>$P$65</f>
        <v>0.12</v>
      </c>
      <c r="I226" s="1451">
        <f>I57*SUMIF($M$60:$M$79,$C$226,ARBETSBLAD!I114:I133)</f>
        <v>0</v>
      </c>
      <c r="J226" s="1451">
        <f>J57*SUMIF($M$60:$M$79,$C$226,ARBETSBLAD!J114:J133)</f>
        <v>0</v>
      </c>
      <c r="K226" s="1451">
        <f>K57*SUMIF($M$60:$M$79,$C$226,ARBETSBLAD!K114:K133)</f>
        <v>0</v>
      </c>
      <c r="L226" s="1451">
        <f>L57*SUMIF($M$60:$M$79,$C$226,ARBETSBLAD!L114:L133)</f>
        <v>0</v>
      </c>
      <c r="M226" s="1451">
        <f>M57*SUMIF($M$60:$M$79,$C$226,ARBETSBLAD!M114:M133)</f>
        <v>0</v>
      </c>
      <c r="N226" s="1451">
        <f>N57*SUMIF($M$60:$M$79,$C$226,ARBETSBLAD!N114:N133)</f>
        <v>0</v>
      </c>
      <c r="O226" s="1451">
        <f>O57*SUMIF($M$60:$M$79,$C$226,ARBETSBLAD!O114:O133)</f>
        <v>0</v>
      </c>
      <c r="P226" s="1451">
        <f>P57*SUMIF($M$60:$M$79,$C$226,ARBETSBLAD!P114:P133)</f>
        <v>0</v>
      </c>
      <c r="Q226" s="1451">
        <f>Q57*SUMIF($M$60:$M$79,$C$226,ARBETSBLAD!Q114:Q133)</f>
        <v>0</v>
      </c>
      <c r="R226" s="1451">
        <f>R57*SUMIF($M$60:$M$79,$C$226,ARBETSBLAD!R114:R133)</f>
        <v>0</v>
      </c>
      <c r="S226" s="1451">
        <f>S57*SUMIF($M$60:$M$79,$C$226,ARBETSBLAD!S114:S133)</f>
        <v>0</v>
      </c>
      <c r="T226" s="1451">
        <f>T57*SUMIF($M$60:$M$79,$C$226,ARBETSBLAD!T114:T133)</f>
        <v>0</v>
      </c>
      <c r="U226" s="1451">
        <f>U57*SUMIF($M$60:$M$79,$C$226,ARBETSBLAD!U114:U133)</f>
        <v>0</v>
      </c>
      <c r="V226" s="1451">
        <f>V57*SUMIF($M$60:$M$79,$C$226,ARBETSBLAD!V114:V133)</f>
        <v>0</v>
      </c>
      <c r="W226" s="1451">
        <f>W57*SUMIF($M$60:$M$79,$C$226,ARBETSBLAD!W114:W133)</f>
        <v>0</v>
      </c>
      <c r="X226" s="1451">
        <f>X57*SUMIF($M$60:$M$79,$C$226,ARBETSBLAD!X114:X133)</f>
        <v>0</v>
      </c>
      <c r="Y226" s="1451">
        <f>Y57*SUMIF($M$60:$M$79,$C$226,ARBETSBLAD!Y114:Y133)</f>
        <v>0</v>
      </c>
      <c r="Z226" s="1451">
        <f>Z57*SUMIF($M$60:$M$79,$C$226,ARBETSBLAD!Z114:Z133)</f>
        <v>0</v>
      </c>
      <c r="AA226" s="1451">
        <f>AA57*SUMIF($M$60:$M$79,$C$226,ARBETSBLAD!AA114:AA133)</f>
        <v>0</v>
      </c>
      <c r="AB226" s="1451">
        <f>AB57*SUMIF($M$60:$M$79,$C$226,ARBETSBLAD!AB114:AB133)</f>
        <v>0</v>
      </c>
      <c r="AC226" s="1451">
        <f>AC57*SUMIF($M$60:$M$79,$C$226,ARBETSBLAD!AC114:AC133)</f>
        <v>0</v>
      </c>
      <c r="AD226" s="1451">
        <f>AD57*SUMIF($M$60:$M$79,$C$226,ARBETSBLAD!AD114:AD133)</f>
        <v>0</v>
      </c>
      <c r="AE226" s="1451">
        <f>AE57*SUMIF($M$60:$M$79,$C$226,ARBETSBLAD!AE114:AE133)</f>
        <v>0</v>
      </c>
      <c r="AF226" s="1451">
        <f>AF57*SUMIF($M$60:$M$79,$C$226,ARBETSBLAD!AF114:AF133)</f>
        <v>0</v>
      </c>
      <c r="AG226" s="1444"/>
      <c r="AH226" s="1354">
        <f t="shared" si="48"/>
        <v>0</v>
      </c>
      <c r="AI226" s="1355"/>
      <c r="AJ226" s="1354">
        <f t="shared" si="49"/>
        <v>0</v>
      </c>
      <c r="AL226" s="1356"/>
      <c r="AM226" s="1357"/>
      <c r="AN226" s="1437"/>
    </row>
    <row r="227" spans="1:40" s="1277" customFormat="1" ht="12" hidden="1" customHeight="1">
      <c r="A227" s="1270"/>
      <c r="B227" s="1363" t="s">
        <v>909</v>
      </c>
      <c r="C227" s="1364">
        <f t="shared" si="50"/>
        <v>200.12</v>
      </c>
      <c r="D227" s="1365"/>
      <c r="E227" s="1449" t="s">
        <v>912</v>
      </c>
      <c r="F227" s="1350">
        <v>200</v>
      </c>
      <c r="G227" s="1450">
        <f>$O$65</f>
        <v>0.12</v>
      </c>
      <c r="H227" s="1368">
        <f>$P$65</f>
        <v>0.12</v>
      </c>
      <c r="I227" s="1451">
        <f>I57*SUMIF($M$60:$M$79,$C$227,ARBETSBLAD!I114:I133)</f>
        <v>0</v>
      </c>
      <c r="J227" s="1451">
        <f>J57*SUMIF($M$60:$M$79,$C$227,ARBETSBLAD!J114:J133)</f>
        <v>0</v>
      </c>
      <c r="K227" s="1451">
        <f>K57*SUMIF($M$60:$M$79,$C$227,ARBETSBLAD!K114:K133)</f>
        <v>0</v>
      </c>
      <c r="L227" s="1451">
        <f>L57*SUMIF($M$60:$M$79,$C$227,ARBETSBLAD!L114:L133)</f>
        <v>0</v>
      </c>
      <c r="M227" s="1451">
        <f>M57*SUMIF($M$60:$M$79,$C$227,ARBETSBLAD!M114:M133)</f>
        <v>0</v>
      </c>
      <c r="N227" s="1451">
        <f>N57*SUMIF($M$60:$M$79,$C$227,ARBETSBLAD!N114:N133)</f>
        <v>0</v>
      </c>
      <c r="O227" s="1451">
        <f>O57*SUMIF($M$60:$M$79,$C$227,ARBETSBLAD!O114:O133)</f>
        <v>0</v>
      </c>
      <c r="P227" s="1451">
        <f>P57*SUMIF($M$60:$M$79,$C$227,ARBETSBLAD!P114:P133)</f>
        <v>0</v>
      </c>
      <c r="Q227" s="1451">
        <f>Q57*SUMIF($M$60:$M$79,$C$227,ARBETSBLAD!Q114:Q133)</f>
        <v>0</v>
      </c>
      <c r="R227" s="1451">
        <f>R57*SUMIF($M$60:$M$79,$C$227,ARBETSBLAD!R114:R133)</f>
        <v>0</v>
      </c>
      <c r="S227" s="1451">
        <f>S57*SUMIF($M$60:$M$79,$C$227,ARBETSBLAD!S114:S133)</f>
        <v>0</v>
      </c>
      <c r="T227" s="1451">
        <f>T57*SUMIF($M$60:$M$79,$C$227,ARBETSBLAD!T114:T133)</f>
        <v>0</v>
      </c>
      <c r="U227" s="1451">
        <f>U57*SUMIF($M$60:$M$79,$C$227,ARBETSBLAD!U114:U133)</f>
        <v>0</v>
      </c>
      <c r="V227" s="1451">
        <f>V57*SUMIF($M$60:$M$79,$C$227,ARBETSBLAD!V114:V133)</f>
        <v>0</v>
      </c>
      <c r="W227" s="1451">
        <f>W57*SUMIF($M$60:$M$79,$C$227,ARBETSBLAD!W114:W133)</f>
        <v>0</v>
      </c>
      <c r="X227" s="1451">
        <f>X57*SUMIF($M$60:$M$79,$C$227,ARBETSBLAD!X114:X133)</f>
        <v>0</v>
      </c>
      <c r="Y227" s="1451">
        <f>Y57*SUMIF($M$60:$M$79,$C$227,ARBETSBLAD!Y114:Y133)</f>
        <v>0</v>
      </c>
      <c r="Z227" s="1451">
        <f>Z57*SUMIF($M$60:$M$79,$C$227,ARBETSBLAD!Z114:Z133)</f>
        <v>0</v>
      </c>
      <c r="AA227" s="1451">
        <f>AA57*SUMIF($M$60:$M$79,$C$227,ARBETSBLAD!AA114:AA133)</f>
        <v>0</v>
      </c>
      <c r="AB227" s="1451">
        <f>AB57*SUMIF($M$60:$M$79,$C$227,ARBETSBLAD!AB114:AB133)</f>
        <v>0</v>
      </c>
      <c r="AC227" s="1451">
        <f>AC57*SUMIF($M$60:$M$79,$C$227,ARBETSBLAD!AC114:AC133)</f>
        <v>0</v>
      </c>
      <c r="AD227" s="1451">
        <f>AD57*SUMIF($M$60:$M$79,$C$227,ARBETSBLAD!AD114:AD133)</f>
        <v>0</v>
      </c>
      <c r="AE227" s="1451">
        <f>AE57*SUMIF($M$60:$M$79,$C$227,ARBETSBLAD!AE114:AE133)</f>
        <v>0</v>
      </c>
      <c r="AF227" s="1451">
        <f>AF57*SUMIF($M$60:$M$79,$C$227,ARBETSBLAD!AF114:AF133)</f>
        <v>0</v>
      </c>
      <c r="AG227" s="1444"/>
      <c r="AH227" s="1354">
        <f t="shared" si="48"/>
        <v>0</v>
      </c>
      <c r="AI227" s="1355"/>
      <c r="AJ227" s="1354">
        <f t="shared" si="49"/>
        <v>0</v>
      </c>
      <c r="AL227" s="1356"/>
      <c r="AM227" s="1357"/>
      <c r="AN227" s="1437"/>
    </row>
    <row r="228" spans="1:40" s="1277" customFormat="1" ht="12" hidden="1" customHeight="1" thickBot="1">
      <c r="A228" s="1270"/>
      <c r="B228" s="1452" t="s">
        <v>911</v>
      </c>
      <c r="C228" s="1453">
        <f t="shared" si="50"/>
        <v>450.12</v>
      </c>
      <c r="D228" s="1454"/>
      <c r="E228" s="1455" t="s">
        <v>910</v>
      </c>
      <c r="F228" s="1350">
        <v>450</v>
      </c>
      <c r="G228" s="1456">
        <f>$O$65</f>
        <v>0.12</v>
      </c>
      <c r="H228" s="1368">
        <f>$P$65</f>
        <v>0.12</v>
      </c>
      <c r="I228" s="1451">
        <f>I57*SUMIF($M$60:$M$79,$C$228,ARBETSBLAD!I114:I133)</f>
        <v>0</v>
      </c>
      <c r="J228" s="1451">
        <f>J57*SUMIF($M$60:$M$79,$C$228,ARBETSBLAD!J114:J133)</f>
        <v>0</v>
      </c>
      <c r="K228" s="1451">
        <f>K57*SUMIF($M$60:$M$79,$C$228,ARBETSBLAD!K114:K133)</f>
        <v>0</v>
      </c>
      <c r="L228" s="1451">
        <f>L57*SUMIF($M$60:$M$79,$C$228,ARBETSBLAD!L114:L133)</f>
        <v>0</v>
      </c>
      <c r="M228" s="1451">
        <f>M57*SUMIF($M$60:$M$79,$C$228,ARBETSBLAD!M114:M133)</f>
        <v>0</v>
      </c>
      <c r="N228" s="1451">
        <f>N57*SUMIF($M$60:$M$79,$C$228,ARBETSBLAD!N114:N133)</f>
        <v>0</v>
      </c>
      <c r="O228" s="1451">
        <f>O57*SUMIF($M$60:$M$79,$C$228,ARBETSBLAD!O114:O133)</f>
        <v>0</v>
      </c>
      <c r="P228" s="1451">
        <f>P57*SUMIF($M$60:$M$79,$C$228,ARBETSBLAD!P114:P133)</f>
        <v>0</v>
      </c>
      <c r="Q228" s="1451">
        <f>Q57*SUMIF($M$60:$M$79,$C$228,ARBETSBLAD!Q114:Q133)</f>
        <v>0</v>
      </c>
      <c r="R228" s="1451">
        <f>R57*SUMIF($M$60:$M$79,$C$228,ARBETSBLAD!R114:R133)</f>
        <v>0</v>
      </c>
      <c r="S228" s="1451">
        <f>S57*SUMIF($M$60:$M$79,$C$228,ARBETSBLAD!S114:S133)</f>
        <v>0</v>
      </c>
      <c r="T228" s="1451">
        <f>T57*SUMIF($M$60:$M$79,$C$228,ARBETSBLAD!T114:T133)</f>
        <v>0</v>
      </c>
      <c r="U228" s="1451">
        <f>U57*SUMIF($M$60:$M$79,$C$228,ARBETSBLAD!U114:U133)</f>
        <v>0</v>
      </c>
      <c r="V228" s="1451">
        <f>V57*SUMIF($M$60:$M$79,$C$228,ARBETSBLAD!V114:V133)</f>
        <v>0</v>
      </c>
      <c r="W228" s="1451">
        <f>W57*SUMIF($M$60:$M$79,$C$228,ARBETSBLAD!W114:W133)</f>
        <v>0</v>
      </c>
      <c r="X228" s="1451">
        <f>X57*SUMIF($M$60:$M$79,$C$228,ARBETSBLAD!X114:X133)</f>
        <v>0</v>
      </c>
      <c r="Y228" s="1451">
        <f>Y57*SUMIF($M$60:$M$79,$C$228,ARBETSBLAD!Y114:Y133)</f>
        <v>0</v>
      </c>
      <c r="Z228" s="1451">
        <f>Z57*SUMIF($M$60:$M$79,$C$228,ARBETSBLAD!Z114:Z133)</f>
        <v>0</v>
      </c>
      <c r="AA228" s="1451">
        <f>AA57*SUMIF($M$60:$M$79,$C$228,ARBETSBLAD!AA114:AA133)</f>
        <v>0</v>
      </c>
      <c r="AB228" s="1451">
        <f>AB57*SUMIF($M$60:$M$79,$C$228,ARBETSBLAD!AB114:AB133)</f>
        <v>0</v>
      </c>
      <c r="AC228" s="1451">
        <f>AC57*SUMIF($M$60:$M$79,$C$228,ARBETSBLAD!AC114:AC133)</f>
        <v>0</v>
      </c>
      <c r="AD228" s="1451">
        <f>AD57*SUMIF($M$60:$M$79,$C$228,ARBETSBLAD!AD114:AD133)</f>
        <v>0</v>
      </c>
      <c r="AE228" s="1451">
        <f>AE57*SUMIF($M$60:$M$79,$C$228,ARBETSBLAD!AE114:AE133)</f>
        <v>0</v>
      </c>
      <c r="AF228" s="1451">
        <f>AF57*SUMIF($M$60:$M$79,$C$228,ARBETSBLAD!AF114:AF133)</f>
        <v>0</v>
      </c>
      <c r="AG228" s="1444"/>
      <c r="AH228" s="1354">
        <f t="shared" si="48"/>
        <v>0</v>
      </c>
      <c r="AI228" s="1355"/>
      <c r="AJ228" s="1354">
        <f t="shared" si="49"/>
        <v>0</v>
      </c>
      <c r="AL228" s="1356"/>
      <c r="AM228" s="1357"/>
      <c r="AN228" s="1437"/>
    </row>
    <row r="229" spans="1:40" s="1277" customFormat="1" ht="12" hidden="1" customHeight="1">
      <c r="A229" s="1270"/>
      <c r="B229" s="1457" t="s">
        <v>908</v>
      </c>
      <c r="C229" s="1458">
        <f t="shared" si="50"/>
        <v>100.25</v>
      </c>
      <c r="D229" s="1459"/>
      <c r="E229" s="1460" t="s">
        <v>907</v>
      </c>
      <c r="F229" s="1350">
        <v>100</v>
      </c>
      <c r="G229" s="1461">
        <f>$O$66</f>
        <v>0.25</v>
      </c>
      <c r="H229" s="1368">
        <f>$P$66</f>
        <v>0.25</v>
      </c>
      <c r="I229" s="1451">
        <f>I57*SUMIF($M$60:$M$79,$C$229,ARBETSBLAD!I114:I133)</f>
        <v>0</v>
      </c>
      <c r="J229" s="1451">
        <f>J57*SUMIF($M$60:$M$79,$C$229,ARBETSBLAD!J114:J133)</f>
        <v>0</v>
      </c>
      <c r="K229" s="1451">
        <f>K57*SUMIF($M$60:$M$79,$C$229,ARBETSBLAD!K114:K133)</f>
        <v>0</v>
      </c>
      <c r="L229" s="1451">
        <f>L57*SUMIF($M$60:$M$79,$C$229,ARBETSBLAD!L114:L133)</f>
        <v>0</v>
      </c>
      <c r="M229" s="1451">
        <f>M57*SUMIF($M$60:$M$79,$C$229,ARBETSBLAD!M114:M133)</f>
        <v>0</v>
      </c>
      <c r="N229" s="1451">
        <f>N57*SUMIF($M$60:$M$79,$C$229,ARBETSBLAD!N114:N133)</f>
        <v>0</v>
      </c>
      <c r="O229" s="1451">
        <f>O57*SUMIF($M$60:$M$79,$C$229,ARBETSBLAD!O114:O133)</f>
        <v>0</v>
      </c>
      <c r="P229" s="1451">
        <f>P57*SUMIF($M$60:$M$79,$C$229,ARBETSBLAD!P114:P133)</f>
        <v>0</v>
      </c>
      <c r="Q229" s="1451">
        <f>Q57*SUMIF($M$60:$M$79,$C$229,ARBETSBLAD!Q114:Q133)</f>
        <v>0</v>
      </c>
      <c r="R229" s="1451">
        <f>R57*SUMIF($M$60:$M$79,$C$229,ARBETSBLAD!R114:R133)</f>
        <v>0</v>
      </c>
      <c r="S229" s="1451">
        <f>S57*SUMIF($M$60:$M$79,$C$229,ARBETSBLAD!S114:S133)</f>
        <v>0</v>
      </c>
      <c r="T229" s="1451">
        <f>T57*SUMIF($M$60:$M$79,$C$229,ARBETSBLAD!T114:T133)</f>
        <v>0</v>
      </c>
      <c r="U229" s="1451">
        <f>U57*SUMIF($M$60:$M$79,$C$229,ARBETSBLAD!U114:U133)</f>
        <v>0</v>
      </c>
      <c r="V229" s="1451">
        <f>V57*SUMIF($M$60:$M$79,$C$229,ARBETSBLAD!V114:V133)</f>
        <v>0</v>
      </c>
      <c r="W229" s="1451">
        <f>W57*SUMIF($M$60:$M$79,$C$229,ARBETSBLAD!W114:W133)</f>
        <v>0</v>
      </c>
      <c r="X229" s="1451">
        <f>X57*SUMIF($M$60:$M$79,$C$229,ARBETSBLAD!X114:X133)</f>
        <v>0</v>
      </c>
      <c r="Y229" s="1451">
        <f>Y57*SUMIF($M$60:$M$79,$C$229,ARBETSBLAD!Y114:Y133)</f>
        <v>0</v>
      </c>
      <c r="Z229" s="1451">
        <f>Z57*SUMIF($M$60:$M$79,$C$229,ARBETSBLAD!Z114:Z133)</f>
        <v>0</v>
      </c>
      <c r="AA229" s="1451">
        <f>AA57*SUMIF($M$60:$M$79,$C$229,ARBETSBLAD!AA114:AA133)</f>
        <v>0</v>
      </c>
      <c r="AB229" s="1451">
        <f>AB57*SUMIF($M$60:$M$79,$C$229,ARBETSBLAD!AB114:AB133)</f>
        <v>0</v>
      </c>
      <c r="AC229" s="1451">
        <f>AC57*SUMIF($M$60:$M$79,$C$229,ARBETSBLAD!AC114:AC133)</f>
        <v>0</v>
      </c>
      <c r="AD229" s="1451">
        <f>AD57*SUMIF($M$60:$M$79,$C$229,ARBETSBLAD!AD114:AD133)</f>
        <v>0</v>
      </c>
      <c r="AE229" s="1451">
        <f>AE57*SUMIF($M$60:$M$79,$C$229,ARBETSBLAD!AE114:AE133)</f>
        <v>0</v>
      </c>
      <c r="AF229" s="1451">
        <f>AF57*SUMIF($M$60:$M$79,$C$229,ARBETSBLAD!AF114:AF133)</f>
        <v>0</v>
      </c>
      <c r="AG229" s="1444"/>
      <c r="AH229" s="1354">
        <f t="shared" si="48"/>
        <v>0</v>
      </c>
      <c r="AI229" s="1355"/>
      <c r="AJ229" s="1354">
        <f t="shared" si="49"/>
        <v>0</v>
      </c>
      <c r="AL229" s="1356"/>
      <c r="AM229" s="1357"/>
      <c r="AN229" s="1437"/>
    </row>
    <row r="230" spans="1:40" s="1277" customFormat="1" ht="12" hidden="1" customHeight="1">
      <c r="A230" s="1270"/>
      <c r="B230" s="1363" t="s">
        <v>909</v>
      </c>
      <c r="C230" s="1364">
        <f t="shared" si="50"/>
        <v>200.25</v>
      </c>
      <c r="D230" s="1365"/>
      <c r="E230" s="1449" t="s">
        <v>912</v>
      </c>
      <c r="F230" s="1350">
        <v>200</v>
      </c>
      <c r="G230" s="1450">
        <f>$O$66</f>
        <v>0.25</v>
      </c>
      <c r="H230" s="1368">
        <f>$P$66</f>
        <v>0.25</v>
      </c>
      <c r="I230" s="1451">
        <f>I57*SUMIF($M$60:$M$79,$C$230,ARBETSBLAD!I114:I133)</f>
        <v>0</v>
      </c>
      <c r="J230" s="1451">
        <f>J57*SUMIF($M$60:$M$79,$C$230,ARBETSBLAD!J114:J133)</f>
        <v>0</v>
      </c>
      <c r="K230" s="1451">
        <f>K57*SUMIF($M$60:$M$79,$C$230,ARBETSBLAD!K114:K133)</f>
        <v>0</v>
      </c>
      <c r="L230" s="1451">
        <f>L57*SUMIF($M$60:$M$79,$C$230,ARBETSBLAD!L114:L133)</f>
        <v>0</v>
      </c>
      <c r="M230" s="1451">
        <f>M57*SUMIF($M$60:$M$79,$C$230,ARBETSBLAD!M114:M133)</f>
        <v>0</v>
      </c>
      <c r="N230" s="1451">
        <f>N57*SUMIF($M$60:$M$79,$C$230,ARBETSBLAD!N114:N133)</f>
        <v>0</v>
      </c>
      <c r="O230" s="1451">
        <f>O57*SUMIF($M$60:$M$79,$C$230,ARBETSBLAD!O114:O133)</f>
        <v>0</v>
      </c>
      <c r="P230" s="1451">
        <f>P57*SUMIF($M$60:$M$79,$C$230,ARBETSBLAD!P114:P133)</f>
        <v>0</v>
      </c>
      <c r="Q230" s="1451">
        <f>Q57*SUMIF($M$60:$M$79,$C$230,ARBETSBLAD!Q114:Q133)</f>
        <v>0</v>
      </c>
      <c r="R230" s="1451">
        <f>R57*SUMIF($M$60:$M$79,$C$230,ARBETSBLAD!R114:R133)</f>
        <v>0</v>
      </c>
      <c r="S230" s="1451">
        <f>S57*SUMIF($M$60:$M$79,$C$230,ARBETSBLAD!S114:S133)</f>
        <v>0</v>
      </c>
      <c r="T230" s="1451">
        <f>T57*SUMIF($M$60:$M$79,$C$230,ARBETSBLAD!T114:T133)</f>
        <v>0</v>
      </c>
      <c r="U230" s="1451">
        <f>U57*SUMIF($M$60:$M$79,$C$230,ARBETSBLAD!U114:U133)</f>
        <v>0</v>
      </c>
      <c r="V230" s="1451">
        <f>V57*SUMIF($M$60:$M$79,$C$230,ARBETSBLAD!V114:V133)</f>
        <v>0</v>
      </c>
      <c r="W230" s="1451">
        <f>W57*SUMIF($M$60:$M$79,$C$230,ARBETSBLAD!W114:W133)</f>
        <v>0</v>
      </c>
      <c r="X230" s="1451">
        <f>X57*SUMIF($M$60:$M$79,$C$230,ARBETSBLAD!X114:X133)</f>
        <v>0</v>
      </c>
      <c r="Y230" s="1451">
        <f>Y57*SUMIF($M$60:$M$79,$C$230,ARBETSBLAD!Y114:Y133)</f>
        <v>0</v>
      </c>
      <c r="Z230" s="1451">
        <f>Z57*SUMIF($M$60:$M$79,$C$230,ARBETSBLAD!Z114:Z133)</f>
        <v>0</v>
      </c>
      <c r="AA230" s="1451">
        <f>AA57*SUMIF($M$60:$M$79,$C$230,ARBETSBLAD!AA114:AA133)</f>
        <v>0</v>
      </c>
      <c r="AB230" s="1451">
        <f>AB57*SUMIF($M$60:$M$79,$C$230,ARBETSBLAD!AB114:AB133)</f>
        <v>0</v>
      </c>
      <c r="AC230" s="1451">
        <f>AC57*SUMIF($M$60:$M$79,$C$230,ARBETSBLAD!AC114:AC133)</f>
        <v>0</v>
      </c>
      <c r="AD230" s="1451">
        <f>AD57*SUMIF($M$60:$M$79,$C$230,ARBETSBLAD!AD114:AD133)</f>
        <v>0</v>
      </c>
      <c r="AE230" s="1451">
        <f>AE57*SUMIF($M$60:$M$79,$C$230,ARBETSBLAD!AE114:AE133)</f>
        <v>0</v>
      </c>
      <c r="AF230" s="1451">
        <f>AF57*SUMIF($M$60:$M$79,$C$230,ARBETSBLAD!AF114:AF133)</f>
        <v>0</v>
      </c>
      <c r="AG230" s="1444"/>
      <c r="AH230" s="1354">
        <f t="shared" si="48"/>
        <v>0</v>
      </c>
      <c r="AI230" s="1355"/>
      <c r="AJ230" s="1354">
        <f t="shared" si="49"/>
        <v>0</v>
      </c>
      <c r="AL230" s="1356"/>
      <c r="AM230" s="1357"/>
      <c r="AN230" s="1437"/>
    </row>
    <row r="231" spans="1:40" s="1277" customFormat="1" ht="12" hidden="1" customHeight="1" thickBot="1">
      <c r="A231" s="1270"/>
      <c r="B231" s="1363" t="s">
        <v>911</v>
      </c>
      <c r="C231" s="1364">
        <f t="shared" si="50"/>
        <v>450.25</v>
      </c>
      <c r="D231" s="1372"/>
      <c r="E231" s="1449" t="s">
        <v>910</v>
      </c>
      <c r="F231" s="1350">
        <v>450</v>
      </c>
      <c r="G231" s="1450">
        <f>$O$66</f>
        <v>0.25</v>
      </c>
      <c r="H231" s="1368">
        <f>$P$66</f>
        <v>0.25</v>
      </c>
      <c r="I231" s="1451">
        <f>I57*SUMIF($M$60:$M$79,$C$231,ARBETSBLAD!I114:I133)</f>
        <v>0</v>
      </c>
      <c r="J231" s="1451">
        <f>J57*SUMIF($M$60:$M$79,$C$231,ARBETSBLAD!J114:J133)</f>
        <v>0</v>
      </c>
      <c r="K231" s="1451">
        <f>K57*SUMIF($M$60:$M$79,$C$231,ARBETSBLAD!K114:K133)</f>
        <v>0</v>
      </c>
      <c r="L231" s="1451">
        <f>L57*SUMIF($M$60:$M$79,$C$231,ARBETSBLAD!L114:L133)</f>
        <v>0</v>
      </c>
      <c r="M231" s="1451">
        <f>M57*SUMIF($M$60:$M$79,$C$231,ARBETSBLAD!M114:M133)</f>
        <v>0</v>
      </c>
      <c r="N231" s="1451">
        <f>N57*SUMIF($M$60:$M$79,$C$231,ARBETSBLAD!N114:N133)</f>
        <v>0</v>
      </c>
      <c r="O231" s="1451">
        <f>O57*SUMIF($M$60:$M$79,$C$231,ARBETSBLAD!O114:O133)</f>
        <v>0</v>
      </c>
      <c r="P231" s="1451">
        <f>P57*SUMIF($M$60:$M$79,$C$231,ARBETSBLAD!P114:P133)</f>
        <v>0</v>
      </c>
      <c r="Q231" s="1451">
        <f>Q57*SUMIF($M$60:$M$79,$C$231,ARBETSBLAD!Q114:Q133)</f>
        <v>0</v>
      </c>
      <c r="R231" s="1451">
        <f>R57*SUMIF($M$60:$M$79,$C$231,ARBETSBLAD!R114:R133)</f>
        <v>0</v>
      </c>
      <c r="S231" s="1451">
        <f>S57*SUMIF($M$60:$M$79,$C$231,ARBETSBLAD!S114:S133)</f>
        <v>0</v>
      </c>
      <c r="T231" s="1451">
        <f>T57*SUMIF($M$60:$M$79,$C$231,ARBETSBLAD!T114:T133)</f>
        <v>0</v>
      </c>
      <c r="U231" s="1451">
        <f>U57*SUMIF($M$60:$M$79,$C$231,ARBETSBLAD!U114:U133)</f>
        <v>0</v>
      </c>
      <c r="V231" s="1451">
        <f>V57*SUMIF($M$60:$M$79,$C$231,ARBETSBLAD!V114:V133)</f>
        <v>0</v>
      </c>
      <c r="W231" s="1451">
        <f>W57*SUMIF($M$60:$M$79,$C$231,ARBETSBLAD!W114:W133)</f>
        <v>0</v>
      </c>
      <c r="X231" s="1451">
        <f>X57*SUMIF($M$60:$M$79,$C$231,ARBETSBLAD!X114:X133)</f>
        <v>0</v>
      </c>
      <c r="Y231" s="1451">
        <f>Y57*SUMIF($M$60:$M$79,$C$231,ARBETSBLAD!Y114:Y133)</f>
        <v>0</v>
      </c>
      <c r="Z231" s="1451">
        <f>Z57*SUMIF($M$60:$M$79,$C$231,ARBETSBLAD!Z114:Z133)</f>
        <v>0</v>
      </c>
      <c r="AA231" s="1451">
        <f>AA57*SUMIF($M$60:$M$79,$C$231,ARBETSBLAD!AA114:AA133)</f>
        <v>0</v>
      </c>
      <c r="AB231" s="1451">
        <f>AB57*SUMIF($M$60:$M$79,$C$231,ARBETSBLAD!AB114:AB133)</f>
        <v>0</v>
      </c>
      <c r="AC231" s="1451">
        <f>AC57*SUMIF($M$60:$M$79,$C$231,ARBETSBLAD!AC114:AC133)</f>
        <v>0</v>
      </c>
      <c r="AD231" s="1451">
        <f>AD57*SUMIF($M$60:$M$79,$C$231,ARBETSBLAD!AD114:AD133)</f>
        <v>0</v>
      </c>
      <c r="AE231" s="1451">
        <f>AE57*SUMIF($M$60:$M$79,$C$231,ARBETSBLAD!AE114:AE133)</f>
        <v>0</v>
      </c>
      <c r="AF231" s="1451">
        <f>AF57*SUMIF($M$60:$M$79,$C$231,ARBETSBLAD!AF114:AF133)</f>
        <v>0</v>
      </c>
      <c r="AG231" s="1444"/>
      <c r="AH231" s="1354">
        <f t="shared" si="48"/>
        <v>0</v>
      </c>
      <c r="AI231" s="1355"/>
      <c r="AJ231" s="1354">
        <f t="shared" si="49"/>
        <v>0</v>
      </c>
      <c r="AL231" s="1356"/>
      <c r="AM231" s="1357"/>
      <c r="AN231" s="1437"/>
    </row>
    <row r="232" spans="1:40" s="115" customFormat="1" ht="12" hidden="1" customHeight="1" thickBot="1">
      <c r="A232" s="1270"/>
      <c r="B232" s="1317"/>
      <c r="C232" s="1348"/>
      <c r="D232" s="1349"/>
      <c r="E232" s="1368"/>
      <c r="F232" s="1368"/>
      <c r="G232" s="1462" t="s">
        <v>218</v>
      </c>
      <c r="H232" s="1368"/>
      <c r="I232" s="1446">
        <f>(I201+I206+I211+I216)*I57</f>
        <v>0</v>
      </c>
      <c r="J232" s="1446">
        <f>(J201+J206+J211+J216+I202+I207+I212+I217)*J57</f>
        <v>0</v>
      </c>
      <c r="K232" s="1446">
        <f ca="1">(K201+K206+K211+K216+J202+J207+J212+J217+I203+I208+I213+I218)*K57</f>
        <v>0</v>
      </c>
      <c r="L232" s="1446">
        <f t="shared" ref="L232:AF232" ca="1" si="51">(L201+L206+L211+L216+K202+K207+K212+K217+J203+J208+J213+J218+I204+I209+I214+I219)*L57</f>
        <v>0</v>
      </c>
      <c r="M232" s="1446">
        <f t="shared" ca="1" si="51"/>
        <v>0</v>
      </c>
      <c r="N232" s="1446">
        <f t="shared" ca="1" si="51"/>
        <v>0</v>
      </c>
      <c r="O232" s="1446">
        <f t="shared" ca="1" si="51"/>
        <v>0</v>
      </c>
      <c r="P232" s="1446">
        <f t="shared" ca="1" si="51"/>
        <v>0</v>
      </c>
      <c r="Q232" s="1446">
        <f t="shared" ca="1" si="51"/>
        <v>0</v>
      </c>
      <c r="R232" s="1446">
        <f t="shared" ca="1" si="51"/>
        <v>0</v>
      </c>
      <c r="S232" s="1446">
        <f t="shared" ca="1" si="51"/>
        <v>0</v>
      </c>
      <c r="T232" s="1446">
        <f t="shared" ca="1" si="51"/>
        <v>0</v>
      </c>
      <c r="U232" s="1446">
        <f t="shared" ca="1" si="51"/>
        <v>0</v>
      </c>
      <c r="V232" s="1446">
        <f t="shared" ca="1" si="51"/>
        <v>0</v>
      </c>
      <c r="W232" s="1446">
        <f t="shared" ca="1" si="51"/>
        <v>0</v>
      </c>
      <c r="X232" s="1446">
        <f t="shared" ca="1" si="51"/>
        <v>0</v>
      </c>
      <c r="Y232" s="1446">
        <f t="shared" ca="1" si="51"/>
        <v>0</v>
      </c>
      <c r="Z232" s="1446">
        <f t="shared" ca="1" si="51"/>
        <v>0</v>
      </c>
      <c r="AA232" s="1446">
        <f t="shared" ca="1" si="51"/>
        <v>0</v>
      </c>
      <c r="AB232" s="1446">
        <f t="shared" ca="1" si="51"/>
        <v>0</v>
      </c>
      <c r="AC232" s="1446">
        <f t="shared" ca="1" si="51"/>
        <v>0</v>
      </c>
      <c r="AD232" s="1446">
        <f t="shared" ca="1" si="51"/>
        <v>0</v>
      </c>
      <c r="AE232" s="1446">
        <f t="shared" ca="1" si="51"/>
        <v>0</v>
      </c>
      <c r="AF232" s="1446">
        <f t="shared" ca="1" si="51"/>
        <v>0</v>
      </c>
      <c r="AG232" s="1349"/>
      <c r="AH232" s="1354">
        <f t="shared" ref="AH232:AH251" ca="1" si="52">IF($C$57=1,SUM(I232:T232),IF($C$57=2,SUM(O232:AF232)))</f>
        <v>0</v>
      </c>
      <c r="AI232" s="1355"/>
      <c r="AJ232" s="1354">
        <f t="shared" ref="AJ232:AJ251" ca="1" si="53">IF($C$57=1,SUM(U232:AF232),0)</f>
        <v>0</v>
      </c>
      <c r="AL232" s="1377"/>
      <c r="AM232" s="1377"/>
      <c r="AN232" s="1413"/>
    </row>
    <row r="233" spans="1:40" s="115" customFormat="1" ht="12" hidden="1" customHeight="1">
      <c r="A233" s="1270"/>
      <c r="B233" s="1317" t="s">
        <v>210</v>
      </c>
      <c r="C233" s="1348">
        <f>F233+H233</f>
        <v>1.0009999999999999</v>
      </c>
      <c r="D233" s="1349"/>
      <c r="E233" s="1463" t="s">
        <v>0</v>
      </c>
      <c r="F233" s="1350">
        <v>1</v>
      </c>
      <c r="G233" s="2360">
        <f>ARBETSBLAD!G315</f>
        <v>9.9999999999999995E-7</v>
      </c>
      <c r="H233" s="1368">
        <v>1E-3</v>
      </c>
      <c r="I233" s="2361">
        <f>SUMIFS(ARBETSBLAD!I139:I153,ARBETSBLAD!$E139:$E153,$E233,ARBETSBLAD!$G139:$G153,$G233)*I$57+0.7*I252+0.33*I253</f>
        <v>0</v>
      </c>
      <c r="J233" s="2361">
        <f>SUMIFS(ARBETSBLAD!J139:J153,ARBETSBLAD!$E139:$E153,$E233,ARBETSBLAD!$G139:$G153,$G233)*J$57+0.7*J252+0.33*J253</f>
        <v>0</v>
      </c>
      <c r="K233" s="2361">
        <f>SUMIFS(ARBETSBLAD!K139:K153,ARBETSBLAD!$E139:$E153,$E233,ARBETSBLAD!$G139:$G153,$G233)*K$57+0.7*K252+0.33*K253</f>
        <v>0</v>
      </c>
      <c r="L233" s="2361">
        <f>SUMIFS(ARBETSBLAD!L139:L153,ARBETSBLAD!$E139:$E153,$E233,ARBETSBLAD!$G139:$G153,$G233)*L$57+0.7*L252+0.33*L253</f>
        <v>0</v>
      </c>
      <c r="M233" s="2361">
        <f>SUMIFS(ARBETSBLAD!M139:M153,ARBETSBLAD!$E139:$E153,$E233,ARBETSBLAD!$G139:$G153,$G233)*M$57+0.7*M252+0.33*M253</f>
        <v>0</v>
      </c>
      <c r="N233" s="2361">
        <f>SUMIFS(ARBETSBLAD!N139:N153,ARBETSBLAD!$E139:$E153,$E233,ARBETSBLAD!$G139:$G153,$G233)*N$57+0.7*N252+0.33*N253</f>
        <v>0</v>
      </c>
      <c r="O233" s="2361">
        <f>SUMIFS(ARBETSBLAD!O139:O153,ARBETSBLAD!$E139:$E153,$E233,ARBETSBLAD!$G139:$G153,$G233)*O$57+0.7*O252+0.33*O253</f>
        <v>0</v>
      </c>
      <c r="P233" s="2361">
        <f>SUMIFS(ARBETSBLAD!P139:P153,ARBETSBLAD!$E139:$E153,$E233,ARBETSBLAD!$G139:$G153,$G233)*P$57+0.7*P252+0.33*P253</f>
        <v>0</v>
      </c>
      <c r="Q233" s="2361">
        <f>SUMIFS(ARBETSBLAD!Q139:Q153,ARBETSBLAD!$E139:$E153,$E233,ARBETSBLAD!$G139:$G153,$G233)*Q$57+0.7*Q252+0.33*Q253</f>
        <v>0</v>
      </c>
      <c r="R233" s="2361">
        <f>SUMIFS(ARBETSBLAD!R139:R153,ARBETSBLAD!$E139:$E153,$E233,ARBETSBLAD!$G139:$G153,$G233)*R$57+0.7*R252+0.33*R253</f>
        <v>0</v>
      </c>
      <c r="S233" s="2361">
        <f>SUMIFS(ARBETSBLAD!S139:S153,ARBETSBLAD!$E139:$E153,$E233,ARBETSBLAD!$G139:$G153,$G233)*S$57+0.7*S252+0.33*S253</f>
        <v>0</v>
      </c>
      <c r="T233" s="2361">
        <f>SUMIFS(ARBETSBLAD!T139:T153,ARBETSBLAD!$E139:$E153,$E233,ARBETSBLAD!$G139:$G153,$G233)*T$57+0.7*T252+0.33*T253</f>
        <v>0</v>
      </c>
      <c r="U233" s="2361">
        <f>SUMIFS(ARBETSBLAD!U139:U153,ARBETSBLAD!$E139:$E153,$E233,ARBETSBLAD!$G139:$G153,$G233)*U$57+0.7*U252+0.33*U253</f>
        <v>0</v>
      </c>
      <c r="V233" s="2361">
        <f>SUMIFS(ARBETSBLAD!V139:V153,ARBETSBLAD!$E139:$E153,$E233,ARBETSBLAD!$G139:$G153,$G233)*V$57+0.7*V252+0.33*V253</f>
        <v>0</v>
      </c>
      <c r="W233" s="2361">
        <f>SUMIFS(ARBETSBLAD!W139:W153,ARBETSBLAD!$E139:$E153,$E233,ARBETSBLAD!$G139:$G153,$G233)*W$57+0.7*W252+0.33*W253</f>
        <v>0</v>
      </c>
      <c r="X233" s="2361">
        <f>SUMIFS(ARBETSBLAD!X139:X153,ARBETSBLAD!$E139:$E153,$E233,ARBETSBLAD!$G139:$G153,$G233)*X$57+0.7*X252+0.33*X253</f>
        <v>0</v>
      </c>
      <c r="Y233" s="2361">
        <f>SUMIFS(ARBETSBLAD!Y139:Y153,ARBETSBLAD!$E139:$E153,$E233,ARBETSBLAD!$G139:$G153,$G233)*Y$57+0.7*Y252+0.33*Y253</f>
        <v>0</v>
      </c>
      <c r="Z233" s="2361">
        <f>SUMIFS(ARBETSBLAD!Z139:Z153,ARBETSBLAD!$E139:$E153,$E233,ARBETSBLAD!$G139:$G153,$G233)*Z$57+0.7*Z252+0.33*Z253</f>
        <v>0</v>
      </c>
      <c r="AA233" s="2361">
        <f>SUMIFS(ARBETSBLAD!AA139:AA153,ARBETSBLAD!$E139:$E153,$E233,ARBETSBLAD!$G139:$G153,$G233)*AA$57+0.7*AA252+0.33*AA253</f>
        <v>0</v>
      </c>
      <c r="AB233" s="2361">
        <f>SUMIFS(ARBETSBLAD!AB139:AB153,ARBETSBLAD!$E139:$E153,$E233,ARBETSBLAD!$G139:$G153,$G233)*AB$57+0.7*AB252+0.33*AB253</f>
        <v>0</v>
      </c>
      <c r="AC233" s="2361">
        <f>SUMIFS(ARBETSBLAD!AC139:AC153,ARBETSBLAD!$E139:$E153,$E233,ARBETSBLAD!$G139:$G153,$G233)*AC$57+0.7*AC252+0.33*AC253</f>
        <v>0</v>
      </c>
      <c r="AD233" s="2361">
        <f>SUMIFS(ARBETSBLAD!AD139:AD153,ARBETSBLAD!$E139:$E153,$E233,ARBETSBLAD!$G139:$G153,$G233)*AD$57+0.7*AD252+0.33*AD253</f>
        <v>0</v>
      </c>
      <c r="AE233" s="2361">
        <f>SUMIFS(ARBETSBLAD!AE139:AE153,ARBETSBLAD!$E139:$E153,$E233,ARBETSBLAD!$G139:$G153,$G233)*AE$57+0.7*AE252+0.33*AE253</f>
        <v>0</v>
      </c>
      <c r="AF233" s="2361">
        <f>SUMIFS(ARBETSBLAD!AF139:AF153,ARBETSBLAD!$E139:$E153,$E233,ARBETSBLAD!$G139:$G153,$G233)*AF$57+0.7*AF252+0.33*AF253</f>
        <v>0</v>
      </c>
      <c r="AG233" s="1349"/>
      <c r="AH233" s="1354">
        <f t="shared" si="52"/>
        <v>0</v>
      </c>
      <c r="AI233" s="1355"/>
      <c r="AJ233" s="1354">
        <f t="shared" si="53"/>
        <v>0</v>
      </c>
      <c r="AL233" s="1356"/>
      <c r="AM233" s="1357"/>
      <c r="AN233" s="1434"/>
    </row>
    <row r="234" spans="1:40" s="115" customFormat="1" ht="12" hidden="1" customHeight="1">
      <c r="A234" s="1270"/>
      <c r="B234" s="1317"/>
      <c r="C234" s="1348">
        <f>F234+H234</f>
        <v>300.00099999999998</v>
      </c>
      <c r="D234" s="1349"/>
      <c r="E234" s="1463" t="s">
        <v>1</v>
      </c>
      <c r="F234" s="1350">
        <v>300</v>
      </c>
      <c r="G234" s="2360">
        <f>ARBETSBLAD!G315</f>
        <v>9.9999999999999995E-7</v>
      </c>
      <c r="H234" s="1368">
        <v>1E-3</v>
      </c>
      <c r="I234" s="2361">
        <f>SUMIFS(ARBETSBLAD!I139:I153,ARBETSBLAD!$E139:$E153,$E234,ARBETSBLAD!$G139:$G153,$G234)*I$57+0.3*I252+0.67*I253+0.567*I254</f>
        <v>0</v>
      </c>
      <c r="J234" s="2361">
        <f>SUMIFS(ARBETSBLAD!J139:J153,ARBETSBLAD!$E139:$E153,$E234,ARBETSBLAD!$G139:$G153,$G234)*J$57+0.3*J252+0.67*J253+0.567*J254</f>
        <v>0</v>
      </c>
      <c r="K234" s="2361">
        <f>SUMIFS(ARBETSBLAD!K139:K153,ARBETSBLAD!$E139:$E153,$E234,ARBETSBLAD!$G139:$G153,$G234)*K$57+0.3*K252+0.67*K253+0.567*K254</f>
        <v>0</v>
      </c>
      <c r="L234" s="2361">
        <f>SUMIFS(ARBETSBLAD!L139:L153,ARBETSBLAD!$E139:$E153,$E234,ARBETSBLAD!$G139:$G153,$G234)*L$57+0.3*L252+0.67*L253+0.567*L254</f>
        <v>0</v>
      </c>
      <c r="M234" s="2361">
        <f>SUMIFS(ARBETSBLAD!M139:M153,ARBETSBLAD!$E139:$E153,$E234,ARBETSBLAD!$G139:$G153,$G234)*M$57+0.3*M252+0.67*M253+0.567*M254</f>
        <v>0</v>
      </c>
      <c r="N234" s="2361">
        <f>SUMIFS(ARBETSBLAD!N139:N153,ARBETSBLAD!$E139:$E153,$E234,ARBETSBLAD!$G139:$G153,$G234)*N$57+0.3*N252+0.67*N253+0.567*N254</f>
        <v>0</v>
      </c>
      <c r="O234" s="2361">
        <f>SUMIFS(ARBETSBLAD!O139:O153,ARBETSBLAD!$E139:$E153,$E234,ARBETSBLAD!$G139:$G153,$G234)*O$57+0.3*O252+0.67*O253+0.567*O254</f>
        <v>0</v>
      </c>
      <c r="P234" s="2361">
        <f>SUMIFS(ARBETSBLAD!P139:P153,ARBETSBLAD!$E139:$E153,$E234,ARBETSBLAD!$G139:$G153,$G234)*P$57+0.3*P252+0.67*P253+0.567*P254</f>
        <v>0</v>
      </c>
      <c r="Q234" s="2361">
        <f>SUMIFS(ARBETSBLAD!Q139:Q153,ARBETSBLAD!$E139:$E153,$E234,ARBETSBLAD!$G139:$G153,$G234)*Q$57+0.3*Q252+0.67*Q253+0.567*Q254</f>
        <v>0</v>
      </c>
      <c r="R234" s="2361">
        <f>SUMIFS(ARBETSBLAD!R139:R153,ARBETSBLAD!$E139:$E153,$E234,ARBETSBLAD!$G139:$G153,$G234)*R$57+0.3*R252+0.67*R253+0.567*R254</f>
        <v>0</v>
      </c>
      <c r="S234" s="2361">
        <f>SUMIFS(ARBETSBLAD!S139:S153,ARBETSBLAD!$E139:$E153,$E234,ARBETSBLAD!$G139:$G153,$G234)*S$57+0.3*S252+0.67*S253+0.567*S254</f>
        <v>0</v>
      </c>
      <c r="T234" s="2361">
        <f>SUMIFS(ARBETSBLAD!T139:T153,ARBETSBLAD!$E139:$E153,$E234,ARBETSBLAD!$G139:$G153,$G234)*T$57+0.3*T252+0.67*T253+0.567*T254</f>
        <v>0</v>
      </c>
      <c r="U234" s="2361">
        <f>SUMIFS(ARBETSBLAD!U139:U153,ARBETSBLAD!$E139:$E153,$E234,ARBETSBLAD!$G139:$G153,$G234)*U$57+0.3*U252+0.67*U253+0.567*U254</f>
        <v>0</v>
      </c>
      <c r="V234" s="2361">
        <f>SUMIFS(ARBETSBLAD!V139:V153,ARBETSBLAD!$E139:$E153,$E234,ARBETSBLAD!$G139:$G153,$G234)*V$57+0.3*V252+0.67*V253+0.567*V254</f>
        <v>0</v>
      </c>
      <c r="W234" s="2361">
        <f>SUMIFS(ARBETSBLAD!W139:W153,ARBETSBLAD!$E139:$E153,$E234,ARBETSBLAD!$G139:$G153,$G234)*W$57+0.3*W252+0.67*W253+0.567*W254</f>
        <v>0</v>
      </c>
      <c r="X234" s="2361">
        <f>SUMIFS(ARBETSBLAD!X139:X153,ARBETSBLAD!$E139:$E153,$E234,ARBETSBLAD!$G139:$G153,$G234)*X$57+0.3*X252+0.67*X253+0.567*X254</f>
        <v>0</v>
      </c>
      <c r="Y234" s="2361">
        <f>SUMIFS(ARBETSBLAD!Y139:Y153,ARBETSBLAD!$E139:$E153,$E234,ARBETSBLAD!$G139:$G153,$G234)*Y$57+0.3*Y252+0.67*Y253+0.567*Y254</f>
        <v>0</v>
      </c>
      <c r="Z234" s="2361">
        <f>SUMIFS(ARBETSBLAD!Z139:Z153,ARBETSBLAD!$E139:$E153,$E234,ARBETSBLAD!$G139:$G153,$G234)*Z$57+0.3*Z252+0.67*Z253+0.567*Z254</f>
        <v>0</v>
      </c>
      <c r="AA234" s="2361">
        <f>SUMIFS(ARBETSBLAD!AA139:AA153,ARBETSBLAD!$E139:$E153,$E234,ARBETSBLAD!$G139:$G153,$G234)*AA$57+0.3*AA252+0.67*AA253+0.567*AA254</f>
        <v>0</v>
      </c>
      <c r="AB234" s="2361">
        <f>SUMIFS(ARBETSBLAD!AB139:AB153,ARBETSBLAD!$E139:$E153,$E234,ARBETSBLAD!$G139:$G153,$G234)*AB$57+0.3*AB252+0.67*AB253+0.567*AB254</f>
        <v>0</v>
      </c>
      <c r="AC234" s="2361">
        <f>SUMIFS(ARBETSBLAD!AC139:AC153,ARBETSBLAD!$E139:$E153,$E234,ARBETSBLAD!$G139:$G153,$G234)*AC$57+0.3*AC252+0.67*AC253+0.567*AC254</f>
        <v>0</v>
      </c>
      <c r="AD234" s="2361">
        <f>SUMIFS(ARBETSBLAD!AD139:AD153,ARBETSBLAD!$E139:$E153,$E234,ARBETSBLAD!$G139:$G153,$G234)*AD$57+0.3*AD252+0.67*AD253+0.567*AD254</f>
        <v>0</v>
      </c>
      <c r="AE234" s="2361">
        <f>SUMIFS(ARBETSBLAD!AE139:AE153,ARBETSBLAD!$E139:$E153,$E234,ARBETSBLAD!$G139:$G153,$G234)*AE$57+0.3*AE252+0.67*AE253+0.567*AE254</f>
        <v>0</v>
      </c>
      <c r="AF234" s="2361">
        <f>SUMIFS(ARBETSBLAD!AF139:AF153,ARBETSBLAD!$E139:$E153,$E234,ARBETSBLAD!$G139:$G153,$G234)*AF$57+0.3*AF252+0.67*AF253+0.567*AF254</f>
        <v>0</v>
      </c>
      <c r="AG234" s="1349"/>
      <c r="AH234" s="1354">
        <f t="shared" si="52"/>
        <v>0</v>
      </c>
      <c r="AI234" s="1355"/>
      <c r="AJ234" s="1354">
        <f t="shared" si="53"/>
        <v>0</v>
      </c>
      <c r="AL234" s="1356"/>
      <c r="AM234" s="1357"/>
      <c r="AN234" s="1434"/>
    </row>
    <row r="235" spans="1:40" s="115" customFormat="1" ht="12" hidden="1" customHeight="1">
      <c r="A235" s="1270"/>
      <c r="B235" s="1317"/>
      <c r="C235" s="1348">
        <f>F235+H235</f>
        <v>600.00099999999998</v>
      </c>
      <c r="D235" s="1349"/>
      <c r="E235" s="1463" t="s">
        <v>2</v>
      </c>
      <c r="F235" s="1350">
        <v>600</v>
      </c>
      <c r="G235" s="2360">
        <f>ARBETSBLAD!G315</f>
        <v>9.9999999999999995E-7</v>
      </c>
      <c r="H235" s="1368">
        <v>1E-3</v>
      </c>
      <c r="I235" s="2361">
        <f>SUMIFS(ARBETSBLAD!I139:I153,ARBETSBLAD!$E139:$E153,$E235,ARBETSBLAD!$G139:$G153,$G235)*I$57+0.433*I254</f>
        <v>0</v>
      </c>
      <c r="J235" s="2361">
        <f>SUMIFS(ARBETSBLAD!J139:J153,ARBETSBLAD!$E139:$E153,$E235,ARBETSBLAD!$G139:$G153,$G235)*J$57+0.433*J254</f>
        <v>0</v>
      </c>
      <c r="K235" s="2361">
        <f>SUMIFS(ARBETSBLAD!K139:K153,ARBETSBLAD!$E139:$E153,$E235,ARBETSBLAD!$G139:$G153,$G235)*K$57+0.433*K254</f>
        <v>0</v>
      </c>
      <c r="L235" s="2361">
        <f>SUMIFS(ARBETSBLAD!L139:L153,ARBETSBLAD!$E139:$E153,$E235,ARBETSBLAD!$G139:$G153,$G235)*L$57+0.433*L254</f>
        <v>0</v>
      </c>
      <c r="M235" s="2361">
        <f>SUMIFS(ARBETSBLAD!M139:M153,ARBETSBLAD!$E139:$E153,$E235,ARBETSBLAD!$G139:$G153,$G235)*M$57+0.433*M254</f>
        <v>0</v>
      </c>
      <c r="N235" s="2361">
        <f>SUMIFS(ARBETSBLAD!N139:N153,ARBETSBLAD!$E139:$E153,$E235,ARBETSBLAD!$G139:$G153,$G235)*N$57+0.433*N254</f>
        <v>0</v>
      </c>
      <c r="O235" s="2361">
        <f>SUMIFS(ARBETSBLAD!O139:O153,ARBETSBLAD!$E139:$E153,$E235,ARBETSBLAD!$G139:$G153,$G235)*O$57+0.433*O254</f>
        <v>0</v>
      </c>
      <c r="P235" s="2361">
        <f>SUMIFS(ARBETSBLAD!P139:P153,ARBETSBLAD!$E139:$E153,$E235,ARBETSBLAD!$G139:$G153,$G235)*P$57+0.433*P254</f>
        <v>0</v>
      </c>
      <c r="Q235" s="2361">
        <f>SUMIFS(ARBETSBLAD!Q139:Q153,ARBETSBLAD!$E139:$E153,$E235,ARBETSBLAD!$G139:$G153,$G235)*Q$57+0.433*Q254</f>
        <v>0</v>
      </c>
      <c r="R235" s="2361">
        <f>SUMIFS(ARBETSBLAD!R139:R153,ARBETSBLAD!$E139:$E153,$E235,ARBETSBLAD!$G139:$G153,$G235)*R$57+0.433*R254</f>
        <v>0</v>
      </c>
      <c r="S235" s="2361">
        <f>SUMIFS(ARBETSBLAD!S139:S153,ARBETSBLAD!$E139:$E153,$E235,ARBETSBLAD!$G139:$G153,$G235)*S$57+0.433*S254</f>
        <v>0</v>
      </c>
      <c r="T235" s="2361">
        <f>SUMIFS(ARBETSBLAD!T139:T153,ARBETSBLAD!$E139:$E153,$E235,ARBETSBLAD!$G139:$G153,$G235)*T$57+0.433*T254</f>
        <v>0</v>
      </c>
      <c r="U235" s="2361">
        <f>SUMIFS(ARBETSBLAD!U139:U153,ARBETSBLAD!$E139:$E153,$E235,ARBETSBLAD!$G139:$G153,$G235)*U$57+0.433*U254</f>
        <v>0</v>
      </c>
      <c r="V235" s="2361">
        <f>SUMIFS(ARBETSBLAD!V139:V153,ARBETSBLAD!$E139:$E153,$E235,ARBETSBLAD!$G139:$G153,$G235)*V$57+0.433*V254</f>
        <v>0</v>
      </c>
      <c r="W235" s="2361">
        <f>SUMIFS(ARBETSBLAD!W139:W153,ARBETSBLAD!$E139:$E153,$E235,ARBETSBLAD!$G139:$G153,$G235)*W$57+0.433*W254</f>
        <v>0</v>
      </c>
      <c r="X235" s="2361">
        <f>SUMIFS(ARBETSBLAD!X139:X153,ARBETSBLAD!$E139:$E153,$E235,ARBETSBLAD!$G139:$G153,$G235)*X$57+0.433*X254</f>
        <v>0</v>
      </c>
      <c r="Y235" s="2361">
        <f>SUMIFS(ARBETSBLAD!Y139:Y153,ARBETSBLAD!$E139:$E153,$E235,ARBETSBLAD!$G139:$G153,$G235)*Y$57+0.433*Y254</f>
        <v>0</v>
      </c>
      <c r="Z235" s="2361">
        <f>SUMIFS(ARBETSBLAD!Z139:Z153,ARBETSBLAD!$E139:$E153,$E235,ARBETSBLAD!$G139:$G153,$G235)*Z$57+0.433*Z254</f>
        <v>0</v>
      </c>
      <c r="AA235" s="2361">
        <f>SUMIFS(ARBETSBLAD!AA139:AA153,ARBETSBLAD!$E139:$E153,$E235,ARBETSBLAD!$G139:$G153,$G235)*AA$57+0.433*AA254</f>
        <v>0</v>
      </c>
      <c r="AB235" s="2361">
        <f>SUMIFS(ARBETSBLAD!AB139:AB153,ARBETSBLAD!$E139:$E153,$E235,ARBETSBLAD!$G139:$G153,$G235)*AB$57+0.433*AB254</f>
        <v>0</v>
      </c>
      <c r="AC235" s="2361">
        <f>SUMIFS(ARBETSBLAD!AC139:AC153,ARBETSBLAD!$E139:$E153,$E235,ARBETSBLAD!$G139:$G153,$G235)*AC$57+0.433*AC254</f>
        <v>0</v>
      </c>
      <c r="AD235" s="2361">
        <f>SUMIFS(ARBETSBLAD!AD139:AD153,ARBETSBLAD!$E139:$E153,$E235,ARBETSBLAD!$G139:$G153,$G235)*AD$57+0.433*AD254</f>
        <v>0</v>
      </c>
      <c r="AE235" s="2361">
        <f>SUMIFS(ARBETSBLAD!AE139:AE153,ARBETSBLAD!$E139:$E153,$E235,ARBETSBLAD!$G139:$G153,$G235)*AE$57+0.433*AE254</f>
        <v>0</v>
      </c>
      <c r="AF235" s="2361">
        <f>SUMIFS(ARBETSBLAD!AF139:AF153,ARBETSBLAD!$E139:$E153,$E235,ARBETSBLAD!$G139:$G153,$G235)*AF$57+0.433*AF254</f>
        <v>0</v>
      </c>
      <c r="AG235" s="1349"/>
      <c r="AH235" s="1354">
        <f t="shared" si="52"/>
        <v>0</v>
      </c>
      <c r="AI235" s="1355"/>
      <c r="AJ235" s="1354">
        <f t="shared" si="53"/>
        <v>0</v>
      </c>
      <c r="AL235" s="1356"/>
      <c r="AM235" s="1357"/>
      <c r="AN235" s="1434"/>
    </row>
    <row r="236" spans="1:40" s="115" customFormat="1" ht="12" hidden="1" customHeight="1">
      <c r="A236" s="1270"/>
      <c r="B236" s="1317"/>
      <c r="C236" s="1348">
        <f>F236+H236</f>
        <v>900.00099999999998</v>
      </c>
      <c r="D236" s="1349"/>
      <c r="E236" s="1463" t="s">
        <v>3</v>
      </c>
      <c r="F236" s="1350">
        <v>900</v>
      </c>
      <c r="G236" s="2360">
        <f>ARBETSBLAD!G315</f>
        <v>9.9999999999999995E-7</v>
      </c>
      <c r="H236" s="1368">
        <v>1E-3</v>
      </c>
      <c r="I236" s="2361">
        <f>SUMIFS(ARBETSBLAD!I139:I153,ARBETSBLAD!$E139:$E153,$E236,ARBETSBLAD!$G139:$G153,$G236)*I$57</f>
        <v>0</v>
      </c>
      <c r="J236" s="2361">
        <f>SUMIFS(ARBETSBLAD!J139:J153,ARBETSBLAD!$E139:$E153,$E236,ARBETSBLAD!$G139:$G153,$G236)*J$57</f>
        <v>0</v>
      </c>
      <c r="K236" s="2361">
        <f>SUMIFS(ARBETSBLAD!K139:K153,ARBETSBLAD!$E139:$E153,$E236,ARBETSBLAD!$G139:$G153,$G236)*K$57</f>
        <v>0</v>
      </c>
      <c r="L236" s="2361">
        <f>SUMIFS(ARBETSBLAD!L139:L153,ARBETSBLAD!$E139:$E153,$E236,ARBETSBLAD!$G139:$G153,$G236)*L$57</f>
        <v>0</v>
      </c>
      <c r="M236" s="2361">
        <f>SUMIFS(ARBETSBLAD!M139:M153,ARBETSBLAD!$E139:$E153,$E236,ARBETSBLAD!$G139:$G153,$G236)*M$57</f>
        <v>0</v>
      </c>
      <c r="N236" s="2361">
        <f>SUMIFS(ARBETSBLAD!N139:N153,ARBETSBLAD!$E139:$E153,$E236,ARBETSBLAD!$G139:$G153,$G236)*N$57</f>
        <v>0</v>
      </c>
      <c r="O236" s="2361">
        <f>SUMIFS(ARBETSBLAD!O139:O153,ARBETSBLAD!$E139:$E153,$E236,ARBETSBLAD!$G139:$G153,$G236)*O$57</f>
        <v>0</v>
      </c>
      <c r="P236" s="2361">
        <f>SUMIFS(ARBETSBLAD!P139:P153,ARBETSBLAD!$E139:$E153,$E236,ARBETSBLAD!$G139:$G153,$G236)*P$57</f>
        <v>0</v>
      </c>
      <c r="Q236" s="2361">
        <f>SUMIFS(ARBETSBLAD!Q139:Q153,ARBETSBLAD!$E139:$E153,$E236,ARBETSBLAD!$G139:$G153,$G236)*Q$57</f>
        <v>0</v>
      </c>
      <c r="R236" s="2361">
        <f>SUMIFS(ARBETSBLAD!R139:R153,ARBETSBLAD!$E139:$E153,$E236,ARBETSBLAD!$G139:$G153,$G236)*R$57</f>
        <v>0</v>
      </c>
      <c r="S236" s="2361">
        <f>SUMIFS(ARBETSBLAD!S139:S153,ARBETSBLAD!$E139:$E153,$E236,ARBETSBLAD!$G139:$G153,$G236)*S$57</f>
        <v>0</v>
      </c>
      <c r="T236" s="2361">
        <f>SUMIFS(ARBETSBLAD!T139:T153,ARBETSBLAD!$E139:$E153,$E236,ARBETSBLAD!$G139:$G153,$G236)*T$57</f>
        <v>0</v>
      </c>
      <c r="U236" s="2361">
        <f>SUMIFS(ARBETSBLAD!U139:U153,ARBETSBLAD!$E139:$E153,$E236,ARBETSBLAD!$G139:$G153,$G236)*U$57</f>
        <v>0</v>
      </c>
      <c r="V236" s="2361">
        <f>SUMIFS(ARBETSBLAD!V139:V153,ARBETSBLAD!$E139:$E153,$E236,ARBETSBLAD!$G139:$G153,$G236)*V$57</f>
        <v>0</v>
      </c>
      <c r="W236" s="2361">
        <f>SUMIFS(ARBETSBLAD!W139:W153,ARBETSBLAD!$E139:$E153,$E236,ARBETSBLAD!$G139:$G153,$G236)*W$57</f>
        <v>0</v>
      </c>
      <c r="X236" s="2361">
        <f>SUMIFS(ARBETSBLAD!X139:X153,ARBETSBLAD!$E139:$E153,$E236,ARBETSBLAD!$G139:$G153,$G236)*X$57</f>
        <v>0</v>
      </c>
      <c r="Y236" s="2361">
        <f>SUMIFS(ARBETSBLAD!Y139:Y153,ARBETSBLAD!$E139:$E153,$E236,ARBETSBLAD!$G139:$G153,$G236)*Y$57</f>
        <v>0</v>
      </c>
      <c r="Z236" s="2361">
        <f>SUMIFS(ARBETSBLAD!Z139:Z153,ARBETSBLAD!$E139:$E153,$E236,ARBETSBLAD!$G139:$G153,$G236)*Z$57</f>
        <v>0</v>
      </c>
      <c r="AA236" s="2361">
        <f>SUMIFS(ARBETSBLAD!AA139:AA153,ARBETSBLAD!$E139:$E153,$E236,ARBETSBLAD!$G139:$G153,$G236)*AA$57</f>
        <v>0</v>
      </c>
      <c r="AB236" s="2361">
        <f>SUMIFS(ARBETSBLAD!AB139:AB153,ARBETSBLAD!$E139:$E153,$E236,ARBETSBLAD!$G139:$G153,$G236)*AB$57</f>
        <v>0</v>
      </c>
      <c r="AC236" s="2361">
        <f>SUMIFS(ARBETSBLAD!AC139:AC153,ARBETSBLAD!$E139:$E153,$E236,ARBETSBLAD!$G139:$G153,$G236)*AC$57</f>
        <v>0</v>
      </c>
      <c r="AD236" s="2361">
        <f>SUMIFS(ARBETSBLAD!AD139:AD153,ARBETSBLAD!$E139:$E153,$E236,ARBETSBLAD!$G139:$G153,$G236)*AD$57</f>
        <v>0</v>
      </c>
      <c r="AE236" s="2361">
        <f>SUMIFS(ARBETSBLAD!AE139:AE153,ARBETSBLAD!$E139:$E153,$E236,ARBETSBLAD!$G139:$G153,$G236)*AE$57</f>
        <v>0</v>
      </c>
      <c r="AF236" s="2361">
        <f>SUMIFS(ARBETSBLAD!AF139:AF153,ARBETSBLAD!$E139:$E153,$E236,ARBETSBLAD!$G139:$G153,$G236)*AF$57</f>
        <v>0</v>
      </c>
      <c r="AG236" s="1349"/>
      <c r="AH236" s="1354">
        <f t="shared" si="52"/>
        <v>0</v>
      </c>
      <c r="AI236" s="1355"/>
      <c r="AJ236" s="1354">
        <f t="shared" si="53"/>
        <v>0</v>
      </c>
      <c r="AL236" s="1356"/>
      <c r="AM236" s="1357"/>
      <c r="AN236" s="1434"/>
    </row>
    <row r="237" spans="1:40" s="115" customFormat="1" ht="12" hidden="1" customHeight="1">
      <c r="A237" s="1270"/>
      <c r="B237" s="1317"/>
      <c r="C237" s="1348"/>
      <c r="D237" s="1349"/>
      <c r="E237" s="1350"/>
      <c r="F237" s="1349"/>
      <c r="G237" s="1350"/>
      <c r="H237" s="1368"/>
      <c r="I237" s="1385"/>
      <c r="J237" s="1385"/>
      <c r="K237" s="1385"/>
      <c r="L237" s="1385"/>
      <c r="M237" s="1385"/>
      <c r="N237" s="1385"/>
      <c r="O237" s="1385"/>
      <c r="P237" s="1385"/>
      <c r="Q237" s="1385"/>
      <c r="R237" s="1385"/>
      <c r="S237" s="1385"/>
      <c r="T237" s="1385"/>
      <c r="U237" s="1385"/>
      <c r="V237" s="1385"/>
      <c r="W237" s="1385"/>
      <c r="X237" s="1385"/>
      <c r="Y237" s="1385"/>
      <c r="Z237" s="1385"/>
      <c r="AA237" s="1385"/>
      <c r="AB237" s="1385"/>
      <c r="AC237" s="1385"/>
      <c r="AD237" s="1385"/>
      <c r="AE237" s="1385"/>
      <c r="AF237" s="1385"/>
      <c r="AG237" s="1349"/>
      <c r="AH237" s="1354">
        <f t="shared" si="52"/>
        <v>0</v>
      </c>
      <c r="AI237" s="1355"/>
      <c r="AJ237" s="1354">
        <f t="shared" si="53"/>
        <v>0</v>
      </c>
      <c r="AL237" s="1357"/>
      <c r="AM237" s="1357"/>
      <c r="AN237" s="1357"/>
    </row>
    <row r="238" spans="1:40" s="115" customFormat="1" ht="12" hidden="1" customHeight="1">
      <c r="A238" s="1270"/>
      <c r="B238" s="1317"/>
      <c r="C238" s="1348">
        <f>F238+H238</f>
        <v>1.06</v>
      </c>
      <c r="D238" s="1349"/>
      <c r="E238" s="1463" t="s">
        <v>0</v>
      </c>
      <c r="F238" s="1350">
        <v>1</v>
      </c>
      <c r="G238" s="1464">
        <f>$O$64</f>
        <v>0.06</v>
      </c>
      <c r="H238" s="1368">
        <f>$P$64</f>
        <v>0.06</v>
      </c>
      <c r="I238" s="2361">
        <f>SUMIFS(ARBETSBLAD!I139:I153,ARBETSBLAD!$E139:$E153,$E238,ARBETSBLAD!$G139:$G153,$G238)*I$57+0.7*I255+0.33*I256</f>
        <v>0</v>
      </c>
      <c r="J238" s="2361">
        <f>SUMIFS(ARBETSBLAD!J139:J153,ARBETSBLAD!$E139:$E153,$E238,ARBETSBLAD!$G139:$G153,$G238)*J$57+0.7*J255+0.33*J256</f>
        <v>0</v>
      </c>
      <c r="K238" s="2361">
        <f>SUMIFS(ARBETSBLAD!K139:K153,ARBETSBLAD!$E139:$E153,$E238,ARBETSBLAD!$G139:$G153,$G238)*K$57+0.7*K255+0.33*K256</f>
        <v>0</v>
      </c>
      <c r="L238" s="2361">
        <f>SUMIFS(ARBETSBLAD!L139:L153,ARBETSBLAD!$E139:$E153,$E238,ARBETSBLAD!$G139:$G153,$G238)*L$57+0.7*L255+0.33*L256</f>
        <v>0</v>
      </c>
      <c r="M238" s="2361">
        <f>SUMIFS(ARBETSBLAD!M139:M153,ARBETSBLAD!$E139:$E153,$E238,ARBETSBLAD!$G139:$G153,$G238)*M$57+0.7*M255+0.33*M256</f>
        <v>0</v>
      </c>
      <c r="N238" s="2361">
        <f>SUMIFS(ARBETSBLAD!N139:N153,ARBETSBLAD!$E139:$E153,$E238,ARBETSBLAD!$G139:$G153,$G238)*N$57+0.7*N255+0.33*N256</f>
        <v>0</v>
      </c>
      <c r="O238" s="2361">
        <f>SUMIFS(ARBETSBLAD!O139:O153,ARBETSBLAD!$E139:$E153,$E238,ARBETSBLAD!$G139:$G153,$G238)*O$57+0.7*O255+0.33*O256</f>
        <v>0</v>
      </c>
      <c r="P238" s="2361">
        <f>SUMIFS(ARBETSBLAD!P139:P153,ARBETSBLAD!$E139:$E153,$E238,ARBETSBLAD!$G139:$G153,$G238)*P$57+0.7*P255+0.33*P256</f>
        <v>0</v>
      </c>
      <c r="Q238" s="2361">
        <f>SUMIFS(ARBETSBLAD!Q139:Q153,ARBETSBLAD!$E139:$E153,$E238,ARBETSBLAD!$G139:$G153,$G238)*Q$57+0.7*Q255+0.33*Q256</f>
        <v>0</v>
      </c>
      <c r="R238" s="2361">
        <f>SUMIFS(ARBETSBLAD!R139:R153,ARBETSBLAD!$E139:$E153,$E238,ARBETSBLAD!$G139:$G153,$G238)*R$57+0.7*R255+0.33*R256</f>
        <v>0</v>
      </c>
      <c r="S238" s="2361">
        <f>SUMIFS(ARBETSBLAD!S139:S153,ARBETSBLAD!$E139:$E153,$E238,ARBETSBLAD!$G139:$G153,$G238)*S$57+0.7*S255+0.33*S256</f>
        <v>0</v>
      </c>
      <c r="T238" s="2361">
        <f>SUMIFS(ARBETSBLAD!T139:T153,ARBETSBLAD!$E139:$E153,$E238,ARBETSBLAD!$G139:$G153,$G238)*T$57+0.7*T255+0.33*T256</f>
        <v>0</v>
      </c>
      <c r="U238" s="2361">
        <f>SUMIFS(ARBETSBLAD!U139:U153,ARBETSBLAD!$E139:$E153,$E238,ARBETSBLAD!$G139:$G153,$G238)*U$57+0.7*U255+0.33*U256</f>
        <v>0</v>
      </c>
      <c r="V238" s="2361">
        <f>SUMIFS(ARBETSBLAD!V139:V153,ARBETSBLAD!$E139:$E153,$E238,ARBETSBLAD!$G139:$G153,$G238)*V$57+0.7*V255+0.33*V256</f>
        <v>0</v>
      </c>
      <c r="W238" s="2361">
        <f>SUMIFS(ARBETSBLAD!W139:W153,ARBETSBLAD!$E139:$E153,$E238,ARBETSBLAD!$G139:$G153,$G238)*W$57+0.7*W255+0.33*W256</f>
        <v>0</v>
      </c>
      <c r="X238" s="2361">
        <f>SUMIFS(ARBETSBLAD!X139:X153,ARBETSBLAD!$E139:$E153,$E238,ARBETSBLAD!$G139:$G153,$G238)*X$57+0.7*X255+0.33*X256</f>
        <v>0</v>
      </c>
      <c r="Y238" s="2361">
        <f>SUMIFS(ARBETSBLAD!Y139:Y153,ARBETSBLAD!$E139:$E153,$E238,ARBETSBLAD!$G139:$G153,$G238)*Y$57+0.7*Y255+0.33*Y256</f>
        <v>0</v>
      </c>
      <c r="Z238" s="2361">
        <f>SUMIFS(ARBETSBLAD!Z139:Z153,ARBETSBLAD!$E139:$E153,$E238,ARBETSBLAD!$G139:$G153,$G238)*Z$57+0.7*Z255+0.33*Z256</f>
        <v>0</v>
      </c>
      <c r="AA238" s="2361">
        <f>SUMIFS(ARBETSBLAD!AA139:AA153,ARBETSBLAD!$E139:$E153,$E238,ARBETSBLAD!$G139:$G153,$G238)*AA$57+0.7*AA255+0.33*AA256</f>
        <v>0</v>
      </c>
      <c r="AB238" s="2361">
        <f>SUMIFS(ARBETSBLAD!AB139:AB153,ARBETSBLAD!$E139:$E153,$E238,ARBETSBLAD!$G139:$G153,$G238)*AB$57+0.7*AB255+0.33*AB256</f>
        <v>0</v>
      </c>
      <c r="AC238" s="2361">
        <f>SUMIFS(ARBETSBLAD!AC139:AC153,ARBETSBLAD!$E139:$E153,$E238,ARBETSBLAD!$G139:$G153,$G238)*AC$57+0.7*AC255+0.33*AC256</f>
        <v>0</v>
      </c>
      <c r="AD238" s="2361">
        <f>SUMIFS(ARBETSBLAD!AD139:AD153,ARBETSBLAD!$E139:$E153,$E238,ARBETSBLAD!$G139:$G153,$G238)*AD$57+0.7*AD255+0.33*AD256</f>
        <v>0</v>
      </c>
      <c r="AE238" s="2361">
        <f>SUMIFS(ARBETSBLAD!AE139:AE153,ARBETSBLAD!$E139:$E153,$E238,ARBETSBLAD!$G139:$G153,$G238)*AE$57+0.7*AE255+0.33*AE256</f>
        <v>0</v>
      </c>
      <c r="AF238" s="2361">
        <f>SUMIFS(ARBETSBLAD!AF139:AF153,ARBETSBLAD!$E139:$E153,$E238,ARBETSBLAD!$G139:$G153,$G238)*AF$57+0.7*AF255+0.33*AF256</f>
        <v>0</v>
      </c>
      <c r="AG238" s="1349"/>
      <c r="AH238" s="1354">
        <f t="shared" si="52"/>
        <v>0</v>
      </c>
      <c r="AI238" s="1355"/>
      <c r="AJ238" s="1354">
        <f t="shared" si="53"/>
        <v>0</v>
      </c>
      <c r="AL238" s="1356"/>
      <c r="AM238" s="1357"/>
      <c r="AN238" s="1437"/>
    </row>
    <row r="239" spans="1:40" s="115" customFormat="1" ht="12" hidden="1" customHeight="1">
      <c r="A239" s="1270"/>
      <c r="B239" s="1317"/>
      <c r="C239" s="1348">
        <f>F239+H239</f>
        <v>300.06</v>
      </c>
      <c r="D239" s="1349"/>
      <c r="E239" s="1463" t="s">
        <v>1</v>
      </c>
      <c r="F239" s="1350">
        <v>300</v>
      </c>
      <c r="G239" s="1464">
        <f>$O$64</f>
        <v>0.06</v>
      </c>
      <c r="H239" s="1368">
        <f>$P$64</f>
        <v>0.06</v>
      </c>
      <c r="I239" s="2361">
        <f>SUMIFS(ARBETSBLAD!I139:I153,ARBETSBLAD!$E139:$E153,$E239,ARBETSBLAD!$G139:$G153,$G239)*I$57+0.3*I255+0.67*I256+0.567*I257</f>
        <v>0</v>
      </c>
      <c r="J239" s="2361">
        <f>SUMIFS(ARBETSBLAD!J139:J153,ARBETSBLAD!$E139:$E153,$E239,ARBETSBLAD!$G139:$G153,$G239)*J$57+0.3*J255+0.67*J256+0.567*J257</f>
        <v>0</v>
      </c>
      <c r="K239" s="2361">
        <f>SUMIFS(ARBETSBLAD!K139:K153,ARBETSBLAD!$E139:$E153,$E239,ARBETSBLAD!$G139:$G153,$G239)*K$57+0.3*K255+0.67*K256+0.567*K257</f>
        <v>0</v>
      </c>
      <c r="L239" s="2361">
        <f>SUMIFS(ARBETSBLAD!L139:L153,ARBETSBLAD!$E139:$E153,$E239,ARBETSBLAD!$G139:$G153,$G239)*L$57+0.3*L255+0.67*L256+0.567*L257</f>
        <v>0</v>
      </c>
      <c r="M239" s="2361">
        <f>SUMIFS(ARBETSBLAD!M139:M153,ARBETSBLAD!$E139:$E153,$E239,ARBETSBLAD!$G139:$G153,$G239)*M$57+0.3*M255+0.67*M256+0.567*M257</f>
        <v>0</v>
      </c>
      <c r="N239" s="2361">
        <f>SUMIFS(ARBETSBLAD!N139:N153,ARBETSBLAD!$E139:$E153,$E239,ARBETSBLAD!$G139:$G153,$G239)*N$57+0.3*N255+0.67*N256+0.567*N257</f>
        <v>0</v>
      </c>
      <c r="O239" s="2361">
        <f>SUMIFS(ARBETSBLAD!O139:O153,ARBETSBLAD!$E139:$E153,$E239,ARBETSBLAD!$G139:$G153,$G239)*O$57+0.3*O255+0.67*O256+0.567*O257</f>
        <v>0</v>
      </c>
      <c r="P239" s="2361">
        <f>SUMIFS(ARBETSBLAD!P139:P153,ARBETSBLAD!$E139:$E153,$E239,ARBETSBLAD!$G139:$G153,$G239)*P$57+0.3*P255+0.67*P256+0.567*P257</f>
        <v>0</v>
      </c>
      <c r="Q239" s="2361">
        <f>SUMIFS(ARBETSBLAD!Q139:Q153,ARBETSBLAD!$E139:$E153,$E239,ARBETSBLAD!$G139:$G153,$G239)*Q$57+0.3*Q255+0.67*Q256+0.567*Q257</f>
        <v>0</v>
      </c>
      <c r="R239" s="2361">
        <f>SUMIFS(ARBETSBLAD!R139:R153,ARBETSBLAD!$E139:$E153,$E239,ARBETSBLAD!$G139:$G153,$G239)*R$57+0.3*R255+0.67*R256+0.567*R257</f>
        <v>0</v>
      </c>
      <c r="S239" s="2361">
        <f>SUMIFS(ARBETSBLAD!S139:S153,ARBETSBLAD!$E139:$E153,$E239,ARBETSBLAD!$G139:$G153,$G239)*S$57+0.3*S255+0.67*S256+0.567*S257</f>
        <v>0</v>
      </c>
      <c r="T239" s="2361">
        <f>SUMIFS(ARBETSBLAD!T139:T153,ARBETSBLAD!$E139:$E153,$E239,ARBETSBLAD!$G139:$G153,$G239)*T$57+0.3*T255+0.67*T256+0.567*T257</f>
        <v>0</v>
      </c>
      <c r="U239" s="2361">
        <f>SUMIFS(ARBETSBLAD!U139:U153,ARBETSBLAD!$E139:$E153,$E239,ARBETSBLAD!$G139:$G153,$G239)*U$57+0.3*U255+0.67*U256+0.567*U257</f>
        <v>0</v>
      </c>
      <c r="V239" s="2361">
        <f>SUMIFS(ARBETSBLAD!V139:V153,ARBETSBLAD!$E139:$E153,$E239,ARBETSBLAD!$G139:$G153,$G239)*V$57+0.3*V255+0.67*V256+0.567*V257</f>
        <v>0</v>
      </c>
      <c r="W239" s="2361">
        <f>SUMIFS(ARBETSBLAD!W139:W153,ARBETSBLAD!$E139:$E153,$E239,ARBETSBLAD!$G139:$G153,$G239)*W$57+0.3*W255+0.67*W256+0.567*W257</f>
        <v>0</v>
      </c>
      <c r="X239" s="2361">
        <f>SUMIFS(ARBETSBLAD!X139:X153,ARBETSBLAD!$E139:$E153,$E239,ARBETSBLAD!$G139:$G153,$G239)*X$57+0.3*X255+0.67*X256+0.567*X257</f>
        <v>0</v>
      </c>
      <c r="Y239" s="2361">
        <f>SUMIFS(ARBETSBLAD!Y139:Y153,ARBETSBLAD!$E139:$E153,$E239,ARBETSBLAD!$G139:$G153,$G239)*Y$57+0.3*Y255+0.67*Y256+0.567*Y257</f>
        <v>0</v>
      </c>
      <c r="Z239" s="2361">
        <f>SUMIFS(ARBETSBLAD!Z139:Z153,ARBETSBLAD!$E139:$E153,$E239,ARBETSBLAD!$G139:$G153,$G239)*Z$57+0.3*Z255+0.67*Z256+0.567*Z257</f>
        <v>0</v>
      </c>
      <c r="AA239" s="2361">
        <f>SUMIFS(ARBETSBLAD!AA139:AA153,ARBETSBLAD!$E139:$E153,$E239,ARBETSBLAD!$G139:$G153,$G239)*AA$57+0.3*AA255+0.67*AA256+0.567*AA257</f>
        <v>0</v>
      </c>
      <c r="AB239" s="2361">
        <f>SUMIFS(ARBETSBLAD!AB139:AB153,ARBETSBLAD!$E139:$E153,$E239,ARBETSBLAD!$G139:$G153,$G239)*AB$57+0.3*AB255+0.67*AB256+0.567*AB257</f>
        <v>0</v>
      </c>
      <c r="AC239" s="2361">
        <f>SUMIFS(ARBETSBLAD!AC139:AC153,ARBETSBLAD!$E139:$E153,$E239,ARBETSBLAD!$G139:$G153,$G239)*AC$57+0.3*AC255+0.67*AC256+0.567*AC257</f>
        <v>0</v>
      </c>
      <c r="AD239" s="2361">
        <f>SUMIFS(ARBETSBLAD!AD139:AD153,ARBETSBLAD!$E139:$E153,$E239,ARBETSBLAD!$G139:$G153,$G239)*AD$57+0.3*AD255+0.67*AD256+0.567*AD257</f>
        <v>0</v>
      </c>
      <c r="AE239" s="2361">
        <f>SUMIFS(ARBETSBLAD!AE139:AE153,ARBETSBLAD!$E139:$E153,$E239,ARBETSBLAD!$G139:$G153,$G239)*AE$57+0.3*AE255+0.67*AE256+0.567*AE257</f>
        <v>0</v>
      </c>
      <c r="AF239" s="2361">
        <f>SUMIFS(ARBETSBLAD!AF139:AF153,ARBETSBLAD!$E139:$E153,$E239,ARBETSBLAD!$G139:$G153,$G239)*AF$57+0.3*AF255+0.67*AF256+0.567*AF257</f>
        <v>0</v>
      </c>
      <c r="AG239" s="1349"/>
      <c r="AH239" s="1354">
        <f t="shared" si="52"/>
        <v>0</v>
      </c>
      <c r="AI239" s="1355"/>
      <c r="AJ239" s="1354">
        <f t="shared" si="53"/>
        <v>0</v>
      </c>
      <c r="AL239" s="1356"/>
      <c r="AM239" s="1357"/>
      <c r="AN239" s="1437"/>
    </row>
    <row r="240" spans="1:40" s="115" customFormat="1" ht="12" hidden="1" customHeight="1">
      <c r="A240" s="1270"/>
      <c r="B240" s="1317"/>
      <c r="C240" s="1348">
        <f>F240+H240</f>
        <v>600.05999999999995</v>
      </c>
      <c r="D240" s="1349"/>
      <c r="E240" s="1463" t="s">
        <v>2</v>
      </c>
      <c r="F240" s="1350">
        <v>600</v>
      </c>
      <c r="G240" s="1464">
        <f>$O$64</f>
        <v>0.06</v>
      </c>
      <c r="H240" s="1368">
        <f>$P$64</f>
        <v>0.06</v>
      </c>
      <c r="I240" s="2361">
        <f>SUMIFS(ARBETSBLAD!I139:I153,ARBETSBLAD!$E139:$E153,$E240,ARBETSBLAD!$G139:$G153,$G240)*I$57+0.433*I257</f>
        <v>0</v>
      </c>
      <c r="J240" s="2361">
        <f>SUMIFS(ARBETSBLAD!J139:J153,ARBETSBLAD!$E139:$E153,$E240,ARBETSBLAD!$G139:$G153,$G240)*J$57+0.433*J257</f>
        <v>0</v>
      </c>
      <c r="K240" s="2361">
        <f>SUMIFS(ARBETSBLAD!K139:K153,ARBETSBLAD!$E139:$E153,$E240,ARBETSBLAD!$G139:$G153,$G240)*K$57+0.433*K257</f>
        <v>0</v>
      </c>
      <c r="L240" s="2361">
        <f>SUMIFS(ARBETSBLAD!L139:L153,ARBETSBLAD!$E139:$E153,$E240,ARBETSBLAD!$G139:$G153,$G240)*L$57+0.433*L257</f>
        <v>0</v>
      </c>
      <c r="M240" s="2361">
        <f>SUMIFS(ARBETSBLAD!M139:M153,ARBETSBLAD!$E139:$E153,$E240,ARBETSBLAD!$G139:$G153,$G240)*M$57+0.433*M257</f>
        <v>0</v>
      </c>
      <c r="N240" s="2361">
        <f>SUMIFS(ARBETSBLAD!N139:N153,ARBETSBLAD!$E139:$E153,$E240,ARBETSBLAD!$G139:$G153,$G240)*N$57+0.433*N257</f>
        <v>0</v>
      </c>
      <c r="O240" s="2361">
        <f>SUMIFS(ARBETSBLAD!O139:O153,ARBETSBLAD!$E139:$E153,$E240,ARBETSBLAD!$G139:$G153,$G240)*O$57+0.433*O257</f>
        <v>0</v>
      </c>
      <c r="P240" s="2361">
        <f>SUMIFS(ARBETSBLAD!P139:P153,ARBETSBLAD!$E139:$E153,$E240,ARBETSBLAD!$G139:$G153,$G240)*P$57+0.433*P257</f>
        <v>0</v>
      </c>
      <c r="Q240" s="2361">
        <f>SUMIFS(ARBETSBLAD!Q139:Q153,ARBETSBLAD!$E139:$E153,$E240,ARBETSBLAD!$G139:$G153,$G240)*Q$57+0.433*Q257</f>
        <v>0</v>
      </c>
      <c r="R240" s="2361">
        <f>SUMIFS(ARBETSBLAD!R139:R153,ARBETSBLAD!$E139:$E153,$E240,ARBETSBLAD!$G139:$G153,$G240)*R$57+0.433*R257</f>
        <v>0</v>
      </c>
      <c r="S240" s="2361">
        <f>SUMIFS(ARBETSBLAD!S139:S153,ARBETSBLAD!$E139:$E153,$E240,ARBETSBLAD!$G139:$G153,$G240)*S$57+0.433*S257</f>
        <v>0</v>
      </c>
      <c r="T240" s="2361">
        <f>SUMIFS(ARBETSBLAD!T139:T153,ARBETSBLAD!$E139:$E153,$E240,ARBETSBLAD!$G139:$G153,$G240)*T$57+0.433*T257</f>
        <v>0</v>
      </c>
      <c r="U240" s="2361">
        <f>SUMIFS(ARBETSBLAD!U139:U153,ARBETSBLAD!$E139:$E153,$E240,ARBETSBLAD!$G139:$G153,$G240)*U$57+0.433*U257</f>
        <v>0</v>
      </c>
      <c r="V240" s="2361">
        <f>SUMIFS(ARBETSBLAD!V139:V153,ARBETSBLAD!$E139:$E153,$E240,ARBETSBLAD!$G139:$G153,$G240)*V$57+0.433*V257</f>
        <v>0</v>
      </c>
      <c r="W240" s="2361">
        <f>SUMIFS(ARBETSBLAD!W139:W153,ARBETSBLAD!$E139:$E153,$E240,ARBETSBLAD!$G139:$G153,$G240)*W$57+0.433*W257</f>
        <v>0</v>
      </c>
      <c r="X240" s="2361">
        <f>SUMIFS(ARBETSBLAD!X139:X153,ARBETSBLAD!$E139:$E153,$E240,ARBETSBLAD!$G139:$G153,$G240)*X$57+0.433*X257</f>
        <v>0</v>
      </c>
      <c r="Y240" s="2361">
        <f>SUMIFS(ARBETSBLAD!Y139:Y153,ARBETSBLAD!$E139:$E153,$E240,ARBETSBLAD!$G139:$G153,$G240)*Y$57+0.433*Y257</f>
        <v>0</v>
      </c>
      <c r="Z240" s="2361">
        <f>SUMIFS(ARBETSBLAD!Z139:Z153,ARBETSBLAD!$E139:$E153,$E240,ARBETSBLAD!$G139:$G153,$G240)*Z$57+0.433*Z257</f>
        <v>0</v>
      </c>
      <c r="AA240" s="2361">
        <f>SUMIFS(ARBETSBLAD!AA139:AA153,ARBETSBLAD!$E139:$E153,$E240,ARBETSBLAD!$G139:$G153,$G240)*AA$57+0.433*AA257</f>
        <v>0</v>
      </c>
      <c r="AB240" s="2361">
        <f>SUMIFS(ARBETSBLAD!AB139:AB153,ARBETSBLAD!$E139:$E153,$E240,ARBETSBLAD!$G139:$G153,$G240)*AB$57+0.433*AB257</f>
        <v>0</v>
      </c>
      <c r="AC240" s="2361">
        <f>SUMIFS(ARBETSBLAD!AC139:AC153,ARBETSBLAD!$E139:$E153,$E240,ARBETSBLAD!$G139:$G153,$G240)*AC$57+0.433*AC257</f>
        <v>0</v>
      </c>
      <c r="AD240" s="2361">
        <f>SUMIFS(ARBETSBLAD!AD139:AD153,ARBETSBLAD!$E139:$E153,$E240,ARBETSBLAD!$G139:$G153,$G240)*AD$57+0.433*AD257</f>
        <v>0</v>
      </c>
      <c r="AE240" s="2361">
        <f>SUMIFS(ARBETSBLAD!AE139:AE153,ARBETSBLAD!$E139:$E153,$E240,ARBETSBLAD!$G139:$G153,$G240)*AE$57+0.433*AE257</f>
        <v>0</v>
      </c>
      <c r="AF240" s="2361">
        <f>SUMIFS(ARBETSBLAD!AF139:AF153,ARBETSBLAD!$E139:$E153,$E240,ARBETSBLAD!$G139:$G153,$G240)*AF$57+0.433*AF257</f>
        <v>0</v>
      </c>
      <c r="AG240" s="1349"/>
      <c r="AH240" s="1354">
        <f t="shared" si="52"/>
        <v>0</v>
      </c>
      <c r="AI240" s="1355"/>
      <c r="AJ240" s="1354">
        <f t="shared" si="53"/>
        <v>0</v>
      </c>
      <c r="AL240" s="1356"/>
      <c r="AM240" s="1357"/>
      <c r="AN240" s="1437"/>
    </row>
    <row r="241" spans="1:40" s="115" customFormat="1" ht="12" hidden="1" customHeight="1">
      <c r="A241" s="1270"/>
      <c r="B241" s="1317"/>
      <c r="C241" s="1348">
        <f>F241+H241</f>
        <v>900.06</v>
      </c>
      <c r="D241" s="1349"/>
      <c r="E241" s="1463" t="s">
        <v>3</v>
      </c>
      <c r="F241" s="1350">
        <v>900</v>
      </c>
      <c r="G241" s="1464">
        <f>$O$64</f>
        <v>0.06</v>
      </c>
      <c r="H241" s="1368">
        <f>$P$64</f>
        <v>0.06</v>
      </c>
      <c r="I241" s="2361">
        <f>SUMIFS(ARBETSBLAD!I139:I153,ARBETSBLAD!$E139:$E153,$E241,ARBETSBLAD!$G139:$G153,$G241)*I$57</f>
        <v>0</v>
      </c>
      <c r="J241" s="2361">
        <f>SUMIFS(ARBETSBLAD!J139:J153,ARBETSBLAD!$E139:$E153,$E241,ARBETSBLAD!$G139:$G153,$G241)*J$57</f>
        <v>0</v>
      </c>
      <c r="K241" s="2361">
        <f>SUMIFS(ARBETSBLAD!K139:K153,ARBETSBLAD!$E139:$E153,$E241,ARBETSBLAD!$G139:$G153,$G241)*K$57</f>
        <v>0</v>
      </c>
      <c r="L241" s="2361">
        <f>SUMIFS(ARBETSBLAD!L139:L153,ARBETSBLAD!$E139:$E153,$E241,ARBETSBLAD!$G139:$G153,$G241)*L$57</f>
        <v>0</v>
      </c>
      <c r="M241" s="2361">
        <f>SUMIFS(ARBETSBLAD!M139:M153,ARBETSBLAD!$E139:$E153,$E241,ARBETSBLAD!$G139:$G153,$G241)*M$57</f>
        <v>0</v>
      </c>
      <c r="N241" s="2361">
        <f>SUMIFS(ARBETSBLAD!N139:N153,ARBETSBLAD!$E139:$E153,$E241,ARBETSBLAD!$G139:$G153,$G241)*N$57</f>
        <v>0</v>
      </c>
      <c r="O241" s="2361">
        <f>SUMIFS(ARBETSBLAD!O139:O153,ARBETSBLAD!$E139:$E153,$E241,ARBETSBLAD!$G139:$G153,$G241)*O$57</f>
        <v>0</v>
      </c>
      <c r="P241" s="2361">
        <f>SUMIFS(ARBETSBLAD!P139:P153,ARBETSBLAD!$E139:$E153,$E241,ARBETSBLAD!$G139:$G153,$G241)*P$57</f>
        <v>0</v>
      </c>
      <c r="Q241" s="2361">
        <f>SUMIFS(ARBETSBLAD!Q139:Q153,ARBETSBLAD!$E139:$E153,$E241,ARBETSBLAD!$G139:$G153,$G241)*Q$57</f>
        <v>0</v>
      </c>
      <c r="R241" s="2361">
        <f>SUMIFS(ARBETSBLAD!R139:R153,ARBETSBLAD!$E139:$E153,$E241,ARBETSBLAD!$G139:$G153,$G241)*R$57</f>
        <v>0</v>
      </c>
      <c r="S241" s="2361">
        <f>SUMIFS(ARBETSBLAD!S139:S153,ARBETSBLAD!$E139:$E153,$E241,ARBETSBLAD!$G139:$G153,$G241)*S$57</f>
        <v>0</v>
      </c>
      <c r="T241" s="2361">
        <f>SUMIFS(ARBETSBLAD!T139:T153,ARBETSBLAD!$E139:$E153,$E241,ARBETSBLAD!$G139:$G153,$G241)*T$57</f>
        <v>0</v>
      </c>
      <c r="U241" s="2361">
        <f>SUMIFS(ARBETSBLAD!U139:U153,ARBETSBLAD!$E139:$E153,$E241,ARBETSBLAD!$G139:$G153,$G241)*U$57</f>
        <v>0</v>
      </c>
      <c r="V241" s="2361">
        <f>SUMIFS(ARBETSBLAD!V139:V153,ARBETSBLAD!$E139:$E153,$E241,ARBETSBLAD!$G139:$G153,$G241)*V$57</f>
        <v>0</v>
      </c>
      <c r="W241" s="2361">
        <f>SUMIFS(ARBETSBLAD!W139:W153,ARBETSBLAD!$E139:$E153,$E241,ARBETSBLAD!$G139:$G153,$G241)*W$57</f>
        <v>0</v>
      </c>
      <c r="X241" s="2361">
        <f>SUMIFS(ARBETSBLAD!X139:X153,ARBETSBLAD!$E139:$E153,$E241,ARBETSBLAD!$G139:$G153,$G241)*X$57</f>
        <v>0</v>
      </c>
      <c r="Y241" s="2361">
        <f>SUMIFS(ARBETSBLAD!Y139:Y153,ARBETSBLAD!$E139:$E153,$E241,ARBETSBLAD!$G139:$G153,$G241)*Y$57</f>
        <v>0</v>
      </c>
      <c r="Z241" s="2361">
        <f>SUMIFS(ARBETSBLAD!Z139:Z153,ARBETSBLAD!$E139:$E153,$E241,ARBETSBLAD!$G139:$G153,$G241)*Z$57</f>
        <v>0</v>
      </c>
      <c r="AA241" s="2361">
        <f>SUMIFS(ARBETSBLAD!AA139:AA153,ARBETSBLAD!$E139:$E153,$E241,ARBETSBLAD!$G139:$G153,$G241)*AA$57</f>
        <v>0</v>
      </c>
      <c r="AB241" s="2361">
        <f>SUMIFS(ARBETSBLAD!AB139:AB153,ARBETSBLAD!$E139:$E153,$E241,ARBETSBLAD!$G139:$G153,$G241)*AB$57</f>
        <v>0</v>
      </c>
      <c r="AC241" s="2361">
        <f>SUMIFS(ARBETSBLAD!AC139:AC153,ARBETSBLAD!$E139:$E153,$E241,ARBETSBLAD!$G139:$G153,$G241)*AC$57</f>
        <v>0</v>
      </c>
      <c r="AD241" s="2361">
        <f>SUMIFS(ARBETSBLAD!AD139:AD153,ARBETSBLAD!$E139:$E153,$E241,ARBETSBLAD!$G139:$G153,$G241)*AD$57</f>
        <v>0</v>
      </c>
      <c r="AE241" s="2361">
        <f>SUMIFS(ARBETSBLAD!AE139:AE153,ARBETSBLAD!$E139:$E153,$E241,ARBETSBLAD!$G139:$G153,$G241)*AE$57</f>
        <v>0</v>
      </c>
      <c r="AF241" s="2361">
        <f>SUMIFS(ARBETSBLAD!AF139:AF153,ARBETSBLAD!$E139:$E153,$E241,ARBETSBLAD!$G139:$G153,$G241)*AF$57</f>
        <v>0</v>
      </c>
      <c r="AG241" s="1349"/>
      <c r="AH241" s="1354">
        <f t="shared" si="52"/>
        <v>0</v>
      </c>
      <c r="AI241" s="1355"/>
      <c r="AJ241" s="1354">
        <f t="shared" si="53"/>
        <v>0</v>
      </c>
      <c r="AL241" s="1356"/>
      <c r="AM241" s="1357"/>
      <c r="AN241" s="1437"/>
    </row>
    <row r="242" spans="1:40" s="115" customFormat="1" ht="12" hidden="1" customHeight="1">
      <c r="A242" s="1270"/>
      <c r="B242" s="1317"/>
      <c r="C242" s="1348"/>
      <c r="D242" s="1349"/>
      <c r="E242" s="1350"/>
      <c r="F242" s="1349"/>
      <c r="G242" s="1350"/>
      <c r="H242" s="1368"/>
      <c r="I242" s="1385"/>
      <c r="J242" s="1385"/>
      <c r="K242" s="1385"/>
      <c r="L242" s="1385"/>
      <c r="M242" s="1385"/>
      <c r="N242" s="1385"/>
      <c r="O242" s="1385"/>
      <c r="P242" s="1385"/>
      <c r="Q242" s="1385"/>
      <c r="R242" s="1385"/>
      <c r="S242" s="1385"/>
      <c r="T242" s="1385"/>
      <c r="U242" s="1385"/>
      <c r="V242" s="1385"/>
      <c r="W242" s="1385"/>
      <c r="X242" s="1385"/>
      <c r="Y242" s="1385"/>
      <c r="Z242" s="1385"/>
      <c r="AA242" s="1385"/>
      <c r="AB242" s="1385"/>
      <c r="AC242" s="1385"/>
      <c r="AD242" s="1385"/>
      <c r="AE242" s="1385"/>
      <c r="AF242" s="1385"/>
      <c r="AG242" s="1349"/>
      <c r="AH242" s="1354">
        <f t="shared" si="52"/>
        <v>0</v>
      </c>
      <c r="AI242" s="1355"/>
      <c r="AJ242" s="1354">
        <f t="shared" si="53"/>
        <v>0</v>
      </c>
      <c r="AL242" s="1357"/>
      <c r="AM242" s="1357"/>
      <c r="AN242" s="1357"/>
    </row>
    <row r="243" spans="1:40" s="115" customFormat="1" ht="12" hidden="1" customHeight="1">
      <c r="A243" s="1270"/>
      <c r="B243" s="1317"/>
      <c r="C243" s="1348">
        <f>F243+H243</f>
        <v>1.1200000000000001</v>
      </c>
      <c r="D243" s="1349"/>
      <c r="E243" s="1463" t="s">
        <v>0</v>
      </c>
      <c r="F243" s="1350">
        <v>1</v>
      </c>
      <c r="G243" s="1464">
        <f>$O$65</f>
        <v>0.12</v>
      </c>
      <c r="H243" s="1368">
        <f>$P$65</f>
        <v>0.12</v>
      </c>
      <c r="I243" s="2361">
        <f>SUMIFS(ARBETSBLAD!I139:I153,ARBETSBLAD!$E139:$E153,$E243,ARBETSBLAD!$G139:$G153,$G243)*I$57+0.7*I258+0.33*I259</f>
        <v>0</v>
      </c>
      <c r="J243" s="2361">
        <f>SUMIFS(ARBETSBLAD!J139:J153,ARBETSBLAD!$E139:$E153,$E243,ARBETSBLAD!$G139:$G153,$G243)*J$57+0.7*J258+0.33*J259</f>
        <v>0</v>
      </c>
      <c r="K243" s="2361">
        <f>SUMIFS(ARBETSBLAD!K139:K153,ARBETSBLAD!$E139:$E153,$E243,ARBETSBLAD!$G139:$G153,$G243)*K$57+0.7*K258+0.33*K259</f>
        <v>0</v>
      </c>
      <c r="L243" s="2361">
        <f>SUMIFS(ARBETSBLAD!L139:L153,ARBETSBLAD!$E139:$E153,$E243,ARBETSBLAD!$G139:$G153,$G243)*L$57+0.7*L258+0.33*L259</f>
        <v>0</v>
      </c>
      <c r="M243" s="2361">
        <f>SUMIFS(ARBETSBLAD!M139:M153,ARBETSBLAD!$E139:$E153,$E243,ARBETSBLAD!$G139:$G153,$G243)*M$57+0.7*M258+0.33*M259</f>
        <v>0</v>
      </c>
      <c r="N243" s="2361">
        <f>SUMIFS(ARBETSBLAD!N139:N153,ARBETSBLAD!$E139:$E153,$E243,ARBETSBLAD!$G139:$G153,$G243)*N$57+0.7*N258+0.33*N259</f>
        <v>0</v>
      </c>
      <c r="O243" s="2361">
        <f>SUMIFS(ARBETSBLAD!O139:O153,ARBETSBLAD!$E139:$E153,$E243,ARBETSBLAD!$G139:$G153,$G243)*O$57+0.7*O258+0.33*O259</f>
        <v>0</v>
      </c>
      <c r="P243" s="2361">
        <f>SUMIFS(ARBETSBLAD!P139:P153,ARBETSBLAD!$E139:$E153,$E243,ARBETSBLAD!$G139:$G153,$G243)*P$57+0.7*P258+0.33*P259</f>
        <v>0</v>
      </c>
      <c r="Q243" s="2361">
        <f>SUMIFS(ARBETSBLAD!Q139:Q153,ARBETSBLAD!$E139:$E153,$E243,ARBETSBLAD!$G139:$G153,$G243)*Q$57+0.7*Q258+0.33*Q259</f>
        <v>0</v>
      </c>
      <c r="R243" s="2361">
        <f>SUMIFS(ARBETSBLAD!R139:R153,ARBETSBLAD!$E139:$E153,$E243,ARBETSBLAD!$G139:$G153,$G243)*R$57+0.7*R258+0.33*R259</f>
        <v>0</v>
      </c>
      <c r="S243" s="2361">
        <f>SUMIFS(ARBETSBLAD!S139:S153,ARBETSBLAD!$E139:$E153,$E243,ARBETSBLAD!$G139:$G153,$G243)*S$57+0.7*S258+0.33*S259</f>
        <v>0</v>
      </c>
      <c r="T243" s="2361">
        <f>SUMIFS(ARBETSBLAD!T139:T153,ARBETSBLAD!$E139:$E153,$E243,ARBETSBLAD!$G139:$G153,$G243)*T$57+0.7*T258+0.33*T259</f>
        <v>0</v>
      </c>
      <c r="U243" s="2361">
        <f>SUMIFS(ARBETSBLAD!U139:U153,ARBETSBLAD!$E139:$E153,$E243,ARBETSBLAD!$G139:$G153,$G243)*U$57+0.7*U258+0.33*U259</f>
        <v>0</v>
      </c>
      <c r="V243" s="2361">
        <f>SUMIFS(ARBETSBLAD!V139:V153,ARBETSBLAD!$E139:$E153,$E243,ARBETSBLAD!$G139:$G153,$G243)*V$57+0.7*V258+0.33*V259</f>
        <v>0</v>
      </c>
      <c r="W243" s="2361">
        <f>SUMIFS(ARBETSBLAD!W139:W153,ARBETSBLAD!$E139:$E153,$E243,ARBETSBLAD!$G139:$G153,$G243)*W$57+0.7*W258+0.33*W259</f>
        <v>0</v>
      </c>
      <c r="X243" s="2361">
        <f>SUMIFS(ARBETSBLAD!X139:X153,ARBETSBLAD!$E139:$E153,$E243,ARBETSBLAD!$G139:$G153,$G243)*X$57+0.7*X258+0.33*X259</f>
        <v>0</v>
      </c>
      <c r="Y243" s="2361">
        <f>SUMIFS(ARBETSBLAD!Y139:Y153,ARBETSBLAD!$E139:$E153,$E243,ARBETSBLAD!$G139:$G153,$G243)*Y$57+0.7*Y258+0.33*Y259</f>
        <v>0</v>
      </c>
      <c r="Z243" s="2361">
        <f>SUMIFS(ARBETSBLAD!Z139:Z153,ARBETSBLAD!$E139:$E153,$E243,ARBETSBLAD!$G139:$G153,$G243)*Z$57+0.7*Z258+0.33*Z259</f>
        <v>0</v>
      </c>
      <c r="AA243" s="2361">
        <f>SUMIFS(ARBETSBLAD!AA139:AA153,ARBETSBLAD!$E139:$E153,$E243,ARBETSBLAD!$G139:$G153,$G243)*AA$57+0.7*AA258+0.33*AA259</f>
        <v>0</v>
      </c>
      <c r="AB243" s="2361">
        <f>SUMIFS(ARBETSBLAD!AB139:AB153,ARBETSBLAD!$E139:$E153,$E243,ARBETSBLAD!$G139:$G153,$G243)*AB$57+0.7*AB258+0.33*AB259</f>
        <v>0</v>
      </c>
      <c r="AC243" s="2361">
        <f>SUMIFS(ARBETSBLAD!AC139:AC153,ARBETSBLAD!$E139:$E153,$E243,ARBETSBLAD!$G139:$G153,$G243)*AC$57+0.7*AC258+0.33*AC259</f>
        <v>0</v>
      </c>
      <c r="AD243" s="2361">
        <f>SUMIFS(ARBETSBLAD!AD139:AD153,ARBETSBLAD!$E139:$E153,$E243,ARBETSBLAD!$G139:$G153,$G243)*AD$57+0.7*AD258+0.33*AD259</f>
        <v>0</v>
      </c>
      <c r="AE243" s="2361">
        <f>SUMIFS(ARBETSBLAD!AE139:AE153,ARBETSBLAD!$E139:$E153,$E243,ARBETSBLAD!$G139:$G153,$G243)*AE$57+0.7*AE258+0.33*AE259</f>
        <v>0</v>
      </c>
      <c r="AF243" s="2361">
        <f>SUMIFS(ARBETSBLAD!AF139:AF153,ARBETSBLAD!$E139:$E153,$E243,ARBETSBLAD!$G139:$G153,$G243)*AF$57+0.7*AF258+0.33*AF259</f>
        <v>0</v>
      </c>
      <c r="AG243" s="1349"/>
      <c r="AH243" s="1354">
        <f t="shared" si="52"/>
        <v>0</v>
      </c>
      <c r="AI243" s="1355"/>
      <c r="AJ243" s="1354">
        <f t="shared" si="53"/>
        <v>0</v>
      </c>
      <c r="AL243" s="1356"/>
      <c r="AM243" s="1357"/>
      <c r="AN243" s="1437"/>
    </row>
    <row r="244" spans="1:40" s="115" customFormat="1" ht="12" hidden="1" customHeight="1">
      <c r="A244" s="1270"/>
      <c r="B244" s="1317"/>
      <c r="C244" s="1348">
        <f>F244+H244</f>
        <v>300.12</v>
      </c>
      <c r="D244" s="1349"/>
      <c r="E244" s="1463" t="s">
        <v>1</v>
      </c>
      <c r="F244" s="1350">
        <v>300</v>
      </c>
      <c r="G244" s="1464">
        <f>$O$65</f>
        <v>0.12</v>
      </c>
      <c r="H244" s="1368">
        <f>$P$65</f>
        <v>0.12</v>
      </c>
      <c r="I244" s="2361">
        <f>SUMIFS(ARBETSBLAD!I139:I153,ARBETSBLAD!$E139:$E153,$E244,ARBETSBLAD!$G139:$G153,$G244)*I$57+0.3*I258+0.67*I259+0.567*I260</f>
        <v>0</v>
      </c>
      <c r="J244" s="2361">
        <f>SUMIFS(ARBETSBLAD!J139:J153,ARBETSBLAD!$E139:$E153,$E244,ARBETSBLAD!$G139:$G153,$G244)*J$57+0.3*J258+0.67*J259+0.567*J260</f>
        <v>0</v>
      </c>
      <c r="K244" s="2361">
        <f>SUMIFS(ARBETSBLAD!K139:K153,ARBETSBLAD!$E139:$E153,$E244,ARBETSBLAD!$G139:$G153,$G244)*K$57+0.3*K258+0.67*K259+0.567*K260</f>
        <v>0</v>
      </c>
      <c r="L244" s="2361">
        <f>SUMIFS(ARBETSBLAD!L139:L153,ARBETSBLAD!$E139:$E153,$E244,ARBETSBLAD!$G139:$G153,$G244)*L$57+0.3*L258+0.67*L259+0.567*L260</f>
        <v>0</v>
      </c>
      <c r="M244" s="2361">
        <f>SUMIFS(ARBETSBLAD!M139:M153,ARBETSBLAD!$E139:$E153,$E244,ARBETSBLAD!$G139:$G153,$G244)*M$57+0.3*M258+0.67*M259+0.567*M260</f>
        <v>0</v>
      </c>
      <c r="N244" s="2361">
        <f>SUMIFS(ARBETSBLAD!N139:N153,ARBETSBLAD!$E139:$E153,$E244,ARBETSBLAD!$G139:$G153,$G244)*N$57+0.3*N258+0.67*N259+0.567*N260</f>
        <v>0</v>
      </c>
      <c r="O244" s="2361">
        <f>SUMIFS(ARBETSBLAD!O139:O153,ARBETSBLAD!$E139:$E153,$E244,ARBETSBLAD!$G139:$G153,$G244)*O$57+0.3*O258+0.67*O259+0.567*O260</f>
        <v>0</v>
      </c>
      <c r="P244" s="2361">
        <f>SUMIFS(ARBETSBLAD!P139:P153,ARBETSBLAD!$E139:$E153,$E244,ARBETSBLAD!$G139:$G153,$G244)*P$57+0.3*P258+0.67*P259+0.567*P260</f>
        <v>0</v>
      </c>
      <c r="Q244" s="2361">
        <f>SUMIFS(ARBETSBLAD!Q139:Q153,ARBETSBLAD!$E139:$E153,$E244,ARBETSBLAD!$G139:$G153,$G244)*Q$57+0.3*Q258+0.67*Q259+0.567*Q260</f>
        <v>0</v>
      </c>
      <c r="R244" s="2361">
        <f>SUMIFS(ARBETSBLAD!R139:R153,ARBETSBLAD!$E139:$E153,$E244,ARBETSBLAD!$G139:$G153,$G244)*R$57+0.3*R258+0.67*R259+0.567*R260</f>
        <v>0</v>
      </c>
      <c r="S244" s="2361">
        <f>SUMIFS(ARBETSBLAD!S139:S153,ARBETSBLAD!$E139:$E153,$E244,ARBETSBLAD!$G139:$G153,$G244)*S$57+0.3*S258+0.67*S259+0.567*S260</f>
        <v>0</v>
      </c>
      <c r="T244" s="2361">
        <f>SUMIFS(ARBETSBLAD!T139:T153,ARBETSBLAD!$E139:$E153,$E244,ARBETSBLAD!$G139:$G153,$G244)*T$57+0.3*T258+0.67*T259+0.567*T260</f>
        <v>0</v>
      </c>
      <c r="U244" s="2361">
        <f>SUMIFS(ARBETSBLAD!U139:U153,ARBETSBLAD!$E139:$E153,$E244,ARBETSBLAD!$G139:$G153,$G244)*U$57+0.3*U258+0.67*U259+0.567*U260</f>
        <v>0</v>
      </c>
      <c r="V244" s="2361">
        <f>SUMIFS(ARBETSBLAD!V139:V153,ARBETSBLAD!$E139:$E153,$E244,ARBETSBLAD!$G139:$G153,$G244)*V$57+0.3*V258+0.67*V259+0.567*V260</f>
        <v>0</v>
      </c>
      <c r="W244" s="2361">
        <f>SUMIFS(ARBETSBLAD!W139:W153,ARBETSBLAD!$E139:$E153,$E244,ARBETSBLAD!$G139:$G153,$G244)*W$57+0.3*W258+0.67*W259+0.567*W260</f>
        <v>0</v>
      </c>
      <c r="X244" s="2361">
        <f>SUMIFS(ARBETSBLAD!X139:X153,ARBETSBLAD!$E139:$E153,$E244,ARBETSBLAD!$G139:$G153,$G244)*X$57+0.3*X258+0.67*X259+0.567*X260</f>
        <v>0</v>
      </c>
      <c r="Y244" s="2361">
        <f>SUMIFS(ARBETSBLAD!Y139:Y153,ARBETSBLAD!$E139:$E153,$E244,ARBETSBLAD!$G139:$G153,$G244)*Y$57+0.3*Y258+0.67*Y259+0.567*Y260</f>
        <v>0</v>
      </c>
      <c r="Z244" s="2361">
        <f>SUMIFS(ARBETSBLAD!Z139:Z153,ARBETSBLAD!$E139:$E153,$E244,ARBETSBLAD!$G139:$G153,$G244)*Z$57+0.3*Z258+0.67*Z259+0.567*Z260</f>
        <v>0</v>
      </c>
      <c r="AA244" s="2361">
        <f>SUMIFS(ARBETSBLAD!AA139:AA153,ARBETSBLAD!$E139:$E153,$E244,ARBETSBLAD!$G139:$G153,$G244)*AA$57+0.3*AA258+0.67*AA259+0.567*AA260</f>
        <v>0</v>
      </c>
      <c r="AB244" s="2361">
        <f>SUMIFS(ARBETSBLAD!AB139:AB153,ARBETSBLAD!$E139:$E153,$E244,ARBETSBLAD!$G139:$G153,$G244)*AB$57+0.3*AB258+0.67*AB259+0.567*AB260</f>
        <v>0</v>
      </c>
      <c r="AC244" s="2361">
        <f>SUMIFS(ARBETSBLAD!AC139:AC153,ARBETSBLAD!$E139:$E153,$E244,ARBETSBLAD!$G139:$G153,$G244)*AC$57+0.3*AC258+0.67*AC259+0.567*AC260</f>
        <v>0</v>
      </c>
      <c r="AD244" s="2361">
        <f>SUMIFS(ARBETSBLAD!AD139:AD153,ARBETSBLAD!$E139:$E153,$E244,ARBETSBLAD!$G139:$G153,$G244)*AD$57+0.3*AD258+0.67*AD259+0.567*AD260</f>
        <v>0</v>
      </c>
      <c r="AE244" s="2361">
        <f>SUMIFS(ARBETSBLAD!AE139:AE153,ARBETSBLAD!$E139:$E153,$E244,ARBETSBLAD!$G139:$G153,$G244)*AE$57+0.3*AE258+0.67*AE259+0.567*AE260</f>
        <v>0</v>
      </c>
      <c r="AF244" s="2361">
        <f>SUMIFS(ARBETSBLAD!AF139:AF153,ARBETSBLAD!$E139:$E153,$E244,ARBETSBLAD!$G139:$G153,$G244)*AF$57+0.3*AF258+0.67*AF259+0.567*AF260</f>
        <v>0</v>
      </c>
      <c r="AG244" s="1349"/>
      <c r="AH244" s="1354">
        <f t="shared" si="52"/>
        <v>0</v>
      </c>
      <c r="AI244" s="1355"/>
      <c r="AJ244" s="1354">
        <f t="shared" si="53"/>
        <v>0</v>
      </c>
      <c r="AL244" s="1356"/>
      <c r="AM244" s="1357"/>
      <c r="AN244" s="1437"/>
    </row>
    <row r="245" spans="1:40" s="115" customFormat="1" ht="12" hidden="1" customHeight="1">
      <c r="A245" s="1270"/>
      <c r="B245" s="1317"/>
      <c r="C245" s="1348">
        <f>F245+H245</f>
        <v>600.12</v>
      </c>
      <c r="D245" s="1349"/>
      <c r="E245" s="1463" t="s">
        <v>2</v>
      </c>
      <c r="F245" s="1350">
        <v>600</v>
      </c>
      <c r="G245" s="1464">
        <f>$O$65</f>
        <v>0.12</v>
      </c>
      <c r="H245" s="1368">
        <f>$P$65</f>
        <v>0.12</v>
      </c>
      <c r="I245" s="2361">
        <f>SUMIFS(ARBETSBLAD!I139:I153,ARBETSBLAD!$E139:$E153,$E245,ARBETSBLAD!$G139:$G153,$G245)*I$57+0.433*I260</f>
        <v>0</v>
      </c>
      <c r="J245" s="2361">
        <f>SUMIFS(ARBETSBLAD!J139:J153,ARBETSBLAD!$E139:$E153,$E245,ARBETSBLAD!$G139:$G153,$G245)*J$57+0.433*J260</f>
        <v>0</v>
      </c>
      <c r="K245" s="2361">
        <f>SUMIFS(ARBETSBLAD!K139:K153,ARBETSBLAD!$E139:$E153,$E245,ARBETSBLAD!$G139:$G153,$G245)*K$57+0.433*K260</f>
        <v>0</v>
      </c>
      <c r="L245" s="2361">
        <f>SUMIFS(ARBETSBLAD!L139:L153,ARBETSBLAD!$E139:$E153,$E245,ARBETSBLAD!$G139:$G153,$G245)*L$57+0.433*L260</f>
        <v>0</v>
      </c>
      <c r="M245" s="2361">
        <f>SUMIFS(ARBETSBLAD!M139:M153,ARBETSBLAD!$E139:$E153,$E245,ARBETSBLAD!$G139:$G153,$G245)*M$57+0.433*M260</f>
        <v>0</v>
      </c>
      <c r="N245" s="2361">
        <f>SUMIFS(ARBETSBLAD!N139:N153,ARBETSBLAD!$E139:$E153,$E245,ARBETSBLAD!$G139:$G153,$G245)*N$57+0.433*N260</f>
        <v>0</v>
      </c>
      <c r="O245" s="2361">
        <f>SUMIFS(ARBETSBLAD!O139:O153,ARBETSBLAD!$E139:$E153,$E245,ARBETSBLAD!$G139:$G153,$G245)*O$57+0.433*O260</f>
        <v>0</v>
      </c>
      <c r="P245" s="2361">
        <f>SUMIFS(ARBETSBLAD!P139:P153,ARBETSBLAD!$E139:$E153,$E245,ARBETSBLAD!$G139:$G153,$G245)*P$57+0.433*P260</f>
        <v>0</v>
      </c>
      <c r="Q245" s="2361">
        <f>SUMIFS(ARBETSBLAD!Q139:Q153,ARBETSBLAD!$E139:$E153,$E245,ARBETSBLAD!$G139:$G153,$G245)*Q$57+0.433*Q260</f>
        <v>0</v>
      </c>
      <c r="R245" s="2361">
        <f>SUMIFS(ARBETSBLAD!R139:R153,ARBETSBLAD!$E139:$E153,$E245,ARBETSBLAD!$G139:$G153,$G245)*R$57+0.433*R260</f>
        <v>0</v>
      </c>
      <c r="S245" s="2361">
        <f>SUMIFS(ARBETSBLAD!S139:S153,ARBETSBLAD!$E139:$E153,$E245,ARBETSBLAD!$G139:$G153,$G245)*S$57+0.433*S260</f>
        <v>0</v>
      </c>
      <c r="T245" s="2361">
        <f>SUMIFS(ARBETSBLAD!T139:T153,ARBETSBLAD!$E139:$E153,$E245,ARBETSBLAD!$G139:$G153,$G245)*T$57+0.433*T260</f>
        <v>0</v>
      </c>
      <c r="U245" s="2361">
        <f>SUMIFS(ARBETSBLAD!U139:U153,ARBETSBLAD!$E139:$E153,$E245,ARBETSBLAD!$G139:$G153,$G245)*U$57+0.433*U260</f>
        <v>0</v>
      </c>
      <c r="V245" s="2361">
        <f>SUMIFS(ARBETSBLAD!V139:V153,ARBETSBLAD!$E139:$E153,$E245,ARBETSBLAD!$G139:$G153,$G245)*V$57+0.433*V260</f>
        <v>0</v>
      </c>
      <c r="W245" s="2361">
        <f>SUMIFS(ARBETSBLAD!W139:W153,ARBETSBLAD!$E139:$E153,$E245,ARBETSBLAD!$G139:$G153,$G245)*W$57+0.433*W260</f>
        <v>0</v>
      </c>
      <c r="X245" s="2361">
        <f>SUMIFS(ARBETSBLAD!X139:X153,ARBETSBLAD!$E139:$E153,$E245,ARBETSBLAD!$G139:$G153,$G245)*X$57+0.433*X260</f>
        <v>0</v>
      </c>
      <c r="Y245" s="2361">
        <f>SUMIFS(ARBETSBLAD!Y139:Y153,ARBETSBLAD!$E139:$E153,$E245,ARBETSBLAD!$G139:$G153,$G245)*Y$57+0.433*Y260</f>
        <v>0</v>
      </c>
      <c r="Z245" s="2361">
        <f>SUMIFS(ARBETSBLAD!Z139:Z153,ARBETSBLAD!$E139:$E153,$E245,ARBETSBLAD!$G139:$G153,$G245)*Z$57+0.433*Z260</f>
        <v>0</v>
      </c>
      <c r="AA245" s="2361">
        <f>SUMIFS(ARBETSBLAD!AA139:AA153,ARBETSBLAD!$E139:$E153,$E245,ARBETSBLAD!$G139:$G153,$G245)*AA$57+0.433*AA260</f>
        <v>0</v>
      </c>
      <c r="AB245" s="2361">
        <f>SUMIFS(ARBETSBLAD!AB139:AB153,ARBETSBLAD!$E139:$E153,$E245,ARBETSBLAD!$G139:$G153,$G245)*AB$57+0.433*AB260</f>
        <v>0</v>
      </c>
      <c r="AC245" s="2361">
        <f>SUMIFS(ARBETSBLAD!AC139:AC153,ARBETSBLAD!$E139:$E153,$E245,ARBETSBLAD!$G139:$G153,$G245)*AC$57+0.433*AC260</f>
        <v>0</v>
      </c>
      <c r="AD245" s="2361">
        <f>SUMIFS(ARBETSBLAD!AD139:AD153,ARBETSBLAD!$E139:$E153,$E245,ARBETSBLAD!$G139:$G153,$G245)*AD$57+0.433*AD260</f>
        <v>0</v>
      </c>
      <c r="AE245" s="2361">
        <f>SUMIFS(ARBETSBLAD!AE139:AE153,ARBETSBLAD!$E139:$E153,$E245,ARBETSBLAD!$G139:$G153,$G245)*AE$57+0.433*AE260</f>
        <v>0</v>
      </c>
      <c r="AF245" s="2361">
        <f>SUMIFS(ARBETSBLAD!AF139:AF153,ARBETSBLAD!$E139:$E153,$E245,ARBETSBLAD!$G139:$G153,$G245)*AF$57+0.433*AF260</f>
        <v>0</v>
      </c>
      <c r="AG245" s="1349"/>
      <c r="AH245" s="1354">
        <f t="shared" si="52"/>
        <v>0</v>
      </c>
      <c r="AI245" s="1355"/>
      <c r="AJ245" s="1354">
        <f t="shared" si="53"/>
        <v>0</v>
      </c>
      <c r="AL245" s="1356"/>
      <c r="AM245" s="1357"/>
      <c r="AN245" s="1437"/>
    </row>
    <row r="246" spans="1:40" s="115" customFormat="1" ht="12" hidden="1" customHeight="1">
      <c r="A246" s="1270"/>
      <c r="B246" s="1317"/>
      <c r="C246" s="1348">
        <f>F246+H246</f>
        <v>900.12</v>
      </c>
      <c r="D246" s="1349"/>
      <c r="E246" s="1463" t="s">
        <v>3</v>
      </c>
      <c r="F246" s="1350">
        <v>900</v>
      </c>
      <c r="G246" s="1464">
        <f>$O$65</f>
        <v>0.12</v>
      </c>
      <c r="H246" s="1368">
        <f>$P$65</f>
        <v>0.12</v>
      </c>
      <c r="I246" s="2361">
        <f>SUMIFS(ARBETSBLAD!I139:I153,ARBETSBLAD!$E139:$E153,$E246,ARBETSBLAD!$G139:$G153,$G246)*I$57</f>
        <v>0</v>
      </c>
      <c r="J246" s="2361">
        <f>SUMIFS(ARBETSBLAD!J139:J153,ARBETSBLAD!$E139:$E153,$E246,ARBETSBLAD!$G139:$G153,$G246)*J$57</f>
        <v>0</v>
      </c>
      <c r="K246" s="2361">
        <f>SUMIFS(ARBETSBLAD!K139:K153,ARBETSBLAD!$E139:$E153,$E246,ARBETSBLAD!$G139:$G153,$G246)*K$57</f>
        <v>0</v>
      </c>
      <c r="L246" s="2361">
        <f>SUMIFS(ARBETSBLAD!L139:L153,ARBETSBLAD!$E139:$E153,$E246,ARBETSBLAD!$G139:$G153,$G246)*L$57</f>
        <v>0</v>
      </c>
      <c r="M246" s="2361">
        <f>SUMIFS(ARBETSBLAD!M139:M153,ARBETSBLAD!$E139:$E153,$E246,ARBETSBLAD!$G139:$G153,$G246)*M$57</f>
        <v>0</v>
      </c>
      <c r="N246" s="2361">
        <f>SUMIFS(ARBETSBLAD!N139:N153,ARBETSBLAD!$E139:$E153,$E246,ARBETSBLAD!$G139:$G153,$G246)*N$57</f>
        <v>0</v>
      </c>
      <c r="O246" s="2361">
        <f>SUMIFS(ARBETSBLAD!O139:O153,ARBETSBLAD!$E139:$E153,$E246,ARBETSBLAD!$G139:$G153,$G246)*O$57</f>
        <v>0</v>
      </c>
      <c r="P246" s="2361">
        <f>SUMIFS(ARBETSBLAD!P139:P153,ARBETSBLAD!$E139:$E153,$E246,ARBETSBLAD!$G139:$G153,$G246)*P$57</f>
        <v>0</v>
      </c>
      <c r="Q246" s="2361">
        <f>SUMIFS(ARBETSBLAD!Q139:Q153,ARBETSBLAD!$E139:$E153,$E246,ARBETSBLAD!$G139:$G153,$G246)*Q$57</f>
        <v>0</v>
      </c>
      <c r="R246" s="2361">
        <f>SUMIFS(ARBETSBLAD!R139:R153,ARBETSBLAD!$E139:$E153,$E246,ARBETSBLAD!$G139:$G153,$G246)*R$57</f>
        <v>0</v>
      </c>
      <c r="S246" s="2361">
        <f>SUMIFS(ARBETSBLAD!S139:S153,ARBETSBLAD!$E139:$E153,$E246,ARBETSBLAD!$G139:$G153,$G246)*S$57</f>
        <v>0</v>
      </c>
      <c r="T246" s="2361">
        <f>SUMIFS(ARBETSBLAD!T139:T153,ARBETSBLAD!$E139:$E153,$E246,ARBETSBLAD!$G139:$G153,$G246)*T$57</f>
        <v>0</v>
      </c>
      <c r="U246" s="2361">
        <f>SUMIFS(ARBETSBLAD!U139:U153,ARBETSBLAD!$E139:$E153,$E246,ARBETSBLAD!$G139:$G153,$G246)*U$57</f>
        <v>0</v>
      </c>
      <c r="V246" s="2361">
        <f>SUMIFS(ARBETSBLAD!V139:V153,ARBETSBLAD!$E139:$E153,$E246,ARBETSBLAD!$G139:$G153,$G246)*V$57</f>
        <v>0</v>
      </c>
      <c r="W246" s="2361">
        <f>SUMIFS(ARBETSBLAD!W139:W153,ARBETSBLAD!$E139:$E153,$E246,ARBETSBLAD!$G139:$G153,$G246)*W$57</f>
        <v>0</v>
      </c>
      <c r="X246" s="2361">
        <f>SUMIFS(ARBETSBLAD!X139:X153,ARBETSBLAD!$E139:$E153,$E246,ARBETSBLAD!$G139:$G153,$G246)*X$57</f>
        <v>0</v>
      </c>
      <c r="Y246" s="2361">
        <f>SUMIFS(ARBETSBLAD!Y139:Y153,ARBETSBLAD!$E139:$E153,$E246,ARBETSBLAD!$G139:$G153,$G246)*Y$57</f>
        <v>0</v>
      </c>
      <c r="Z246" s="2361">
        <f>SUMIFS(ARBETSBLAD!Z139:Z153,ARBETSBLAD!$E139:$E153,$E246,ARBETSBLAD!$G139:$G153,$G246)*Z$57</f>
        <v>0</v>
      </c>
      <c r="AA246" s="2361">
        <f>SUMIFS(ARBETSBLAD!AA139:AA153,ARBETSBLAD!$E139:$E153,$E246,ARBETSBLAD!$G139:$G153,$G246)*AA$57</f>
        <v>0</v>
      </c>
      <c r="AB246" s="2361">
        <f>SUMIFS(ARBETSBLAD!AB139:AB153,ARBETSBLAD!$E139:$E153,$E246,ARBETSBLAD!$G139:$G153,$G246)*AB$57</f>
        <v>0</v>
      </c>
      <c r="AC246" s="2361">
        <f>SUMIFS(ARBETSBLAD!AC139:AC153,ARBETSBLAD!$E139:$E153,$E246,ARBETSBLAD!$G139:$G153,$G246)*AC$57</f>
        <v>0</v>
      </c>
      <c r="AD246" s="2361">
        <f>SUMIFS(ARBETSBLAD!AD139:AD153,ARBETSBLAD!$E139:$E153,$E246,ARBETSBLAD!$G139:$G153,$G246)*AD$57</f>
        <v>0</v>
      </c>
      <c r="AE246" s="2361">
        <f>SUMIFS(ARBETSBLAD!AE139:AE153,ARBETSBLAD!$E139:$E153,$E246,ARBETSBLAD!$G139:$G153,$G246)*AE$57</f>
        <v>0</v>
      </c>
      <c r="AF246" s="2361">
        <f>SUMIFS(ARBETSBLAD!AF139:AF153,ARBETSBLAD!$E139:$E153,$E246,ARBETSBLAD!$G139:$G153,$G246)*AF$57</f>
        <v>0</v>
      </c>
      <c r="AG246" s="1349"/>
      <c r="AH246" s="1354">
        <f t="shared" si="52"/>
        <v>0</v>
      </c>
      <c r="AI246" s="1355"/>
      <c r="AJ246" s="1354">
        <f t="shared" si="53"/>
        <v>0</v>
      </c>
      <c r="AL246" s="1356"/>
      <c r="AM246" s="1357"/>
      <c r="AN246" s="1437"/>
    </row>
    <row r="247" spans="1:40" s="115" customFormat="1" ht="12" hidden="1" customHeight="1">
      <c r="A247" s="1270"/>
      <c r="B247" s="1317"/>
      <c r="C247" s="1348"/>
      <c r="D247" s="1349"/>
      <c r="E247" s="1350"/>
      <c r="F247" s="1349"/>
      <c r="G247" s="1350"/>
      <c r="H247" s="1368"/>
      <c r="I247" s="1385"/>
      <c r="J247" s="1385"/>
      <c r="K247" s="1385"/>
      <c r="L247" s="1385"/>
      <c r="M247" s="1385"/>
      <c r="N247" s="1385"/>
      <c r="O247" s="1385"/>
      <c r="P247" s="1385"/>
      <c r="Q247" s="1385"/>
      <c r="R247" s="1385"/>
      <c r="S247" s="1385"/>
      <c r="T247" s="1385"/>
      <c r="U247" s="1385"/>
      <c r="V247" s="1385"/>
      <c r="W247" s="1385"/>
      <c r="X247" s="1385"/>
      <c r="Y247" s="1385"/>
      <c r="Z247" s="1385"/>
      <c r="AA247" s="1385"/>
      <c r="AB247" s="1385"/>
      <c r="AC247" s="1385"/>
      <c r="AD247" s="1385"/>
      <c r="AE247" s="1385"/>
      <c r="AF247" s="1385"/>
      <c r="AG247" s="1349"/>
      <c r="AH247" s="1354">
        <f t="shared" si="52"/>
        <v>0</v>
      </c>
      <c r="AI247" s="1355"/>
      <c r="AJ247" s="1354">
        <f t="shared" si="53"/>
        <v>0</v>
      </c>
      <c r="AL247" s="1357"/>
      <c r="AM247" s="1357"/>
      <c r="AN247" s="1357"/>
    </row>
    <row r="248" spans="1:40" s="115" customFormat="1" ht="12" hidden="1" customHeight="1">
      <c r="A248" s="1270"/>
      <c r="B248" s="1317"/>
      <c r="C248" s="1361">
        <f t="shared" ref="C248:C263" si="54">F248+H248</f>
        <v>1.25</v>
      </c>
      <c r="D248" s="1349"/>
      <c r="E248" s="1463" t="s">
        <v>0</v>
      </c>
      <c r="F248" s="1350">
        <v>1</v>
      </c>
      <c r="G248" s="1464">
        <f>$O$66</f>
        <v>0.25</v>
      </c>
      <c r="H248" s="1368">
        <f>$P$66</f>
        <v>0.25</v>
      </c>
      <c r="I248" s="2361">
        <f>SUMIFS(ARBETSBLAD!I139:I153,ARBETSBLAD!$E139:$E153,$E248,ARBETSBLAD!$G139:$G153,$G248)*I$57+0.7*I261+0.33*I262</f>
        <v>0</v>
      </c>
      <c r="J248" s="2361">
        <f>SUMIFS(ARBETSBLAD!J139:J153,ARBETSBLAD!$E139:$E153,$E248,ARBETSBLAD!$G139:$G153,$G248)*J$57+0.7*J261+0.33*J262</f>
        <v>0</v>
      </c>
      <c r="K248" s="2361">
        <f>SUMIFS(ARBETSBLAD!K139:K153,ARBETSBLAD!$E139:$E153,$E248,ARBETSBLAD!$G139:$G153,$G248)*K$57+0.7*K261+0.33*K262</f>
        <v>0</v>
      </c>
      <c r="L248" s="2361">
        <f>SUMIFS(ARBETSBLAD!L139:L153,ARBETSBLAD!$E139:$E153,$E248,ARBETSBLAD!$G139:$G153,$G248)*L$57+0.7*L261+0.33*L262</f>
        <v>0</v>
      </c>
      <c r="M248" s="2361">
        <f>SUMIFS(ARBETSBLAD!M139:M153,ARBETSBLAD!$E139:$E153,$E248,ARBETSBLAD!$G139:$G153,$G248)*M$57+0.7*M261+0.33*M262</f>
        <v>0</v>
      </c>
      <c r="N248" s="2361">
        <f>SUMIFS(ARBETSBLAD!N139:N153,ARBETSBLAD!$E139:$E153,$E248,ARBETSBLAD!$G139:$G153,$G248)*N$57+0.7*N261+0.33*N262</f>
        <v>0</v>
      </c>
      <c r="O248" s="2361">
        <f>SUMIFS(ARBETSBLAD!O139:O153,ARBETSBLAD!$E139:$E153,$E248,ARBETSBLAD!$G139:$G153,$G248)*O$57+0.7*O261+0.33*O262</f>
        <v>0</v>
      </c>
      <c r="P248" s="2361">
        <f>SUMIFS(ARBETSBLAD!P139:P153,ARBETSBLAD!$E139:$E153,$E248,ARBETSBLAD!$G139:$G153,$G248)*P$57+0.7*P261+0.33*P262</f>
        <v>0</v>
      </c>
      <c r="Q248" s="2361">
        <f>SUMIFS(ARBETSBLAD!Q139:Q153,ARBETSBLAD!$E139:$E153,$E248,ARBETSBLAD!$G139:$G153,$G248)*Q$57+0.7*Q261+0.33*Q262</f>
        <v>0</v>
      </c>
      <c r="R248" s="2361">
        <f>SUMIFS(ARBETSBLAD!R139:R153,ARBETSBLAD!$E139:$E153,$E248,ARBETSBLAD!$G139:$G153,$G248)*R$57+0.7*R261+0.33*R262</f>
        <v>0</v>
      </c>
      <c r="S248" s="2361">
        <f>SUMIFS(ARBETSBLAD!S139:S153,ARBETSBLAD!$E139:$E153,$E248,ARBETSBLAD!$G139:$G153,$G248)*S$57+0.7*S261+0.33*S262</f>
        <v>0</v>
      </c>
      <c r="T248" s="2361">
        <f>SUMIFS(ARBETSBLAD!T139:T153,ARBETSBLAD!$E139:$E153,$E248,ARBETSBLAD!$G139:$G153,$G248)*T$57+0.7*T261+0.33*T262</f>
        <v>0</v>
      </c>
      <c r="U248" s="2361">
        <f>SUMIFS(ARBETSBLAD!U139:U153,ARBETSBLAD!$E139:$E153,$E248,ARBETSBLAD!$G139:$G153,$G248)*U$57+0.7*U261+0.33*U262</f>
        <v>0</v>
      </c>
      <c r="V248" s="2361">
        <f>SUMIFS(ARBETSBLAD!V139:V153,ARBETSBLAD!$E139:$E153,$E248,ARBETSBLAD!$G139:$G153,$G248)*V$57+0.7*V261+0.33*V262</f>
        <v>0</v>
      </c>
      <c r="W248" s="2361">
        <f>SUMIFS(ARBETSBLAD!W139:W153,ARBETSBLAD!$E139:$E153,$E248,ARBETSBLAD!$G139:$G153,$G248)*W$57+0.7*W261+0.33*W262</f>
        <v>0</v>
      </c>
      <c r="X248" s="2361">
        <f>SUMIFS(ARBETSBLAD!X139:X153,ARBETSBLAD!$E139:$E153,$E248,ARBETSBLAD!$G139:$G153,$G248)*X$57+0.7*X261+0.33*X262</f>
        <v>0</v>
      </c>
      <c r="Y248" s="2361">
        <f>SUMIFS(ARBETSBLAD!Y139:Y153,ARBETSBLAD!$E139:$E153,$E248,ARBETSBLAD!$G139:$G153,$G248)*Y$57+0.7*Y261+0.33*Y262</f>
        <v>0</v>
      </c>
      <c r="Z248" s="2361">
        <f>SUMIFS(ARBETSBLAD!Z139:Z153,ARBETSBLAD!$E139:$E153,$E248,ARBETSBLAD!$G139:$G153,$G248)*Z$57+0.7*Z261+0.33*Z262</f>
        <v>0</v>
      </c>
      <c r="AA248" s="2361">
        <f>SUMIFS(ARBETSBLAD!AA139:AA153,ARBETSBLAD!$E139:$E153,$E248,ARBETSBLAD!$G139:$G153,$G248)*AA$57+0.7*AA261+0.33*AA262</f>
        <v>0</v>
      </c>
      <c r="AB248" s="2361">
        <f>SUMIFS(ARBETSBLAD!AB139:AB153,ARBETSBLAD!$E139:$E153,$E248,ARBETSBLAD!$G139:$G153,$G248)*AB$57+0.7*AB261+0.33*AB262</f>
        <v>0</v>
      </c>
      <c r="AC248" s="2361">
        <f>SUMIFS(ARBETSBLAD!AC139:AC153,ARBETSBLAD!$E139:$E153,$E248,ARBETSBLAD!$G139:$G153,$G248)*AC$57+0.7*AC261+0.33*AC262</f>
        <v>0</v>
      </c>
      <c r="AD248" s="2361">
        <f>SUMIFS(ARBETSBLAD!AD139:AD153,ARBETSBLAD!$E139:$E153,$E248,ARBETSBLAD!$G139:$G153,$G248)*AD$57+0.7*AD261+0.33*AD262</f>
        <v>0</v>
      </c>
      <c r="AE248" s="2361">
        <f>SUMIFS(ARBETSBLAD!AE139:AE153,ARBETSBLAD!$E139:$E153,$E248,ARBETSBLAD!$G139:$G153,$G248)*AE$57+0.7*AE261+0.33*AE262</f>
        <v>0</v>
      </c>
      <c r="AF248" s="2361">
        <f>SUMIFS(ARBETSBLAD!AF139:AF153,ARBETSBLAD!$E139:$E153,$E248,ARBETSBLAD!$G139:$G153,$G248)*AF$57+0.7*AF261+0.33*AF262</f>
        <v>0</v>
      </c>
      <c r="AG248" s="1349"/>
      <c r="AH248" s="1354">
        <f t="shared" si="52"/>
        <v>0</v>
      </c>
      <c r="AI248" s="1355"/>
      <c r="AJ248" s="1354">
        <f t="shared" si="53"/>
        <v>0</v>
      </c>
      <c r="AL248" s="1356"/>
      <c r="AM248" s="1357"/>
      <c r="AN248" s="1437"/>
    </row>
    <row r="249" spans="1:40" s="115" customFormat="1" ht="12" hidden="1" customHeight="1">
      <c r="A249" s="1270"/>
      <c r="B249" s="1317"/>
      <c r="C249" s="1361">
        <f t="shared" si="54"/>
        <v>300.25</v>
      </c>
      <c r="D249" s="1349"/>
      <c r="E249" s="1463" t="s">
        <v>1</v>
      </c>
      <c r="F249" s="1350">
        <v>300</v>
      </c>
      <c r="G249" s="1464">
        <f>$O$66</f>
        <v>0.25</v>
      </c>
      <c r="H249" s="1368">
        <f>$P$66</f>
        <v>0.25</v>
      </c>
      <c r="I249" s="2361">
        <f>SUMIFS(ARBETSBLAD!I139:I153,ARBETSBLAD!$E139:$E153,$E249,ARBETSBLAD!$G139:$G153,$G249)*I$57+0.3*I261+0.67*I262+0.567*I263</f>
        <v>0</v>
      </c>
      <c r="J249" s="2361">
        <f>SUMIFS(ARBETSBLAD!J139:J153,ARBETSBLAD!$E139:$E153,$E249,ARBETSBLAD!$G139:$G153,$G249)*J$57+0.3*J261+0.67*J262+0.567*J263</f>
        <v>0</v>
      </c>
      <c r="K249" s="2361">
        <f>SUMIFS(ARBETSBLAD!K139:K153,ARBETSBLAD!$E139:$E153,$E249,ARBETSBLAD!$G139:$G153,$G249)*K$57+0.3*K261+0.67*K262+0.567*K263</f>
        <v>0</v>
      </c>
      <c r="L249" s="2361">
        <f>SUMIFS(ARBETSBLAD!L139:L153,ARBETSBLAD!$E139:$E153,$E249,ARBETSBLAD!$G139:$G153,$G249)*L$57+0.3*L261+0.67*L262+0.567*L263</f>
        <v>0</v>
      </c>
      <c r="M249" s="2361">
        <f>SUMIFS(ARBETSBLAD!M139:M153,ARBETSBLAD!$E139:$E153,$E249,ARBETSBLAD!$G139:$G153,$G249)*M$57+0.3*M261+0.67*M262+0.567*M263</f>
        <v>0</v>
      </c>
      <c r="N249" s="2361">
        <f>SUMIFS(ARBETSBLAD!N139:N153,ARBETSBLAD!$E139:$E153,$E249,ARBETSBLAD!$G139:$G153,$G249)*N$57+0.3*N261+0.67*N262+0.567*N263</f>
        <v>0</v>
      </c>
      <c r="O249" s="2361">
        <f>SUMIFS(ARBETSBLAD!O139:O153,ARBETSBLAD!$E139:$E153,$E249,ARBETSBLAD!$G139:$G153,$G249)*O$57+0.3*O261+0.67*O262+0.567*O263</f>
        <v>0</v>
      </c>
      <c r="P249" s="2361">
        <f>SUMIFS(ARBETSBLAD!P139:P153,ARBETSBLAD!$E139:$E153,$E249,ARBETSBLAD!$G139:$G153,$G249)*P$57+0.3*P261+0.67*P262+0.567*P263</f>
        <v>0</v>
      </c>
      <c r="Q249" s="2361">
        <f>SUMIFS(ARBETSBLAD!Q139:Q153,ARBETSBLAD!$E139:$E153,$E249,ARBETSBLAD!$G139:$G153,$G249)*Q$57+0.3*Q261+0.67*Q262+0.567*Q263</f>
        <v>0</v>
      </c>
      <c r="R249" s="2361">
        <f>SUMIFS(ARBETSBLAD!R139:R153,ARBETSBLAD!$E139:$E153,$E249,ARBETSBLAD!$G139:$G153,$G249)*R$57+0.3*R261+0.67*R262+0.567*R263</f>
        <v>0</v>
      </c>
      <c r="S249" s="2361">
        <f>SUMIFS(ARBETSBLAD!S139:S153,ARBETSBLAD!$E139:$E153,$E249,ARBETSBLAD!$G139:$G153,$G249)*S$57+0.3*S261+0.67*S262+0.567*S263</f>
        <v>0</v>
      </c>
      <c r="T249" s="2361">
        <f>SUMIFS(ARBETSBLAD!T139:T153,ARBETSBLAD!$E139:$E153,$E249,ARBETSBLAD!$G139:$G153,$G249)*T$57+0.3*T261+0.67*T262+0.567*T263</f>
        <v>0</v>
      </c>
      <c r="U249" s="2361">
        <f>SUMIFS(ARBETSBLAD!U139:U153,ARBETSBLAD!$E139:$E153,$E249,ARBETSBLAD!$G139:$G153,$G249)*U$57+0.3*U261+0.67*U262+0.567*U263</f>
        <v>0</v>
      </c>
      <c r="V249" s="2361">
        <f>SUMIFS(ARBETSBLAD!V139:V153,ARBETSBLAD!$E139:$E153,$E249,ARBETSBLAD!$G139:$G153,$G249)*V$57+0.3*V261+0.67*V262+0.567*V263</f>
        <v>0</v>
      </c>
      <c r="W249" s="2361">
        <f>SUMIFS(ARBETSBLAD!W139:W153,ARBETSBLAD!$E139:$E153,$E249,ARBETSBLAD!$G139:$G153,$G249)*W$57+0.3*W261+0.67*W262+0.567*W263</f>
        <v>0</v>
      </c>
      <c r="X249" s="2361">
        <f>SUMIFS(ARBETSBLAD!X139:X153,ARBETSBLAD!$E139:$E153,$E249,ARBETSBLAD!$G139:$G153,$G249)*X$57+0.3*X261+0.67*X262+0.567*X263</f>
        <v>0</v>
      </c>
      <c r="Y249" s="2361">
        <f>SUMIFS(ARBETSBLAD!Y139:Y153,ARBETSBLAD!$E139:$E153,$E249,ARBETSBLAD!$G139:$G153,$G249)*Y$57+0.3*Y261+0.67*Y262+0.567*Y263</f>
        <v>0</v>
      </c>
      <c r="Z249" s="2361">
        <f>SUMIFS(ARBETSBLAD!Z139:Z153,ARBETSBLAD!$E139:$E153,$E249,ARBETSBLAD!$G139:$G153,$G249)*Z$57+0.3*Z261+0.67*Z262+0.567*Z263</f>
        <v>0</v>
      </c>
      <c r="AA249" s="2361">
        <f>SUMIFS(ARBETSBLAD!AA139:AA153,ARBETSBLAD!$E139:$E153,$E249,ARBETSBLAD!$G139:$G153,$G249)*AA$57+0.3*AA261+0.67*AA262+0.567*AA263</f>
        <v>0</v>
      </c>
      <c r="AB249" s="2361">
        <f>SUMIFS(ARBETSBLAD!AB139:AB153,ARBETSBLAD!$E139:$E153,$E249,ARBETSBLAD!$G139:$G153,$G249)*AB$57+0.3*AB261+0.67*AB262+0.567*AB263</f>
        <v>0</v>
      </c>
      <c r="AC249" s="2361">
        <f>SUMIFS(ARBETSBLAD!AC139:AC153,ARBETSBLAD!$E139:$E153,$E249,ARBETSBLAD!$G139:$G153,$G249)*AC$57+0.3*AC261+0.67*AC262+0.567*AC263</f>
        <v>0</v>
      </c>
      <c r="AD249" s="2361">
        <f>SUMIFS(ARBETSBLAD!AD139:AD153,ARBETSBLAD!$E139:$E153,$E249,ARBETSBLAD!$G139:$G153,$G249)*AD$57+0.3*AD261+0.67*AD262+0.567*AD263</f>
        <v>0</v>
      </c>
      <c r="AE249" s="2361">
        <f>SUMIFS(ARBETSBLAD!AE139:AE153,ARBETSBLAD!$E139:$E153,$E249,ARBETSBLAD!$G139:$G153,$G249)*AE$57+0.3*AE261+0.67*AE262+0.567*AE263</f>
        <v>0</v>
      </c>
      <c r="AF249" s="2361">
        <f>SUMIFS(ARBETSBLAD!AF139:AF153,ARBETSBLAD!$E139:$E153,$E249,ARBETSBLAD!$G139:$G153,$G249)*AF$57+0.3*AF261+0.67*AF262+0.567*AF263</f>
        <v>0</v>
      </c>
      <c r="AG249" s="1349"/>
      <c r="AH249" s="1354">
        <f t="shared" si="52"/>
        <v>0</v>
      </c>
      <c r="AI249" s="1355"/>
      <c r="AJ249" s="1354">
        <f t="shared" si="53"/>
        <v>0</v>
      </c>
      <c r="AL249" s="1356"/>
      <c r="AM249" s="1357"/>
      <c r="AN249" s="1437"/>
    </row>
    <row r="250" spans="1:40" s="115" customFormat="1" ht="12" hidden="1" customHeight="1">
      <c r="A250" s="1270"/>
      <c r="B250" s="1317"/>
      <c r="C250" s="1361">
        <f t="shared" si="54"/>
        <v>600.25</v>
      </c>
      <c r="D250" s="1349"/>
      <c r="E250" s="1463" t="s">
        <v>2</v>
      </c>
      <c r="F250" s="1350">
        <v>600</v>
      </c>
      <c r="G250" s="1464">
        <f>$O$66</f>
        <v>0.25</v>
      </c>
      <c r="H250" s="1368">
        <f>$P$66</f>
        <v>0.25</v>
      </c>
      <c r="I250" s="2361">
        <f>SUMIFS(ARBETSBLAD!I139:I153,ARBETSBLAD!$E139:$E153,$E250,ARBETSBLAD!$G139:$G153,$G250)*I$57+0.433*I263</f>
        <v>0</v>
      </c>
      <c r="J250" s="2361">
        <f>SUMIFS(ARBETSBLAD!J139:J153,ARBETSBLAD!$E139:$E153,$E250,ARBETSBLAD!$G139:$G153,$G250)*J$57+0.433*J263</f>
        <v>0</v>
      </c>
      <c r="K250" s="2361">
        <f>SUMIFS(ARBETSBLAD!K139:K153,ARBETSBLAD!$E139:$E153,$E250,ARBETSBLAD!$G139:$G153,$G250)*K$57+0.433*K263</f>
        <v>0</v>
      </c>
      <c r="L250" s="2361">
        <f>SUMIFS(ARBETSBLAD!L139:L153,ARBETSBLAD!$E139:$E153,$E250,ARBETSBLAD!$G139:$G153,$G250)*L$57+0.433*L263</f>
        <v>0</v>
      </c>
      <c r="M250" s="2361">
        <f>SUMIFS(ARBETSBLAD!M139:M153,ARBETSBLAD!$E139:$E153,$E250,ARBETSBLAD!$G139:$G153,$G250)*M$57+0.433*M263</f>
        <v>0</v>
      </c>
      <c r="N250" s="2361">
        <f>SUMIFS(ARBETSBLAD!N139:N153,ARBETSBLAD!$E139:$E153,$E250,ARBETSBLAD!$G139:$G153,$G250)*N$57+0.433*N263</f>
        <v>0</v>
      </c>
      <c r="O250" s="2361">
        <f>SUMIFS(ARBETSBLAD!O139:O153,ARBETSBLAD!$E139:$E153,$E250,ARBETSBLAD!$G139:$G153,$G250)*O$57+0.433*O263</f>
        <v>0</v>
      </c>
      <c r="P250" s="2361">
        <f>SUMIFS(ARBETSBLAD!P139:P153,ARBETSBLAD!$E139:$E153,$E250,ARBETSBLAD!$G139:$G153,$G250)*P$57+0.433*P263</f>
        <v>0</v>
      </c>
      <c r="Q250" s="2361">
        <f>SUMIFS(ARBETSBLAD!Q139:Q153,ARBETSBLAD!$E139:$E153,$E250,ARBETSBLAD!$G139:$G153,$G250)*Q$57+0.433*Q263</f>
        <v>0</v>
      </c>
      <c r="R250" s="2361">
        <f>SUMIFS(ARBETSBLAD!R139:R153,ARBETSBLAD!$E139:$E153,$E250,ARBETSBLAD!$G139:$G153,$G250)*R$57+0.433*R263</f>
        <v>0</v>
      </c>
      <c r="S250" s="2361">
        <f>SUMIFS(ARBETSBLAD!S139:S153,ARBETSBLAD!$E139:$E153,$E250,ARBETSBLAD!$G139:$G153,$G250)*S$57+0.433*S263</f>
        <v>0</v>
      </c>
      <c r="T250" s="2361">
        <f>SUMIFS(ARBETSBLAD!T139:T153,ARBETSBLAD!$E139:$E153,$E250,ARBETSBLAD!$G139:$G153,$G250)*T$57+0.433*T263</f>
        <v>0</v>
      </c>
      <c r="U250" s="2361">
        <f>SUMIFS(ARBETSBLAD!U139:U153,ARBETSBLAD!$E139:$E153,$E250,ARBETSBLAD!$G139:$G153,$G250)*U$57+0.433*U263</f>
        <v>0</v>
      </c>
      <c r="V250" s="2361">
        <f>SUMIFS(ARBETSBLAD!V139:V153,ARBETSBLAD!$E139:$E153,$E250,ARBETSBLAD!$G139:$G153,$G250)*V$57+0.433*V263</f>
        <v>0</v>
      </c>
      <c r="W250" s="2361">
        <f>SUMIFS(ARBETSBLAD!W139:W153,ARBETSBLAD!$E139:$E153,$E250,ARBETSBLAD!$G139:$G153,$G250)*W$57+0.433*W263</f>
        <v>0</v>
      </c>
      <c r="X250" s="2361">
        <f>SUMIFS(ARBETSBLAD!X139:X153,ARBETSBLAD!$E139:$E153,$E250,ARBETSBLAD!$G139:$G153,$G250)*X$57+0.433*X263</f>
        <v>0</v>
      </c>
      <c r="Y250" s="2361">
        <f>SUMIFS(ARBETSBLAD!Y139:Y153,ARBETSBLAD!$E139:$E153,$E250,ARBETSBLAD!$G139:$G153,$G250)*Y$57+0.433*Y263</f>
        <v>0</v>
      </c>
      <c r="Z250" s="2361">
        <f>SUMIFS(ARBETSBLAD!Z139:Z153,ARBETSBLAD!$E139:$E153,$E250,ARBETSBLAD!$G139:$G153,$G250)*Z$57+0.433*Z263</f>
        <v>0</v>
      </c>
      <c r="AA250" s="2361">
        <f>SUMIFS(ARBETSBLAD!AA139:AA153,ARBETSBLAD!$E139:$E153,$E250,ARBETSBLAD!$G139:$G153,$G250)*AA$57+0.433*AA263</f>
        <v>0</v>
      </c>
      <c r="AB250" s="2361">
        <f>SUMIFS(ARBETSBLAD!AB139:AB153,ARBETSBLAD!$E139:$E153,$E250,ARBETSBLAD!$G139:$G153,$G250)*AB$57+0.433*AB263</f>
        <v>0</v>
      </c>
      <c r="AC250" s="2361">
        <f>SUMIFS(ARBETSBLAD!AC139:AC153,ARBETSBLAD!$E139:$E153,$E250,ARBETSBLAD!$G139:$G153,$G250)*AC$57+0.433*AC263</f>
        <v>0</v>
      </c>
      <c r="AD250" s="2361">
        <f>SUMIFS(ARBETSBLAD!AD139:AD153,ARBETSBLAD!$E139:$E153,$E250,ARBETSBLAD!$G139:$G153,$G250)*AD$57+0.433*AD263</f>
        <v>0</v>
      </c>
      <c r="AE250" s="2361">
        <f>SUMIFS(ARBETSBLAD!AE139:AE153,ARBETSBLAD!$E139:$E153,$E250,ARBETSBLAD!$G139:$G153,$G250)*AE$57+0.433*AE263</f>
        <v>0</v>
      </c>
      <c r="AF250" s="2361">
        <f>SUMIFS(ARBETSBLAD!AF139:AF153,ARBETSBLAD!$E139:$E153,$E250,ARBETSBLAD!$G139:$G153,$G250)*AF$57+0.433*AF263</f>
        <v>0</v>
      </c>
      <c r="AG250" s="1349"/>
      <c r="AH250" s="1354">
        <f t="shared" si="52"/>
        <v>0</v>
      </c>
      <c r="AI250" s="1355"/>
      <c r="AJ250" s="1354">
        <f t="shared" si="53"/>
        <v>0</v>
      </c>
      <c r="AL250" s="1356"/>
      <c r="AM250" s="1357"/>
      <c r="AN250" s="1437"/>
    </row>
    <row r="251" spans="1:40" s="115" customFormat="1" ht="12" hidden="1" customHeight="1">
      <c r="A251" s="1270"/>
      <c r="B251" s="1317"/>
      <c r="C251" s="1361">
        <f t="shared" si="54"/>
        <v>900.25</v>
      </c>
      <c r="D251" s="1349"/>
      <c r="E251" s="1463" t="s">
        <v>3</v>
      </c>
      <c r="F251" s="1350">
        <v>900</v>
      </c>
      <c r="G251" s="1464">
        <f>$O$66</f>
        <v>0.25</v>
      </c>
      <c r="H251" s="1368">
        <f>$P$66</f>
        <v>0.25</v>
      </c>
      <c r="I251" s="2361">
        <f>SUMIFS(ARBETSBLAD!I139:I153,ARBETSBLAD!$E139:$E153,$E251,ARBETSBLAD!$G139:$G153,$G251)*I$57</f>
        <v>0</v>
      </c>
      <c r="J251" s="2361">
        <f>SUMIFS(ARBETSBLAD!J139:J153,ARBETSBLAD!$E139:$E153,$E251,ARBETSBLAD!$G139:$G153,$G251)*J$57</f>
        <v>0</v>
      </c>
      <c r="K251" s="2361">
        <f>SUMIFS(ARBETSBLAD!K139:K153,ARBETSBLAD!$E139:$E153,$E251,ARBETSBLAD!$G139:$G153,$G251)*K$57</f>
        <v>0</v>
      </c>
      <c r="L251" s="2361">
        <f>SUMIFS(ARBETSBLAD!L139:L153,ARBETSBLAD!$E139:$E153,$E251,ARBETSBLAD!$G139:$G153,$G251)*L$57</f>
        <v>0</v>
      </c>
      <c r="M251" s="2361">
        <f>SUMIFS(ARBETSBLAD!M139:M153,ARBETSBLAD!$E139:$E153,$E251,ARBETSBLAD!$G139:$G153,$G251)*M$57</f>
        <v>0</v>
      </c>
      <c r="N251" s="2361">
        <f>SUMIFS(ARBETSBLAD!N139:N153,ARBETSBLAD!$E139:$E153,$E251,ARBETSBLAD!$G139:$G153,$G251)*N$57</f>
        <v>0</v>
      </c>
      <c r="O251" s="2361">
        <f>SUMIFS(ARBETSBLAD!O139:O153,ARBETSBLAD!$E139:$E153,$E251,ARBETSBLAD!$G139:$G153,$G251)*O$57</f>
        <v>0</v>
      </c>
      <c r="P251" s="2361">
        <f>SUMIFS(ARBETSBLAD!P139:P153,ARBETSBLAD!$E139:$E153,$E251,ARBETSBLAD!$G139:$G153,$G251)*P$57</f>
        <v>0</v>
      </c>
      <c r="Q251" s="2361">
        <f>SUMIFS(ARBETSBLAD!Q139:Q153,ARBETSBLAD!$E139:$E153,$E251,ARBETSBLAD!$G139:$G153,$G251)*Q$57</f>
        <v>0</v>
      </c>
      <c r="R251" s="2361">
        <f>SUMIFS(ARBETSBLAD!R139:R153,ARBETSBLAD!$E139:$E153,$E251,ARBETSBLAD!$G139:$G153,$G251)*R$57</f>
        <v>0</v>
      </c>
      <c r="S251" s="2361">
        <f>SUMIFS(ARBETSBLAD!S139:S153,ARBETSBLAD!$E139:$E153,$E251,ARBETSBLAD!$G139:$G153,$G251)*S$57</f>
        <v>0</v>
      </c>
      <c r="T251" s="2361">
        <f>SUMIFS(ARBETSBLAD!T139:T153,ARBETSBLAD!$E139:$E153,$E251,ARBETSBLAD!$G139:$G153,$G251)*T$57</f>
        <v>0</v>
      </c>
      <c r="U251" s="2361">
        <f>SUMIFS(ARBETSBLAD!U139:U153,ARBETSBLAD!$E139:$E153,$E251,ARBETSBLAD!$G139:$G153,$G251)*U$57</f>
        <v>0</v>
      </c>
      <c r="V251" s="2361">
        <f>SUMIFS(ARBETSBLAD!V139:V153,ARBETSBLAD!$E139:$E153,$E251,ARBETSBLAD!$G139:$G153,$G251)*V$57</f>
        <v>0</v>
      </c>
      <c r="W251" s="2361">
        <f>SUMIFS(ARBETSBLAD!W139:W153,ARBETSBLAD!$E139:$E153,$E251,ARBETSBLAD!$G139:$G153,$G251)*W$57</f>
        <v>0</v>
      </c>
      <c r="X251" s="2361">
        <f>SUMIFS(ARBETSBLAD!X139:X153,ARBETSBLAD!$E139:$E153,$E251,ARBETSBLAD!$G139:$G153,$G251)*X$57</f>
        <v>0</v>
      </c>
      <c r="Y251" s="2361">
        <f>SUMIFS(ARBETSBLAD!Y139:Y153,ARBETSBLAD!$E139:$E153,$E251,ARBETSBLAD!$G139:$G153,$G251)*Y$57</f>
        <v>0</v>
      </c>
      <c r="Z251" s="2361">
        <f>SUMIFS(ARBETSBLAD!Z139:Z153,ARBETSBLAD!$E139:$E153,$E251,ARBETSBLAD!$G139:$G153,$G251)*Z$57</f>
        <v>0</v>
      </c>
      <c r="AA251" s="2361">
        <f>SUMIFS(ARBETSBLAD!AA139:AA153,ARBETSBLAD!$E139:$E153,$E251,ARBETSBLAD!$G139:$G153,$G251)*AA$57</f>
        <v>0</v>
      </c>
      <c r="AB251" s="2361">
        <f>SUMIFS(ARBETSBLAD!AB139:AB153,ARBETSBLAD!$E139:$E153,$E251,ARBETSBLAD!$G139:$G153,$G251)*AB$57</f>
        <v>0</v>
      </c>
      <c r="AC251" s="2361">
        <f>SUMIFS(ARBETSBLAD!AC139:AC153,ARBETSBLAD!$E139:$E153,$E251,ARBETSBLAD!$G139:$G153,$G251)*AC$57</f>
        <v>0</v>
      </c>
      <c r="AD251" s="2361">
        <f>SUMIFS(ARBETSBLAD!AD139:AD153,ARBETSBLAD!$E139:$E153,$E251,ARBETSBLAD!$G139:$G153,$G251)*AD$57</f>
        <v>0</v>
      </c>
      <c r="AE251" s="2361">
        <f>SUMIFS(ARBETSBLAD!AE139:AE153,ARBETSBLAD!$E139:$E153,$E251,ARBETSBLAD!$G139:$G153,$G251)*AE$57</f>
        <v>0</v>
      </c>
      <c r="AF251" s="2361">
        <f>SUMIFS(ARBETSBLAD!AF139:AF153,ARBETSBLAD!$E139:$E153,$E251,ARBETSBLAD!$G139:$G153,$G251)*AF$57</f>
        <v>0</v>
      </c>
      <c r="AG251" s="1349"/>
      <c r="AH251" s="1354">
        <f t="shared" si="52"/>
        <v>0</v>
      </c>
      <c r="AI251" s="1355"/>
      <c r="AJ251" s="1354">
        <f t="shared" si="53"/>
        <v>0</v>
      </c>
      <c r="AL251" s="1356"/>
      <c r="AM251" s="1357"/>
      <c r="AN251" s="1437"/>
    </row>
    <row r="252" spans="1:40" s="115" customFormat="1" ht="12" hidden="1" customHeight="1">
      <c r="A252" s="1270"/>
      <c r="B252" s="1363" t="s">
        <v>908</v>
      </c>
      <c r="C252" s="1364">
        <f t="shared" si="54"/>
        <v>100.001</v>
      </c>
      <c r="D252" s="1365"/>
      <c r="E252" s="1465" t="s">
        <v>907</v>
      </c>
      <c r="F252" s="1350">
        <v>100</v>
      </c>
      <c r="G252" s="1466">
        <f>ARBETSBLAD!G315</f>
        <v>9.9999999999999995E-7</v>
      </c>
      <c r="H252" s="1368">
        <v>1E-3</v>
      </c>
      <c r="I252" s="1467">
        <f>SUMIFS(ARBETSBLAD!I$139:I$153,ARBETSBLAD!$E$139:$E$153,$E252,ARBETSBLAD!$G$139:$G$153,$G252)*I$57</f>
        <v>0</v>
      </c>
      <c r="J252" s="1467">
        <f>SUMIFS(ARBETSBLAD!J139:J153,ARBETSBLAD!$E139:$E153,$E252,ARBETSBLAD!$G139:$G153,$G252)*J$57</f>
        <v>0</v>
      </c>
      <c r="K252" s="1467">
        <f>SUMIFS(ARBETSBLAD!K139:K153,ARBETSBLAD!$E139:$E153,$E252,ARBETSBLAD!$G139:$G153,$G252)*K$57</f>
        <v>0</v>
      </c>
      <c r="L252" s="1467">
        <f>SUMIFS(ARBETSBLAD!L139:L153,ARBETSBLAD!$E139:$E153,$E252,ARBETSBLAD!$G139:$G153,$G252)*L$57</f>
        <v>0</v>
      </c>
      <c r="M252" s="1467">
        <f>SUMIFS(ARBETSBLAD!M139:M153,ARBETSBLAD!$E139:$E153,$E252,ARBETSBLAD!$G139:$G153,$G252)*M$57</f>
        <v>0</v>
      </c>
      <c r="N252" s="1467">
        <f>SUMIFS(ARBETSBLAD!N139:N153,ARBETSBLAD!$E139:$E153,$E252,ARBETSBLAD!$G139:$G153,$G252)*N$57</f>
        <v>0</v>
      </c>
      <c r="O252" s="1467">
        <f>SUMIFS(ARBETSBLAD!O139:O153,ARBETSBLAD!$E139:$E153,$E252,ARBETSBLAD!$G139:$G153,$G252)*O$57</f>
        <v>0</v>
      </c>
      <c r="P252" s="1467">
        <f>SUMIFS(ARBETSBLAD!P139:P153,ARBETSBLAD!$E139:$E153,$E252,ARBETSBLAD!$G139:$G153,$G252)*P$57</f>
        <v>0</v>
      </c>
      <c r="Q252" s="1467">
        <f>SUMIFS(ARBETSBLAD!Q139:Q153,ARBETSBLAD!$E139:$E153,$E252,ARBETSBLAD!$G139:$G153,$G252)*Q$57</f>
        <v>0</v>
      </c>
      <c r="R252" s="1467">
        <f>SUMIFS(ARBETSBLAD!R139:R153,ARBETSBLAD!$E139:$E153,$E252,ARBETSBLAD!$G139:$G153,$G252)*R$57</f>
        <v>0</v>
      </c>
      <c r="S252" s="1467">
        <f>SUMIFS(ARBETSBLAD!S139:S153,ARBETSBLAD!$E139:$E153,$E252,ARBETSBLAD!$G139:$G153,$G252)*S$57</f>
        <v>0</v>
      </c>
      <c r="T252" s="1467">
        <f>SUMIFS(ARBETSBLAD!T139:T153,ARBETSBLAD!$E139:$E153,$E252,ARBETSBLAD!$G139:$G153,$G252)*T$57</f>
        <v>0</v>
      </c>
      <c r="U252" s="1467">
        <f>SUMIFS(ARBETSBLAD!U139:U153,ARBETSBLAD!$E139:$E153,$E252,ARBETSBLAD!$G139:$G153,$G252)*U$57</f>
        <v>0</v>
      </c>
      <c r="V252" s="1467">
        <f>SUMIFS(ARBETSBLAD!V139:V153,ARBETSBLAD!$E139:$E153,$E252,ARBETSBLAD!$G139:$G153,$G252)*V$57</f>
        <v>0</v>
      </c>
      <c r="W252" s="1467">
        <f>SUMIFS(ARBETSBLAD!W139:W153,ARBETSBLAD!$E139:$E153,$E252,ARBETSBLAD!$G139:$G153,$G252)*W$57</f>
        <v>0</v>
      </c>
      <c r="X252" s="1467">
        <f>SUMIFS(ARBETSBLAD!X139:X153,ARBETSBLAD!$E139:$E153,$E252,ARBETSBLAD!$G139:$G153,$G252)*X$57</f>
        <v>0</v>
      </c>
      <c r="Y252" s="1467">
        <f>SUMIFS(ARBETSBLAD!Y139:Y153,ARBETSBLAD!$E139:$E153,$E252,ARBETSBLAD!$G139:$G153,$G252)*Y$57</f>
        <v>0</v>
      </c>
      <c r="Z252" s="1467">
        <f>SUMIFS(ARBETSBLAD!Z139:Z153,ARBETSBLAD!$E139:$E153,$E252,ARBETSBLAD!$G139:$G153,$G252)*Z$57</f>
        <v>0</v>
      </c>
      <c r="AA252" s="1467">
        <f>SUMIFS(ARBETSBLAD!AA139:AA153,ARBETSBLAD!$E139:$E153,$E252,ARBETSBLAD!$G139:$G153,$G252)*AA$57</f>
        <v>0</v>
      </c>
      <c r="AB252" s="1467">
        <f>SUMIFS(ARBETSBLAD!AB139:AB153,ARBETSBLAD!$E139:$E153,$E252,ARBETSBLAD!$G139:$G153,$G252)*AB$57</f>
        <v>0</v>
      </c>
      <c r="AC252" s="1467">
        <f>SUMIFS(ARBETSBLAD!AC139:AC153,ARBETSBLAD!$E139:$E153,$E252,ARBETSBLAD!$G139:$G153,$G252)*AC$57</f>
        <v>0</v>
      </c>
      <c r="AD252" s="1467">
        <f>SUMIFS(ARBETSBLAD!AD139:AD153,ARBETSBLAD!$E139:$E153,$E252,ARBETSBLAD!$G139:$G153,$G252)*AD$57</f>
        <v>0</v>
      </c>
      <c r="AE252" s="1467">
        <f>SUMIFS(ARBETSBLAD!AE139:AE153,ARBETSBLAD!$E139:$E153,$E252,ARBETSBLAD!$G139:$G153,$G252)*AE$57</f>
        <v>0</v>
      </c>
      <c r="AF252" s="1467">
        <f>SUMIFS(ARBETSBLAD!AF139:AF153,ARBETSBLAD!$E139:$E153,$E252,ARBETSBLAD!$G139:$G153,$G252)*AF$57</f>
        <v>0</v>
      </c>
      <c r="AG252" s="1444"/>
      <c r="AH252" s="1354"/>
      <c r="AI252" s="1355"/>
      <c r="AJ252" s="1354"/>
      <c r="AL252" s="1356"/>
      <c r="AM252" s="1357"/>
      <c r="AN252" s="1437"/>
    </row>
    <row r="253" spans="1:40" s="115" customFormat="1" ht="12" hidden="1" customHeight="1">
      <c r="A253" s="1270"/>
      <c r="B253" s="1363" t="s">
        <v>909</v>
      </c>
      <c r="C253" s="1364">
        <f t="shared" si="54"/>
        <v>200.001</v>
      </c>
      <c r="D253" s="1365"/>
      <c r="E253" s="1465" t="s">
        <v>912</v>
      </c>
      <c r="F253" s="1350">
        <v>200</v>
      </c>
      <c r="G253" s="1466">
        <f>ARBETSBLAD!G315</f>
        <v>9.9999999999999995E-7</v>
      </c>
      <c r="H253" s="1368">
        <v>1E-3</v>
      </c>
      <c r="I253" s="1467">
        <f>SUMIFS(ARBETSBLAD!I$139:I$153,ARBETSBLAD!$E$139:$E$153,$E253,ARBETSBLAD!$G$139:$G$153,$G253)*I$57</f>
        <v>0</v>
      </c>
      <c r="J253" s="1467">
        <f>SUMIFS(ARBETSBLAD!J$139:J$153,ARBETSBLAD!$E$139:$E$153,$E253,ARBETSBLAD!$G$139:$G$153,$G253)*J$57</f>
        <v>0</v>
      </c>
      <c r="K253" s="1467">
        <f>SUMIFS(ARBETSBLAD!K$139:K$153,ARBETSBLAD!$E$139:$E$153,$E253,ARBETSBLAD!$G$139:$G$153,$G253)*K$57</f>
        <v>0</v>
      </c>
      <c r="L253" s="1467">
        <f>SUMIFS(ARBETSBLAD!L$139:L$153,ARBETSBLAD!$E$139:$E$153,$E253,ARBETSBLAD!$G$139:$G$153,$G253)*L$57</f>
        <v>0</v>
      </c>
      <c r="M253" s="1467">
        <f>SUMIFS(ARBETSBLAD!M$139:M$153,ARBETSBLAD!$E$139:$E$153,$E253,ARBETSBLAD!$G$139:$G$153,$G253)*M$57</f>
        <v>0</v>
      </c>
      <c r="N253" s="1467">
        <f>SUMIFS(ARBETSBLAD!N$139:N$153,ARBETSBLAD!$E$139:$E$153,$E253,ARBETSBLAD!$G$139:$G$153,$G253)*N$57</f>
        <v>0</v>
      </c>
      <c r="O253" s="1467">
        <f>SUMIFS(ARBETSBLAD!O$139:O$153,ARBETSBLAD!$E$139:$E$153,$E253,ARBETSBLAD!$G$139:$G$153,$G253)*O$57</f>
        <v>0</v>
      </c>
      <c r="P253" s="1467">
        <f>SUMIFS(ARBETSBLAD!P$139:P$153,ARBETSBLAD!$E$139:$E$153,$E253,ARBETSBLAD!$G$139:$G$153,$G253)*P$57</f>
        <v>0</v>
      </c>
      <c r="Q253" s="1467">
        <f>SUMIFS(ARBETSBLAD!Q$139:Q$153,ARBETSBLAD!$E$139:$E$153,$E253,ARBETSBLAD!$G$139:$G$153,$G253)*Q$57</f>
        <v>0</v>
      </c>
      <c r="R253" s="1467">
        <f>SUMIFS(ARBETSBLAD!R$139:R$153,ARBETSBLAD!$E$139:$E$153,$E253,ARBETSBLAD!$G$139:$G$153,$G253)*R$57</f>
        <v>0</v>
      </c>
      <c r="S253" s="1467">
        <f>SUMIFS(ARBETSBLAD!S$139:S$153,ARBETSBLAD!$E$139:$E$153,$E253,ARBETSBLAD!$G$139:$G$153,$G253)*S$57</f>
        <v>0</v>
      </c>
      <c r="T253" s="1467">
        <f>SUMIFS(ARBETSBLAD!T$139:T$153,ARBETSBLAD!$E$139:$E$153,$E253,ARBETSBLAD!$G$139:$G$153,$G253)*T$57</f>
        <v>0</v>
      </c>
      <c r="U253" s="1467">
        <f>SUMIFS(ARBETSBLAD!U$139:U$153,ARBETSBLAD!$E$139:$E$153,$E253,ARBETSBLAD!$G$139:$G$153,$G253)*U$57</f>
        <v>0</v>
      </c>
      <c r="V253" s="1467">
        <f>SUMIFS(ARBETSBLAD!V$139:V$153,ARBETSBLAD!$E$139:$E$153,$E253,ARBETSBLAD!$G$139:$G$153,$G253)*V$57</f>
        <v>0</v>
      </c>
      <c r="W253" s="1467">
        <f>SUMIFS(ARBETSBLAD!W$139:W$153,ARBETSBLAD!$E$139:$E$153,$E253,ARBETSBLAD!$G$139:$G$153,$G253)*W$57</f>
        <v>0</v>
      </c>
      <c r="X253" s="1467">
        <f>SUMIFS(ARBETSBLAD!X$139:X$153,ARBETSBLAD!$E$139:$E$153,$E253,ARBETSBLAD!$G$139:$G$153,$G253)*X$57</f>
        <v>0</v>
      </c>
      <c r="Y253" s="1467">
        <f>SUMIFS(ARBETSBLAD!Y$139:Y$153,ARBETSBLAD!$E$139:$E$153,$E253,ARBETSBLAD!$G$139:$G$153,$G253)*Y$57</f>
        <v>0</v>
      </c>
      <c r="Z253" s="1467">
        <f>SUMIFS(ARBETSBLAD!Z$139:Z$153,ARBETSBLAD!$E$139:$E$153,$E253,ARBETSBLAD!$G$139:$G$153,$G253)*Z$57</f>
        <v>0</v>
      </c>
      <c r="AA253" s="1467">
        <f>SUMIFS(ARBETSBLAD!AA$139:AA$153,ARBETSBLAD!$E$139:$E$153,$E253,ARBETSBLAD!$G$139:$G$153,$G253)*AA$57</f>
        <v>0</v>
      </c>
      <c r="AB253" s="1467">
        <f>SUMIFS(ARBETSBLAD!AB$139:AB$153,ARBETSBLAD!$E$139:$E$153,$E253,ARBETSBLAD!$G$139:$G$153,$G253)*AB$57</f>
        <v>0</v>
      </c>
      <c r="AC253" s="1467">
        <f>SUMIFS(ARBETSBLAD!AC$139:AC$153,ARBETSBLAD!$E$139:$E$153,$E253,ARBETSBLAD!$G$139:$G$153,$G253)*AC$57</f>
        <v>0</v>
      </c>
      <c r="AD253" s="1467">
        <f>SUMIFS(ARBETSBLAD!AD$139:AD$153,ARBETSBLAD!$E$139:$E$153,$E253,ARBETSBLAD!$G$139:$G$153,$G253)*AD$57</f>
        <v>0</v>
      </c>
      <c r="AE253" s="1467">
        <f>SUMIFS(ARBETSBLAD!AE$139:AE$153,ARBETSBLAD!$E$139:$E$153,$E253,ARBETSBLAD!$G$139:$G$153,$G253)*AE$57</f>
        <v>0</v>
      </c>
      <c r="AF253" s="1467">
        <f>SUMIFS(ARBETSBLAD!AF$139:AF$153,ARBETSBLAD!$E$139:$E$153,$E253,ARBETSBLAD!$G$139:$G$153,$G253)*AF$57</f>
        <v>0</v>
      </c>
      <c r="AG253" s="1444"/>
      <c r="AH253" s="1354"/>
      <c r="AI253" s="1355"/>
      <c r="AJ253" s="1354"/>
      <c r="AL253" s="1356"/>
      <c r="AM253" s="1357"/>
      <c r="AN253" s="1437"/>
    </row>
    <row r="254" spans="1:40" s="115" customFormat="1" ht="12" hidden="1" customHeight="1" thickBot="1">
      <c r="A254" s="1270"/>
      <c r="B254" s="1452" t="s">
        <v>911</v>
      </c>
      <c r="C254" s="1453">
        <f t="shared" si="54"/>
        <v>450.00099999999998</v>
      </c>
      <c r="D254" s="1454"/>
      <c r="E254" s="1468" t="s">
        <v>910</v>
      </c>
      <c r="F254" s="1350">
        <v>450</v>
      </c>
      <c r="G254" s="1469">
        <f>ARBETSBLAD!G315</f>
        <v>9.9999999999999995E-7</v>
      </c>
      <c r="H254" s="1368">
        <v>1E-3</v>
      </c>
      <c r="I254" s="1467">
        <f>SUMIFS(ARBETSBLAD!I$139:I$153,ARBETSBLAD!$E$139:$E$153,$E254,ARBETSBLAD!$G$139:$G$153,$G254)*I$57</f>
        <v>0</v>
      </c>
      <c r="J254" s="1467">
        <f>SUMIFS(ARBETSBLAD!J$139:J$153,ARBETSBLAD!$E$139:$E$153,$E254,ARBETSBLAD!$G$139:$G$153,$G254)*J$57</f>
        <v>0</v>
      </c>
      <c r="K254" s="1467">
        <f>SUMIFS(ARBETSBLAD!K$139:K$153,ARBETSBLAD!$E$139:$E$153,$E254,ARBETSBLAD!$G$139:$G$153,$G254)*K$57</f>
        <v>0</v>
      </c>
      <c r="L254" s="1467">
        <f>SUMIFS(ARBETSBLAD!L$139:L$153,ARBETSBLAD!$E$139:$E$153,$E254,ARBETSBLAD!$G$139:$G$153,$G254)*L$57</f>
        <v>0</v>
      </c>
      <c r="M254" s="1467">
        <f>SUMIFS(ARBETSBLAD!M$139:M$153,ARBETSBLAD!$E$139:$E$153,$E254,ARBETSBLAD!$G$139:$G$153,$G254)*M$57</f>
        <v>0</v>
      </c>
      <c r="N254" s="1467">
        <f>SUMIFS(ARBETSBLAD!N$139:N$153,ARBETSBLAD!$E$139:$E$153,$E254,ARBETSBLAD!$G$139:$G$153,$G254)*N$57</f>
        <v>0</v>
      </c>
      <c r="O254" s="1467">
        <f>SUMIFS(ARBETSBLAD!O$139:O$153,ARBETSBLAD!$E$139:$E$153,$E254,ARBETSBLAD!$G$139:$G$153,$G254)*O$57</f>
        <v>0</v>
      </c>
      <c r="P254" s="1467">
        <f>SUMIFS(ARBETSBLAD!P$139:P$153,ARBETSBLAD!$E$139:$E$153,$E254,ARBETSBLAD!$G$139:$G$153,$G254)*P$57</f>
        <v>0</v>
      </c>
      <c r="Q254" s="1467">
        <f>SUMIFS(ARBETSBLAD!Q$139:Q$153,ARBETSBLAD!$E$139:$E$153,$E254,ARBETSBLAD!$G$139:$G$153,$G254)*Q$57</f>
        <v>0</v>
      </c>
      <c r="R254" s="1467">
        <f>SUMIFS(ARBETSBLAD!R$139:R$153,ARBETSBLAD!$E$139:$E$153,$E254,ARBETSBLAD!$G$139:$G$153,$G254)*R$57</f>
        <v>0</v>
      </c>
      <c r="S254" s="1467">
        <f>SUMIFS(ARBETSBLAD!S$139:S$153,ARBETSBLAD!$E$139:$E$153,$E254,ARBETSBLAD!$G$139:$G$153,$G254)*S$57</f>
        <v>0</v>
      </c>
      <c r="T254" s="1467">
        <f>SUMIFS(ARBETSBLAD!T$139:T$153,ARBETSBLAD!$E$139:$E$153,$E254,ARBETSBLAD!$G$139:$G$153,$G254)*T$57</f>
        <v>0</v>
      </c>
      <c r="U254" s="1467">
        <f>SUMIFS(ARBETSBLAD!U$139:U$153,ARBETSBLAD!$E$139:$E$153,$E254,ARBETSBLAD!$G$139:$G$153,$G254)*U$57</f>
        <v>0</v>
      </c>
      <c r="V254" s="1467">
        <f>SUMIFS(ARBETSBLAD!V$139:V$153,ARBETSBLAD!$E$139:$E$153,$E254,ARBETSBLAD!$G$139:$G$153,$G254)*V$57</f>
        <v>0</v>
      </c>
      <c r="W254" s="1467">
        <f>SUMIFS(ARBETSBLAD!W$139:W$153,ARBETSBLAD!$E$139:$E$153,$E254,ARBETSBLAD!$G$139:$G$153,$G254)*W$57</f>
        <v>0</v>
      </c>
      <c r="X254" s="1467">
        <f>SUMIFS(ARBETSBLAD!X$139:X$153,ARBETSBLAD!$E$139:$E$153,$E254,ARBETSBLAD!$G$139:$G$153,$G254)*X$57</f>
        <v>0</v>
      </c>
      <c r="Y254" s="1467">
        <f>SUMIFS(ARBETSBLAD!Y$139:Y$153,ARBETSBLAD!$E$139:$E$153,$E254,ARBETSBLAD!$G$139:$G$153,$G254)*Y$57</f>
        <v>0</v>
      </c>
      <c r="Z254" s="1467">
        <f>SUMIFS(ARBETSBLAD!Z$139:Z$153,ARBETSBLAD!$E$139:$E$153,$E254,ARBETSBLAD!$G$139:$G$153,$G254)*Z$57</f>
        <v>0</v>
      </c>
      <c r="AA254" s="1467">
        <f>SUMIFS(ARBETSBLAD!AA$139:AA$153,ARBETSBLAD!$E$139:$E$153,$E254,ARBETSBLAD!$G$139:$G$153,$G254)*AA$57</f>
        <v>0</v>
      </c>
      <c r="AB254" s="1467">
        <f>SUMIFS(ARBETSBLAD!AB$139:AB$153,ARBETSBLAD!$E$139:$E$153,$E254,ARBETSBLAD!$G$139:$G$153,$G254)*AB$57</f>
        <v>0</v>
      </c>
      <c r="AC254" s="1467">
        <f>SUMIFS(ARBETSBLAD!AC$139:AC$153,ARBETSBLAD!$E$139:$E$153,$E254,ARBETSBLAD!$G$139:$G$153,$G254)*AC$57</f>
        <v>0</v>
      </c>
      <c r="AD254" s="1467">
        <f>SUMIFS(ARBETSBLAD!AD$139:AD$153,ARBETSBLAD!$E$139:$E$153,$E254,ARBETSBLAD!$G$139:$G$153,$G254)*AD$57</f>
        <v>0</v>
      </c>
      <c r="AE254" s="1467">
        <f>SUMIFS(ARBETSBLAD!AE$139:AE$153,ARBETSBLAD!$E$139:$E$153,$E254,ARBETSBLAD!$G$139:$G$153,$G254)*AE$57</f>
        <v>0</v>
      </c>
      <c r="AF254" s="1467">
        <f>SUMIFS(ARBETSBLAD!AF$139:AF$153,ARBETSBLAD!$E$139:$E$153,$E254,ARBETSBLAD!$G$139:$G$153,$G254)*AF$57</f>
        <v>0</v>
      </c>
      <c r="AG254" s="1444"/>
      <c r="AH254" s="1354"/>
      <c r="AI254" s="1355"/>
      <c r="AJ254" s="1354"/>
      <c r="AL254" s="1356"/>
      <c r="AM254" s="1357"/>
      <c r="AN254" s="1437"/>
    </row>
    <row r="255" spans="1:40" s="115" customFormat="1" ht="12" hidden="1" customHeight="1">
      <c r="A255" s="1270"/>
      <c r="B255" s="1457" t="s">
        <v>908</v>
      </c>
      <c r="C255" s="1458">
        <f t="shared" si="54"/>
        <v>100.06</v>
      </c>
      <c r="D255" s="1459"/>
      <c r="E255" s="1470" t="s">
        <v>907</v>
      </c>
      <c r="F255" s="1350">
        <v>100</v>
      </c>
      <c r="G255" s="1471">
        <f>$O$64</f>
        <v>0.06</v>
      </c>
      <c r="H255" s="1368">
        <f>$P$64</f>
        <v>0.06</v>
      </c>
      <c r="I255" s="1467">
        <f>SUMIFS(ARBETSBLAD!I$139:I$153,ARBETSBLAD!$E$139:$E$153,$E255,ARBETSBLAD!$G$139:$G$153,$G255)*I$57</f>
        <v>0</v>
      </c>
      <c r="J255" s="1467">
        <f>SUMIFS(ARBETSBLAD!J$139:J$153,ARBETSBLAD!$E$139:$E$153,$E255,ARBETSBLAD!$G$139:$G$153,$G255)*J$57</f>
        <v>0</v>
      </c>
      <c r="K255" s="1467">
        <f>SUMIFS(ARBETSBLAD!K$139:K$153,ARBETSBLAD!$E$139:$E$153,$E255,ARBETSBLAD!$G$139:$G$153,$G255)*K$57</f>
        <v>0</v>
      </c>
      <c r="L255" s="1467">
        <f>SUMIFS(ARBETSBLAD!L$139:L$153,ARBETSBLAD!$E$139:$E$153,$E255,ARBETSBLAD!$G$139:$G$153,$G255)*L$57</f>
        <v>0</v>
      </c>
      <c r="M255" s="1467">
        <f>SUMIFS(ARBETSBLAD!M$139:M$153,ARBETSBLAD!$E$139:$E$153,$E255,ARBETSBLAD!$G$139:$G$153,$G255)*M$57</f>
        <v>0</v>
      </c>
      <c r="N255" s="1467">
        <f>SUMIFS(ARBETSBLAD!N$139:N$153,ARBETSBLAD!$E$139:$E$153,$E255,ARBETSBLAD!$G$139:$G$153,$G255)*N$57</f>
        <v>0</v>
      </c>
      <c r="O255" s="1467">
        <f>SUMIFS(ARBETSBLAD!O$139:O$153,ARBETSBLAD!$E$139:$E$153,$E255,ARBETSBLAD!$G$139:$G$153,$G255)*O$57</f>
        <v>0</v>
      </c>
      <c r="P255" s="1467">
        <f>SUMIFS(ARBETSBLAD!P$139:P$153,ARBETSBLAD!$E$139:$E$153,$E255,ARBETSBLAD!$G$139:$G$153,$G255)*P$57</f>
        <v>0</v>
      </c>
      <c r="Q255" s="1467">
        <f>SUMIFS(ARBETSBLAD!Q$139:Q$153,ARBETSBLAD!$E$139:$E$153,$E255,ARBETSBLAD!$G$139:$G$153,$G255)*Q$57</f>
        <v>0</v>
      </c>
      <c r="R255" s="1467">
        <f>SUMIFS(ARBETSBLAD!R$139:R$153,ARBETSBLAD!$E$139:$E$153,$E255,ARBETSBLAD!$G$139:$G$153,$G255)*R$57</f>
        <v>0</v>
      </c>
      <c r="S255" s="1467">
        <f>SUMIFS(ARBETSBLAD!S$139:S$153,ARBETSBLAD!$E$139:$E$153,$E255,ARBETSBLAD!$G$139:$G$153,$G255)*S$57</f>
        <v>0</v>
      </c>
      <c r="T255" s="1467">
        <f>SUMIFS(ARBETSBLAD!T$139:T$153,ARBETSBLAD!$E$139:$E$153,$E255,ARBETSBLAD!$G$139:$G$153,$G255)*T$57</f>
        <v>0</v>
      </c>
      <c r="U255" s="1467">
        <f>SUMIFS(ARBETSBLAD!U$139:U$153,ARBETSBLAD!$E$139:$E$153,$E255,ARBETSBLAD!$G$139:$G$153,$G255)*U$57</f>
        <v>0</v>
      </c>
      <c r="V255" s="1467">
        <f>SUMIFS(ARBETSBLAD!V$139:V$153,ARBETSBLAD!$E$139:$E$153,$E255,ARBETSBLAD!$G$139:$G$153,$G255)*V$57</f>
        <v>0</v>
      </c>
      <c r="W255" s="1467">
        <f>SUMIFS(ARBETSBLAD!W$139:W$153,ARBETSBLAD!$E$139:$E$153,$E255,ARBETSBLAD!$G$139:$G$153,$G255)*W$57</f>
        <v>0</v>
      </c>
      <c r="X255" s="1467">
        <f>SUMIFS(ARBETSBLAD!X$139:X$153,ARBETSBLAD!$E$139:$E$153,$E255,ARBETSBLAD!$G$139:$G$153,$G255)*X$57</f>
        <v>0</v>
      </c>
      <c r="Y255" s="1467">
        <f>SUMIFS(ARBETSBLAD!Y$139:Y$153,ARBETSBLAD!$E$139:$E$153,$E255,ARBETSBLAD!$G$139:$G$153,$G255)*Y$57</f>
        <v>0</v>
      </c>
      <c r="Z255" s="1467">
        <f>SUMIFS(ARBETSBLAD!Z$139:Z$153,ARBETSBLAD!$E$139:$E$153,$E255,ARBETSBLAD!$G$139:$G$153,$G255)*Z$57</f>
        <v>0</v>
      </c>
      <c r="AA255" s="1467">
        <f>SUMIFS(ARBETSBLAD!AA$139:AA$153,ARBETSBLAD!$E$139:$E$153,$E255,ARBETSBLAD!$G$139:$G$153,$G255)*AA$57</f>
        <v>0</v>
      </c>
      <c r="AB255" s="1467">
        <f>SUMIFS(ARBETSBLAD!AB$139:AB$153,ARBETSBLAD!$E$139:$E$153,$E255,ARBETSBLAD!$G$139:$G$153,$G255)*AB$57</f>
        <v>0</v>
      </c>
      <c r="AC255" s="1467">
        <f>SUMIFS(ARBETSBLAD!AC$139:AC$153,ARBETSBLAD!$E$139:$E$153,$E255,ARBETSBLAD!$G$139:$G$153,$G255)*AC$57</f>
        <v>0</v>
      </c>
      <c r="AD255" s="1467">
        <f>SUMIFS(ARBETSBLAD!AD$139:AD$153,ARBETSBLAD!$E$139:$E$153,$E255,ARBETSBLAD!$G$139:$G$153,$G255)*AD$57</f>
        <v>0</v>
      </c>
      <c r="AE255" s="1467">
        <f>SUMIFS(ARBETSBLAD!AE$139:AE$153,ARBETSBLAD!$E$139:$E$153,$E255,ARBETSBLAD!$G$139:$G$153,$G255)*AE$57</f>
        <v>0</v>
      </c>
      <c r="AF255" s="1467">
        <f>SUMIFS(ARBETSBLAD!AF$139:AF$153,ARBETSBLAD!$E$139:$E$153,$E255,ARBETSBLAD!$G$139:$G$153,$G255)*AF$57</f>
        <v>0</v>
      </c>
      <c r="AG255" s="1444"/>
      <c r="AH255" s="1354"/>
      <c r="AI255" s="1355"/>
      <c r="AJ255" s="1354"/>
      <c r="AL255" s="1356"/>
      <c r="AM255" s="1357"/>
      <c r="AN255" s="1437"/>
    </row>
    <row r="256" spans="1:40" s="115" customFormat="1" ht="12" hidden="1" customHeight="1">
      <c r="A256" s="1270"/>
      <c r="B256" s="1363" t="s">
        <v>909</v>
      </c>
      <c r="C256" s="1364">
        <f t="shared" si="54"/>
        <v>200.06</v>
      </c>
      <c r="D256" s="1365"/>
      <c r="E256" s="1465" t="s">
        <v>912</v>
      </c>
      <c r="F256" s="1350">
        <v>200</v>
      </c>
      <c r="G256" s="1466">
        <f>$O$64</f>
        <v>0.06</v>
      </c>
      <c r="H256" s="1368">
        <f>$P$64</f>
        <v>0.06</v>
      </c>
      <c r="I256" s="1467">
        <f>SUMIFS(ARBETSBLAD!I$139:I$153,ARBETSBLAD!$E$139:$E$153,$E256,ARBETSBLAD!$G$139:$G$153,$G256)*I$57</f>
        <v>0</v>
      </c>
      <c r="J256" s="1467">
        <f>SUMIFS(ARBETSBLAD!J$139:J$153,ARBETSBLAD!$E$139:$E$153,$E256,ARBETSBLAD!$G$139:$G$153,$G256)*J$57</f>
        <v>0</v>
      </c>
      <c r="K256" s="1467">
        <f>SUMIFS(ARBETSBLAD!K$139:K$153,ARBETSBLAD!$E$139:$E$153,$E256,ARBETSBLAD!$G$139:$G$153,$G256)*K$57</f>
        <v>0</v>
      </c>
      <c r="L256" s="1467">
        <f>SUMIFS(ARBETSBLAD!L$139:L$153,ARBETSBLAD!$E$139:$E$153,$E256,ARBETSBLAD!$G$139:$G$153,$G256)*L$57</f>
        <v>0</v>
      </c>
      <c r="M256" s="1467">
        <f>SUMIFS(ARBETSBLAD!M$139:M$153,ARBETSBLAD!$E$139:$E$153,$E256,ARBETSBLAD!$G$139:$G$153,$G256)*M$57</f>
        <v>0</v>
      </c>
      <c r="N256" s="1467">
        <f>SUMIFS(ARBETSBLAD!N$139:N$153,ARBETSBLAD!$E$139:$E$153,$E256,ARBETSBLAD!$G$139:$G$153,$G256)*N$57</f>
        <v>0</v>
      </c>
      <c r="O256" s="1467">
        <f>SUMIFS(ARBETSBLAD!O$139:O$153,ARBETSBLAD!$E$139:$E$153,$E256,ARBETSBLAD!$G$139:$G$153,$G256)*O$57</f>
        <v>0</v>
      </c>
      <c r="P256" s="1467">
        <f>SUMIFS(ARBETSBLAD!P$139:P$153,ARBETSBLAD!$E$139:$E$153,$E256,ARBETSBLAD!$G$139:$G$153,$G256)*P$57</f>
        <v>0</v>
      </c>
      <c r="Q256" s="1467">
        <f>SUMIFS(ARBETSBLAD!Q$139:Q$153,ARBETSBLAD!$E$139:$E$153,$E256,ARBETSBLAD!$G$139:$G$153,$G256)*Q$57</f>
        <v>0</v>
      </c>
      <c r="R256" s="1467">
        <f>SUMIFS(ARBETSBLAD!R$139:R$153,ARBETSBLAD!$E$139:$E$153,$E256,ARBETSBLAD!$G$139:$G$153,$G256)*R$57</f>
        <v>0</v>
      </c>
      <c r="S256" s="1467">
        <f>SUMIFS(ARBETSBLAD!S$139:S$153,ARBETSBLAD!$E$139:$E$153,$E256,ARBETSBLAD!$G$139:$G$153,$G256)*S$57</f>
        <v>0</v>
      </c>
      <c r="T256" s="1467">
        <f>SUMIFS(ARBETSBLAD!T$139:T$153,ARBETSBLAD!$E$139:$E$153,$E256,ARBETSBLAD!$G$139:$G$153,$G256)*T$57</f>
        <v>0</v>
      </c>
      <c r="U256" s="1467">
        <f>SUMIFS(ARBETSBLAD!U$139:U$153,ARBETSBLAD!$E$139:$E$153,$E256,ARBETSBLAD!$G$139:$G$153,$G256)*U$57</f>
        <v>0</v>
      </c>
      <c r="V256" s="1467">
        <f>SUMIFS(ARBETSBLAD!V$139:V$153,ARBETSBLAD!$E$139:$E$153,$E256,ARBETSBLAD!$G$139:$G$153,$G256)*V$57</f>
        <v>0</v>
      </c>
      <c r="W256" s="1467">
        <f>SUMIFS(ARBETSBLAD!W$139:W$153,ARBETSBLAD!$E$139:$E$153,$E256,ARBETSBLAD!$G$139:$G$153,$G256)*W$57</f>
        <v>0</v>
      </c>
      <c r="X256" s="1467">
        <f>SUMIFS(ARBETSBLAD!X$139:X$153,ARBETSBLAD!$E$139:$E$153,$E256,ARBETSBLAD!$G$139:$G$153,$G256)*X$57</f>
        <v>0</v>
      </c>
      <c r="Y256" s="1467">
        <f>SUMIFS(ARBETSBLAD!Y$139:Y$153,ARBETSBLAD!$E$139:$E$153,$E256,ARBETSBLAD!$G$139:$G$153,$G256)*Y$57</f>
        <v>0</v>
      </c>
      <c r="Z256" s="1467">
        <f>SUMIFS(ARBETSBLAD!Z$139:Z$153,ARBETSBLAD!$E$139:$E$153,$E256,ARBETSBLAD!$G$139:$G$153,$G256)*Z$57</f>
        <v>0</v>
      </c>
      <c r="AA256" s="1467">
        <f>SUMIFS(ARBETSBLAD!AA$139:AA$153,ARBETSBLAD!$E$139:$E$153,$E256,ARBETSBLAD!$G$139:$G$153,$G256)*AA$57</f>
        <v>0</v>
      </c>
      <c r="AB256" s="1467">
        <f>SUMIFS(ARBETSBLAD!AB$139:AB$153,ARBETSBLAD!$E$139:$E$153,$E256,ARBETSBLAD!$G$139:$G$153,$G256)*AB$57</f>
        <v>0</v>
      </c>
      <c r="AC256" s="1467">
        <f>SUMIFS(ARBETSBLAD!AC$139:AC$153,ARBETSBLAD!$E$139:$E$153,$E256,ARBETSBLAD!$G$139:$G$153,$G256)*AC$57</f>
        <v>0</v>
      </c>
      <c r="AD256" s="1467">
        <f>SUMIFS(ARBETSBLAD!AD$139:AD$153,ARBETSBLAD!$E$139:$E$153,$E256,ARBETSBLAD!$G$139:$G$153,$G256)*AD$57</f>
        <v>0</v>
      </c>
      <c r="AE256" s="1467">
        <f>SUMIFS(ARBETSBLAD!AE$139:AE$153,ARBETSBLAD!$E$139:$E$153,$E256,ARBETSBLAD!$G$139:$G$153,$G256)*AE$57</f>
        <v>0</v>
      </c>
      <c r="AF256" s="1467">
        <f>SUMIFS(ARBETSBLAD!AF$139:AF$153,ARBETSBLAD!$E$139:$E$153,$E256,ARBETSBLAD!$G$139:$G$153,$G256)*AF$57</f>
        <v>0</v>
      </c>
      <c r="AG256" s="1444"/>
      <c r="AH256" s="1354"/>
      <c r="AI256" s="1355"/>
      <c r="AJ256" s="1354"/>
      <c r="AL256" s="1356"/>
      <c r="AM256" s="1357"/>
      <c r="AN256" s="1437"/>
    </row>
    <row r="257" spans="1:40" s="115" customFormat="1" ht="12" hidden="1" customHeight="1" thickBot="1">
      <c r="A257" s="1270"/>
      <c r="B257" s="1452" t="s">
        <v>911</v>
      </c>
      <c r="C257" s="1453">
        <f t="shared" si="54"/>
        <v>450.06</v>
      </c>
      <c r="D257" s="1454"/>
      <c r="E257" s="1468" t="s">
        <v>910</v>
      </c>
      <c r="F257" s="1350">
        <v>450</v>
      </c>
      <c r="G257" s="1469">
        <f>$O$64</f>
        <v>0.06</v>
      </c>
      <c r="H257" s="1368">
        <f>$P$64</f>
        <v>0.06</v>
      </c>
      <c r="I257" s="1467">
        <f>SUMIFS(ARBETSBLAD!I$139:I$153,ARBETSBLAD!$E$139:$E$153,$E257,ARBETSBLAD!$G$139:$G$153,$G257)*I$57</f>
        <v>0</v>
      </c>
      <c r="J257" s="1467">
        <f>SUMIFS(ARBETSBLAD!J$139:J$153,ARBETSBLAD!$E$139:$E$153,$E257,ARBETSBLAD!$G$139:$G$153,$G257)*J$57</f>
        <v>0</v>
      </c>
      <c r="K257" s="1467">
        <f>SUMIFS(ARBETSBLAD!K$139:K$153,ARBETSBLAD!$E$139:$E$153,$E257,ARBETSBLAD!$G$139:$G$153,$G257)*K$57</f>
        <v>0</v>
      </c>
      <c r="L257" s="1467">
        <f>SUMIFS(ARBETSBLAD!L$139:L$153,ARBETSBLAD!$E$139:$E$153,$E257,ARBETSBLAD!$G$139:$G$153,$G257)*L$57</f>
        <v>0</v>
      </c>
      <c r="M257" s="1467">
        <f>SUMIFS(ARBETSBLAD!M$139:M$153,ARBETSBLAD!$E$139:$E$153,$E257,ARBETSBLAD!$G$139:$G$153,$G257)*M$57</f>
        <v>0</v>
      </c>
      <c r="N257" s="1467">
        <f>SUMIFS(ARBETSBLAD!N$139:N$153,ARBETSBLAD!$E$139:$E$153,$E257,ARBETSBLAD!$G$139:$G$153,$G257)*N$57</f>
        <v>0</v>
      </c>
      <c r="O257" s="1467">
        <f>SUMIFS(ARBETSBLAD!O$139:O$153,ARBETSBLAD!$E$139:$E$153,$E257,ARBETSBLAD!$G$139:$G$153,$G257)*O$57</f>
        <v>0</v>
      </c>
      <c r="P257" s="1467">
        <f>SUMIFS(ARBETSBLAD!P$139:P$153,ARBETSBLAD!$E$139:$E$153,$E257,ARBETSBLAD!$G$139:$G$153,$G257)*P$57</f>
        <v>0</v>
      </c>
      <c r="Q257" s="1467">
        <f>SUMIFS(ARBETSBLAD!Q$139:Q$153,ARBETSBLAD!$E$139:$E$153,$E257,ARBETSBLAD!$G$139:$G$153,$G257)*Q$57</f>
        <v>0</v>
      </c>
      <c r="R257" s="1467">
        <f>SUMIFS(ARBETSBLAD!R$139:R$153,ARBETSBLAD!$E$139:$E$153,$E257,ARBETSBLAD!$G$139:$G$153,$G257)*R$57</f>
        <v>0</v>
      </c>
      <c r="S257" s="1467">
        <f>SUMIFS(ARBETSBLAD!S$139:S$153,ARBETSBLAD!$E$139:$E$153,$E257,ARBETSBLAD!$G$139:$G$153,$G257)*S$57</f>
        <v>0</v>
      </c>
      <c r="T257" s="1467">
        <f>SUMIFS(ARBETSBLAD!T$139:T$153,ARBETSBLAD!$E$139:$E$153,$E257,ARBETSBLAD!$G$139:$G$153,$G257)*T$57</f>
        <v>0</v>
      </c>
      <c r="U257" s="1467">
        <f>SUMIFS(ARBETSBLAD!U$139:U$153,ARBETSBLAD!$E$139:$E$153,$E257,ARBETSBLAD!$G$139:$G$153,$G257)*U$57</f>
        <v>0</v>
      </c>
      <c r="V257" s="1467">
        <f>SUMIFS(ARBETSBLAD!V$139:V$153,ARBETSBLAD!$E$139:$E$153,$E257,ARBETSBLAD!$G$139:$G$153,$G257)*V$57</f>
        <v>0</v>
      </c>
      <c r="W257" s="1467">
        <f>SUMIFS(ARBETSBLAD!W$139:W$153,ARBETSBLAD!$E$139:$E$153,$E257,ARBETSBLAD!$G$139:$G$153,$G257)*W$57</f>
        <v>0</v>
      </c>
      <c r="X257" s="1467">
        <f>SUMIFS(ARBETSBLAD!X$139:X$153,ARBETSBLAD!$E$139:$E$153,$E257,ARBETSBLAD!$G$139:$G$153,$G257)*X$57</f>
        <v>0</v>
      </c>
      <c r="Y257" s="1467">
        <f>SUMIFS(ARBETSBLAD!Y$139:Y$153,ARBETSBLAD!$E$139:$E$153,$E257,ARBETSBLAD!$G$139:$G$153,$G257)*Y$57</f>
        <v>0</v>
      </c>
      <c r="Z257" s="1467">
        <f>SUMIFS(ARBETSBLAD!Z$139:Z$153,ARBETSBLAD!$E$139:$E$153,$E257,ARBETSBLAD!$G$139:$G$153,$G257)*Z$57</f>
        <v>0</v>
      </c>
      <c r="AA257" s="1467">
        <f>SUMIFS(ARBETSBLAD!AA$139:AA$153,ARBETSBLAD!$E$139:$E$153,$E257,ARBETSBLAD!$G$139:$G$153,$G257)*AA$57</f>
        <v>0</v>
      </c>
      <c r="AB257" s="1467">
        <f>SUMIFS(ARBETSBLAD!AB$139:AB$153,ARBETSBLAD!$E$139:$E$153,$E257,ARBETSBLAD!$G$139:$G$153,$G257)*AB$57</f>
        <v>0</v>
      </c>
      <c r="AC257" s="1467">
        <f>SUMIFS(ARBETSBLAD!AC$139:AC$153,ARBETSBLAD!$E$139:$E$153,$E257,ARBETSBLAD!$G$139:$G$153,$G257)*AC$57</f>
        <v>0</v>
      </c>
      <c r="AD257" s="1467">
        <f>SUMIFS(ARBETSBLAD!AD$139:AD$153,ARBETSBLAD!$E$139:$E$153,$E257,ARBETSBLAD!$G$139:$G$153,$G257)*AD$57</f>
        <v>0</v>
      </c>
      <c r="AE257" s="1467">
        <f>SUMIFS(ARBETSBLAD!AE$139:AE$153,ARBETSBLAD!$E$139:$E$153,$E257,ARBETSBLAD!$G$139:$G$153,$G257)*AE$57</f>
        <v>0</v>
      </c>
      <c r="AF257" s="1467">
        <f>SUMIFS(ARBETSBLAD!AF$139:AF$153,ARBETSBLAD!$E$139:$E$153,$E257,ARBETSBLAD!$G$139:$G$153,$G257)*AF$57</f>
        <v>0</v>
      </c>
      <c r="AG257" s="1444"/>
      <c r="AH257" s="1354"/>
      <c r="AI257" s="1355"/>
      <c r="AJ257" s="1354"/>
      <c r="AL257" s="1356"/>
      <c r="AM257" s="1357"/>
      <c r="AN257" s="1437"/>
    </row>
    <row r="258" spans="1:40" s="115" customFormat="1" ht="12" hidden="1" customHeight="1">
      <c r="A258" s="1270"/>
      <c r="B258" s="1457" t="s">
        <v>908</v>
      </c>
      <c r="C258" s="1458">
        <f t="shared" si="54"/>
        <v>100.12</v>
      </c>
      <c r="D258" s="1459"/>
      <c r="E258" s="1470" t="s">
        <v>907</v>
      </c>
      <c r="F258" s="1350">
        <v>100</v>
      </c>
      <c r="G258" s="1471">
        <f>$O$65</f>
        <v>0.12</v>
      </c>
      <c r="H258" s="1368">
        <f>$P$65</f>
        <v>0.12</v>
      </c>
      <c r="I258" s="1467">
        <f>SUMIFS(ARBETSBLAD!I$139:I$153,ARBETSBLAD!$E$139:$E$153,$E258,ARBETSBLAD!$G$139:$G$153,$G258)*I$57</f>
        <v>0</v>
      </c>
      <c r="J258" s="1467">
        <f>SUMIFS(ARBETSBLAD!J$139:J$153,ARBETSBLAD!$E$139:$E$153,$E258,ARBETSBLAD!$G$139:$G$153,$G258)*J$57</f>
        <v>0</v>
      </c>
      <c r="K258" s="1467">
        <f>SUMIFS(ARBETSBLAD!K$139:K$153,ARBETSBLAD!$E$139:$E$153,$E258,ARBETSBLAD!$G$139:$G$153,$G258)*K$57</f>
        <v>0</v>
      </c>
      <c r="L258" s="1467">
        <f>SUMIFS(ARBETSBLAD!L$139:L$153,ARBETSBLAD!$E$139:$E$153,$E258,ARBETSBLAD!$G$139:$G$153,$G258)*L$57</f>
        <v>0</v>
      </c>
      <c r="M258" s="1467">
        <f>SUMIFS(ARBETSBLAD!M$139:M$153,ARBETSBLAD!$E$139:$E$153,$E258,ARBETSBLAD!$G$139:$G$153,$G258)*M$57</f>
        <v>0</v>
      </c>
      <c r="N258" s="1467">
        <f>SUMIFS(ARBETSBLAD!N$139:N$153,ARBETSBLAD!$E$139:$E$153,$E258,ARBETSBLAD!$G$139:$G$153,$G258)*N$57</f>
        <v>0</v>
      </c>
      <c r="O258" s="1467">
        <f>SUMIFS(ARBETSBLAD!O$139:O$153,ARBETSBLAD!$E$139:$E$153,$E258,ARBETSBLAD!$G$139:$G$153,$G258)*O$57</f>
        <v>0</v>
      </c>
      <c r="P258" s="1467">
        <f>SUMIFS(ARBETSBLAD!P$139:P$153,ARBETSBLAD!$E$139:$E$153,$E258,ARBETSBLAD!$G$139:$G$153,$G258)*P$57</f>
        <v>0</v>
      </c>
      <c r="Q258" s="1467">
        <f>SUMIFS(ARBETSBLAD!Q$139:Q$153,ARBETSBLAD!$E$139:$E$153,$E258,ARBETSBLAD!$G$139:$G$153,$G258)*Q$57</f>
        <v>0</v>
      </c>
      <c r="R258" s="1467">
        <f>SUMIFS(ARBETSBLAD!R$139:R$153,ARBETSBLAD!$E$139:$E$153,$E258,ARBETSBLAD!$G$139:$G$153,$G258)*R$57</f>
        <v>0</v>
      </c>
      <c r="S258" s="1467">
        <f>SUMIFS(ARBETSBLAD!S$139:S$153,ARBETSBLAD!$E$139:$E$153,$E258,ARBETSBLAD!$G$139:$G$153,$G258)*S$57</f>
        <v>0</v>
      </c>
      <c r="T258" s="1467">
        <f>SUMIFS(ARBETSBLAD!T$139:T$153,ARBETSBLAD!$E$139:$E$153,$E258,ARBETSBLAD!$G$139:$G$153,$G258)*T$57</f>
        <v>0</v>
      </c>
      <c r="U258" s="1467">
        <f>SUMIFS(ARBETSBLAD!U$139:U$153,ARBETSBLAD!$E$139:$E$153,$E258,ARBETSBLAD!$G$139:$G$153,$G258)*U$57</f>
        <v>0</v>
      </c>
      <c r="V258" s="1467">
        <f>SUMIFS(ARBETSBLAD!V$139:V$153,ARBETSBLAD!$E$139:$E$153,$E258,ARBETSBLAD!$G$139:$G$153,$G258)*V$57</f>
        <v>0</v>
      </c>
      <c r="W258" s="1467">
        <f>SUMIFS(ARBETSBLAD!W$139:W$153,ARBETSBLAD!$E$139:$E$153,$E258,ARBETSBLAD!$G$139:$G$153,$G258)*W$57</f>
        <v>0</v>
      </c>
      <c r="X258" s="1467">
        <f>SUMIFS(ARBETSBLAD!X$139:X$153,ARBETSBLAD!$E$139:$E$153,$E258,ARBETSBLAD!$G$139:$G$153,$G258)*X$57</f>
        <v>0</v>
      </c>
      <c r="Y258" s="1467">
        <f>SUMIFS(ARBETSBLAD!Y$139:Y$153,ARBETSBLAD!$E$139:$E$153,$E258,ARBETSBLAD!$G$139:$G$153,$G258)*Y$57</f>
        <v>0</v>
      </c>
      <c r="Z258" s="1467">
        <f>SUMIFS(ARBETSBLAD!Z$139:Z$153,ARBETSBLAD!$E$139:$E$153,$E258,ARBETSBLAD!$G$139:$G$153,$G258)*Z$57</f>
        <v>0</v>
      </c>
      <c r="AA258" s="1467">
        <f>SUMIFS(ARBETSBLAD!AA$139:AA$153,ARBETSBLAD!$E$139:$E$153,$E258,ARBETSBLAD!$G$139:$G$153,$G258)*AA$57</f>
        <v>0</v>
      </c>
      <c r="AB258" s="1467">
        <f>SUMIFS(ARBETSBLAD!AB$139:AB$153,ARBETSBLAD!$E$139:$E$153,$E258,ARBETSBLAD!$G$139:$G$153,$G258)*AB$57</f>
        <v>0</v>
      </c>
      <c r="AC258" s="1467">
        <f>SUMIFS(ARBETSBLAD!AC$139:AC$153,ARBETSBLAD!$E$139:$E$153,$E258,ARBETSBLAD!$G$139:$G$153,$G258)*AC$57</f>
        <v>0</v>
      </c>
      <c r="AD258" s="1467">
        <f>SUMIFS(ARBETSBLAD!AD$139:AD$153,ARBETSBLAD!$E$139:$E$153,$E258,ARBETSBLAD!$G$139:$G$153,$G258)*AD$57</f>
        <v>0</v>
      </c>
      <c r="AE258" s="1467">
        <f>SUMIFS(ARBETSBLAD!AE$139:AE$153,ARBETSBLAD!$E$139:$E$153,$E258,ARBETSBLAD!$G$139:$G$153,$G258)*AE$57</f>
        <v>0</v>
      </c>
      <c r="AF258" s="1467">
        <f>SUMIFS(ARBETSBLAD!AF$139:AF$153,ARBETSBLAD!$E$139:$E$153,$E258,ARBETSBLAD!$G$139:$G$153,$G258)*AF$57</f>
        <v>0</v>
      </c>
      <c r="AG258" s="1444"/>
      <c r="AH258" s="1354"/>
      <c r="AI258" s="1355"/>
      <c r="AJ258" s="1354"/>
      <c r="AL258" s="1356"/>
      <c r="AM258" s="1357"/>
      <c r="AN258" s="1437"/>
    </row>
    <row r="259" spans="1:40" s="115" customFormat="1" ht="12" hidden="1" customHeight="1">
      <c r="A259" s="1270"/>
      <c r="B259" s="1363" t="s">
        <v>909</v>
      </c>
      <c r="C259" s="1364">
        <f t="shared" si="54"/>
        <v>200.12</v>
      </c>
      <c r="D259" s="1365"/>
      <c r="E259" s="1465" t="s">
        <v>912</v>
      </c>
      <c r="F259" s="1350">
        <v>200</v>
      </c>
      <c r="G259" s="1466">
        <f>$O$65</f>
        <v>0.12</v>
      </c>
      <c r="H259" s="1368">
        <f>$P$65</f>
        <v>0.12</v>
      </c>
      <c r="I259" s="1467">
        <f>SUMIFS(ARBETSBLAD!I$139:I$153,ARBETSBLAD!$E$139:$E$153,$E259,ARBETSBLAD!$G$139:$G$153,$G259)*I$57</f>
        <v>0</v>
      </c>
      <c r="J259" s="1467">
        <f>SUMIFS(ARBETSBLAD!J$139:J$153,ARBETSBLAD!$E$139:$E$153,$E259,ARBETSBLAD!$G$139:$G$153,$G259)*J$57</f>
        <v>0</v>
      </c>
      <c r="K259" s="1467">
        <f>SUMIFS(ARBETSBLAD!K$139:K$153,ARBETSBLAD!$E$139:$E$153,$E259,ARBETSBLAD!$G$139:$G$153,$G259)*K$57</f>
        <v>0</v>
      </c>
      <c r="L259" s="1467">
        <f>SUMIFS(ARBETSBLAD!L$139:L$153,ARBETSBLAD!$E$139:$E$153,$E259,ARBETSBLAD!$G$139:$G$153,$G259)*L$57</f>
        <v>0</v>
      </c>
      <c r="M259" s="1467">
        <f>SUMIFS(ARBETSBLAD!M$139:M$153,ARBETSBLAD!$E$139:$E$153,$E259,ARBETSBLAD!$G$139:$G$153,$G259)*M$57</f>
        <v>0</v>
      </c>
      <c r="N259" s="1467">
        <f>SUMIFS(ARBETSBLAD!N$139:N$153,ARBETSBLAD!$E$139:$E$153,$E259,ARBETSBLAD!$G$139:$G$153,$G259)*N$57</f>
        <v>0</v>
      </c>
      <c r="O259" s="1467">
        <f>SUMIFS(ARBETSBLAD!O$139:O$153,ARBETSBLAD!$E$139:$E$153,$E259,ARBETSBLAD!$G$139:$G$153,$G259)*O$57</f>
        <v>0</v>
      </c>
      <c r="P259" s="1467">
        <f>SUMIFS(ARBETSBLAD!P$139:P$153,ARBETSBLAD!$E$139:$E$153,$E259,ARBETSBLAD!$G$139:$G$153,$G259)*P$57</f>
        <v>0</v>
      </c>
      <c r="Q259" s="1467">
        <f>SUMIFS(ARBETSBLAD!Q$139:Q$153,ARBETSBLAD!$E$139:$E$153,$E259,ARBETSBLAD!$G$139:$G$153,$G259)*Q$57</f>
        <v>0</v>
      </c>
      <c r="R259" s="1467">
        <f>SUMIFS(ARBETSBLAD!R$139:R$153,ARBETSBLAD!$E$139:$E$153,$E259,ARBETSBLAD!$G$139:$G$153,$G259)*R$57</f>
        <v>0</v>
      </c>
      <c r="S259" s="1467">
        <f>SUMIFS(ARBETSBLAD!S$139:S$153,ARBETSBLAD!$E$139:$E$153,$E259,ARBETSBLAD!$G$139:$G$153,$G259)*S$57</f>
        <v>0</v>
      </c>
      <c r="T259" s="1467">
        <f>SUMIFS(ARBETSBLAD!T$139:T$153,ARBETSBLAD!$E$139:$E$153,$E259,ARBETSBLAD!$G$139:$G$153,$G259)*T$57</f>
        <v>0</v>
      </c>
      <c r="U259" s="1467">
        <f>SUMIFS(ARBETSBLAD!U$139:U$153,ARBETSBLAD!$E$139:$E$153,$E259,ARBETSBLAD!$G$139:$G$153,$G259)*U$57</f>
        <v>0</v>
      </c>
      <c r="V259" s="1467">
        <f>SUMIFS(ARBETSBLAD!V$139:V$153,ARBETSBLAD!$E$139:$E$153,$E259,ARBETSBLAD!$G$139:$G$153,$G259)*V$57</f>
        <v>0</v>
      </c>
      <c r="W259" s="1467">
        <f>SUMIFS(ARBETSBLAD!W$139:W$153,ARBETSBLAD!$E$139:$E$153,$E259,ARBETSBLAD!$G$139:$G$153,$G259)*W$57</f>
        <v>0</v>
      </c>
      <c r="X259" s="1467">
        <f>SUMIFS(ARBETSBLAD!X$139:X$153,ARBETSBLAD!$E$139:$E$153,$E259,ARBETSBLAD!$G$139:$G$153,$G259)*X$57</f>
        <v>0</v>
      </c>
      <c r="Y259" s="1467">
        <f>SUMIFS(ARBETSBLAD!Y$139:Y$153,ARBETSBLAD!$E$139:$E$153,$E259,ARBETSBLAD!$G$139:$G$153,$G259)*Y$57</f>
        <v>0</v>
      </c>
      <c r="Z259" s="1467">
        <f>SUMIFS(ARBETSBLAD!Z$139:Z$153,ARBETSBLAD!$E$139:$E$153,$E259,ARBETSBLAD!$G$139:$G$153,$G259)*Z$57</f>
        <v>0</v>
      </c>
      <c r="AA259" s="1467">
        <f>SUMIFS(ARBETSBLAD!AA$139:AA$153,ARBETSBLAD!$E$139:$E$153,$E259,ARBETSBLAD!$G$139:$G$153,$G259)*AA$57</f>
        <v>0</v>
      </c>
      <c r="AB259" s="1467">
        <f>SUMIFS(ARBETSBLAD!AB$139:AB$153,ARBETSBLAD!$E$139:$E$153,$E259,ARBETSBLAD!$G$139:$G$153,$G259)*AB$57</f>
        <v>0</v>
      </c>
      <c r="AC259" s="1467">
        <f>SUMIFS(ARBETSBLAD!AC$139:AC$153,ARBETSBLAD!$E$139:$E$153,$E259,ARBETSBLAD!$G$139:$G$153,$G259)*AC$57</f>
        <v>0</v>
      </c>
      <c r="AD259" s="1467">
        <f>SUMIFS(ARBETSBLAD!AD$139:AD$153,ARBETSBLAD!$E$139:$E$153,$E259,ARBETSBLAD!$G$139:$G$153,$G259)*AD$57</f>
        <v>0</v>
      </c>
      <c r="AE259" s="1467">
        <f>SUMIFS(ARBETSBLAD!AE$139:AE$153,ARBETSBLAD!$E$139:$E$153,$E259,ARBETSBLAD!$G$139:$G$153,$G259)*AE$57</f>
        <v>0</v>
      </c>
      <c r="AF259" s="1467">
        <f>SUMIFS(ARBETSBLAD!AF$139:AF$153,ARBETSBLAD!$E$139:$E$153,$E259,ARBETSBLAD!$G$139:$G$153,$G259)*AF$57</f>
        <v>0</v>
      </c>
      <c r="AG259" s="1444"/>
      <c r="AH259" s="1354"/>
      <c r="AI259" s="1355"/>
      <c r="AJ259" s="1354"/>
      <c r="AL259" s="1356"/>
      <c r="AM259" s="1357"/>
      <c r="AN259" s="1437"/>
    </row>
    <row r="260" spans="1:40" s="115" customFormat="1" ht="12" hidden="1" customHeight="1" thickBot="1">
      <c r="A260" s="1270"/>
      <c r="B260" s="1452" t="s">
        <v>911</v>
      </c>
      <c r="C260" s="1453">
        <f t="shared" si="54"/>
        <v>450.12</v>
      </c>
      <c r="D260" s="1454"/>
      <c r="E260" s="1468" t="s">
        <v>910</v>
      </c>
      <c r="F260" s="1350">
        <v>450</v>
      </c>
      <c r="G260" s="1469">
        <f>$O$65</f>
        <v>0.12</v>
      </c>
      <c r="H260" s="1368">
        <f>$P$65</f>
        <v>0.12</v>
      </c>
      <c r="I260" s="1467">
        <f>SUMIFS(ARBETSBLAD!I$139:I$153,ARBETSBLAD!$E$139:$E$153,$E260,ARBETSBLAD!$G$139:$G$153,$G260)*I$57</f>
        <v>0</v>
      </c>
      <c r="J260" s="1467">
        <f>SUMIFS(ARBETSBLAD!J$139:J$153,ARBETSBLAD!$E$139:$E$153,$E260,ARBETSBLAD!$G$139:$G$153,$G260)*J$57</f>
        <v>0</v>
      </c>
      <c r="K260" s="1467">
        <f>SUMIFS(ARBETSBLAD!K$139:K$153,ARBETSBLAD!$E$139:$E$153,$E260,ARBETSBLAD!$G$139:$G$153,$G260)*K$57</f>
        <v>0</v>
      </c>
      <c r="L260" s="1467">
        <f>SUMIFS(ARBETSBLAD!L$139:L$153,ARBETSBLAD!$E$139:$E$153,$E260,ARBETSBLAD!$G$139:$G$153,$G260)*L$57</f>
        <v>0</v>
      </c>
      <c r="M260" s="1467">
        <f>SUMIFS(ARBETSBLAD!M$139:M$153,ARBETSBLAD!$E$139:$E$153,$E260,ARBETSBLAD!$G$139:$G$153,$G260)*M$57</f>
        <v>0</v>
      </c>
      <c r="N260" s="1467">
        <f>SUMIFS(ARBETSBLAD!N$139:N$153,ARBETSBLAD!$E$139:$E$153,$E260,ARBETSBLAD!$G$139:$G$153,$G260)*N$57</f>
        <v>0</v>
      </c>
      <c r="O260" s="1467">
        <f>SUMIFS(ARBETSBLAD!O$139:O$153,ARBETSBLAD!$E$139:$E$153,$E260,ARBETSBLAD!$G$139:$G$153,$G260)*O$57</f>
        <v>0</v>
      </c>
      <c r="P260" s="1467">
        <f>SUMIFS(ARBETSBLAD!P$139:P$153,ARBETSBLAD!$E$139:$E$153,$E260,ARBETSBLAD!$G$139:$G$153,$G260)*P$57</f>
        <v>0</v>
      </c>
      <c r="Q260" s="1467">
        <f>SUMIFS(ARBETSBLAD!Q$139:Q$153,ARBETSBLAD!$E$139:$E$153,$E260,ARBETSBLAD!$G$139:$G$153,$G260)*Q$57</f>
        <v>0</v>
      </c>
      <c r="R260" s="1467">
        <f>SUMIFS(ARBETSBLAD!R$139:R$153,ARBETSBLAD!$E$139:$E$153,$E260,ARBETSBLAD!$G$139:$G$153,$G260)*R$57</f>
        <v>0</v>
      </c>
      <c r="S260" s="1467">
        <f>SUMIFS(ARBETSBLAD!S$139:S$153,ARBETSBLAD!$E$139:$E$153,$E260,ARBETSBLAD!$G$139:$G$153,$G260)*S$57</f>
        <v>0</v>
      </c>
      <c r="T260" s="1467">
        <f>SUMIFS(ARBETSBLAD!T$139:T$153,ARBETSBLAD!$E$139:$E$153,$E260,ARBETSBLAD!$G$139:$G$153,$G260)*T$57</f>
        <v>0</v>
      </c>
      <c r="U260" s="1467">
        <f>SUMIFS(ARBETSBLAD!U$139:U$153,ARBETSBLAD!$E$139:$E$153,$E260,ARBETSBLAD!$G$139:$G$153,$G260)*U$57</f>
        <v>0</v>
      </c>
      <c r="V260" s="1467">
        <f>SUMIFS(ARBETSBLAD!V$139:V$153,ARBETSBLAD!$E$139:$E$153,$E260,ARBETSBLAD!$G$139:$G$153,$G260)*V$57</f>
        <v>0</v>
      </c>
      <c r="W260" s="1467">
        <f>SUMIFS(ARBETSBLAD!W$139:W$153,ARBETSBLAD!$E$139:$E$153,$E260,ARBETSBLAD!$G$139:$G$153,$G260)*W$57</f>
        <v>0</v>
      </c>
      <c r="X260" s="1467">
        <f>SUMIFS(ARBETSBLAD!X$139:X$153,ARBETSBLAD!$E$139:$E$153,$E260,ARBETSBLAD!$G$139:$G$153,$G260)*X$57</f>
        <v>0</v>
      </c>
      <c r="Y260" s="1467">
        <f>SUMIFS(ARBETSBLAD!Y$139:Y$153,ARBETSBLAD!$E$139:$E$153,$E260,ARBETSBLAD!$G$139:$G$153,$G260)*Y$57</f>
        <v>0</v>
      </c>
      <c r="Z260" s="1467">
        <f>SUMIFS(ARBETSBLAD!Z$139:Z$153,ARBETSBLAD!$E$139:$E$153,$E260,ARBETSBLAD!$G$139:$G$153,$G260)*Z$57</f>
        <v>0</v>
      </c>
      <c r="AA260" s="1467">
        <f>SUMIFS(ARBETSBLAD!AA$139:AA$153,ARBETSBLAD!$E$139:$E$153,$E260,ARBETSBLAD!$G$139:$G$153,$G260)*AA$57</f>
        <v>0</v>
      </c>
      <c r="AB260" s="1467">
        <f>SUMIFS(ARBETSBLAD!AB$139:AB$153,ARBETSBLAD!$E$139:$E$153,$E260,ARBETSBLAD!$G$139:$G$153,$G260)*AB$57</f>
        <v>0</v>
      </c>
      <c r="AC260" s="1467">
        <f>SUMIFS(ARBETSBLAD!AC$139:AC$153,ARBETSBLAD!$E$139:$E$153,$E260,ARBETSBLAD!$G$139:$G$153,$G260)*AC$57</f>
        <v>0</v>
      </c>
      <c r="AD260" s="1467">
        <f>SUMIFS(ARBETSBLAD!AD$139:AD$153,ARBETSBLAD!$E$139:$E$153,$E260,ARBETSBLAD!$G$139:$G$153,$G260)*AD$57</f>
        <v>0</v>
      </c>
      <c r="AE260" s="1467">
        <f>SUMIFS(ARBETSBLAD!AE$139:AE$153,ARBETSBLAD!$E$139:$E$153,$E260,ARBETSBLAD!$G$139:$G$153,$G260)*AE$57</f>
        <v>0</v>
      </c>
      <c r="AF260" s="1467">
        <f>SUMIFS(ARBETSBLAD!AF$139:AF$153,ARBETSBLAD!$E$139:$E$153,$E260,ARBETSBLAD!$G$139:$G$153,$G260)*AF$57</f>
        <v>0</v>
      </c>
      <c r="AG260" s="1444"/>
      <c r="AH260" s="1354"/>
      <c r="AI260" s="1355"/>
      <c r="AJ260" s="1354"/>
      <c r="AL260" s="1356"/>
      <c r="AM260" s="1357"/>
      <c r="AN260" s="1437"/>
    </row>
    <row r="261" spans="1:40" s="115" customFormat="1" ht="12" hidden="1" customHeight="1">
      <c r="A261" s="1270"/>
      <c r="B261" s="1457" t="s">
        <v>908</v>
      </c>
      <c r="C261" s="1458">
        <f t="shared" si="54"/>
        <v>100.25</v>
      </c>
      <c r="D261" s="1459"/>
      <c r="E261" s="1470" t="s">
        <v>907</v>
      </c>
      <c r="F261" s="1350">
        <v>100</v>
      </c>
      <c r="G261" s="1471">
        <f>$O$66</f>
        <v>0.25</v>
      </c>
      <c r="H261" s="1368">
        <f>$P$66</f>
        <v>0.25</v>
      </c>
      <c r="I261" s="1467">
        <f>SUMIFS(ARBETSBLAD!I$139:I$153,ARBETSBLAD!$E$139:$E$153,$E261,ARBETSBLAD!$G$139:$G$153,$G261)*I$57</f>
        <v>0</v>
      </c>
      <c r="J261" s="1467">
        <f>SUMIFS(ARBETSBLAD!J$139:J$153,ARBETSBLAD!$E$139:$E$153,$E261,ARBETSBLAD!$G$139:$G$153,$G261)*J$57</f>
        <v>0</v>
      </c>
      <c r="K261" s="1467">
        <f>SUMIFS(ARBETSBLAD!K$139:K$153,ARBETSBLAD!$E$139:$E$153,$E261,ARBETSBLAD!$G$139:$G$153,$G261)*K$57</f>
        <v>0</v>
      </c>
      <c r="L261" s="1467">
        <f>SUMIFS(ARBETSBLAD!L$139:L$153,ARBETSBLAD!$E$139:$E$153,$E261,ARBETSBLAD!$G$139:$G$153,$G261)*L$57</f>
        <v>0</v>
      </c>
      <c r="M261" s="1467">
        <f>SUMIFS(ARBETSBLAD!M$139:M$153,ARBETSBLAD!$E$139:$E$153,$E261,ARBETSBLAD!$G$139:$G$153,$G261)*M$57</f>
        <v>0</v>
      </c>
      <c r="N261" s="1467">
        <f>SUMIFS(ARBETSBLAD!N$139:N$153,ARBETSBLAD!$E$139:$E$153,$E261,ARBETSBLAD!$G$139:$G$153,$G261)*N$57</f>
        <v>0</v>
      </c>
      <c r="O261" s="1467">
        <f>SUMIFS(ARBETSBLAD!O$139:O$153,ARBETSBLAD!$E$139:$E$153,$E261,ARBETSBLAD!$G$139:$G$153,$G261)*O$57</f>
        <v>0</v>
      </c>
      <c r="P261" s="1467">
        <f>SUMIFS(ARBETSBLAD!P$139:P$153,ARBETSBLAD!$E$139:$E$153,$E261,ARBETSBLAD!$G$139:$G$153,$G261)*P$57</f>
        <v>0</v>
      </c>
      <c r="Q261" s="1467">
        <f>SUMIFS(ARBETSBLAD!Q$139:Q$153,ARBETSBLAD!$E$139:$E$153,$E261,ARBETSBLAD!$G$139:$G$153,$G261)*Q$57</f>
        <v>0</v>
      </c>
      <c r="R261" s="1467">
        <f>SUMIFS(ARBETSBLAD!R$139:R$153,ARBETSBLAD!$E$139:$E$153,$E261,ARBETSBLAD!$G$139:$G$153,$G261)*R$57</f>
        <v>0</v>
      </c>
      <c r="S261" s="1467">
        <f>SUMIFS(ARBETSBLAD!S$139:S$153,ARBETSBLAD!$E$139:$E$153,$E261,ARBETSBLAD!$G$139:$G$153,$G261)*S$57</f>
        <v>0</v>
      </c>
      <c r="T261" s="1467">
        <f>SUMIFS(ARBETSBLAD!T$139:T$153,ARBETSBLAD!$E$139:$E$153,$E261,ARBETSBLAD!$G$139:$G$153,$G261)*T$57</f>
        <v>0</v>
      </c>
      <c r="U261" s="1467">
        <f>SUMIFS(ARBETSBLAD!U$139:U$153,ARBETSBLAD!$E$139:$E$153,$E261,ARBETSBLAD!$G$139:$G$153,$G261)*U$57</f>
        <v>0</v>
      </c>
      <c r="V261" s="1467">
        <f>SUMIFS(ARBETSBLAD!V$139:V$153,ARBETSBLAD!$E$139:$E$153,$E261,ARBETSBLAD!$G$139:$G$153,$G261)*V$57</f>
        <v>0</v>
      </c>
      <c r="W261" s="1467">
        <f>SUMIFS(ARBETSBLAD!W$139:W$153,ARBETSBLAD!$E$139:$E$153,$E261,ARBETSBLAD!$G$139:$G$153,$G261)*W$57</f>
        <v>0</v>
      </c>
      <c r="X261" s="1467">
        <f>SUMIFS(ARBETSBLAD!X$139:X$153,ARBETSBLAD!$E$139:$E$153,$E261,ARBETSBLAD!$G$139:$G$153,$G261)*X$57</f>
        <v>0</v>
      </c>
      <c r="Y261" s="1467">
        <f>SUMIFS(ARBETSBLAD!Y$139:Y$153,ARBETSBLAD!$E$139:$E$153,$E261,ARBETSBLAD!$G$139:$G$153,$G261)*Y$57</f>
        <v>0</v>
      </c>
      <c r="Z261" s="1467">
        <f>SUMIFS(ARBETSBLAD!Z$139:Z$153,ARBETSBLAD!$E$139:$E$153,$E261,ARBETSBLAD!$G$139:$G$153,$G261)*Z$57</f>
        <v>0</v>
      </c>
      <c r="AA261" s="1467">
        <f>SUMIFS(ARBETSBLAD!AA$139:AA$153,ARBETSBLAD!$E$139:$E$153,$E261,ARBETSBLAD!$G$139:$G$153,$G261)*AA$57</f>
        <v>0</v>
      </c>
      <c r="AB261" s="1467">
        <f>SUMIFS(ARBETSBLAD!AB$139:AB$153,ARBETSBLAD!$E$139:$E$153,$E261,ARBETSBLAD!$G$139:$G$153,$G261)*AB$57</f>
        <v>0</v>
      </c>
      <c r="AC261" s="1467">
        <f>SUMIFS(ARBETSBLAD!AC$139:AC$153,ARBETSBLAD!$E$139:$E$153,$E261,ARBETSBLAD!$G$139:$G$153,$G261)*AC$57</f>
        <v>0</v>
      </c>
      <c r="AD261" s="1467">
        <f>SUMIFS(ARBETSBLAD!AD$139:AD$153,ARBETSBLAD!$E$139:$E$153,$E261,ARBETSBLAD!$G$139:$G$153,$G261)*AD$57</f>
        <v>0</v>
      </c>
      <c r="AE261" s="1467">
        <f>SUMIFS(ARBETSBLAD!AE$139:AE$153,ARBETSBLAD!$E$139:$E$153,$E261,ARBETSBLAD!$G$139:$G$153,$G261)*AE$57</f>
        <v>0</v>
      </c>
      <c r="AF261" s="1467">
        <f>SUMIFS(ARBETSBLAD!AF$139:AF$153,ARBETSBLAD!$E$139:$E$153,$E261,ARBETSBLAD!$G$139:$G$153,$G261)*AF$57</f>
        <v>0</v>
      </c>
      <c r="AG261" s="1444"/>
      <c r="AH261" s="1354"/>
      <c r="AI261" s="1355"/>
      <c r="AJ261" s="1354"/>
      <c r="AL261" s="1356"/>
      <c r="AM261" s="1357"/>
      <c r="AN261" s="1437"/>
    </row>
    <row r="262" spans="1:40" s="115" customFormat="1" ht="12" hidden="1" customHeight="1">
      <c r="A262" s="1270"/>
      <c r="B262" s="1363" t="s">
        <v>909</v>
      </c>
      <c r="C262" s="1364">
        <f t="shared" si="54"/>
        <v>200.25</v>
      </c>
      <c r="D262" s="1365"/>
      <c r="E262" s="1465" t="s">
        <v>912</v>
      </c>
      <c r="F262" s="1350">
        <v>200</v>
      </c>
      <c r="G262" s="1466">
        <f>$O$66</f>
        <v>0.25</v>
      </c>
      <c r="H262" s="1368">
        <f>$P$66</f>
        <v>0.25</v>
      </c>
      <c r="I262" s="1467">
        <f>SUMIFS(ARBETSBLAD!I$139:I$153,ARBETSBLAD!$E$139:$E$153,$E262,ARBETSBLAD!$G$139:$G$153,$G262)*I$57</f>
        <v>0</v>
      </c>
      <c r="J262" s="1467">
        <f>SUMIFS(ARBETSBLAD!J$139:J$153,ARBETSBLAD!$E$139:$E$153,$E262,ARBETSBLAD!$G$139:$G$153,$G262)*J$57</f>
        <v>0</v>
      </c>
      <c r="K262" s="1467">
        <f>SUMIFS(ARBETSBLAD!K$139:K$153,ARBETSBLAD!$E$139:$E$153,$E262,ARBETSBLAD!$G$139:$G$153,$G262)*K$57</f>
        <v>0</v>
      </c>
      <c r="L262" s="1467">
        <f>SUMIFS(ARBETSBLAD!L$139:L$153,ARBETSBLAD!$E$139:$E$153,$E262,ARBETSBLAD!$G$139:$G$153,$G262)*L$57</f>
        <v>0</v>
      </c>
      <c r="M262" s="1467">
        <f>SUMIFS(ARBETSBLAD!M$139:M$153,ARBETSBLAD!$E$139:$E$153,$E262,ARBETSBLAD!$G$139:$G$153,$G262)*M$57</f>
        <v>0</v>
      </c>
      <c r="N262" s="1467">
        <f>SUMIFS(ARBETSBLAD!N$139:N$153,ARBETSBLAD!$E$139:$E$153,$E262,ARBETSBLAD!$G$139:$G$153,$G262)*N$57</f>
        <v>0</v>
      </c>
      <c r="O262" s="1467">
        <f>SUMIFS(ARBETSBLAD!O$139:O$153,ARBETSBLAD!$E$139:$E$153,$E262,ARBETSBLAD!$G$139:$G$153,$G262)*O$57</f>
        <v>0</v>
      </c>
      <c r="P262" s="1467">
        <f>SUMIFS(ARBETSBLAD!P$139:P$153,ARBETSBLAD!$E$139:$E$153,$E262,ARBETSBLAD!$G$139:$G$153,$G262)*P$57</f>
        <v>0</v>
      </c>
      <c r="Q262" s="1467">
        <f>SUMIFS(ARBETSBLAD!Q$139:Q$153,ARBETSBLAD!$E$139:$E$153,$E262,ARBETSBLAD!$G$139:$G$153,$G262)*Q$57</f>
        <v>0</v>
      </c>
      <c r="R262" s="1467">
        <f>SUMIFS(ARBETSBLAD!R$139:R$153,ARBETSBLAD!$E$139:$E$153,$E262,ARBETSBLAD!$G$139:$G$153,$G262)*R$57</f>
        <v>0</v>
      </c>
      <c r="S262" s="1467">
        <f>SUMIFS(ARBETSBLAD!S$139:S$153,ARBETSBLAD!$E$139:$E$153,$E262,ARBETSBLAD!$G$139:$G$153,$G262)*S$57</f>
        <v>0</v>
      </c>
      <c r="T262" s="1467">
        <f>SUMIFS(ARBETSBLAD!T$139:T$153,ARBETSBLAD!$E$139:$E$153,$E262,ARBETSBLAD!$G$139:$G$153,$G262)*T$57</f>
        <v>0</v>
      </c>
      <c r="U262" s="1467">
        <f>SUMIFS(ARBETSBLAD!U$139:U$153,ARBETSBLAD!$E$139:$E$153,$E262,ARBETSBLAD!$G$139:$G$153,$G262)*U$57</f>
        <v>0</v>
      </c>
      <c r="V262" s="1467">
        <f>SUMIFS(ARBETSBLAD!V$139:V$153,ARBETSBLAD!$E$139:$E$153,$E262,ARBETSBLAD!$G$139:$G$153,$G262)*V$57</f>
        <v>0</v>
      </c>
      <c r="W262" s="1467">
        <f>SUMIFS(ARBETSBLAD!W$139:W$153,ARBETSBLAD!$E$139:$E$153,$E262,ARBETSBLAD!$G$139:$G$153,$G262)*W$57</f>
        <v>0</v>
      </c>
      <c r="X262" s="1467">
        <f>SUMIFS(ARBETSBLAD!X$139:X$153,ARBETSBLAD!$E$139:$E$153,$E262,ARBETSBLAD!$G$139:$G$153,$G262)*X$57</f>
        <v>0</v>
      </c>
      <c r="Y262" s="1467">
        <f>SUMIFS(ARBETSBLAD!Y$139:Y$153,ARBETSBLAD!$E$139:$E$153,$E262,ARBETSBLAD!$G$139:$G$153,$G262)*Y$57</f>
        <v>0</v>
      </c>
      <c r="Z262" s="1467">
        <f>SUMIFS(ARBETSBLAD!Z$139:Z$153,ARBETSBLAD!$E$139:$E$153,$E262,ARBETSBLAD!$G$139:$G$153,$G262)*Z$57</f>
        <v>0</v>
      </c>
      <c r="AA262" s="1467">
        <f>SUMIFS(ARBETSBLAD!AA$139:AA$153,ARBETSBLAD!$E$139:$E$153,$E262,ARBETSBLAD!$G$139:$G$153,$G262)*AA$57</f>
        <v>0</v>
      </c>
      <c r="AB262" s="1467">
        <f>SUMIFS(ARBETSBLAD!AB$139:AB$153,ARBETSBLAD!$E$139:$E$153,$E262,ARBETSBLAD!$G$139:$G$153,$G262)*AB$57</f>
        <v>0</v>
      </c>
      <c r="AC262" s="1467">
        <f>SUMIFS(ARBETSBLAD!AC$139:AC$153,ARBETSBLAD!$E$139:$E$153,$E262,ARBETSBLAD!$G$139:$G$153,$G262)*AC$57</f>
        <v>0</v>
      </c>
      <c r="AD262" s="1467">
        <f>SUMIFS(ARBETSBLAD!AD$139:AD$153,ARBETSBLAD!$E$139:$E$153,$E262,ARBETSBLAD!$G$139:$G$153,$G262)*AD$57</f>
        <v>0</v>
      </c>
      <c r="AE262" s="1467">
        <f>SUMIFS(ARBETSBLAD!AE$139:AE$153,ARBETSBLAD!$E$139:$E$153,$E262,ARBETSBLAD!$G$139:$G$153,$G262)*AE$57</f>
        <v>0</v>
      </c>
      <c r="AF262" s="1467">
        <f>SUMIFS(ARBETSBLAD!AF$139:AF$153,ARBETSBLAD!$E$139:$E$153,$E262,ARBETSBLAD!$G$139:$G$153,$G262)*AF$57</f>
        <v>0</v>
      </c>
      <c r="AG262" s="1444"/>
      <c r="AH262" s="1354"/>
      <c r="AI262" s="1355"/>
      <c r="AJ262" s="1354"/>
      <c r="AL262" s="1356"/>
      <c r="AM262" s="1357"/>
      <c r="AN262" s="1437"/>
    </row>
    <row r="263" spans="1:40" s="115" customFormat="1" ht="12" hidden="1" customHeight="1" thickBot="1">
      <c r="A263" s="1270"/>
      <c r="B263" s="1363" t="s">
        <v>911</v>
      </c>
      <c r="C263" s="1364">
        <f t="shared" si="54"/>
        <v>450.25</v>
      </c>
      <c r="D263" s="1372"/>
      <c r="E263" s="1465" t="s">
        <v>910</v>
      </c>
      <c r="F263" s="1350">
        <v>450</v>
      </c>
      <c r="G263" s="1466">
        <f>$O$66</f>
        <v>0.25</v>
      </c>
      <c r="H263" s="1368">
        <f>$P$66</f>
        <v>0.25</v>
      </c>
      <c r="I263" s="1467">
        <f>SUMIFS(ARBETSBLAD!I$139:I$153,ARBETSBLAD!$E$139:$E$153,$E263,ARBETSBLAD!$G$139:$G$153,$G263)*I$57</f>
        <v>0</v>
      </c>
      <c r="J263" s="1467">
        <f>SUMIFS(ARBETSBLAD!J$139:J$153,ARBETSBLAD!$E$139:$E$153,$E263,ARBETSBLAD!$G$139:$G$153,$G263)*J$57</f>
        <v>0</v>
      </c>
      <c r="K263" s="1467">
        <f>SUMIFS(ARBETSBLAD!K$139:K$153,ARBETSBLAD!$E$139:$E$153,$E263,ARBETSBLAD!$G$139:$G$153,$G263)*K$57</f>
        <v>0</v>
      </c>
      <c r="L263" s="1467">
        <f>SUMIFS(ARBETSBLAD!L$139:L$153,ARBETSBLAD!$E$139:$E$153,$E263,ARBETSBLAD!$G$139:$G$153,$G263)*L$57</f>
        <v>0</v>
      </c>
      <c r="M263" s="1467">
        <f>SUMIFS(ARBETSBLAD!M$139:M$153,ARBETSBLAD!$E$139:$E$153,$E263,ARBETSBLAD!$G$139:$G$153,$G263)*M$57</f>
        <v>0</v>
      </c>
      <c r="N263" s="1467">
        <f>SUMIFS(ARBETSBLAD!N$139:N$153,ARBETSBLAD!$E$139:$E$153,$E263,ARBETSBLAD!$G$139:$G$153,$G263)*N$57</f>
        <v>0</v>
      </c>
      <c r="O263" s="1467">
        <f>SUMIFS(ARBETSBLAD!O$139:O$153,ARBETSBLAD!$E$139:$E$153,$E263,ARBETSBLAD!$G$139:$G$153,$G263)*O$57</f>
        <v>0</v>
      </c>
      <c r="P263" s="1467">
        <f>SUMIFS(ARBETSBLAD!P$139:P$153,ARBETSBLAD!$E$139:$E$153,$E263,ARBETSBLAD!$G$139:$G$153,$G263)*P$57</f>
        <v>0</v>
      </c>
      <c r="Q263" s="1467">
        <f>SUMIFS(ARBETSBLAD!Q$139:Q$153,ARBETSBLAD!$E$139:$E$153,$E263,ARBETSBLAD!$G$139:$G$153,$G263)*Q$57</f>
        <v>0</v>
      </c>
      <c r="R263" s="1467">
        <f>SUMIFS(ARBETSBLAD!R$139:R$153,ARBETSBLAD!$E$139:$E$153,$E263,ARBETSBLAD!$G$139:$G$153,$G263)*R$57</f>
        <v>0</v>
      </c>
      <c r="S263" s="1467">
        <f>SUMIFS(ARBETSBLAD!S$139:S$153,ARBETSBLAD!$E$139:$E$153,$E263,ARBETSBLAD!$G$139:$G$153,$G263)*S$57</f>
        <v>0</v>
      </c>
      <c r="T263" s="1467">
        <f>SUMIFS(ARBETSBLAD!T$139:T$153,ARBETSBLAD!$E$139:$E$153,$E263,ARBETSBLAD!$G$139:$G$153,$G263)*T$57</f>
        <v>0</v>
      </c>
      <c r="U263" s="1467">
        <f>SUMIFS(ARBETSBLAD!U$139:U$153,ARBETSBLAD!$E$139:$E$153,$E263,ARBETSBLAD!$G$139:$G$153,$G263)*U$57</f>
        <v>0</v>
      </c>
      <c r="V263" s="1467">
        <f>SUMIFS(ARBETSBLAD!V$139:V$153,ARBETSBLAD!$E$139:$E$153,$E263,ARBETSBLAD!$G$139:$G$153,$G263)*V$57</f>
        <v>0</v>
      </c>
      <c r="W263" s="1467">
        <f>SUMIFS(ARBETSBLAD!W$139:W$153,ARBETSBLAD!$E$139:$E$153,$E263,ARBETSBLAD!$G$139:$G$153,$G263)*W$57</f>
        <v>0</v>
      </c>
      <c r="X263" s="1467">
        <f>SUMIFS(ARBETSBLAD!X$139:X$153,ARBETSBLAD!$E$139:$E$153,$E263,ARBETSBLAD!$G$139:$G$153,$G263)*X$57</f>
        <v>0</v>
      </c>
      <c r="Y263" s="1467">
        <f>SUMIFS(ARBETSBLAD!Y$139:Y$153,ARBETSBLAD!$E$139:$E$153,$E263,ARBETSBLAD!$G$139:$G$153,$G263)*Y$57</f>
        <v>0</v>
      </c>
      <c r="Z263" s="1467">
        <f>SUMIFS(ARBETSBLAD!Z$139:Z$153,ARBETSBLAD!$E$139:$E$153,$E263,ARBETSBLAD!$G$139:$G$153,$G263)*Z$57</f>
        <v>0</v>
      </c>
      <c r="AA263" s="1467">
        <f>SUMIFS(ARBETSBLAD!AA$139:AA$153,ARBETSBLAD!$E$139:$E$153,$E263,ARBETSBLAD!$G$139:$G$153,$G263)*AA$57</f>
        <v>0</v>
      </c>
      <c r="AB263" s="1467">
        <f>SUMIFS(ARBETSBLAD!AB$139:AB$153,ARBETSBLAD!$E$139:$E$153,$E263,ARBETSBLAD!$G$139:$G$153,$G263)*AB$57</f>
        <v>0</v>
      </c>
      <c r="AC263" s="1467">
        <f>SUMIFS(ARBETSBLAD!AC$139:AC$153,ARBETSBLAD!$E$139:$E$153,$E263,ARBETSBLAD!$G$139:$G$153,$G263)*AC$57</f>
        <v>0</v>
      </c>
      <c r="AD263" s="1467">
        <f>SUMIFS(ARBETSBLAD!AD$139:AD$153,ARBETSBLAD!$E$139:$E$153,$E263,ARBETSBLAD!$G$139:$G$153,$G263)*AD$57</f>
        <v>0</v>
      </c>
      <c r="AE263" s="1467">
        <f>SUMIFS(ARBETSBLAD!AE$139:AE$153,ARBETSBLAD!$E$139:$E$153,$E263,ARBETSBLAD!$G$139:$G$153,$G263)*AE$57</f>
        <v>0</v>
      </c>
      <c r="AF263" s="1467">
        <f>SUMIFS(ARBETSBLAD!AF$139:AF$153,ARBETSBLAD!$E$139:$E$153,$E263,ARBETSBLAD!$G$139:$G$153,$G263)*AF$57</f>
        <v>0</v>
      </c>
      <c r="AG263" s="1444"/>
      <c r="AH263" s="1354"/>
      <c r="AI263" s="1355"/>
      <c r="AJ263" s="1354"/>
      <c r="AL263" s="1356"/>
      <c r="AM263" s="1357"/>
      <c r="AN263" s="1437"/>
    </row>
    <row r="264" spans="1:40" s="115" customFormat="1" ht="12" hidden="1" customHeight="1" thickBot="1">
      <c r="A264" s="1270"/>
      <c r="B264" s="1317"/>
      <c r="C264" s="1349"/>
      <c r="D264" s="1349"/>
      <c r="E264" s="1368"/>
      <c r="F264" s="1368"/>
      <c r="G264" s="1462" t="s">
        <v>219</v>
      </c>
      <c r="H264" s="1368"/>
      <c r="I264" s="1446">
        <f>I233+I238+I243+I248</f>
        <v>0</v>
      </c>
      <c r="J264" s="1446">
        <f>J233+J238+J243+J248+I234+I239+I244+I249</f>
        <v>0</v>
      </c>
      <c r="K264" s="1446">
        <f>K233+K238+K243+K248+J234+J239+J244+J249+I235+I240+I245+I250</f>
        <v>0</v>
      </c>
      <c r="L264" s="1446">
        <f t="shared" ref="L264:AF264" si="55">L233+L238+L243+L248+K234+K239+K244+K249+J235+J240+J245+J250+I236+I241+I246+I251</f>
        <v>0</v>
      </c>
      <c r="M264" s="1446">
        <f t="shared" si="55"/>
        <v>0</v>
      </c>
      <c r="N264" s="1446">
        <f t="shared" si="55"/>
        <v>0</v>
      </c>
      <c r="O264" s="1446">
        <f t="shared" si="55"/>
        <v>0</v>
      </c>
      <c r="P264" s="1446">
        <f t="shared" si="55"/>
        <v>0</v>
      </c>
      <c r="Q264" s="1446">
        <f t="shared" si="55"/>
        <v>0</v>
      </c>
      <c r="R264" s="1446">
        <f t="shared" si="55"/>
        <v>0</v>
      </c>
      <c r="S264" s="1446">
        <f t="shared" si="55"/>
        <v>0</v>
      </c>
      <c r="T264" s="1446">
        <f t="shared" si="55"/>
        <v>0</v>
      </c>
      <c r="U264" s="1446">
        <f t="shared" si="55"/>
        <v>0</v>
      </c>
      <c r="V264" s="1446">
        <f t="shared" si="55"/>
        <v>0</v>
      </c>
      <c r="W264" s="1446">
        <f t="shared" si="55"/>
        <v>0</v>
      </c>
      <c r="X264" s="1446">
        <f t="shared" si="55"/>
        <v>0</v>
      </c>
      <c r="Y264" s="1446">
        <f t="shared" si="55"/>
        <v>0</v>
      </c>
      <c r="Z264" s="1446">
        <f t="shared" si="55"/>
        <v>0</v>
      </c>
      <c r="AA264" s="1446">
        <f t="shared" si="55"/>
        <v>0</v>
      </c>
      <c r="AB264" s="1446">
        <f t="shared" si="55"/>
        <v>0</v>
      </c>
      <c r="AC264" s="1446">
        <f t="shared" si="55"/>
        <v>0</v>
      </c>
      <c r="AD264" s="1446">
        <f t="shared" si="55"/>
        <v>0</v>
      </c>
      <c r="AE264" s="1446">
        <f t="shared" si="55"/>
        <v>0</v>
      </c>
      <c r="AF264" s="1446">
        <f t="shared" si="55"/>
        <v>0</v>
      </c>
      <c r="AG264" s="1349"/>
      <c r="AH264" s="1354">
        <f t="shared" ref="AH264:AH283" si="56">IF($C$57=1,SUM(I264:T264),IF($C$57=2,SUM(O264:AF264)))</f>
        <v>0</v>
      </c>
      <c r="AI264" s="1355"/>
      <c r="AJ264" s="1354">
        <f t="shared" ref="AJ264:AJ283" si="57">IF($C$57=1,SUM(U264:AF264),0)</f>
        <v>0</v>
      </c>
      <c r="AL264" s="1377"/>
      <c r="AM264" s="1377"/>
      <c r="AN264" s="1413"/>
    </row>
    <row r="265" spans="1:40" s="115" customFormat="1" ht="12" hidden="1" customHeight="1">
      <c r="A265" s="1270"/>
      <c r="B265" s="1472" t="s">
        <v>214</v>
      </c>
      <c r="C265" s="1349">
        <f>F265+H265</f>
        <v>1.0009999999999999</v>
      </c>
      <c r="D265" s="1349"/>
      <c r="E265" s="1473" t="s">
        <v>0</v>
      </c>
      <c r="F265" s="1350">
        <v>1</v>
      </c>
      <c r="G265" s="1474" t="s">
        <v>187</v>
      </c>
      <c r="H265" s="1368">
        <v>1E-3</v>
      </c>
      <c r="I265" s="1475">
        <f t="shared" ref="I265:AF265" si="58">(I162+I201+I233)*I57</f>
        <v>0</v>
      </c>
      <c r="J265" s="1475">
        <f t="shared" si="58"/>
        <v>0</v>
      </c>
      <c r="K265" s="1475">
        <f t="shared" si="58"/>
        <v>0</v>
      </c>
      <c r="L265" s="1475">
        <f t="shared" si="58"/>
        <v>0</v>
      </c>
      <c r="M265" s="1475">
        <f t="shared" si="58"/>
        <v>0</v>
      </c>
      <c r="N265" s="1475">
        <f t="shared" si="58"/>
        <v>0</v>
      </c>
      <c r="O265" s="1475">
        <f t="shared" si="58"/>
        <v>0</v>
      </c>
      <c r="P265" s="1475">
        <f t="shared" si="58"/>
        <v>0</v>
      </c>
      <c r="Q265" s="1475">
        <f t="shared" si="58"/>
        <v>0</v>
      </c>
      <c r="R265" s="1475">
        <f t="shared" si="58"/>
        <v>0</v>
      </c>
      <c r="S265" s="1475">
        <f t="shared" si="58"/>
        <v>0</v>
      </c>
      <c r="T265" s="1475">
        <f t="shared" si="58"/>
        <v>0</v>
      </c>
      <c r="U265" s="1475">
        <f t="shared" si="58"/>
        <v>0</v>
      </c>
      <c r="V265" s="1475">
        <f t="shared" si="58"/>
        <v>0</v>
      </c>
      <c r="W265" s="1475">
        <f t="shared" si="58"/>
        <v>0</v>
      </c>
      <c r="X265" s="1475">
        <f t="shared" si="58"/>
        <v>0</v>
      </c>
      <c r="Y265" s="1475">
        <f t="shared" si="58"/>
        <v>0</v>
      </c>
      <c r="Z265" s="1475">
        <f t="shared" si="58"/>
        <v>0</v>
      </c>
      <c r="AA265" s="1475">
        <f t="shared" si="58"/>
        <v>0</v>
      </c>
      <c r="AB265" s="1475">
        <f t="shared" si="58"/>
        <v>0</v>
      </c>
      <c r="AC265" s="1475">
        <f t="shared" si="58"/>
        <v>0</v>
      </c>
      <c r="AD265" s="1475">
        <f t="shared" si="58"/>
        <v>0</v>
      </c>
      <c r="AE265" s="1475">
        <f t="shared" si="58"/>
        <v>0</v>
      </c>
      <c r="AF265" s="1475">
        <f t="shared" si="58"/>
        <v>0</v>
      </c>
      <c r="AG265" s="1476">
        <f>SUMIF($C$95:$C$251,$C$265,AG95:AG251)</f>
        <v>0</v>
      </c>
      <c r="AH265" s="1354">
        <f t="shared" si="56"/>
        <v>0</v>
      </c>
      <c r="AI265" s="1355"/>
      <c r="AJ265" s="1354">
        <f t="shared" si="57"/>
        <v>0</v>
      </c>
      <c r="AL265" s="1356"/>
      <c r="AM265" s="1357"/>
      <c r="AN265" s="1434"/>
    </row>
    <row r="266" spans="1:40" s="115" customFormat="1" ht="12" hidden="1" customHeight="1">
      <c r="A266" s="1270"/>
      <c r="B266" s="1317"/>
      <c r="C266" s="1349">
        <f>F266+H266</f>
        <v>300.00099999999998</v>
      </c>
      <c r="D266" s="1349"/>
      <c r="E266" s="1473" t="s">
        <v>1</v>
      </c>
      <c r="F266" s="1350">
        <v>300</v>
      </c>
      <c r="G266" s="1474" t="s">
        <v>187</v>
      </c>
      <c r="H266" s="1368">
        <v>1E-3</v>
      </c>
      <c r="I266" s="1475">
        <f t="shared" ref="I266:AF266" si="59">(I163+I202+I234)*I57</f>
        <v>0</v>
      </c>
      <c r="J266" s="1475">
        <f t="shared" si="59"/>
        <v>0</v>
      </c>
      <c r="K266" s="1475">
        <f t="shared" si="59"/>
        <v>0</v>
      </c>
      <c r="L266" s="1475">
        <f t="shared" si="59"/>
        <v>0</v>
      </c>
      <c r="M266" s="1475">
        <f t="shared" si="59"/>
        <v>0</v>
      </c>
      <c r="N266" s="1475">
        <f t="shared" si="59"/>
        <v>0</v>
      </c>
      <c r="O266" s="1475">
        <f t="shared" si="59"/>
        <v>0</v>
      </c>
      <c r="P266" s="1475">
        <f t="shared" si="59"/>
        <v>0</v>
      </c>
      <c r="Q266" s="1475">
        <f t="shared" si="59"/>
        <v>0</v>
      </c>
      <c r="R266" s="1475">
        <f t="shared" si="59"/>
        <v>0</v>
      </c>
      <c r="S266" s="1475">
        <f t="shared" si="59"/>
        <v>0</v>
      </c>
      <c r="T266" s="1475">
        <f t="shared" si="59"/>
        <v>0</v>
      </c>
      <c r="U266" s="1475">
        <f t="shared" si="59"/>
        <v>0</v>
      </c>
      <c r="V266" s="1475">
        <f t="shared" si="59"/>
        <v>0</v>
      </c>
      <c r="W266" s="1475">
        <f t="shared" si="59"/>
        <v>0</v>
      </c>
      <c r="X266" s="1475">
        <f t="shared" si="59"/>
        <v>0</v>
      </c>
      <c r="Y266" s="1475">
        <f t="shared" si="59"/>
        <v>0</v>
      </c>
      <c r="Z266" s="1475">
        <f t="shared" si="59"/>
        <v>0</v>
      </c>
      <c r="AA266" s="1475">
        <f t="shared" si="59"/>
        <v>0</v>
      </c>
      <c r="AB266" s="1475">
        <f t="shared" si="59"/>
        <v>0</v>
      </c>
      <c r="AC266" s="1475">
        <f t="shared" si="59"/>
        <v>0</v>
      </c>
      <c r="AD266" s="1475">
        <f t="shared" si="59"/>
        <v>0</v>
      </c>
      <c r="AE266" s="1475">
        <f t="shared" si="59"/>
        <v>0</v>
      </c>
      <c r="AF266" s="1475">
        <f t="shared" si="59"/>
        <v>0</v>
      </c>
      <c r="AG266" s="1476">
        <f>SUMIF($C$95:$C$251,$C$266,AG95:AG251)</f>
        <v>0</v>
      </c>
      <c r="AH266" s="1354">
        <f t="shared" si="56"/>
        <v>0</v>
      </c>
      <c r="AI266" s="1355"/>
      <c r="AJ266" s="1354">
        <f t="shared" si="57"/>
        <v>0</v>
      </c>
      <c r="AL266" s="1356"/>
      <c r="AM266" s="1357"/>
      <c r="AN266" s="1434"/>
    </row>
    <row r="267" spans="1:40" s="115" customFormat="1" ht="12" hidden="1" customHeight="1">
      <c r="A267" s="1270"/>
      <c r="B267" s="1317"/>
      <c r="C267" s="1349">
        <f>F267+H267</f>
        <v>600.00099999999998</v>
      </c>
      <c r="D267" s="1349"/>
      <c r="E267" s="1473" t="s">
        <v>2</v>
      </c>
      <c r="F267" s="1350">
        <v>600</v>
      </c>
      <c r="G267" s="1474" t="s">
        <v>187</v>
      </c>
      <c r="H267" s="1368">
        <v>1E-3</v>
      </c>
      <c r="I267" s="1475">
        <f t="shared" ref="I267:AF267" si="60">(I164+I203+I235)*I57</f>
        <v>0</v>
      </c>
      <c r="J267" s="1475">
        <f t="shared" si="60"/>
        <v>0</v>
      </c>
      <c r="K267" s="1475">
        <f t="shared" si="60"/>
        <v>0</v>
      </c>
      <c r="L267" s="1475">
        <f t="shared" si="60"/>
        <v>0</v>
      </c>
      <c r="M267" s="1475">
        <f t="shared" si="60"/>
        <v>0</v>
      </c>
      <c r="N267" s="1475">
        <f t="shared" si="60"/>
        <v>0</v>
      </c>
      <c r="O267" s="1475">
        <f t="shared" si="60"/>
        <v>0</v>
      </c>
      <c r="P267" s="1475">
        <f t="shared" si="60"/>
        <v>0</v>
      </c>
      <c r="Q267" s="1475">
        <f t="shared" si="60"/>
        <v>0</v>
      </c>
      <c r="R267" s="1475">
        <f t="shared" si="60"/>
        <v>0</v>
      </c>
      <c r="S267" s="1475">
        <f t="shared" si="60"/>
        <v>0</v>
      </c>
      <c r="T267" s="1475">
        <f t="shared" si="60"/>
        <v>0</v>
      </c>
      <c r="U267" s="1475">
        <f t="shared" si="60"/>
        <v>0</v>
      </c>
      <c r="V267" s="1475">
        <f t="shared" si="60"/>
        <v>0</v>
      </c>
      <c r="W267" s="1475">
        <f t="shared" si="60"/>
        <v>0</v>
      </c>
      <c r="X267" s="1475">
        <f t="shared" si="60"/>
        <v>0</v>
      </c>
      <c r="Y267" s="1475">
        <f t="shared" si="60"/>
        <v>0</v>
      </c>
      <c r="Z267" s="1475">
        <f t="shared" si="60"/>
        <v>0</v>
      </c>
      <c r="AA267" s="1475">
        <f t="shared" si="60"/>
        <v>0</v>
      </c>
      <c r="AB267" s="1475">
        <f t="shared" si="60"/>
        <v>0</v>
      </c>
      <c r="AC267" s="1475">
        <f t="shared" si="60"/>
        <v>0</v>
      </c>
      <c r="AD267" s="1475">
        <f t="shared" si="60"/>
        <v>0</v>
      </c>
      <c r="AE267" s="1475">
        <f t="shared" si="60"/>
        <v>0</v>
      </c>
      <c r="AF267" s="1475">
        <f t="shared" si="60"/>
        <v>0</v>
      </c>
      <c r="AG267" s="1476">
        <f>SUMIF($C$95:$C$251,$C$267,AG95:AG251)</f>
        <v>0</v>
      </c>
      <c r="AH267" s="1354">
        <f t="shared" si="56"/>
        <v>0</v>
      </c>
      <c r="AI267" s="1355"/>
      <c r="AJ267" s="1354">
        <f t="shared" si="57"/>
        <v>0</v>
      </c>
      <c r="AL267" s="1356"/>
      <c r="AM267" s="1357"/>
      <c r="AN267" s="1434"/>
    </row>
    <row r="268" spans="1:40" s="115" customFormat="1" ht="12" hidden="1" customHeight="1">
      <c r="A268" s="1270"/>
      <c r="B268" s="1317"/>
      <c r="C268" s="1349">
        <f>F268+H268</f>
        <v>900.00099999999998</v>
      </c>
      <c r="D268" s="1349"/>
      <c r="E268" s="1473" t="s">
        <v>3</v>
      </c>
      <c r="F268" s="1350">
        <v>900</v>
      </c>
      <c r="G268" s="1474" t="s">
        <v>187</v>
      </c>
      <c r="H268" s="1368">
        <v>1E-3</v>
      </c>
      <c r="I268" s="1475">
        <f t="shared" ref="I268:AF268" si="61">(I165+I204+I236)*I57</f>
        <v>0</v>
      </c>
      <c r="J268" s="1475">
        <f t="shared" si="61"/>
        <v>0</v>
      </c>
      <c r="K268" s="1475">
        <f t="shared" si="61"/>
        <v>0</v>
      </c>
      <c r="L268" s="1475">
        <f t="shared" si="61"/>
        <v>0</v>
      </c>
      <c r="M268" s="1475">
        <f t="shared" si="61"/>
        <v>0</v>
      </c>
      <c r="N268" s="1475">
        <f t="shared" si="61"/>
        <v>0</v>
      </c>
      <c r="O268" s="1475">
        <f t="shared" si="61"/>
        <v>0</v>
      </c>
      <c r="P268" s="1475">
        <f t="shared" si="61"/>
        <v>0</v>
      </c>
      <c r="Q268" s="1475">
        <f t="shared" si="61"/>
        <v>0</v>
      </c>
      <c r="R268" s="1475">
        <f t="shared" si="61"/>
        <v>0</v>
      </c>
      <c r="S268" s="1475">
        <f t="shared" si="61"/>
        <v>0</v>
      </c>
      <c r="T268" s="1475">
        <f t="shared" si="61"/>
        <v>0</v>
      </c>
      <c r="U268" s="1475">
        <f t="shared" si="61"/>
        <v>0</v>
      </c>
      <c r="V268" s="1475">
        <f t="shared" si="61"/>
        <v>0</v>
      </c>
      <c r="W268" s="1475">
        <f t="shared" si="61"/>
        <v>0</v>
      </c>
      <c r="X268" s="1475">
        <f t="shared" si="61"/>
        <v>0</v>
      </c>
      <c r="Y268" s="1475">
        <f t="shared" si="61"/>
        <v>0</v>
      </c>
      <c r="Z268" s="1475">
        <f t="shared" si="61"/>
        <v>0</v>
      </c>
      <c r="AA268" s="1475">
        <f t="shared" si="61"/>
        <v>0</v>
      </c>
      <c r="AB268" s="1475">
        <f t="shared" si="61"/>
        <v>0</v>
      </c>
      <c r="AC268" s="1475">
        <f t="shared" si="61"/>
        <v>0</v>
      </c>
      <c r="AD268" s="1475">
        <f t="shared" si="61"/>
        <v>0</v>
      </c>
      <c r="AE268" s="1475">
        <f t="shared" si="61"/>
        <v>0</v>
      </c>
      <c r="AF268" s="1475">
        <f t="shared" si="61"/>
        <v>0</v>
      </c>
      <c r="AG268" s="1476">
        <f>SUMIF($C$95:$C$251,$C$268,AG95:AG251)</f>
        <v>0</v>
      </c>
      <c r="AH268" s="1354">
        <f t="shared" si="56"/>
        <v>0</v>
      </c>
      <c r="AI268" s="1355"/>
      <c r="AJ268" s="1354">
        <f t="shared" si="57"/>
        <v>0</v>
      </c>
      <c r="AL268" s="1356"/>
      <c r="AM268" s="1357"/>
      <c r="AN268" s="1434"/>
    </row>
    <row r="269" spans="1:40" s="115" customFormat="1" ht="12" hidden="1" customHeight="1">
      <c r="A269" s="1270"/>
      <c r="B269" s="1317"/>
      <c r="C269" s="1349"/>
      <c r="D269" s="1349"/>
      <c r="E269" s="1350"/>
      <c r="F269" s="1349"/>
      <c r="G269" s="1350"/>
      <c r="H269" s="1368"/>
      <c r="I269" s="1477"/>
      <c r="J269" s="1477"/>
      <c r="K269" s="1477"/>
      <c r="L269" s="1477"/>
      <c r="M269" s="1477"/>
      <c r="N269" s="1477"/>
      <c r="O269" s="1477"/>
      <c r="P269" s="1477"/>
      <c r="Q269" s="1477"/>
      <c r="R269" s="1477"/>
      <c r="S269" s="1477"/>
      <c r="T269" s="1477"/>
      <c r="U269" s="1477"/>
      <c r="V269" s="1477"/>
      <c r="W269" s="1477"/>
      <c r="X269" s="1477"/>
      <c r="Y269" s="1477"/>
      <c r="Z269" s="1477"/>
      <c r="AA269" s="1477"/>
      <c r="AB269" s="1477"/>
      <c r="AC269" s="1477"/>
      <c r="AD269" s="1477"/>
      <c r="AE269" s="1477"/>
      <c r="AF269" s="1477"/>
      <c r="AG269" s="1317"/>
      <c r="AH269" s="1354">
        <f t="shared" si="56"/>
        <v>0</v>
      </c>
      <c r="AI269" s="1355"/>
      <c r="AJ269" s="1354">
        <f t="shared" si="57"/>
        <v>0</v>
      </c>
      <c r="AL269" s="1357"/>
      <c r="AM269" s="1357"/>
      <c r="AN269" s="1357"/>
    </row>
    <row r="270" spans="1:40" s="115" customFormat="1" ht="12" hidden="1" customHeight="1">
      <c r="A270" s="1270"/>
      <c r="B270" s="1317"/>
      <c r="C270" s="1349">
        <f>F270+H270</f>
        <v>1.06</v>
      </c>
      <c r="D270" s="1349"/>
      <c r="E270" s="1473" t="s">
        <v>0</v>
      </c>
      <c r="F270" s="1350">
        <v>1</v>
      </c>
      <c r="G270" s="1478">
        <f>$O$64</f>
        <v>0.06</v>
      </c>
      <c r="H270" s="1368">
        <f>$P$64</f>
        <v>0.06</v>
      </c>
      <c r="I270" s="1475">
        <f t="shared" ref="I270:AF270" si="62">(I167+I206+I238)*I57</f>
        <v>0</v>
      </c>
      <c r="J270" s="1475">
        <f t="shared" si="62"/>
        <v>0</v>
      </c>
      <c r="K270" s="1475">
        <f t="shared" si="62"/>
        <v>0</v>
      </c>
      <c r="L270" s="1475">
        <f t="shared" si="62"/>
        <v>0</v>
      </c>
      <c r="M270" s="1475">
        <f t="shared" si="62"/>
        <v>0</v>
      </c>
      <c r="N270" s="1475">
        <f t="shared" si="62"/>
        <v>0</v>
      </c>
      <c r="O270" s="1475">
        <f t="shared" si="62"/>
        <v>0</v>
      </c>
      <c r="P270" s="1475">
        <f t="shared" si="62"/>
        <v>0</v>
      </c>
      <c r="Q270" s="1475">
        <f t="shared" si="62"/>
        <v>0</v>
      </c>
      <c r="R270" s="1475">
        <f t="shared" si="62"/>
        <v>0</v>
      </c>
      <c r="S270" s="1475">
        <f t="shared" si="62"/>
        <v>0</v>
      </c>
      <c r="T270" s="1475">
        <f t="shared" si="62"/>
        <v>0</v>
      </c>
      <c r="U270" s="1475">
        <f t="shared" si="62"/>
        <v>0</v>
      </c>
      <c r="V270" s="1475">
        <f t="shared" si="62"/>
        <v>0</v>
      </c>
      <c r="W270" s="1475">
        <f t="shared" si="62"/>
        <v>0</v>
      </c>
      <c r="X270" s="1475">
        <f t="shared" si="62"/>
        <v>0</v>
      </c>
      <c r="Y270" s="1475">
        <f t="shared" si="62"/>
        <v>0</v>
      </c>
      <c r="Z270" s="1475">
        <f t="shared" si="62"/>
        <v>0</v>
      </c>
      <c r="AA270" s="1475">
        <f t="shared" si="62"/>
        <v>0</v>
      </c>
      <c r="AB270" s="1475">
        <f t="shared" si="62"/>
        <v>0</v>
      </c>
      <c r="AC270" s="1475">
        <f t="shared" si="62"/>
        <v>0</v>
      </c>
      <c r="AD270" s="1475">
        <f t="shared" si="62"/>
        <v>0</v>
      </c>
      <c r="AE270" s="1475">
        <f t="shared" si="62"/>
        <v>0</v>
      </c>
      <c r="AF270" s="1475">
        <f t="shared" si="62"/>
        <v>0</v>
      </c>
      <c r="AG270" s="1476"/>
      <c r="AH270" s="1354">
        <f t="shared" si="56"/>
        <v>0</v>
      </c>
      <c r="AI270" s="1355"/>
      <c r="AJ270" s="1354">
        <f t="shared" si="57"/>
        <v>0</v>
      </c>
      <c r="AL270" s="1356"/>
      <c r="AM270" s="1357"/>
      <c r="AN270" s="1437"/>
    </row>
    <row r="271" spans="1:40" s="115" customFormat="1" ht="12" hidden="1" customHeight="1">
      <c r="A271" s="1270"/>
      <c r="B271" s="1317"/>
      <c r="C271" s="1349">
        <f>F271+H271</f>
        <v>300.06</v>
      </c>
      <c r="D271" s="1349"/>
      <c r="E271" s="1473" t="s">
        <v>1</v>
      </c>
      <c r="F271" s="1350">
        <v>300</v>
      </c>
      <c r="G271" s="1478">
        <f>$O$64</f>
        <v>0.06</v>
      </c>
      <c r="H271" s="1368">
        <f>$P$64</f>
        <v>0.06</v>
      </c>
      <c r="I271" s="1475">
        <f t="shared" ref="I271:AF271" si="63">(I168+I207+I239)*I57</f>
        <v>0</v>
      </c>
      <c r="J271" s="1475">
        <f t="shared" si="63"/>
        <v>0</v>
      </c>
      <c r="K271" s="1475">
        <f t="shared" si="63"/>
        <v>0</v>
      </c>
      <c r="L271" s="1475">
        <f t="shared" si="63"/>
        <v>0</v>
      </c>
      <c r="M271" s="1475">
        <f t="shared" si="63"/>
        <v>0</v>
      </c>
      <c r="N271" s="1475">
        <f t="shared" si="63"/>
        <v>0</v>
      </c>
      <c r="O271" s="1475">
        <f t="shared" si="63"/>
        <v>0</v>
      </c>
      <c r="P271" s="1475">
        <f t="shared" si="63"/>
        <v>0</v>
      </c>
      <c r="Q271" s="1475">
        <f t="shared" si="63"/>
        <v>0</v>
      </c>
      <c r="R271" s="1475">
        <f t="shared" si="63"/>
        <v>0</v>
      </c>
      <c r="S271" s="1475">
        <f t="shared" si="63"/>
        <v>0</v>
      </c>
      <c r="T271" s="1475">
        <f t="shared" si="63"/>
        <v>0</v>
      </c>
      <c r="U271" s="1475">
        <f t="shared" si="63"/>
        <v>0</v>
      </c>
      <c r="V271" s="1475">
        <f t="shared" si="63"/>
        <v>0</v>
      </c>
      <c r="W271" s="1475">
        <f t="shared" si="63"/>
        <v>0</v>
      </c>
      <c r="X271" s="1475">
        <f t="shared" si="63"/>
        <v>0</v>
      </c>
      <c r="Y271" s="1475">
        <f t="shared" si="63"/>
        <v>0</v>
      </c>
      <c r="Z271" s="1475">
        <f t="shared" si="63"/>
        <v>0</v>
      </c>
      <c r="AA271" s="1475">
        <f t="shared" si="63"/>
        <v>0</v>
      </c>
      <c r="AB271" s="1475">
        <f t="shared" si="63"/>
        <v>0</v>
      </c>
      <c r="AC271" s="1475">
        <f t="shared" si="63"/>
        <v>0</v>
      </c>
      <c r="AD271" s="1475">
        <f t="shared" si="63"/>
        <v>0</v>
      </c>
      <c r="AE271" s="1475">
        <f t="shared" si="63"/>
        <v>0</v>
      </c>
      <c r="AF271" s="1475">
        <f t="shared" si="63"/>
        <v>0</v>
      </c>
      <c r="AG271" s="1476"/>
      <c r="AH271" s="1354">
        <f t="shared" si="56"/>
        <v>0</v>
      </c>
      <c r="AI271" s="1355"/>
      <c r="AJ271" s="1354">
        <f t="shared" si="57"/>
        <v>0</v>
      </c>
      <c r="AL271" s="1356"/>
      <c r="AM271" s="1357"/>
      <c r="AN271" s="1437"/>
    </row>
    <row r="272" spans="1:40" s="115" customFormat="1" ht="12" hidden="1" customHeight="1">
      <c r="A272" s="1270"/>
      <c r="B272" s="1317"/>
      <c r="C272" s="1349">
        <f>F272+H272</f>
        <v>600.05999999999995</v>
      </c>
      <c r="D272" s="1349"/>
      <c r="E272" s="1473" t="s">
        <v>2</v>
      </c>
      <c r="F272" s="1350">
        <v>600</v>
      </c>
      <c r="G272" s="1478">
        <f>$O$64</f>
        <v>0.06</v>
      </c>
      <c r="H272" s="1368">
        <f>$P$64</f>
        <v>0.06</v>
      </c>
      <c r="I272" s="1475">
        <f t="shared" ref="I272:AF272" ca="1" si="64">(I169+I208+I240)*I57</f>
        <v>0</v>
      </c>
      <c r="J272" s="1475">
        <f t="shared" ca="1" si="64"/>
        <v>0</v>
      </c>
      <c r="K272" s="1475">
        <f t="shared" ca="1" si="64"/>
        <v>0</v>
      </c>
      <c r="L272" s="1475">
        <f t="shared" ca="1" si="64"/>
        <v>0</v>
      </c>
      <c r="M272" s="1475">
        <f t="shared" ca="1" si="64"/>
        <v>0</v>
      </c>
      <c r="N272" s="1475">
        <f t="shared" ca="1" si="64"/>
        <v>0</v>
      </c>
      <c r="O272" s="1475">
        <f t="shared" ca="1" si="64"/>
        <v>0</v>
      </c>
      <c r="P272" s="1475">
        <f t="shared" ca="1" si="64"/>
        <v>0</v>
      </c>
      <c r="Q272" s="1475">
        <f t="shared" ca="1" si="64"/>
        <v>0</v>
      </c>
      <c r="R272" s="1475">
        <f t="shared" ca="1" si="64"/>
        <v>0</v>
      </c>
      <c r="S272" s="1475">
        <f t="shared" ca="1" si="64"/>
        <v>0</v>
      </c>
      <c r="T272" s="1475">
        <f t="shared" ca="1" si="64"/>
        <v>0</v>
      </c>
      <c r="U272" s="1475">
        <f t="shared" ca="1" si="64"/>
        <v>0</v>
      </c>
      <c r="V272" s="1475">
        <f t="shared" ca="1" si="64"/>
        <v>0</v>
      </c>
      <c r="W272" s="1475">
        <f t="shared" ca="1" si="64"/>
        <v>0</v>
      </c>
      <c r="X272" s="1475">
        <f t="shared" ca="1" si="64"/>
        <v>0</v>
      </c>
      <c r="Y272" s="1475">
        <f t="shared" ca="1" si="64"/>
        <v>0</v>
      </c>
      <c r="Z272" s="1475">
        <f t="shared" ca="1" si="64"/>
        <v>0</v>
      </c>
      <c r="AA272" s="1475">
        <f t="shared" ca="1" si="64"/>
        <v>0</v>
      </c>
      <c r="AB272" s="1475">
        <f t="shared" ca="1" si="64"/>
        <v>0</v>
      </c>
      <c r="AC272" s="1475">
        <f t="shared" ca="1" si="64"/>
        <v>0</v>
      </c>
      <c r="AD272" s="1475">
        <f t="shared" ca="1" si="64"/>
        <v>0</v>
      </c>
      <c r="AE272" s="1475">
        <f t="shared" ca="1" si="64"/>
        <v>0</v>
      </c>
      <c r="AF272" s="1475">
        <f t="shared" ca="1" si="64"/>
        <v>0</v>
      </c>
      <c r="AG272" s="1476"/>
      <c r="AH272" s="1354">
        <f t="shared" ca="1" si="56"/>
        <v>0</v>
      </c>
      <c r="AI272" s="1355"/>
      <c r="AJ272" s="1354">
        <f t="shared" ca="1" si="57"/>
        <v>0</v>
      </c>
      <c r="AL272" s="1356"/>
      <c r="AM272" s="1357"/>
      <c r="AN272" s="1437"/>
    </row>
    <row r="273" spans="1:40" s="115" customFormat="1" ht="12" hidden="1" customHeight="1">
      <c r="A273" s="1270"/>
      <c r="B273" s="1317"/>
      <c r="C273" s="1349">
        <f>F273+H273</f>
        <v>900.06</v>
      </c>
      <c r="D273" s="1349"/>
      <c r="E273" s="1473" t="s">
        <v>3</v>
      </c>
      <c r="F273" s="1350">
        <v>900</v>
      </c>
      <c r="G273" s="1478">
        <f>$O$64</f>
        <v>0.06</v>
      </c>
      <c r="H273" s="1368">
        <f>$P$64</f>
        <v>0.06</v>
      </c>
      <c r="I273" s="1475">
        <f t="shared" ref="I273:AF273" ca="1" si="65">(I170+I209+I241)*I57</f>
        <v>0</v>
      </c>
      <c r="J273" s="1475">
        <f t="shared" ca="1" si="65"/>
        <v>0</v>
      </c>
      <c r="K273" s="1475">
        <f t="shared" ca="1" si="65"/>
        <v>0</v>
      </c>
      <c r="L273" s="1475">
        <f t="shared" ca="1" si="65"/>
        <v>0</v>
      </c>
      <c r="M273" s="1475">
        <f t="shared" ca="1" si="65"/>
        <v>0</v>
      </c>
      <c r="N273" s="1475">
        <f t="shared" ca="1" si="65"/>
        <v>0</v>
      </c>
      <c r="O273" s="1475">
        <f t="shared" ca="1" si="65"/>
        <v>0</v>
      </c>
      <c r="P273" s="1475">
        <f t="shared" ca="1" si="65"/>
        <v>0</v>
      </c>
      <c r="Q273" s="1475">
        <f t="shared" ca="1" si="65"/>
        <v>0</v>
      </c>
      <c r="R273" s="1475">
        <f t="shared" ca="1" si="65"/>
        <v>0</v>
      </c>
      <c r="S273" s="1475">
        <f t="shared" ca="1" si="65"/>
        <v>0</v>
      </c>
      <c r="T273" s="1475">
        <f t="shared" ca="1" si="65"/>
        <v>0</v>
      </c>
      <c r="U273" s="1475">
        <f t="shared" ca="1" si="65"/>
        <v>0</v>
      </c>
      <c r="V273" s="1475">
        <f t="shared" ca="1" si="65"/>
        <v>0</v>
      </c>
      <c r="W273" s="1475">
        <f t="shared" ca="1" si="65"/>
        <v>0</v>
      </c>
      <c r="X273" s="1475">
        <f t="shared" ca="1" si="65"/>
        <v>0</v>
      </c>
      <c r="Y273" s="1475">
        <f t="shared" ca="1" si="65"/>
        <v>0</v>
      </c>
      <c r="Z273" s="1475">
        <f t="shared" ca="1" si="65"/>
        <v>0</v>
      </c>
      <c r="AA273" s="1475">
        <f t="shared" ca="1" si="65"/>
        <v>0</v>
      </c>
      <c r="AB273" s="1475">
        <f t="shared" ca="1" si="65"/>
        <v>0</v>
      </c>
      <c r="AC273" s="1475">
        <f t="shared" ca="1" si="65"/>
        <v>0</v>
      </c>
      <c r="AD273" s="1475">
        <f t="shared" ca="1" si="65"/>
        <v>0</v>
      </c>
      <c r="AE273" s="1475">
        <f t="shared" ca="1" si="65"/>
        <v>0</v>
      </c>
      <c r="AF273" s="1475">
        <f t="shared" ca="1" si="65"/>
        <v>0</v>
      </c>
      <c r="AG273" s="1476"/>
      <c r="AH273" s="1354">
        <f t="shared" ca="1" si="56"/>
        <v>0</v>
      </c>
      <c r="AI273" s="1355"/>
      <c r="AJ273" s="1354">
        <f t="shared" ca="1" si="57"/>
        <v>0</v>
      </c>
      <c r="AL273" s="1356"/>
      <c r="AM273" s="1357"/>
      <c r="AN273" s="1437"/>
    </row>
    <row r="274" spans="1:40" s="115" customFormat="1" ht="12" hidden="1" customHeight="1">
      <c r="A274" s="1270"/>
      <c r="B274" s="1317"/>
      <c r="C274" s="1349"/>
      <c r="D274" s="1349"/>
      <c r="E274" s="1350"/>
      <c r="F274" s="1349"/>
      <c r="G274" s="1350"/>
      <c r="H274" s="1368"/>
      <c r="I274" s="1479"/>
      <c r="J274" s="1479"/>
      <c r="K274" s="1479"/>
      <c r="L274" s="1479"/>
      <c r="M274" s="1479"/>
      <c r="N274" s="1479"/>
      <c r="O274" s="1479"/>
      <c r="P274" s="1479"/>
      <c r="Q274" s="1479"/>
      <c r="R274" s="1479"/>
      <c r="S274" s="1479"/>
      <c r="T274" s="1479"/>
      <c r="U274" s="1479"/>
      <c r="V274" s="1479"/>
      <c r="W274" s="1479"/>
      <c r="X274" s="1479"/>
      <c r="Y274" s="1479"/>
      <c r="Z274" s="1479"/>
      <c r="AA274" s="1479"/>
      <c r="AB274" s="1479"/>
      <c r="AC274" s="1479"/>
      <c r="AD274" s="1479"/>
      <c r="AE274" s="1479"/>
      <c r="AF274" s="1479"/>
      <c r="AH274" s="1354">
        <f t="shared" si="56"/>
        <v>0</v>
      </c>
      <c r="AI274" s="1355"/>
      <c r="AJ274" s="1354">
        <f t="shared" si="57"/>
        <v>0</v>
      </c>
      <c r="AL274" s="1357"/>
      <c r="AM274" s="1357"/>
      <c r="AN274" s="1357"/>
    </row>
    <row r="275" spans="1:40" s="115" customFormat="1" ht="12" hidden="1" customHeight="1">
      <c r="A275" s="1270"/>
      <c r="B275" s="1317"/>
      <c r="C275" s="1349">
        <f>F275+H275</f>
        <v>1.1200000000000001</v>
      </c>
      <c r="D275" s="1349"/>
      <c r="E275" s="1473" t="s">
        <v>0</v>
      </c>
      <c r="F275" s="1350">
        <v>1</v>
      </c>
      <c r="G275" s="1478">
        <f>$O$65</f>
        <v>0.12</v>
      </c>
      <c r="H275" s="1480">
        <f>$P$65</f>
        <v>0.12</v>
      </c>
      <c r="I275" s="1475">
        <f t="shared" ref="I275:AF275" si="66">(I172+I211+I243)*I57</f>
        <v>0</v>
      </c>
      <c r="J275" s="1475">
        <f t="shared" si="66"/>
        <v>0</v>
      </c>
      <c r="K275" s="1475">
        <f t="shared" si="66"/>
        <v>0</v>
      </c>
      <c r="L275" s="1475">
        <f t="shared" si="66"/>
        <v>0</v>
      </c>
      <c r="M275" s="1475">
        <f t="shared" si="66"/>
        <v>0</v>
      </c>
      <c r="N275" s="1475">
        <f t="shared" si="66"/>
        <v>0</v>
      </c>
      <c r="O275" s="1475">
        <f t="shared" si="66"/>
        <v>0</v>
      </c>
      <c r="P275" s="1475">
        <f t="shared" si="66"/>
        <v>0</v>
      </c>
      <c r="Q275" s="1475">
        <f t="shared" si="66"/>
        <v>0</v>
      </c>
      <c r="R275" s="1475">
        <f t="shared" si="66"/>
        <v>0</v>
      </c>
      <c r="S275" s="1475">
        <f t="shared" si="66"/>
        <v>0</v>
      </c>
      <c r="T275" s="1475">
        <f t="shared" si="66"/>
        <v>0</v>
      </c>
      <c r="U275" s="1475">
        <f t="shared" si="66"/>
        <v>0</v>
      </c>
      <c r="V275" s="1475">
        <f t="shared" si="66"/>
        <v>0</v>
      </c>
      <c r="W275" s="1475">
        <f t="shared" si="66"/>
        <v>0</v>
      </c>
      <c r="X275" s="1475">
        <f t="shared" si="66"/>
        <v>0</v>
      </c>
      <c r="Y275" s="1475">
        <f t="shared" si="66"/>
        <v>0</v>
      </c>
      <c r="Z275" s="1475">
        <f t="shared" si="66"/>
        <v>0</v>
      </c>
      <c r="AA275" s="1475">
        <f t="shared" si="66"/>
        <v>0</v>
      </c>
      <c r="AB275" s="1475">
        <f t="shared" si="66"/>
        <v>0</v>
      </c>
      <c r="AC275" s="1475">
        <f t="shared" si="66"/>
        <v>0</v>
      </c>
      <c r="AD275" s="1475">
        <f t="shared" si="66"/>
        <v>0</v>
      </c>
      <c r="AE275" s="1475">
        <f t="shared" si="66"/>
        <v>0</v>
      </c>
      <c r="AF275" s="1475">
        <f t="shared" si="66"/>
        <v>0</v>
      </c>
      <c r="AG275" s="1476"/>
      <c r="AH275" s="1354">
        <f t="shared" si="56"/>
        <v>0</v>
      </c>
      <c r="AI275" s="1355"/>
      <c r="AJ275" s="1354">
        <f t="shared" si="57"/>
        <v>0</v>
      </c>
      <c r="AL275" s="1356"/>
      <c r="AM275" s="1357"/>
      <c r="AN275" s="1437"/>
    </row>
    <row r="276" spans="1:40" s="115" customFormat="1" ht="12" hidden="1" customHeight="1">
      <c r="A276" s="1270"/>
      <c r="B276" s="1317"/>
      <c r="C276" s="1349">
        <f>F276+H276</f>
        <v>300.12</v>
      </c>
      <c r="D276" s="1349"/>
      <c r="E276" s="1473" t="s">
        <v>1</v>
      </c>
      <c r="F276" s="1350">
        <v>300</v>
      </c>
      <c r="G276" s="1478">
        <f>$O$65</f>
        <v>0.12</v>
      </c>
      <c r="H276" s="1481">
        <f>$P$65</f>
        <v>0.12</v>
      </c>
      <c r="I276" s="1475">
        <f t="shared" ref="I276:AF276" si="67">(I173+I212+I244)*I57</f>
        <v>0</v>
      </c>
      <c r="J276" s="1475">
        <f t="shared" si="67"/>
        <v>0</v>
      </c>
      <c r="K276" s="1475">
        <f t="shared" si="67"/>
        <v>0</v>
      </c>
      <c r="L276" s="1475">
        <f t="shared" si="67"/>
        <v>0</v>
      </c>
      <c r="M276" s="1475">
        <f t="shared" si="67"/>
        <v>0</v>
      </c>
      <c r="N276" s="1475">
        <f t="shared" si="67"/>
        <v>0</v>
      </c>
      <c r="O276" s="1475">
        <f t="shared" si="67"/>
        <v>0</v>
      </c>
      <c r="P276" s="1475">
        <f t="shared" si="67"/>
        <v>0</v>
      </c>
      <c r="Q276" s="1475">
        <f t="shared" si="67"/>
        <v>0</v>
      </c>
      <c r="R276" s="1475">
        <f t="shared" si="67"/>
        <v>0</v>
      </c>
      <c r="S276" s="1475">
        <f t="shared" si="67"/>
        <v>0</v>
      </c>
      <c r="T276" s="1475">
        <f t="shared" si="67"/>
        <v>0</v>
      </c>
      <c r="U276" s="1475">
        <f t="shared" si="67"/>
        <v>0</v>
      </c>
      <c r="V276" s="1475">
        <f t="shared" si="67"/>
        <v>0</v>
      </c>
      <c r="W276" s="1475">
        <f t="shared" si="67"/>
        <v>0</v>
      </c>
      <c r="X276" s="1475">
        <f t="shared" si="67"/>
        <v>0</v>
      </c>
      <c r="Y276" s="1475">
        <f t="shared" si="67"/>
        <v>0</v>
      </c>
      <c r="Z276" s="1475">
        <f t="shared" si="67"/>
        <v>0</v>
      </c>
      <c r="AA276" s="1475">
        <f t="shared" si="67"/>
        <v>0</v>
      </c>
      <c r="AB276" s="1475">
        <f t="shared" si="67"/>
        <v>0</v>
      </c>
      <c r="AC276" s="1475">
        <f t="shared" si="67"/>
        <v>0</v>
      </c>
      <c r="AD276" s="1475">
        <f t="shared" si="67"/>
        <v>0</v>
      </c>
      <c r="AE276" s="1475">
        <f t="shared" si="67"/>
        <v>0</v>
      </c>
      <c r="AF276" s="1475">
        <f t="shared" si="67"/>
        <v>0</v>
      </c>
      <c r="AG276" s="1476"/>
      <c r="AH276" s="1354">
        <f t="shared" si="56"/>
        <v>0</v>
      </c>
      <c r="AI276" s="1355"/>
      <c r="AJ276" s="1354">
        <f t="shared" si="57"/>
        <v>0</v>
      </c>
      <c r="AL276" s="1356"/>
      <c r="AM276" s="1357"/>
      <c r="AN276" s="1437"/>
    </row>
    <row r="277" spans="1:40" s="115" customFormat="1" ht="12" hidden="1" customHeight="1">
      <c r="A277" s="1270"/>
      <c r="B277" s="1317"/>
      <c r="C277" s="1349">
        <f>F277+H277</f>
        <v>600.12</v>
      </c>
      <c r="D277" s="1349"/>
      <c r="E277" s="1473" t="s">
        <v>2</v>
      </c>
      <c r="F277" s="1350">
        <v>600</v>
      </c>
      <c r="G277" s="1478">
        <f>$O$65</f>
        <v>0.12</v>
      </c>
      <c r="H277" s="1481">
        <f>$P$65</f>
        <v>0.12</v>
      </c>
      <c r="I277" s="1475">
        <f t="shared" ref="I277:AF277" si="68">(I174+I213+I245)*I57</f>
        <v>0</v>
      </c>
      <c r="J277" s="1475">
        <f t="shared" si="68"/>
        <v>0</v>
      </c>
      <c r="K277" s="1475">
        <f t="shared" si="68"/>
        <v>0</v>
      </c>
      <c r="L277" s="1475">
        <f t="shared" si="68"/>
        <v>0</v>
      </c>
      <c r="M277" s="1475">
        <f t="shared" si="68"/>
        <v>0</v>
      </c>
      <c r="N277" s="1475">
        <f t="shared" si="68"/>
        <v>0</v>
      </c>
      <c r="O277" s="1475">
        <f t="shared" si="68"/>
        <v>0</v>
      </c>
      <c r="P277" s="1475">
        <f t="shared" si="68"/>
        <v>0</v>
      </c>
      <c r="Q277" s="1475">
        <f t="shared" si="68"/>
        <v>0</v>
      </c>
      <c r="R277" s="1475">
        <f t="shared" si="68"/>
        <v>0</v>
      </c>
      <c r="S277" s="1475">
        <f t="shared" si="68"/>
        <v>0</v>
      </c>
      <c r="T277" s="1475">
        <f t="shared" si="68"/>
        <v>0</v>
      </c>
      <c r="U277" s="1475">
        <f t="shared" si="68"/>
        <v>0</v>
      </c>
      <c r="V277" s="1475">
        <f t="shared" si="68"/>
        <v>0</v>
      </c>
      <c r="W277" s="1475">
        <f t="shared" si="68"/>
        <v>0</v>
      </c>
      <c r="X277" s="1475">
        <f t="shared" si="68"/>
        <v>0</v>
      </c>
      <c r="Y277" s="1475">
        <f t="shared" si="68"/>
        <v>0</v>
      </c>
      <c r="Z277" s="1475">
        <f t="shared" si="68"/>
        <v>0</v>
      </c>
      <c r="AA277" s="1475">
        <f t="shared" si="68"/>
        <v>0</v>
      </c>
      <c r="AB277" s="1475">
        <f t="shared" si="68"/>
        <v>0</v>
      </c>
      <c r="AC277" s="1475">
        <f t="shared" si="68"/>
        <v>0</v>
      </c>
      <c r="AD277" s="1475">
        <f t="shared" si="68"/>
        <v>0</v>
      </c>
      <c r="AE277" s="1475">
        <f t="shared" si="68"/>
        <v>0</v>
      </c>
      <c r="AF277" s="1475">
        <f t="shared" si="68"/>
        <v>0</v>
      </c>
      <c r="AG277" s="1476"/>
      <c r="AH277" s="1354">
        <f t="shared" si="56"/>
        <v>0</v>
      </c>
      <c r="AI277" s="1355"/>
      <c r="AJ277" s="1354">
        <f t="shared" si="57"/>
        <v>0</v>
      </c>
      <c r="AL277" s="1356"/>
      <c r="AM277" s="1357"/>
      <c r="AN277" s="1437"/>
    </row>
    <row r="278" spans="1:40" s="115" customFormat="1" ht="12" hidden="1" customHeight="1">
      <c r="A278" s="1270"/>
      <c r="B278" s="1317"/>
      <c r="C278" s="1349">
        <f>F278+H278</f>
        <v>900.12</v>
      </c>
      <c r="D278" s="1349"/>
      <c r="E278" s="1473" t="s">
        <v>3</v>
      </c>
      <c r="F278" s="1350">
        <v>900</v>
      </c>
      <c r="G278" s="1478">
        <f>$O$65</f>
        <v>0.12</v>
      </c>
      <c r="H278" s="1481">
        <f>$P$65</f>
        <v>0.12</v>
      </c>
      <c r="I278" s="1475">
        <f t="shared" ref="I278:AF278" si="69">(I175+I214+I246)*I57</f>
        <v>0</v>
      </c>
      <c r="J278" s="1475">
        <f t="shared" si="69"/>
        <v>0</v>
      </c>
      <c r="K278" s="1475">
        <f t="shared" si="69"/>
        <v>0</v>
      </c>
      <c r="L278" s="1475">
        <f t="shared" si="69"/>
        <v>0</v>
      </c>
      <c r="M278" s="1475">
        <f t="shared" si="69"/>
        <v>0</v>
      </c>
      <c r="N278" s="1475">
        <f t="shared" si="69"/>
        <v>0</v>
      </c>
      <c r="O278" s="1475">
        <f t="shared" si="69"/>
        <v>0</v>
      </c>
      <c r="P278" s="1475">
        <f t="shared" si="69"/>
        <v>0</v>
      </c>
      <c r="Q278" s="1475">
        <f t="shared" si="69"/>
        <v>0</v>
      </c>
      <c r="R278" s="1475">
        <f t="shared" si="69"/>
        <v>0</v>
      </c>
      <c r="S278" s="1475">
        <f t="shared" si="69"/>
        <v>0</v>
      </c>
      <c r="T278" s="1475">
        <f t="shared" si="69"/>
        <v>0</v>
      </c>
      <c r="U278" s="1475">
        <f t="shared" si="69"/>
        <v>0</v>
      </c>
      <c r="V278" s="1475">
        <f t="shared" si="69"/>
        <v>0</v>
      </c>
      <c r="W278" s="1475">
        <f t="shared" si="69"/>
        <v>0</v>
      </c>
      <c r="X278" s="1475">
        <f t="shared" si="69"/>
        <v>0</v>
      </c>
      <c r="Y278" s="1475">
        <f t="shared" si="69"/>
        <v>0</v>
      </c>
      <c r="Z278" s="1475">
        <f t="shared" si="69"/>
        <v>0</v>
      </c>
      <c r="AA278" s="1475">
        <f t="shared" si="69"/>
        <v>0</v>
      </c>
      <c r="AB278" s="1475">
        <f t="shared" si="69"/>
        <v>0</v>
      </c>
      <c r="AC278" s="1475">
        <f t="shared" si="69"/>
        <v>0</v>
      </c>
      <c r="AD278" s="1475">
        <f t="shared" si="69"/>
        <v>0</v>
      </c>
      <c r="AE278" s="1475">
        <f t="shared" si="69"/>
        <v>0</v>
      </c>
      <c r="AF278" s="1475">
        <f t="shared" si="69"/>
        <v>0</v>
      </c>
      <c r="AG278" s="1476"/>
      <c r="AH278" s="1354">
        <f t="shared" si="56"/>
        <v>0</v>
      </c>
      <c r="AI278" s="1355"/>
      <c r="AJ278" s="1354">
        <f t="shared" si="57"/>
        <v>0</v>
      </c>
      <c r="AL278" s="1356"/>
      <c r="AM278" s="1357"/>
      <c r="AN278" s="1437"/>
    </row>
    <row r="279" spans="1:40" s="115" customFormat="1" ht="12" hidden="1" customHeight="1">
      <c r="A279" s="1270"/>
      <c r="B279" s="1317"/>
      <c r="C279" s="1349"/>
      <c r="D279" s="1349"/>
      <c r="E279" s="1350"/>
      <c r="F279" s="1349"/>
      <c r="G279" s="1350"/>
      <c r="H279" s="1481"/>
      <c r="I279" s="1479"/>
      <c r="J279" s="1479"/>
      <c r="K279" s="1479"/>
      <c r="L279" s="1479"/>
      <c r="M279" s="1479"/>
      <c r="N279" s="1479"/>
      <c r="O279" s="1479"/>
      <c r="P279" s="1479"/>
      <c r="Q279" s="1479"/>
      <c r="R279" s="1479"/>
      <c r="S279" s="1479"/>
      <c r="T279" s="1479"/>
      <c r="U279" s="1479"/>
      <c r="V279" s="1479"/>
      <c r="W279" s="1479"/>
      <c r="X279" s="1479"/>
      <c r="Y279" s="1479"/>
      <c r="Z279" s="1479"/>
      <c r="AA279" s="1479"/>
      <c r="AB279" s="1479"/>
      <c r="AC279" s="1479"/>
      <c r="AD279" s="1479"/>
      <c r="AE279" s="1479"/>
      <c r="AF279" s="1479"/>
      <c r="AH279" s="1354">
        <f t="shared" si="56"/>
        <v>0</v>
      </c>
      <c r="AI279" s="1355"/>
      <c r="AJ279" s="1354">
        <f t="shared" si="57"/>
        <v>0</v>
      </c>
      <c r="AL279" s="1357"/>
      <c r="AM279" s="1357"/>
      <c r="AN279" s="1357"/>
    </row>
    <row r="280" spans="1:40" s="115" customFormat="1" ht="12" hidden="1" customHeight="1">
      <c r="A280" s="1270"/>
      <c r="B280" s="1317"/>
      <c r="C280" s="1482">
        <f>F280+H280</f>
        <v>1.25</v>
      </c>
      <c r="D280" s="1349"/>
      <c r="E280" s="1473" t="s">
        <v>0</v>
      </c>
      <c r="F280" s="1350">
        <v>1</v>
      </c>
      <c r="G280" s="1478">
        <f t="shared" ref="G280:G290" si="70">$O$66</f>
        <v>0.25</v>
      </c>
      <c r="H280" s="1481">
        <f>$P$66</f>
        <v>0.25</v>
      </c>
      <c r="I280" s="1475">
        <f t="shared" ref="I280:AF280" si="71">(I177+I216+I248)*I57</f>
        <v>0</v>
      </c>
      <c r="J280" s="1475">
        <f t="shared" si="71"/>
        <v>0</v>
      </c>
      <c r="K280" s="1475">
        <f t="shared" si="71"/>
        <v>0</v>
      </c>
      <c r="L280" s="1475">
        <f t="shared" si="71"/>
        <v>0</v>
      </c>
      <c r="M280" s="1475">
        <f t="shared" si="71"/>
        <v>0</v>
      </c>
      <c r="N280" s="1475">
        <f t="shared" si="71"/>
        <v>0</v>
      </c>
      <c r="O280" s="1475">
        <f t="shared" si="71"/>
        <v>0</v>
      </c>
      <c r="P280" s="1475">
        <f t="shared" si="71"/>
        <v>0</v>
      </c>
      <c r="Q280" s="1475">
        <f t="shared" si="71"/>
        <v>0</v>
      </c>
      <c r="R280" s="1475">
        <f t="shared" si="71"/>
        <v>0</v>
      </c>
      <c r="S280" s="1475">
        <f t="shared" si="71"/>
        <v>0</v>
      </c>
      <c r="T280" s="1475">
        <f t="shared" si="71"/>
        <v>0</v>
      </c>
      <c r="U280" s="1475">
        <f t="shared" si="71"/>
        <v>0</v>
      </c>
      <c r="V280" s="1475">
        <f t="shared" si="71"/>
        <v>0</v>
      </c>
      <c r="W280" s="1475">
        <f t="shared" si="71"/>
        <v>0</v>
      </c>
      <c r="X280" s="1475">
        <f t="shared" si="71"/>
        <v>0</v>
      </c>
      <c r="Y280" s="1475">
        <f t="shared" si="71"/>
        <v>0</v>
      </c>
      <c r="Z280" s="1475">
        <f t="shared" si="71"/>
        <v>0</v>
      </c>
      <c r="AA280" s="1475">
        <f t="shared" si="71"/>
        <v>0</v>
      </c>
      <c r="AB280" s="1475">
        <f t="shared" si="71"/>
        <v>0</v>
      </c>
      <c r="AC280" s="1475">
        <f t="shared" si="71"/>
        <v>0</v>
      </c>
      <c r="AD280" s="1475">
        <f t="shared" si="71"/>
        <v>0</v>
      </c>
      <c r="AE280" s="1475">
        <f t="shared" si="71"/>
        <v>0</v>
      </c>
      <c r="AF280" s="1475">
        <f t="shared" si="71"/>
        <v>0</v>
      </c>
      <c r="AG280" s="1476"/>
      <c r="AH280" s="1354">
        <f t="shared" si="56"/>
        <v>0</v>
      </c>
      <c r="AI280" s="1355"/>
      <c r="AJ280" s="1354">
        <f t="shared" si="57"/>
        <v>0</v>
      </c>
      <c r="AL280" s="1356"/>
      <c r="AM280" s="1357"/>
      <c r="AN280" s="1437"/>
    </row>
    <row r="281" spans="1:40" s="115" customFormat="1" ht="12" hidden="1" customHeight="1">
      <c r="A281" s="1270"/>
      <c r="B281" s="1317"/>
      <c r="C281" s="1482">
        <f>F281+H281</f>
        <v>300.25</v>
      </c>
      <c r="D281" s="1349"/>
      <c r="E281" s="1473" t="s">
        <v>1</v>
      </c>
      <c r="F281" s="1350">
        <v>300</v>
      </c>
      <c r="G281" s="1478">
        <f t="shared" si="70"/>
        <v>0.25</v>
      </c>
      <c r="H281" s="1481">
        <f>$P$66</f>
        <v>0.25</v>
      </c>
      <c r="I281" s="1475">
        <f t="shared" ref="I281:AF281" si="72">(I178+I217+I249)*I57</f>
        <v>0</v>
      </c>
      <c r="J281" s="1475">
        <f t="shared" si="72"/>
        <v>0</v>
      </c>
      <c r="K281" s="1475">
        <f t="shared" si="72"/>
        <v>0</v>
      </c>
      <c r="L281" s="1475">
        <f t="shared" si="72"/>
        <v>0</v>
      </c>
      <c r="M281" s="1475">
        <f t="shared" si="72"/>
        <v>0</v>
      </c>
      <c r="N281" s="1475">
        <f t="shared" si="72"/>
        <v>0</v>
      </c>
      <c r="O281" s="1475">
        <f t="shared" si="72"/>
        <v>0</v>
      </c>
      <c r="P281" s="1475">
        <f t="shared" si="72"/>
        <v>0</v>
      </c>
      <c r="Q281" s="1475">
        <f t="shared" si="72"/>
        <v>0</v>
      </c>
      <c r="R281" s="1475">
        <f t="shared" si="72"/>
        <v>0</v>
      </c>
      <c r="S281" s="1475">
        <f t="shared" si="72"/>
        <v>0</v>
      </c>
      <c r="T281" s="1475">
        <f t="shared" si="72"/>
        <v>0</v>
      </c>
      <c r="U281" s="1475">
        <f t="shared" si="72"/>
        <v>0</v>
      </c>
      <c r="V281" s="1475">
        <f t="shared" si="72"/>
        <v>0</v>
      </c>
      <c r="W281" s="1475">
        <f t="shared" si="72"/>
        <v>0</v>
      </c>
      <c r="X281" s="1475">
        <f t="shared" si="72"/>
        <v>0</v>
      </c>
      <c r="Y281" s="1475">
        <f t="shared" si="72"/>
        <v>0</v>
      </c>
      <c r="Z281" s="1475">
        <f t="shared" si="72"/>
        <v>0</v>
      </c>
      <c r="AA281" s="1475">
        <f t="shared" si="72"/>
        <v>0</v>
      </c>
      <c r="AB281" s="1475">
        <f t="shared" si="72"/>
        <v>0</v>
      </c>
      <c r="AC281" s="1475">
        <f t="shared" si="72"/>
        <v>0</v>
      </c>
      <c r="AD281" s="1475">
        <f t="shared" si="72"/>
        <v>0</v>
      </c>
      <c r="AE281" s="1475">
        <f t="shared" si="72"/>
        <v>0</v>
      </c>
      <c r="AF281" s="1475">
        <f t="shared" si="72"/>
        <v>0</v>
      </c>
      <c r="AG281" s="1476"/>
      <c r="AH281" s="1354">
        <f t="shared" si="56"/>
        <v>0</v>
      </c>
      <c r="AI281" s="1355"/>
      <c r="AJ281" s="1354">
        <f t="shared" si="57"/>
        <v>0</v>
      </c>
      <c r="AL281" s="1356"/>
      <c r="AM281" s="1357"/>
      <c r="AN281" s="1437"/>
    </row>
    <row r="282" spans="1:40" s="115" customFormat="1" ht="12" hidden="1" customHeight="1">
      <c r="A282" s="1270"/>
      <c r="B282" s="1317"/>
      <c r="C282" s="1482">
        <f>F282+H282</f>
        <v>600.25</v>
      </c>
      <c r="D282" s="1349"/>
      <c r="E282" s="1473" t="s">
        <v>2</v>
      </c>
      <c r="F282" s="1350">
        <v>600</v>
      </c>
      <c r="G282" s="1478">
        <f t="shared" si="70"/>
        <v>0.25</v>
      </c>
      <c r="H282" s="1481">
        <f>$P$66</f>
        <v>0.25</v>
      </c>
      <c r="I282" s="1475">
        <f t="shared" ref="I282:AF282" si="73">(I179+I218+I250)*I57</f>
        <v>0</v>
      </c>
      <c r="J282" s="1475">
        <f t="shared" si="73"/>
        <v>0</v>
      </c>
      <c r="K282" s="1475">
        <f t="shared" si="73"/>
        <v>0</v>
      </c>
      <c r="L282" s="1475">
        <f t="shared" si="73"/>
        <v>0</v>
      </c>
      <c r="M282" s="1475">
        <f t="shared" si="73"/>
        <v>0</v>
      </c>
      <c r="N282" s="1475">
        <f t="shared" si="73"/>
        <v>0</v>
      </c>
      <c r="O282" s="1475">
        <f t="shared" si="73"/>
        <v>0</v>
      </c>
      <c r="P282" s="1475">
        <f t="shared" si="73"/>
        <v>0</v>
      </c>
      <c r="Q282" s="1475">
        <f t="shared" si="73"/>
        <v>0</v>
      </c>
      <c r="R282" s="1475">
        <f t="shared" si="73"/>
        <v>0</v>
      </c>
      <c r="S282" s="1475">
        <f t="shared" si="73"/>
        <v>0</v>
      </c>
      <c r="T282" s="1475">
        <f t="shared" si="73"/>
        <v>0</v>
      </c>
      <c r="U282" s="1475">
        <f t="shared" si="73"/>
        <v>0</v>
      </c>
      <c r="V282" s="1475">
        <f t="shared" si="73"/>
        <v>0</v>
      </c>
      <c r="W282" s="1475">
        <f t="shared" si="73"/>
        <v>0</v>
      </c>
      <c r="X282" s="1475">
        <f t="shared" si="73"/>
        <v>0</v>
      </c>
      <c r="Y282" s="1475">
        <f t="shared" si="73"/>
        <v>0</v>
      </c>
      <c r="Z282" s="1475">
        <f t="shared" si="73"/>
        <v>0</v>
      </c>
      <c r="AA282" s="1475">
        <f t="shared" si="73"/>
        <v>0</v>
      </c>
      <c r="AB282" s="1475">
        <f t="shared" si="73"/>
        <v>0</v>
      </c>
      <c r="AC282" s="1475">
        <f t="shared" si="73"/>
        <v>0</v>
      </c>
      <c r="AD282" s="1475">
        <f t="shared" si="73"/>
        <v>0</v>
      </c>
      <c r="AE282" s="1475">
        <f t="shared" si="73"/>
        <v>0</v>
      </c>
      <c r="AF282" s="1475">
        <f t="shared" si="73"/>
        <v>0</v>
      </c>
      <c r="AG282" s="1476"/>
      <c r="AH282" s="1354">
        <f t="shared" si="56"/>
        <v>0</v>
      </c>
      <c r="AI282" s="1355"/>
      <c r="AJ282" s="1354">
        <f t="shared" si="57"/>
        <v>0</v>
      </c>
      <c r="AL282" s="1356"/>
      <c r="AM282" s="1357"/>
      <c r="AN282" s="1437"/>
    </row>
    <row r="283" spans="1:40" s="115" customFormat="1" ht="12" hidden="1" customHeight="1">
      <c r="A283" s="1270"/>
      <c r="B283" s="1317"/>
      <c r="C283" s="1482">
        <f>F283+H283</f>
        <v>900.25</v>
      </c>
      <c r="D283" s="1349"/>
      <c r="E283" s="1473" t="s">
        <v>3</v>
      </c>
      <c r="F283" s="1350">
        <v>900</v>
      </c>
      <c r="G283" s="1478">
        <f t="shared" si="70"/>
        <v>0.25</v>
      </c>
      <c r="H283" s="1481">
        <f>$P$66</f>
        <v>0.25</v>
      </c>
      <c r="I283" s="1475">
        <f t="shared" ref="I283:AF283" si="74">(I180+I219+I251)*I57</f>
        <v>0</v>
      </c>
      <c r="J283" s="1475">
        <f t="shared" si="74"/>
        <v>0</v>
      </c>
      <c r="K283" s="1475">
        <f t="shared" si="74"/>
        <v>0</v>
      </c>
      <c r="L283" s="1475">
        <f t="shared" si="74"/>
        <v>0</v>
      </c>
      <c r="M283" s="1475">
        <f t="shared" si="74"/>
        <v>0</v>
      </c>
      <c r="N283" s="1475">
        <f t="shared" si="74"/>
        <v>0</v>
      </c>
      <c r="O283" s="1475">
        <f t="shared" si="74"/>
        <v>0</v>
      </c>
      <c r="P283" s="1475">
        <f t="shared" si="74"/>
        <v>0</v>
      </c>
      <c r="Q283" s="1475">
        <f t="shared" si="74"/>
        <v>0</v>
      </c>
      <c r="R283" s="1475">
        <f t="shared" si="74"/>
        <v>0</v>
      </c>
      <c r="S283" s="1475">
        <f t="shared" si="74"/>
        <v>0</v>
      </c>
      <c r="T283" s="1475">
        <f t="shared" si="74"/>
        <v>0</v>
      </c>
      <c r="U283" s="1475">
        <f t="shared" si="74"/>
        <v>0</v>
      </c>
      <c r="V283" s="1475">
        <f t="shared" si="74"/>
        <v>0</v>
      </c>
      <c r="W283" s="1475">
        <f t="shared" si="74"/>
        <v>0</v>
      </c>
      <c r="X283" s="1475">
        <f t="shared" si="74"/>
        <v>0</v>
      </c>
      <c r="Y283" s="1475">
        <f t="shared" si="74"/>
        <v>0</v>
      </c>
      <c r="Z283" s="1475">
        <f t="shared" si="74"/>
        <v>0</v>
      </c>
      <c r="AA283" s="1475">
        <f t="shared" si="74"/>
        <v>0</v>
      </c>
      <c r="AB283" s="1475">
        <f t="shared" si="74"/>
        <v>0</v>
      </c>
      <c r="AC283" s="1475">
        <f t="shared" si="74"/>
        <v>0</v>
      </c>
      <c r="AD283" s="1475">
        <f t="shared" si="74"/>
        <v>0</v>
      </c>
      <c r="AE283" s="1475">
        <f t="shared" si="74"/>
        <v>0</v>
      </c>
      <c r="AF283" s="1475">
        <f t="shared" si="74"/>
        <v>0</v>
      </c>
      <c r="AG283" s="1476"/>
      <c r="AH283" s="1354">
        <f t="shared" si="56"/>
        <v>0</v>
      </c>
      <c r="AI283" s="1355"/>
      <c r="AJ283" s="1354">
        <f t="shared" si="57"/>
        <v>0</v>
      </c>
      <c r="AL283" s="1356"/>
      <c r="AM283" s="1357"/>
      <c r="AN283" s="1437"/>
    </row>
    <row r="284" spans="1:40" s="115" customFormat="1" ht="12" hidden="1" customHeight="1">
      <c r="A284" s="1270"/>
      <c r="B284" s="1625"/>
      <c r="C284" s="1626"/>
      <c r="D284" s="1372"/>
      <c r="E284" s="1633" t="s">
        <v>954</v>
      </c>
      <c r="F284" s="1350"/>
      <c r="G284" s="1632">
        <f t="shared" si="70"/>
        <v>0.25</v>
      </c>
      <c r="H284" s="1368"/>
      <c r="I284" s="1443">
        <f>SUMIF($S$66:$S$67,4,ARBETSBLAD!I57:I58)*I57*$C285</f>
        <v>0</v>
      </c>
      <c r="J284" s="1443">
        <f>SUMIF($S$66:$S$67,4,ARBETSBLAD!J57:J58)*J57*$C285</f>
        <v>0</v>
      </c>
      <c r="K284" s="1443">
        <f>SUMIF($S$66:$S$67,4,ARBETSBLAD!K57:K58)*K57*$C285</f>
        <v>0</v>
      </c>
      <c r="L284" s="1443">
        <f>SUMIF($S$66:$S$67,4,ARBETSBLAD!L57:L58)*L57*$C285</f>
        <v>0</v>
      </c>
      <c r="M284" s="1443">
        <f>SUMIF($S$66:$S$67,4,ARBETSBLAD!M57:M58)*M57*$C285</f>
        <v>0</v>
      </c>
      <c r="N284" s="1443">
        <f>SUMIF($S$66:$S$67,4,ARBETSBLAD!N57:N58)*N57*$C285</f>
        <v>0</v>
      </c>
      <c r="O284" s="1443">
        <f>SUMIF($S$66:$S$67,4,ARBETSBLAD!O57:O58)*O57*$C285</f>
        <v>0</v>
      </c>
      <c r="P284" s="1443">
        <f>SUMIF($S$66:$S$67,4,ARBETSBLAD!P57:P58)*P57*$C285</f>
        <v>0</v>
      </c>
      <c r="Q284" s="1443">
        <f>SUMIF($S$66:$S$67,4,ARBETSBLAD!Q57:Q58)*Q57*$C285</f>
        <v>0</v>
      </c>
      <c r="R284" s="1443">
        <f>SUMIF($S$66:$S$67,4,ARBETSBLAD!R57:R58)*R57*$C285</f>
        <v>0</v>
      </c>
      <c r="S284" s="1443">
        <f>SUMIF($S$66:$S$67,4,ARBETSBLAD!S57:S58)*S57*$C285</f>
        <v>0</v>
      </c>
      <c r="T284" s="1443">
        <f>SUMIF($S$66:$S$67,4,ARBETSBLAD!T57:T58)*T57*$C285</f>
        <v>0</v>
      </c>
      <c r="U284" s="1443">
        <f>SUMIF($S$66:$S$67,4,ARBETSBLAD!U57:U58)*U57*$C285</f>
        <v>0</v>
      </c>
      <c r="V284" s="1443">
        <f>SUMIF($S$66:$S$67,4,ARBETSBLAD!V57:V58)*V57*$C285</f>
        <v>0</v>
      </c>
      <c r="W284" s="1443">
        <f>SUMIF($S$66:$S$67,4,ARBETSBLAD!W57:W58)*W57*$C285</f>
        <v>0</v>
      </c>
      <c r="X284" s="1443">
        <f>SUMIF($S$66:$S$67,4,ARBETSBLAD!X57:X58)*X57*$C285</f>
        <v>0</v>
      </c>
      <c r="Y284" s="1443">
        <f>SUMIF($S$66:$S$67,4,ARBETSBLAD!Y57:Y58)*Y57*$C285</f>
        <v>0</v>
      </c>
      <c r="Z284" s="1443">
        <f>SUMIF($S$66:$S$67,4,ARBETSBLAD!Z57:Z58)*Z57*$C285</f>
        <v>0</v>
      </c>
      <c r="AA284" s="1443">
        <f>SUMIF($S$66:$S$67,4,ARBETSBLAD!AA57:AA58)*AA57*$C285</f>
        <v>0</v>
      </c>
      <c r="AB284" s="1443">
        <f>SUMIF($S$66:$S$67,4,ARBETSBLAD!AB57:AB58)*AB57*$C285</f>
        <v>0</v>
      </c>
      <c r="AC284" s="1443">
        <f>SUMIF($S$66:$S$67,4,ARBETSBLAD!AC57:AC58)*AC57*$C285</f>
        <v>0</v>
      </c>
      <c r="AD284" s="1443">
        <f>SUMIF($S$66:$S$67,4,ARBETSBLAD!AD57:AD58)*AD57*$C285</f>
        <v>0</v>
      </c>
      <c r="AE284" s="1443">
        <f>SUMIF($S$66:$S$67,4,ARBETSBLAD!AE57:AE58)*AE57*$C285</f>
        <v>0</v>
      </c>
      <c r="AF284" s="1443">
        <f>SUMIF($S$66:$S$67,4,ARBETSBLAD!AF57:AF58)*AF57*$C285</f>
        <v>0</v>
      </c>
      <c r="AG284" s="1444"/>
      <c r="AH284" s="1627"/>
      <c r="AI284" s="1355"/>
      <c r="AJ284" s="1627"/>
      <c r="AL284" s="1356"/>
      <c r="AM284" s="1357"/>
      <c r="AN284" s="1437"/>
    </row>
    <row r="285" spans="1:40" s="115" customFormat="1" ht="12" hidden="1" customHeight="1">
      <c r="A285" s="1270"/>
      <c r="B285" s="2350" t="s">
        <v>1276</v>
      </c>
      <c r="C285" s="2351">
        <f>IF($C$58=2,0,1)</f>
        <v>1</v>
      </c>
      <c r="D285" s="1372"/>
      <c r="E285" s="1633" t="s">
        <v>955</v>
      </c>
      <c r="F285" s="1350"/>
      <c r="G285" s="1632">
        <f t="shared" si="70"/>
        <v>0.25</v>
      </c>
      <c r="H285" s="1368"/>
      <c r="I285" s="1443">
        <f>SUMIF($S$66:$S$67,5,ARBETSBLAD!I57:I58)*I57*$C285</f>
        <v>0</v>
      </c>
      <c r="J285" s="1443">
        <f>SUMIF($S$66:$S$67,5,ARBETSBLAD!J57:J58)*J57*$C285</f>
        <v>0</v>
      </c>
      <c r="K285" s="1443">
        <f>SUMIF($S$66:$S$67,5,ARBETSBLAD!K57:K58)*K57*$C285</f>
        <v>0</v>
      </c>
      <c r="L285" s="1443">
        <f>SUMIF($S$66:$S$67,5,ARBETSBLAD!L57:L58)*L57*$C285</f>
        <v>0</v>
      </c>
      <c r="M285" s="1443">
        <f>SUMIF($S$66:$S$67,5,ARBETSBLAD!M57:M58)*M57*$C285</f>
        <v>0</v>
      </c>
      <c r="N285" s="1443">
        <f>SUMIF($S$66:$S$67,5,ARBETSBLAD!N57:N58)*N57*$C285</f>
        <v>0</v>
      </c>
      <c r="O285" s="1443">
        <f>SUMIF($S$66:$S$67,5,ARBETSBLAD!O57:O58)*O57*$C285</f>
        <v>0</v>
      </c>
      <c r="P285" s="1443">
        <f>SUMIF($S$66:$S$67,5,ARBETSBLAD!P57:P58)*P57*$C285</f>
        <v>0</v>
      </c>
      <c r="Q285" s="1443">
        <f>SUMIF($S$66:$S$67,5,ARBETSBLAD!Q57:Q58)*Q57*$C285</f>
        <v>0</v>
      </c>
      <c r="R285" s="1443">
        <f>SUMIF($S$66:$S$67,5,ARBETSBLAD!R57:R58)*R57*$C285</f>
        <v>0</v>
      </c>
      <c r="S285" s="1443">
        <f>SUMIF($S$66:$S$67,5,ARBETSBLAD!S57:S58)*S57*$C285</f>
        <v>0</v>
      </c>
      <c r="T285" s="1443">
        <f>SUMIF($S$66:$S$67,5,ARBETSBLAD!T57:T58)*T57*$C285</f>
        <v>0</v>
      </c>
      <c r="U285" s="1443">
        <f>SUMIF($S$66:$S$67,5,ARBETSBLAD!U57:U58)*U57*$C285</f>
        <v>0</v>
      </c>
      <c r="V285" s="1443">
        <f>SUMIF($S$66:$S$67,5,ARBETSBLAD!V57:V58)*V57*$C285</f>
        <v>0</v>
      </c>
      <c r="W285" s="1443">
        <f>SUMIF($S$66:$S$67,5,ARBETSBLAD!W57:W58)*W57*$C285</f>
        <v>0</v>
      </c>
      <c r="X285" s="1443">
        <f>SUMIF($S$66:$S$67,5,ARBETSBLAD!X57:X58)*X57*$C285</f>
        <v>0</v>
      </c>
      <c r="Y285" s="1443">
        <f>SUMIF($S$66:$S$67,5,ARBETSBLAD!Y57:Y58)*Y57*$C285</f>
        <v>0</v>
      </c>
      <c r="Z285" s="1443">
        <f>SUMIF($S$66:$S$67,5,ARBETSBLAD!Z57:Z58)*Z57*$C285</f>
        <v>0</v>
      </c>
      <c r="AA285" s="1443">
        <f>SUMIF($S$66:$S$67,5,ARBETSBLAD!AA57:AA58)*AA57*$C285</f>
        <v>0</v>
      </c>
      <c r="AB285" s="1443">
        <f>SUMIF($S$66:$S$67,5,ARBETSBLAD!AB57:AB58)*AB57*$C285</f>
        <v>0</v>
      </c>
      <c r="AC285" s="1443">
        <f>SUMIF($S$66:$S$67,5,ARBETSBLAD!AC57:AC58)*AC57*$C285</f>
        <v>0</v>
      </c>
      <c r="AD285" s="1443">
        <f>SUMIF($S$66:$S$67,5,ARBETSBLAD!AD57:AD58)*AD57*$C285</f>
        <v>0</v>
      </c>
      <c r="AE285" s="1443">
        <f>SUMIF($S$66:$S$67,5,ARBETSBLAD!AE57:AE58)*AE57*$C285</f>
        <v>0</v>
      </c>
      <c r="AF285" s="1443">
        <f>SUMIF($S$66:$S$67,5,ARBETSBLAD!AF57:AF58)*AF57*$C285</f>
        <v>0</v>
      </c>
      <c r="AG285" s="1444"/>
      <c r="AH285" s="1627"/>
      <c r="AI285" s="1355"/>
      <c r="AJ285" s="1627"/>
      <c r="AL285" s="1356"/>
      <c r="AM285" s="1357"/>
      <c r="AN285" s="1437"/>
    </row>
    <row r="286" spans="1:40" s="115" customFormat="1" ht="12" hidden="1" customHeight="1">
      <c r="A286" s="1270"/>
      <c r="B286" s="1625"/>
      <c r="C286" s="1626"/>
      <c r="D286" s="1372"/>
      <c r="E286" s="1633" t="s">
        <v>956</v>
      </c>
      <c r="F286" s="1350"/>
      <c r="G286" s="1632">
        <f t="shared" si="70"/>
        <v>0.25</v>
      </c>
      <c r="H286" s="1368"/>
      <c r="I286" s="1443">
        <f>SUMIF($S$66:$S$67,6,ARBETSBLAD!I57:I58)*I57*$C285</f>
        <v>0</v>
      </c>
      <c r="J286" s="1443">
        <f>SUMIF($S$66:$S$67,6,ARBETSBLAD!J57:J58)*J57*$C285</f>
        <v>0</v>
      </c>
      <c r="K286" s="1443">
        <f>SUMIF($S$66:$S$67,6,ARBETSBLAD!K57:K58)*K57*$C285</f>
        <v>0</v>
      </c>
      <c r="L286" s="1443">
        <f>SUMIF($S$66:$S$67,6,ARBETSBLAD!L57:L58)*L57*$C285</f>
        <v>0</v>
      </c>
      <c r="M286" s="1443">
        <f>SUMIF($S$66:$S$67,6,ARBETSBLAD!M57:M58)*M57*$C285</f>
        <v>0</v>
      </c>
      <c r="N286" s="1443">
        <f>SUMIF($S$66:$S$67,6,ARBETSBLAD!N57:N58)*N57*$C285</f>
        <v>0</v>
      </c>
      <c r="O286" s="1443">
        <f>SUMIF($S$66:$S$67,6,ARBETSBLAD!O57:O58)*O57*$C285</f>
        <v>0</v>
      </c>
      <c r="P286" s="1443">
        <f>SUMIF($S$66:$S$67,6,ARBETSBLAD!P57:P58)*P57*$C285</f>
        <v>0</v>
      </c>
      <c r="Q286" s="1443">
        <f>SUMIF($S$66:$S$67,6,ARBETSBLAD!Q57:Q58)*Q57*$C285</f>
        <v>0</v>
      </c>
      <c r="R286" s="1443">
        <f>SUMIF($S$66:$S$67,6,ARBETSBLAD!R57:R58)*R57*$C285</f>
        <v>0</v>
      </c>
      <c r="S286" s="1443">
        <f>SUMIF($S$66:$S$67,6,ARBETSBLAD!S57:S58)*S57*$C285</f>
        <v>0</v>
      </c>
      <c r="T286" s="1443">
        <f>SUMIF($S$66:$S$67,6,ARBETSBLAD!T57:T58)*T57*$C285</f>
        <v>0</v>
      </c>
      <c r="U286" s="1443">
        <f>SUMIF($S$66:$S$67,6,ARBETSBLAD!U57:U58)*U57*$C285</f>
        <v>0</v>
      </c>
      <c r="V286" s="1443">
        <f>SUMIF($S$66:$S$67,6,ARBETSBLAD!V57:V58)*V57*$C285</f>
        <v>0</v>
      </c>
      <c r="W286" s="1443">
        <f>SUMIF($S$66:$S$67,6,ARBETSBLAD!W57:W58)*W57*$C285</f>
        <v>0</v>
      </c>
      <c r="X286" s="1443">
        <f>SUMIF($S$66:$S$67,6,ARBETSBLAD!X57:X58)*X57*$C285</f>
        <v>0</v>
      </c>
      <c r="Y286" s="1443">
        <f>SUMIF($S$66:$S$67,6,ARBETSBLAD!Y57:Y58)*Y57*$C285</f>
        <v>0</v>
      </c>
      <c r="Z286" s="1443">
        <f>SUMIF($S$66:$S$67,6,ARBETSBLAD!Z57:Z58)*Z57*$C285</f>
        <v>0</v>
      </c>
      <c r="AA286" s="1443">
        <f>SUMIF($S$66:$S$67,6,ARBETSBLAD!AA57:AA58)*AA57*$C285</f>
        <v>0</v>
      </c>
      <c r="AB286" s="1443">
        <f>SUMIF($S$66:$S$67,6,ARBETSBLAD!AB57:AB58)*AB57*$C285</f>
        <v>0</v>
      </c>
      <c r="AC286" s="1443">
        <f>SUMIF($S$66:$S$67,6,ARBETSBLAD!AC57:AC58)*AC57*$C285</f>
        <v>0</v>
      </c>
      <c r="AD286" s="1443">
        <f>SUMIF($S$66:$S$67,6,ARBETSBLAD!AD57:AD58)*AD57*$C285</f>
        <v>0</v>
      </c>
      <c r="AE286" s="1443">
        <f>SUMIF($S$66:$S$67,6,ARBETSBLAD!AE57:AE58)*AE57*$C285</f>
        <v>0</v>
      </c>
      <c r="AF286" s="1443">
        <f>SUMIF($S$66:$S$67,6,ARBETSBLAD!AF57:AF58)*AF57*$C285</f>
        <v>0</v>
      </c>
      <c r="AG286" s="1444"/>
      <c r="AH286" s="1627"/>
      <c r="AI286" s="1355"/>
      <c r="AJ286" s="1627"/>
      <c r="AL286" s="1356"/>
      <c r="AM286" s="1357"/>
      <c r="AN286" s="1437"/>
    </row>
    <row r="287" spans="1:40" s="115" customFormat="1" ht="12" hidden="1" customHeight="1">
      <c r="A287" s="1270"/>
      <c r="B287" s="1625"/>
      <c r="C287" s="1626"/>
      <c r="D287" s="1372"/>
      <c r="E287" s="1633" t="s">
        <v>957</v>
      </c>
      <c r="F287" s="1350"/>
      <c r="G287" s="1632">
        <f t="shared" si="70"/>
        <v>0.25</v>
      </c>
      <c r="H287" s="1368"/>
      <c r="I287" s="1443">
        <f>SUMIF($S$66:$S$67,7,ARBETSBLAD!I57:I58)*I57*$C285</f>
        <v>0</v>
      </c>
      <c r="J287" s="1443">
        <f>SUMIF($S$66:$S$67,7,ARBETSBLAD!J57:J58)*J57*$C285</f>
        <v>0</v>
      </c>
      <c r="K287" s="1443">
        <f>SUMIF($S$66:$S$67,7,ARBETSBLAD!K57:K58)*K57*$C285</f>
        <v>0</v>
      </c>
      <c r="L287" s="1443">
        <f>SUMIF($S$66:$S$67,7,ARBETSBLAD!L57:L58)*L57*$C285</f>
        <v>0</v>
      </c>
      <c r="M287" s="1443">
        <f>SUMIF($S$66:$S$67,7,ARBETSBLAD!M57:M58)*M57*$C285</f>
        <v>0</v>
      </c>
      <c r="N287" s="1443">
        <f>SUMIF($S$66:$S$67,7,ARBETSBLAD!N57:N58)*N57*$C285</f>
        <v>0</v>
      </c>
      <c r="O287" s="1443">
        <f>SUMIF($S$66:$S$67,7,ARBETSBLAD!O57:O58)*O57*$C285</f>
        <v>0</v>
      </c>
      <c r="P287" s="1443">
        <f>SUMIF($S$66:$S$67,7,ARBETSBLAD!P57:P58)*P57*$C285</f>
        <v>0</v>
      </c>
      <c r="Q287" s="1443">
        <f>SUMIF($S$66:$S$67,7,ARBETSBLAD!Q57:Q58)*Q57*$C285</f>
        <v>0</v>
      </c>
      <c r="R287" s="1443">
        <f>SUMIF($S$66:$S$67,7,ARBETSBLAD!R57:R58)*R57*$C285</f>
        <v>0</v>
      </c>
      <c r="S287" s="1443">
        <f>SUMIF($S$66:$S$67,7,ARBETSBLAD!S57:S58)*S57*$C285</f>
        <v>0</v>
      </c>
      <c r="T287" s="1443">
        <f>SUMIF($S$66:$S$67,7,ARBETSBLAD!T57:T58)*T57*$C285</f>
        <v>0</v>
      </c>
      <c r="U287" s="1443">
        <f>SUMIF($S$66:$S$67,7,ARBETSBLAD!U57:U58)*U57*$C285</f>
        <v>0</v>
      </c>
      <c r="V287" s="1443">
        <f>SUMIF($S$66:$S$67,7,ARBETSBLAD!V57:V58)*V57*$C285</f>
        <v>0</v>
      </c>
      <c r="W287" s="1443">
        <f>SUMIF($S$66:$S$67,7,ARBETSBLAD!W57:W58)*W57*$C285</f>
        <v>0</v>
      </c>
      <c r="X287" s="1443">
        <f>SUMIF($S$66:$S$67,7,ARBETSBLAD!X57:X58)*X57*$C285</f>
        <v>0</v>
      </c>
      <c r="Y287" s="1443">
        <f>SUMIF($S$66:$S$67,7,ARBETSBLAD!Y57:Y58)*Y57*$C285</f>
        <v>0</v>
      </c>
      <c r="Z287" s="1443">
        <f>SUMIF($S$66:$S$67,7,ARBETSBLAD!Z57:Z58)*Z57*$C285</f>
        <v>0</v>
      </c>
      <c r="AA287" s="1443">
        <f>SUMIF($S$66:$S$67,7,ARBETSBLAD!AA57:AA58)*AA57*$C285</f>
        <v>0</v>
      </c>
      <c r="AB287" s="1443">
        <f>SUMIF($S$66:$S$67,7,ARBETSBLAD!AB57:AB58)*AB57*$C285</f>
        <v>0</v>
      </c>
      <c r="AC287" s="1443">
        <f>SUMIF($S$66:$S$67,7,ARBETSBLAD!AC57:AC58)*AC57*$C285</f>
        <v>0</v>
      </c>
      <c r="AD287" s="1443">
        <f>SUMIF($S$66:$S$67,7,ARBETSBLAD!AD57:AD58)*AD57*$C285</f>
        <v>0</v>
      </c>
      <c r="AE287" s="1443">
        <f>SUMIF($S$66:$S$67,7,ARBETSBLAD!AE57:AE58)*AE57*$C285</f>
        <v>0</v>
      </c>
      <c r="AF287" s="1443">
        <f>SUMIF($S$66:$S$67,7,ARBETSBLAD!AF57:AF58)*AF57*$C285</f>
        <v>0</v>
      </c>
      <c r="AG287" s="1444"/>
      <c r="AH287" s="1627"/>
      <c r="AI287" s="1355"/>
      <c r="AJ287" s="1627"/>
      <c r="AL287" s="1356"/>
      <c r="AM287" s="1357"/>
      <c r="AN287" s="1437"/>
    </row>
    <row r="288" spans="1:40" s="115" customFormat="1" ht="12" hidden="1" customHeight="1">
      <c r="A288" s="1270"/>
      <c r="B288" s="1625"/>
      <c r="C288" s="1626"/>
      <c r="D288" s="1372"/>
      <c r="E288" s="1633" t="s">
        <v>958</v>
      </c>
      <c r="F288" s="1350"/>
      <c r="G288" s="1632">
        <f t="shared" si="70"/>
        <v>0.25</v>
      </c>
      <c r="H288" s="1368"/>
      <c r="I288" s="1443">
        <f>SUMIF($S$66:$S$67,8,ARBETSBLAD!I57:I58)*I57*$C285</f>
        <v>0</v>
      </c>
      <c r="J288" s="1443">
        <f>SUMIF($S$66:$S$67,8,ARBETSBLAD!J57:J58)*J57*$C285</f>
        <v>0</v>
      </c>
      <c r="K288" s="1443">
        <f>SUMIF($S$66:$S$67,8,ARBETSBLAD!K57:K58)*K57*$C285</f>
        <v>0</v>
      </c>
      <c r="L288" s="1443">
        <f>SUMIF($S$66:$S$67,8,ARBETSBLAD!L57:L58)*L57*$C285</f>
        <v>0</v>
      </c>
      <c r="M288" s="1443">
        <f>SUMIF($S$66:$S$67,8,ARBETSBLAD!M57:M58)*M57*$C285</f>
        <v>0</v>
      </c>
      <c r="N288" s="1443">
        <f>SUMIF($S$66:$S$67,8,ARBETSBLAD!N57:N58)*N57*$C285</f>
        <v>0</v>
      </c>
      <c r="O288" s="1443">
        <f>SUMIF($S$66:$S$67,8,ARBETSBLAD!O57:O58)*O57*$C285</f>
        <v>0</v>
      </c>
      <c r="P288" s="1443">
        <f>SUMIF($S$66:$S$67,8,ARBETSBLAD!P57:P58)*P57*$C285</f>
        <v>0</v>
      </c>
      <c r="Q288" s="1443">
        <f>SUMIF($S$66:$S$67,8,ARBETSBLAD!Q57:Q58)*Q57*$C285</f>
        <v>0</v>
      </c>
      <c r="R288" s="1443">
        <f>SUMIF($S$66:$S$67,8,ARBETSBLAD!R57:R58)*R57*$C285</f>
        <v>0</v>
      </c>
      <c r="S288" s="1443">
        <f>SUMIF($S$66:$S$67,8,ARBETSBLAD!S57:S58)*S57*$C285</f>
        <v>0</v>
      </c>
      <c r="T288" s="1443">
        <f>SUMIF($S$66:$S$67,8,ARBETSBLAD!T57:T58)*T57*$C285</f>
        <v>0</v>
      </c>
      <c r="U288" s="1443">
        <f>SUMIF($S$66:$S$67,8,ARBETSBLAD!U57:U58)*U57*$C285</f>
        <v>0</v>
      </c>
      <c r="V288" s="1443">
        <f>SUMIF($S$66:$S$67,8,ARBETSBLAD!V57:V58)*V57*$C285</f>
        <v>0</v>
      </c>
      <c r="W288" s="1443">
        <f>SUMIF($S$66:$S$67,8,ARBETSBLAD!W57:W58)*W57*$C285</f>
        <v>0</v>
      </c>
      <c r="X288" s="1443">
        <f>SUMIF($S$66:$S$67,8,ARBETSBLAD!X57:X58)*X57*$C285</f>
        <v>0</v>
      </c>
      <c r="Y288" s="1443">
        <f>SUMIF($S$66:$S$67,8,ARBETSBLAD!Y57:Y58)*Y57*$C285</f>
        <v>0</v>
      </c>
      <c r="Z288" s="1443">
        <f>SUMIF($S$66:$S$67,8,ARBETSBLAD!Z57:Z58)*Z57*$C285</f>
        <v>0</v>
      </c>
      <c r="AA288" s="1443">
        <f>SUMIF($S$66:$S$67,8,ARBETSBLAD!AA57:AA58)*AA57*$C285</f>
        <v>0</v>
      </c>
      <c r="AB288" s="1443">
        <f>SUMIF($S$66:$S$67,8,ARBETSBLAD!AB57:AB58)*AB57*$C285</f>
        <v>0</v>
      </c>
      <c r="AC288" s="1443">
        <f>SUMIF($S$66:$S$67,8,ARBETSBLAD!AC57:AC58)*AC57*$C285</f>
        <v>0</v>
      </c>
      <c r="AD288" s="1443">
        <f>SUMIF($S$66:$S$67,8,ARBETSBLAD!AD57:AD58)*AD57*$C285</f>
        <v>0</v>
      </c>
      <c r="AE288" s="1443">
        <f>SUMIF($S$66:$S$67,8,ARBETSBLAD!AE57:AE58)*AE57*$C285</f>
        <v>0</v>
      </c>
      <c r="AF288" s="1443">
        <f>SUMIF($S$66:$S$67,8,ARBETSBLAD!AF57:AF58)*AF57*$C285</f>
        <v>0</v>
      </c>
      <c r="AG288" s="1444"/>
      <c r="AH288" s="1627"/>
      <c r="AI288" s="1355"/>
      <c r="AJ288" s="1627"/>
      <c r="AL288" s="1356"/>
      <c r="AM288" s="1357"/>
      <c r="AN288" s="1437"/>
    </row>
    <row r="289" spans="1:40" s="115" customFormat="1" ht="12" hidden="1" customHeight="1">
      <c r="A289" s="1270"/>
      <c r="B289" s="1625"/>
      <c r="C289" s="1626"/>
      <c r="D289" s="1372"/>
      <c r="E289" s="1633" t="s">
        <v>959</v>
      </c>
      <c r="F289" s="1350"/>
      <c r="G289" s="1632">
        <f t="shared" si="70"/>
        <v>0.25</v>
      </c>
      <c r="H289" s="1368"/>
      <c r="I289" s="1443">
        <f>SUMIF($S$66:$S$67,9,ARBETSBLAD!I57:I58)*I57*$C285</f>
        <v>0</v>
      </c>
      <c r="J289" s="1443">
        <f>SUMIF($S$66:$S$67,9,ARBETSBLAD!J57:J58)*J57*$C285</f>
        <v>0</v>
      </c>
      <c r="K289" s="1443">
        <f>SUMIF($S$66:$S$67,9,ARBETSBLAD!K57:K58)*K57*$C285</f>
        <v>0</v>
      </c>
      <c r="L289" s="1443">
        <f>SUMIF($S$66:$S$67,9,ARBETSBLAD!L57:L58)*L57*$C285</f>
        <v>0</v>
      </c>
      <c r="M289" s="1443">
        <f>SUMIF($S$66:$S$67,9,ARBETSBLAD!M57:M58)*M57*$C285</f>
        <v>0</v>
      </c>
      <c r="N289" s="1443">
        <f>SUMIF($S$66:$S$67,9,ARBETSBLAD!N57:N58)*N57*$C285</f>
        <v>0</v>
      </c>
      <c r="O289" s="1443">
        <f>SUMIF($S$66:$S$67,9,ARBETSBLAD!O57:O58)*O57*$C285</f>
        <v>0</v>
      </c>
      <c r="P289" s="1443">
        <f>SUMIF($S$66:$S$67,9,ARBETSBLAD!P57:P58)*P57*$C285</f>
        <v>0</v>
      </c>
      <c r="Q289" s="1443">
        <f>SUMIF($S$66:$S$67,9,ARBETSBLAD!Q57:Q58)*Q57*$C285</f>
        <v>0</v>
      </c>
      <c r="R289" s="1443">
        <f>SUMIF($S$66:$S$67,9,ARBETSBLAD!R57:R58)*R57*$C285</f>
        <v>0</v>
      </c>
      <c r="S289" s="1443">
        <f>SUMIF($S$66:$S$67,9,ARBETSBLAD!S57:S58)*S57*$C285</f>
        <v>0</v>
      </c>
      <c r="T289" s="1443">
        <f>SUMIF($S$66:$S$67,9,ARBETSBLAD!T57:T58)*T57*$C285</f>
        <v>0</v>
      </c>
      <c r="U289" s="1443">
        <f>SUMIF($S$66:$S$67,9,ARBETSBLAD!U57:U58)*U57*$C285</f>
        <v>0</v>
      </c>
      <c r="V289" s="1443">
        <f>SUMIF($S$66:$S$67,9,ARBETSBLAD!V57:V58)*V57*$C285</f>
        <v>0</v>
      </c>
      <c r="W289" s="1443">
        <f>SUMIF($S$66:$S$67,9,ARBETSBLAD!W57:W58)*W57*$C285</f>
        <v>0</v>
      </c>
      <c r="X289" s="1443">
        <f>SUMIF($S$66:$S$67,9,ARBETSBLAD!X57:X58)*X57*$C285</f>
        <v>0</v>
      </c>
      <c r="Y289" s="1443">
        <f>SUMIF($S$66:$S$67,9,ARBETSBLAD!Y57:Y58)*Y57*$C285</f>
        <v>0</v>
      </c>
      <c r="Z289" s="1443">
        <f>SUMIF($S$66:$S$67,9,ARBETSBLAD!Z57:Z58)*Z57*$C285</f>
        <v>0</v>
      </c>
      <c r="AA289" s="1443">
        <f>SUMIF($S$66:$S$67,9,ARBETSBLAD!AA57:AA58)*AA57*$C285</f>
        <v>0</v>
      </c>
      <c r="AB289" s="1443">
        <f>SUMIF($S$66:$S$67,9,ARBETSBLAD!AB57:AB58)*AB57*$C285</f>
        <v>0</v>
      </c>
      <c r="AC289" s="1443">
        <f>SUMIF($S$66:$S$67,9,ARBETSBLAD!AC57:AC58)*AC57*$C285</f>
        <v>0</v>
      </c>
      <c r="AD289" s="1443">
        <f>SUMIF($S$66:$S$67,9,ARBETSBLAD!AD57:AD58)*AD57*$C285</f>
        <v>0</v>
      </c>
      <c r="AE289" s="1443">
        <f>SUMIF($S$66:$S$67,9,ARBETSBLAD!AE57:AE58)*AE57*$C285</f>
        <v>0</v>
      </c>
      <c r="AF289" s="1443">
        <f>SUMIF($S$66:$S$67,9,ARBETSBLAD!AF57:AF58)*AF57*$C285</f>
        <v>0</v>
      </c>
      <c r="AG289" s="1444"/>
      <c r="AH289" s="1627"/>
      <c r="AI289" s="1355"/>
      <c r="AJ289" s="1627"/>
      <c r="AL289" s="1356"/>
      <c r="AM289" s="1357"/>
      <c r="AN289" s="1437"/>
    </row>
    <row r="290" spans="1:40" s="115" customFormat="1" ht="12" hidden="1" customHeight="1" thickBot="1">
      <c r="A290" s="1270"/>
      <c r="B290" s="1625"/>
      <c r="C290" s="1626"/>
      <c r="D290" s="1372"/>
      <c r="E290" s="1633" t="s">
        <v>960</v>
      </c>
      <c r="F290" s="1350"/>
      <c r="G290" s="1632">
        <f t="shared" si="70"/>
        <v>0.25</v>
      </c>
      <c r="H290" s="1368"/>
      <c r="I290" s="1443">
        <f>SUMIF($S$66:$S$67,10,ARBETSBLAD!I57:I58)*I57*$C285</f>
        <v>0</v>
      </c>
      <c r="J290" s="1443">
        <f>SUMIF($S$66:$S$67,10,ARBETSBLAD!J57:J58)*J57*$C285</f>
        <v>0</v>
      </c>
      <c r="K290" s="1443">
        <f>SUMIF($S$66:$S$67,10,ARBETSBLAD!K57:K58)*K57*$C285</f>
        <v>0</v>
      </c>
      <c r="L290" s="1443">
        <f>SUMIF($S$66:$S$67,10,ARBETSBLAD!L57:L58)*L57*$C285</f>
        <v>0</v>
      </c>
      <c r="M290" s="1443">
        <f>SUMIF($S$66:$S$67,10,ARBETSBLAD!M57:M58)*M57*$C285</f>
        <v>0</v>
      </c>
      <c r="N290" s="1443">
        <f>SUMIF($S$66:$S$67,10,ARBETSBLAD!N57:N58)*N57*$C285</f>
        <v>0</v>
      </c>
      <c r="O290" s="1443">
        <f>SUMIF($S$66:$S$67,10,ARBETSBLAD!O57:O58)*O57*$C285</f>
        <v>0</v>
      </c>
      <c r="P290" s="1443">
        <f>SUMIF($S$66:$S$67,10,ARBETSBLAD!P57:P58)*P57*$C285</f>
        <v>0</v>
      </c>
      <c r="Q290" s="1443">
        <f>SUMIF($S$66:$S$67,10,ARBETSBLAD!Q57:Q58)*Q57*$C285</f>
        <v>0</v>
      </c>
      <c r="R290" s="1443">
        <f>SUMIF($S$66:$S$67,10,ARBETSBLAD!R57:R58)*R57*$C285</f>
        <v>0</v>
      </c>
      <c r="S290" s="1443">
        <f>SUMIF($S$66:$S$67,10,ARBETSBLAD!S57:S58)*S57*$C285</f>
        <v>0</v>
      </c>
      <c r="T290" s="1443">
        <f>SUMIF($S$66:$S$67,10,ARBETSBLAD!T57:T58)*T57*$C285</f>
        <v>0</v>
      </c>
      <c r="U290" s="1443">
        <f>SUMIF($S$66:$S$67,10,ARBETSBLAD!U57:U58)*U57*$C285</f>
        <v>0</v>
      </c>
      <c r="V290" s="1443">
        <f>SUMIF($S$66:$S$67,10,ARBETSBLAD!V57:V58)*V57*$C285</f>
        <v>0</v>
      </c>
      <c r="W290" s="1443">
        <f>SUMIF($S$66:$S$67,10,ARBETSBLAD!W57:W58)*W57*$C285</f>
        <v>0</v>
      </c>
      <c r="X290" s="1443">
        <f>SUMIF($S$66:$S$67,10,ARBETSBLAD!X57:X58)*X57*$C285</f>
        <v>0</v>
      </c>
      <c r="Y290" s="1443">
        <f>SUMIF($S$66:$S$67,10,ARBETSBLAD!Y57:Y58)*Y57*$C285</f>
        <v>0</v>
      </c>
      <c r="Z290" s="1443">
        <f>SUMIF($S$66:$S$67,10,ARBETSBLAD!Z57:Z58)*Z57*$C285</f>
        <v>0</v>
      </c>
      <c r="AA290" s="1443">
        <f>SUMIF($S$66:$S$67,10,ARBETSBLAD!AA57:AA58)*AA57*$C285</f>
        <v>0</v>
      </c>
      <c r="AB290" s="1443">
        <f>SUMIF($S$66:$S$67,10,ARBETSBLAD!AB57:AB58)*AB57*$C285</f>
        <v>0</v>
      </c>
      <c r="AC290" s="1443">
        <f>SUMIF($S$66:$S$67,10,ARBETSBLAD!AC57:AC58)*AC57*$C285</f>
        <v>0</v>
      </c>
      <c r="AD290" s="1443">
        <f>SUMIF($S$66:$S$67,10,ARBETSBLAD!AD57:AD58)*AD57*$C285</f>
        <v>0</v>
      </c>
      <c r="AE290" s="1443">
        <f>SUMIF($S$66:$S$67,10,ARBETSBLAD!AE57:AE58)*AE57*$C285</f>
        <v>0</v>
      </c>
      <c r="AF290" s="1443">
        <f>SUMIF($S$66:$S$67,10,ARBETSBLAD!AF57:AF58)*AF57*$C285</f>
        <v>0</v>
      </c>
      <c r="AG290" s="1444"/>
      <c r="AH290" s="1627"/>
      <c r="AI290" s="1355"/>
      <c r="AJ290" s="1627"/>
      <c r="AL290" s="1356"/>
      <c r="AM290" s="1357"/>
      <c r="AN290" s="1437"/>
    </row>
    <row r="291" spans="1:40" s="115" customFormat="1" ht="12" hidden="1" customHeight="1">
      <c r="A291" s="1270"/>
      <c r="C291" s="1349"/>
      <c r="D291" s="1349"/>
      <c r="F291" s="1317"/>
      <c r="G291" s="1483" t="s">
        <v>212</v>
      </c>
      <c r="H291" s="1317"/>
      <c r="I291" s="1375">
        <f>I265+I270+I275+I280</f>
        <v>0</v>
      </c>
      <c r="J291" s="1375">
        <f>J265+J270+J275+J280+I266+I271+I276+I281</f>
        <v>0</v>
      </c>
      <c r="K291" s="1375">
        <f ca="1">K265+K270+K275+K280+J266+J271+J276+J281+I267+I272+I277+I282</f>
        <v>0</v>
      </c>
      <c r="L291" s="1375">
        <f ca="1">L265+L270+L275+L280+K266+K271+K276+K281+J267+J272+J277+J282+I268+I273+I278+I283</f>
        <v>0</v>
      </c>
      <c r="M291" s="1375">
        <f ca="1">M265+M270+M275+M280+L266+L271+L276+L281+K267+K272+K277+K282+J268+J273+J278+J283+I284</f>
        <v>0</v>
      </c>
      <c r="N291" s="1375">
        <f ca="1">N265+N270+N275+N280+M266+M271+M276+M281+L267+L272+L277+L282+K268+K273+K278+K283+J284+I285</f>
        <v>0</v>
      </c>
      <c r="O291" s="1375">
        <f ca="1">O265+O270+O275+O280+N266+N271+N276+N281+M267+M272+M277+M282+L268+L273+L278+L283+K284+J285+I286</f>
        <v>0</v>
      </c>
      <c r="P291" s="1375">
        <f ca="1">P265+P270+P275+P280+O266+O271+O276+O281+N267+N272+N277+N282+M268+M273+M278+M283+L284+K285+J286+I287</f>
        <v>0</v>
      </c>
      <c r="Q291" s="1375">
        <f ca="1">Q265+Q270+Q275+Q280+P266+P271+P276+P281+O267+O272+O277+O282+N268+N273+N278+N283+M284+L285+K286+J287+I288</f>
        <v>0</v>
      </c>
      <c r="R291" s="1375">
        <f ca="1">R265+R270+R275+R280+Q266+Q271+Q276+Q281+P267+P272+P277+P282+O268+O273+O278+O283+N284+M285+L286+K287+J288+I289</f>
        <v>0</v>
      </c>
      <c r="S291" s="1375">
        <f t="shared" ref="S291:AF291" ca="1" si="75">S265+S270+S275+S280+R266+R271+R276+R281+Q267+Q272+Q277+Q282+P268+P273+P278+P283+O284+N285+M286+L287+K288+J289+I290</f>
        <v>0</v>
      </c>
      <c r="T291" s="1375">
        <f t="shared" ca="1" si="75"/>
        <v>0</v>
      </c>
      <c r="U291" s="1375">
        <f t="shared" ca="1" si="75"/>
        <v>0</v>
      </c>
      <c r="V291" s="1375">
        <f t="shared" ca="1" si="75"/>
        <v>0</v>
      </c>
      <c r="W291" s="1375">
        <f t="shared" ca="1" si="75"/>
        <v>0</v>
      </c>
      <c r="X291" s="1375">
        <f t="shared" ca="1" si="75"/>
        <v>0</v>
      </c>
      <c r="Y291" s="1375">
        <f t="shared" ca="1" si="75"/>
        <v>0</v>
      </c>
      <c r="Z291" s="1375">
        <f t="shared" ca="1" si="75"/>
        <v>0</v>
      </c>
      <c r="AA291" s="1375">
        <f t="shared" ca="1" si="75"/>
        <v>0</v>
      </c>
      <c r="AB291" s="1375">
        <f t="shared" ca="1" si="75"/>
        <v>0</v>
      </c>
      <c r="AC291" s="1375">
        <f t="shared" ca="1" si="75"/>
        <v>0</v>
      </c>
      <c r="AD291" s="1375">
        <f t="shared" ca="1" si="75"/>
        <v>0</v>
      </c>
      <c r="AE291" s="1375">
        <f t="shared" ca="1" si="75"/>
        <v>0</v>
      </c>
      <c r="AF291" s="1375">
        <f t="shared" ca="1" si="75"/>
        <v>0</v>
      </c>
      <c r="AH291" s="1354">
        <f ca="1">IF($C$57=1,SUM(I291:T291),IF($C$57=2,SUM(O291:AF291)))</f>
        <v>0</v>
      </c>
      <c r="AI291" s="1355"/>
      <c r="AJ291" s="1354">
        <f ca="1">IF($C$57=1,SUM(U291:AF291),0)</f>
        <v>0</v>
      </c>
      <c r="AL291" s="1290"/>
      <c r="AM291" s="1328"/>
      <c r="AN291" s="1484"/>
    </row>
    <row r="292" spans="1:40" s="115" customFormat="1" ht="12" hidden="1" customHeight="1">
      <c r="A292" s="1270"/>
      <c r="C292" s="1349"/>
      <c r="D292" s="1349"/>
      <c r="F292" s="1317"/>
      <c r="G292" s="1483" t="s">
        <v>344</v>
      </c>
      <c r="H292" s="1317"/>
      <c r="I292" s="1385">
        <f>$G265*I265+$G270*I270+$G275*I275+$G280*I280</f>
        <v>0</v>
      </c>
      <c r="J292" s="1385">
        <f>$G265*J265+$G270*J270+$G275*J275+$G280*J280+$G266*I266+$G271*I271+$G276*I276+$G281*I281</f>
        <v>0</v>
      </c>
      <c r="K292" s="1385">
        <f ca="1">$G265*K265+$G270*K270+$G275*K275+$G280*K280+$G266*J266+$G271*J271+$G276*J276+$G281*J281+$G267*I267+$G272*I272+$G277*I277+$G282*I282</f>
        <v>0</v>
      </c>
      <c r="L292" s="1385">
        <f ca="1">$G265*L265+$G270*L270+$G275*L275+$G280*L280+$G266*K266+$G271*K271+$G276*K276+$G281*K281+$G267*J267+$G272*J272+$G277*J277+$G282*J282+$G268*I268+$G273*I273+$G278*I278+$G283*I283</f>
        <v>0</v>
      </c>
      <c r="M292" s="1385">
        <f ca="1">$G265*M265+$G270*M270+$G275*M275+$G280*M280+$G266*L266+$G271*L271+$G276*L276+$G281*L281+$G267*K267+$G272*K272+$G277*K277+$G282*K282+$G268*J268+$G273*J273+$G278*J278+$G283*J283+$G$284*I284</f>
        <v>0</v>
      </c>
      <c r="N292" s="1385">
        <f ca="1">$G265*N265+$G270*N270+$G275*N275+$G280*N280+$G266*M266+$G271*M271+$G276*M276+$G281*M281+$G267*L267+$G272*L272+$G277*L277+$G282*L282+$G268*K268+$G273*K273+$G278*K278+$G283*K283+$G$284*J284+$G$285*I285</f>
        <v>0</v>
      </c>
      <c r="O292" s="1385">
        <f ca="1">$G265*O265+$G270*O270+$G275*O275+$G280*O280+$G266*N266+$G271*N271+$G276*N276+$G281*N281+$G267*M267+$G272*M272+$G277*M277+$G282*M282+$G268*L268+$G273*L273+$G278*L278+$G283*L283+$G$284*K284+$G$285*J285+$G$286*I286</f>
        <v>0</v>
      </c>
      <c r="P292" s="1385">
        <f ca="1">$G265*P265+$G270*P270+$G275*P275+$G280*P280+$G266*O266+$G271*O271+$G276*O276+$G281*O281+$G267*N267+$G272*N272+$G277*N277+$G282*N282+$G268*M268+$G273*M273+$G278*M278+$G283*M283+$G$284*L284+$G$285*K285+$G$286*J286+$G$287*I287</f>
        <v>0</v>
      </c>
      <c r="Q292" s="1385">
        <f ca="1">$G265*Q265+$G270*Q270+$G275*Q275+$G280*Q280+$G266*P266+$G271*P271+$G276*P276+$G281*P281+$G267*O267+$G272*O272+$G277*O277+$G282*O282+$G268*N268+$G273*N273+$G278*N278+$G283*N283+$G$284*M284+$G$285*L285+$G$286*K286+$G$287*J287+$G$288*I288</f>
        <v>0</v>
      </c>
      <c r="R292" s="1385">
        <f ca="1">$G265*R265+$G270*R270+$G275*R275+$G280*R280+$G266*Q266+$G271*Q271+$G276*Q276+$G281*Q281+$G267*P267+$G272*P272+$G277*P277+$G282*P282+$G268*O268+$G273*O273+$G278*O278+$G283*O283+$G$284*N284+$G$285*M285+$G$286*L286+$G$287*K287+$G$288*J288+$G$289*I289</f>
        <v>0</v>
      </c>
      <c r="S292" s="1385">
        <f t="shared" ref="S292:AF292" ca="1" si="76">$G265*S265+$G270*S270+$G275*S275+$G280*S280+$G266*R266+$G271*R271+$G276*R276+$G281*R281+$G267*Q267+$G272*Q272+$G277*Q277+$G282*Q282+$G268*P268+$G273*P273+$G278*P278+$G283*P283+$G$284*O284+$G$285*N285+$G$286*M286+$G$287*L287+$G$288*K288+$G$289*J289+$G$290*I290</f>
        <v>0</v>
      </c>
      <c r="T292" s="1385">
        <f t="shared" ca="1" si="76"/>
        <v>0</v>
      </c>
      <c r="U292" s="1385">
        <f t="shared" ca="1" si="76"/>
        <v>0</v>
      </c>
      <c r="V292" s="1385">
        <f t="shared" ca="1" si="76"/>
        <v>0</v>
      </c>
      <c r="W292" s="1385">
        <f t="shared" ca="1" si="76"/>
        <v>0</v>
      </c>
      <c r="X292" s="1385">
        <f t="shared" ca="1" si="76"/>
        <v>0</v>
      </c>
      <c r="Y292" s="1385">
        <f t="shared" ca="1" si="76"/>
        <v>0</v>
      </c>
      <c r="Z292" s="1385">
        <f t="shared" ca="1" si="76"/>
        <v>0</v>
      </c>
      <c r="AA292" s="1385">
        <f t="shared" ca="1" si="76"/>
        <v>0</v>
      </c>
      <c r="AB292" s="1385">
        <f t="shared" ca="1" si="76"/>
        <v>0</v>
      </c>
      <c r="AC292" s="1385">
        <f t="shared" ca="1" si="76"/>
        <v>0</v>
      </c>
      <c r="AD292" s="1385">
        <f t="shared" ca="1" si="76"/>
        <v>0</v>
      </c>
      <c r="AE292" s="1385">
        <f t="shared" ca="1" si="76"/>
        <v>0</v>
      </c>
      <c r="AF292" s="1385">
        <f t="shared" ca="1" si="76"/>
        <v>0</v>
      </c>
      <c r="AH292" s="1387"/>
      <c r="AI292" s="1355"/>
      <c r="AJ292" s="1387"/>
      <c r="AL292" s="1290"/>
      <c r="AM292" s="1328"/>
      <c r="AN292" s="1484"/>
    </row>
    <row r="293" spans="1:40" s="115" customFormat="1" ht="12" hidden="1" customHeight="1">
      <c r="A293" s="1270"/>
      <c r="C293" s="1485"/>
      <c r="D293" s="1485"/>
      <c r="E293" s="1485"/>
      <c r="F293" s="1485"/>
      <c r="G293" s="1374" t="s">
        <v>257</v>
      </c>
      <c r="H293" s="1368"/>
      <c r="I293" s="1379">
        <f t="shared" ref="I293:AF293" ca="1" si="77">$G265*SUM(I265:I268)+$G270*SUM(I270:I273)+$G275*SUM(I275:I278)+$G280*SUM(I280:I290)</f>
        <v>0</v>
      </c>
      <c r="J293" s="1379">
        <f t="shared" ca="1" si="77"/>
        <v>0</v>
      </c>
      <c r="K293" s="1379">
        <f t="shared" ca="1" si="77"/>
        <v>0</v>
      </c>
      <c r="L293" s="1379">
        <f t="shared" ca="1" si="77"/>
        <v>0</v>
      </c>
      <c r="M293" s="1379">
        <f t="shared" ca="1" si="77"/>
        <v>0</v>
      </c>
      <c r="N293" s="1379">
        <f t="shared" ca="1" si="77"/>
        <v>0</v>
      </c>
      <c r="O293" s="1379">
        <f t="shared" ca="1" si="77"/>
        <v>0</v>
      </c>
      <c r="P293" s="1379">
        <f t="shared" ca="1" si="77"/>
        <v>0</v>
      </c>
      <c r="Q293" s="1379">
        <f t="shared" ca="1" si="77"/>
        <v>0</v>
      </c>
      <c r="R293" s="1379">
        <f t="shared" ca="1" si="77"/>
        <v>0</v>
      </c>
      <c r="S293" s="1379">
        <f t="shared" ca="1" si="77"/>
        <v>0</v>
      </c>
      <c r="T293" s="1379">
        <f t="shared" ca="1" si="77"/>
        <v>0</v>
      </c>
      <c r="U293" s="1379">
        <f t="shared" ca="1" si="77"/>
        <v>0</v>
      </c>
      <c r="V293" s="1379">
        <f t="shared" ca="1" si="77"/>
        <v>0</v>
      </c>
      <c r="W293" s="1379">
        <f t="shared" ca="1" si="77"/>
        <v>0</v>
      </c>
      <c r="X293" s="1379">
        <f t="shared" ca="1" si="77"/>
        <v>0</v>
      </c>
      <c r="Y293" s="1379">
        <f t="shared" ca="1" si="77"/>
        <v>0</v>
      </c>
      <c r="Z293" s="1379">
        <f t="shared" ca="1" si="77"/>
        <v>0</v>
      </c>
      <c r="AA293" s="1379">
        <f t="shared" ca="1" si="77"/>
        <v>0</v>
      </c>
      <c r="AB293" s="1379">
        <f t="shared" ca="1" si="77"/>
        <v>0</v>
      </c>
      <c r="AC293" s="1379">
        <f t="shared" ca="1" si="77"/>
        <v>0</v>
      </c>
      <c r="AD293" s="1379">
        <f t="shared" ca="1" si="77"/>
        <v>0</v>
      </c>
      <c r="AE293" s="1379">
        <f t="shared" ca="1" si="77"/>
        <v>0</v>
      </c>
      <c r="AF293" s="1379">
        <f t="shared" ca="1" si="77"/>
        <v>0</v>
      </c>
      <c r="AH293" s="1283"/>
      <c r="AI293" s="1283"/>
      <c r="AJ293" s="1283"/>
      <c r="AL293" s="1486"/>
      <c r="AM293" s="1486"/>
      <c r="AN293" s="1378"/>
    </row>
    <row r="294" spans="1:40" s="115" customFormat="1" ht="12" hidden="1" customHeight="1">
      <c r="A294" s="1270"/>
      <c r="C294" s="1485"/>
      <c r="D294" s="1485"/>
      <c r="E294" s="1485"/>
      <c r="F294" s="1485"/>
      <c r="G294" s="1374" t="s">
        <v>258</v>
      </c>
      <c r="H294" s="1368"/>
      <c r="I294" s="1379">
        <f>$G265*I265+$G270*I270+$G275*I275+$G280*I280</f>
        <v>0</v>
      </c>
      <c r="J294" s="1379">
        <f>$G265*J265+$G270*J270+$G275*J275+$G280*J280+$G266*I266+$G271*I271+$G276*I276+$G281*I281</f>
        <v>0</v>
      </c>
      <c r="K294" s="1379">
        <f ca="1">$G265*K265+$G270*K270+$G275*K275+$G280*K280+$G266*J266+$G271*J271+$G276*J276+$G281*J281+$G267*I267+$G272*I272+$G277*I277+$G282*I282</f>
        <v>0</v>
      </c>
      <c r="L294" s="1379">
        <f ca="1">$G265*L265+$G270*L270+$G275*L275+$G280*L280+$G266*K266+$G271*K271+$G276*K276+$G281*K281+$G267*J267+$G272*J272+$G277*J277+$G282*J282+$G268*I268+$G273*I273+$G278*I278+$G283*I283</f>
        <v>0</v>
      </c>
      <c r="M294" s="1379">
        <f ca="1">$G265*M265+$G270*M270+$G275*M275+$G280*M280+$G266*L266+$G271*L271+$G276*L276+$G281*L281+$G267*K267+$G272*K272+$G277*K277+$G282*K282+$G268*J268+$G273*J273+$G278*J278+$G283*J283+$G$284*I284</f>
        <v>0</v>
      </c>
      <c r="N294" s="1379">
        <f ca="1">$G265*N265+$G270*N270+$G275*N275+$G280*N280+$G266*M266+$G271*M271+$G276*M276+$G281*M281+$G267*L267+$G272*L272+$G277*L277+$G282*L282+$G268*K268+$G273*K273+$G278*K278+$G283*K283+$G$284*J284+$G$285*I285</f>
        <v>0</v>
      </c>
      <c r="O294" s="1379">
        <f ca="1">$G265*O265+$G270*O270+$G275*O275+$G280*O280+$G266*N266+$G271*N271+$G276*N276+$G281*N281+$G267*M267+$G272*M272+$G277*M277+$G282*M282+$G268*L268+$G273*L273+$G278*L278+$G283*L283+$G$284*K284+$G$285*J285+$G$286*I286</f>
        <v>0</v>
      </c>
      <c r="P294" s="1379">
        <f ca="1">$G265*P265+$G270*P270+$G275*P275+$G280*P280+$G266*O266+$G271*O271+$G276*O276+$G281*O281+$G267*N267+$G272*N272+$G277*N277+$G282*N282+$G268*M268+$G273*M273+$G278*M278+$G283*M283+$G$284*L284+$G$285*K285+$G$286*J286+$G$287*I287</f>
        <v>0</v>
      </c>
      <c r="Q294" s="1379">
        <f ca="1">$G265*Q265+$G270*Q270+$G275*Q275+$G280*Q280+$G266*P266+$G271*P271+$G276*P276+$G281*P281+$G267*O267+$G272*O272+$G277*O277+$G282*O282+$G268*N268+$G273*N273+$G278*N278+$G283*N283+$G$284*M284+$G$285*L285+$G$286*K286+$G$287*J287+$G$288*I288</f>
        <v>0</v>
      </c>
      <c r="R294" s="1379">
        <f ca="1">$G265*R265+$G270*R270+$G275*R275+$G280*R280+$G266*Q266+$G271*Q271+$G276*Q276+$G281*Q281+$G267*P267+$G272*P272+$G277*P277+$G282*P282+$G268*O268+$G273*O273+$G278*O278+$G283*O283+$G$284*N284+$G$285*M285+$G$286*L286+$G$287*K287+$G$288*J288+$G$289*I289</f>
        <v>0</v>
      </c>
      <c r="S294" s="1379">
        <f t="shared" ref="S294:AF294" ca="1" si="78">$G265*S265+$G270*S270+$G275*S275+$G280*S280+$G266*R266+$G271*R271+$G276*R276+$G281*R281+$G267*Q267+$G272*Q272+$G277*Q277+$G282*Q282+$G268*P268+$G273*P273+$G278*P278+$G283*P283+$G$284*O284+$G$285*N285+$G$286*M286+$G$287*L287+$G$288*K288+$G$289*J289+$G$290*I290</f>
        <v>0</v>
      </c>
      <c r="T294" s="1379">
        <f t="shared" ca="1" si="78"/>
        <v>0</v>
      </c>
      <c r="U294" s="1379">
        <f t="shared" ca="1" si="78"/>
        <v>0</v>
      </c>
      <c r="V294" s="1379">
        <f t="shared" ca="1" si="78"/>
        <v>0</v>
      </c>
      <c r="W294" s="1379">
        <f t="shared" ca="1" si="78"/>
        <v>0</v>
      </c>
      <c r="X294" s="1379">
        <f t="shared" ca="1" si="78"/>
        <v>0</v>
      </c>
      <c r="Y294" s="1379">
        <f t="shared" ca="1" si="78"/>
        <v>0</v>
      </c>
      <c r="Z294" s="1379">
        <f t="shared" ca="1" si="78"/>
        <v>0</v>
      </c>
      <c r="AA294" s="1379">
        <f t="shared" ca="1" si="78"/>
        <v>0</v>
      </c>
      <c r="AB294" s="1379">
        <f t="shared" ca="1" si="78"/>
        <v>0</v>
      </c>
      <c r="AC294" s="1379">
        <f t="shared" ca="1" si="78"/>
        <v>0</v>
      </c>
      <c r="AD294" s="1379">
        <f t="shared" ca="1" si="78"/>
        <v>0</v>
      </c>
      <c r="AE294" s="1379">
        <f t="shared" ca="1" si="78"/>
        <v>0</v>
      </c>
      <c r="AF294" s="1379">
        <f t="shared" ca="1" si="78"/>
        <v>0</v>
      </c>
      <c r="AH294" s="1283"/>
      <c r="AI294" s="1283"/>
      <c r="AJ294" s="1283"/>
      <c r="AL294" s="1486"/>
      <c r="AM294" s="1486"/>
      <c r="AN294" s="1378"/>
    </row>
    <row r="295" spans="1:40" s="115" customFormat="1" ht="12" hidden="1" customHeight="1">
      <c r="A295" s="1270"/>
      <c r="C295" s="1485"/>
      <c r="D295" s="1485"/>
      <c r="E295" s="1485"/>
      <c r="F295" s="1485"/>
      <c r="G295" s="1374" t="s">
        <v>224</v>
      </c>
      <c r="H295" s="1368"/>
      <c r="I295" s="1379">
        <f ca="1">SUM(I265:I290)-I291</f>
        <v>0</v>
      </c>
      <c r="J295" s="1379">
        <f ca="1">SUM($I$265:J290)-SUM($I$291:J291)</f>
        <v>0</v>
      </c>
      <c r="K295" s="1379">
        <f ca="1">SUM($I$265:K290)-SUM($I$291:K291)</f>
        <v>0</v>
      </c>
      <c r="L295" s="1379">
        <f ca="1">SUM($I$265:L290)-SUM($I$291:L291)</f>
        <v>0</v>
      </c>
      <c r="M295" s="1379">
        <f ca="1">SUM($I$265:M290)-SUM($I$291:M291)</f>
        <v>0</v>
      </c>
      <c r="N295" s="1379">
        <f ca="1">SUM($I$265:N290)-SUM($I$291:N291)</f>
        <v>0</v>
      </c>
      <c r="O295" s="1379">
        <f ca="1">SUM($I$265:O290)-SUM($I$291:O291)</f>
        <v>0</v>
      </c>
      <c r="P295" s="1379">
        <f ca="1">SUM($I$265:P290)-SUM($I$291:P291)</f>
        <v>0</v>
      </c>
      <c r="Q295" s="1379">
        <f ca="1">SUM($I$265:Q290)-SUM($I$291:Q291)</f>
        <v>0</v>
      </c>
      <c r="R295" s="1379">
        <f ca="1">SUM($I$265:R290)-SUM($I$291:R291)</f>
        <v>0</v>
      </c>
      <c r="S295" s="1379">
        <f ca="1">SUM($I$265:S290)-SUM($I$291:S291)</f>
        <v>0</v>
      </c>
      <c r="T295" s="1379">
        <f ca="1">SUM($I$265:T290)-SUM($I$291:T291)</f>
        <v>0</v>
      </c>
      <c r="U295" s="1379">
        <f ca="1">SUM($I$265:U290)-SUM($I$291:U291)</f>
        <v>0</v>
      </c>
      <c r="V295" s="1379">
        <f ca="1">SUM($I$265:V290)-SUM($I$291:V291)</f>
        <v>0</v>
      </c>
      <c r="W295" s="1379">
        <f ca="1">SUM($I$265:W290)-SUM($I$291:W291)</f>
        <v>0</v>
      </c>
      <c r="X295" s="1379">
        <f ca="1">SUM($I$265:X290)-SUM($I$291:X291)</f>
        <v>0</v>
      </c>
      <c r="Y295" s="1379">
        <f ca="1">SUM($I$265:Y290)-SUM($I$291:Y291)</f>
        <v>0</v>
      </c>
      <c r="Z295" s="1379">
        <f ca="1">SUM($I$265:Z290)-SUM($I$291:Z291)</f>
        <v>0</v>
      </c>
      <c r="AA295" s="1379">
        <f ca="1">SUM($I$265:AA290)-SUM($I$291:AA291)</f>
        <v>0</v>
      </c>
      <c r="AB295" s="1379">
        <f ca="1">SUM($I$265:AB290)-SUM($I$291:AB291)</f>
        <v>0</v>
      </c>
      <c r="AC295" s="1379">
        <f ca="1">SUM($I$265:AC290)-SUM($I$291:AC291)</f>
        <v>0</v>
      </c>
      <c r="AD295" s="1379">
        <f ca="1">SUM($I$265:AD290)-SUM($I$291:AD291)</f>
        <v>0</v>
      </c>
      <c r="AE295" s="1379">
        <f ca="1">SUM($I$265:AE290)-SUM($I$291:AE291)</f>
        <v>0</v>
      </c>
      <c r="AF295" s="1379">
        <f ca="1">SUM($I$265:AF290)-SUM($I$291:AF291)</f>
        <v>0</v>
      </c>
      <c r="AH295" s="1283"/>
      <c r="AI295" s="1283"/>
      <c r="AJ295" s="1283"/>
      <c r="AL295" s="1486"/>
      <c r="AM295" s="1486"/>
      <c r="AN295" s="1378"/>
    </row>
    <row r="296" spans="1:40" s="115" customFormat="1" hidden="1">
      <c r="A296" s="1270"/>
      <c r="G296" s="1384" t="s">
        <v>236</v>
      </c>
      <c r="H296" s="1383"/>
      <c r="I296" s="1385">
        <f ca="1">I295+I293-I292</f>
        <v>0</v>
      </c>
      <c r="J296" s="1385">
        <f ca="1">J295+SUM($I$293:J293)-SUM($I$292:J292)</f>
        <v>0</v>
      </c>
      <c r="K296" s="1385">
        <f ca="1">K295+SUM($I$293:K293)-SUM($I$292:K292)</f>
        <v>0</v>
      </c>
      <c r="L296" s="1385">
        <f ca="1">L295+SUM($I$293:L293)-SUM($I$292:L292)</f>
        <v>0</v>
      </c>
      <c r="M296" s="1385">
        <f ca="1">M295+SUM($I$293:M293)-SUM($I$292:M292)</f>
        <v>0</v>
      </c>
      <c r="N296" s="1385">
        <f ca="1">N295+SUM($I$293:N293)-SUM($I$292:N292)</f>
        <v>0</v>
      </c>
      <c r="O296" s="1385">
        <f ca="1">O295+SUM($I$293:O293)-SUM($I$292:O292)</f>
        <v>0</v>
      </c>
      <c r="P296" s="1385">
        <f ca="1">P295+SUM($I$293:P293)-SUM($I$292:P292)</f>
        <v>0</v>
      </c>
      <c r="Q296" s="1385">
        <f ca="1">Q295+SUM($I$293:Q293)-SUM($I$292:Q292)</f>
        <v>0</v>
      </c>
      <c r="R296" s="1385">
        <f ca="1">R295+SUM($I$293:R293)-SUM($I$292:R292)</f>
        <v>0</v>
      </c>
      <c r="S296" s="1385">
        <f ca="1">S295+SUM($I$293:S293)-SUM($I$292:S292)</f>
        <v>0</v>
      </c>
      <c r="T296" s="1385">
        <f ca="1">T295+SUM($I$293:T293)-SUM($I$292:T292)</f>
        <v>0</v>
      </c>
      <c r="U296" s="1385">
        <f ca="1">U295+SUM($I$293:U293)-SUM($I$292:U292)</f>
        <v>0</v>
      </c>
      <c r="V296" s="1385">
        <f ca="1">V295+SUM($I$293:V293)-SUM($I$292:V292)</f>
        <v>0</v>
      </c>
      <c r="W296" s="1385">
        <f ca="1">W295+SUM($I$293:W293)-SUM($I$292:W292)</f>
        <v>0</v>
      </c>
      <c r="X296" s="1385">
        <f ca="1">X295+SUM($I$293:X293)-SUM($I$292:X292)</f>
        <v>0</v>
      </c>
      <c r="Y296" s="1385">
        <f ca="1">Y295+SUM($I$293:Y293)-SUM($I$292:Y292)</f>
        <v>0</v>
      </c>
      <c r="Z296" s="1385">
        <f ca="1">Z295+SUM($I$293:Z293)-SUM($I$292:Z292)</f>
        <v>0</v>
      </c>
      <c r="AA296" s="1385">
        <f ca="1">AA295+SUM($I$293:AA293)-SUM($I$292:AA292)</f>
        <v>0</v>
      </c>
      <c r="AB296" s="1385">
        <f ca="1">AB295+SUM($I$293:AB293)-SUM($I$292:AB292)</f>
        <v>0</v>
      </c>
      <c r="AC296" s="1385">
        <f ca="1">AC295+SUM($I$293:AC293)-SUM($I$292:AC292)</f>
        <v>0</v>
      </c>
      <c r="AD296" s="1385">
        <f ca="1">AD295+SUM($I$293:AD293)-SUM($I$292:AD292)</f>
        <v>0</v>
      </c>
      <c r="AE296" s="1385">
        <f ca="1">AE295+SUM($I$293:AE293)-SUM($I$292:AE292)</f>
        <v>0</v>
      </c>
      <c r="AF296" s="1385">
        <f ca="1">AF295+SUM($I$293:AF293)-SUM($I$292:AF292)</f>
        <v>0</v>
      </c>
      <c r="AH296" s="1283"/>
      <c r="AI296" s="1283"/>
      <c r="AJ296" s="1283"/>
      <c r="AL296" s="1290"/>
      <c r="AM296" s="1290"/>
      <c r="AN296" s="1378"/>
    </row>
    <row r="297" spans="1:40" s="1317" customFormat="1" ht="10.199999999999999" hidden="1">
      <c r="A297" s="1270"/>
      <c r="B297" s="1343"/>
      <c r="C297" s="1343"/>
      <c r="D297" s="1343"/>
      <c r="E297" s="1343"/>
      <c r="F297" s="1343"/>
      <c r="G297" s="1641" t="s">
        <v>237</v>
      </c>
      <c r="H297" s="1343"/>
      <c r="I297" s="1636">
        <f ca="1">IF($C$57=1,I57*I293,0)</f>
        <v>0</v>
      </c>
      <c r="J297" s="1636">
        <f ca="1">IF($C$57=1,I57*I293+J57*J293,0)</f>
        <v>0</v>
      </c>
      <c r="K297" s="1636">
        <f ca="1">IF($C$57=1,I57*I293+J57*J293+K57*K293,0)</f>
        <v>0</v>
      </c>
      <c r="L297" s="1636">
        <f ca="1">IF($C$57=1,J57*J293+K57*K293+L57*L293,0)</f>
        <v>0</v>
      </c>
      <c r="M297" s="1636">
        <f ca="1">IF($C$57=1,K57*K293+L57*L293+M57*M293,0)</f>
        <v>0</v>
      </c>
      <c r="N297" s="1636">
        <f ca="1">IF($C$57=1,L57*L293+M57*M293+N57*N293,0)</f>
        <v>0</v>
      </c>
      <c r="O297" s="1636">
        <f t="shared" ref="O297:AF297" ca="1" si="79">IF($C$57=1,M57*M293+N57*N293+O57*O293,IF($C$57=2,M57*M293+N57*N293+O57*O293))</f>
        <v>0</v>
      </c>
      <c r="P297" s="1636">
        <f t="shared" ca="1" si="79"/>
        <v>0</v>
      </c>
      <c r="Q297" s="1636">
        <f t="shared" ca="1" si="79"/>
        <v>0</v>
      </c>
      <c r="R297" s="1636">
        <f t="shared" ca="1" si="79"/>
        <v>0</v>
      </c>
      <c r="S297" s="1636">
        <f t="shared" ca="1" si="79"/>
        <v>0</v>
      </c>
      <c r="T297" s="1636">
        <f t="shared" ca="1" si="79"/>
        <v>0</v>
      </c>
      <c r="U297" s="1636">
        <f t="shared" ca="1" si="79"/>
        <v>0</v>
      </c>
      <c r="V297" s="1636">
        <f t="shared" ca="1" si="79"/>
        <v>0</v>
      </c>
      <c r="W297" s="1636">
        <f t="shared" ca="1" si="79"/>
        <v>0</v>
      </c>
      <c r="X297" s="1636">
        <f t="shared" ca="1" si="79"/>
        <v>0</v>
      </c>
      <c r="Y297" s="1636">
        <f t="shared" ca="1" si="79"/>
        <v>0</v>
      </c>
      <c r="Z297" s="1636">
        <f t="shared" ca="1" si="79"/>
        <v>0</v>
      </c>
      <c r="AA297" s="1636">
        <f t="shared" ca="1" si="79"/>
        <v>0</v>
      </c>
      <c r="AB297" s="1636">
        <f t="shared" ca="1" si="79"/>
        <v>0</v>
      </c>
      <c r="AC297" s="1636">
        <f t="shared" ca="1" si="79"/>
        <v>0</v>
      </c>
      <c r="AD297" s="1636">
        <f t="shared" ca="1" si="79"/>
        <v>0</v>
      </c>
      <c r="AE297" s="1636">
        <f t="shared" ca="1" si="79"/>
        <v>0</v>
      </c>
      <c r="AF297" s="1637">
        <f t="shared" ca="1" si="79"/>
        <v>0</v>
      </c>
      <c r="AH297" s="1283"/>
      <c r="AI297" s="1283"/>
      <c r="AJ297" s="1283"/>
      <c r="AL297" s="1328"/>
      <c r="AM297" s="1328"/>
      <c r="AN297" s="1378"/>
    </row>
    <row r="298" spans="1:40" s="1317" customFormat="1" ht="10.199999999999999" hidden="1">
      <c r="A298" s="1270"/>
      <c r="B298" s="1343"/>
      <c r="C298" s="1343"/>
      <c r="D298" s="1343"/>
      <c r="E298" s="1343"/>
      <c r="F298" s="1343"/>
      <c r="G298" s="1641" t="s">
        <v>238</v>
      </c>
      <c r="H298" s="1343"/>
      <c r="I298" s="1638">
        <f ca="1">IF($C$57=1,I57*I293,0)</f>
        <v>0</v>
      </c>
      <c r="J298" s="1638">
        <f ca="1">IF($C$57=1,I57*I293+J57*J293,0)</f>
        <v>0</v>
      </c>
      <c r="K298" s="1639">
        <f ca="1">IF($C$57=1,I57*I294+J57*J294+K57*K294,0)</f>
        <v>0</v>
      </c>
      <c r="L298" s="1639">
        <f ca="1">IF($C$57=1,J57*J294+K57*K294+L57*L294,0)</f>
        <v>0</v>
      </c>
      <c r="M298" s="1639">
        <f ca="1">IF($C$57=1,K57*K294+L57*L294+M57*M294,0)</f>
        <v>0</v>
      </c>
      <c r="N298" s="1639">
        <f ca="1">IF($C$57=1,L57*L294+M57*M294+N57*N294,0)</f>
        <v>0</v>
      </c>
      <c r="O298" s="1639">
        <f t="shared" ref="O298:AF298" ca="1" si="80">IF($C$57=1,M57*M294+N57*N294+O57*O294,IF($C$57=2,M57*M294+N57*N294+O57*O294))</f>
        <v>0</v>
      </c>
      <c r="P298" s="1639">
        <f t="shared" ca="1" si="80"/>
        <v>0</v>
      </c>
      <c r="Q298" s="1639">
        <f t="shared" ca="1" si="80"/>
        <v>0</v>
      </c>
      <c r="R298" s="1639">
        <f t="shared" ca="1" si="80"/>
        <v>0</v>
      </c>
      <c r="S298" s="1639">
        <f t="shared" ca="1" si="80"/>
        <v>0</v>
      </c>
      <c r="T298" s="1639">
        <f t="shared" ca="1" si="80"/>
        <v>0</v>
      </c>
      <c r="U298" s="1639">
        <f t="shared" ca="1" si="80"/>
        <v>0</v>
      </c>
      <c r="V298" s="1639">
        <f t="shared" ca="1" si="80"/>
        <v>0</v>
      </c>
      <c r="W298" s="1639">
        <f t="shared" ca="1" si="80"/>
        <v>0</v>
      </c>
      <c r="X298" s="1639">
        <f t="shared" ca="1" si="80"/>
        <v>0</v>
      </c>
      <c r="Y298" s="1639">
        <f t="shared" ca="1" si="80"/>
        <v>0</v>
      </c>
      <c r="Z298" s="1639">
        <f t="shared" ca="1" si="80"/>
        <v>0</v>
      </c>
      <c r="AA298" s="1639">
        <f t="shared" ca="1" si="80"/>
        <v>0</v>
      </c>
      <c r="AB298" s="1639">
        <f t="shared" ca="1" si="80"/>
        <v>0</v>
      </c>
      <c r="AC298" s="1639">
        <f t="shared" ca="1" si="80"/>
        <v>0</v>
      </c>
      <c r="AD298" s="1639">
        <f t="shared" ca="1" si="80"/>
        <v>0</v>
      </c>
      <c r="AE298" s="1639">
        <f t="shared" ca="1" si="80"/>
        <v>0</v>
      </c>
      <c r="AF298" s="1640">
        <f t="shared" ca="1" si="80"/>
        <v>0</v>
      </c>
      <c r="AH298" s="1283"/>
      <c r="AI298" s="1283"/>
      <c r="AJ298" s="1283"/>
      <c r="AL298" s="1328"/>
      <c r="AM298" s="1328"/>
      <c r="AN298" s="1378"/>
    </row>
    <row r="299" spans="1:40" s="1317" customFormat="1" ht="10.199999999999999" hidden="1">
      <c r="A299" s="1270"/>
      <c r="G299" s="1388" t="s">
        <v>237</v>
      </c>
      <c r="I299" s="1400">
        <f ca="1">IF(I57=1,I293,0)</f>
        <v>0</v>
      </c>
      <c r="J299" s="1400">
        <f ca="1">IF(J57=1,SUM(I293:J293)-I300,0)</f>
        <v>0</v>
      </c>
      <c r="K299" s="1400">
        <f ca="1">IF(K57=1,SUM($I$293:K293)-SUM($I$300:J300),0)</f>
        <v>0</v>
      </c>
      <c r="L299" s="1400">
        <f ca="1">IF(L57=1,SUM($I$293:L293)-SUM($I$300:K300),0)</f>
        <v>0</v>
      </c>
      <c r="M299" s="1400">
        <f ca="1">IF(M57=1,SUM($I$293:M293)-SUM($I$300:L300),0)</f>
        <v>0</v>
      </c>
      <c r="N299" s="1400">
        <f ca="1">IF(N57=1,SUM($I$293:N293)-SUM($I$300:M300),0)</f>
        <v>0</v>
      </c>
      <c r="O299" s="1400">
        <f ca="1">IF($C$57=1,IF(O57=1,SUM($I$293:O293))-SUM($I$300:N300),IF($C$57=2,IF(O57=1,SUM($O$293:O293))))</f>
        <v>0</v>
      </c>
      <c r="P299" s="1400">
        <f ca="1">IF($C$57=1,IF(P57=1,SUM($I$293:P293))-SUM($I$300:O300),IF($C$57=2,IF(P57=1,SUM($O$293:P293))-SUM($O$300:O300)))</f>
        <v>0</v>
      </c>
      <c r="Q299" s="1400">
        <f ca="1">IF($C$57=1,IF(Q57=1,SUM($I$293:Q293))-SUM($I$300:P300),IF($C$57=2,IF(Q57=1,SUM($O$293:Q293))-SUM($O$300:P300)))</f>
        <v>0</v>
      </c>
      <c r="R299" s="1400">
        <f ca="1">IF($C$57=1,IF(R57=1,SUM($I$293:R293))-SUM($I$300:Q300),IF($C$57=2,IF(R57=1,SUM($O$293:R293))-SUM($O$300:Q300)))</f>
        <v>0</v>
      </c>
      <c r="S299" s="1400">
        <f ca="1">IF($C$57=1,IF(S57=1,SUM($I$293:S293))-SUM($I$300:R300),IF($C$57=2,IF(S57=1,SUM($O$293:S293))-SUM($O$300:R300)))</f>
        <v>0</v>
      </c>
      <c r="T299" s="1400">
        <f ca="1">IF($C$57=1,IF(T57=1,SUM($I$293:T293))-SUM($I$300:S300),IF($C$57=2,IF(T57=1,SUM($O$293:T293))-SUM($O$300:S300)))</f>
        <v>0</v>
      </c>
      <c r="U299" s="1400">
        <f ca="1">IF($C$57=1,IF(U57=1,SUM($I$293:U293))-SUM($I$300:T300),IF($C$57=2,IF(U57=1,SUM($O$293:U293))-SUM($O$300:T300)))</f>
        <v>0</v>
      </c>
      <c r="V299" s="1400">
        <f ca="1">IF($C$57=1,IF(V57=1,SUM($I$293:V293))-SUM($I$300:U300),IF($C$57=2,IF(V57=1,SUM($O$293:V293))-SUM($O$300:U300)))</f>
        <v>0</v>
      </c>
      <c r="W299" s="1400">
        <f ca="1">IF($C$57=1,IF(W57=1,SUM($I$293:W293))-SUM($I$300:V300),IF($C$57=2,IF(W57=1,SUM($O$293:W293))-SUM($O$300:V300)))</f>
        <v>0</v>
      </c>
      <c r="X299" s="1400">
        <f ca="1">IF($C$57=1,IF(X57=1,SUM($I$293:X293))-SUM($I$300:W300),IF($C$57=2,IF(X57=1,SUM($O$293:X293))-SUM($O$300:W300)))</f>
        <v>0</v>
      </c>
      <c r="Y299" s="1400">
        <f ca="1">IF($C$57=1,IF(Y57=1,SUM($I$293:Y293))-SUM($I$300:X300),IF($C$57=2,IF(Y57=1,SUM($O$293:Y293))-SUM($O$300:X300)))</f>
        <v>0</v>
      </c>
      <c r="Z299" s="1400">
        <f ca="1">IF($C$57=1,IF(Z57=1,SUM($I$293:Z293))-SUM($I$300:Y300),IF($C$57=2,IF(Z57=1,SUM($O$293:Z293))-SUM($O$300:Y300)))</f>
        <v>0</v>
      </c>
      <c r="AA299" s="1400">
        <f ca="1">IF($C$57=1,IF(AA57=1,SUM($I$293:AA293))-SUM($I$300:Z300),IF($C$57=2,IF(AA57=1,SUM($O$293:AA293))-SUM($O$300:Z300)))</f>
        <v>0</v>
      </c>
      <c r="AB299" s="1400">
        <f ca="1">IF($C$57=1,IF(AB57=1,SUM($I$293:AB293))-SUM($I$300:AA300),IF($C$57=2,IF(AB57=1,SUM($O$293:AB293))-SUM($O$300:AA300)))</f>
        <v>0</v>
      </c>
      <c r="AC299" s="1400">
        <f ca="1">IF($C$57=1,IF(AC57=1,SUM($I$293:AC293))-SUM($I$300:AB300),IF($C$57=2,IF(AC57=1,SUM($O$293:AC293))-SUM($O$300:AB300)))</f>
        <v>0</v>
      </c>
      <c r="AD299" s="1400">
        <f ca="1">IF($C$57=1,IF(AD57=1,SUM($I$293:AD293))-SUM($I$300:AC300),IF($C$57=2,IF(AD57=1,SUM($O$293:AD293))-SUM($O$300:AC300)))</f>
        <v>0</v>
      </c>
      <c r="AE299" s="1400">
        <f ca="1">IF($C$57=1,IF(AE57=1,SUM($I$293:AE293))-SUM($I$300:AD300),IF($C$57=2,IF(AE57=1,SUM($O$293:AE293))-SUM($O$300:AD300)))</f>
        <v>0</v>
      </c>
      <c r="AF299" s="1400">
        <f ca="1">IF($C$57=1,IF(AF57=1,SUM($I$293:AF293))-SUM($I$300:AE300),IF($C$57=2,IF(AF57=1,SUM($O$293:AF293))-SUM($O$300:AE300)))</f>
        <v>0</v>
      </c>
      <c r="AH299" s="1283"/>
      <c r="AI299" s="1283"/>
      <c r="AJ299" s="1283"/>
      <c r="AL299" s="1328"/>
      <c r="AM299" s="1328"/>
      <c r="AN299" s="1390"/>
    </row>
    <row r="300" spans="1:40" s="1317" customFormat="1" ht="10.199999999999999" hidden="1">
      <c r="A300" s="1270"/>
      <c r="G300" s="1388" t="s">
        <v>281</v>
      </c>
      <c r="I300" s="1487"/>
      <c r="J300" s="1487"/>
      <c r="K300" s="1488">
        <f t="shared" ref="K300:AF300" ca="1" si="81">I293</f>
        <v>0</v>
      </c>
      <c r="L300" s="1488">
        <f t="shared" ca="1" si="81"/>
        <v>0</v>
      </c>
      <c r="M300" s="1488">
        <f t="shared" ca="1" si="81"/>
        <v>0</v>
      </c>
      <c r="N300" s="1488">
        <f t="shared" ca="1" si="81"/>
        <v>0</v>
      </c>
      <c r="O300" s="1488">
        <f t="shared" ca="1" si="81"/>
        <v>0</v>
      </c>
      <c r="P300" s="1488">
        <f t="shared" ca="1" si="81"/>
        <v>0</v>
      </c>
      <c r="Q300" s="1488">
        <f t="shared" ca="1" si="81"/>
        <v>0</v>
      </c>
      <c r="R300" s="1488">
        <f t="shared" ca="1" si="81"/>
        <v>0</v>
      </c>
      <c r="S300" s="1488">
        <f t="shared" ca="1" si="81"/>
        <v>0</v>
      </c>
      <c r="T300" s="1488">
        <f t="shared" ca="1" si="81"/>
        <v>0</v>
      </c>
      <c r="U300" s="1488">
        <f t="shared" ca="1" si="81"/>
        <v>0</v>
      </c>
      <c r="V300" s="1488">
        <f t="shared" ca="1" si="81"/>
        <v>0</v>
      </c>
      <c r="W300" s="1488">
        <f t="shared" ca="1" si="81"/>
        <v>0</v>
      </c>
      <c r="X300" s="1488">
        <f t="shared" ca="1" si="81"/>
        <v>0</v>
      </c>
      <c r="Y300" s="1488">
        <f t="shared" ca="1" si="81"/>
        <v>0</v>
      </c>
      <c r="Z300" s="1488">
        <f t="shared" ca="1" si="81"/>
        <v>0</v>
      </c>
      <c r="AA300" s="1488">
        <f t="shared" ca="1" si="81"/>
        <v>0</v>
      </c>
      <c r="AB300" s="1488">
        <f t="shared" ca="1" si="81"/>
        <v>0</v>
      </c>
      <c r="AC300" s="1488">
        <f t="shared" ca="1" si="81"/>
        <v>0</v>
      </c>
      <c r="AD300" s="1488">
        <f t="shared" ca="1" si="81"/>
        <v>0</v>
      </c>
      <c r="AE300" s="1488">
        <f t="shared" ca="1" si="81"/>
        <v>0</v>
      </c>
      <c r="AF300" s="1488">
        <f t="shared" ca="1" si="81"/>
        <v>0</v>
      </c>
      <c r="AH300" s="1283"/>
      <c r="AI300" s="1283"/>
      <c r="AJ300" s="1283"/>
      <c r="AL300" s="1328"/>
      <c r="AM300" s="1328"/>
      <c r="AN300" s="1390"/>
    </row>
    <row r="301" spans="1:40" s="1317" customFormat="1" ht="10.199999999999999" hidden="1">
      <c r="A301" s="1270"/>
      <c r="G301" s="1388" t="s">
        <v>268</v>
      </c>
      <c r="I301" s="1400">
        <f t="shared" ref="I301:AF301" ca="1" si="82">I299-I300</f>
        <v>0</v>
      </c>
      <c r="J301" s="1400">
        <f t="shared" ca="1" si="82"/>
        <v>0</v>
      </c>
      <c r="K301" s="1475">
        <f t="shared" ca="1" si="82"/>
        <v>0</v>
      </c>
      <c r="L301" s="1475">
        <f t="shared" ca="1" si="82"/>
        <v>0</v>
      </c>
      <c r="M301" s="1475">
        <f t="shared" ca="1" si="82"/>
        <v>0</v>
      </c>
      <c r="N301" s="1475">
        <f t="shared" ca="1" si="82"/>
        <v>0</v>
      </c>
      <c r="O301" s="1475">
        <f t="shared" ca="1" si="82"/>
        <v>0</v>
      </c>
      <c r="P301" s="1475">
        <f t="shared" ca="1" si="82"/>
        <v>0</v>
      </c>
      <c r="Q301" s="1475">
        <f t="shared" ca="1" si="82"/>
        <v>0</v>
      </c>
      <c r="R301" s="1475">
        <f t="shared" ca="1" si="82"/>
        <v>0</v>
      </c>
      <c r="S301" s="1475">
        <f t="shared" ca="1" si="82"/>
        <v>0</v>
      </c>
      <c r="T301" s="1475">
        <f t="shared" ca="1" si="82"/>
        <v>0</v>
      </c>
      <c r="U301" s="1475">
        <f t="shared" ca="1" si="82"/>
        <v>0</v>
      </c>
      <c r="V301" s="1475">
        <f t="shared" ca="1" si="82"/>
        <v>0</v>
      </c>
      <c r="W301" s="1475">
        <f t="shared" ca="1" si="82"/>
        <v>0</v>
      </c>
      <c r="X301" s="1475">
        <f t="shared" ca="1" si="82"/>
        <v>0</v>
      </c>
      <c r="Y301" s="1475">
        <f t="shared" ca="1" si="82"/>
        <v>0</v>
      </c>
      <c r="Z301" s="1475">
        <f t="shared" ca="1" si="82"/>
        <v>0</v>
      </c>
      <c r="AA301" s="1475">
        <f t="shared" ca="1" si="82"/>
        <v>0</v>
      </c>
      <c r="AB301" s="1475">
        <f t="shared" ca="1" si="82"/>
        <v>0</v>
      </c>
      <c r="AC301" s="1475">
        <f t="shared" ca="1" si="82"/>
        <v>0</v>
      </c>
      <c r="AD301" s="1475">
        <f t="shared" ca="1" si="82"/>
        <v>0</v>
      </c>
      <c r="AE301" s="1475">
        <f t="shared" ca="1" si="82"/>
        <v>0</v>
      </c>
      <c r="AF301" s="1475">
        <f t="shared" ca="1" si="82"/>
        <v>0</v>
      </c>
      <c r="AH301" s="1283"/>
      <c r="AI301" s="1283"/>
      <c r="AJ301" s="1283"/>
      <c r="AL301" s="1328"/>
      <c r="AM301" s="1328"/>
      <c r="AN301" s="1390"/>
    </row>
    <row r="302" spans="1:40" s="1317" customFormat="1" ht="10.199999999999999" hidden="1">
      <c r="A302" s="1270"/>
      <c r="G302" s="1395" t="s">
        <v>264</v>
      </c>
      <c r="I302" s="1400">
        <f ca="1">IF(I57=1,SUM($I$293:I293),0)</f>
        <v>0</v>
      </c>
      <c r="J302" s="1400">
        <f ca="1">IF(J57=1,SUM($I$293:J293)-I303,0)</f>
        <v>0</v>
      </c>
      <c r="K302" s="1475">
        <f ca="1">IF(K57=1,SUM($I$293:K293)-SUM($I$303:J303),0)</f>
        <v>0</v>
      </c>
      <c r="L302" s="1475">
        <f ca="1">IF(L57=1,SUM($I$293:L293)-SUM($I$303:K303),0)</f>
        <v>0</v>
      </c>
      <c r="M302" s="1475">
        <f ca="1">IF(M57=1,SUM($I$293:M293)-SUM($I$303:L303),0)</f>
        <v>0</v>
      </c>
      <c r="N302" s="1475">
        <f ca="1">IF(N57=1,SUM($I$293:N293)-SUM($I$303:M303),0)</f>
        <v>0</v>
      </c>
      <c r="O302" s="1475">
        <f ca="1">IF(O57=1,SUM($I$293:O293)-SUM($I$303:N303),0)</f>
        <v>0</v>
      </c>
      <c r="P302" s="1475">
        <f ca="1">IF(P57=1,SUM($I$293:P293)-SUM($I$303:O303),0)</f>
        <v>0</v>
      </c>
      <c r="Q302" s="1475">
        <f ca="1">IF(Q57=1,SUM($I$293:Q293)-SUM($I$303:P303),0)</f>
        <v>0</v>
      </c>
      <c r="R302" s="1475">
        <f ca="1">IF(R57=1,SUM($I$293:R293)-SUM($I$303:Q303),0)</f>
        <v>0</v>
      </c>
      <c r="S302" s="1475">
        <f ca="1">IF(S57=1,SUM($I$293:S293)-SUM($I$303:R303),0)</f>
        <v>0</v>
      </c>
      <c r="T302" s="1475">
        <f ca="1">IF(T57=1,SUM($I$293:T293)-SUM($I$303:S303),0)</f>
        <v>0</v>
      </c>
      <c r="U302" s="1475">
        <f ca="1">IF(U57=1,SUM($I$293:U293)-SUM($I$303:T303),0)</f>
        <v>0</v>
      </c>
      <c r="V302" s="1475">
        <f ca="1">IF(V57=1,SUM($I$293:V293)-SUM($I$303:U303),0)</f>
        <v>0</v>
      </c>
      <c r="W302" s="1475">
        <f ca="1">IF(W57=1,SUM($I$293:W293)-SUM($I$303:V303),0)</f>
        <v>0</v>
      </c>
      <c r="X302" s="1475">
        <f ca="1">IF(X57=1,SUM($I$293:X293)-SUM($I$303:W303),0)</f>
        <v>0</v>
      </c>
      <c r="Y302" s="1475">
        <f ca="1">IF(Y57=1,SUM($I$293:Y293)-SUM($I$303:X303),0)</f>
        <v>0</v>
      </c>
      <c r="Z302" s="1475">
        <f ca="1">IF(Z57=1,SUM($I$293:Z293)-SUM($I$303:Y303),0)</f>
        <v>0</v>
      </c>
      <c r="AA302" s="1475">
        <f ca="1">IF(AA57=1,SUM($I$293:AA293)-SUM($I$303:Z303),0)</f>
        <v>0</v>
      </c>
      <c r="AB302" s="1475">
        <f ca="1">IF(AB57=1,SUM($I$293:AB293)-SUM($I$303:AA303),0)</f>
        <v>0</v>
      </c>
      <c r="AC302" s="1475">
        <f ca="1">IF(AC57=1,SUM($I$293:AC293)-SUM($I$303:AB303),0)</f>
        <v>0</v>
      </c>
      <c r="AD302" s="1475">
        <f ca="1">IF(AD57=1,SUM($I$293:AD293)-SUM($I$303:AC303),0)</f>
        <v>0</v>
      </c>
      <c r="AE302" s="1475">
        <f ca="1">IF(AE57=1,SUM($I$293:AE293)-SUM($I$303:AD303),0)</f>
        <v>0</v>
      </c>
      <c r="AF302" s="1475">
        <f ca="1">IF(AF57=1,SUM($I$293:AF293)-SUM($I$303:AE303),0)</f>
        <v>0</v>
      </c>
      <c r="AH302" s="1283"/>
      <c r="AI302" s="1283"/>
      <c r="AJ302" s="1283"/>
      <c r="AL302" s="1328"/>
      <c r="AM302" s="1328"/>
      <c r="AN302" s="1398"/>
    </row>
    <row r="303" spans="1:40" s="1317" customFormat="1" ht="10.199999999999999" hidden="1">
      <c r="A303" s="1270"/>
      <c r="G303" s="1395" t="s">
        <v>265</v>
      </c>
      <c r="I303" s="1487"/>
      <c r="J303" s="1487"/>
      <c r="K303" s="1489">
        <f t="shared" ref="K303:U303" si="83">I294</f>
        <v>0</v>
      </c>
      <c r="L303" s="1489">
        <f t="shared" si="83"/>
        <v>0</v>
      </c>
      <c r="M303" s="1489">
        <f t="shared" ca="1" si="83"/>
        <v>0</v>
      </c>
      <c r="N303" s="1489">
        <f t="shared" ca="1" si="83"/>
        <v>0</v>
      </c>
      <c r="O303" s="1489">
        <f t="shared" ca="1" si="83"/>
        <v>0</v>
      </c>
      <c r="P303" s="1489">
        <f t="shared" ca="1" si="83"/>
        <v>0</v>
      </c>
      <c r="Q303" s="1489">
        <f t="shared" ca="1" si="83"/>
        <v>0</v>
      </c>
      <c r="R303" s="1489">
        <f t="shared" ca="1" si="83"/>
        <v>0</v>
      </c>
      <c r="S303" s="1489">
        <f t="shared" ca="1" si="83"/>
        <v>0</v>
      </c>
      <c r="T303" s="1489">
        <f t="shared" ca="1" si="83"/>
        <v>0</v>
      </c>
      <c r="U303" s="1489">
        <f t="shared" ca="1" si="83"/>
        <v>0</v>
      </c>
      <c r="V303" s="1489">
        <f ca="1">IF(AND($G$149=3,$C$57=1),T294+SUM(R320:W320),IF(AND($G$149=2,$C$57=1),T294+SUM(R323:W323),IF(AND($G$149=1,$C$57=1),T294+SUM(R326:W326),T294)))</f>
        <v>0</v>
      </c>
      <c r="W303" s="1489">
        <f ca="1">IF(AND($G$149=3,$C$57=1),U294-R320-U320-V320,IF(AND($G$149=2,$C$57=1),U294-R323-U323-W323,IF(AND($G$149=1,$C$57=1),U294-R326-T326-W326,U294)))</f>
        <v>0</v>
      </c>
      <c r="X303" s="1489">
        <f ca="1">IF(AND($G$149=3,$C$57=1),V294-S320-W320,IF(AND($G$149=2,$C$57=1),V294-S323-V323,IF(AND($G$149=1,$C$57=1),V294-S326-V326,V294)))</f>
        <v>0</v>
      </c>
      <c r="Y303" s="1489">
        <f ca="1">IF(AND($G$149=3,$C$57=1),W294-T320,IF(AND($G$149=2,$C$57=1),W294-T323,IF(AND($G$149=1,$C$57=1),W294-U326,W294)))</f>
        <v>0</v>
      </c>
      <c r="Z303" s="1489">
        <f t="shared" ref="Z303:AF303" ca="1" si="84">X294</f>
        <v>0</v>
      </c>
      <c r="AA303" s="1489">
        <f t="shared" ca="1" si="84"/>
        <v>0</v>
      </c>
      <c r="AB303" s="1489">
        <f t="shared" ca="1" si="84"/>
        <v>0</v>
      </c>
      <c r="AC303" s="1489">
        <f t="shared" ca="1" si="84"/>
        <v>0</v>
      </c>
      <c r="AD303" s="1489">
        <f t="shared" ca="1" si="84"/>
        <v>0</v>
      </c>
      <c r="AE303" s="1489">
        <f t="shared" ca="1" si="84"/>
        <v>0</v>
      </c>
      <c r="AF303" s="1489">
        <f t="shared" ca="1" si="84"/>
        <v>0</v>
      </c>
      <c r="AH303" s="1283"/>
      <c r="AI303" s="1283"/>
      <c r="AJ303" s="1283"/>
      <c r="AL303" s="1328"/>
      <c r="AM303" s="1328"/>
      <c r="AN303" s="1398"/>
    </row>
    <row r="304" spans="1:40" s="1317" customFormat="1" ht="10.199999999999999" hidden="1">
      <c r="A304" s="1270"/>
      <c r="G304" s="1395" t="s">
        <v>282</v>
      </c>
      <c r="I304" s="1400">
        <f t="shared" ref="I304:AF304" ca="1" si="85">I302-I303</f>
        <v>0</v>
      </c>
      <c r="J304" s="1400">
        <f t="shared" ca="1" si="85"/>
        <v>0</v>
      </c>
      <c r="K304" s="1400">
        <f t="shared" ca="1" si="85"/>
        <v>0</v>
      </c>
      <c r="L304" s="1400">
        <f t="shared" ca="1" si="85"/>
        <v>0</v>
      </c>
      <c r="M304" s="1400">
        <f t="shared" ca="1" si="85"/>
        <v>0</v>
      </c>
      <c r="N304" s="1400">
        <f t="shared" ca="1" si="85"/>
        <v>0</v>
      </c>
      <c r="O304" s="1400">
        <f t="shared" ca="1" si="85"/>
        <v>0</v>
      </c>
      <c r="P304" s="1400">
        <f t="shared" ca="1" si="85"/>
        <v>0</v>
      </c>
      <c r="Q304" s="1400">
        <f t="shared" ca="1" si="85"/>
        <v>0</v>
      </c>
      <c r="R304" s="1400">
        <f t="shared" ca="1" si="85"/>
        <v>0</v>
      </c>
      <c r="S304" s="1400">
        <f t="shared" ca="1" si="85"/>
        <v>0</v>
      </c>
      <c r="T304" s="1400">
        <f t="shared" ca="1" si="85"/>
        <v>0</v>
      </c>
      <c r="U304" s="1400">
        <f t="shared" ca="1" si="85"/>
        <v>0</v>
      </c>
      <c r="V304" s="1400">
        <f t="shared" ca="1" si="85"/>
        <v>0</v>
      </c>
      <c r="W304" s="1400">
        <f t="shared" ca="1" si="85"/>
        <v>0</v>
      </c>
      <c r="X304" s="1400">
        <f t="shared" ca="1" si="85"/>
        <v>0</v>
      </c>
      <c r="Y304" s="1400">
        <f t="shared" ca="1" si="85"/>
        <v>0</v>
      </c>
      <c r="Z304" s="1400">
        <f t="shared" ca="1" si="85"/>
        <v>0</v>
      </c>
      <c r="AA304" s="1400">
        <f t="shared" ca="1" si="85"/>
        <v>0</v>
      </c>
      <c r="AB304" s="1400">
        <f t="shared" ca="1" si="85"/>
        <v>0</v>
      </c>
      <c r="AC304" s="1400">
        <f t="shared" ca="1" si="85"/>
        <v>0</v>
      </c>
      <c r="AD304" s="1400">
        <f t="shared" ca="1" si="85"/>
        <v>0</v>
      </c>
      <c r="AE304" s="1400">
        <f t="shared" ca="1" si="85"/>
        <v>0</v>
      </c>
      <c r="AF304" s="1400">
        <f t="shared" ca="1" si="85"/>
        <v>0</v>
      </c>
      <c r="AH304" s="1283"/>
      <c r="AI304" s="1283"/>
      <c r="AJ304" s="1283"/>
      <c r="AL304" s="1328"/>
      <c r="AM304" s="1328"/>
      <c r="AN304" s="1398"/>
    </row>
    <row r="305" spans="1:40" s="1317" customFormat="1" ht="10.199999999999999" hidden="1">
      <c r="A305" s="1270"/>
      <c r="G305" s="1401" t="s">
        <v>247</v>
      </c>
      <c r="I305" s="1475">
        <f ca="1">IF($C$57=1,I$57*I$293,0)</f>
        <v>0</v>
      </c>
      <c r="J305" s="1490">
        <f ca="1">IF($C$57=1,I$57*I$293+J$57*J$293,0)</f>
        <v>0</v>
      </c>
      <c r="K305" s="1475">
        <f ca="1">IF($C$57=1,I$57*I$293+J$57*J$293+K$57*K$293,0)</f>
        <v>0</v>
      </c>
      <c r="L305" s="1475">
        <f ca="1">IF($C$57=1,I$57*I$293+J$57*J$293+K$57*K$293+L$57*L$293,0)</f>
        <v>0</v>
      </c>
      <c r="M305" s="1490">
        <f ca="1">IF($C$57=1,I$57*I$293+J$57*J$293+K$57*K$293+L$57*L$293+M$57*M$293,0)</f>
        <v>0</v>
      </c>
      <c r="N305" s="1475">
        <f ca="1">IF($C$57=1,L$57*L$293+M$57*M$293+N$57*N$293,0)</f>
        <v>0</v>
      </c>
      <c r="O305" s="1475">
        <f ca="1">IF($C$57=1,L$57*L$293+M$57*M$293+N$57*N$293+O$57*O$293,IF($C$57=2,O$57*O$293))</f>
        <v>0</v>
      </c>
      <c r="P305" s="1490">
        <f ca="1">IF($C$57=1,L$57*L$293+M$57*M$293+N$57*N$293+O$57*O$293+P$57*P$293,IF($C$57=2,O$57*O$293+P$57*P$293))</f>
        <v>0</v>
      </c>
      <c r="Q305" s="1475">
        <f ca="1">IF($C$57=1,O$57*O$293+P$57*P$293+Q$57*Q$293,IF($C$57=2,O$57*O$293+P$57*P$293+Q$57*Q$293))</f>
        <v>0</v>
      </c>
      <c r="R305" s="1475">
        <f ca="1">IF($C$57=1,O$57*O$293+P$57*P$293+Q$57*Q$293+R$57*R$293,IF($C$57=2,O$57*O$293+P$57*P$293+Q$57*Q$293+R$57*R$293))</f>
        <v>0</v>
      </c>
      <c r="S305" s="1490">
        <f ca="1">IF($C$57=1,O$57*O$293+P$57*P$293+Q$57*Q$293+R$57*R$293+S$57*S$293,IF($C$57=2,O$57*O$293+P$57*P$293+Q$57*Q$293+R$57*R$293+S$57*S$293))</f>
        <v>0</v>
      </c>
      <c r="T305" s="1475">
        <f ca="1">IF($C$57=1,R$57*R$293+S$57*S$293+T$57*T$293,IF($C$57=2,R$57*R$293+S$57*S$293+T$57*T$293))</f>
        <v>0</v>
      </c>
      <c r="U305" s="1475">
        <f ca="1">IF($C$57=1,R$57*R$293+S$57*S$293+T$57*T$293+U$57*U$293,IF($C$57=2,R$57*R$293+S$57*S$293+T$57*T$293+U$57*U$293))</f>
        <v>0</v>
      </c>
      <c r="V305" s="1490">
        <f ca="1">IF($C$57=1,R$57*R$293+S$57*S$293+T$57*T$293+U$57*U$293+V$57*V$293,IF($C$57=2,R$57*R$293+S$57*S$293+T$57*T$293+U$57*U$293+V$57*V$293))</f>
        <v>0</v>
      </c>
      <c r="W305" s="1475">
        <f ca="1">IF($C$57=1,U$57*U$293+V$57*V$293+W$57*W$293,IF($C$57=2,U$57*U$293+V$57*V$293+W$57*W$293))</f>
        <v>0</v>
      </c>
      <c r="X305" s="1475">
        <f ca="1">IF($C$57=1,U$57*U$293+V$57*V$293+W$57*W$293+X$57*X$293,IF($C$57=2,U$57*U$293+V$57*V$293+W$57*W$293+X$57*X$293))</f>
        <v>0</v>
      </c>
      <c r="Y305" s="1490">
        <f ca="1">IF($C$57=1,U$57*U$293+V$57*V$293+W$57*W$293+X$57*X$293+Y$57*Y$293,IF($C$57=2,U$57*U$293+V$57*V$293+W$57*W$293+X$57*X$293+Y$57*Y$293))</f>
        <v>0</v>
      </c>
      <c r="Z305" s="1475">
        <f ca="1">IF($C$57=1,X$57*X$293+Y$57*Y$293+Z$57*Z$293,IF($C$57=2,X$57*X$293+Y$57*Y$293+Z$57*Z$293))</f>
        <v>0</v>
      </c>
      <c r="AA305" s="1475">
        <f ca="1">IF($C$57=1,X$57*X$293+Y$57*Y$293+Z$57*Z$293+AA$57*AA$293,IF($C$57=2,X$57*X$293+Y$57*Y$293+Z$57*Z$293+AA$57*AA$293))</f>
        <v>0</v>
      </c>
      <c r="AB305" s="1490">
        <f ca="1">IF($C$57=1,X$57*X$293+Y$57*Y$293+Z$57*Z$293+AA$57*AA$293+AB$57*AB$293,IF($C$57=2,X57*X$293+Y$57*Y$293+Z$57*Z$293+AA$57*AA$293+AB$57*AB$293))</f>
        <v>0</v>
      </c>
      <c r="AC305" s="1475">
        <f ca="1">IF($C$57=1,AA$57*AA$293+AB$57*AB$293+AC$57*AC$293,IF($C$57=2,AA$57*AA$293+AB$57*AB$293+AC$57*AC$293))</f>
        <v>0</v>
      </c>
      <c r="AD305" s="1475">
        <f ca="1">IF($C$57=1,AA$57*AA$293+AB$57*AB$293+AC$57*AC$293+AD$57*AD$293,IF($C$57=2,AA$57*AA$293+AB$57*AB$293+AC$57*AC$293+AD$57*AD$293))</f>
        <v>0</v>
      </c>
      <c r="AE305" s="1490">
        <f ca="1">IF($C$57=1,AA$57*AA$293+AB$57*AB$293+AC$57*AC$293+AD$57*AD$293+AE$57*AE$293,IF($C$57=2,AA$57*AA$293+AB$57*AB$293+AC$57*AC$293+AD$57*AD$293+AE$57*AE$293))</f>
        <v>0</v>
      </c>
      <c r="AF305" s="1475">
        <f ca="1">IF($C$57=1,AD$57*AD$293+AE$57*AE$293+AF$57*AF$293,IF($C$57=2,AD$57*AD$293+AE$57*AE$293+AF$57*AF$293))</f>
        <v>0</v>
      </c>
      <c r="AG305" s="1476"/>
      <c r="AH305" s="1491"/>
      <c r="AI305" s="1283"/>
      <c r="AJ305" s="1283"/>
      <c r="AL305" s="1328"/>
      <c r="AM305" s="1328"/>
      <c r="AN305" s="1406"/>
    </row>
    <row r="306" spans="1:40" s="1492" customFormat="1" ht="10.199999999999999" hidden="1">
      <c r="A306" s="1270"/>
      <c r="G306" s="1401" t="s">
        <v>248</v>
      </c>
      <c r="I306" s="1400">
        <f ca="1">IF($C$57=1,I$57*I$293,0)</f>
        <v>0</v>
      </c>
      <c r="J306" s="1400">
        <f ca="1">IF($C$57=1,I$57*I$293+J$57*J$293,0)</f>
        <v>0</v>
      </c>
      <c r="K306" s="1490">
        <f ca="1">IF($C$57=1,I$57*I$293+J$57*J$293+K$57*K$293,0)</f>
        <v>0</v>
      </c>
      <c r="L306" s="1475">
        <f ca="1">IF($C$57=1,J$57*J$293+K$57*K$293+L$57*L$293,0)</f>
        <v>0</v>
      </c>
      <c r="M306" s="1475">
        <f ca="1">IF($C$57=1,J$57*J$293+K$57*K$293+L$57*L$293+M$57*M$293,0)</f>
        <v>0</v>
      </c>
      <c r="N306" s="1490">
        <f ca="1">IF($C$57=1,J$57*J$293+K$57*K$293+L$57*L$293+M$57*M$293+N$57*N$293,0)</f>
        <v>0</v>
      </c>
      <c r="O306" s="1475">
        <f ca="1">IF($C$57=1,M$57*M$293+N$57*N$293+O$57*O$293,IF($C$57=2,O$57*O$293))</f>
        <v>0</v>
      </c>
      <c r="P306" s="1475">
        <f ca="1">IF($C$57=1,M$57*M$293+N$57*N$293+O$57*O$293+P$57*P$293,IF($C$57=2,O$57*O$293+P$57*P$293))</f>
        <v>0</v>
      </c>
      <c r="Q306" s="1490">
        <f ca="1">IF($C$57=1,M$57*M$293+N$57*N$293+O$57*O$293+P$57*P$293+Q$57*Q$293,IF($C$57=2,O$57*O$293+P$57*P$293+Q$57*Q$293))</f>
        <v>0</v>
      </c>
      <c r="R306" s="1475">
        <f ca="1">IF($C$57=1,P$57*P$293+Q$57*Q$293+R$57*R$293,IF($C$57=2,P$57*P$293+Q$57*Q$293+R$57*R$293))</f>
        <v>0</v>
      </c>
      <c r="S306" s="1475">
        <f ca="1">IF($C$57=1,P$57*P$293+Q$57*Q$293+R$57*R$293+S$57*S$293,IF($C$57=2,P$57*P$293+Q$57*Q$293+R$57*R$293+S$57*S$293))</f>
        <v>0</v>
      </c>
      <c r="T306" s="1490">
        <f ca="1">IF($C$57=1,P$57*P$293+Q$57*Q$293+R$57*R$293+S$57*S$293+T$57*T$293,IF($C$57=2,P$57*P$293+Q$57*Q$293+R$57*R$293+S$57*S$293+T$57*T$293))</f>
        <v>0</v>
      </c>
      <c r="U306" s="1475">
        <f ca="1">IF($C$57=1,S$57*S$293+T$57*T$293+U$57*U$293,IF($C$57=2,S$57*S$293+T$57*T$293+U$57*U$293))</f>
        <v>0</v>
      </c>
      <c r="V306" s="1475">
        <f ca="1">IF($C$57=1,S$57*S$293+T$57*T$293+U$57*U$293+V$57*V$293,IF($C$57=2,S$57*S$293+T$57*T$293+U$57*U$293+V$57*V$293))</f>
        <v>0</v>
      </c>
      <c r="W306" s="1490">
        <f ca="1">IF($C$57=1,S$57*S$293+T$57*T$293+U$57*U$293+V$57*V$293+W$57*W$293,IF($C$57=2,S$57*S$293+T$57*T$293+U$57*U$293+V$57*V$293+W$57*W$293))</f>
        <v>0</v>
      </c>
      <c r="X306" s="1475">
        <f ca="1">IF($C$57=1,V$57*V$293+W$57*W$293+X$57*X$293,IF($C$57=2,V$57*V$293+W$57*W$293+X$57*X$293))</f>
        <v>0</v>
      </c>
      <c r="Y306" s="1475">
        <f ca="1">IF($C$57=1,V$57*V$293+W$57*W$293+X$57*X$293+Y$57*Y$293,IF($C$57=2,V$57*V$293+W$57*W$293+X$57*X$293+Y$57*Y$293))</f>
        <v>0</v>
      </c>
      <c r="Z306" s="1490">
        <f ca="1">IF($C$57=1,V$57*V$293+W$57*W$293+X$57*X$293+Y$57*Y$293+Z$57*Z$293,IF($C$57=2,V$57*V$293+W$57*W$293+X$57*X$293+Y$57*Y$293+Z$57*Z$293))</f>
        <v>0</v>
      </c>
      <c r="AA306" s="1475">
        <f ca="1">IF($C$57=1,Y$57*Y$293+Z$57*Z$293+AA$57*AA$293,IF($C$57=2,Y$57*Y$293+Z$57*Z$293+AA$57*AA$293))</f>
        <v>0</v>
      </c>
      <c r="AB306" s="1475">
        <f ca="1">IF($C$57=1,Y$57*Y$293+Z$57*Z$293+AA$57*AA$293+AB$57*AB$293,IF($C$57=2,Y$57*Y$293+Z$57*Z$293+AA$57*AA$293+AB$57*AB$293))</f>
        <v>0</v>
      </c>
      <c r="AC306" s="1490">
        <f ca="1">IF($C$57=1,Y$57*Y$293+Z$57*Z$293+AA$57*AA$293+AB$57*AB$293+AC$57*AC$293,IF($C$57=2,Y$57*Y$293+Z$57*Z$293+AA$57*AA$293+AB$57*AB$293+AC$57*AC$293))</f>
        <v>0</v>
      </c>
      <c r="AD306" s="1475">
        <f ca="1">IF($C$57=1,AB$57*AB$293+AC$57*AC$293+AD$57*AD$293,IF($C$57=2,AB$57*AB$293+AC$57*AC$293+AD$57*AD$293))</f>
        <v>0</v>
      </c>
      <c r="AE306" s="1475">
        <f ca="1">IF($C$57=1,AB$57*AB$293+AC$57*AC$293+AD$57*AD$293+AE$57*AE$293,IF($C$57=2,AB$57*AB$293+AC$57*AC$293+AD$57*AD$293+AE$57*AE$293))</f>
        <v>0</v>
      </c>
      <c r="AF306" s="1490">
        <f ca="1">IF($C$57=1,AB$57*AB$293+AC$57*AC$293+AD$57*AD$293+AE$57*AE$293+AF$57*AF$293,IF($C$57=2,AB$57*AB$293+AC$57*AC$293+AD$57*AD$293+AE$57*AE$293+AF$57*AF$293))</f>
        <v>0</v>
      </c>
      <c r="AG306" s="1493"/>
      <c r="AH306" s="1282"/>
      <c r="AI306" s="1494"/>
      <c r="AJ306" s="1494"/>
      <c r="AL306" s="1328"/>
      <c r="AM306" s="1328"/>
      <c r="AN306" s="1406"/>
    </row>
    <row r="307" spans="1:40" s="1492" customFormat="1" ht="10.199999999999999" hidden="1">
      <c r="A307" s="1270"/>
      <c r="G307" s="1401" t="s">
        <v>249</v>
      </c>
      <c r="I307" s="1400">
        <f ca="1">IF($C$57=1,I$57*I$293,0)</f>
        <v>0</v>
      </c>
      <c r="J307" s="1400">
        <f ca="1">IF($C$57=1,I$57*I$293+J$57*J$293,0)</f>
        <v>0</v>
      </c>
      <c r="K307" s="1400">
        <f ca="1">IF($C$57=1,I$57*I$293+J$57*J$293+K$57*K$293,0)</f>
        <v>0</v>
      </c>
      <c r="L307" s="1490">
        <f ca="1">IF($C$57=1,I$57*I$293+J$57*J$293+K$57*K$293+L$57*L$293,0)</f>
        <v>0</v>
      </c>
      <c r="M307" s="1475">
        <f ca="1">IF($C$57=1,K$57*K$293+L$57*L$293+M$57*M$293,0)</f>
        <v>0</v>
      </c>
      <c r="N307" s="1475">
        <f ca="1">IF($C$57=1,K$57*K$293+L$57*L$293+M$57*M$293+N$57*N$293,0)</f>
        <v>0</v>
      </c>
      <c r="O307" s="1490">
        <f ca="1">IF($C$57=1,K$57*K$293+L$57*L$293+M$57*M$293+N$57*N$293+O$57*O$293,IF($C$57=2,O$57*O$293))</f>
        <v>0</v>
      </c>
      <c r="P307" s="1475">
        <f ca="1">IF($C$57=1,N$57*N$293+O$57*O$293+P$57*P$293,IF($C$57=2,O$57*O$293+P$57*P$293))</f>
        <v>0</v>
      </c>
      <c r="Q307" s="1475">
        <f ca="1">IF($C$57=1,N$57*N$293+O$57*O$293+P$57*P$293+Q$57*Q$293,IF($C$57=2,O$57*O$293+P$57*P$293+Q$57*Q$293))</f>
        <v>0</v>
      </c>
      <c r="R307" s="1490">
        <f ca="1">IF($C$57=1,N$57*N$293+O$57*O$293+P$57*P$293+Q$57*Q$293+R$57*R$293,IF($C$57=2,O$57*O$293+P$57*P$293+Q$57*Q$293+R$57*R$293))</f>
        <v>0</v>
      </c>
      <c r="S307" s="1475">
        <f ca="1">IF($C$57=1,Q$57*Q$293+R$57*R$293+S$57*S$293,IF($C$57=2,Q$57*Q$293+R$57*R$293+S$57*S$293))</f>
        <v>0</v>
      </c>
      <c r="T307" s="1475">
        <f ca="1">IF($C$57=1,Q$57*Q$293+R$57*R$293+S$57*S$293+T$57*T$293,IF($C$57=2,Q$57*Q$293+R$57*R$293+S$57*S$293+T$57*T$293))</f>
        <v>0</v>
      </c>
      <c r="U307" s="1490">
        <f ca="1">IF($C$57=1,Q$57*Q$293+R$57*R$293+S$57*S$293+T$57*T$293+U$57*U$293,IF($C$57=2,Q$57*Q$293+R$57*R$293+S$57*S$293+T$57*T$293+U$57*U$293))</f>
        <v>0</v>
      </c>
      <c r="V307" s="1475">
        <f ca="1">IF($C$57=1,T$57*T$293+U$57*U$293+V$57*V$293,IF($C$57=2,T$57*T$293+U$57*U$293+V$57*V$293))</f>
        <v>0</v>
      </c>
      <c r="W307" s="1475">
        <f ca="1">IF($C$57=1,T$57*T$293+U$57*U$293+V$57*V$293+W$57*W$293,IF($C$57=2,T$57*T$293+U$57*U$293+V$57*V$293+W$57*W$293))</f>
        <v>0</v>
      </c>
      <c r="X307" s="1490">
        <f ca="1">IF($C$57=1,T$57*T$293+U$57*U$293+V$57*V$293+W$57*W$293+X$57*X$293,IF($C$57=2,T$57*T$293+U$57*U$293+V$57*V$293+W$57*W$293+X$57*X$293))</f>
        <v>0</v>
      </c>
      <c r="Y307" s="1475">
        <f ca="1">IF($C$57=1,W$57*W$293+X$57*X$293+Y$57*Y$293,IF($C$57=2,W$57*W$293+X$57*X$293+Y$57*Y$293))</f>
        <v>0</v>
      </c>
      <c r="Z307" s="1475">
        <f ca="1">IF($C$57=1,W$57*W$293+X$57*X$293+Y$57*Y$293+Z$57*Z$293,IF($C$57=2,W$57*W$293+X$57*X$293+Y$57*Y$293+Z$57*Z$293))</f>
        <v>0</v>
      </c>
      <c r="AA307" s="1490">
        <f ca="1">IF($C$57=1,W$57*W$293+X$57*X$293+Y$57*Y$293+Z$57*Z$293+AA$57*AA$293,IF($C$57=2,W$57*W$293+X$57*X$293+Y$57*Y$293+Z$57*Z$293+AA$57*AA$293))</f>
        <v>0</v>
      </c>
      <c r="AB307" s="1475">
        <f ca="1">IF($C$57=1,Z$57*Z$293+AA$57*AA$293+AB$57*AB$293,IF($C$57=2,Z$57*Z$293+AA$57*AA$293+AB$57*AB$293))</f>
        <v>0</v>
      </c>
      <c r="AC307" s="1475">
        <f ca="1">IF($C$57=1,Z$57*Z$293+AA$57*AA$293+AB$57*AB$293+AC$57*AC$293,IF($C$57=2,Z$57*Z$293+AA$57*AA$293+AB$57*AB$293+AC$57*AC$293))</f>
        <v>0</v>
      </c>
      <c r="AD307" s="1490">
        <f ca="1">IF($C$57=1,Z$57*Z$293+AA$57*AA$293+AB$57*AB$293+AC$57*AC$293+AD$57*AD$293,IF($C$57=2,Z$57*Z$293+AA$57*AA$293+AB$57*AB$293+AC$57*AC$293+AD$57*AD$293))</f>
        <v>0</v>
      </c>
      <c r="AE307" s="1475">
        <f ca="1">IF($C$57=1,AC$57*AC$293+AD$57*AD$293+AE$57*AE$293,IF($C$57=2,AC$57*AC$293+AD$57*AD$293+AE$57*AE$293))</f>
        <v>0</v>
      </c>
      <c r="AF307" s="1475">
        <f ca="1">IF($C$57=1,AC$57*AC$293+AD$57*AD$293+AE$57*AE$293+AF$57*AF$293,IF($C$57=2,AC$57*AC$293+AD$57*AD$293+AE$57*AE$293+AF$57*AF$293))</f>
        <v>0</v>
      </c>
      <c r="AG307" s="1493"/>
      <c r="AH307" s="1495"/>
      <c r="AI307" s="1494"/>
      <c r="AJ307" s="1494"/>
      <c r="AL307" s="1328"/>
      <c r="AM307" s="1328"/>
      <c r="AN307" s="1406"/>
    </row>
    <row r="308" spans="1:40" s="1492" customFormat="1" ht="10.8" hidden="1" thickBot="1">
      <c r="A308" s="1270"/>
      <c r="G308" s="1401" t="s">
        <v>275</v>
      </c>
      <c r="I308" s="1400"/>
      <c r="J308" s="1400"/>
      <c r="K308" s="1400">
        <f>IF($G$309=2,SUM(I293:I293),0)</f>
        <v>0</v>
      </c>
      <c r="L308" s="1400">
        <f>IF($G$309=1,SUM(I293:J293),0)</f>
        <v>0</v>
      </c>
      <c r="M308" s="1400">
        <f ca="1">IF($G$309=3,SUM(I293:K293),0)</f>
        <v>0</v>
      </c>
      <c r="N308" s="1400">
        <f>IF($G$309=2,SUM(J293:L293),0)</f>
        <v>0</v>
      </c>
      <c r="O308" s="1400">
        <f>IF($G$309=1,SUM(K293:M293),0)</f>
        <v>0</v>
      </c>
      <c r="P308" s="1400">
        <f ca="1">IF($G$309=3,SUM(L293:N293),0)</f>
        <v>0</v>
      </c>
      <c r="Q308" s="1400">
        <f>IF($G$309=2,SUM(M293:O293),0)</f>
        <v>0</v>
      </c>
      <c r="R308" s="1400">
        <f>IF($G$309=1,SUM(N293:P293),0)</f>
        <v>0</v>
      </c>
      <c r="S308" s="1400">
        <f ca="1">IF($G$309=3,SUM(O293:Q293),0)</f>
        <v>0</v>
      </c>
      <c r="T308" s="1400">
        <f>IF($G$309=2,SUM(P293:R293),0)</f>
        <v>0</v>
      </c>
      <c r="U308" s="1400">
        <f>IF($G$309=1,SUM(Q293:S293),0)</f>
        <v>0</v>
      </c>
      <c r="V308" s="1400">
        <f ca="1">IF($G$309=3,SUM(R293:T293),0)</f>
        <v>0</v>
      </c>
      <c r="W308" s="1400">
        <f>IF($G$309=2,SUM(S293:U293),0)</f>
        <v>0</v>
      </c>
      <c r="X308" s="1400">
        <f>IF($G$309=1,SUM(T293:V293),0)</f>
        <v>0</v>
      </c>
      <c r="Y308" s="1400">
        <f ca="1">IF($G$309=3,SUM(U293:W293),0)</f>
        <v>0</v>
      </c>
      <c r="Z308" s="1400">
        <f>IF($G$309=2,SUM(V293:X293),0)</f>
        <v>0</v>
      </c>
      <c r="AA308" s="1400">
        <f>IF($G$309=1,SUM(W293:Y293),0)</f>
        <v>0</v>
      </c>
      <c r="AB308" s="1400">
        <f ca="1">IF($G$309=3,SUM(X293:Z293),0)</f>
        <v>0</v>
      </c>
      <c r="AC308" s="1400">
        <f>IF($G$309=2,SUM(Y293:AA293),0)</f>
        <v>0</v>
      </c>
      <c r="AD308" s="1400">
        <f>IF($G$309=1,SUM(Z293:AB293),0)</f>
        <v>0</v>
      </c>
      <c r="AE308" s="1400">
        <f ca="1">IF($G$309=3,SUM(AA293:AC293),0)</f>
        <v>0</v>
      </c>
      <c r="AF308" s="1400">
        <f>IF($G$309=2,SUM(AB293:AD293),0)</f>
        <v>0</v>
      </c>
      <c r="AG308" s="1496"/>
      <c r="AH308" s="1495"/>
      <c r="AI308" s="1494"/>
      <c r="AJ308" s="1494"/>
      <c r="AL308" s="1328"/>
      <c r="AM308" s="1328"/>
      <c r="AN308" s="1406"/>
    </row>
    <row r="309" spans="1:40" s="1492" customFormat="1" ht="10.8" hidden="1" thickBot="1">
      <c r="A309" s="1270"/>
      <c r="E309" s="1497" t="s">
        <v>419</v>
      </c>
      <c r="G309" s="1414">
        <f>T429</f>
        <v>3</v>
      </c>
      <c r="I309" s="1400">
        <f t="shared" ref="I309:AF309" ca="1" si="86">IF($G$149=1,I307,IF($G$149=2,I306,IF($G$149=3,I305)))-I308</f>
        <v>0</v>
      </c>
      <c r="J309" s="1400">
        <f t="shared" ca="1" si="86"/>
        <v>0</v>
      </c>
      <c r="K309" s="1400">
        <f t="shared" ca="1" si="86"/>
        <v>0</v>
      </c>
      <c r="L309" s="1400">
        <f t="shared" ca="1" si="86"/>
        <v>0</v>
      </c>
      <c r="M309" s="1400">
        <f t="shared" ca="1" si="86"/>
        <v>0</v>
      </c>
      <c r="N309" s="1400">
        <f t="shared" ca="1" si="86"/>
        <v>0</v>
      </c>
      <c r="O309" s="1400">
        <f t="shared" ca="1" si="86"/>
        <v>0</v>
      </c>
      <c r="P309" s="1400">
        <f t="shared" ca="1" si="86"/>
        <v>0</v>
      </c>
      <c r="Q309" s="1400">
        <f t="shared" ca="1" si="86"/>
        <v>0</v>
      </c>
      <c r="R309" s="1400">
        <f t="shared" ca="1" si="86"/>
        <v>0</v>
      </c>
      <c r="S309" s="1400">
        <f t="shared" ca="1" si="86"/>
        <v>0</v>
      </c>
      <c r="T309" s="1400">
        <f t="shared" ca="1" si="86"/>
        <v>0</v>
      </c>
      <c r="U309" s="1400">
        <f t="shared" ca="1" si="86"/>
        <v>0</v>
      </c>
      <c r="V309" s="1400">
        <f t="shared" ca="1" si="86"/>
        <v>0</v>
      </c>
      <c r="W309" s="1400">
        <f t="shared" ca="1" si="86"/>
        <v>0</v>
      </c>
      <c r="X309" s="1400">
        <f t="shared" ca="1" si="86"/>
        <v>0</v>
      </c>
      <c r="Y309" s="1400">
        <f t="shared" ca="1" si="86"/>
        <v>0</v>
      </c>
      <c r="Z309" s="1400">
        <f t="shared" ca="1" si="86"/>
        <v>0</v>
      </c>
      <c r="AA309" s="1400">
        <f t="shared" ca="1" si="86"/>
        <v>0</v>
      </c>
      <c r="AB309" s="1400">
        <f t="shared" ca="1" si="86"/>
        <v>0</v>
      </c>
      <c r="AC309" s="1400">
        <f t="shared" ca="1" si="86"/>
        <v>0</v>
      </c>
      <c r="AD309" s="1400">
        <f t="shared" ca="1" si="86"/>
        <v>0</v>
      </c>
      <c r="AE309" s="1400">
        <f t="shared" ca="1" si="86"/>
        <v>0</v>
      </c>
      <c r="AF309" s="1400">
        <f t="shared" ca="1" si="86"/>
        <v>0</v>
      </c>
      <c r="AG309" s="1496"/>
      <c r="AH309" s="1498"/>
      <c r="AI309" s="1494"/>
      <c r="AJ309" s="1494"/>
      <c r="AL309" s="1499"/>
      <c r="AM309" s="1328"/>
      <c r="AN309" s="1415"/>
    </row>
    <row r="310" spans="1:40" s="1317" customFormat="1" ht="10.199999999999999" hidden="1">
      <c r="A310" s="1270"/>
      <c r="G310" s="1416" t="s">
        <v>279</v>
      </c>
      <c r="I310" s="1475">
        <f ca="1">IF($C$57=1,IF(I57=1,SUM($I$293:I293),0))</f>
        <v>0</v>
      </c>
      <c r="J310" s="1475">
        <f ca="1">IF($C$57=1,IF(J57=1,SUM($I$293:J293))-SUM($I$311:I311),0)</f>
        <v>0</v>
      </c>
      <c r="K310" s="1475">
        <f ca="1">IF($C$57=1,IF(K57=1,SUM($I$293:K293))-SUM($I$311:J311),0)</f>
        <v>0</v>
      </c>
      <c r="L310" s="1475">
        <f ca="1">IF($C$57=1,IF(L57=1,SUM($I$293:L293))-SUM($I$311:K311),0)</f>
        <v>0</v>
      </c>
      <c r="M310" s="1475">
        <f ca="1">IF($C$57=1,IF(M57=1,SUM($I$293:M293))-SUM($I$311:L311),0)</f>
        <v>0</v>
      </c>
      <c r="N310" s="1475">
        <f ca="1">IF($C$57=1,IF(N57=1,SUM($I$293:N293))-SUM($I$311:M311),0)</f>
        <v>0</v>
      </c>
      <c r="O310" s="1475">
        <f ca="1">IF($C$57=1,IF(O57=1,SUM($I$293:O293))-SUM($I$311:N311),IF($C$57=2,IF(O57=1,SUM($O$293:O293))))</f>
        <v>0</v>
      </c>
      <c r="P310" s="1475">
        <f ca="1">IF($C$57=1,IF(P57=1,SUM($I$293:P293))-SUM($I$311:O311),IF($C$57=2,IF(P57=1,SUM($O$293:P293)-SUM($O$311:O311))))</f>
        <v>0</v>
      </c>
      <c r="Q310" s="1475">
        <f ca="1">IF($C$57=1,IF(Q57=1,SUM($I$293:Q293))-SUM($I$311:P311),IF($C$57=2,IF(Q57=1,SUM($O$293:Q293)-SUM($O$311:P311))))</f>
        <v>0</v>
      </c>
      <c r="R310" s="1475">
        <f ca="1">IF($C$57=1,IF(R57=1,SUM($I$293:R293))-SUM($I$311:Q311),IF($C$57=2,IF(R57=1,SUM($O$293:R293)-SUM($O$311:Q311))))</f>
        <v>0</v>
      </c>
      <c r="S310" s="1475">
        <f ca="1">IF($C$57=1,IF(S57=1,SUM($I$293:S293))-SUM($I$311:R311),IF($C$57=2,IF(S57=1,SUM($O$293:S293)-SUM($O$311:R311))))</f>
        <v>0</v>
      </c>
      <c r="T310" s="1475">
        <f ca="1">IF($C$57=1,IF(T57=1,SUM($I$293:T293))-SUM($I$311:S311),IF($C$57=2,IF(T57=1,SUM($O$293:T293)-SUM($O$311:S311))))</f>
        <v>0</v>
      </c>
      <c r="U310" s="1475">
        <f ca="1">IF($C$57=1,IF(U57=1,SUM($I$293:U293))-SUM($I$311:T311),IF($C$57=2,IF(U57=1,SUM($O$293:U293)-SUM($O$311:T311))))</f>
        <v>0</v>
      </c>
      <c r="V310" s="1475">
        <f ca="1">IF($C$57=1,IF(V57=1,SUM($I$293:V293))-SUM($I$311:U311),IF($C$57=2,IF(V57=1,SUM($O$293:V293)-SUM($O$311:U311))))</f>
        <v>0</v>
      </c>
      <c r="W310" s="1475">
        <f ca="1">IF($C$57=1,IF(W57=1,SUM($I$293:W293))-SUM($I$311:V311),IF($C$57=2,IF(W57=1,SUM($O$293:W293)-SUM($O$311:V311))))</f>
        <v>0</v>
      </c>
      <c r="X310" s="1475">
        <f ca="1">IF($C$57=1,IF(X57=1,SUM($I$293:X293))-SUM($I$311:W311),IF($C$57=2,IF(X57=1,SUM($O$293:X293)-SUM($O$311:W311))))</f>
        <v>0</v>
      </c>
      <c r="Y310" s="1475">
        <f ca="1">IF($C$57=1,IF(Y57=1,SUM($I$293:Y293))-SUM($I$311:X311),IF($C$57=2,IF(Y57=1,SUM($O$293:Y293)-SUM($O$311:X311))))</f>
        <v>0</v>
      </c>
      <c r="Z310" s="1475">
        <f ca="1">IF($C$57=1,IF(Z57=1,SUM($I$293:Z293))-SUM($I$311:Y311),IF($C$57=2,IF(Z57=1,SUM($O$293:Z293)-SUM($O$311:Y311))))</f>
        <v>0</v>
      </c>
      <c r="AA310" s="1475">
        <f ca="1">IF($C$57=1,IF(AA57=1,SUM($I$293:AA293))-SUM($I$311:Z311),IF($C$57=2,IF(AA57=1,SUM($O$293:AA293)-SUM($O$311:Z311))))</f>
        <v>0</v>
      </c>
      <c r="AB310" s="1475">
        <f ca="1">IF($C$57=1,IF(AB57=1,SUM($I$293:AB293))-SUM($I$311:AA311),IF($C$57=2,IF(AB57=1,SUM($O$293:AB293)-SUM($O$311:AA311))))</f>
        <v>0</v>
      </c>
      <c r="AC310" s="1475">
        <f ca="1">IF($C$57=1,IF(AC57=1,SUM($I$293:AC293))-SUM($I$311:AB311),IF($C$57=2,IF(AC57=1,SUM($O$293:AC293)-SUM($O$311:AB311))))</f>
        <v>0</v>
      </c>
      <c r="AD310" s="1475">
        <f ca="1">IF($C$57=1,IF(AD57=1,SUM($I$293:AD293))-SUM($I$311:AC311),IF($C$57=2,IF(AD57=1,SUM($O$293:AD293)-SUM($O$311:AC311))))</f>
        <v>0</v>
      </c>
      <c r="AE310" s="1475">
        <f ca="1">IF($C$57=1,IF(AE57=1,SUM($I$293:AE293))-SUM($I$311:AD311),IF($C$57=2,IF(AE57=1,SUM($O$293:AE293)-SUM($O$311:AD311))))</f>
        <v>0</v>
      </c>
      <c r="AF310" s="1475">
        <f ca="1">IF($C$57=1,IF(AF57=1,SUM($I$293:AF293))-SUM($I$311:AE311),IF($C$57=2,IF(AF57=1,SUM($O$293:AF293)-SUM($O$311:AE311))))</f>
        <v>0</v>
      </c>
      <c r="AH310" s="1283"/>
      <c r="AI310" s="1283"/>
      <c r="AJ310" s="1283"/>
      <c r="AL310" s="1328"/>
      <c r="AM310" s="1328"/>
      <c r="AN310" s="1418"/>
    </row>
    <row r="311" spans="1:40" s="1317" customFormat="1" ht="10.199999999999999" hidden="1">
      <c r="A311" s="1270"/>
      <c r="G311" s="1416" t="s">
        <v>276</v>
      </c>
      <c r="I311" s="1419"/>
      <c r="J311" s="1420"/>
      <c r="K311" s="1421">
        <f>IF($G$149=2,I294,0)</f>
        <v>0</v>
      </c>
      <c r="L311" s="1422">
        <f>IF($G$149=1,SUM(I294:J294),0)</f>
        <v>0</v>
      </c>
      <c r="M311" s="1420">
        <f ca="1">IF($G$149=3,SUM(I294:K294),0)</f>
        <v>0</v>
      </c>
      <c r="N311" s="1421">
        <f>IF($G$149=2,SUM(J294:L294),0)</f>
        <v>0</v>
      </c>
      <c r="O311" s="1422">
        <f>IF($G$149=1,SUM(K294:M294),0)</f>
        <v>0</v>
      </c>
      <c r="P311" s="1420">
        <f ca="1">IF($G$149=3,SUM(L294:N294),0)</f>
        <v>0</v>
      </c>
      <c r="Q311" s="1421">
        <f>IF(AND($G$149=2,$C$57=1),SUM(M294:O294),IF(AND($G$149=2,$C$57=2),P294,0))</f>
        <v>0</v>
      </c>
      <c r="R311" s="1422">
        <f>IF(AND($G$149=1,$C$57=1),SUM(N294:P294),IF(AND($G$149=1,$C$57=2),O294+P294,0))</f>
        <v>0</v>
      </c>
      <c r="S311" s="1420">
        <f ca="1">IF($G$149=3,SUM(O294:Q294),0)</f>
        <v>0</v>
      </c>
      <c r="T311" s="1421">
        <f>IF($G$149=2,SUM(P294:R294),0)</f>
        <v>0</v>
      </c>
      <c r="U311" s="1423">
        <f>IF($G$149=1,SUM(Q294:S294),0)</f>
        <v>0</v>
      </c>
      <c r="V311" s="1424">
        <f ca="1">IF(AND($G$149=3,$C$57=1),SUM(R294:T294)+SUM(R320:W320),IF(AND($G$149=3,$C$57=2),SUM(R294:T294),0))</f>
        <v>0</v>
      </c>
      <c r="W311" s="1425">
        <f>IF(AND($G$149=2,$C$57=1),SUM(S294:U294)+S323+T323+V323,IF(AND($G$149=2,$C$57=2),SUM(S294:U294),0))</f>
        <v>0</v>
      </c>
      <c r="X311" s="1423">
        <f>IF(AND($G$149=1,$C$57=1),SUM(T294:V294)+U326,IF(AND($G$149=1,$C$57=2),SUM(T294:V294),0))</f>
        <v>0</v>
      </c>
      <c r="Y311" s="1424">
        <f ca="1">IF(AND($G$149=3,$C$57=1),SUM(U294:W294)-SUM(R320:W320),IF(AND($G$149=3,$C$57=2),SUM(U294:W294),0))</f>
        <v>0</v>
      </c>
      <c r="Z311" s="1425">
        <f>IF(AND($G$149=2,$C$57=1),SUM(V294:X294)-S323-T323-V323,IF(AND($G$149=2,$C$57=2),SUM(V294:X294),0))</f>
        <v>0</v>
      </c>
      <c r="AA311" s="1423">
        <f>IF(AND($G$149=1,$C$57=1),SUM(W294:Y294)-U326,IF(AND($G$149=1,$C$57=2),SUM(W294:Y294),0))</f>
        <v>0</v>
      </c>
      <c r="AB311" s="1424">
        <f ca="1">IF($G$149=3,SUM(X294:Z294),0)</f>
        <v>0</v>
      </c>
      <c r="AC311" s="1425">
        <f>IF($G$149=2,SUM(Y294:AA294),0)</f>
        <v>0</v>
      </c>
      <c r="AD311" s="1423">
        <f>IF($G$149=1,SUM(Z294:AB294),0)</f>
        <v>0</v>
      </c>
      <c r="AE311" s="1424">
        <f ca="1">IF($G$149=3,SUM(AA294:AC294),0)</f>
        <v>0</v>
      </c>
      <c r="AF311" s="1425">
        <f>IF($G$149=2,SUM(AB294:AD294),0)</f>
        <v>0</v>
      </c>
      <c r="AH311" s="1283"/>
      <c r="AI311" s="1283"/>
      <c r="AJ311" s="1283"/>
      <c r="AL311" s="1328"/>
      <c r="AM311" s="1328"/>
      <c r="AN311" s="1418"/>
    </row>
    <row r="312" spans="1:40" s="1317" customFormat="1" ht="10.199999999999999" hidden="1">
      <c r="A312" s="1270"/>
      <c r="G312" s="1418" t="s">
        <v>280</v>
      </c>
      <c r="I312" s="1475">
        <f t="shared" ref="I312:AF312" ca="1" si="87">I310-I311</f>
        <v>0</v>
      </c>
      <c r="J312" s="1475">
        <f t="shared" ca="1" si="87"/>
        <v>0</v>
      </c>
      <c r="K312" s="1475">
        <f t="shared" ca="1" si="87"/>
        <v>0</v>
      </c>
      <c r="L312" s="1475">
        <f t="shared" ca="1" si="87"/>
        <v>0</v>
      </c>
      <c r="M312" s="1475">
        <f t="shared" ca="1" si="87"/>
        <v>0</v>
      </c>
      <c r="N312" s="1475">
        <f t="shared" ca="1" si="87"/>
        <v>0</v>
      </c>
      <c r="O312" s="1475">
        <f t="shared" ca="1" si="87"/>
        <v>0</v>
      </c>
      <c r="P312" s="1475">
        <f t="shared" ca="1" si="87"/>
        <v>0</v>
      </c>
      <c r="Q312" s="1400">
        <f t="shared" ca="1" si="87"/>
        <v>0</v>
      </c>
      <c r="R312" s="1475">
        <f t="shared" ca="1" si="87"/>
        <v>0</v>
      </c>
      <c r="S312" s="1475">
        <f t="shared" ca="1" si="87"/>
        <v>0</v>
      </c>
      <c r="T312" s="1475">
        <f t="shared" ca="1" si="87"/>
        <v>0</v>
      </c>
      <c r="U312" s="1475">
        <f t="shared" ca="1" si="87"/>
        <v>0</v>
      </c>
      <c r="V312" s="1475">
        <f t="shared" ca="1" si="87"/>
        <v>0</v>
      </c>
      <c r="W312" s="1475">
        <f t="shared" ca="1" si="87"/>
        <v>0</v>
      </c>
      <c r="X312" s="1475">
        <f t="shared" ca="1" si="87"/>
        <v>0</v>
      </c>
      <c r="Y312" s="1475">
        <f t="shared" ca="1" si="87"/>
        <v>0</v>
      </c>
      <c r="Z312" s="1475">
        <f t="shared" ca="1" si="87"/>
        <v>0</v>
      </c>
      <c r="AA312" s="1475">
        <f t="shared" ca="1" si="87"/>
        <v>0</v>
      </c>
      <c r="AB312" s="1475">
        <f t="shared" ca="1" si="87"/>
        <v>0</v>
      </c>
      <c r="AC312" s="1475">
        <f t="shared" ca="1" si="87"/>
        <v>0</v>
      </c>
      <c r="AD312" s="1475">
        <f t="shared" ca="1" si="87"/>
        <v>0</v>
      </c>
      <c r="AE312" s="1475">
        <f t="shared" ca="1" si="87"/>
        <v>0</v>
      </c>
      <c r="AF312" s="1475">
        <f t="shared" ca="1" si="87"/>
        <v>0</v>
      </c>
      <c r="AH312" s="1283"/>
      <c r="AI312" s="1283"/>
      <c r="AJ312" s="1283"/>
      <c r="AL312" s="1328"/>
      <c r="AM312" s="1328"/>
      <c r="AN312" s="1418"/>
    </row>
    <row r="313" spans="1:40" s="1317" customFormat="1" ht="10.8" hidden="1" thickBot="1">
      <c r="A313" s="1270"/>
      <c r="G313" s="1388" t="s">
        <v>239</v>
      </c>
      <c r="I313" s="1475">
        <f ca="1">IF($C$57=1,SUMIF($I$57:I57,1,$I$293:I293),0)</f>
        <v>0</v>
      </c>
      <c r="J313" s="1475">
        <f ca="1">IF($C$57=1,SUMIF($I$57:J57,1,$I$293:J293),0)</f>
        <v>0</v>
      </c>
      <c r="K313" s="1475">
        <f ca="1">IF($C$57=1,SUMIF($I$57:K57,1,$I$293:K293),0)</f>
        <v>0</v>
      </c>
      <c r="L313" s="1475">
        <f ca="1">IF($C$57=1,SUMIF($I$57:L57,1,$I$293:L293),0)</f>
        <v>0</v>
      </c>
      <c r="M313" s="1475">
        <f ca="1">IF($C$57=1,SUMIF($I$57:M57,1,$I$293:M293),0)</f>
        <v>0</v>
      </c>
      <c r="N313" s="1475">
        <f ca="1">IF($C$57=1,SUMIF($I$57:N57,1,$I$293:N293),0)</f>
        <v>0</v>
      </c>
      <c r="O313" s="1475">
        <f ca="1">IF($C$57=1,SUMIF($I$57:O57,1,$I$293:O293),IF($C$57=2,SUMIF($O$57:O57,1,$O$293:O293)))</f>
        <v>0</v>
      </c>
      <c r="P313" s="1475">
        <f ca="1">IF($C$57=1,SUMIF($I$57:P57,1,$I$293:P293),IF($C$57=2,SUMIF($O$57:P57,1,$O$293:P293)))</f>
        <v>0</v>
      </c>
      <c r="Q313" s="1400">
        <f ca="1">IF($C$57=1,SUMIF($I$57:Q57,1,$I$293:Q293),IF($C$57=2,SUMIF($O$57:Q57,1,$O$293:Q293)))</f>
        <v>0</v>
      </c>
      <c r="R313" s="1475">
        <f ca="1">IF($C$57=1,SUMIF($I$57:R57,1,$I$293:R293),IF($C$57=2,SUMIF($O$57:R57,1,$O$293:R293)))</f>
        <v>0</v>
      </c>
      <c r="S313" s="1475">
        <f ca="1">IF($C$57=1,SUMIF($I$57:S57,1,$I$293:S293),IF($C$57=2,SUMIF($O$57:S57,1,$O$293:S293)))</f>
        <v>0</v>
      </c>
      <c r="T313" s="1475">
        <f ca="1">IF($C$57=1,SUMIF($I$57:T57,1,$I$293:T293),IF($C$57=2,SUMIF($O$57:T57,1,$O$293:T293)))</f>
        <v>0</v>
      </c>
      <c r="U313" s="1475">
        <f ca="1">IF($C$57=1,SUMIF($I$57:U57,1,$I$293:U293),IF($C$57=2,SUMIF($O$57:U57,1,$O$293:U293)))</f>
        <v>0</v>
      </c>
      <c r="V313" s="1475">
        <f ca="1">IF($C$57=1,SUMIF($I$57:V57,1,$I$293:V293),IF($C$57=2,SUMIF($O$57:V57,1,$O$293:V293)))</f>
        <v>0</v>
      </c>
      <c r="W313" s="1475">
        <f ca="1">IF($C$57=1,SUMIF($I$57:W57,1,$I$293:W293),IF($C$57=2,SUMIF($O$57:W57,1,$O$293:W293)))</f>
        <v>0</v>
      </c>
      <c r="X313" s="1475">
        <f ca="1">IF($C$57=1,SUMIF($I$57:X57,1,$I$293:X293),IF($C$57=2,SUMIF($O$57:X57,1,$O$293:X293)))</f>
        <v>0</v>
      </c>
      <c r="Y313" s="1618">
        <f ca="1">IF($C$57=1,SUMIF($I$57:Y57,1,$I$293:Y293),IF($C$57=2,SUMIF($O$57:Y57,1,$O$293:Y293)))</f>
        <v>0</v>
      </c>
      <c r="Z313" s="1475">
        <f ca="1">IF($C$57=1,SUMIF($I$57:Z57,1,$I$293:Z293),IF($C$57=2,SUMIF($O$57:Z57,1,$O$293:Z293)))</f>
        <v>0</v>
      </c>
      <c r="AA313" s="1475">
        <f ca="1">IF($C$57=1,SUMIF($I$57:AA57,1,$I$293:AA293),IF($C$57=2,SUMIF($O$57:AA57,1,$O$293:AA293)))</f>
        <v>0</v>
      </c>
      <c r="AB313" s="1475">
        <f ca="1">IF($C$57=1,SUMIF($I$57:AB57,1,$I$293:AB293),IF($C$57=2,SUMIF($O$57:AB57,1,$O$293:AB293)))</f>
        <v>0</v>
      </c>
      <c r="AC313" s="1475">
        <f ca="1">IF($C$57=1,SUMIF($I$57:AC57,1,$I$293:AC293),IF($C$57=2,SUMIF($O$57:AC57,1,$O$293:AC293)))</f>
        <v>0</v>
      </c>
      <c r="AD313" s="1475">
        <f ca="1">IF($C$57=1,SUMIF($I$57:AD57,1,$I$293:AD293),IF($C$57=2,SUMIF($O$57:AD57,1,$O$293:AD293)))</f>
        <v>0</v>
      </c>
      <c r="AE313" s="1475">
        <f ca="1">IF($C$57=1,SUMIF($I$57:AE57,1,$I$293:AE293),IF($C$57=2,SUMIF($O$57:AE57,1,$O$293:AE293)))</f>
        <v>0</v>
      </c>
      <c r="AF313" s="1475">
        <f ca="1">IF($C$57=1,SUMIF($I$57:AF57,1,$I$293:AF293),IF($C$57=2,SUMIF($O$57:AF57,1,$O$293:AF293)))</f>
        <v>0</v>
      </c>
      <c r="AH313" s="1283"/>
      <c r="AI313" s="1283"/>
      <c r="AJ313" s="1283"/>
      <c r="AL313" s="1328"/>
      <c r="AM313" s="1328"/>
      <c r="AN313" s="1390"/>
    </row>
    <row r="314" spans="1:40" s="1317" customFormat="1" ht="10.8" hidden="1" thickBot="1">
      <c r="A314" s="1270"/>
      <c r="G314" s="1388" t="s">
        <v>948</v>
      </c>
      <c r="I314" s="1475"/>
      <c r="J314" s="1475"/>
      <c r="K314" s="1475"/>
      <c r="L314" s="1475"/>
      <c r="M314" s="1475"/>
      <c r="N314" s="1475"/>
      <c r="O314" s="1475"/>
      <c r="P314" s="1475"/>
      <c r="Q314" s="1400"/>
      <c r="R314" s="1475"/>
      <c r="S314" s="1475"/>
      <c r="T314" s="1475"/>
      <c r="U314" s="1475"/>
      <c r="V314" s="1475"/>
      <c r="W314" s="1475"/>
      <c r="X314" s="1616"/>
      <c r="Y314" s="1619">
        <f>IF($C$57=1,IF(AND($T$428=12,C63=4),$T$313,0))</f>
        <v>0</v>
      </c>
      <c r="Z314" s="1617"/>
      <c r="AA314" s="1618"/>
      <c r="AB314" s="1475"/>
      <c r="AC314" s="1475"/>
      <c r="AD314" s="1475"/>
      <c r="AE314" s="1475"/>
      <c r="AF314" s="1475"/>
      <c r="AH314" s="1283"/>
      <c r="AI314" s="1283"/>
      <c r="AJ314" s="1283"/>
      <c r="AL314" s="1328"/>
      <c r="AM314" s="1328"/>
      <c r="AN314" s="1390"/>
    </row>
    <row r="315" spans="1:40" s="1317" customFormat="1" ht="10.8" hidden="1" thickBot="1">
      <c r="A315" s="1270"/>
      <c r="G315" s="1388" t="s">
        <v>947</v>
      </c>
      <c r="I315" s="1475"/>
      <c r="J315" s="1475"/>
      <c r="K315" s="1475"/>
      <c r="L315" s="1475"/>
      <c r="M315" s="1475"/>
      <c r="N315" s="1475"/>
      <c r="O315" s="1475"/>
      <c r="P315" s="1475"/>
      <c r="Q315" s="1400"/>
      <c r="R315" s="1475"/>
      <c r="S315" s="1475"/>
      <c r="T315" s="1475"/>
      <c r="U315" s="1475"/>
      <c r="V315" s="1475"/>
      <c r="W315" s="1475"/>
      <c r="X315" s="1475"/>
      <c r="Y315" s="1397"/>
      <c r="Z315" s="1616">
        <f>IF($C$57=1,(IF(AND(C63=5,$T$428=6),$T$313,0)))</f>
        <v>0</v>
      </c>
      <c r="AA315" s="1620" t="b">
        <f>IF($C$57=1,IF($C$63=5,IF(OR($T$428=12,$T$428=8,$T$428=5,$T$428=4),$T$313,0)))</f>
        <v>0</v>
      </c>
      <c r="AB315" s="1617" t="b">
        <f>IF($C$57=1,IF($C$63=5,IF(OR($T$428=3,$T$428=7,$T$428=11),$T$313,0)))</f>
        <v>0</v>
      </c>
      <c r="AC315" s="1475" t="b">
        <f>IF($C$57=1,IF($C$63=5,(IF(OR($T$428=2,$T$428=10),$T$313,0))))</f>
        <v>0</v>
      </c>
      <c r="AD315" s="1475" t="b">
        <f>IF($C$57=1,IF($C$63=5,IF(OR($T$428=1,$T$428=9),$T$313,0)))</f>
        <v>0</v>
      </c>
      <c r="AE315" s="1475"/>
      <c r="AF315" s="1475"/>
      <c r="AH315" s="1283"/>
      <c r="AI315" s="1283"/>
      <c r="AJ315" s="1283"/>
      <c r="AL315" s="1328"/>
      <c r="AM315" s="1328"/>
      <c r="AN315" s="1390"/>
    </row>
    <row r="316" spans="1:40" s="1317" customFormat="1" ht="10.199999999999999" hidden="1">
      <c r="A316" s="1270"/>
      <c r="G316" s="1388" t="s">
        <v>272</v>
      </c>
      <c r="I316" s="1475">
        <f t="shared" ref="I316:T316" ca="1" si="88">I313-I314</f>
        <v>0</v>
      </c>
      <c r="J316" s="1475">
        <f t="shared" ca="1" si="88"/>
        <v>0</v>
      </c>
      <c r="K316" s="1475">
        <f t="shared" ca="1" si="88"/>
        <v>0</v>
      </c>
      <c r="L316" s="1475">
        <f t="shared" ca="1" si="88"/>
        <v>0</v>
      </c>
      <c r="M316" s="1475">
        <f t="shared" ca="1" si="88"/>
        <v>0</v>
      </c>
      <c r="N316" s="1475">
        <f t="shared" ca="1" si="88"/>
        <v>0</v>
      </c>
      <c r="O316" s="1475">
        <f t="shared" ca="1" si="88"/>
        <v>0</v>
      </c>
      <c r="P316" s="1475">
        <f t="shared" ca="1" si="88"/>
        <v>0</v>
      </c>
      <c r="Q316" s="1400">
        <f t="shared" ca="1" si="88"/>
        <v>0</v>
      </c>
      <c r="R316" s="1475">
        <f t="shared" ca="1" si="88"/>
        <v>0</v>
      </c>
      <c r="S316" s="1475">
        <f t="shared" ca="1" si="88"/>
        <v>0</v>
      </c>
      <c r="T316" s="1475">
        <f t="shared" ca="1" si="88"/>
        <v>0</v>
      </c>
      <c r="U316" s="1475">
        <f ca="1">U313-SUM($U$314:U315)</f>
        <v>0</v>
      </c>
      <c r="V316" s="1475">
        <f ca="1">V313-SUM($U$314:V315)</f>
        <v>0</v>
      </c>
      <c r="W316" s="1475">
        <f ca="1">W313-SUM($U$314:W315)</f>
        <v>0</v>
      </c>
      <c r="X316" s="1475">
        <f ca="1">X313-SUM($U$314:X315)</f>
        <v>0</v>
      </c>
      <c r="Y316" s="1475">
        <f ca="1">Y313-SUM($U$314:Y315)</f>
        <v>0</v>
      </c>
      <c r="Z316" s="1475">
        <f ca="1">Z313-SUM($U$314:Z315)</f>
        <v>0</v>
      </c>
      <c r="AA316" s="1475">
        <f ca="1">AA313-SUM($U$314:AA315)</f>
        <v>0</v>
      </c>
      <c r="AB316" s="1475">
        <f ca="1">AB313-SUM($U$314:AB315)</f>
        <v>0</v>
      </c>
      <c r="AC316" s="1475">
        <f ca="1">AC313-SUM($U$314:AC315)</f>
        <v>0</v>
      </c>
      <c r="AD316" s="1475">
        <f ca="1">AD313-SUM($U$314:AD315)</f>
        <v>0</v>
      </c>
      <c r="AE316" s="1475">
        <f ca="1">AE313-SUM($U$314:AE315)</f>
        <v>0</v>
      </c>
      <c r="AF316" s="1475">
        <f ca="1">AF313-SUM($U$314:AF315)</f>
        <v>0</v>
      </c>
      <c r="AH316" s="1283"/>
      <c r="AI316" s="1283"/>
      <c r="AJ316" s="1283"/>
      <c r="AL316" s="1328"/>
      <c r="AM316" s="1328"/>
      <c r="AN316" s="1390"/>
    </row>
    <row r="317" spans="1:40" s="115" customFormat="1" hidden="1">
      <c r="A317" s="1270"/>
      <c r="G317" s="1384" t="s">
        <v>240</v>
      </c>
      <c r="I317" s="1475">
        <f t="shared" ref="I317:AF317" ca="1" si="89">IF(AND($C$58=1,$C$61=1),I301,IF(AND($C$58=1,$C$61=2),I309,IF(AND($C$58=1,$C$61=3),I316,IF(AND($C$58=2,$C$61=1),I304,IF(AND($C$58=2,$C$61=2),I312,IF(AND($C$58=2,$C$61=3),I316,0))))))</f>
        <v>0</v>
      </c>
      <c r="J317" s="1475">
        <f t="shared" ca="1" si="89"/>
        <v>0</v>
      </c>
      <c r="K317" s="1475">
        <f t="shared" ca="1" si="89"/>
        <v>0</v>
      </c>
      <c r="L317" s="1475">
        <f t="shared" ca="1" si="89"/>
        <v>0</v>
      </c>
      <c r="M317" s="1475">
        <f t="shared" ca="1" si="89"/>
        <v>0</v>
      </c>
      <c r="N317" s="1475">
        <f t="shared" ca="1" si="89"/>
        <v>0</v>
      </c>
      <c r="O317" s="1475">
        <f t="shared" ca="1" si="89"/>
        <v>0</v>
      </c>
      <c r="P317" s="1475">
        <f t="shared" ca="1" si="89"/>
        <v>0</v>
      </c>
      <c r="Q317" s="1475">
        <f t="shared" ca="1" si="89"/>
        <v>0</v>
      </c>
      <c r="R317" s="1475">
        <f t="shared" ca="1" si="89"/>
        <v>0</v>
      </c>
      <c r="S317" s="1475">
        <f t="shared" ca="1" si="89"/>
        <v>0</v>
      </c>
      <c r="T317" s="1475">
        <f t="shared" ca="1" si="89"/>
        <v>0</v>
      </c>
      <c r="U317" s="1475">
        <f t="shared" ca="1" si="89"/>
        <v>0</v>
      </c>
      <c r="V317" s="1475">
        <f t="shared" ca="1" si="89"/>
        <v>0</v>
      </c>
      <c r="W317" s="1475">
        <f t="shared" ca="1" si="89"/>
        <v>0</v>
      </c>
      <c r="X317" s="1475">
        <f t="shared" ca="1" si="89"/>
        <v>0</v>
      </c>
      <c r="Y317" s="1475">
        <f t="shared" ca="1" si="89"/>
        <v>0</v>
      </c>
      <c r="Z317" s="1475">
        <f t="shared" ca="1" si="89"/>
        <v>0</v>
      </c>
      <c r="AA317" s="1475">
        <f t="shared" ca="1" si="89"/>
        <v>0</v>
      </c>
      <c r="AB317" s="1475">
        <f t="shared" ca="1" si="89"/>
        <v>0</v>
      </c>
      <c r="AC317" s="1475">
        <f t="shared" ca="1" si="89"/>
        <v>0</v>
      </c>
      <c r="AD317" s="1475">
        <f t="shared" ca="1" si="89"/>
        <v>0</v>
      </c>
      <c r="AE317" s="1475">
        <f t="shared" ca="1" si="89"/>
        <v>0</v>
      </c>
      <c r="AF317" s="1475">
        <f t="shared" ca="1" si="89"/>
        <v>0</v>
      </c>
      <c r="AH317" s="1283"/>
      <c r="AI317" s="1283"/>
      <c r="AJ317" s="1283"/>
      <c r="AL317" s="1290"/>
      <c r="AM317" s="1290"/>
      <c r="AN317" s="1378"/>
    </row>
    <row r="318" spans="1:40" s="115" customFormat="1" hidden="1">
      <c r="A318" s="1270"/>
      <c r="G318" s="1384" t="s">
        <v>343</v>
      </c>
      <c r="I318" s="1475">
        <f ca="1">I317+ARBETSBLAD!I225</f>
        <v>0</v>
      </c>
      <c r="J318" s="1475">
        <f ca="1">J317+ARBETSBLAD!J225</f>
        <v>0</v>
      </c>
      <c r="K318" s="1475">
        <f ca="1">K317+ARBETSBLAD!K225</f>
        <v>0</v>
      </c>
      <c r="L318" s="1475">
        <f ca="1">L317+ARBETSBLAD!L225</f>
        <v>0</v>
      </c>
      <c r="M318" s="1475">
        <f ca="1">M317+ARBETSBLAD!M225</f>
        <v>0</v>
      </c>
      <c r="N318" s="1475">
        <f ca="1">N317+ARBETSBLAD!N225</f>
        <v>0</v>
      </c>
      <c r="O318" s="1475">
        <f ca="1">O317+ARBETSBLAD!O225</f>
        <v>0</v>
      </c>
      <c r="P318" s="1475">
        <f ca="1">P317+ARBETSBLAD!P225</f>
        <v>0</v>
      </c>
      <c r="Q318" s="1475">
        <f ca="1">Q317+ARBETSBLAD!Q225</f>
        <v>0</v>
      </c>
      <c r="R318" s="1475">
        <f ca="1">R317+ARBETSBLAD!R225</f>
        <v>0</v>
      </c>
      <c r="S318" s="1475">
        <f ca="1">S317+ARBETSBLAD!S225</f>
        <v>0</v>
      </c>
      <c r="T318" s="1475">
        <f ca="1">T317+ARBETSBLAD!T225</f>
        <v>0</v>
      </c>
      <c r="U318" s="1475">
        <f ca="1">U317+ARBETSBLAD!U225</f>
        <v>0</v>
      </c>
      <c r="V318" s="1475">
        <f ca="1">V317+ARBETSBLAD!V225</f>
        <v>0</v>
      </c>
      <c r="W318" s="1475">
        <f ca="1">W317+ARBETSBLAD!W225</f>
        <v>0</v>
      </c>
      <c r="X318" s="1475">
        <f ca="1">X317+ARBETSBLAD!X225</f>
        <v>0</v>
      </c>
      <c r="Y318" s="1475">
        <f ca="1">Y317+ARBETSBLAD!Y225</f>
        <v>0</v>
      </c>
      <c r="Z318" s="1475">
        <f ca="1">Z317+ARBETSBLAD!Z225</f>
        <v>0</v>
      </c>
      <c r="AA318" s="1475">
        <f ca="1">AA317+ARBETSBLAD!AA225</f>
        <v>0</v>
      </c>
      <c r="AB318" s="1475">
        <f ca="1">AB317+ARBETSBLAD!AB225</f>
        <v>0</v>
      </c>
      <c r="AC318" s="1475">
        <f ca="1">AC317+ARBETSBLAD!AC225</f>
        <v>0</v>
      </c>
      <c r="AD318" s="1475">
        <f ca="1">AD317+ARBETSBLAD!AD225</f>
        <v>0</v>
      </c>
      <c r="AE318" s="1475">
        <f ca="1">AE317+ARBETSBLAD!AE225</f>
        <v>0</v>
      </c>
      <c r="AF318" s="1475">
        <f ca="1">AF317+ARBETSBLAD!AF225</f>
        <v>0</v>
      </c>
      <c r="AH318" s="1283"/>
      <c r="AI318" s="1283"/>
      <c r="AJ318" s="1283"/>
      <c r="AL318" s="1290"/>
      <c r="AM318" s="1290"/>
      <c r="AN318" s="1378"/>
    </row>
    <row r="319" spans="1:40" s="115" customFormat="1" hidden="1">
      <c r="A319" s="1270"/>
      <c r="R319" s="1349" t="s">
        <v>28</v>
      </c>
      <c r="S319" s="1349" t="s">
        <v>29</v>
      </c>
      <c r="T319" s="1349" t="s">
        <v>30</v>
      </c>
      <c r="U319" s="1349" t="s">
        <v>31</v>
      </c>
      <c r="V319" s="1349" t="s">
        <v>32</v>
      </c>
      <c r="W319" s="1349" t="s">
        <v>33</v>
      </c>
      <c r="AD319" s="1349" t="s">
        <v>28</v>
      </c>
      <c r="AE319" s="1349" t="s">
        <v>29</v>
      </c>
      <c r="AF319" s="1349" t="s">
        <v>30</v>
      </c>
      <c r="AG319" s="1349" t="s">
        <v>31</v>
      </c>
      <c r="AH319" s="1283" t="s">
        <v>32</v>
      </c>
      <c r="AI319" s="1283" t="s">
        <v>33</v>
      </c>
      <c r="AJ319" s="1283"/>
      <c r="AL319" s="1290"/>
      <c r="AM319" s="1290"/>
      <c r="AN319" s="1290"/>
    </row>
    <row r="320" spans="1:40" s="115" customFormat="1" hidden="1">
      <c r="A320" s="1270"/>
      <c r="Q320" s="1374" t="s">
        <v>252</v>
      </c>
      <c r="R320" s="1475">
        <f ca="1">IF($C$57=1,R273*G273+R278*G278+R283*G283,0)</f>
        <v>0</v>
      </c>
      <c r="S320" s="1475">
        <f ca="1">IF($C$57=1,S273*G273+S278*G278+S283*G283,0)</f>
        <v>0</v>
      </c>
      <c r="T320" s="1475">
        <f ca="1">IF($C$57=1,T273*G273+T278*G278+T283*G283,0)</f>
        <v>0</v>
      </c>
      <c r="U320" s="1475">
        <f ca="1">IF($C$57=1,S272*G272+S277*G277+S282*G282,0)</f>
        <v>0</v>
      </c>
      <c r="V320" s="1475">
        <f>IF($C$57=1,T271*G271+T276*G276+T281*G281,0)</f>
        <v>0</v>
      </c>
      <c r="W320" s="1475">
        <f ca="1">IF($C$57=1,T272*G272+T277*G277+T282*G282,0)</f>
        <v>0</v>
      </c>
      <c r="AC320" s="1374" t="s">
        <v>252</v>
      </c>
      <c r="AD320" s="1475">
        <f>IF($C$58=2,AD273*G273+AD278*G278+AD283*G283,0)</f>
        <v>0</v>
      </c>
      <c r="AE320" s="1475">
        <f>IF($C$58=2,AE273*G273+AE278*G278+AE283*G283,0)</f>
        <v>0</v>
      </c>
      <c r="AF320" s="1475">
        <f>IF($C$58=2,AF273*ARBETSBLAD!FJ650+AF278*G278+AF283*G283,0)</f>
        <v>0</v>
      </c>
      <c r="AG320" s="1475">
        <f>IF($C$58=2,AE208*G208+AE213*G213+AE218*G218,0)</f>
        <v>0</v>
      </c>
      <c r="AH320" s="1500">
        <f>IF($C$58=2,AF271*G271+AF276*G276+AF281*G281,0)</f>
        <v>0</v>
      </c>
      <c r="AI320" s="1500">
        <f>IF($C$58=2,AG272*G272+AG277*G277+AG282*G282,0)</f>
        <v>0</v>
      </c>
      <c r="AJ320" s="1283"/>
      <c r="AL320" s="1290"/>
      <c r="AM320" s="1290"/>
      <c r="AN320" s="1290"/>
    </row>
    <row r="321" spans="1:40" s="115" customFormat="1" hidden="1">
      <c r="A321" s="1270"/>
      <c r="Q321" s="1374" t="s">
        <v>251</v>
      </c>
      <c r="R321" s="1501">
        <f>IF($C$57=1,R103*G103+R108*G108+R113*G113,0)</f>
        <v>0</v>
      </c>
      <c r="S321" s="1501">
        <f>IF($C$57=1,S103*G103+S108*G108+S113*G113,0)</f>
        <v>0</v>
      </c>
      <c r="T321" s="1501">
        <f>IF($C$57=1,T103*G103+T108*G108+T113*G113,0)</f>
        <v>0</v>
      </c>
      <c r="U321" s="1501">
        <f>IF($C$57=1,S102*G102+S107*G107+S112*G112,0)</f>
        <v>0</v>
      </c>
      <c r="V321" s="1501">
        <f>IF($C$57=1,T101*G101+T106*G106+T111*G111,0)</f>
        <v>0</v>
      </c>
      <c r="W321" s="1501">
        <f>IF($C$57=1,T102*G102+T107*G107+T112*G112,0)</f>
        <v>0</v>
      </c>
      <c r="AC321" s="1374" t="s">
        <v>251</v>
      </c>
      <c r="AD321" s="1475">
        <f>IF($C$58=2,AD103*G103+AD108*G108+AD113*G113,0)</f>
        <v>0</v>
      </c>
      <c r="AE321" s="1475">
        <f>IF($C$58=2,AE103*G103+AE108*G108+AE113*G113,0)</f>
        <v>0</v>
      </c>
      <c r="AF321" s="1475">
        <f>IF($C$58=2,AF103*G103+AF108*G108+AF113*G113,0)</f>
        <v>0</v>
      </c>
      <c r="AG321" s="1475">
        <f>IF($C$58=2,AE102*G102+AE107*G107+AE112*G112,0)</f>
        <v>0</v>
      </c>
      <c r="AH321" s="1500">
        <f>IF($C$58=2,AF101*ARBETSBLAD!FJ485+AF106*G106+AF111*G111,0)</f>
        <v>0</v>
      </c>
      <c r="AI321" s="1500">
        <f>IF($C$58=2,AF102*G102+AF107*G107+AF112*G112,0)</f>
        <v>0</v>
      </c>
      <c r="AJ321" s="1283"/>
      <c r="AL321" s="1290"/>
      <c r="AM321" s="1290"/>
      <c r="AN321" s="1290"/>
    </row>
    <row r="322" spans="1:40" s="1502" customFormat="1" hidden="1">
      <c r="A322" s="1270"/>
      <c r="Q322" s="1384"/>
      <c r="R322" s="1503" t="s">
        <v>363</v>
      </c>
      <c r="S322" s="1503" t="s">
        <v>364</v>
      </c>
      <c r="T322" s="1503" t="s">
        <v>365</v>
      </c>
      <c r="U322" s="1503" t="s">
        <v>366</v>
      </c>
      <c r="V322" s="1504" t="s">
        <v>367</v>
      </c>
      <c r="W322" s="1504" t="s">
        <v>368</v>
      </c>
      <c r="AC322" s="1384"/>
      <c r="AD322" s="1503" t="s">
        <v>28</v>
      </c>
      <c r="AE322" s="1503" t="s">
        <v>29</v>
      </c>
      <c r="AF322" s="1503"/>
      <c r="AG322" s="1503" t="s">
        <v>31</v>
      </c>
      <c r="AH322" s="1505"/>
      <c r="AI322" s="1505"/>
      <c r="AJ322" s="1491"/>
      <c r="AL322" s="1290"/>
      <c r="AM322" s="1290"/>
      <c r="AN322" s="1290"/>
    </row>
    <row r="323" spans="1:40" s="115" customFormat="1" hidden="1">
      <c r="A323" s="1270"/>
      <c r="Q323" s="1374" t="s">
        <v>253</v>
      </c>
      <c r="R323" s="1332">
        <f ca="1">IF($C$57=1,R273*G273+R278*G278+R283*G283,0)</f>
        <v>0</v>
      </c>
      <c r="S323" s="1332">
        <f ca="1">IF($C$57=1,S273*G273+S278*G278+S283*G283,0)</f>
        <v>0</v>
      </c>
      <c r="T323" s="1332">
        <f ca="1">IF($C$57=1,T273*G273+T278*G278+T283*G283,0)</f>
        <v>0</v>
      </c>
      <c r="U323" s="1332">
        <f ca="1">IF($C$57=1,S272*G272+S277*G277+S282*G282,0)</f>
        <v>0</v>
      </c>
      <c r="V323" s="1332">
        <f ca="1">IF($C$57=1,T272*G272+T277*G277+T282*G282,0)</f>
        <v>0</v>
      </c>
      <c r="W323" s="1332">
        <f>IF($C$57=1,T271*G271+T276*G276+T281*G281,0)</f>
        <v>0</v>
      </c>
      <c r="AC323" s="1374" t="s">
        <v>253</v>
      </c>
      <c r="AD323" s="1332">
        <f>IF($C$58=2,AE273*G273+AE278*G278+AE283*G283,0)</f>
        <v>0</v>
      </c>
      <c r="AE323" s="1332">
        <f>IF($C$58=2,AF273*G273+AF278*G278+AF283*G283,0)</f>
        <v>0</v>
      </c>
      <c r="AF323" s="1332"/>
      <c r="AG323" s="1332">
        <f>IF($C$58=2,AF272*G272+AF277*G277+AF282*G282,0)</f>
        <v>0</v>
      </c>
      <c r="AH323" s="1506"/>
      <c r="AI323" s="1506"/>
      <c r="AJ323" s="1283"/>
      <c r="AL323" s="1290"/>
      <c r="AM323" s="1290"/>
      <c r="AN323" s="1290"/>
    </row>
    <row r="324" spans="1:40" s="115" customFormat="1" hidden="1">
      <c r="A324" s="1270"/>
      <c r="Q324" s="1374" t="s">
        <v>254</v>
      </c>
      <c r="R324" s="1507">
        <f>IF($C$57=1,R103*G103+R108*G108+R113*G113,0)</f>
        <v>0</v>
      </c>
      <c r="S324" s="1507">
        <f>IF($C$57=1,S103*G103+S108*G108+S113*G113,0)</f>
        <v>0</v>
      </c>
      <c r="T324" s="1507">
        <f>IF(C57=1,T103*G103+T108*G108+T113*G113,0)</f>
        <v>0</v>
      </c>
      <c r="U324" s="1507">
        <f>IF($C$57=1,S102*G102+S107*G107+S112*G112,0)</f>
        <v>0</v>
      </c>
      <c r="V324" s="1507">
        <f>IF(C57=1,T102*G102+T107*G107+T112*G112)</f>
        <v>0</v>
      </c>
      <c r="W324" s="1507">
        <f>IF(C57=1,T101*G101+T106*G106+T111*G111,0)</f>
        <v>0</v>
      </c>
      <c r="AC324" s="1374" t="s">
        <v>254</v>
      </c>
      <c r="AD324" s="1332">
        <f>IF($C$58=2,AE103*G103+AE108*G108+AE113*G113,0)</f>
        <v>0</v>
      </c>
      <c r="AE324" s="1332">
        <f>IF($C$58=2,AF103*G103+AF108*G108+AF113*G113,0)</f>
        <v>0</v>
      </c>
      <c r="AF324" s="1332"/>
      <c r="AG324" s="1332">
        <f>IF($C$58=2,AF102*G102+AF107*G107+AF112*G112,0)</f>
        <v>0</v>
      </c>
      <c r="AH324" s="1506"/>
      <c r="AI324" s="1506"/>
      <c r="AJ324" s="1283"/>
      <c r="AL324" s="1290"/>
      <c r="AM324" s="1290"/>
      <c r="AN324" s="1290"/>
    </row>
    <row r="325" spans="1:40" s="1502" customFormat="1" hidden="1">
      <c r="A325" s="1270"/>
      <c r="Q325" s="1384"/>
      <c r="R325" s="1503" t="s">
        <v>363</v>
      </c>
      <c r="S325" s="1503" t="s">
        <v>364</v>
      </c>
      <c r="T325" s="1503" t="s">
        <v>366</v>
      </c>
      <c r="U325" s="1503" t="s">
        <v>365</v>
      </c>
      <c r="V325" s="1503" t="s">
        <v>367</v>
      </c>
      <c r="W325" s="1503" t="s">
        <v>368</v>
      </c>
      <c r="AC325" s="1384"/>
      <c r="AD325" s="1503"/>
      <c r="AE325" s="1503" t="s">
        <v>28</v>
      </c>
      <c r="AF325" s="1504"/>
      <c r="AG325" s="1504"/>
      <c r="AH325" s="1505"/>
      <c r="AI325" s="1505"/>
      <c r="AJ325" s="1491"/>
      <c r="AL325" s="1290"/>
      <c r="AM325" s="1290"/>
      <c r="AN325" s="1290"/>
    </row>
    <row r="326" spans="1:40" s="115" customFormat="1" hidden="1">
      <c r="A326" s="1270"/>
      <c r="Q326" s="1374" t="s">
        <v>255</v>
      </c>
      <c r="R326" s="1332">
        <f>IF($C$58=2,R273*G273+R278*G278+R283*G283,0)</f>
        <v>0</v>
      </c>
      <c r="S326" s="1332">
        <f>IF($C$58=2,S273*G273+S278*G278+S283*G283,0)</f>
        <v>0</v>
      </c>
      <c r="T326" s="1332">
        <f>IF($C$58=2,S272*G272+S277*G277+S282*G282,0)</f>
        <v>0</v>
      </c>
      <c r="U326" s="1332">
        <f>IF($C$58=2,T273*G273+T278*G278+T283*G283,0)</f>
        <v>0</v>
      </c>
      <c r="V326" s="1332">
        <f>IF($C$58=2,T272*G272+T277*G277+T282*G282,0)</f>
        <v>0</v>
      </c>
      <c r="W326" s="1332">
        <f>IF($C$58=2,T271*G271+T276*G276+T281*G281,0)</f>
        <v>0</v>
      </c>
      <c r="AC326" s="1374" t="s">
        <v>255</v>
      </c>
      <c r="AD326" s="1332"/>
      <c r="AE326" s="1332">
        <f>IF($C$58=2,AF273*G273+AF278*G278+AF283*G283,0)</f>
        <v>0</v>
      </c>
      <c r="AF326" s="1332"/>
      <c r="AG326" s="1332"/>
      <c r="AH326" s="1506"/>
      <c r="AI326" s="1506"/>
      <c r="AJ326" s="1283"/>
      <c r="AL326" s="1290"/>
      <c r="AM326" s="1290"/>
      <c r="AN326" s="1290"/>
    </row>
    <row r="327" spans="1:40" s="115" customFormat="1" hidden="1">
      <c r="A327" s="1270"/>
      <c r="G327" s="1508">
        <f>IF(ARBETSBLAD!B64="Ja, förbrukningen sätter jag lika med inköpen varje månad",1,IF(ARBETSBLAD!B64="Nej, förbrukningen budgeterar jag månad för månad här",2,IF(ARBETSBLAD!B64="Nej, förbrukningen budgeterar jag med hjälp av nyckeltal",3)))</f>
        <v>1</v>
      </c>
      <c r="Q327" s="1374" t="s">
        <v>256</v>
      </c>
      <c r="R327" s="1509">
        <f>IF($C$57=1,R103*G103+R108*G108+R113*G113,0)</f>
        <v>0</v>
      </c>
      <c r="S327" s="1509">
        <f>IF($C$57=1,S103*G103+S108*G108+S113*G113,0)</f>
        <v>0</v>
      </c>
      <c r="T327" s="1509">
        <f>IF($C$57=1,S102*G102+S107*G107+S112*G112,0)</f>
        <v>0</v>
      </c>
      <c r="U327" s="1509">
        <f>IF($C$57=1,T103*G103+T108*G108+T113*G113,0)</f>
        <v>0</v>
      </c>
      <c r="V327" s="1509">
        <f>IF($C$57=1,T102*G102+T107*G107+T112*G112,0)</f>
        <v>0</v>
      </c>
      <c r="W327" s="1509">
        <f>IF($C$57=1,T101*G101+T106*G106+T111*G111,0)</f>
        <v>0</v>
      </c>
      <c r="AC327" s="1374" t="s">
        <v>256</v>
      </c>
      <c r="AD327" s="1332"/>
      <c r="AE327" s="1332">
        <f>IF($C$58=2,AF103*G103+AF108*G108+AF113*G113,0)</f>
        <v>0</v>
      </c>
      <c r="AF327" s="1332"/>
      <c r="AG327" s="1332"/>
      <c r="AH327" s="1506"/>
      <c r="AI327" s="1506"/>
      <c r="AJ327" s="1283"/>
      <c r="AL327" s="1290"/>
      <c r="AM327" s="1290"/>
      <c r="AN327" s="1290"/>
    </row>
    <row r="328" spans="1:40" s="115" customFormat="1" ht="13.8" hidden="1">
      <c r="A328" s="1270"/>
      <c r="B328" s="1510" t="s">
        <v>307</v>
      </c>
      <c r="C328" s="1511"/>
      <c r="D328" s="1511"/>
      <c r="E328" s="1511"/>
      <c r="F328" s="1511"/>
      <c r="G328" s="1512">
        <v>1</v>
      </c>
      <c r="AH328" s="1283"/>
      <c r="AI328" s="1283"/>
      <c r="AJ328" s="1283"/>
      <c r="AL328" s="1513"/>
      <c r="AM328" s="1513"/>
      <c r="AN328" s="1513"/>
    </row>
    <row r="329" spans="1:40" s="115" customFormat="1" hidden="1">
      <c r="A329" s="1270"/>
      <c r="B329" s="1514" t="s">
        <v>308</v>
      </c>
      <c r="C329" s="1515"/>
      <c r="D329" s="1515"/>
      <c r="E329" s="1515"/>
      <c r="F329" s="1515"/>
      <c r="G329" s="1516">
        <v>2</v>
      </c>
      <c r="AH329" s="1283"/>
      <c r="AI329" s="1283"/>
      <c r="AJ329" s="1283"/>
      <c r="AL329" s="1517"/>
      <c r="AM329" s="1517"/>
      <c r="AN329" s="1517"/>
    </row>
    <row r="330" spans="1:40" s="115" customFormat="1" hidden="1">
      <c r="A330" s="1270"/>
      <c r="B330" s="1514" t="s">
        <v>309</v>
      </c>
      <c r="C330" s="1515"/>
      <c r="D330" s="1515"/>
      <c r="E330" s="1515"/>
      <c r="F330" s="1515"/>
      <c r="G330" s="1516">
        <v>3</v>
      </c>
      <c r="AH330" s="1283"/>
      <c r="AI330" s="1283"/>
      <c r="AJ330" s="1283"/>
      <c r="AL330" s="1517"/>
      <c r="AM330" s="1517"/>
      <c r="AN330" s="1517"/>
    </row>
    <row r="331" spans="1:40" s="115" customFormat="1" ht="12.75" hidden="1" customHeight="1">
      <c r="A331" s="1270"/>
      <c r="B331" s="1515" t="s">
        <v>793</v>
      </c>
      <c r="C331" s="1518"/>
      <c r="D331" s="1518"/>
      <c r="E331" s="1518"/>
      <c r="F331" s="1518"/>
      <c r="G331" s="1518"/>
      <c r="AH331" s="1283"/>
      <c r="AI331" s="1283"/>
      <c r="AJ331" s="1283"/>
      <c r="AL331" s="1517"/>
      <c r="AM331" s="1517"/>
      <c r="AN331" s="1517"/>
    </row>
    <row r="332" spans="1:40" s="115" customFormat="1" ht="12.75" hidden="1" customHeight="1">
      <c r="A332" s="1270"/>
      <c r="B332" s="1519" t="s">
        <v>784</v>
      </c>
      <c r="C332" s="1520"/>
      <c r="D332" s="1520"/>
      <c r="E332" s="1520"/>
      <c r="F332" s="1520"/>
      <c r="G332" s="1520"/>
      <c r="H332" s="1521"/>
      <c r="I332" s="384">
        <f>IF(I57=1,$C$440,0)</f>
        <v>0</v>
      </c>
      <c r="J332" s="384">
        <f t="shared" ref="J332:AF332" si="90">IF(AND(I57=0,J57=1),$C$440,0)</f>
        <v>0</v>
      </c>
      <c r="K332" s="384">
        <f t="shared" si="90"/>
        <v>0</v>
      </c>
      <c r="L332" s="384">
        <f t="shared" si="90"/>
        <v>0</v>
      </c>
      <c r="M332" s="384">
        <f t="shared" si="90"/>
        <v>0</v>
      </c>
      <c r="N332" s="384">
        <f t="shared" si="90"/>
        <v>0</v>
      </c>
      <c r="O332" s="384">
        <f t="shared" si="90"/>
        <v>0</v>
      </c>
      <c r="P332" s="384">
        <f t="shared" si="90"/>
        <v>0</v>
      </c>
      <c r="Q332" s="384">
        <f t="shared" si="90"/>
        <v>0</v>
      </c>
      <c r="R332" s="384">
        <f t="shared" si="90"/>
        <v>0</v>
      </c>
      <c r="S332" s="384">
        <f t="shared" si="90"/>
        <v>0</v>
      </c>
      <c r="T332" s="384">
        <f t="shared" si="90"/>
        <v>0</v>
      </c>
      <c r="U332" s="384">
        <f t="shared" si="90"/>
        <v>0</v>
      </c>
      <c r="V332" s="384">
        <f t="shared" si="90"/>
        <v>0</v>
      </c>
      <c r="W332" s="384">
        <f t="shared" si="90"/>
        <v>0</v>
      </c>
      <c r="X332" s="384">
        <f t="shared" si="90"/>
        <v>0</v>
      </c>
      <c r="Y332" s="384">
        <f t="shared" si="90"/>
        <v>0</v>
      </c>
      <c r="Z332" s="384">
        <f t="shared" si="90"/>
        <v>0</v>
      </c>
      <c r="AA332" s="384">
        <f t="shared" si="90"/>
        <v>0</v>
      </c>
      <c r="AB332" s="384">
        <f t="shared" si="90"/>
        <v>0</v>
      </c>
      <c r="AC332" s="384">
        <f t="shared" si="90"/>
        <v>0</v>
      </c>
      <c r="AD332" s="384">
        <f t="shared" si="90"/>
        <v>0</v>
      </c>
      <c r="AE332" s="384">
        <f t="shared" si="90"/>
        <v>0</v>
      </c>
      <c r="AF332" s="384">
        <f t="shared" si="90"/>
        <v>0</v>
      </c>
      <c r="AG332" s="766"/>
      <c r="AH332" s="904">
        <f>IF($C$57=1,T332,IF($C$57=2,AF332))</f>
        <v>0</v>
      </c>
      <c r="AI332" s="434"/>
      <c r="AJ332" s="905">
        <f>IF($C$57=1,AF332,0)</f>
        <v>0</v>
      </c>
      <c r="AL332" s="1522"/>
      <c r="AM332" s="1522"/>
      <c r="AN332" s="1522"/>
    </row>
    <row r="333" spans="1:40" s="115" customFormat="1" ht="12.75" hidden="1" customHeight="1">
      <c r="A333" s="1270"/>
      <c r="B333" s="1523" t="s">
        <v>785</v>
      </c>
      <c r="C333" s="1524"/>
      <c r="D333" s="1525"/>
      <c r="E333" s="1526"/>
      <c r="F333" s="1526"/>
      <c r="G333" s="1526"/>
      <c r="H333" s="1527"/>
      <c r="I333" s="900">
        <f>IF(ARBETSBLAD!I167=0,0,IF(AND(I332&gt;0,ARBETSBLAD!I167&gt;0),ARBETSBLAD!I167-I332,ARBETSBLAD!I167))*I57</f>
        <v>0</v>
      </c>
      <c r="J333" s="900">
        <f>IF(ARBETSBLAD!J167=0,0,IF(AND(J332&gt;0,ARBETSBLAD!J167&gt;0),ARBETSBLAD!J167-J332,ARBETSBLAD!J167-ARBETSBLAD!I168))*J57</f>
        <v>0</v>
      </c>
      <c r="K333" s="900">
        <f>IF(ARBETSBLAD!K167=0,0,IF(AND(K332&gt;0,ARBETSBLAD!K167&gt;0),ARBETSBLAD!K167-K332,ARBETSBLAD!K167-ARBETSBLAD!J168))*K57</f>
        <v>0</v>
      </c>
      <c r="L333" s="900">
        <f>IF(ARBETSBLAD!L167=0,0,IF(AND(L332&gt;0,ARBETSBLAD!L167&gt;0),ARBETSBLAD!L167-L332,ARBETSBLAD!L167-ARBETSBLAD!K168))*L57</f>
        <v>0</v>
      </c>
      <c r="M333" s="900">
        <f>IF(ARBETSBLAD!M167=0,0,IF(AND(M332&gt;0,ARBETSBLAD!M167&gt;0),ARBETSBLAD!M167-M332,ARBETSBLAD!M167-ARBETSBLAD!L168))*M57</f>
        <v>0</v>
      </c>
      <c r="N333" s="900">
        <f>IF(ARBETSBLAD!N167=0,0,IF(AND(N332&gt;0,ARBETSBLAD!N167&gt;0),ARBETSBLAD!N167-N332,ARBETSBLAD!N167-ARBETSBLAD!M168))*N57</f>
        <v>0</v>
      </c>
      <c r="O333" s="900">
        <f>IF(ARBETSBLAD!O167=0,0,IF(AND(O332&gt;0,ARBETSBLAD!O167&gt;0),ARBETSBLAD!O167-O332,ARBETSBLAD!O167-ARBETSBLAD!N168))*O57</f>
        <v>0</v>
      </c>
      <c r="P333" s="900">
        <f>IF(ARBETSBLAD!P167=0,0,IF(AND(P332&gt;0,ARBETSBLAD!P167&gt;0),ARBETSBLAD!P167-P332,ARBETSBLAD!P167-ARBETSBLAD!O168))*P57</f>
        <v>0</v>
      </c>
      <c r="Q333" s="900">
        <f>IF(ARBETSBLAD!Q167=0,0,IF(AND(Q332&gt;0,ARBETSBLAD!Q167&gt;0),ARBETSBLAD!Q167-Q332,ARBETSBLAD!Q167-ARBETSBLAD!P168))*Q57</f>
        <v>0</v>
      </c>
      <c r="R333" s="900">
        <f>IF(ARBETSBLAD!R167=0,0,IF(AND(R332&gt;0,ARBETSBLAD!R167&gt;0),ARBETSBLAD!R167-R332,ARBETSBLAD!R167-ARBETSBLAD!Q168))*R57</f>
        <v>0</v>
      </c>
      <c r="S333" s="900">
        <f>IF(ARBETSBLAD!S167=0,0,IF(AND(S332&gt;0,ARBETSBLAD!S167&gt;0),ARBETSBLAD!S167-S332,ARBETSBLAD!S167-ARBETSBLAD!R168))*S57</f>
        <v>0</v>
      </c>
      <c r="T333" s="900">
        <f>IF(ARBETSBLAD!T167=0,0,IF(AND(T332&gt;0,ARBETSBLAD!T167&gt;0),ARBETSBLAD!T167-T332,ARBETSBLAD!T167-ARBETSBLAD!S168))*T57</f>
        <v>0</v>
      </c>
      <c r="U333" s="900">
        <f>IF(ARBETSBLAD!U167=0,0,IF(AND(U332&gt;0,ARBETSBLAD!U167&gt;0),ARBETSBLAD!U167-U332,ARBETSBLAD!U167-ARBETSBLAD!T168))*U57</f>
        <v>0</v>
      </c>
      <c r="V333" s="900">
        <f>IF(ARBETSBLAD!V167=0,0,IF(AND(V332&gt;0,ARBETSBLAD!V167&gt;0),ARBETSBLAD!V167-V332,ARBETSBLAD!V167-ARBETSBLAD!U168))*V57</f>
        <v>0</v>
      </c>
      <c r="W333" s="900">
        <f>IF(ARBETSBLAD!W167=0,0,IF(AND(W332&gt;0,ARBETSBLAD!W167&gt;0),ARBETSBLAD!W167-W332,ARBETSBLAD!W167-ARBETSBLAD!V168))*W57</f>
        <v>0</v>
      </c>
      <c r="X333" s="900">
        <f>IF(ARBETSBLAD!X167=0,0,IF(AND(X332&gt;0,ARBETSBLAD!X167&gt;0),ARBETSBLAD!X167-X332,ARBETSBLAD!X167-ARBETSBLAD!W168))*X57</f>
        <v>0</v>
      </c>
      <c r="Y333" s="900">
        <f>IF(ARBETSBLAD!Y167=0,0,IF(AND(Y332&gt;0,ARBETSBLAD!Y167&gt;0),ARBETSBLAD!Y167-Y332,ARBETSBLAD!Y167-ARBETSBLAD!X168))*Y57</f>
        <v>0</v>
      </c>
      <c r="Z333" s="900">
        <f>IF(ARBETSBLAD!Z167=0,0,IF(AND(Z332&gt;0,ARBETSBLAD!Z167&gt;0),ARBETSBLAD!Z167-Z332,ARBETSBLAD!Z167-ARBETSBLAD!Y168))*Z57</f>
        <v>0</v>
      </c>
      <c r="AA333" s="900">
        <f>IF(ARBETSBLAD!AA167=0,0,IF(AND(AA332&gt;0,ARBETSBLAD!AA167&gt;0),ARBETSBLAD!AA167-AA332,ARBETSBLAD!AA167-ARBETSBLAD!Z168))*AA57</f>
        <v>0</v>
      </c>
      <c r="AB333" s="900">
        <f>IF(ARBETSBLAD!AB167=0,0,IF(AND(AB332&gt;0,ARBETSBLAD!AB167&gt;0),ARBETSBLAD!AB167-AB332,ARBETSBLAD!AB167-ARBETSBLAD!AA168))*AB57</f>
        <v>0</v>
      </c>
      <c r="AC333" s="900">
        <f>IF(ARBETSBLAD!AC167=0,0,IF(AND(AC332&gt;0,ARBETSBLAD!AC167&gt;0),ARBETSBLAD!AC167-AC332,ARBETSBLAD!AC167-ARBETSBLAD!AB168))*AC57</f>
        <v>0</v>
      </c>
      <c r="AD333" s="900">
        <f>IF(ARBETSBLAD!AD167=0,0,IF(AND(AD332&gt;0,ARBETSBLAD!AD167&gt;0),ARBETSBLAD!AD167-AD332,ARBETSBLAD!AD167-ARBETSBLAD!AC168))*AD57</f>
        <v>0</v>
      </c>
      <c r="AE333" s="900">
        <f>IF(ARBETSBLAD!AE167=0,0,IF(AND(AE332&gt;0,ARBETSBLAD!AE167&gt;0),ARBETSBLAD!AE167-AE332,ARBETSBLAD!AE167-ARBETSBLAD!AD168))*AE57</f>
        <v>0</v>
      </c>
      <c r="AF333" s="900">
        <f>IF(ARBETSBLAD!AF167=0,0,IF(AND(AF332&gt;0,ARBETSBLAD!AF167&gt;0),ARBETSBLAD!AF167-AF332,ARBETSBLAD!AF167-ARBETSBLAD!AE168))*AF57</f>
        <v>0</v>
      </c>
      <c r="AG333" s="889"/>
      <c r="AH333" s="904">
        <f>IF($C$57=1,SUMIF(I$57:T$57,1,I333:T333),IF($C$57=2,SUMIF(O$57:AF$57,1,O333:AF333)))</f>
        <v>0</v>
      </c>
      <c r="AI333" s="434"/>
      <c r="AJ333" s="905">
        <f>IF($C$57=1,SUM(U333:AF333),0)</f>
        <v>0</v>
      </c>
      <c r="AL333" s="1528"/>
      <c r="AM333" s="1528"/>
      <c r="AN333" s="1528"/>
    </row>
    <row r="334" spans="1:40" s="115" customFormat="1" ht="12.75" hidden="1" customHeight="1">
      <c r="A334" s="1270"/>
      <c r="B334" s="1529" t="s">
        <v>822</v>
      </c>
      <c r="C334" s="1530"/>
      <c r="D334" s="1531"/>
      <c r="E334" s="1532"/>
      <c r="F334" s="1532"/>
      <c r="G334" s="1532"/>
      <c r="H334" s="1532"/>
      <c r="I334" s="900">
        <f t="shared" ref="I334:AF334" si="91">I414</f>
        <v>0</v>
      </c>
      <c r="J334" s="900">
        <f t="shared" si="91"/>
        <v>0</v>
      </c>
      <c r="K334" s="900">
        <f t="shared" ca="1" si="91"/>
        <v>0</v>
      </c>
      <c r="L334" s="900">
        <f t="shared" ca="1" si="91"/>
        <v>0</v>
      </c>
      <c r="M334" s="900">
        <f t="shared" ca="1" si="91"/>
        <v>0</v>
      </c>
      <c r="N334" s="900">
        <f t="shared" ca="1" si="91"/>
        <v>0</v>
      </c>
      <c r="O334" s="900">
        <f t="shared" ca="1" si="91"/>
        <v>0</v>
      </c>
      <c r="P334" s="900">
        <f t="shared" ca="1" si="91"/>
        <v>0</v>
      </c>
      <c r="Q334" s="900">
        <f t="shared" ca="1" si="91"/>
        <v>0</v>
      </c>
      <c r="R334" s="900">
        <f t="shared" ca="1" si="91"/>
        <v>0</v>
      </c>
      <c r="S334" s="900">
        <f t="shared" ca="1" si="91"/>
        <v>0</v>
      </c>
      <c r="T334" s="900">
        <f t="shared" ca="1" si="91"/>
        <v>0</v>
      </c>
      <c r="U334" s="900">
        <f t="shared" ca="1" si="91"/>
        <v>0</v>
      </c>
      <c r="V334" s="900">
        <f t="shared" ca="1" si="91"/>
        <v>0</v>
      </c>
      <c r="W334" s="900">
        <f t="shared" ca="1" si="91"/>
        <v>0</v>
      </c>
      <c r="X334" s="900">
        <f t="shared" ca="1" si="91"/>
        <v>0</v>
      </c>
      <c r="Y334" s="900">
        <f t="shared" ca="1" si="91"/>
        <v>0</v>
      </c>
      <c r="Z334" s="900">
        <f t="shared" ca="1" si="91"/>
        <v>0</v>
      </c>
      <c r="AA334" s="900">
        <f t="shared" ca="1" si="91"/>
        <v>0</v>
      </c>
      <c r="AB334" s="900">
        <f t="shared" ca="1" si="91"/>
        <v>0</v>
      </c>
      <c r="AC334" s="900">
        <f t="shared" ca="1" si="91"/>
        <v>0</v>
      </c>
      <c r="AD334" s="900">
        <f t="shared" ca="1" si="91"/>
        <v>0</v>
      </c>
      <c r="AE334" s="900">
        <f t="shared" ca="1" si="91"/>
        <v>0</v>
      </c>
      <c r="AF334" s="900">
        <f t="shared" ca="1" si="91"/>
        <v>0</v>
      </c>
      <c r="AG334" s="889"/>
      <c r="AH334" s="904">
        <f ca="1">IF($C$57=1,T334,IF($C$57=2,AF334))</f>
        <v>0</v>
      </c>
      <c r="AI334" s="434"/>
      <c r="AJ334" s="905">
        <f ca="1">IF($C$57=1,AF334,0)</f>
        <v>0</v>
      </c>
      <c r="AL334" s="1528"/>
      <c r="AM334" s="1528"/>
      <c r="AN334" s="1528"/>
    </row>
    <row r="335" spans="1:40" s="115" customFormat="1" ht="12.75" hidden="1" customHeight="1">
      <c r="A335" s="1270"/>
      <c r="B335" s="1529" t="s">
        <v>787</v>
      </c>
      <c r="C335" s="1530"/>
      <c r="D335" s="1531"/>
      <c r="E335" s="1532"/>
      <c r="F335" s="1532"/>
      <c r="G335" s="1532"/>
      <c r="H335" s="1533"/>
      <c r="I335" s="900">
        <f>I334-ARBETSBLAD!I168</f>
        <v>0</v>
      </c>
      <c r="J335" s="900">
        <f>J334-ARBETSBLAD!J168</f>
        <v>0</v>
      </c>
      <c r="K335" s="900">
        <f ca="1">K334-ARBETSBLAD!K168</f>
        <v>0</v>
      </c>
      <c r="L335" s="900">
        <f ca="1">L334-ARBETSBLAD!L168</f>
        <v>0</v>
      </c>
      <c r="M335" s="900">
        <f ca="1">M334-ARBETSBLAD!M168</f>
        <v>0</v>
      </c>
      <c r="N335" s="900">
        <f ca="1">N334-ARBETSBLAD!N168</f>
        <v>0</v>
      </c>
      <c r="O335" s="900">
        <f ca="1">O334-ARBETSBLAD!O168</f>
        <v>0</v>
      </c>
      <c r="P335" s="900">
        <f ca="1">P334-ARBETSBLAD!P168</f>
        <v>0</v>
      </c>
      <c r="Q335" s="900">
        <f ca="1">Q334-ARBETSBLAD!Q168</f>
        <v>0</v>
      </c>
      <c r="R335" s="900">
        <f ca="1">R334-ARBETSBLAD!R168</f>
        <v>0</v>
      </c>
      <c r="S335" s="900">
        <f ca="1">S334-ARBETSBLAD!S168</f>
        <v>0</v>
      </c>
      <c r="T335" s="900">
        <f ca="1">T334-ARBETSBLAD!T168</f>
        <v>0</v>
      </c>
      <c r="U335" s="900">
        <f ca="1">U334-ARBETSBLAD!U168</f>
        <v>0</v>
      </c>
      <c r="V335" s="900">
        <f ca="1">V334-ARBETSBLAD!V168</f>
        <v>0</v>
      </c>
      <c r="W335" s="900">
        <f ca="1">W334-ARBETSBLAD!W168</f>
        <v>0</v>
      </c>
      <c r="X335" s="900">
        <f ca="1">X334-ARBETSBLAD!X168</f>
        <v>0</v>
      </c>
      <c r="Y335" s="900">
        <f ca="1">Y334-ARBETSBLAD!Y168</f>
        <v>0</v>
      </c>
      <c r="Z335" s="900">
        <f ca="1">Z334-ARBETSBLAD!Z168</f>
        <v>0</v>
      </c>
      <c r="AA335" s="900">
        <f ca="1">AA334-ARBETSBLAD!AA168</f>
        <v>0</v>
      </c>
      <c r="AB335" s="900">
        <f ca="1">AB334-ARBETSBLAD!AB168</f>
        <v>0</v>
      </c>
      <c r="AC335" s="900">
        <f ca="1">AC334-ARBETSBLAD!AC168</f>
        <v>0</v>
      </c>
      <c r="AD335" s="900">
        <f ca="1">AD334-ARBETSBLAD!AD168</f>
        <v>0</v>
      </c>
      <c r="AE335" s="900">
        <f ca="1">AE334-ARBETSBLAD!AE168</f>
        <v>0</v>
      </c>
      <c r="AF335" s="900">
        <f ca="1">AF334-ARBETSBLAD!AF168</f>
        <v>0</v>
      </c>
      <c r="AG335" s="889"/>
      <c r="AH335" s="904"/>
      <c r="AI335" s="434"/>
      <c r="AJ335" s="905"/>
      <c r="AL335" s="1528"/>
      <c r="AM335" s="1528"/>
      <c r="AN335" s="1528"/>
    </row>
    <row r="336" spans="1:40" s="115" customFormat="1" ht="12.75" hidden="1" customHeight="1">
      <c r="A336" s="1270"/>
      <c r="B336" s="1529" t="s">
        <v>788</v>
      </c>
      <c r="C336" s="1530"/>
      <c r="D336" s="1531"/>
      <c r="E336" s="1532"/>
      <c r="F336" s="1532"/>
      <c r="G336" s="1532"/>
      <c r="H336" s="1533"/>
      <c r="I336" s="900">
        <f>IF(AND(I335&lt;=0,-I335&lt;=ARBETSBLAD!I168),-I335,0)</f>
        <v>0</v>
      </c>
      <c r="J336" s="900">
        <f>IF(AND(J335&lt;=0,-J335&lt;=ARBETSBLAD!J168),-J335,0)</f>
        <v>0</v>
      </c>
      <c r="K336" s="900">
        <f ca="1">IF(AND(K335&lt;=0,-K335&lt;=ARBETSBLAD!K168),-K335,0)</f>
        <v>0</v>
      </c>
      <c r="L336" s="900">
        <f ca="1">IF(AND(L335&lt;=0,-L335&lt;=ARBETSBLAD!L168),-L335,0)</f>
        <v>0</v>
      </c>
      <c r="M336" s="900">
        <f ca="1">IF(AND(M335&lt;=0,-M335&lt;=ARBETSBLAD!M168),-M335,0)</f>
        <v>0</v>
      </c>
      <c r="N336" s="900">
        <f ca="1">IF(AND(N335&lt;=0,-N335&lt;=ARBETSBLAD!N168),-N335,0)</f>
        <v>0</v>
      </c>
      <c r="O336" s="900">
        <f ca="1">IF(AND(O335&lt;=0,-O335&lt;=ARBETSBLAD!O168),-O335,0)</f>
        <v>0</v>
      </c>
      <c r="P336" s="900">
        <f ca="1">IF(AND(P335&lt;=0,-P335&lt;=ARBETSBLAD!P168),-P335,0)</f>
        <v>0</v>
      </c>
      <c r="Q336" s="900">
        <f ca="1">IF(AND(Q335&lt;=0,-Q335&lt;=ARBETSBLAD!Q168),-Q335,0)</f>
        <v>0</v>
      </c>
      <c r="R336" s="900">
        <f ca="1">IF(AND(R335&lt;=0,-R335&lt;=ARBETSBLAD!R168),-R335,0)</f>
        <v>0</v>
      </c>
      <c r="S336" s="900">
        <f ca="1">IF(AND(S335&lt;=0,-S335&lt;=ARBETSBLAD!S168),-S335,0)</f>
        <v>0</v>
      </c>
      <c r="T336" s="900">
        <f ca="1">IF(AND(T335&lt;=0,-T335&lt;=ARBETSBLAD!T168),-T335,0)</f>
        <v>0</v>
      </c>
      <c r="U336" s="900">
        <f ca="1">IF(AND(U335&lt;=0,-U335&lt;=ARBETSBLAD!U168),-U335,0)</f>
        <v>0</v>
      </c>
      <c r="V336" s="900">
        <f ca="1">IF(AND(V335&lt;=0,-V335&lt;=ARBETSBLAD!V168),-V335,0)</f>
        <v>0</v>
      </c>
      <c r="W336" s="900">
        <f ca="1">IF(AND(W335&lt;=0,-W335&lt;=ARBETSBLAD!W168),-W335,0)</f>
        <v>0</v>
      </c>
      <c r="X336" s="900">
        <f ca="1">IF(AND(X335&lt;=0,-X335&lt;=ARBETSBLAD!X168),-X335,0)</f>
        <v>0</v>
      </c>
      <c r="Y336" s="900">
        <f ca="1">IF(AND(Y335&lt;=0,-Y335&lt;=ARBETSBLAD!Y168),-Y335,0)</f>
        <v>0</v>
      </c>
      <c r="Z336" s="900">
        <f ca="1">IF(AND(Z335&lt;=0,-Z335&lt;=ARBETSBLAD!Z168),-Z335,0)</f>
        <v>0</v>
      </c>
      <c r="AA336" s="900">
        <f ca="1">IF(AND(AA335&lt;=0,-AA335&lt;=ARBETSBLAD!AA168),-AA335,0)</f>
        <v>0</v>
      </c>
      <c r="AB336" s="900">
        <f ca="1">IF(AND(AB335&lt;=0,-AB335&lt;=ARBETSBLAD!AB168),-AB335,0)</f>
        <v>0</v>
      </c>
      <c r="AC336" s="900">
        <f ca="1">IF(AND(AC335&lt;=0,-AC335&lt;=ARBETSBLAD!AC168),-AC335,0)</f>
        <v>0</v>
      </c>
      <c r="AD336" s="900">
        <f ca="1">IF(AND(AD335&lt;=0,-AD335&lt;=ARBETSBLAD!AD168),-AD335,0)</f>
        <v>0</v>
      </c>
      <c r="AE336" s="900">
        <f ca="1">IF(AND(AE335&lt;=0,-AE335&lt;=ARBETSBLAD!AE168),-AE335,0)</f>
        <v>0</v>
      </c>
      <c r="AF336" s="900">
        <f ca="1">IF(AND(AF335&lt;=0,-AF335&lt;=ARBETSBLAD!AF168),-AF335,0)</f>
        <v>0</v>
      </c>
      <c r="AG336" s="889"/>
      <c r="AH336" s="904"/>
      <c r="AI336" s="434"/>
      <c r="AJ336" s="905"/>
      <c r="AL336" s="1528"/>
      <c r="AM336" s="1528"/>
      <c r="AN336" s="1528"/>
    </row>
    <row r="337" spans="1:40" s="115" customFormat="1" ht="12.75" hidden="1" customHeight="1">
      <c r="A337" s="1270"/>
      <c r="B337" s="886" t="s">
        <v>789</v>
      </c>
      <c r="C337" s="887"/>
      <c r="D337" s="888"/>
      <c r="E337" s="896"/>
      <c r="F337" s="896"/>
      <c r="G337" s="896"/>
      <c r="H337" s="896"/>
      <c r="I337" s="382">
        <f>IF(AND(I335&lt;=0,-I335&gt;ARBETSBLAD!I168),ARBETSBLAD!I168,I336)</f>
        <v>0</v>
      </c>
      <c r="J337" s="382">
        <f>IF(AND(J335&lt;=0,-J335&gt;ARBETSBLAD!J168),ARBETSBLAD!J168,J336)</f>
        <v>0</v>
      </c>
      <c r="K337" s="382">
        <f ca="1">IF(AND(K335&lt;=0,-K335&gt;ARBETSBLAD!K168),ARBETSBLAD!K168,K336)</f>
        <v>0</v>
      </c>
      <c r="L337" s="382">
        <f ca="1">IF(AND(L335&lt;=0,-L335&gt;ARBETSBLAD!L168),ARBETSBLAD!L168,L336)</f>
        <v>0</v>
      </c>
      <c r="M337" s="382">
        <f ca="1">IF(AND(M335&lt;=0,-M335&gt;ARBETSBLAD!M168),ARBETSBLAD!M168,M336)</f>
        <v>0</v>
      </c>
      <c r="N337" s="382">
        <f ca="1">IF(AND(N335&lt;=0,-N335&gt;ARBETSBLAD!N168),ARBETSBLAD!N168,N336)</f>
        <v>0</v>
      </c>
      <c r="O337" s="382">
        <f ca="1">IF(AND(O335&lt;=0,-O335&gt;ARBETSBLAD!O168),ARBETSBLAD!O168,O336)</f>
        <v>0</v>
      </c>
      <c r="P337" s="382">
        <f ca="1">IF(AND(P335&lt;=0,-P335&gt;ARBETSBLAD!P168),ARBETSBLAD!P168,P336)</f>
        <v>0</v>
      </c>
      <c r="Q337" s="382">
        <f ca="1">IF(AND(Q335&lt;=0,-Q335&gt;ARBETSBLAD!Q168),ARBETSBLAD!Q168,Q336)</f>
        <v>0</v>
      </c>
      <c r="R337" s="382">
        <f ca="1">IF(AND(R335&lt;=0,-R335&gt;ARBETSBLAD!R168),ARBETSBLAD!R168,R336)</f>
        <v>0</v>
      </c>
      <c r="S337" s="382">
        <f ca="1">IF(AND(S335&lt;=0,-S335&gt;ARBETSBLAD!S168),ARBETSBLAD!S168,S336)</f>
        <v>0</v>
      </c>
      <c r="T337" s="382">
        <f ca="1">IF(AND(T335&lt;=0,-T335&gt;ARBETSBLAD!T168),ARBETSBLAD!T168,T336)</f>
        <v>0</v>
      </c>
      <c r="U337" s="382">
        <f ca="1">IF(AND(U335&lt;=0,-U335&gt;ARBETSBLAD!U168),ARBETSBLAD!U168,U336)</f>
        <v>0</v>
      </c>
      <c r="V337" s="382">
        <f ca="1">IF(AND(V335&lt;=0,-V335&gt;ARBETSBLAD!V168),ARBETSBLAD!V168,V336)</f>
        <v>0</v>
      </c>
      <c r="W337" s="382">
        <f ca="1">IF(AND(W335&lt;=0,-W335&gt;ARBETSBLAD!W168),ARBETSBLAD!W168,W336)</f>
        <v>0</v>
      </c>
      <c r="X337" s="382">
        <f ca="1">IF(AND(X335&lt;=0,-X335&gt;ARBETSBLAD!X168),ARBETSBLAD!X168,X336)</f>
        <v>0</v>
      </c>
      <c r="Y337" s="382">
        <f ca="1">IF(AND(Y335&lt;=0,-Y335&gt;ARBETSBLAD!Y168),ARBETSBLAD!Y168,Y336)</f>
        <v>0</v>
      </c>
      <c r="Z337" s="382">
        <f ca="1">IF(AND(Z335&lt;=0,-Z335&gt;ARBETSBLAD!Z168),ARBETSBLAD!Z168,Z336)</f>
        <v>0</v>
      </c>
      <c r="AA337" s="382">
        <f ca="1">IF(AND(AA335&lt;=0,-AA335&gt;ARBETSBLAD!AA168),ARBETSBLAD!AA168,AA336)</f>
        <v>0</v>
      </c>
      <c r="AB337" s="382">
        <f ca="1">IF(AND(AB335&lt;=0,-AB335&gt;ARBETSBLAD!AB168),ARBETSBLAD!AB168,AB336)</f>
        <v>0</v>
      </c>
      <c r="AC337" s="382">
        <f ca="1">IF(AND(AC335&lt;=0,-AC335&gt;ARBETSBLAD!AC168),ARBETSBLAD!AC168,AC336)</f>
        <v>0</v>
      </c>
      <c r="AD337" s="382">
        <f ca="1">IF(AND(AD335&lt;=0,-AD335&gt;ARBETSBLAD!AD168),ARBETSBLAD!AD168,AD336)</f>
        <v>0</v>
      </c>
      <c r="AE337" s="382">
        <f ca="1">IF(AND(AE335&lt;=0,-AE335&gt;ARBETSBLAD!AE168),ARBETSBLAD!AE168,AE336)</f>
        <v>0</v>
      </c>
      <c r="AF337" s="382">
        <f ca="1">IF(AND(AF335&lt;=0,-AF335&gt;ARBETSBLAD!AF168),ARBETSBLAD!AF168,AF336)</f>
        <v>0</v>
      </c>
      <c r="AG337" s="889"/>
      <c r="AH337" s="890"/>
      <c r="AI337" s="891"/>
      <c r="AJ337" s="890"/>
      <c r="AL337" s="1528"/>
      <c r="AM337" s="1528"/>
      <c r="AN337" s="1528"/>
    </row>
    <row r="338" spans="1:40" s="115" customFormat="1" ht="12.75" hidden="1" customHeight="1">
      <c r="A338" s="1270"/>
      <c r="I338" s="1534"/>
      <c r="J338" s="1534"/>
      <c r="K338" s="1534"/>
      <c r="L338" s="1534"/>
      <c r="M338" s="1534"/>
      <c r="N338" s="1534"/>
      <c r="O338" s="1534"/>
      <c r="P338" s="1534"/>
      <c r="Q338" s="1534"/>
      <c r="R338" s="1534"/>
      <c r="S338" s="1534"/>
      <c r="T338" s="1534"/>
      <c r="U338" s="1534"/>
      <c r="V338" s="1534"/>
      <c r="W338" s="1534"/>
      <c r="X338" s="1534"/>
      <c r="Y338" s="1534"/>
      <c r="Z338" s="1534"/>
      <c r="AA338" s="1534"/>
      <c r="AB338" s="1534"/>
      <c r="AC338" s="1534"/>
      <c r="AD338" s="1534"/>
      <c r="AE338" s="1534"/>
      <c r="AF338" s="1534"/>
      <c r="AH338" s="1283"/>
      <c r="AI338" s="1283"/>
      <c r="AJ338" s="1283"/>
      <c r="AL338" s="1290"/>
      <c r="AM338" s="1290"/>
      <c r="AN338" s="1290"/>
    </row>
    <row r="339" spans="1:40" s="115" customFormat="1" ht="12.9" hidden="1" customHeight="1">
      <c r="A339" s="1270"/>
      <c r="B339" s="1535" t="s">
        <v>335</v>
      </c>
      <c r="I339" s="1536">
        <f>ARBETSBLAD!I172+ARBETSBLAD!I175+ARBETSBLAD!I178+ARBETSBLAD!I181+ARBETSBLAD!I184+ARBETSBLAD!I186</f>
        <v>0</v>
      </c>
      <c r="J339" s="1536">
        <f>ARBETSBLAD!J172+ARBETSBLAD!J175+ARBETSBLAD!J178+ARBETSBLAD!J181+ARBETSBLAD!J184+ARBETSBLAD!J186</f>
        <v>0</v>
      </c>
      <c r="K339" s="1536">
        <f>ARBETSBLAD!K172+ARBETSBLAD!K175+ARBETSBLAD!K178+ARBETSBLAD!K181+ARBETSBLAD!K184+ARBETSBLAD!K186</f>
        <v>0</v>
      </c>
      <c r="L339" s="1536">
        <f>ARBETSBLAD!L172+ARBETSBLAD!L175+ARBETSBLAD!L178+ARBETSBLAD!L181+ARBETSBLAD!L184+ARBETSBLAD!L186</f>
        <v>0</v>
      </c>
      <c r="M339" s="1536">
        <f>ARBETSBLAD!M172+ARBETSBLAD!M175+ARBETSBLAD!M178+ARBETSBLAD!M181+ARBETSBLAD!M184+ARBETSBLAD!M186</f>
        <v>0</v>
      </c>
      <c r="N339" s="1536">
        <f>ARBETSBLAD!N172+ARBETSBLAD!N175+ARBETSBLAD!N178+ARBETSBLAD!N181+ARBETSBLAD!N184+ARBETSBLAD!N186</f>
        <v>0</v>
      </c>
      <c r="O339" s="1536">
        <f>ARBETSBLAD!O172+ARBETSBLAD!O175+ARBETSBLAD!O178+ARBETSBLAD!O181+ARBETSBLAD!O184+ARBETSBLAD!O186</f>
        <v>0</v>
      </c>
      <c r="P339" s="1536">
        <f>ARBETSBLAD!P172+ARBETSBLAD!P175+ARBETSBLAD!P178+ARBETSBLAD!P181+ARBETSBLAD!P184+ARBETSBLAD!P186</f>
        <v>0</v>
      </c>
      <c r="Q339" s="1536">
        <f>ARBETSBLAD!Q172+ARBETSBLAD!Q175+ARBETSBLAD!Q178+ARBETSBLAD!Q181+ARBETSBLAD!Q184+ARBETSBLAD!Q186</f>
        <v>0</v>
      </c>
      <c r="R339" s="1536">
        <f>ARBETSBLAD!R172+ARBETSBLAD!R175+ARBETSBLAD!R178+ARBETSBLAD!R181+ARBETSBLAD!R184+ARBETSBLAD!R186</f>
        <v>0</v>
      </c>
      <c r="S339" s="1536">
        <f>ARBETSBLAD!S172+ARBETSBLAD!S175+ARBETSBLAD!S178+ARBETSBLAD!S181+ARBETSBLAD!S184+ARBETSBLAD!S186</f>
        <v>0</v>
      </c>
      <c r="T339" s="1536">
        <f>ARBETSBLAD!T172+ARBETSBLAD!T175+ARBETSBLAD!T178+ARBETSBLAD!T181+ARBETSBLAD!T184+ARBETSBLAD!T186</f>
        <v>0</v>
      </c>
      <c r="U339" s="1536">
        <f>ARBETSBLAD!U172+ARBETSBLAD!U175+ARBETSBLAD!U178+ARBETSBLAD!U181+ARBETSBLAD!U184+ARBETSBLAD!U186</f>
        <v>0</v>
      </c>
      <c r="V339" s="1536">
        <f>ARBETSBLAD!V172+ARBETSBLAD!V175+ARBETSBLAD!V178+ARBETSBLAD!V181+ARBETSBLAD!V184+ARBETSBLAD!V186</f>
        <v>0</v>
      </c>
      <c r="W339" s="1536">
        <f>ARBETSBLAD!W172+ARBETSBLAD!W175+ARBETSBLAD!W178+ARBETSBLAD!W181+ARBETSBLAD!W184+ARBETSBLAD!W186</f>
        <v>0</v>
      </c>
      <c r="X339" s="1536">
        <f>ARBETSBLAD!X172+ARBETSBLAD!X175+ARBETSBLAD!X178+ARBETSBLAD!X181+ARBETSBLAD!X184+ARBETSBLAD!X186</f>
        <v>0</v>
      </c>
      <c r="Y339" s="1536">
        <f>ARBETSBLAD!Y172+ARBETSBLAD!Y175+ARBETSBLAD!Y178+ARBETSBLAD!Y181+ARBETSBLAD!Y184+ARBETSBLAD!Y186</f>
        <v>0</v>
      </c>
      <c r="Z339" s="1536">
        <f>ARBETSBLAD!Z172+ARBETSBLAD!Z175+ARBETSBLAD!Z178+ARBETSBLAD!Z181+ARBETSBLAD!Z184+ARBETSBLAD!Z186</f>
        <v>0</v>
      </c>
      <c r="AA339" s="1536">
        <f>ARBETSBLAD!AA172+ARBETSBLAD!AA175+ARBETSBLAD!AA178+ARBETSBLAD!AA181+ARBETSBLAD!AA184+ARBETSBLAD!AA186</f>
        <v>0</v>
      </c>
      <c r="AB339" s="1536">
        <f>ARBETSBLAD!AB172+ARBETSBLAD!AB175+ARBETSBLAD!AB178+ARBETSBLAD!AB181+ARBETSBLAD!AB184+ARBETSBLAD!AB186</f>
        <v>0</v>
      </c>
      <c r="AC339" s="1536">
        <f>ARBETSBLAD!AC172+ARBETSBLAD!AC175+ARBETSBLAD!AC178+ARBETSBLAD!AC181+ARBETSBLAD!AC184+ARBETSBLAD!AC186</f>
        <v>0</v>
      </c>
      <c r="AD339" s="1536">
        <f>ARBETSBLAD!AD172+ARBETSBLAD!AD175+ARBETSBLAD!AD178+ARBETSBLAD!AD181+ARBETSBLAD!AD184+ARBETSBLAD!AD186</f>
        <v>0</v>
      </c>
      <c r="AE339" s="1536">
        <f>ARBETSBLAD!AE172+ARBETSBLAD!AE175+ARBETSBLAD!AE178+ARBETSBLAD!AE181+ARBETSBLAD!AE184+ARBETSBLAD!AE186</f>
        <v>0</v>
      </c>
      <c r="AF339" s="1536">
        <f>ARBETSBLAD!AF172+ARBETSBLAD!AF175+ARBETSBLAD!AF178+ARBETSBLAD!AF181+ARBETSBLAD!AF184+ARBETSBLAD!AF186</f>
        <v>0</v>
      </c>
      <c r="AH339" s="1283"/>
      <c r="AI339" s="1283"/>
      <c r="AJ339" s="1283"/>
      <c r="AL339" s="1290"/>
      <c r="AM339" s="1290"/>
      <c r="AN339" s="1290"/>
    </row>
    <row r="340" spans="1:40" s="1290" customFormat="1" ht="12.9" hidden="1" customHeight="1">
      <c r="A340" s="1270"/>
      <c r="B340" s="1517"/>
      <c r="F340" s="1315"/>
      <c r="G340" s="1537" t="s">
        <v>863</v>
      </c>
      <c r="I340" s="1538">
        <f>I57*(ARBETSBLAD!I168*ARBETSBLAD!$E$167+ARBETSBLAD!I172*ARBETSBLAD!$G$170+ARBETSBLAD!I175*ARBETSBLAD!$G$173+ARBETSBLAD!I178*ARBETSBLAD!$G176+ARBETSBLAD!I181*ARBETSBLAD!$G179+ARBETSBLAD!I184*ARBETSBLAD!$G182+ARBETSBLAD!I186*ARBETSBLAD!$G$186)/12</f>
        <v>0</v>
      </c>
      <c r="J340" s="1538">
        <f>J57*(ARBETSBLAD!J168*ARBETSBLAD!$E$167+ARBETSBLAD!J172*ARBETSBLAD!$G$170+ARBETSBLAD!J175*ARBETSBLAD!$G$173+ARBETSBLAD!J178*ARBETSBLAD!$G176+ARBETSBLAD!J181*ARBETSBLAD!$G179+ARBETSBLAD!J184*ARBETSBLAD!$G182+ARBETSBLAD!J186*ARBETSBLAD!$G$186)/12</f>
        <v>0</v>
      </c>
      <c r="K340" s="1538">
        <f>K57*(ARBETSBLAD!K168*ARBETSBLAD!$E$167+ARBETSBLAD!K172*ARBETSBLAD!$G$170+ARBETSBLAD!K175*ARBETSBLAD!$G$173+ARBETSBLAD!K178*ARBETSBLAD!$G176+ARBETSBLAD!K181*ARBETSBLAD!$G179+ARBETSBLAD!K184*ARBETSBLAD!$G182+ARBETSBLAD!K186*ARBETSBLAD!$G$186)/12</f>
        <v>0</v>
      </c>
      <c r="L340" s="1538">
        <f>L57*(ARBETSBLAD!L168*ARBETSBLAD!$E$167+ARBETSBLAD!L172*ARBETSBLAD!$G$170+ARBETSBLAD!L175*ARBETSBLAD!$G$173+ARBETSBLAD!L178*ARBETSBLAD!$G176+ARBETSBLAD!L181*ARBETSBLAD!$G179+ARBETSBLAD!L184*ARBETSBLAD!$G182+ARBETSBLAD!L186*ARBETSBLAD!$G$186)/12</f>
        <v>0</v>
      </c>
      <c r="M340" s="1538">
        <f>M57*(ARBETSBLAD!M168*ARBETSBLAD!$E$167+ARBETSBLAD!M172*ARBETSBLAD!$G$170+ARBETSBLAD!M175*ARBETSBLAD!$G$173+ARBETSBLAD!M178*ARBETSBLAD!$G176+ARBETSBLAD!M181*ARBETSBLAD!$G179+ARBETSBLAD!M184*ARBETSBLAD!$G182+ARBETSBLAD!M186*ARBETSBLAD!$G$186)/12</f>
        <v>0</v>
      </c>
      <c r="N340" s="1538">
        <f>N57*(ARBETSBLAD!N168*ARBETSBLAD!$E$167+ARBETSBLAD!N172*ARBETSBLAD!$G$170+ARBETSBLAD!N175*ARBETSBLAD!$G$173+ARBETSBLAD!N178*ARBETSBLAD!$G176+ARBETSBLAD!N181*ARBETSBLAD!$G179+ARBETSBLAD!N184*ARBETSBLAD!$G182+ARBETSBLAD!N186*ARBETSBLAD!$G$186)/12</f>
        <v>0</v>
      </c>
      <c r="O340" s="1538">
        <f>O57*(ARBETSBLAD!O168*ARBETSBLAD!$E$167+ARBETSBLAD!O172*ARBETSBLAD!$G$170+ARBETSBLAD!O175*ARBETSBLAD!$G$173+ARBETSBLAD!O178*ARBETSBLAD!$G176+ARBETSBLAD!O181*ARBETSBLAD!$G179+ARBETSBLAD!O184*ARBETSBLAD!$G182+ARBETSBLAD!O186*ARBETSBLAD!$G$186)/12</f>
        <v>0</v>
      </c>
      <c r="P340" s="1538">
        <f>P57*(ARBETSBLAD!P168*ARBETSBLAD!$E$167+ARBETSBLAD!P172*ARBETSBLAD!$G$170+ARBETSBLAD!P175*ARBETSBLAD!$G$173+ARBETSBLAD!P178*ARBETSBLAD!$G176+ARBETSBLAD!P181*ARBETSBLAD!$G179+ARBETSBLAD!P184*ARBETSBLAD!$G182+ARBETSBLAD!P186*ARBETSBLAD!$G$186)/12</f>
        <v>0</v>
      </c>
      <c r="Q340" s="1538">
        <f>Q57*(ARBETSBLAD!Q168*ARBETSBLAD!$E$167+ARBETSBLAD!Q172*ARBETSBLAD!$G$170+ARBETSBLAD!Q175*ARBETSBLAD!$G$173+ARBETSBLAD!Q178*ARBETSBLAD!$G176+ARBETSBLAD!Q181*ARBETSBLAD!$G179+ARBETSBLAD!Q184*ARBETSBLAD!$G182+ARBETSBLAD!Q186*ARBETSBLAD!$G$186)/12</f>
        <v>0</v>
      </c>
      <c r="R340" s="1538">
        <f>R57*(ARBETSBLAD!R168*ARBETSBLAD!$E$167+ARBETSBLAD!R172*ARBETSBLAD!$G$170+ARBETSBLAD!R175*ARBETSBLAD!$G$173+ARBETSBLAD!R178*ARBETSBLAD!$G176+ARBETSBLAD!R181*ARBETSBLAD!$G179+ARBETSBLAD!R184*ARBETSBLAD!$G182+ARBETSBLAD!R186*ARBETSBLAD!$G$186)/12</f>
        <v>0</v>
      </c>
      <c r="S340" s="1538">
        <f>S57*(ARBETSBLAD!S168*ARBETSBLAD!$E$167+ARBETSBLAD!S172*ARBETSBLAD!$G$170+ARBETSBLAD!S175*ARBETSBLAD!$G$173+ARBETSBLAD!S178*ARBETSBLAD!$G176+ARBETSBLAD!S181*ARBETSBLAD!$G179+ARBETSBLAD!S184*ARBETSBLAD!$G182+ARBETSBLAD!S186*ARBETSBLAD!$G$186)/12</f>
        <v>0</v>
      </c>
      <c r="T340" s="1538">
        <f>T57*(ARBETSBLAD!T168*ARBETSBLAD!$E$167+ARBETSBLAD!T172*ARBETSBLAD!$G$170+ARBETSBLAD!T175*ARBETSBLAD!$G$173+ARBETSBLAD!T178*ARBETSBLAD!$G176+ARBETSBLAD!T181*ARBETSBLAD!$G179+ARBETSBLAD!T184*ARBETSBLAD!$G182+ARBETSBLAD!T186*ARBETSBLAD!$G$186)/12</f>
        <v>0</v>
      </c>
      <c r="U340" s="1538">
        <f>U57*(ARBETSBLAD!U168*ARBETSBLAD!$E$167+ARBETSBLAD!U172*ARBETSBLAD!$G$170+ARBETSBLAD!U175*ARBETSBLAD!$G$173+ARBETSBLAD!U178*ARBETSBLAD!$G176+ARBETSBLAD!U181*ARBETSBLAD!$G179+ARBETSBLAD!U184*ARBETSBLAD!$G182+ARBETSBLAD!U186*ARBETSBLAD!$G$186)/12</f>
        <v>0</v>
      </c>
      <c r="V340" s="1538">
        <f>V57*(ARBETSBLAD!V168*ARBETSBLAD!$E$167+ARBETSBLAD!V172*ARBETSBLAD!$G$170+ARBETSBLAD!V175*ARBETSBLAD!$G$173+ARBETSBLAD!V178*ARBETSBLAD!$G176+ARBETSBLAD!V181*ARBETSBLAD!$G179+ARBETSBLAD!V184*ARBETSBLAD!$G182+ARBETSBLAD!V186*ARBETSBLAD!$G$186)/12</f>
        <v>0</v>
      </c>
      <c r="W340" s="1538">
        <f>W57*(ARBETSBLAD!W168*ARBETSBLAD!$E$167+ARBETSBLAD!W172*ARBETSBLAD!$G$170+ARBETSBLAD!W175*ARBETSBLAD!$G$173+ARBETSBLAD!W178*ARBETSBLAD!$G176+ARBETSBLAD!W181*ARBETSBLAD!$G179+ARBETSBLAD!W184*ARBETSBLAD!$G182+ARBETSBLAD!W186*ARBETSBLAD!$G$186)/12</f>
        <v>0</v>
      </c>
      <c r="X340" s="1538">
        <f>X57*(ARBETSBLAD!X168*ARBETSBLAD!$E$167+ARBETSBLAD!X172*ARBETSBLAD!$G$170+ARBETSBLAD!X175*ARBETSBLAD!$G$173+ARBETSBLAD!X178*ARBETSBLAD!$G176+ARBETSBLAD!X181*ARBETSBLAD!$G179+ARBETSBLAD!X184*ARBETSBLAD!$G182+ARBETSBLAD!X186*ARBETSBLAD!$G$186)/12</f>
        <v>0</v>
      </c>
      <c r="Y340" s="1538">
        <f>Y57*(ARBETSBLAD!Y168*ARBETSBLAD!$E$167+ARBETSBLAD!Y172*ARBETSBLAD!$G$170+ARBETSBLAD!Y175*ARBETSBLAD!$G$173+ARBETSBLAD!Y178*ARBETSBLAD!$G176+ARBETSBLAD!Y181*ARBETSBLAD!$G179+ARBETSBLAD!Y184*ARBETSBLAD!$G182+ARBETSBLAD!Y186*ARBETSBLAD!$G$186)/12</f>
        <v>0</v>
      </c>
      <c r="Z340" s="1538">
        <f>Z57*(ARBETSBLAD!Z168*ARBETSBLAD!$E$167+ARBETSBLAD!Z172*ARBETSBLAD!$G$170+ARBETSBLAD!Z175*ARBETSBLAD!$G$173+ARBETSBLAD!Z178*ARBETSBLAD!$G176+ARBETSBLAD!Z181*ARBETSBLAD!$G179+ARBETSBLAD!Z184*ARBETSBLAD!$G182+ARBETSBLAD!Z186*ARBETSBLAD!$G$186)/12</f>
        <v>0</v>
      </c>
      <c r="AA340" s="1538">
        <f>AA57*(ARBETSBLAD!AA168*ARBETSBLAD!$E$167+ARBETSBLAD!AA172*ARBETSBLAD!$G$170+ARBETSBLAD!AA175*ARBETSBLAD!$G$173+ARBETSBLAD!AA178*ARBETSBLAD!$G176+ARBETSBLAD!AA181*ARBETSBLAD!$G179+ARBETSBLAD!AA184*ARBETSBLAD!$G182+ARBETSBLAD!AA186*ARBETSBLAD!$G$186)/12</f>
        <v>0</v>
      </c>
      <c r="AB340" s="1538">
        <f>AB57*(ARBETSBLAD!AB168*ARBETSBLAD!$E$167+ARBETSBLAD!AB172*ARBETSBLAD!$G$170+ARBETSBLAD!AB175*ARBETSBLAD!$G$173+ARBETSBLAD!AB178*ARBETSBLAD!$G176+ARBETSBLAD!AB181*ARBETSBLAD!$G179+ARBETSBLAD!AB184*ARBETSBLAD!$G182+ARBETSBLAD!AB186*ARBETSBLAD!$G$186)/12</f>
        <v>0</v>
      </c>
      <c r="AC340" s="1538">
        <f>AC57*(ARBETSBLAD!AC168*ARBETSBLAD!$E$167+ARBETSBLAD!AC172*ARBETSBLAD!$G$170+ARBETSBLAD!AC175*ARBETSBLAD!$G$173+ARBETSBLAD!AC178*ARBETSBLAD!$G176+ARBETSBLAD!AC181*ARBETSBLAD!$G179+ARBETSBLAD!AC184*ARBETSBLAD!$G182+ARBETSBLAD!AC186*ARBETSBLAD!$G$186)/12</f>
        <v>0</v>
      </c>
      <c r="AD340" s="1538">
        <f>AD57*(ARBETSBLAD!AD168*ARBETSBLAD!$E$167+ARBETSBLAD!AD172*ARBETSBLAD!$G$170+ARBETSBLAD!AD175*ARBETSBLAD!$G$173+ARBETSBLAD!AD178*ARBETSBLAD!$G176+ARBETSBLAD!AD181*ARBETSBLAD!$G179+ARBETSBLAD!AD184*ARBETSBLAD!$G182+ARBETSBLAD!AD186*ARBETSBLAD!$G$186)/12</f>
        <v>0</v>
      </c>
      <c r="AE340" s="1538">
        <f>AE57*(ARBETSBLAD!AE168*ARBETSBLAD!$E$167+ARBETSBLAD!AE172*ARBETSBLAD!$G$170+ARBETSBLAD!AE175*ARBETSBLAD!$G$173+ARBETSBLAD!AE178*ARBETSBLAD!$G176+ARBETSBLAD!AE181*ARBETSBLAD!$G179+ARBETSBLAD!AE184*ARBETSBLAD!$G182+ARBETSBLAD!AE186*ARBETSBLAD!$G$186)/12</f>
        <v>0</v>
      </c>
      <c r="AF340" s="1538">
        <f>AF57*(ARBETSBLAD!AF168*ARBETSBLAD!$E$167+ARBETSBLAD!AF172*ARBETSBLAD!$G$170+ARBETSBLAD!AF175*ARBETSBLAD!$G$173+ARBETSBLAD!AF178*ARBETSBLAD!$G176+ARBETSBLAD!AF181*ARBETSBLAD!$G179+ARBETSBLAD!AF184*ARBETSBLAD!$G182+ARBETSBLAD!AF186*ARBETSBLAD!$G$186)/12</f>
        <v>0</v>
      </c>
      <c r="AH340" s="1539">
        <f>IF($C$57=1,SUM(I340:T340),IF($C$57=2,SUM(O340:AF340)))</f>
        <v>0</v>
      </c>
      <c r="AI340" s="434"/>
      <c r="AJ340" s="776">
        <f>IF($C$57=1,SUM(U340:AF340),0)</f>
        <v>0</v>
      </c>
      <c r="AM340" s="1315"/>
      <c r="AN340" s="1315"/>
    </row>
    <row r="341" spans="1:40" s="115" customFormat="1" ht="12.9" hidden="1" customHeight="1">
      <c r="A341" s="1270"/>
      <c r="F341" s="1540"/>
      <c r="G341" s="1541" t="s">
        <v>304</v>
      </c>
      <c r="I341" s="1542">
        <f>(ARBETSBLAD!I168*ARBETSBLAD!$E$167+I337*ARBETSBLAD!$G$167+ARBETSBLAD!I172*ARBETSBLAD!$G$170+ARBETSBLAD!I175*ARBETSBLAD!$G$173+ARBETSBLAD!I178*ARBETSBLAD!$G176+ARBETSBLAD!I181*ARBETSBLAD!$G179+ARBETSBLAD!I184*ARBETSBLAD!$G182+ARBETSBLAD!I186*ARBETSBLAD!$G$186)/12</f>
        <v>0</v>
      </c>
      <c r="J341" s="1542">
        <f>(ARBETSBLAD!J168*ARBETSBLAD!$E$167+J337*ARBETSBLAD!$G$167+ARBETSBLAD!J172*ARBETSBLAD!$G$170+ARBETSBLAD!J175*ARBETSBLAD!$G$173+ARBETSBLAD!J178*ARBETSBLAD!$G176+ARBETSBLAD!J181*ARBETSBLAD!$G179+ARBETSBLAD!J184*ARBETSBLAD!$G182+ARBETSBLAD!J186*ARBETSBLAD!$G$186)/12</f>
        <v>0</v>
      </c>
      <c r="K341" s="1542">
        <f ca="1">(ARBETSBLAD!K168*ARBETSBLAD!$E$167+K337*ARBETSBLAD!$G$167+ARBETSBLAD!K172*ARBETSBLAD!$G$170+ARBETSBLAD!K175*ARBETSBLAD!$G$173+ARBETSBLAD!K178*ARBETSBLAD!$G176+ARBETSBLAD!K181*ARBETSBLAD!$G179+ARBETSBLAD!K184*ARBETSBLAD!$G182+ARBETSBLAD!K186*ARBETSBLAD!$G$186)/12</f>
        <v>0</v>
      </c>
      <c r="L341" s="1542">
        <f ca="1">(ARBETSBLAD!L168*ARBETSBLAD!$E$167+L337*ARBETSBLAD!$G$167+ARBETSBLAD!L172*ARBETSBLAD!$G$170+ARBETSBLAD!L175*ARBETSBLAD!$G$173+ARBETSBLAD!L178*ARBETSBLAD!$G176+ARBETSBLAD!L181*ARBETSBLAD!$G179+ARBETSBLAD!L184*ARBETSBLAD!$G182+ARBETSBLAD!L186*ARBETSBLAD!$G$186)/12</f>
        <v>0</v>
      </c>
      <c r="M341" s="1542">
        <f ca="1">(ARBETSBLAD!M168*ARBETSBLAD!$E$167+M337*ARBETSBLAD!$G$167+ARBETSBLAD!M172*ARBETSBLAD!$G$170+ARBETSBLAD!M175*ARBETSBLAD!$G$173+ARBETSBLAD!M178*ARBETSBLAD!$G176+ARBETSBLAD!M181*ARBETSBLAD!$G179+ARBETSBLAD!M184*ARBETSBLAD!$G182+ARBETSBLAD!M186*ARBETSBLAD!$G$186)/12</f>
        <v>0</v>
      </c>
      <c r="N341" s="1542">
        <f ca="1">(ARBETSBLAD!N168*ARBETSBLAD!$E$167+N337*ARBETSBLAD!$G$167+ARBETSBLAD!N172*ARBETSBLAD!$G$170+ARBETSBLAD!N175*ARBETSBLAD!$G$173+ARBETSBLAD!N178*ARBETSBLAD!$G176+ARBETSBLAD!N181*ARBETSBLAD!$G179+ARBETSBLAD!N184*ARBETSBLAD!$G182+ARBETSBLAD!N186*ARBETSBLAD!$G$186)/12</f>
        <v>0</v>
      </c>
      <c r="O341" s="1542">
        <f ca="1">(ARBETSBLAD!O168*ARBETSBLAD!$E$167+O337*ARBETSBLAD!$G$167+ARBETSBLAD!O172*ARBETSBLAD!$G$170+ARBETSBLAD!O175*ARBETSBLAD!$G$173+ARBETSBLAD!O178*ARBETSBLAD!$G176+ARBETSBLAD!O181*ARBETSBLAD!$G179+ARBETSBLAD!O184*ARBETSBLAD!$G182+ARBETSBLAD!O186*ARBETSBLAD!$G$186)/12</f>
        <v>0</v>
      </c>
      <c r="P341" s="1542">
        <f ca="1">(ARBETSBLAD!P168*ARBETSBLAD!$E$167+P337*ARBETSBLAD!$G$167+ARBETSBLAD!P172*ARBETSBLAD!$G$170+ARBETSBLAD!P175*ARBETSBLAD!$G$173+ARBETSBLAD!P178*ARBETSBLAD!$G176+ARBETSBLAD!P181*ARBETSBLAD!$G179+ARBETSBLAD!P184*ARBETSBLAD!$G182+ARBETSBLAD!P186*ARBETSBLAD!$G$186)/12</f>
        <v>0</v>
      </c>
      <c r="Q341" s="1542">
        <f ca="1">(ARBETSBLAD!Q168*ARBETSBLAD!$E$167+Q337*ARBETSBLAD!$G$167+ARBETSBLAD!Q172*ARBETSBLAD!$G$170+ARBETSBLAD!Q175*ARBETSBLAD!$G$173+ARBETSBLAD!Q178*ARBETSBLAD!$G176+ARBETSBLAD!Q181*ARBETSBLAD!$G179+ARBETSBLAD!Q184*ARBETSBLAD!$G182+ARBETSBLAD!Q186*ARBETSBLAD!$G$186)/12</f>
        <v>0</v>
      </c>
      <c r="R341" s="1542">
        <f ca="1">(ARBETSBLAD!R168*ARBETSBLAD!$E$167+R337*ARBETSBLAD!$G$167+ARBETSBLAD!R172*ARBETSBLAD!$G$170+ARBETSBLAD!R175*ARBETSBLAD!$G$173+ARBETSBLAD!R178*ARBETSBLAD!$G176+ARBETSBLAD!R181*ARBETSBLAD!$G179+ARBETSBLAD!R184*ARBETSBLAD!$G182+ARBETSBLAD!R186*ARBETSBLAD!$G$186)/12</f>
        <v>0</v>
      </c>
      <c r="S341" s="1542">
        <f ca="1">(ARBETSBLAD!S168*ARBETSBLAD!$E$167+S337*ARBETSBLAD!$G$167+ARBETSBLAD!S172*ARBETSBLAD!$G$170+ARBETSBLAD!S175*ARBETSBLAD!$G$173+ARBETSBLAD!S178*ARBETSBLAD!$G176+ARBETSBLAD!S181*ARBETSBLAD!$G179+ARBETSBLAD!S184*ARBETSBLAD!$G182+ARBETSBLAD!S186*ARBETSBLAD!$G$186)/12</f>
        <v>0</v>
      </c>
      <c r="T341" s="1542">
        <f ca="1">(ARBETSBLAD!T168*ARBETSBLAD!$E$167+T337*ARBETSBLAD!$G$167+ARBETSBLAD!T172*ARBETSBLAD!$G$170+ARBETSBLAD!T175*ARBETSBLAD!$G$173+ARBETSBLAD!T178*ARBETSBLAD!$G176+ARBETSBLAD!T181*ARBETSBLAD!$G179+ARBETSBLAD!T184*ARBETSBLAD!$G182+ARBETSBLAD!T186*ARBETSBLAD!$G$186)/12</f>
        <v>0</v>
      </c>
      <c r="U341" s="1542">
        <f ca="1">(ARBETSBLAD!U168*ARBETSBLAD!$E$167+U337*ARBETSBLAD!$G$167+ARBETSBLAD!U172*ARBETSBLAD!$G$170+ARBETSBLAD!U175*ARBETSBLAD!$G$173+ARBETSBLAD!U178*ARBETSBLAD!$G176+ARBETSBLAD!U181*ARBETSBLAD!$G179+ARBETSBLAD!U184*ARBETSBLAD!$G182+ARBETSBLAD!U186*ARBETSBLAD!$G$186)/12</f>
        <v>0</v>
      </c>
      <c r="V341" s="1542">
        <f ca="1">(ARBETSBLAD!V168*ARBETSBLAD!$E$167+V337*ARBETSBLAD!$G$167+ARBETSBLAD!V172*ARBETSBLAD!$G$170+ARBETSBLAD!V175*ARBETSBLAD!$G$173+ARBETSBLAD!V178*ARBETSBLAD!$G176+ARBETSBLAD!V181*ARBETSBLAD!$G179+ARBETSBLAD!V184*ARBETSBLAD!$G182+ARBETSBLAD!V186*ARBETSBLAD!$G$186)/12</f>
        <v>0</v>
      </c>
      <c r="W341" s="1542">
        <f ca="1">(ARBETSBLAD!W168*ARBETSBLAD!$E$167+W337*ARBETSBLAD!$G$167+ARBETSBLAD!W172*ARBETSBLAD!$G$170+ARBETSBLAD!W175*ARBETSBLAD!$G$173+ARBETSBLAD!W178*ARBETSBLAD!$G176+ARBETSBLAD!W181*ARBETSBLAD!$G179+ARBETSBLAD!W184*ARBETSBLAD!$G182+ARBETSBLAD!W186*ARBETSBLAD!$G$186)/12</f>
        <v>0</v>
      </c>
      <c r="X341" s="1542">
        <f ca="1">(ARBETSBLAD!X168*ARBETSBLAD!$E$167+X337*ARBETSBLAD!$G$167+ARBETSBLAD!X172*ARBETSBLAD!$G$170+ARBETSBLAD!X175*ARBETSBLAD!$G$173+ARBETSBLAD!X178*ARBETSBLAD!$G176+ARBETSBLAD!X181*ARBETSBLAD!$G179+ARBETSBLAD!X184*ARBETSBLAD!$G182+ARBETSBLAD!X186*ARBETSBLAD!$G$186)/12</f>
        <v>0</v>
      </c>
      <c r="Y341" s="1542">
        <f ca="1">(ARBETSBLAD!Y168*ARBETSBLAD!$E$167+Y337*ARBETSBLAD!$G$167+ARBETSBLAD!Y172*ARBETSBLAD!$G$170+ARBETSBLAD!Y175*ARBETSBLAD!$G$173+ARBETSBLAD!Y178*ARBETSBLAD!$G176+ARBETSBLAD!Y181*ARBETSBLAD!$G179+ARBETSBLAD!Y184*ARBETSBLAD!$G182+ARBETSBLAD!Y186*ARBETSBLAD!$G$186)/12</f>
        <v>0</v>
      </c>
      <c r="Z341" s="1542">
        <f ca="1">(ARBETSBLAD!Z168*ARBETSBLAD!$E$167+Z337*ARBETSBLAD!$G$167+ARBETSBLAD!Z172*ARBETSBLAD!$G$170+ARBETSBLAD!Z175*ARBETSBLAD!$G$173+ARBETSBLAD!Z178*ARBETSBLAD!$G176+ARBETSBLAD!Z181*ARBETSBLAD!$G179+ARBETSBLAD!Z184*ARBETSBLAD!$G182+ARBETSBLAD!Z186*ARBETSBLAD!$G$186)/12</f>
        <v>0</v>
      </c>
      <c r="AA341" s="1542">
        <f ca="1">(ARBETSBLAD!AA168*ARBETSBLAD!$E$167+AA337*ARBETSBLAD!$G$167+ARBETSBLAD!AA172*ARBETSBLAD!$G$170+ARBETSBLAD!AA175*ARBETSBLAD!$G$173+ARBETSBLAD!AA178*ARBETSBLAD!$G176+ARBETSBLAD!AA181*ARBETSBLAD!$G179+ARBETSBLAD!AA184*ARBETSBLAD!$G182+ARBETSBLAD!AA186*ARBETSBLAD!$G$186)/12</f>
        <v>0</v>
      </c>
      <c r="AB341" s="1542">
        <f ca="1">(ARBETSBLAD!AB168*ARBETSBLAD!$E$167+AB337*ARBETSBLAD!$G$167+ARBETSBLAD!AB172*ARBETSBLAD!$G$170+ARBETSBLAD!AB175*ARBETSBLAD!$G$173+ARBETSBLAD!AB178*ARBETSBLAD!$G176+ARBETSBLAD!AB181*ARBETSBLAD!$G179+ARBETSBLAD!AB184*ARBETSBLAD!$G182+ARBETSBLAD!AB186*ARBETSBLAD!$G$186)/12</f>
        <v>0</v>
      </c>
      <c r="AC341" s="1542">
        <f ca="1">(ARBETSBLAD!AC168*ARBETSBLAD!$E$167+AC337*ARBETSBLAD!$G$167+ARBETSBLAD!AC172*ARBETSBLAD!$G$170+ARBETSBLAD!AC175*ARBETSBLAD!$G$173+ARBETSBLAD!AC178*ARBETSBLAD!$G176+ARBETSBLAD!AC181*ARBETSBLAD!$G179+ARBETSBLAD!AC184*ARBETSBLAD!$G182+ARBETSBLAD!AC186*ARBETSBLAD!$G$186)/12</f>
        <v>0</v>
      </c>
      <c r="AD341" s="1542">
        <f ca="1">(ARBETSBLAD!AD168*ARBETSBLAD!$E$167+AD337*ARBETSBLAD!$G$167+ARBETSBLAD!AD172*ARBETSBLAD!$G$170+ARBETSBLAD!AD175*ARBETSBLAD!$G$173+ARBETSBLAD!AD178*ARBETSBLAD!$G176+ARBETSBLAD!AD181*ARBETSBLAD!$G179+ARBETSBLAD!AD184*ARBETSBLAD!$G182+ARBETSBLAD!AD186*ARBETSBLAD!$G$186)/12</f>
        <v>0</v>
      </c>
      <c r="AE341" s="1542">
        <f ca="1">(ARBETSBLAD!AE168*ARBETSBLAD!$E$167+AE337*ARBETSBLAD!$G$167+ARBETSBLAD!AE172*ARBETSBLAD!$G$170+ARBETSBLAD!AE175*ARBETSBLAD!$G$173+ARBETSBLAD!AE178*ARBETSBLAD!$G176+ARBETSBLAD!AE181*ARBETSBLAD!$G179+ARBETSBLAD!AE184*ARBETSBLAD!$G182+ARBETSBLAD!AE186*ARBETSBLAD!$G$186)/12</f>
        <v>0</v>
      </c>
      <c r="AF341" s="1542">
        <f ca="1">(ARBETSBLAD!AF168*ARBETSBLAD!$E$167+AF337*ARBETSBLAD!$G$167+ARBETSBLAD!AF172*ARBETSBLAD!$G$170+ARBETSBLAD!AF175*ARBETSBLAD!$G$173+ARBETSBLAD!AF178*ARBETSBLAD!$G176+ARBETSBLAD!AF181*ARBETSBLAD!$G179+ARBETSBLAD!AF184*ARBETSBLAD!$G182+ARBETSBLAD!AF186*ARBETSBLAD!$G$186)/12</f>
        <v>0</v>
      </c>
      <c r="AH341" s="1539">
        <f ca="1">IF($C$57=1,SUM(I341:T341),IF($C$57=2,SUM(O341:AF341)))</f>
        <v>0</v>
      </c>
      <c r="AI341" s="434"/>
      <c r="AJ341" s="776">
        <f ca="1">IF($C$57=1,SUM(U341:AF341),0)</f>
        <v>0</v>
      </c>
      <c r="AL341" s="1290"/>
      <c r="AM341" s="1315"/>
      <c r="AN341" s="1537"/>
    </row>
    <row r="342" spans="1:40" s="115" customFormat="1" ht="12.9" hidden="1" customHeight="1">
      <c r="A342" s="1270"/>
      <c r="F342" s="1540"/>
      <c r="G342" s="1541" t="s">
        <v>824</v>
      </c>
      <c r="I342" s="1543">
        <f>I341+I343</f>
        <v>0</v>
      </c>
      <c r="J342" s="1543">
        <f t="shared" ref="J342:T342" si="92">J341+I342+J343</f>
        <v>0</v>
      </c>
      <c r="K342" s="1543">
        <f t="shared" ca="1" si="92"/>
        <v>0</v>
      </c>
      <c r="L342" s="1543">
        <f t="shared" ca="1" si="92"/>
        <v>0</v>
      </c>
      <c r="M342" s="1543">
        <f t="shared" ca="1" si="92"/>
        <v>0</v>
      </c>
      <c r="N342" s="1543">
        <f t="shared" ca="1" si="92"/>
        <v>0</v>
      </c>
      <c r="O342" s="1543">
        <f t="shared" ca="1" si="92"/>
        <v>0</v>
      </c>
      <c r="P342" s="1543">
        <f t="shared" ca="1" si="92"/>
        <v>0</v>
      </c>
      <c r="Q342" s="1543">
        <f t="shared" ca="1" si="92"/>
        <v>0</v>
      </c>
      <c r="R342" s="1543">
        <f t="shared" ca="1" si="92"/>
        <v>0</v>
      </c>
      <c r="S342" s="1543">
        <f t="shared" ca="1" si="92"/>
        <v>0</v>
      </c>
      <c r="T342" s="1543">
        <f t="shared" ca="1" si="92"/>
        <v>0</v>
      </c>
      <c r="U342" s="1543">
        <f t="shared" ref="U342:AF342" ca="1" si="93">U341+T342+T343</f>
        <v>0</v>
      </c>
      <c r="V342" s="1543">
        <f t="shared" ca="1" si="93"/>
        <v>0</v>
      </c>
      <c r="W342" s="1543">
        <f t="shared" ca="1" si="93"/>
        <v>0</v>
      </c>
      <c r="X342" s="1543">
        <f t="shared" ca="1" si="93"/>
        <v>0</v>
      </c>
      <c r="Y342" s="1543">
        <f t="shared" ca="1" si="93"/>
        <v>0</v>
      </c>
      <c r="Z342" s="1543">
        <f t="shared" ca="1" si="93"/>
        <v>0</v>
      </c>
      <c r="AA342" s="1543">
        <f t="shared" ca="1" si="93"/>
        <v>0</v>
      </c>
      <c r="AB342" s="1543">
        <f t="shared" ca="1" si="93"/>
        <v>0</v>
      </c>
      <c r="AC342" s="1543">
        <f t="shared" ca="1" si="93"/>
        <v>0</v>
      </c>
      <c r="AD342" s="1543">
        <f t="shared" ca="1" si="93"/>
        <v>0</v>
      </c>
      <c r="AE342" s="1543">
        <f t="shared" ca="1" si="93"/>
        <v>0</v>
      </c>
      <c r="AF342" s="1543">
        <f t="shared" ca="1" si="93"/>
        <v>0</v>
      </c>
      <c r="AH342" s="1544">
        <f ca="1">IF($C$57=1,SUM(I342:T342),IF($C$57=2,SUM(O342:AF342)))</f>
        <v>0</v>
      </c>
      <c r="AI342" s="434"/>
      <c r="AJ342" s="1545">
        <f ca="1">IF($C$57=1,SUM(U342:AF342),0)</f>
        <v>0</v>
      </c>
      <c r="AL342" s="1290"/>
      <c r="AM342" s="1315"/>
      <c r="AN342" s="1537"/>
    </row>
    <row r="343" spans="1:40" s="115" customFormat="1" ht="12.9" hidden="1" customHeight="1">
      <c r="A343" s="1270"/>
      <c r="E343" s="1546"/>
      <c r="F343" s="1540"/>
      <c r="G343" s="1541" t="s">
        <v>823</v>
      </c>
      <c r="H343" s="1547"/>
      <c r="I343" s="1547">
        <f t="shared" ref="I343:T343" si="94">I441</f>
        <v>0</v>
      </c>
      <c r="J343" s="1547">
        <f t="shared" si="94"/>
        <v>0</v>
      </c>
      <c r="K343" s="1547">
        <f t="shared" si="94"/>
        <v>0</v>
      </c>
      <c r="L343" s="1547">
        <f t="shared" si="94"/>
        <v>0</v>
      </c>
      <c r="M343" s="1547">
        <f t="shared" si="94"/>
        <v>0</v>
      </c>
      <c r="N343" s="1547">
        <f t="shared" si="94"/>
        <v>0</v>
      </c>
      <c r="O343" s="1547">
        <f t="shared" si="94"/>
        <v>0</v>
      </c>
      <c r="P343" s="1547">
        <f t="shared" si="94"/>
        <v>0</v>
      </c>
      <c r="Q343" s="1547">
        <f t="shared" si="94"/>
        <v>0</v>
      </c>
      <c r="R343" s="1547">
        <f t="shared" si="94"/>
        <v>0</v>
      </c>
      <c r="S343" s="1547">
        <f t="shared" si="94"/>
        <v>0</v>
      </c>
      <c r="T343" s="1547">
        <f t="shared" si="94"/>
        <v>0</v>
      </c>
      <c r="U343" s="1547"/>
      <c r="V343" s="1547"/>
      <c r="W343" s="1547"/>
      <c r="X343" s="1547"/>
      <c r="Y343" s="1547"/>
      <c r="Z343" s="1547"/>
      <c r="AA343" s="1547"/>
      <c r="AB343" s="1547"/>
      <c r="AC343" s="1547"/>
      <c r="AD343" s="1547"/>
      <c r="AE343" s="1547"/>
      <c r="AF343" s="1547"/>
      <c r="AH343" s="1283"/>
      <c r="AI343" s="1283"/>
      <c r="AJ343" s="1283"/>
      <c r="AL343" s="1548"/>
      <c r="AM343" s="1315"/>
      <c r="AN343" s="1537"/>
    </row>
    <row r="344" spans="1:40" s="115" customFormat="1" ht="12.9" hidden="1" customHeight="1">
      <c r="A344" s="1270"/>
      <c r="B344" s="1549" t="s">
        <v>1369</v>
      </c>
      <c r="F344" s="1540"/>
      <c r="G344" s="1540"/>
      <c r="H344" s="1547"/>
      <c r="I344" s="1948">
        <f>IF(I57=0,0,IF(I57=1,ARBETSBLAD!I154+$C431,0))</f>
        <v>0</v>
      </c>
      <c r="J344" s="1550">
        <f>IF(AND(I57=0,J57=0),0,IF(AND(I57=0,J57=1),ARBETSBLAD!J154+$C431,IF(AND(I57=1,J57=1),I344+ARBETSBLAD!J154)))</f>
        <v>0</v>
      </c>
      <c r="K344" s="1550">
        <f>IF(AND(J57=0,K57=0),0,IF(AND(J57=0,K57=1),ARBETSBLAD!K154+$C431,IF(AND(J57=1,K57=1),J344+ARBETSBLAD!K154)))</f>
        <v>0</v>
      </c>
      <c r="L344" s="1550">
        <f>IF(AND(K57=0,L57=0),0,IF(AND(K57=0,L57=1),ARBETSBLAD!L154+$C431,IF(AND(K57=1,L57=1),K344+ARBETSBLAD!L154)))</f>
        <v>0</v>
      </c>
      <c r="M344" s="1550">
        <f>IF(AND(L57=0,M57=0),0,IF(AND(L57=0,M57=1),ARBETSBLAD!M154+$C431,IF(AND(L57=1,M57=1),L344+ARBETSBLAD!M154)))</f>
        <v>0</v>
      </c>
      <c r="N344" s="1550">
        <f>IF(AND(M57=0,N57=0),0,IF(AND(M57=0,N57=1),ARBETSBLAD!N154+$C431,IF(AND(M57=1,N57=1),M344+ARBETSBLAD!N154)))</f>
        <v>0</v>
      </c>
      <c r="O344" s="1550">
        <f>IF(AND(N57=0,O57=0),0,IF(AND(N57=0,O57=1),ARBETSBLAD!O154+$C431,IF(AND(N57=1,O57=1),N344+ARBETSBLAD!O154)))</f>
        <v>0</v>
      </c>
      <c r="P344" s="1550">
        <f>IF(AND(O57=0,P57=0),0,IF(AND(O57=0,P57=1),ARBETSBLAD!P154+$C431,IF(AND(O57=1,P57=1),O344+ARBETSBLAD!P154)))</f>
        <v>0</v>
      </c>
      <c r="Q344" s="1550">
        <f>IF(AND(P57=0,Q57=0),0,IF(AND(P57=0,Q57=1),ARBETSBLAD!Q154+$C431,IF(AND(P57=1,Q57=1),P344+ARBETSBLAD!Q154)))</f>
        <v>0</v>
      </c>
      <c r="R344" s="1550">
        <f>IF(AND(Q57=0,R57=0),0,IF(AND(Q57=0,R57=1),ARBETSBLAD!R154+$C431,IF(AND(Q57=1,R57=1),Q344+ARBETSBLAD!R154)))</f>
        <v>0</v>
      </c>
      <c r="S344" s="1550">
        <f>IF(AND(R57=0,S57=0),0,IF(AND(R57=0,S57=1),ARBETSBLAD!S154+$C431,IF(AND(R57=1,S57=1),R344+ARBETSBLAD!S154)))</f>
        <v>0</v>
      </c>
      <c r="T344" s="1550">
        <f>IF(AND(S57=0,T57=0),0,IF(AND(S57=0,T57=1),ARBETSBLAD!T154+$C431,IF(AND(S57=1,T57=1),S344+ARBETSBLAD!T154)))</f>
        <v>0</v>
      </c>
      <c r="U344" s="1550">
        <f>T344+ARBETSBLAD!U154</f>
        <v>0</v>
      </c>
      <c r="V344" s="1550">
        <f>U344+ARBETSBLAD!V154</f>
        <v>0</v>
      </c>
      <c r="W344" s="1550">
        <f>V344+ARBETSBLAD!W154</f>
        <v>0</v>
      </c>
      <c r="X344" s="1550">
        <f>W344+ARBETSBLAD!X154</f>
        <v>0</v>
      </c>
      <c r="Y344" s="1550">
        <f>X344+ARBETSBLAD!Y154</f>
        <v>0</v>
      </c>
      <c r="Z344" s="1550">
        <f>Y344+ARBETSBLAD!Z154</f>
        <v>0</v>
      </c>
      <c r="AA344" s="1550">
        <f>Z344+ARBETSBLAD!AA154</f>
        <v>0</v>
      </c>
      <c r="AB344" s="1550">
        <f>AA344+ARBETSBLAD!AB154</f>
        <v>0</v>
      </c>
      <c r="AC344" s="1550">
        <f>AB344+ARBETSBLAD!AC154</f>
        <v>0</v>
      </c>
      <c r="AD344" s="1550">
        <f>AC344+ARBETSBLAD!AD154</f>
        <v>0</v>
      </c>
      <c r="AE344" s="1550">
        <f>AD344+ARBETSBLAD!AE154</f>
        <v>0</v>
      </c>
      <c r="AF344" s="1550">
        <f>AE344+ARBETSBLAD!AF154</f>
        <v>0</v>
      </c>
      <c r="AH344" s="1544">
        <f>IF($C$57=1,T344,IF($C$57=2,AF344))</f>
        <v>0</v>
      </c>
      <c r="AI344" s="434"/>
      <c r="AJ344" s="1545">
        <f>IF($C$57=1,AF344,0)</f>
        <v>0</v>
      </c>
      <c r="AL344" s="1290"/>
      <c r="AM344" s="1315"/>
      <c r="AN344" s="1315"/>
    </row>
    <row r="345" spans="1:40" s="115" customFormat="1" ht="12.9" hidden="1" customHeight="1">
      <c r="A345" s="1270"/>
      <c r="B345" s="1549" t="s">
        <v>1366</v>
      </c>
      <c r="F345" s="1540"/>
      <c r="G345" s="1540"/>
      <c r="H345" s="1547"/>
      <c r="I345" s="1550">
        <f>IF(I57=0,0,IF(I57=1,$C432+ARBETSBLAD!I155))</f>
        <v>0</v>
      </c>
      <c r="J345" s="1550">
        <f>IF(AND(I57=0,J57=0),0,IF(AND(I57=0,J57=1),ARBETSBLAD!J155+$C432,IF(AND(I57=1,J57=1),I345+ARBETSBLAD!J155)))</f>
        <v>0</v>
      </c>
      <c r="K345" s="1550">
        <f>IF(AND(J57=0,K57=0),0,IF(AND(J57=0,K57=1),ARBETSBLAD!K155+$C432,IF(AND(J57=1,K57=1),J345+ARBETSBLAD!K155)))</f>
        <v>0</v>
      </c>
      <c r="L345" s="1550">
        <f>IF(AND(K57=0,L57=0),0,IF(AND(K57=0,L57=1),ARBETSBLAD!L155+$C432,IF(AND(K57=1,L57=1),K345+ARBETSBLAD!L155)))</f>
        <v>0</v>
      </c>
      <c r="M345" s="1550">
        <f>IF(AND(L57=0,M57=0),0,IF(AND(L57=0,M57=1),ARBETSBLAD!M155+$C432,IF(AND(L57=1,M57=1),L345+ARBETSBLAD!M155)))</f>
        <v>0</v>
      </c>
      <c r="N345" s="1550">
        <f>IF(AND(M57=0,N57=0),0,IF(AND(M57=0,N57=1),ARBETSBLAD!N155+$C432,IF(AND(M57=1,N57=1),M345+ARBETSBLAD!N155)))</f>
        <v>0</v>
      </c>
      <c r="O345" s="1550">
        <f>IF(AND(N57=0,O57=0),0,IF(AND(N57=0,O57=1),ARBETSBLAD!O155+$C432,IF(AND(N57=1,O57=1),N345+ARBETSBLAD!O155)))</f>
        <v>0</v>
      </c>
      <c r="P345" s="1550">
        <f>IF(AND(O57=0,P57=0),0,IF(AND(O57=0,P57=1),ARBETSBLAD!P155+$C432,IF(AND(O57=1,P57=1),O345+ARBETSBLAD!P155)))</f>
        <v>0</v>
      </c>
      <c r="Q345" s="1550">
        <f>IF(AND(P57=0,Q57=0),0,IF(AND(P57=0,Q57=1),ARBETSBLAD!Q155+$C432,IF(AND(P57=1,Q57=1),P345+ARBETSBLAD!Q155)))</f>
        <v>0</v>
      </c>
      <c r="R345" s="1550">
        <f>IF(AND(Q57=0,R57=0),0,IF(AND(Q57=0,R57=1),ARBETSBLAD!R155+$C432,IF(AND(Q57=1,R57=1),Q345+ARBETSBLAD!R155)))</f>
        <v>0</v>
      </c>
      <c r="S345" s="1550">
        <f>IF(AND(R57=0,S57=0),0,IF(AND(R57=0,S57=1),ARBETSBLAD!S155+$C432,IF(AND(R57=1,S57=1),R345+ARBETSBLAD!S155)))</f>
        <v>0</v>
      </c>
      <c r="T345" s="1550">
        <f>IF(AND(S57=0,T57=0),0,IF(AND(S57=0,T57=1),ARBETSBLAD!T155+$C432,IF(AND(S57=1,T57=1),S345+ARBETSBLAD!T155)))</f>
        <v>0</v>
      </c>
      <c r="U345" s="1550">
        <f>T345+ARBETSBLAD!U155</f>
        <v>0</v>
      </c>
      <c r="V345" s="1550">
        <f>U345+ARBETSBLAD!V155</f>
        <v>0</v>
      </c>
      <c r="W345" s="1550">
        <f>V345+ARBETSBLAD!W155</f>
        <v>0</v>
      </c>
      <c r="X345" s="1550">
        <f>W345+ARBETSBLAD!X155</f>
        <v>0</v>
      </c>
      <c r="Y345" s="1550">
        <f>X345+ARBETSBLAD!Y155</f>
        <v>0</v>
      </c>
      <c r="Z345" s="1550">
        <f>Y345+ARBETSBLAD!Z155</f>
        <v>0</v>
      </c>
      <c r="AA345" s="1550">
        <f>Z345+ARBETSBLAD!AA155</f>
        <v>0</v>
      </c>
      <c r="AB345" s="1550">
        <f>AA345+ARBETSBLAD!AB155</f>
        <v>0</v>
      </c>
      <c r="AC345" s="1550">
        <f>AB345+ARBETSBLAD!AC155</f>
        <v>0</v>
      </c>
      <c r="AD345" s="1550">
        <f>AC345+ARBETSBLAD!AD155</f>
        <v>0</v>
      </c>
      <c r="AE345" s="1550">
        <f>AD345+ARBETSBLAD!AE155</f>
        <v>0</v>
      </c>
      <c r="AF345" s="1550">
        <f>AE345+ARBETSBLAD!AF155</f>
        <v>0</v>
      </c>
      <c r="AH345" s="1544">
        <f>IF($C$57=1,T345,IF($C$57=2,AF345))</f>
        <v>0</v>
      </c>
      <c r="AI345" s="434"/>
      <c r="AJ345" s="1545">
        <f>IF($C$57=1,AF345,0)</f>
        <v>0</v>
      </c>
      <c r="AL345" s="1290"/>
      <c r="AM345" s="1315"/>
      <c r="AN345" s="1315"/>
    </row>
    <row r="346" spans="1:40" s="1277" customFormat="1" ht="13.8" hidden="1">
      <c r="A346" s="1270"/>
      <c r="B346" s="1549" t="s">
        <v>310</v>
      </c>
      <c r="C346" s="1551"/>
      <c r="D346" s="1552"/>
      <c r="E346" s="1553"/>
      <c r="F346" s="1552"/>
      <c r="G346" s="1554"/>
      <c r="H346" s="1555">
        <f>N326+N328-O330</f>
        <v>0</v>
      </c>
      <c r="I346" s="1556">
        <f t="shared" ref="I346:AF346" si="95">I344+I345</f>
        <v>0</v>
      </c>
      <c r="J346" s="1556">
        <f t="shared" si="95"/>
        <v>0</v>
      </c>
      <c r="K346" s="1556">
        <f t="shared" si="95"/>
        <v>0</v>
      </c>
      <c r="L346" s="1556">
        <f t="shared" si="95"/>
        <v>0</v>
      </c>
      <c r="M346" s="1556">
        <f t="shared" si="95"/>
        <v>0</v>
      </c>
      <c r="N346" s="1556">
        <f t="shared" si="95"/>
        <v>0</v>
      </c>
      <c r="O346" s="1556">
        <f t="shared" si="95"/>
        <v>0</v>
      </c>
      <c r="P346" s="1556">
        <f t="shared" si="95"/>
        <v>0</v>
      </c>
      <c r="Q346" s="1556">
        <f t="shared" si="95"/>
        <v>0</v>
      </c>
      <c r="R346" s="1556">
        <f t="shared" si="95"/>
        <v>0</v>
      </c>
      <c r="S346" s="1556">
        <f t="shared" si="95"/>
        <v>0</v>
      </c>
      <c r="T346" s="1556">
        <f t="shared" si="95"/>
        <v>0</v>
      </c>
      <c r="U346" s="1556">
        <f t="shared" si="95"/>
        <v>0</v>
      </c>
      <c r="V346" s="1556">
        <f t="shared" si="95"/>
        <v>0</v>
      </c>
      <c r="W346" s="1556">
        <f t="shared" si="95"/>
        <v>0</v>
      </c>
      <c r="X346" s="1556">
        <f t="shared" si="95"/>
        <v>0</v>
      </c>
      <c r="Y346" s="1556">
        <f t="shared" si="95"/>
        <v>0</v>
      </c>
      <c r="Z346" s="1556">
        <f t="shared" si="95"/>
        <v>0</v>
      </c>
      <c r="AA346" s="1556">
        <f t="shared" si="95"/>
        <v>0</v>
      </c>
      <c r="AB346" s="1556">
        <f t="shared" si="95"/>
        <v>0</v>
      </c>
      <c r="AC346" s="1556">
        <f t="shared" si="95"/>
        <v>0</v>
      </c>
      <c r="AD346" s="1556">
        <f t="shared" si="95"/>
        <v>0</v>
      </c>
      <c r="AE346" s="1556">
        <f t="shared" si="95"/>
        <v>0</v>
      </c>
      <c r="AF346" s="1556">
        <f t="shared" si="95"/>
        <v>0</v>
      </c>
      <c r="AG346" s="115"/>
      <c r="AH346" s="1544">
        <f>IF($C$57=1,T346,IF($C$57=2,AF346))</f>
        <v>0</v>
      </c>
      <c r="AI346" s="434"/>
      <c r="AJ346" s="1545">
        <f>IF($C$57=1,AF346,0)</f>
        <v>0</v>
      </c>
      <c r="AL346" s="1558"/>
      <c r="AM346" s="1554"/>
      <c r="AN346" s="1554"/>
    </row>
    <row r="347" spans="1:40" s="1277" customFormat="1" ht="13.8" hidden="1">
      <c r="A347" s="1270"/>
      <c r="B347" s="1559" t="s">
        <v>1145</v>
      </c>
      <c r="C347" s="1290"/>
      <c r="D347" s="1554"/>
      <c r="E347" s="1558"/>
      <c r="F347" s="1554"/>
      <c r="G347" s="1554"/>
      <c r="H347" s="2197"/>
      <c r="I347" s="2515">
        <f>ARBETSBLAD!I305</f>
        <v>0</v>
      </c>
      <c r="J347" s="2515">
        <f>ARBETSBLAD!J305</f>
        <v>0</v>
      </c>
      <c r="K347" s="2515">
        <f>ARBETSBLAD!K305</f>
        <v>0</v>
      </c>
      <c r="L347" s="2515">
        <f>ARBETSBLAD!L305</f>
        <v>0</v>
      </c>
      <c r="M347" s="2515">
        <f>ARBETSBLAD!M305</f>
        <v>0</v>
      </c>
      <c r="N347" s="2515">
        <f>ARBETSBLAD!N305</f>
        <v>0</v>
      </c>
      <c r="O347" s="2515">
        <f>ARBETSBLAD!O305</f>
        <v>0</v>
      </c>
      <c r="P347" s="2515">
        <f>ARBETSBLAD!P305</f>
        <v>0</v>
      </c>
      <c r="Q347" s="2515">
        <f>ARBETSBLAD!Q305</f>
        <v>0</v>
      </c>
      <c r="R347" s="2515">
        <f>ARBETSBLAD!R305</f>
        <v>0</v>
      </c>
      <c r="S347" s="2515">
        <f>ARBETSBLAD!S305</f>
        <v>0</v>
      </c>
      <c r="T347" s="2515">
        <f>ARBETSBLAD!T305</f>
        <v>0</v>
      </c>
      <c r="U347" s="2515">
        <f>ARBETSBLAD!U305</f>
        <v>0</v>
      </c>
      <c r="V347" s="2515">
        <f>ARBETSBLAD!V305</f>
        <v>0</v>
      </c>
      <c r="W347" s="2515">
        <f>ARBETSBLAD!W305</f>
        <v>0</v>
      </c>
      <c r="X347" s="2515">
        <f>ARBETSBLAD!X305</f>
        <v>0</v>
      </c>
      <c r="Y347" s="2515">
        <f>ARBETSBLAD!Y305</f>
        <v>0</v>
      </c>
      <c r="Z347" s="2515">
        <f>ARBETSBLAD!Z305</f>
        <v>0</v>
      </c>
      <c r="AA347" s="2515">
        <f>ARBETSBLAD!AA305</f>
        <v>0</v>
      </c>
      <c r="AB347" s="2515">
        <f>ARBETSBLAD!AB305</f>
        <v>0</v>
      </c>
      <c r="AC347" s="2515">
        <f>ARBETSBLAD!AC305</f>
        <v>0</v>
      </c>
      <c r="AD347" s="2515">
        <f>ARBETSBLAD!AD305</f>
        <v>0</v>
      </c>
      <c r="AE347" s="2515">
        <f>ARBETSBLAD!AE305</f>
        <v>0</v>
      </c>
      <c r="AF347" s="2515">
        <f>ARBETSBLAD!AF305</f>
        <v>0</v>
      </c>
      <c r="AG347" s="115"/>
      <c r="AH347" s="1557"/>
      <c r="AI347" s="1494"/>
      <c r="AJ347" s="1494"/>
      <c r="AL347" s="1558"/>
      <c r="AM347" s="1554"/>
      <c r="AN347" s="1554"/>
    </row>
    <row r="348" spans="1:40" s="1277" customFormat="1" ht="13.8" hidden="1">
      <c r="A348" s="1270"/>
      <c r="B348" s="2514" t="s">
        <v>1365</v>
      </c>
      <c r="C348" s="1560"/>
      <c r="D348" s="1560"/>
      <c r="E348" s="1560"/>
      <c r="F348" s="1485"/>
      <c r="G348" s="1485"/>
      <c r="H348" s="115"/>
      <c r="I348" s="2516">
        <f>ARBETSBLAD!I312</f>
        <v>0</v>
      </c>
      <c r="J348" s="2516">
        <f>ARBETSBLAD!J312</f>
        <v>0</v>
      </c>
      <c r="K348" s="2516">
        <f>ARBETSBLAD!K312</f>
        <v>0</v>
      </c>
      <c r="L348" s="2516">
        <f>ARBETSBLAD!L312</f>
        <v>0</v>
      </c>
      <c r="M348" s="2516">
        <f>ARBETSBLAD!M312</f>
        <v>0</v>
      </c>
      <c r="N348" s="2516">
        <f>ARBETSBLAD!N312</f>
        <v>0</v>
      </c>
      <c r="O348" s="2516">
        <f>ARBETSBLAD!O312</f>
        <v>0</v>
      </c>
      <c r="P348" s="2516">
        <f>ARBETSBLAD!P312</f>
        <v>0</v>
      </c>
      <c r="Q348" s="2516">
        <f>ARBETSBLAD!Q312</f>
        <v>0</v>
      </c>
      <c r="R348" s="2516">
        <f>ARBETSBLAD!R312</f>
        <v>0</v>
      </c>
      <c r="S348" s="2516">
        <f>ARBETSBLAD!S312</f>
        <v>0</v>
      </c>
      <c r="T348" s="2516">
        <f>ARBETSBLAD!T312</f>
        <v>0</v>
      </c>
      <c r="U348" s="2516">
        <f>ARBETSBLAD!U312</f>
        <v>0</v>
      </c>
      <c r="V348" s="2516">
        <f>ARBETSBLAD!V312</f>
        <v>0</v>
      </c>
      <c r="W348" s="2516">
        <f>ARBETSBLAD!W312</f>
        <v>0</v>
      </c>
      <c r="X348" s="2516">
        <f>ARBETSBLAD!X312</f>
        <v>0</v>
      </c>
      <c r="Y348" s="2516">
        <f>ARBETSBLAD!Y312</f>
        <v>0</v>
      </c>
      <c r="Z348" s="2516">
        <f>ARBETSBLAD!Z312</f>
        <v>0</v>
      </c>
      <c r="AA348" s="2516">
        <f>ARBETSBLAD!AA312</f>
        <v>0</v>
      </c>
      <c r="AB348" s="2516">
        <f>ARBETSBLAD!AB312</f>
        <v>0</v>
      </c>
      <c r="AC348" s="2516">
        <f>ARBETSBLAD!AC312</f>
        <v>0</v>
      </c>
      <c r="AD348" s="2516">
        <f>ARBETSBLAD!AD312</f>
        <v>0</v>
      </c>
      <c r="AE348" s="2516">
        <f>ARBETSBLAD!AE312</f>
        <v>0</v>
      </c>
      <c r="AF348" s="2516">
        <f>ARBETSBLAD!AF312</f>
        <v>0</v>
      </c>
      <c r="AG348" s="115"/>
      <c r="AH348" s="1557"/>
      <c r="AI348" s="1494"/>
      <c r="AJ348" s="1494"/>
      <c r="AL348" s="1558"/>
      <c r="AM348" s="1554"/>
      <c r="AN348" s="1554"/>
    </row>
    <row r="349" spans="1:40" s="1277" customFormat="1" ht="13.8" hidden="1">
      <c r="A349" s="1270"/>
      <c r="B349" s="1559" t="s">
        <v>1146</v>
      </c>
      <c r="C349" s="1290"/>
      <c r="D349" s="1554"/>
      <c r="E349" s="1558"/>
      <c r="F349" s="1554"/>
      <c r="G349" s="1554"/>
      <c r="H349" s="2197"/>
      <c r="I349" s="2515">
        <f>I57*SUMPRODUCT(ARBETSBLAD!$AH139:$AH153,ARBETSBLAD!I139:I153)/12</f>
        <v>0</v>
      </c>
      <c r="J349" s="2515">
        <f>J57*SUMPRODUCT(ARBETSBLAD!$AH139:$AH153,ARBETSBLAD!J139:J153)/12</f>
        <v>0</v>
      </c>
      <c r="K349" s="2515">
        <f>K57*SUMPRODUCT(ARBETSBLAD!$AH139:$AH153,ARBETSBLAD!K139:K153)/12</f>
        <v>0</v>
      </c>
      <c r="L349" s="2515">
        <f>L57*SUMPRODUCT(ARBETSBLAD!$AH139:$AH153,ARBETSBLAD!L139:L153)/12</f>
        <v>0</v>
      </c>
      <c r="M349" s="2515">
        <f>M57*SUMPRODUCT(ARBETSBLAD!$AH139:$AH153,ARBETSBLAD!M139:M153)/12</f>
        <v>0</v>
      </c>
      <c r="N349" s="2515">
        <f>N57*SUMPRODUCT(ARBETSBLAD!$AH139:$AH153,ARBETSBLAD!N139:N153)/12</f>
        <v>0</v>
      </c>
      <c r="O349" s="2515">
        <f>O57*SUMPRODUCT(ARBETSBLAD!$AH139:$AH153,ARBETSBLAD!O139:O153)/12</f>
        <v>0</v>
      </c>
      <c r="P349" s="2515">
        <f>P57*SUMPRODUCT(ARBETSBLAD!$AH139:$AH153,ARBETSBLAD!P139:P153)/12</f>
        <v>0</v>
      </c>
      <c r="Q349" s="2515">
        <f>Q57*SUMPRODUCT(ARBETSBLAD!$AH139:$AH153,ARBETSBLAD!Q139:Q153)/12</f>
        <v>0</v>
      </c>
      <c r="R349" s="2515">
        <f>R57*SUMPRODUCT(ARBETSBLAD!$AH139:$AH153,ARBETSBLAD!R139:R153)/12</f>
        <v>0</v>
      </c>
      <c r="S349" s="2515">
        <f>S57*SUMPRODUCT(ARBETSBLAD!$AH139:$AH153,ARBETSBLAD!S139:S153)/12</f>
        <v>0</v>
      </c>
      <c r="T349" s="2515">
        <f>T57*SUMPRODUCT(ARBETSBLAD!$AH139:$AH153,ARBETSBLAD!T139:T153)/12</f>
        <v>0</v>
      </c>
      <c r="U349" s="2515">
        <f>U57*SUMPRODUCT(ARBETSBLAD!$AH139:$AH153,ARBETSBLAD!U139:U153)/12</f>
        <v>0</v>
      </c>
      <c r="V349" s="2515">
        <f>V57*SUMPRODUCT(ARBETSBLAD!$AH139:$AH153,ARBETSBLAD!V139:V153)/12</f>
        <v>0</v>
      </c>
      <c r="W349" s="2515">
        <f>W57*SUMPRODUCT(ARBETSBLAD!$AH139:$AH153,ARBETSBLAD!W139:W153)/12</f>
        <v>0</v>
      </c>
      <c r="X349" s="2515">
        <f>X57*SUMPRODUCT(ARBETSBLAD!$AH139:$AH153,ARBETSBLAD!X139:X153)/12</f>
        <v>0</v>
      </c>
      <c r="Y349" s="2515">
        <f>Y57*SUMPRODUCT(ARBETSBLAD!$AH139:$AH153,ARBETSBLAD!Y139:Y153)/12</f>
        <v>0</v>
      </c>
      <c r="Z349" s="2515">
        <f>Z57*SUMPRODUCT(ARBETSBLAD!$AH139:$AH153,ARBETSBLAD!Z139:Z153)/12</f>
        <v>0</v>
      </c>
      <c r="AA349" s="2515">
        <f>AA57*SUMPRODUCT(ARBETSBLAD!$AH139:$AH153,ARBETSBLAD!AA139:AA153)/12</f>
        <v>0</v>
      </c>
      <c r="AB349" s="2515">
        <f>AB57*SUMPRODUCT(ARBETSBLAD!$AH139:$AH153,ARBETSBLAD!AB139:AB153)/12</f>
        <v>0</v>
      </c>
      <c r="AC349" s="2515">
        <f>AC57*SUMPRODUCT(ARBETSBLAD!$AH139:$AH153,ARBETSBLAD!AC139:AC153)/12</f>
        <v>0</v>
      </c>
      <c r="AD349" s="2515">
        <f>AD57*SUMPRODUCT(ARBETSBLAD!$AH139:$AH153,ARBETSBLAD!AD139:AD153)/12</f>
        <v>0</v>
      </c>
      <c r="AE349" s="2515">
        <f>AE57*SUMPRODUCT(ARBETSBLAD!$AH139:$AH153,ARBETSBLAD!AE139:AE153)/12</f>
        <v>0</v>
      </c>
      <c r="AF349" s="2515">
        <f>AF57*SUMPRODUCT(ARBETSBLAD!$AH139:$AH153,ARBETSBLAD!AF139:AF153)/12</f>
        <v>0</v>
      </c>
      <c r="AG349" s="115"/>
      <c r="AH349" s="1557"/>
      <c r="AI349" s="1494"/>
      <c r="AJ349" s="1494"/>
      <c r="AL349" s="1558"/>
      <c r="AM349" s="1554"/>
      <c r="AN349" s="1554"/>
    </row>
    <row r="350" spans="1:40" s="1277" customFormat="1" ht="13.8" hidden="1">
      <c r="A350" s="1270"/>
      <c r="B350" s="1559" t="s">
        <v>1364</v>
      </c>
      <c r="C350" s="1560"/>
      <c r="D350" s="1560"/>
      <c r="E350" s="1560"/>
      <c r="F350" s="1485"/>
      <c r="G350" s="1485"/>
      <c r="H350" s="115"/>
      <c r="I350" s="2516">
        <f>I57*(ARBETSBLAD!I155*ARBETSBLAD!$AH$155/12)</f>
        <v>0</v>
      </c>
      <c r="J350" s="2516">
        <f>J57*(ARBETSBLAD!J155*ARBETSBLAD!$AH$155/12)</f>
        <v>0</v>
      </c>
      <c r="K350" s="2516">
        <f>K57*(ARBETSBLAD!K155*ARBETSBLAD!$AH$155/12)</f>
        <v>0</v>
      </c>
      <c r="L350" s="2516">
        <f>L57*(ARBETSBLAD!L155*ARBETSBLAD!$AH$155/12)</f>
        <v>0</v>
      </c>
      <c r="M350" s="2516">
        <f>M57*(ARBETSBLAD!M155*ARBETSBLAD!$AH$155/12)</f>
        <v>0</v>
      </c>
      <c r="N350" s="2516">
        <f>N57*(ARBETSBLAD!N155*ARBETSBLAD!$AH$155/12)</f>
        <v>0</v>
      </c>
      <c r="O350" s="2516">
        <f>O57*(ARBETSBLAD!O155*ARBETSBLAD!$AH$155/12)</f>
        <v>0</v>
      </c>
      <c r="P350" s="2516">
        <f>P57*(ARBETSBLAD!P155*ARBETSBLAD!$AH$155/12)</f>
        <v>0</v>
      </c>
      <c r="Q350" s="2516">
        <f>Q57*(ARBETSBLAD!Q155*ARBETSBLAD!$AH$155/12)</f>
        <v>0</v>
      </c>
      <c r="R350" s="2516">
        <f>R57*(ARBETSBLAD!R155*ARBETSBLAD!$AH$155/12)</f>
        <v>0</v>
      </c>
      <c r="S350" s="2516">
        <f>S57*(ARBETSBLAD!S155*ARBETSBLAD!$AH$155/12)</f>
        <v>0</v>
      </c>
      <c r="T350" s="2516">
        <f>T57*(ARBETSBLAD!T155*ARBETSBLAD!$AH$155/12)</f>
        <v>0</v>
      </c>
      <c r="U350" s="2516">
        <f>U57*(ARBETSBLAD!U155*ARBETSBLAD!$AH$155/12)</f>
        <v>0</v>
      </c>
      <c r="V350" s="2516">
        <f>V57*(ARBETSBLAD!V155*ARBETSBLAD!$AH$155/12)</f>
        <v>0</v>
      </c>
      <c r="W350" s="2516">
        <f>W57*(ARBETSBLAD!W155*ARBETSBLAD!$AH$155/12)</f>
        <v>0</v>
      </c>
      <c r="X350" s="2516">
        <f>X57*(ARBETSBLAD!X155*ARBETSBLAD!$AH$155/12)</f>
        <v>0</v>
      </c>
      <c r="Y350" s="2516">
        <f>Y57*(ARBETSBLAD!Y155*ARBETSBLAD!$AH$155/12)</f>
        <v>0</v>
      </c>
      <c r="Z350" s="2516">
        <f>Z57*(ARBETSBLAD!Z155*ARBETSBLAD!$AH$155/12)</f>
        <v>0</v>
      </c>
      <c r="AA350" s="2516">
        <f>AA57*(ARBETSBLAD!AA155*ARBETSBLAD!$AH$155/12)</f>
        <v>0</v>
      </c>
      <c r="AB350" s="2516">
        <f>AB57*(ARBETSBLAD!AB155*ARBETSBLAD!$AH$155/12)</f>
        <v>0</v>
      </c>
      <c r="AC350" s="2516">
        <f>AC57*(ARBETSBLAD!AC155*ARBETSBLAD!$AH$155/12)</f>
        <v>0</v>
      </c>
      <c r="AD350" s="2516">
        <f>AD57*(ARBETSBLAD!AD155*ARBETSBLAD!$AH$155/12)</f>
        <v>0</v>
      </c>
      <c r="AE350" s="2516">
        <f>AE57*(ARBETSBLAD!AE155*ARBETSBLAD!$AH$155/12)</f>
        <v>0</v>
      </c>
      <c r="AF350" s="2516">
        <f>AF57*(ARBETSBLAD!AF155*ARBETSBLAD!$AH$155/12)</f>
        <v>0</v>
      </c>
      <c r="AG350" s="115"/>
      <c r="AH350" s="1557"/>
      <c r="AI350" s="1494"/>
      <c r="AJ350" s="1494"/>
      <c r="AL350" s="1558"/>
      <c r="AM350" s="1554"/>
      <c r="AN350" s="1554"/>
    </row>
    <row r="351" spans="1:40" s="115" customFormat="1" ht="13.8" hidden="1">
      <c r="A351" s="1270"/>
      <c r="B351" s="1559" t="s">
        <v>1370</v>
      </c>
      <c r="C351" s="1560"/>
      <c r="D351" s="1560"/>
      <c r="E351" s="1560"/>
      <c r="F351" s="1485"/>
      <c r="G351" s="1485"/>
      <c r="I351" s="2515">
        <f>I347+I349+ARBETSBLAD!I289*I57</f>
        <v>0</v>
      </c>
      <c r="J351" s="2515">
        <f>J347+SUM($I349:J349)+ARBETSBLAD!I289*I57</f>
        <v>0</v>
      </c>
      <c r="K351" s="2515">
        <f>K347+SUM($I349:K349)+ARBETSBLAD!J289*J57</f>
        <v>0</v>
      </c>
      <c r="L351" s="2515">
        <f>L347+SUM($I349:L349)+ARBETSBLAD!K289*K57</f>
        <v>0</v>
      </c>
      <c r="M351" s="2515">
        <f>M347+SUM($I349:M349)+ARBETSBLAD!L289*L57</f>
        <v>0</v>
      </c>
      <c r="N351" s="2515">
        <f>N347+SUM($I349:N349)+ARBETSBLAD!M289*M57</f>
        <v>0</v>
      </c>
      <c r="O351" s="2515">
        <f>O347+SUM($I349:O349)+ARBETSBLAD!N289*N57</f>
        <v>0</v>
      </c>
      <c r="P351" s="2515">
        <f>P347+SUM($I349:P349)+ARBETSBLAD!O289*O57</f>
        <v>0</v>
      </c>
      <c r="Q351" s="2515">
        <f>Q347+SUM($I349:Q349)+ARBETSBLAD!P289*P57</f>
        <v>0</v>
      </c>
      <c r="R351" s="2515">
        <f>R347+SUM($I349:R349)+ARBETSBLAD!Q289*Q57</f>
        <v>0</v>
      </c>
      <c r="S351" s="2515">
        <f>S347+SUM($I349:S349)+ARBETSBLAD!R289*R57</f>
        <v>0</v>
      </c>
      <c r="T351" s="2515">
        <f>T347+SUM($I349:T349)+ARBETSBLAD!S289*S57</f>
        <v>0</v>
      </c>
      <c r="U351" s="2515">
        <f>U347+SUM($I349:U349)+ARBETSBLAD!T289*T57</f>
        <v>0</v>
      </c>
      <c r="V351" s="2515">
        <f>V347+SUM($I349:V349)+ARBETSBLAD!U289*U57</f>
        <v>0</v>
      </c>
      <c r="W351" s="2515">
        <f>W347+SUM($I349:W349)+ARBETSBLAD!V289*V57</f>
        <v>0</v>
      </c>
      <c r="X351" s="2515">
        <f>X347+SUM($I349:X349)+ARBETSBLAD!W289*W57</f>
        <v>0</v>
      </c>
      <c r="Y351" s="2515">
        <f>Y347+SUM($I349:Y349)+ARBETSBLAD!X289*X57</f>
        <v>0</v>
      </c>
      <c r="Z351" s="2515">
        <f>Z347+SUM($I349:Z349)+ARBETSBLAD!Y289*Y57</f>
        <v>0</v>
      </c>
      <c r="AA351" s="2515">
        <f>AA347+SUM($I349:AA349)+ARBETSBLAD!Z289*Z57</f>
        <v>0</v>
      </c>
      <c r="AB351" s="2515">
        <f>AB347+SUM($I349:AB349)+ARBETSBLAD!AA289*AA57</f>
        <v>0</v>
      </c>
      <c r="AC351" s="2515">
        <f>AC347+SUM($I349:AC349)+ARBETSBLAD!AB289*AB57</f>
        <v>0</v>
      </c>
      <c r="AD351" s="2515">
        <f>AD347+SUM($I349:AD349)+ARBETSBLAD!AC289*AC57</f>
        <v>0</v>
      </c>
      <c r="AE351" s="2515">
        <f>AE347+SUM($I349:AE349)+ARBETSBLAD!AD289*AD57</f>
        <v>0</v>
      </c>
      <c r="AF351" s="2515">
        <f>AF347+SUM($I349:AF349)+ARBETSBLAD!AE289*AE57</f>
        <v>0</v>
      </c>
      <c r="AH351" s="1283"/>
      <c r="AI351" s="1283"/>
      <c r="AJ351" s="1283"/>
      <c r="AL351" s="1562"/>
      <c r="AM351" s="1486"/>
      <c r="AN351" s="1486"/>
    </row>
    <row r="352" spans="1:40" s="115" customFormat="1" ht="13.8" hidden="1">
      <c r="A352" s="1270"/>
      <c r="B352" s="2514" t="s">
        <v>1371</v>
      </c>
      <c r="C352" s="1560"/>
      <c r="D352" s="1560"/>
      <c r="E352" s="1560"/>
      <c r="F352" s="1485"/>
      <c r="G352" s="1485"/>
      <c r="I352" s="2516">
        <f>I348+I350</f>
        <v>0</v>
      </c>
      <c r="J352" s="2516">
        <f>J348+SUM($I350:J350)</f>
        <v>0</v>
      </c>
      <c r="K352" s="2516">
        <f>K348+SUM($I350:K350)</f>
        <v>0</v>
      </c>
      <c r="L352" s="2516">
        <f>L348+SUM($I350:L350)</f>
        <v>0</v>
      </c>
      <c r="M352" s="2516">
        <f>M348+SUM($I350:M350)</f>
        <v>0</v>
      </c>
      <c r="N352" s="2516">
        <f>N348+SUM($I350:N350)</f>
        <v>0</v>
      </c>
      <c r="O352" s="2516">
        <f>O348+SUM($I350:O350)</f>
        <v>0</v>
      </c>
      <c r="P352" s="2516">
        <f>P348+SUM($I350:P350)</f>
        <v>0</v>
      </c>
      <c r="Q352" s="2516">
        <f>Q348+SUM($I350:Q350)</f>
        <v>0</v>
      </c>
      <c r="R352" s="2516">
        <f>R348+SUM($I350:R350)</f>
        <v>0</v>
      </c>
      <c r="S352" s="2516">
        <f>S348+SUM($I350:S350)</f>
        <v>0</v>
      </c>
      <c r="T352" s="2516">
        <f>T348+SUM($I350:T350)</f>
        <v>0</v>
      </c>
      <c r="U352" s="2516">
        <f>U348+SUM($I350:U350)</f>
        <v>0</v>
      </c>
      <c r="V352" s="2516">
        <f>V348+SUM($I350:V350)</f>
        <v>0</v>
      </c>
      <c r="W352" s="2516">
        <f>W348+SUM($I350:W350)</f>
        <v>0</v>
      </c>
      <c r="X352" s="2516">
        <f>X348+SUM($I350:X350)</f>
        <v>0</v>
      </c>
      <c r="Y352" s="2516">
        <f>Y348+SUM($I350:Y350)</f>
        <v>0</v>
      </c>
      <c r="Z352" s="2516">
        <f>Z348+SUM($I350:Z350)</f>
        <v>0</v>
      </c>
      <c r="AA352" s="2516">
        <f>AA348+SUM($I350:AA350)</f>
        <v>0</v>
      </c>
      <c r="AB352" s="2516">
        <f>AB348+SUM($I350:AB350)</f>
        <v>0</v>
      </c>
      <c r="AC352" s="2516">
        <f>AC348+SUM($I350:AC350)</f>
        <v>0</v>
      </c>
      <c r="AD352" s="2516">
        <f>AD348+SUM($I350:AD350)</f>
        <v>0</v>
      </c>
      <c r="AE352" s="2516">
        <f>AE348+SUM($I350:AE350)</f>
        <v>0</v>
      </c>
      <c r="AF352" s="2516">
        <f>AF348+SUM($I350:AF350)</f>
        <v>0</v>
      </c>
      <c r="AH352" s="1283"/>
      <c r="AI352" s="1283"/>
      <c r="AJ352" s="1283"/>
      <c r="AL352" s="1562"/>
      <c r="AM352" s="1486"/>
      <c r="AN352" s="1486"/>
    </row>
    <row r="353" spans="1:40" s="115" customFormat="1" ht="13.8" hidden="1">
      <c r="A353" s="1270"/>
      <c r="B353" s="1559" t="s">
        <v>334</v>
      </c>
      <c r="C353" s="1560"/>
      <c r="D353" s="1560"/>
      <c r="E353" s="1560"/>
      <c r="F353" s="1485"/>
      <c r="G353" s="1485"/>
      <c r="I353" s="1678">
        <f>I344-SUM($I351:I351)</f>
        <v>0</v>
      </c>
      <c r="J353" s="1678">
        <f>J344-SUM($I351:J351)</f>
        <v>0</v>
      </c>
      <c r="K353" s="1678">
        <f>K344-SUM($I351:K351)</f>
        <v>0</v>
      </c>
      <c r="L353" s="1678">
        <f>L344-SUM($I351:L351)</f>
        <v>0</v>
      </c>
      <c r="M353" s="1678">
        <f>M344-SUM($I351:M351)</f>
        <v>0</v>
      </c>
      <c r="N353" s="1678">
        <f>N344-SUM($I351:N351)</f>
        <v>0</v>
      </c>
      <c r="O353" s="1678">
        <f>O344-SUM($I351:O351)</f>
        <v>0</v>
      </c>
      <c r="P353" s="1678">
        <f>P344-SUM($I351:P351)</f>
        <v>0</v>
      </c>
      <c r="Q353" s="1678">
        <f>Q344-SUM($I351:Q351)</f>
        <v>0</v>
      </c>
      <c r="R353" s="1678">
        <f>R344-SUM($I351:R351)</f>
        <v>0</v>
      </c>
      <c r="S353" s="1678">
        <f>S344-SUM($I351:S351)</f>
        <v>0</v>
      </c>
      <c r="T353" s="1678">
        <f>T344-SUM($I351:T351)</f>
        <v>0</v>
      </c>
      <c r="U353" s="1678">
        <f>U344-SUM($I351:U351)</f>
        <v>0</v>
      </c>
      <c r="V353" s="1678">
        <f>V344-SUM($I351:V351)</f>
        <v>0</v>
      </c>
      <c r="W353" s="1678">
        <f>W344-SUM($I351:W351)</f>
        <v>0</v>
      </c>
      <c r="X353" s="1678">
        <f>X344-SUM($I351:X351)</f>
        <v>0</v>
      </c>
      <c r="Y353" s="1678">
        <f>Y344-SUM($I351:Y351)</f>
        <v>0</v>
      </c>
      <c r="Z353" s="1678">
        <f>Z344-SUM($I351:Z351)</f>
        <v>0</v>
      </c>
      <c r="AA353" s="1678">
        <f>AA344-SUM($I351:AA351)</f>
        <v>0</v>
      </c>
      <c r="AB353" s="1678">
        <f>AB344-SUM($I351:AB351)</f>
        <v>0</v>
      </c>
      <c r="AC353" s="1678">
        <f>AC344-SUM($I351:AC351)</f>
        <v>0</v>
      </c>
      <c r="AD353" s="1678">
        <f>AD344-SUM($I351:AD351)</f>
        <v>0</v>
      </c>
      <c r="AE353" s="1678">
        <f>AE344-SUM($I351:AE351)</f>
        <v>0</v>
      </c>
      <c r="AF353" s="1678">
        <f>AF344-SUM($I351:AF351)</f>
        <v>0</v>
      </c>
      <c r="AH353" s="1283"/>
      <c r="AI353" s="1283"/>
      <c r="AJ353" s="1283"/>
      <c r="AL353" s="1562"/>
      <c r="AM353" s="1486"/>
      <c r="AN353" s="1486"/>
    </row>
    <row r="354" spans="1:40" s="115" customFormat="1" ht="13.8" hidden="1">
      <c r="A354" s="1270"/>
      <c r="B354" s="1559" t="s">
        <v>1368</v>
      </c>
      <c r="C354" s="1560"/>
      <c r="D354" s="1560"/>
      <c r="E354" s="1560"/>
      <c r="F354" s="1485"/>
      <c r="G354" s="1485"/>
      <c r="I354" s="1678">
        <f>I345-SUM($I352:I352)</f>
        <v>0</v>
      </c>
      <c r="J354" s="1678">
        <f>J345-SUM($I352:J352)</f>
        <v>0</v>
      </c>
      <c r="K354" s="1678">
        <f>K345-SUM($I352:K352)</f>
        <v>0</v>
      </c>
      <c r="L354" s="1678">
        <f>L345-SUM($I352:L352)</f>
        <v>0</v>
      </c>
      <c r="M354" s="1678">
        <f>M345-SUM($I352:M352)</f>
        <v>0</v>
      </c>
      <c r="N354" s="1678">
        <f>N345-SUM($I352:N352)</f>
        <v>0</v>
      </c>
      <c r="O354" s="1678">
        <f>O345-SUM($I352:O352)</f>
        <v>0</v>
      </c>
      <c r="P354" s="1678">
        <f>P345-SUM($I352:P352)</f>
        <v>0</v>
      </c>
      <c r="Q354" s="1678">
        <f>Q345-SUM($I352:Q352)</f>
        <v>0</v>
      </c>
      <c r="R354" s="1678">
        <f>R345-SUM($I352:R352)</f>
        <v>0</v>
      </c>
      <c r="S354" s="1678">
        <f>S345-SUM($I352:S352)</f>
        <v>0</v>
      </c>
      <c r="T354" s="1678">
        <f>T345-SUM($I352:T352)</f>
        <v>0</v>
      </c>
      <c r="U354" s="1678">
        <f>U345-SUM($I352:U352)</f>
        <v>0</v>
      </c>
      <c r="V354" s="1678">
        <f>V345-SUM($I352:V352)</f>
        <v>0</v>
      </c>
      <c r="W354" s="1678">
        <f>W345-SUM($I352:W352)</f>
        <v>0</v>
      </c>
      <c r="X354" s="1678">
        <f>X345-SUM($I352:X352)</f>
        <v>0</v>
      </c>
      <c r="Y354" s="1678">
        <f>Y345-SUM($I352:Y352)</f>
        <v>0</v>
      </c>
      <c r="Z354" s="1678">
        <f>Z345-SUM($I352:Z352)</f>
        <v>0</v>
      </c>
      <c r="AA354" s="1678">
        <f>AA345-SUM($I352:AA352)</f>
        <v>0</v>
      </c>
      <c r="AB354" s="1678">
        <f>AB345-SUM($I352:AB352)</f>
        <v>0</v>
      </c>
      <c r="AC354" s="1678">
        <f>AC345-SUM($I352:AC352)</f>
        <v>0</v>
      </c>
      <c r="AD354" s="1678">
        <f>AD345-SUM($I352:AD352)</f>
        <v>0</v>
      </c>
      <c r="AE354" s="1678">
        <f>AE345-SUM($I352:AE352)</f>
        <v>0</v>
      </c>
      <c r="AF354" s="1678">
        <f>AF345-SUM($I352:AF352)</f>
        <v>0</v>
      </c>
      <c r="AH354" s="1283"/>
      <c r="AI354" s="1283"/>
      <c r="AJ354" s="1283"/>
      <c r="AL354" s="1562"/>
      <c r="AM354" s="1486"/>
      <c r="AN354" s="1486"/>
    </row>
    <row r="355" spans="1:40" s="115" customFormat="1" ht="13.8" hidden="1">
      <c r="A355" s="1270"/>
      <c r="B355" s="1559" t="s">
        <v>311</v>
      </c>
      <c r="I355" s="1561">
        <f t="shared" ref="I355:AF355" si="96">SUM(I353:I354)</f>
        <v>0</v>
      </c>
      <c r="J355" s="1561">
        <f t="shared" si="96"/>
        <v>0</v>
      </c>
      <c r="K355" s="1561">
        <f t="shared" si="96"/>
        <v>0</v>
      </c>
      <c r="L355" s="1561">
        <f t="shared" si="96"/>
        <v>0</v>
      </c>
      <c r="M355" s="1561">
        <f t="shared" si="96"/>
        <v>0</v>
      </c>
      <c r="N355" s="1561">
        <f t="shared" si="96"/>
        <v>0</v>
      </c>
      <c r="O355" s="1561">
        <f t="shared" si="96"/>
        <v>0</v>
      </c>
      <c r="P355" s="1561">
        <f t="shared" si="96"/>
        <v>0</v>
      </c>
      <c r="Q355" s="1561">
        <f t="shared" si="96"/>
        <v>0</v>
      </c>
      <c r="R355" s="1561">
        <f t="shared" si="96"/>
        <v>0</v>
      </c>
      <c r="S355" s="1561">
        <f t="shared" si="96"/>
        <v>0</v>
      </c>
      <c r="T355" s="1561">
        <f t="shared" si="96"/>
        <v>0</v>
      </c>
      <c r="U355" s="1561">
        <f t="shared" si="96"/>
        <v>0</v>
      </c>
      <c r="V355" s="1561">
        <f t="shared" si="96"/>
        <v>0</v>
      </c>
      <c r="W355" s="1561">
        <f t="shared" si="96"/>
        <v>0</v>
      </c>
      <c r="X355" s="1561">
        <f t="shared" si="96"/>
        <v>0</v>
      </c>
      <c r="Y355" s="1561">
        <f t="shared" si="96"/>
        <v>0</v>
      </c>
      <c r="Z355" s="1561">
        <f t="shared" si="96"/>
        <v>0</v>
      </c>
      <c r="AA355" s="1561">
        <f t="shared" si="96"/>
        <v>0</v>
      </c>
      <c r="AB355" s="1561">
        <f t="shared" si="96"/>
        <v>0</v>
      </c>
      <c r="AC355" s="1561">
        <f t="shared" si="96"/>
        <v>0</v>
      </c>
      <c r="AD355" s="1561">
        <f t="shared" si="96"/>
        <v>0</v>
      </c>
      <c r="AE355" s="1561">
        <f t="shared" si="96"/>
        <v>0</v>
      </c>
      <c r="AF355" s="1561">
        <f t="shared" si="96"/>
        <v>0</v>
      </c>
      <c r="AH355" s="1283"/>
      <c r="AI355" s="1283"/>
      <c r="AJ355" s="1283"/>
      <c r="AL355" s="1290"/>
      <c r="AM355" s="1290"/>
      <c r="AN355" s="1290"/>
    </row>
    <row r="356" spans="1:40" s="115" customFormat="1" hidden="1">
      <c r="A356" s="1270"/>
      <c r="I356" s="1563"/>
      <c r="J356" s="1563"/>
      <c r="K356" s="1563"/>
      <c r="L356" s="1563"/>
      <c r="M356" s="1563"/>
      <c r="N356" s="1563"/>
      <c r="O356" s="1563"/>
      <c r="P356" s="1563"/>
      <c r="Q356" s="1563"/>
      <c r="R356" s="1563"/>
      <c r="S356" s="1563"/>
      <c r="T356" s="454"/>
      <c r="U356" s="454"/>
      <c r="V356" s="454"/>
      <c r="W356" s="454"/>
      <c r="X356" s="454"/>
      <c r="Y356" s="454"/>
      <c r="Z356" s="454"/>
      <c r="AA356" s="454"/>
      <c r="AB356" s="454"/>
      <c r="AC356" s="454"/>
      <c r="AD356" s="454"/>
      <c r="AE356" s="454"/>
      <c r="AF356" s="454"/>
      <c r="AH356" s="1283"/>
      <c r="AI356" s="1283"/>
      <c r="AJ356" s="1283"/>
      <c r="AL356" s="1290"/>
      <c r="AM356" s="1290"/>
      <c r="AN356" s="1290"/>
    </row>
    <row r="357" spans="1:40" s="115" customFormat="1" hidden="1">
      <c r="A357" s="1270"/>
      <c r="I357" s="1479"/>
      <c r="J357" s="1479"/>
      <c r="K357" s="1479"/>
      <c r="L357" s="1479"/>
      <c r="M357" s="1479"/>
      <c r="N357" s="1479"/>
      <c r="O357" s="1479"/>
      <c r="P357" s="1479"/>
      <c r="Q357" s="1479"/>
      <c r="R357" s="1479"/>
      <c r="S357" s="1479"/>
      <c r="T357" s="1479"/>
      <c r="AH357" s="1283"/>
      <c r="AI357" s="1283"/>
      <c r="AJ357" s="1283"/>
      <c r="AL357" s="1290"/>
      <c r="AM357" s="1290"/>
      <c r="AN357" s="1290"/>
    </row>
    <row r="358" spans="1:40" s="115" customFormat="1" ht="13.8" hidden="1">
      <c r="A358" s="1270"/>
      <c r="B358" s="1559" t="s">
        <v>24</v>
      </c>
      <c r="I358" s="1332">
        <f t="shared" ref="I358:AF358" si="97">IF($C$58=1,I135,IF($C$58=2,I136))</f>
        <v>0</v>
      </c>
      <c r="J358" s="1332">
        <f t="shared" si="97"/>
        <v>0</v>
      </c>
      <c r="K358" s="1332">
        <f t="shared" si="97"/>
        <v>0</v>
      </c>
      <c r="L358" s="1332">
        <f t="shared" si="97"/>
        <v>0</v>
      </c>
      <c r="M358" s="1332">
        <f t="shared" si="97"/>
        <v>0</v>
      </c>
      <c r="N358" s="1332">
        <f t="shared" si="97"/>
        <v>0</v>
      </c>
      <c r="O358" s="1332">
        <f t="shared" si="97"/>
        <v>0</v>
      </c>
      <c r="P358" s="1332">
        <f t="shared" si="97"/>
        <v>0</v>
      </c>
      <c r="Q358" s="1332">
        <f t="shared" si="97"/>
        <v>0</v>
      </c>
      <c r="R358" s="1332">
        <f t="shared" si="97"/>
        <v>0</v>
      </c>
      <c r="S358" s="1332">
        <f t="shared" si="97"/>
        <v>0</v>
      </c>
      <c r="T358" s="1332">
        <f t="shared" si="97"/>
        <v>0</v>
      </c>
      <c r="U358" s="1332">
        <f t="shared" si="97"/>
        <v>0</v>
      </c>
      <c r="V358" s="1332">
        <f t="shared" si="97"/>
        <v>0</v>
      </c>
      <c r="W358" s="1332">
        <f t="shared" si="97"/>
        <v>0</v>
      </c>
      <c r="X358" s="1332">
        <f t="shared" si="97"/>
        <v>0</v>
      </c>
      <c r="Y358" s="1332">
        <f t="shared" si="97"/>
        <v>0</v>
      </c>
      <c r="Z358" s="1332">
        <f t="shared" si="97"/>
        <v>0</v>
      </c>
      <c r="AA358" s="1332">
        <f t="shared" si="97"/>
        <v>0</v>
      </c>
      <c r="AB358" s="1332">
        <f t="shared" si="97"/>
        <v>0</v>
      </c>
      <c r="AC358" s="1332">
        <f t="shared" si="97"/>
        <v>0</v>
      </c>
      <c r="AD358" s="1332">
        <f t="shared" si="97"/>
        <v>0</v>
      </c>
      <c r="AE358" s="1332">
        <f t="shared" si="97"/>
        <v>0</v>
      </c>
      <c r="AF358" s="1332">
        <f t="shared" si="97"/>
        <v>0</v>
      </c>
      <c r="AG358" s="1546"/>
      <c r="AH358" s="1283"/>
      <c r="AI358" s="1283"/>
      <c r="AJ358" s="1283"/>
      <c r="AL358" s="1290"/>
      <c r="AM358" s="1290"/>
      <c r="AN358" s="1290"/>
    </row>
    <row r="359" spans="1:40" s="115" customFormat="1" ht="13.8" hidden="1">
      <c r="A359" s="1270"/>
      <c r="B359" s="1559" t="s">
        <v>25</v>
      </c>
      <c r="I359" s="1332">
        <f t="shared" ref="I359:AF359" ca="1" si="98">IF($C$58=1,I293,IF($C$58=2,I294))</f>
        <v>0</v>
      </c>
      <c r="J359" s="1332">
        <f t="shared" ca="1" si="98"/>
        <v>0</v>
      </c>
      <c r="K359" s="1332">
        <f t="shared" ca="1" si="98"/>
        <v>0</v>
      </c>
      <c r="L359" s="1332">
        <f t="shared" ca="1" si="98"/>
        <v>0</v>
      </c>
      <c r="M359" s="1332">
        <f t="shared" ca="1" si="98"/>
        <v>0</v>
      </c>
      <c r="N359" s="1332">
        <f t="shared" ca="1" si="98"/>
        <v>0</v>
      </c>
      <c r="O359" s="1332">
        <f t="shared" ca="1" si="98"/>
        <v>0</v>
      </c>
      <c r="P359" s="1332">
        <f t="shared" ca="1" si="98"/>
        <v>0</v>
      </c>
      <c r="Q359" s="1332">
        <f t="shared" ca="1" si="98"/>
        <v>0</v>
      </c>
      <c r="R359" s="1332">
        <f t="shared" ca="1" si="98"/>
        <v>0</v>
      </c>
      <c r="S359" s="1332">
        <f t="shared" ca="1" si="98"/>
        <v>0</v>
      </c>
      <c r="T359" s="1332">
        <f t="shared" ca="1" si="98"/>
        <v>0</v>
      </c>
      <c r="U359" s="1332">
        <f t="shared" ca="1" si="98"/>
        <v>0</v>
      </c>
      <c r="V359" s="1332">
        <f t="shared" ca="1" si="98"/>
        <v>0</v>
      </c>
      <c r="W359" s="1332">
        <f t="shared" ca="1" si="98"/>
        <v>0</v>
      </c>
      <c r="X359" s="1332">
        <f t="shared" ca="1" si="98"/>
        <v>0</v>
      </c>
      <c r="Y359" s="1332">
        <f t="shared" ca="1" si="98"/>
        <v>0</v>
      </c>
      <c r="Z359" s="1332">
        <f t="shared" ca="1" si="98"/>
        <v>0</v>
      </c>
      <c r="AA359" s="1332">
        <f t="shared" ca="1" si="98"/>
        <v>0</v>
      </c>
      <c r="AB359" s="1332">
        <f t="shared" ca="1" si="98"/>
        <v>0</v>
      </c>
      <c r="AC359" s="1332">
        <f t="shared" ca="1" si="98"/>
        <v>0</v>
      </c>
      <c r="AD359" s="1332">
        <f t="shared" ca="1" si="98"/>
        <v>0</v>
      </c>
      <c r="AE359" s="1332">
        <f t="shared" ca="1" si="98"/>
        <v>0</v>
      </c>
      <c r="AF359" s="1332">
        <f t="shared" ca="1" si="98"/>
        <v>0</v>
      </c>
      <c r="AG359" s="1546"/>
      <c r="AH359" s="1283"/>
      <c r="AI359" s="1283"/>
      <c r="AJ359" s="1283"/>
      <c r="AL359" s="1290"/>
      <c r="AM359" s="1290"/>
      <c r="AN359" s="1290"/>
    </row>
    <row r="360" spans="1:40" s="115" customFormat="1" ht="13.8" hidden="1">
      <c r="A360" s="1270"/>
      <c r="B360" s="1559" t="s">
        <v>369</v>
      </c>
      <c r="I360" s="1677"/>
      <c r="J360" s="1677"/>
      <c r="K360" s="1092">
        <f t="shared" ref="K360:AF360" si="99">(IF($C$58=1,K140,IF($C$58=2,K143)))</f>
        <v>0</v>
      </c>
      <c r="L360" s="1092">
        <f t="shared" si="99"/>
        <v>0</v>
      </c>
      <c r="M360" s="1092">
        <f t="shared" si="99"/>
        <v>0</v>
      </c>
      <c r="N360" s="1092">
        <f t="shared" si="99"/>
        <v>0</v>
      </c>
      <c r="O360" s="1092">
        <f t="shared" si="99"/>
        <v>0</v>
      </c>
      <c r="P360" s="1092">
        <f t="shared" si="99"/>
        <v>0</v>
      </c>
      <c r="Q360" s="1092">
        <f t="shared" si="99"/>
        <v>0</v>
      </c>
      <c r="R360" s="1092">
        <f t="shared" si="99"/>
        <v>0</v>
      </c>
      <c r="S360" s="1092">
        <f t="shared" si="99"/>
        <v>0</v>
      </c>
      <c r="T360" s="1092">
        <f t="shared" si="99"/>
        <v>0</v>
      </c>
      <c r="U360" s="1092">
        <f t="shared" si="99"/>
        <v>0</v>
      </c>
      <c r="V360" s="1092">
        <f t="shared" si="99"/>
        <v>0</v>
      </c>
      <c r="W360" s="1092">
        <f t="shared" si="99"/>
        <v>0</v>
      </c>
      <c r="X360" s="1092">
        <f t="shared" si="99"/>
        <v>0</v>
      </c>
      <c r="Y360" s="1092">
        <f t="shared" si="99"/>
        <v>0</v>
      </c>
      <c r="Z360" s="1092">
        <f t="shared" si="99"/>
        <v>0</v>
      </c>
      <c r="AA360" s="1092">
        <f t="shared" si="99"/>
        <v>0</v>
      </c>
      <c r="AB360" s="1092">
        <f t="shared" si="99"/>
        <v>0</v>
      </c>
      <c r="AC360" s="1092">
        <f t="shared" si="99"/>
        <v>0</v>
      </c>
      <c r="AD360" s="1092">
        <f t="shared" si="99"/>
        <v>0</v>
      </c>
      <c r="AE360" s="1092">
        <f t="shared" si="99"/>
        <v>0</v>
      </c>
      <c r="AF360" s="1092">
        <f t="shared" si="99"/>
        <v>0</v>
      </c>
      <c r="AG360" s="1546"/>
      <c r="AH360" s="1283"/>
      <c r="AI360" s="1283"/>
      <c r="AJ360" s="1283"/>
      <c r="AL360" s="1290"/>
      <c r="AM360" s="1290"/>
      <c r="AN360" s="1290"/>
    </row>
    <row r="361" spans="1:40" s="115" customFormat="1" ht="13.8" hidden="1">
      <c r="A361" s="1270"/>
      <c r="B361" s="1559" t="s">
        <v>370</v>
      </c>
      <c r="I361" s="1677"/>
      <c r="J361" s="1677"/>
      <c r="K361" s="1092">
        <f t="shared" ref="K361:AF361" ca="1" si="100">IF($C$58=1,K300,IF($C$58=2,K303))</f>
        <v>0</v>
      </c>
      <c r="L361" s="1332">
        <f t="shared" ca="1" si="100"/>
        <v>0</v>
      </c>
      <c r="M361" s="1332">
        <f t="shared" ca="1" si="100"/>
        <v>0</v>
      </c>
      <c r="N361" s="1332">
        <f t="shared" ca="1" si="100"/>
        <v>0</v>
      </c>
      <c r="O361" s="1332">
        <f t="shared" ca="1" si="100"/>
        <v>0</v>
      </c>
      <c r="P361" s="1332">
        <f t="shared" ca="1" si="100"/>
        <v>0</v>
      </c>
      <c r="Q361" s="1332">
        <f t="shared" ca="1" si="100"/>
        <v>0</v>
      </c>
      <c r="R361" s="1332">
        <f t="shared" ca="1" si="100"/>
        <v>0</v>
      </c>
      <c r="S361" s="1332">
        <f t="shared" ca="1" si="100"/>
        <v>0</v>
      </c>
      <c r="T361" s="1332">
        <f t="shared" ca="1" si="100"/>
        <v>0</v>
      </c>
      <c r="U361" s="1332">
        <f t="shared" ca="1" si="100"/>
        <v>0</v>
      </c>
      <c r="V361" s="1332">
        <f t="shared" ca="1" si="100"/>
        <v>0</v>
      </c>
      <c r="W361" s="1332">
        <f t="shared" ca="1" si="100"/>
        <v>0</v>
      </c>
      <c r="X361" s="1332">
        <f t="shared" ca="1" si="100"/>
        <v>0</v>
      </c>
      <c r="Y361" s="1332">
        <f t="shared" ca="1" si="100"/>
        <v>0</v>
      </c>
      <c r="Z361" s="1332">
        <f t="shared" ca="1" si="100"/>
        <v>0</v>
      </c>
      <c r="AA361" s="1332">
        <f t="shared" ca="1" si="100"/>
        <v>0</v>
      </c>
      <c r="AB361" s="1332">
        <f t="shared" ca="1" si="100"/>
        <v>0</v>
      </c>
      <c r="AC361" s="1332">
        <f t="shared" ca="1" si="100"/>
        <v>0</v>
      </c>
      <c r="AD361" s="1332">
        <f t="shared" ca="1" si="100"/>
        <v>0</v>
      </c>
      <c r="AE361" s="1332">
        <f t="shared" ca="1" si="100"/>
        <v>0</v>
      </c>
      <c r="AF361" s="1332">
        <f t="shared" ca="1" si="100"/>
        <v>0</v>
      </c>
      <c r="AG361" s="1546"/>
      <c r="AH361" s="1283"/>
      <c r="AI361" s="1283"/>
      <c r="AJ361" s="1283"/>
      <c r="AL361" s="1290"/>
      <c r="AM361" s="1290"/>
      <c r="AN361" s="1290"/>
    </row>
    <row r="362" spans="1:40" s="115" customFormat="1" ht="13.8" hidden="1">
      <c r="A362" s="1270"/>
      <c r="B362" s="1559" t="s">
        <v>371</v>
      </c>
      <c r="I362" s="1332">
        <f t="shared" ref="I362:AF362" si="101">I360-I361</f>
        <v>0</v>
      </c>
      <c r="J362" s="1332">
        <f t="shared" si="101"/>
        <v>0</v>
      </c>
      <c r="K362" s="1332">
        <f t="shared" ca="1" si="101"/>
        <v>0</v>
      </c>
      <c r="L362" s="1332">
        <f t="shared" ca="1" si="101"/>
        <v>0</v>
      </c>
      <c r="M362" s="1332">
        <f t="shared" ca="1" si="101"/>
        <v>0</v>
      </c>
      <c r="N362" s="1332">
        <f t="shared" ca="1" si="101"/>
        <v>0</v>
      </c>
      <c r="O362" s="1332">
        <f t="shared" ca="1" si="101"/>
        <v>0</v>
      </c>
      <c r="P362" s="1332">
        <f t="shared" ca="1" si="101"/>
        <v>0</v>
      </c>
      <c r="Q362" s="1332">
        <f t="shared" ca="1" si="101"/>
        <v>0</v>
      </c>
      <c r="R362" s="1332">
        <f t="shared" ca="1" si="101"/>
        <v>0</v>
      </c>
      <c r="S362" s="1332">
        <f t="shared" ca="1" si="101"/>
        <v>0</v>
      </c>
      <c r="T362" s="1332">
        <f t="shared" ca="1" si="101"/>
        <v>0</v>
      </c>
      <c r="U362" s="1332">
        <f t="shared" ca="1" si="101"/>
        <v>0</v>
      </c>
      <c r="V362" s="1332">
        <f t="shared" ca="1" si="101"/>
        <v>0</v>
      </c>
      <c r="W362" s="1332">
        <f t="shared" ca="1" si="101"/>
        <v>0</v>
      </c>
      <c r="X362" s="1332">
        <f t="shared" ca="1" si="101"/>
        <v>0</v>
      </c>
      <c r="Y362" s="1332">
        <f t="shared" ca="1" si="101"/>
        <v>0</v>
      </c>
      <c r="Z362" s="1332">
        <f t="shared" ca="1" si="101"/>
        <v>0</v>
      </c>
      <c r="AA362" s="1332">
        <f t="shared" ca="1" si="101"/>
        <v>0</v>
      </c>
      <c r="AB362" s="1332">
        <f t="shared" ca="1" si="101"/>
        <v>0</v>
      </c>
      <c r="AC362" s="1332">
        <f t="shared" ca="1" si="101"/>
        <v>0</v>
      </c>
      <c r="AD362" s="1332">
        <f t="shared" ca="1" si="101"/>
        <v>0</v>
      </c>
      <c r="AE362" s="1332">
        <f t="shared" ca="1" si="101"/>
        <v>0</v>
      </c>
      <c r="AF362" s="1332">
        <f t="shared" ca="1" si="101"/>
        <v>0</v>
      </c>
      <c r="AG362" s="1546"/>
      <c r="AH362" s="1283"/>
      <c r="AI362" s="1283"/>
      <c r="AJ362" s="1283"/>
      <c r="AL362" s="1290"/>
      <c r="AM362" s="1290"/>
      <c r="AN362" s="1290"/>
    </row>
    <row r="363" spans="1:40" s="115" customFormat="1" ht="13.8" hidden="1">
      <c r="A363" s="1270"/>
      <c r="B363" s="1559" t="s">
        <v>375</v>
      </c>
      <c r="I363" s="1332">
        <f t="shared" ref="I363:AF363" si="102">IF(I362&lt;0,-I362,0)</f>
        <v>0</v>
      </c>
      <c r="J363" s="1332">
        <f t="shared" si="102"/>
        <v>0</v>
      </c>
      <c r="K363" s="1332">
        <f t="shared" ca="1" si="102"/>
        <v>0</v>
      </c>
      <c r="L363" s="1332">
        <f t="shared" ca="1" si="102"/>
        <v>0</v>
      </c>
      <c r="M363" s="1332">
        <f t="shared" ca="1" si="102"/>
        <v>0</v>
      </c>
      <c r="N363" s="1332">
        <f t="shared" ca="1" si="102"/>
        <v>0</v>
      </c>
      <c r="O363" s="1332">
        <f t="shared" ca="1" si="102"/>
        <v>0</v>
      </c>
      <c r="P363" s="1332">
        <f t="shared" ca="1" si="102"/>
        <v>0</v>
      </c>
      <c r="Q363" s="1332">
        <f t="shared" ca="1" si="102"/>
        <v>0</v>
      </c>
      <c r="R363" s="1332">
        <f t="shared" ca="1" si="102"/>
        <v>0</v>
      </c>
      <c r="S363" s="1332">
        <f t="shared" ca="1" si="102"/>
        <v>0</v>
      </c>
      <c r="T363" s="1332">
        <f t="shared" ca="1" si="102"/>
        <v>0</v>
      </c>
      <c r="U363" s="1332">
        <f t="shared" ca="1" si="102"/>
        <v>0</v>
      </c>
      <c r="V363" s="1332">
        <f t="shared" ca="1" si="102"/>
        <v>0</v>
      </c>
      <c r="W363" s="1332">
        <f t="shared" ca="1" si="102"/>
        <v>0</v>
      </c>
      <c r="X363" s="1332">
        <f t="shared" ca="1" si="102"/>
        <v>0</v>
      </c>
      <c r="Y363" s="1332">
        <f t="shared" ca="1" si="102"/>
        <v>0</v>
      </c>
      <c r="Z363" s="1332">
        <f t="shared" ca="1" si="102"/>
        <v>0</v>
      </c>
      <c r="AA363" s="1332">
        <f t="shared" ca="1" si="102"/>
        <v>0</v>
      </c>
      <c r="AB363" s="1332">
        <f t="shared" ca="1" si="102"/>
        <v>0</v>
      </c>
      <c r="AC363" s="1332">
        <f t="shared" ca="1" si="102"/>
        <v>0</v>
      </c>
      <c r="AD363" s="1332">
        <f t="shared" ca="1" si="102"/>
        <v>0</v>
      </c>
      <c r="AE363" s="1332">
        <f t="shared" ca="1" si="102"/>
        <v>0</v>
      </c>
      <c r="AF363" s="1332">
        <f t="shared" ca="1" si="102"/>
        <v>0</v>
      </c>
      <c r="AG363" s="1546"/>
      <c r="AH363" s="1283"/>
      <c r="AI363" s="1283"/>
      <c r="AJ363" s="1283"/>
      <c r="AL363" s="1290"/>
      <c r="AM363" s="1290"/>
      <c r="AN363" s="1290"/>
    </row>
    <row r="364" spans="1:40" s="115" customFormat="1" ht="13.8" hidden="1">
      <c r="A364" s="1270"/>
      <c r="B364" s="1559" t="s">
        <v>374</v>
      </c>
      <c r="I364" s="1332">
        <f t="shared" ref="I364:AF364" si="103">IF(I362&gt;0,I362,0)</f>
        <v>0</v>
      </c>
      <c r="J364" s="1332">
        <f t="shared" si="103"/>
        <v>0</v>
      </c>
      <c r="K364" s="1332">
        <f t="shared" ca="1" si="103"/>
        <v>0</v>
      </c>
      <c r="L364" s="1332">
        <f t="shared" ca="1" si="103"/>
        <v>0</v>
      </c>
      <c r="M364" s="1332">
        <f t="shared" ca="1" si="103"/>
        <v>0</v>
      </c>
      <c r="N364" s="1332">
        <f t="shared" ca="1" si="103"/>
        <v>0</v>
      </c>
      <c r="O364" s="1332">
        <f t="shared" ca="1" si="103"/>
        <v>0</v>
      </c>
      <c r="P364" s="1332">
        <f t="shared" ca="1" si="103"/>
        <v>0</v>
      </c>
      <c r="Q364" s="1332">
        <f t="shared" ca="1" si="103"/>
        <v>0</v>
      </c>
      <c r="R364" s="1332">
        <f t="shared" ca="1" si="103"/>
        <v>0</v>
      </c>
      <c r="S364" s="1332">
        <f t="shared" ca="1" si="103"/>
        <v>0</v>
      </c>
      <c r="T364" s="1332">
        <f t="shared" ca="1" si="103"/>
        <v>0</v>
      </c>
      <c r="U364" s="1332">
        <f t="shared" ca="1" si="103"/>
        <v>0</v>
      </c>
      <c r="V364" s="1332">
        <f t="shared" ca="1" si="103"/>
        <v>0</v>
      </c>
      <c r="W364" s="1332">
        <f t="shared" ca="1" si="103"/>
        <v>0</v>
      </c>
      <c r="X364" s="1332">
        <f t="shared" ca="1" si="103"/>
        <v>0</v>
      </c>
      <c r="Y364" s="1332">
        <f t="shared" ca="1" si="103"/>
        <v>0</v>
      </c>
      <c r="Z364" s="1332">
        <f t="shared" ca="1" si="103"/>
        <v>0</v>
      </c>
      <c r="AA364" s="1332">
        <f t="shared" ca="1" si="103"/>
        <v>0</v>
      </c>
      <c r="AB364" s="1332">
        <f t="shared" ca="1" si="103"/>
        <v>0</v>
      </c>
      <c r="AC364" s="1332">
        <f t="shared" ca="1" si="103"/>
        <v>0</v>
      </c>
      <c r="AD364" s="1332">
        <f t="shared" ca="1" si="103"/>
        <v>0</v>
      </c>
      <c r="AE364" s="1332">
        <f t="shared" ca="1" si="103"/>
        <v>0</v>
      </c>
      <c r="AF364" s="1332">
        <f t="shared" ca="1" si="103"/>
        <v>0</v>
      </c>
      <c r="AG364" s="1546"/>
      <c r="AH364" s="1283"/>
      <c r="AI364" s="1283"/>
      <c r="AJ364" s="1283"/>
      <c r="AL364" s="1290"/>
      <c r="AM364" s="1290"/>
      <c r="AN364" s="1290"/>
    </row>
    <row r="365" spans="1:40" s="115" customFormat="1" ht="13.8" hidden="1">
      <c r="A365" s="1270"/>
      <c r="B365" s="1559" t="s">
        <v>373</v>
      </c>
      <c r="I365" s="1332">
        <f t="shared" ref="I365:AF365" si="104">IF($C$58=1,I148,IF($C$58=2,I151))</f>
        <v>0</v>
      </c>
      <c r="J365" s="1332">
        <f t="shared" si="104"/>
        <v>0</v>
      </c>
      <c r="K365" s="1332">
        <f t="shared" si="104"/>
        <v>0</v>
      </c>
      <c r="L365" s="1332">
        <f t="shared" si="104"/>
        <v>0</v>
      </c>
      <c r="M365" s="1332">
        <f t="shared" si="104"/>
        <v>0</v>
      </c>
      <c r="N365" s="1332">
        <f t="shared" si="104"/>
        <v>0</v>
      </c>
      <c r="O365" s="1332">
        <f t="shared" si="104"/>
        <v>0</v>
      </c>
      <c r="P365" s="1332">
        <f t="shared" si="104"/>
        <v>0</v>
      </c>
      <c r="Q365" s="1332">
        <f t="shared" si="104"/>
        <v>0</v>
      </c>
      <c r="R365" s="1332">
        <f t="shared" si="104"/>
        <v>0</v>
      </c>
      <c r="S365" s="1332">
        <f t="shared" si="104"/>
        <v>0</v>
      </c>
      <c r="T365" s="1332">
        <f t="shared" si="104"/>
        <v>0</v>
      </c>
      <c r="U365" s="1332">
        <f t="shared" si="104"/>
        <v>0</v>
      </c>
      <c r="V365" s="1332">
        <f t="shared" si="104"/>
        <v>0</v>
      </c>
      <c r="W365" s="1332">
        <f t="shared" si="104"/>
        <v>0</v>
      </c>
      <c r="X365" s="1332">
        <f t="shared" si="104"/>
        <v>0</v>
      </c>
      <c r="Y365" s="1332">
        <f t="shared" si="104"/>
        <v>0</v>
      </c>
      <c r="Z365" s="1332">
        <f t="shared" si="104"/>
        <v>0</v>
      </c>
      <c r="AA365" s="1332">
        <f t="shared" si="104"/>
        <v>0</v>
      </c>
      <c r="AB365" s="1332">
        <f t="shared" si="104"/>
        <v>0</v>
      </c>
      <c r="AC365" s="1332">
        <f t="shared" si="104"/>
        <v>0</v>
      </c>
      <c r="AD365" s="1332">
        <f t="shared" si="104"/>
        <v>0</v>
      </c>
      <c r="AE365" s="1332">
        <f t="shared" si="104"/>
        <v>0</v>
      </c>
      <c r="AF365" s="1332">
        <f t="shared" si="104"/>
        <v>0</v>
      </c>
      <c r="AG365" s="1546"/>
      <c r="AH365" s="1283"/>
      <c r="AI365" s="1283"/>
      <c r="AJ365" s="1283"/>
      <c r="AL365" s="1290"/>
      <c r="AM365" s="1290"/>
      <c r="AN365" s="1290"/>
    </row>
    <row r="366" spans="1:40" s="115" customFormat="1" ht="13.8" hidden="1">
      <c r="A366" s="1270"/>
      <c r="B366" s="1559" t="s">
        <v>372</v>
      </c>
      <c r="I366" s="1332">
        <f t="shared" ref="I366:AF366" si="105">IF($C$58=1,I308,IF($C$58=2,I311))</f>
        <v>0</v>
      </c>
      <c r="J366" s="1332">
        <f t="shared" si="105"/>
        <v>0</v>
      </c>
      <c r="K366" s="1332">
        <f t="shared" si="105"/>
        <v>0</v>
      </c>
      <c r="L366" s="1332">
        <f t="shared" si="105"/>
        <v>0</v>
      </c>
      <c r="M366" s="1332">
        <f t="shared" ca="1" si="105"/>
        <v>0</v>
      </c>
      <c r="N366" s="1332">
        <f t="shared" si="105"/>
        <v>0</v>
      </c>
      <c r="O366" s="1332">
        <f t="shared" si="105"/>
        <v>0</v>
      </c>
      <c r="P366" s="1332">
        <f t="shared" ca="1" si="105"/>
        <v>0</v>
      </c>
      <c r="Q366" s="1332">
        <f t="shared" si="105"/>
        <v>0</v>
      </c>
      <c r="R366" s="1332">
        <f t="shared" si="105"/>
        <v>0</v>
      </c>
      <c r="S366" s="1332">
        <f t="shared" ca="1" si="105"/>
        <v>0</v>
      </c>
      <c r="T366" s="1332">
        <f t="shared" si="105"/>
        <v>0</v>
      </c>
      <c r="U366" s="1332">
        <f t="shared" si="105"/>
        <v>0</v>
      </c>
      <c r="V366" s="1332">
        <f t="shared" ca="1" si="105"/>
        <v>0</v>
      </c>
      <c r="W366" s="1332">
        <f t="shared" si="105"/>
        <v>0</v>
      </c>
      <c r="X366" s="1332">
        <f t="shared" si="105"/>
        <v>0</v>
      </c>
      <c r="Y366" s="1332">
        <f t="shared" ca="1" si="105"/>
        <v>0</v>
      </c>
      <c r="Z366" s="1332">
        <f t="shared" si="105"/>
        <v>0</v>
      </c>
      <c r="AA366" s="1332">
        <f t="shared" si="105"/>
        <v>0</v>
      </c>
      <c r="AB366" s="1332">
        <f t="shared" ca="1" si="105"/>
        <v>0</v>
      </c>
      <c r="AC366" s="1332">
        <f t="shared" si="105"/>
        <v>0</v>
      </c>
      <c r="AD366" s="1332">
        <f t="shared" si="105"/>
        <v>0</v>
      </c>
      <c r="AE366" s="1332">
        <f t="shared" ca="1" si="105"/>
        <v>0</v>
      </c>
      <c r="AF366" s="1332">
        <f t="shared" si="105"/>
        <v>0</v>
      </c>
      <c r="AG366" s="1546"/>
      <c r="AH366" s="1283"/>
      <c r="AI366" s="1283"/>
      <c r="AJ366" s="1283"/>
      <c r="AL366" s="1290"/>
      <c r="AM366" s="1290"/>
      <c r="AN366" s="1290"/>
    </row>
    <row r="367" spans="1:40" s="115" customFormat="1" ht="13.8" hidden="1">
      <c r="A367" s="1270"/>
      <c r="B367" s="1559" t="s">
        <v>378</v>
      </c>
      <c r="I367" s="1332">
        <f t="shared" ref="I367:AF367" si="106">I365-I366</f>
        <v>0</v>
      </c>
      <c r="J367" s="1332">
        <f t="shared" si="106"/>
        <v>0</v>
      </c>
      <c r="K367" s="1332">
        <f t="shared" si="106"/>
        <v>0</v>
      </c>
      <c r="L367" s="1332">
        <f t="shared" si="106"/>
        <v>0</v>
      </c>
      <c r="M367" s="1332">
        <f t="shared" ca="1" si="106"/>
        <v>0</v>
      </c>
      <c r="N367" s="1332">
        <f t="shared" si="106"/>
        <v>0</v>
      </c>
      <c r="O367" s="1332">
        <f t="shared" si="106"/>
        <v>0</v>
      </c>
      <c r="P367" s="1332">
        <f t="shared" ca="1" si="106"/>
        <v>0</v>
      </c>
      <c r="Q367" s="1332">
        <f t="shared" si="106"/>
        <v>0</v>
      </c>
      <c r="R367" s="1332">
        <f t="shared" si="106"/>
        <v>0</v>
      </c>
      <c r="S367" s="1332">
        <f t="shared" ca="1" si="106"/>
        <v>0</v>
      </c>
      <c r="T367" s="1332">
        <f t="shared" si="106"/>
        <v>0</v>
      </c>
      <c r="U367" s="1332">
        <f t="shared" si="106"/>
        <v>0</v>
      </c>
      <c r="V367" s="1332">
        <f t="shared" ca="1" si="106"/>
        <v>0</v>
      </c>
      <c r="W367" s="1332">
        <f t="shared" si="106"/>
        <v>0</v>
      </c>
      <c r="X367" s="1332">
        <f t="shared" si="106"/>
        <v>0</v>
      </c>
      <c r="Y367" s="1332">
        <f t="shared" ca="1" si="106"/>
        <v>0</v>
      </c>
      <c r="Z367" s="1332">
        <f t="shared" si="106"/>
        <v>0</v>
      </c>
      <c r="AA367" s="1332">
        <f t="shared" si="106"/>
        <v>0</v>
      </c>
      <c r="AB367" s="1332">
        <f t="shared" ca="1" si="106"/>
        <v>0</v>
      </c>
      <c r="AC367" s="1332">
        <f t="shared" si="106"/>
        <v>0</v>
      </c>
      <c r="AD367" s="1332">
        <f t="shared" si="106"/>
        <v>0</v>
      </c>
      <c r="AE367" s="1332">
        <f t="shared" ca="1" si="106"/>
        <v>0</v>
      </c>
      <c r="AF367" s="1332">
        <f t="shared" si="106"/>
        <v>0</v>
      </c>
      <c r="AG367" s="1546"/>
      <c r="AH367" s="1283"/>
      <c r="AI367" s="1283"/>
      <c r="AJ367" s="1283"/>
      <c r="AL367" s="1290"/>
      <c r="AM367" s="1290"/>
      <c r="AN367" s="1290"/>
    </row>
    <row r="368" spans="1:40" s="115" customFormat="1" ht="13.8" hidden="1">
      <c r="A368" s="1270"/>
      <c r="B368" s="1559" t="s">
        <v>377</v>
      </c>
      <c r="I368" s="1332">
        <f t="shared" ref="I368:AF368" si="107">IF(I367&lt;0,-I367,0)</f>
        <v>0</v>
      </c>
      <c r="J368" s="1332">
        <f t="shared" si="107"/>
        <v>0</v>
      </c>
      <c r="K368" s="1332">
        <f t="shared" si="107"/>
        <v>0</v>
      </c>
      <c r="L368" s="1332">
        <f t="shared" si="107"/>
        <v>0</v>
      </c>
      <c r="M368" s="1332">
        <f t="shared" ca="1" si="107"/>
        <v>0</v>
      </c>
      <c r="N368" s="1332">
        <f t="shared" si="107"/>
        <v>0</v>
      </c>
      <c r="O368" s="1332">
        <f t="shared" si="107"/>
        <v>0</v>
      </c>
      <c r="P368" s="1332">
        <f t="shared" ca="1" si="107"/>
        <v>0</v>
      </c>
      <c r="Q368" s="1332">
        <f t="shared" si="107"/>
        <v>0</v>
      </c>
      <c r="R368" s="1332">
        <f t="shared" si="107"/>
        <v>0</v>
      </c>
      <c r="S368" s="1332">
        <f t="shared" ca="1" si="107"/>
        <v>0</v>
      </c>
      <c r="T368" s="1332">
        <f t="shared" si="107"/>
        <v>0</v>
      </c>
      <c r="U368" s="1332">
        <f t="shared" si="107"/>
        <v>0</v>
      </c>
      <c r="V368" s="1332">
        <f t="shared" ca="1" si="107"/>
        <v>0</v>
      </c>
      <c r="W368" s="1332">
        <f t="shared" si="107"/>
        <v>0</v>
      </c>
      <c r="X368" s="1332">
        <f t="shared" si="107"/>
        <v>0</v>
      </c>
      <c r="Y368" s="1332">
        <f t="shared" ca="1" si="107"/>
        <v>0</v>
      </c>
      <c r="Z368" s="1332">
        <f t="shared" si="107"/>
        <v>0</v>
      </c>
      <c r="AA368" s="1332">
        <f t="shared" si="107"/>
        <v>0</v>
      </c>
      <c r="AB368" s="1332">
        <f t="shared" ca="1" si="107"/>
        <v>0</v>
      </c>
      <c r="AC368" s="1332">
        <f t="shared" si="107"/>
        <v>0</v>
      </c>
      <c r="AD368" s="1332">
        <f t="shared" si="107"/>
        <v>0</v>
      </c>
      <c r="AE368" s="1332">
        <f t="shared" ca="1" si="107"/>
        <v>0</v>
      </c>
      <c r="AF368" s="1332">
        <f t="shared" si="107"/>
        <v>0</v>
      </c>
      <c r="AG368" s="1546"/>
      <c r="AH368" s="1283"/>
      <c r="AI368" s="1283"/>
      <c r="AJ368" s="1283"/>
      <c r="AL368" s="1290"/>
      <c r="AM368" s="1290"/>
      <c r="AN368" s="1290"/>
    </row>
    <row r="369" spans="1:40" s="115" customFormat="1" ht="13.8" hidden="1">
      <c r="A369" s="1270"/>
      <c r="B369" s="1559" t="s">
        <v>376</v>
      </c>
      <c r="I369" s="1332">
        <f t="shared" ref="I369:AF369" si="108">IF(I367&gt;0,I367,0)</f>
        <v>0</v>
      </c>
      <c r="J369" s="1332">
        <f t="shared" si="108"/>
        <v>0</v>
      </c>
      <c r="K369" s="1332">
        <f t="shared" si="108"/>
        <v>0</v>
      </c>
      <c r="L369" s="1332">
        <f t="shared" si="108"/>
        <v>0</v>
      </c>
      <c r="M369" s="1332">
        <f t="shared" ca="1" si="108"/>
        <v>0</v>
      </c>
      <c r="N369" s="1332">
        <f t="shared" si="108"/>
        <v>0</v>
      </c>
      <c r="O369" s="1332">
        <f t="shared" si="108"/>
        <v>0</v>
      </c>
      <c r="P369" s="1332">
        <f t="shared" ca="1" si="108"/>
        <v>0</v>
      </c>
      <c r="Q369" s="1332">
        <f t="shared" si="108"/>
        <v>0</v>
      </c>
      <c r="R369" s="1332">
        <f t="shared" si="108"/>
        <v>0</v>
      </c>
      <c r="S369" s="1332">
        <f t="shared" ca="1" si="108"/>
        <v>0</v>
      </c>
      <c r="T369" s="1332">
        <f t="shared" si="108"/>
        <v>0</v>
      </c>
      <c r="U369" s="1332">
        <f t="shared" si="108"/>
        <v>0</v>
      </c>
      <c r="V369" s="1332">
        <f ca="1">IF(V367&gt;0,V367,0)</f>
        <v>0</v>
      </c>
      <c r="W369" s="1332">
        <f t="shared" si="108"/>
        <v>0</v>
      </c>
      <c r="X369" s="1332">
        <f t="shared" si="108"/>
        <v>0</v>
      </c>
      <c r="Y369" s="1332">
        <f t="shared" ca="1" si="108"/>
        <v>0</v>
      </c>
      <c r="Z369" s="1332">
        <f t="shared" si="108"/>
        <v>0</v>
      </c>
      <c r="AA369" s="1332">
        <f t="shared" si="108"/>
        <v>0</v>
      </c>
      <c r="AB369" s="1332">
        <f t="shared" ca="1" si="108"/>
        <v>0</v>
      </c>
      <c r="AC369" s="1332">
        <f t="shared" si="108"/>
        <v>0</v>
      </c>
      <c r="AD369" s="1332">
        <f t="shared" si="108"/>
        <v>0</v>
      </c>
      <c r="AE369" s="1332">
        <f t="shared" ca="1" si="108"/>
        <v>0</v>
      </c>
      <c r="AF369" s="1332">
        <f t="shared" si="108"/>
        <v>0</v>
      </c>
      <c r="AG369" s="1546"/>
      <c r="AH369" s="1283"/>
      <c r="AI369" s="1283"/>
      <c r="AJ369" s="1283"/>
      <c r="AL369" s="1290"/>
      <c r="AM369" s="1290"/>
      <c r="AN369" s="1290"/>
    </row>
    <row r="370" spans="1:40" s="115" customFormat="1" ht="13.8" hidden="1">
      <c r="A370" s="1270"/>
      <c r="B370" s="1559" t="s">
        <v>379</v>
      </c>
      <c r="I370" s="1332"/>
      <c r="J370" s="1332"/>
      <c r="K370" s="1332"/>
      <c r="L370" s="1332"/>
      <c r="M370" s="1332"/>
      <c r="N370" s="1332"/>
      <c r="O370" s="1332"/>
      <c r="P370" s="1332"/>
      <c r="Q370" s="1332"/>
      <c r="R370" s="1332"/>
      <c r="S370" s="1332"/>
      <c r="T370" s="1332"/>
      <c r="U370" s="1332"/>
      <c r="V370" s="1475"/>
      <c r="W370" s="1332"/>
      <c r="X370" s="1332"/>
      <c r="Y370" s="1475">
        <f>Y154</f>
        <v>0</v>
      </c>
      <c r="Z370" s="1475">
        <f>Z155</f>
        <v>0</v>
      </c>
      <c r="AA370" s="1475" t="b">
        <f>AA155</f>
        <v>0</v>
      </c>
      <c r="AB370" s="1475" t="b">
        <f>AB155</f>
        <v>0</v>
      </c>
      <c r="AC370" s="1475" t="b">
        <f>AC155</f>
        <v>0</v>
      </c>
      <c r="AD370" s="1475" t="b">
        <f>AD155</f>
        <v>0</v>
      </c>
      <c r="AE370" s="1332"/>
      <c r="AF370" s="1332"/>
      <c r="AG370" s="1546"/>
      <c r="AH370" s="1283"/>
      <c r="AI370" s="1283"/>
      <c r="AJ370" s="1283"/>
      <c r="AL370" s="1290"/>
      <c r="AM370" s="1290"/>
      <c r="AN370" s="1290"/>
    </row>
    <row r="371" spans="1:40" s="115" customFormat="1" ht="13.8" hidden="1">
      <c r="A371" s="1270"/>
      <c r="B371" s="1559" t="s">
        <v>380</v>
      </c>
      <c r="I371" s="1332"/>
      <c r="J371" s="1332"/>
      <c r="K371" s="1332"/>
      <c r="L371" s="1332"/>
      <c r="M371" s="1332"/>
      <c r="N371" s="1332"/>
      <c r="O371" s="1332"/>
      <c r="P371" s="1332"/>
      <c r="Q371" s="1332"/>
      <c r="R371" s="1332"/>
      <c r="S371" s="1332"/>
      <c r="T371" s="1332"/>
      <c r="U371" s="1332"/>
      <c r="V371" s="1475"/>
      <c r="W371" s="1332"/>
      <c r="X371" s="1332"/>
      <c r="Y371" s="1475">
        <f>Y314</f>
        <v>0</v>
      </c>
      <c r="Z371" s="1475">
        <f>Z315</f>
        <v>0</v>
      </c>
      <c r="AA371" s="1475" t="b">
        <f>AA315</f>
        <v>0</v>
      </c>
      <c r="AB371" s="1475" t="b">
        <f>AB315</f>
        <v>0</v>
      </c>
      <c r="AC371" s="1475" t="b">
        <f>AC315</f>
        <v>0</v>
      </c>
      <c r="AD371" s="1475" t="b">
        <f>AD315</f>
        <v>0</v>
      </c>
      <c r="AE371" s="1332"/>
      <c r="AF371" s="1332"/>
      <c r="AG371" s="1546"/>
      <c r="AH371" s="1283"/>
      <c r="AI371" s="1283"/>
      <c r="AJ371" s="1283"/>
      <c r="AL371" s="1290"/>
      <c r="AM371" s="1290"/>
      <c r="AN371" s="1290"/>
    </row>
    <row r="372" spans="1:40" s="115" customFormat="1" ht="13.8" hidden="1">
      <c r="A372" s="1270"/>
      <c r="B372" s="1559" t="s">
        <v>381</v>
      </c>
      <c r="I372" s="1332"/>
      <c r="J372" s="1332"/>
      <c r="K372" s="1332"/>
      <c r="L372" s="1332"/>
      <c r="M372" s="1332"/>
      <c r="N372" s="1332"/>
      <c r="O372" s="1332"/>
      <c r="P372" s="1332"/>
      <c r="Q372" s="1332"/>
      <c r="R372" s="1332"/>
      <c r="S372" s="1332"/>
      <c r="T372" s="1332"/>
      <c r="U372" s="1332"/>
      <c r="V372" s="1475"/>
      <c r="W372" s="1475"/>
      <c r="X372" s="1475"/>
      <c r="Y372" s="1475">
        <f t="shared" ref="Y372:AD372" si="109">Y370-Y371</f>
        <v>0</v>
      </c>
      <c r="Z372" s="1475">
        <f t="shared" si="109"/>
        <v>0</v>
      </c>
      <c r="AA372" s="1475">
        <f t="shared" si="109"/>
        <v>0</v>
      </c>
      <c r="AB372" s="1475">
        <f t="shared" si="109"/>
        <v>0</v>
      </c>
      <c r="AC372" s="1332">
        <f t="shared" si="109"/>
        <v>0</v>
      </c>
      <c r="AD372" s="1332">
        <f t="shared" si="109"/>
        <v>0</v>
      </c>
      <c r="AE372" s="1332"/>
      <c r="AF372" s="1332"/>
      <c r="AG372" s="1546"/>
      <c r="AH372" s="1283"/>
      <c r="AI372" s="1283"/>
      <c r="AJ372" s="1283"/>
      <c r="AL372" s="1290"/>
      <c r="AM372" s="1290"/>
      <c r="AN372" s="1290"/>
    </row>
    <row r="373" spans="1:40" s="115" customFormat="1" ht="13.8" hidden="1">
      <c r="A373" s="1270"/>
      <c r="B373" s="1559" t="s">
        <v>382</v>
      </c>
      <c r="I373" s="1332"/>
      <c r="J373" s="1332"/>
      <c r="K373" s="1332"/>
      <c r="L373" s="1332"/>
      <c r="M373" s="1332"/>
      <c r="N373" s="1332"/>
      <c r="O373" s="1332"/>
      <c r="P373" s="1332"/>
      <c r="Q373" s="1332"/>
      <c r="R373" s="1332"/>
      <c r="S373" s="1332"/>
      <c r="T373" s="1332"/>
      <c r="U373" s="1332"/>
      <c r="V373" s="1332"/>
      <c r="W373" s="1332"/>
      <c r="X373" s="1332"/>
      <c r="Y373" s="1332">
        <f t="shared" ref="Y373:AD373" si="110">IF(Y372&lt;0,-Y372,0)</f>
        <v>0</v>
      </c>
      <c r="Z373" s="1332">
        <f t="shared" si="110"/>
        <v>0</v>
      </c>
      <c r="AA373" s="1332">
        <f t="shared" si="110"/>
        <v>0</v>
      </c>
      <c r="AB373" s="1332">
        <f t="shared" si="110"/>
        <v>0</v>
      </c>
      <c r="AC373" s="1332">
        <f t="shared" si="110"/>
        <v>0</v>
      </c>
      <c r="AD373" s="1332">
        <f t="shared" si="110"/>
        <v>0</v>
      </c>
      <c r="AE373" s="1332"/>
      <c r="AF373" s="1332"/>
      <c r="AG373" s="1546"/>
      <c r="AH373" s="1283"/>
      <c r="AI373" s="1283"/>
      <c r="AJ373" s="1283"/>
      <c r="AL373" s="1290"/>
      <c r="AM373" s="1290"/>
      <c r="AN373" s="1290"/>
    </row>
    <row r="374" spans="1:40" s="115" customFormat="1" ht="13.8" hidden="1">
      <c r="A374" s="1270"/>
      <c r="B374" s="1559" t="s">
        <v>383</v>
      </c>
      <c r="I374" s="1332"/>
      <c r="J374" s="1332"/>
      <c r="K374" s="1332"/>
      <c r="L374" s="1332"/>
      <c r="M374" s="1332"/>
      <c r="N374" s="1332"/>
      <c r="O374" s="1332"/>
      <c r="P374" s="1332"/>
      <c r="Q374" s="1332"/>
      <c r="R374" s="1332"/>
      <c r="S374" s="1332"/>
      <c r="T374" s="1332"/>
      <c r="U374" s="1332"/>
      <c r="V374" s="1332"/>
      <c r="W374" s="1332"/>
      <c r="X374" s="1332"/>
      <c r="Y374" s="1332">
        <f t="shared" ref="Y374:AD374" si="111">IF(Y372&gt;0,Y372,0)</f>
        <v>0</v>
      </c>
      <c r="Z374" s="1332">
        <f t="shared" si="111"/>
        <v>0</v>
      </c>
      <c r="AA374" s="1332">
        <f t="shared" si="111"/>
        <v>0</v>
      </c>
      <c r="AB374" s="1332">
        <f t="shared" si="111"/>
        <v>0</v>
      </c>
      <c r="AC374" s="1332">
        <f t="shared" si="111"/>
        <v>0</v>
      </c>
      <c r="AD374" s="1332">
        <f t="shared" si="111"/>
        <v>0</v>
      </c>
      <c r="AE374" s="1332"/>
      <c r="AF374" s="1332"/>
      <c r="AH374" s="1283"/>
      <c r="AI374" s="1283"/>
      <c r="AJ374" s="1283"/>
      <c r="AL374" s="1290"/>
      <c r="AM374" s="1290"/>
      <c r="AN374" s="1290"/>
    </row>
    <row r="375" spans="1:40" s="115" customFormat="1" hidden="1">
      <c r="A375" s="1270"/>
      <c r="E375" s="1564" t="s">
        <v>229</v>
      </c>
      <c r="G375" s="1565">
        <f>C61</f>
        <v>1</v>
      </c>
      <c r="AH375" s="1283"/>
      <c r="AI375" s="1283"/>
      <c r="AJ375" s="1283"/>
      <c r="AL375" s="1566"/>
      <c r="AM375" s="1290"/>
      <c r="AN375" s="1567"/>
    </row>
    <row r="376" spans="1:40" s="115" customFormat="1" ht="13.8" hidden="1">
      <c r="A376" s="1270"/>
      <c r="B376" s="115" t="s">
        <v>1039</v>
      </c>
      <c r="E376" s="1564"/>
      <c r="G376" s="1881"/>
      <c r="I376" s="1536">
        <f>(SUMPRODUCT(ARBETSBLAD!I88:I97,ARBETSBLAD!$G$88:$G$97)*I57+IF(AND(ARBETSBLAD!$G$99&gt;0,fx!I57=1),ARBETSBLAD!I100*ARBETSBLAD!$G$100))</f>
        <v>0</v>
      </c>
      <c r="J376" s="1536">
        <f>(SUMPRODUCT(ARBETSBLAD!J88:J97,ARBETSBLAD!$G$88:$G$97)*J57+IF(AND(ARBETSBLAD!$G$99&gt;0,fx!J57=1),ARBETSBLAD!J100*ARBETSBLAD!$G$100))</f>
        <v>0</v>
      </c>
      <c r="K376" s="1536">
        <f>(SUMPRODUCT(ARBETSBLAD!K88:K97,ARBETSBLAD!$G$88:$G$97)*K57+IF(AND(ARBETSBLAD!$G$99&gt;0,fx!K57=1),ARBETSBLAD!K100*ARBETSBLAD!$G$100))</f>
        <v>0</v>
      </c>
      <c r="L376" s="1536">
        <f>(SUMPRODUCT(ARBETSBLAD!L88:L97,ARBETSBLAD!$G$88:$G$97)*L57+IF(AND(ARBETSBLAD!$G$99&gt;0,fx!L57=1),ARBETSBLAD!L100*ARBETSBLAD!$G$100))</f>
        <v>0</v>
      </c>
      <c r="M376" s="1536">
        <f>(SUMPRODUCT(ARBETSBLAD!M88:M97,ARBETSBLAD!$G$88:$G$97)*M57+IF(AND(ARBETSBLAD!$G$99&gt;0,fx!M57=1),ARBETSBLAD!M100*ARBETSBLAD!$G$100))</f>
        <v>0</v>
      </c>
      <c r="N376" s="1536">
        <f>(SUMPRODUCT(ARBETSBLAD!N88:N97,ARBETSBLAD!$G$88:$G$97)*N57+IF(AND(ARBETSBLAD!$G$99&gt;0,fx!N57=1),ARBETSBLAD!N100*ARBETSBLAD!$G$100))</f>
        <v>0</v>
      </c>
      <c r="O376" s="1536">
        <f>(SUMPRODUCT(ARBETSBLAD!O88:O97,ARBETSBLAD!$G$88:$G$97)*O57+IF(AND(ARBETSBLAD!$G$99&gt;0,fx!O57=1),ARBETSBLAD!O100*ARBETSBLAD!$G$100))</f>
        <v>0</v>
      </c>
      <c r="P376" s="1536">
        <f>(SUMPRODUCT(ARBETSBLAD!P88:P97,ARBETSBLAD!$G$88:$G$97)*P57+IF(AND(ARBETSBLAD!$G$99&gt;0,fx!P57=1),ARBETSBLAD!P100*ARBETSBLAD!$G$100))</f>
        <v>0</v>
      </c>
      <c r="Q376" s="1536">
        <f>(SUMPRODUCT(ARBETSBLAD!Q88:Q97,ARBETSBLAD!$G$88:$G$97)*Q57+IF(AND(ARBETSBLAD!$G$99&gt;0,fx!Q57=1),ARBETSBLAD!Q100*ARBETSBLAD!$G$100))</f>
        <v>0</v>
      </c>
      <c r="R376" s="1536">
        <f>(SUMPRODUCT(ARBETSBLAD!R88:R97,ARBETSBLAD!$G$88:$G$97)*R57+IF(AND(ARBETSBLAD!$G$99&gt;0,fx!R57=1),ARBETSBLAD!R100*ARBETSBLAD!$G$100))</f>
        <v>0</v>
      </c>
      <c r="S376" s="1536">
        <f>(SUMPRODUCT(ARBETSBLAD!S88:S97,ARBETSBLAD!$G$88:$G$97)*S57+IF(AND(ARBETSBLAD!$G$99&gt;0,fx!S57=1),ARBETSBLAD!S100*ARBETSBLAD!$G$100))</f>
        <v>0</v>
      </c>
      <c r="T376" s="1536">
        <f>(SUMPRODUCT(ARBETSBLAD!T88:T97,ARBETSBLAD!$G$88:$G$97)*T57+IF(AND(ARBETSBLAD!$G$99&gt;0,fx!T57=1),ARBETSBLAD!T100*ARBETSBLAD!$G$100))</f>
        <v>0</v>
      </c>
      <c r="U376" s="1536">
        <f>(SUMPRODUCT(ARBETSBLAD!U88:U97,ARBETSBLAD!$G$88:$G$97)*U57+IF(AND(ARBETSBLAD!$G$99&gt;0,fx!U57=1),ARBETSBLAD!U100*ARBETSBLAD!$G$100))</f>
        <v>0</v>
      </c>
      <c r="V376" s="1536">
        <f>(SUMPRODUCT(ARBETSBLAD!V88:V97,ARBETSBLAD!$G$88:$G$97)*V57+IF(AND(ARBETSBLAD!$G$99&gt;0,fx!V57=1),ARBETSBLAD!V100*ARBETSBLAD!$G$100))</f>
        <v>0</v>
      </c>
      <c r="W376" s="1536">
        <f>(SUMPRODUCT(ARBETSBLAD!W88:W97,ARBETSBLAD!$G$88:$G$97)*W57+IF(AND(ARBETSBLAD!$G$99&gt;0,fx!W57=1),ARBETSBLAD!W100*ARBETSBLAD!$G$100))</f>
        <v>0</v>
      </c>
      <c r="X376" s="1536">
        <f>(SUMPRODUCT(ARBETSBLAD!X88:X97,ARBETSBLAD!$G$88:$G$97)*X57+IF(AND(ARBETSBLAD!$G$99&gt;0,fx!X57=1),ARBETSBLAD!X100*ARBETSBLAD!$G$100))</f>
        <v>0</v>
      </c>
      <c r="Y376" s="1536">
        <f>(SUMPRODUCT(ARBETSBLAD!Y88:Y97,ARBETSBLAD!$G$88:$G$97)*Y57+IF(AND(ARBETSBLAD!$G$99&gt;0,fx!Y57=1),ARBETSBLAD!Y100*ARBETSBLAD!$G$100))</f>
        <v>0</v>
      </c>
      <c r="Z376" s="1536">
        <f>(SUMPRODUCT(ARBETSBLAD!Z88:Z97,ARBETSBLAD!$G$88:$G$97)*Z57+IF(AND(ARBETSBLAD!$G$99&gt;0,fx!Z57=1),ARBETSBLAD!Z100*ARBETSBLAD!$G$100))</f>
        <v>0</v>
      </c>
      <c r="AA376" s="1536">
        <f>(SUMPRODUCT(ARBETSBLAD!AA88:AA97,ARBETSBLAD!$G$88:$G$97)*AA57+IF(AND(ARBETSBLAD!$G$99&gt;0,fx!AA57=1),ARBETSBLAD!AA100*ARBETSBLAD!$G$100))</f>
        <v>0</v>
      </c>
      <c r="AB376" s="1536">
        <f>(SUMPRODUCT(ARBETSBLAD!AB88:AB97,ARBETSBLAD!$G$88:$G$97)*AB57+IF(AND(ARBETSBLAD!$G$99&gt;0,fx!AB57=1),ARBETSBLAD!AB100*ARBETSBLAD!$G$100))</f>
        <v>0</v>
      </c>
      <c r="AC376" s="1536">
        <f>(SUMPRODUCT(ARBETSBLAD!AC88:AC97,ARBETSBLAD!$G$88:$G$97)*AC57+IF(AND(ARBETSBLAD!$G$99&gt;0,fx!AC57=1),ARBETSBLAD!AC100*ARBETSBLAD!$G$100))</f>
        <v>0</v>
      </c>
      <c r="AD376" s="1536">
        <f>(SUMPRODUCT(ARBETSBLAD!AD88:AD97,ARBETSBLAD!$G$88:$G$97)*AD57+IF(AND(ARBETSBLAD!$G$99&gt;0,fx!AD57=1),ARBETSBLAD!AD100*ARBETSBLAD!$G$100))</f>
        <v>0</v>
      </c>
      <c r="AE376" s="1536">
        <f>(SUMPRODUCT(ARBETSBLAD!AE88:AE97,ARBETSBLAD!$G$88:$G$97)*AE57+IF(AND(ARBETSBLAD!$G$99&gt;0,fx!AE57=1),ARBETSBLAD!AE100*ARBETSBLAD!$G$100))</f>
        <v>0</v>
      </c>
      <c r="AF376" s="1536">
        <f>(SUMPRODUCT(ARBETSBLAD!AF88:AF97,ARBETSBLAD!$G$88:$G$97)*AF57+IF(AND(ARBETSBLAD!$G$99&gt;0,fx!AF57=1),ARBETSBLAD!AF100*ARBETSBLAD!$G$100))</f>
        <v>0</v>
      </c>
      <c r="AH376" s="1283"/>
      <c r="AI376" s="1283"/>
      <c r="AJ376" s="1283"/>
      <c r="AL376" s="1566"/>
      <c r="AM376" s="1290"/>
      <c r="AN376" s="1567"/>
    </row>
    <row r="377" spans="1:40" s="115" customFormat="1" ht="13.8" hidden="1">
      <c r="A377" s="1270"/>
      <c r="B377" s="115" t="s">
        <v>1040</v>
      </c>
      <c r="E377" s="1564"/>
      <c r="G377" s="1881"/>
      <c r="I377" s="1536">
        <f>ARBETSBLAD!I103*ARBETSBLAD!$G$102</f>
        <v>0</v>
      </c>
      <c r="J377" s="1536">
        <f>ARBETSBLAD!J103*ARBETSBLAD!$G$102</f>
        <v>0</v>
      </c>
      <c r="K377" s="1536">
        <f>ARBETSBLAD!K103*ARBETSBLAD!$G$102</f>
        <v>0</v>
      </c>
      <c r="L377" s="1536">
        <f>ARBETSBLAD!L103*ARBETSBLAD!$G$102</f>
        <v>0</v>
      </c>
      <c r="M377" s="1536">
        <f>ARBETSBLAD!M103*ARBETSBLAD!$G$102</f>
        <v>0</v>
      </c>
      <c r="N377" s="1536">
        <f>ARBETSBLAD!N103*ARBETSBLAD!$G$102</f>
        <v>0</v>
      </c>
      <c r="O377" s="1536">
        <f>ARBETSBLAD!O103*ARBETSBLAD!$G$102</f>
        <v>0</v>
      </c>
      <c r="P377" s="1536">
        <f>ARBETSBLAD!P103*ARBETSBLAD!$G$102</f>
        <v>0</v>
      </c>
      <c r="Q377" s="1536">
        <f>ARBETSBLAD!Q103*ARBETSBLAD!$G$102</f>
        <v>0</v>
      </c>
      <c r="R377" s="1536">
        <f>ARBETSBLAD!R103*ARBETSBLAD!$G$102</f>
        <v>0</v>
      </c>
      <c r="S377" s="1536">
        <f>ARBETSBLAD!S103*ARBETSBLAD!$G$102</f>
        <v>0</v>
      </c>
      <c r="T377" s="1536">
        <f>ARBETSBLAD!T103*ARBETSBLAD!$G$102</f>
        <v>0</v>
      </c>
      <c r="U377" s="1536">
        <f>ARBETSBLAD!U103*ARBETSBLAD!$G$102</f>
        <v>0</v>
      </c>
      <c r="V377" s="1536">
        <f>ARBETSBLAD!V103*ARBETSBLAD!$G$102</f>
        <v>0</v>
      </c>
      <c r="W377" s="1536">
        <f>ARBETSBLAD!W103*ARBETSBLAD!$G$102</f>
        <v>0</v>
      </c>
      <c r="X377" s="1536">
        <f>ARBETSBLAD!X103*ARBETSBLAD!$G$102</f>
        <v>0</v>
      </c>
      <c r="Y377" s="1536">
        <f>ARBETSBLAD!Y103*ARBETSBLAD!$G$102</f>
        <v>0</v>
      </c>
      <c r="Z377" s="1536">
        <f>ARBETSBLAD!Z103*ARBETSBLAD!$G$102</f>
        <v>0</v>
      </c>
      <c r="AA377" s="1536">
        <f>ARBETSBLAD!AA103*ARBETSBLAD!$G$102</f>
        <v>0</v>
      </c>
      <c r="AB377" s="1536">
        <f>ARBETSBLAD!AB103*ARBETSBLAD!$G$102</f>
        <v>0</v>
      </c>
      <c r="AC377" s="1536">
        <f>ARBETSBLAD!AC103*ARBETSBLAD!$G$102</f>
        <v>0</v>
      </c>
      <c r="AD377" s="1536">
        <f>ARBETSBLAD!AD103*ARBETSBLAD!$G$102</f>
        <v>0</v>
      </c>
      <c r="AE377" s="1536">
        <f>ARBETSBLAD!AE103*ARBETSBLAD!$G$102</f>
        <v>0</v>
      </c>
      <c r="AF377" s="1536">
        <f>ARBETSBLAD!AF103*ARBETSBLAD!$G$102</f>
        <v>0</v>
      </c>
      <c r="AH377" s="1283"/>
      <c r="AI377" s="1283"/>
      <c r="AJ377" s="1283"/>
      <c r="AL377" s="1566"/>
      <c r="AM377" s="1290"/>
      <c r="AN377" s="1567"/>
    </row>
    <row r="378" spans="1:40" s="115" customFormat="1" ht="13.8" hidden="1">
      <c r="A378" s="1270"/>
      <c r="B378" s="115" t="s">
        <v>1059</v>
      </c>
      <c r="E378" s="1564"/>
      <c r="G378" s="1881"/>
      <c r="I378" s="1883">
        <f>ARBETSBLAD!I104-I379</f>
        <v>0</v>
      </c>
      <c r="J378" s="1883">
        <f>ARBETSBLAD!J104-J379</f>
        <v>0</v>
      </c>
      <c r="K378" s="1883">
        <f>ARBETSBLAD!K104-K379</f>
        <v>0</v>
      </c>
      <c r="L378" s="1883">
        <f>ARBETSBLAD!L104-L379</f>
        <v>0</v>
      </c>
      <c r="M378" s="1883">
        <f>ARBETSBLAD!M104-M379</f>
        <v>0</v>
      </c>
      <c r="N378" s="1883">
        <f>ARBETSBLAD!N104-N379</f>
        <v>0</v>
      </c>
      <c r="O378" s="1883">
        <f>ARBETSBLAD!O104-O379</f>
        <v>0</v>
      </c>
      <c r="P378" s="1883">
        <f>ARBETSBLAD!P104-P379</f>
        <v>0</v>
      </c>
      <c r="Q378" s="1883">
        <f>ARBETSBLAD!Q104-Q379</f>
        <v>0</v>
      </c>
      <c r="R378" s="1883">
        <f>ARBETSBLAD!R104-R379</f>
        <v>0</v>
      </c>
      <c r="S378" s="1883">
        <f>ARBETSBLAD!S104-S379</f>
        <v>0</v>
      </c>
      <c r="T378" s="1883">
        <f>ARBETSBLAD!T104-T379</f>
        <v>0</v>
      </c>
      <c r="U378" s="1883">
        <f>ARBETSBLAD!U104-U379</f>
        <v>0</v>
      </c>
      <c r="V378" s="1883">
        <f>ARBETSBLAD!V104-V379</f>
        <v>0</v>
      </c>
      <c r="W378" s="1883">
        <f>ARBETSBLAD!W104-W379</f>
        <v>0</v>
      </c>
      <c r="X378" s="1883">
        <f>ARBETSBLAD!X104-X379</f>
        <v>0</v>
      </c>
      <c r="Y378" s="1883">
        <f>ARBETSBLAD!Y104-Y379</f>
        <v>0</v>
      </c>
      <c r="Z378" s="1883">
        <f>ARBETSBLAD!Z104-Z379</f>
        <v>0</v>
      </c>
      <c r="AA378" s="1883">
        <f>ARBETSBLAD!AA104-AA379</f>
        <v>0</v>
      </c>
      <c r="AB378" s="1883">
        <f>ARBETSBLAD!AB104-AB379</f>
        <v>0</v>
      </c>
      <c r="AC378" s="1883">
        <f>ARBETSBLAD!AC104-AC379</f>
        <v>0</v>
      </c>
      <c r="AD378" s="1883">
        <f>ARBETSBLAD!AD104-AD379</f>
        <v>0</v>
      </c>
      <c r="AE378" s="1883">
        <f>ARBETSBLAD!AE104-AE379</f>
        <v>0</v>
      </c>
      <c r="AF378" s="1883">
        <f>ARBETSBLAD!AF104-AF379</f>
        <v>0</v>
      </c>
      <c r="AH378" s="1283"/>
      <c r="AI378" s="1283"/>
      <c r="AJ378" s="1283"/>
      <c r="AL378" s="1566"/>
      <c r="AM378" s="1290"/>
      <c r="AN378" s="1567"/>
    </row>
    <row r="379" spans="1:40" s="115" customFormat="1" ht="13.8" hidden="1">
      <c r="A379" s="1270"/>
      <c r="B379" s="115" t="s">
        <v>1053</v>
      </c>
      <c r="E379" s="1564"/>
      <c r="G379" s="1881"/>
      <c r="I379" s="1883">
        <f>ARBETSBLAD!I99*ARBETSBLAD!$E$99*I57</f>
        <v>0</v>
      </c>
      <c r="J379" s="1883">
        <f>ARBETSBLAD!J99*ARBETSBLAD!$E$99*J57</f>
        <v>0</v>
      </c>
      <c r="K379" s="1883">
        <f>ARBETSBLAD!K99*ARBETSBLAD!$E$99*K57</f>
        <v>0</v>
      </c>
      <c r="L379" s="1883">
        <f>ARBETSBLAD!L99*ARBETSBLAD!$E$99*L57</f>
        <v>0</v>
      </c>
      <c r="M379" s="1883">
        <f>ARBETSBLAD!M99*ARBETSBLAD!$E$99*M57</f>
        <v>0</v>
      </c>
      <c r="N379" s="1883">
        <f>ARBETSBLAD!N99*ARBETSBLAD!$E$99*N57</f>
        <v>0</v>
      </c>
      <c r="O379" s="1883">
        <f>ARBETSBLAD!O99*ARBETSBLAD!$E$99*O57</f>
        <v>0</v>
      </c>
      <c r="P379" s="1883">
        <f>ARBETSBLAD!P99*ARBETSBLAD!$E$99*P57</f>
        <v>0</v>
      </c>
      <c r="Q379" s="1883">
        <f>ARBETSBLAD!Q99*ARBETSBLAD!$E$99*Q57</f>
        <v>0</v>
      </c>
      <c r="R379" s="1883">
        <f>ARBETSBLAD!R99*ARBETSBLAD!$E$99*R57</f>
        <v>0</v>
      </c>
      <c r="S379" s="1883">
        <f>ARBETSBLAD!S99*ARBETSBLAD!$E$99*S57</f>
        <v>0</v>
      </c>
      <c r="T379" s="1883">
        <f>ARBETSBLAD!T99*ARBETSBLAD!$E$99*T57</f>
        <v>0</v>
      </c>
      <c r="U379" s="1883">
        <f>ARBETSBLAD!U99*ARBETSBLAD!$E$99*U57</f>
        <v>0</v>
      </c>
      <c r="V379" s="1883">
        <f>ARBETSBLAD!V99*ARBETSBLAD!$E$99*V57</f>
        <v>0</v>
      </c>
      <c r="W379" s="1883">
        <f>ARBETSBLAD!W99*ARBETSBLAD!$E$99*W57</f>
        <v>0</v>
      </c>
      <c r="X379" s="1883">
        <f>ARBETSBLAD!X99*ARBETSBLAD!$E$99*X57</f>
        <v>0</v>
      </c>
      <c r="Y379" s="1883">
        <f>ARBETSBLAD!Y99*ARBETSBLAD!$E$99*Y57</f>
        <v>0</v>
      </c>
      <c r="Z379" s="1883">
        <f>ARBETSBLAD!Z99*ARBETSBLAD!$E$99*Z57</f>
        <v>0</v>
      </c>
      <c r="AA379" s="1883">
        <f>ARBETSBLAD!AA99*ARBETSBLAD!$E$99*AA57</f>
        <v>0</v>
      </c>
      <c r="AB379" s="1883">
        <f>ARBETSBLAD!AB99*ARBETSBLAD!$E$99*AB57</f>
        <v>0</v>
      </c>
      <c r="AC379" s="1883">
        <f>ARBETSBLAD!AC99*ARBETSBLAD!$E$99*AC57</f>
        <v>0</v>
      </c>
      <c r="AD379" s="1883">
        <f>ARBETSBLAD!AD99*ARBETSBLAD!$E$99*AD57</f>
        <v>0</v>
      </c>
      <c r="AE379" s="1883">
        <f>ARBETSBLAD!AE99*ARBETSBLAD!$E$99*AE57</f>
        <v>0</v>
      </c>
      <c r="AF379" s="1883">
        <f>ARBETSBLAD!AF99*ARBETSBLAD!$E$99*AF57</f>
        <v>0</v>
      </c>
      <c r="AH379" s="1283"/>
      <c r="AI379" s="1283"/>
      <c r="AJ379" s="1283"/>
      <c r="AL379" s="1566"/>
      <c r="AM379" s="1290"/>
      <c r="AN379" s="1567"/>
    </row>
    <row r="380" spans="1:40" s="115" customFormat="1" ht="13.8" hidden="1">
      <c r="A380" s="1270"/>
      <c r="B380" s="115" t="s">
        <v>1054</v>
      </c>
      <c r="E380" s="1564"/>
      <c r="G380" s="1881"/>
      <c r="I380" s="1883">
        <f>SUMIF($I$57:I57,1,$I$379:I379)+SUM($I$382:I382)-SUM($I$381:I381)</f>
        <v>0</v>
      </c>
      <c r="J380" s="1883">
        <f>SUMIF($I$57:J57,1,$I$379:J379)+SUM($I$382:J382)-SUM($I$381:J381)</f>
        <v>0</v>
      </c>
      <c r="K380" s="1883">
        <f>SUMIF($I$57:K57,1,$I$379:K379)+SUM($I$382:K382)-SUM($I$381:K381)</f>
        <v>0</v>
      </c>
      <c r="L380" s="1883">
        <f>SUMIF($I$57:L57,1,$I$379:L379)+SUM($I$382:L382)-SUM($I$381:L381)</f>
        <v>0</v>
      </c>
      <c r="M380" s="1883">
        <f>SUMIF($I$57:M57,1,$I$379:M379)+SUM($I$382:M382)-SUM($I$381:M381)</f>
        <v>0</v>
      </c>
      <c r="N380" s="1883">
        <f>SUMIF($I$57:N57,1,$I$379:N379)+SUM($I$382:N382)-SUM($I$381:N381)</f>
        <v>0</v>
      </c>
      <c r="O380" s="1883">
        <f>SUMIF($I$57:O57,1,$I$379:O379)+SUM($I$382:O382)-SUM($I$381:O381)</f>
        <v>0</v>
      </c>
      <c r="P380" s="1883">
        <f>SUMIF($I$57:P57,1,$I$379:P379)+SUM($I$382:P382)-SUM($I$381:P381)</f>
        <v>0</v>
      </c>
      <c r="Q380" s="1883">
        <f>SUMIF($I$57:Q57,1,$I$379:Q379)+SUM($I$382:Q382)-SUM($I$381:Q381)</f>
        <v>0</v>
      </c>
      <c r="R380" s="1883">
        <f>SUMIF($I$57:R57,1,$I$379:R379)+SUM($I$382:R382)-SUM($I$381:R381)</f>
        <v>0</v>
      </c>
      <c r="S380" s="1883">
        <f>SUMIF($I$57:S57,1,$I$379:S379)+SUM($I$382:S382)-SUM($I$381:S381)</f>
        <v>0</v>
      </c>
      <c r="T380" s="1883">
        <f>SUMIF($I$57:T57,1,$I$379:T379)+SUM($I$382:T382)-SUM($I$381:T381)</f>
        <v>0</v>
      </c>
      <c r="U380" s="1883">
        <f>SUMIF($I$57:U57,1,$I$379:U379)+SUM($I$382:U382)-SUM($I$381:U381)</f>
        <v>0</v>
      </c>
      <c r="V380" s="1883">
        <f>SUMIF($I$57:V57,1,$I$379:V379)+SUM($I$382:V382)-SUM($I$381:V381)</f>
        <v>0</v>
      </c>
      <c r="W380" s="1883">
        <f>SUMIF($I$57:W57,1,$I$379:W379)+SUM($I$382:W382)-SUM($I$381:W381)</f>
        <v>0</v>
      </c>
      <c r="X380" s="1883">
        <f>SUMIF($I$57:X57,1,$I$379:X379)+SUM($I$382:X382)-SUM($I$381:X381)</f>
        <v>0</v>
      </c>
      <c r="Y380" s="1883">
        <f>SUMIF($I$57:Y57,1,$I$379:Y379)+SUM($I$382:Y382)-SUM($I$381:Y381)</f>
        <v>0</v>
      </c>
      <c r="Z380" s="1883">
        <f>SUMIF($I$57:Z57,1,$I$379:Z379)+SUM($I$382:Z382)-SUM($I$381:Z381)</f>
        <v>0</v>
      </c>
      <c r="AA380" s="1883">
        <f>SUMIF($I$57:AA57,1,$I$379:AA379)+SUM($I$382:AA382)-SUM($I$381:AA381)</f>
        <v>0</v>
      </c>
      <c r="AB380" s="1883">
        <f>SUMIF($I$57:AB57,1,$I$379:AB379)+SUM($I$382:AB382)-SUM($I$381:AB381)</f>
        <v>0</v>
      </c>
      <c r="AC380" s="1883">
        <f>SUMIF($I$57:AC57,1,$I$379:AC379)+SUM($I$382:AC382)-SUM($I$381:AC381)</f>
        <v>0</v>
      </c>
      <c r="AD380" s="1883">
        <f>SUMIF($I$57:AD57,1,$I$379:AD379)+SUM($I$382:AD382)-SUM($I$381:AD381)</f>
        <v>0</v>
      </c>
      <c r="AE380" s="1883">
        <f>SUMIF($I$57:AE57,1,$I$379:AE379)+SUM($I$382:AE382)-SUM($I$381:AE381)</f>
        <v>0</v>
      </c>
      <c r="AF380" s="1883">
        <f>SUMIF($I$57:AF57,1,$I$379:AF379)+SUM($I$382:AF382)-SUM($I$381:AF381)</f>
        <v>0</v>
      </c>
      <c r="AH380" s="1283"/>
      <c r="AI380" s="1283"/>
      <c r="AJ380" s="1283"/>
      <c r="AL380" s="1566"/>
      <c r="AM380" s="1290"/>
      <c r="AN380" s="1567"/>
    </row>
    <row r="381" spans="1:40" s="115" customFormat="1" ht="13.8" hidden="1">
      <c r="A381" s="1270"/>
      <c r="B381" s="115" t="s">
        <v>1055</v>
      </c>
      <c r="E381" s="1564"/>
      <c r="G381" s="1881"/>
      <c r="I381" s="1883">
        <f>ARBETSBLAD!I100*ARBETSBLAD!$E$99*I57</f>
        <v>0</v>
      </c>
      <c r="J381" s="1883">
        <f>ARBETSBLAD!J100*ARBETSBLAD!$E$99*J57</f>
        <v>0</v>
      </c>
      <c r="K381" s="1883">
        <f>ARBETSBLAD!K100*ARBETSBLAD!$E$99*K57</f>
        <v>0</v>
      </c>
      <c r="L381" s="1883">
        <f>ARBETSBLAD!L100*ARBETSBLAD!$E$99*L57</f>
        <v>0</v>
      </c>
      <c r="M381" s="1883">
        <f>ARBETSBLAD!M100*ARBETSBLAD!$E$99*M57</f>
        <v>0</v>
      </c>
      <c r="N381" s="1883">
        <f>ARBETSBLAD!N100*ARBETSBLAD!$E$99*N57</f>
        <v>0</v>
      </c>
      <c r="O381" s="1883">
        <f>ARBETSBLAD!O100*ARBETSBLAD!$E$99*O57</f>
        <v>0</v>
      </c>
      <c r="P381" s="1883">
        <f>ARBETSBLAD!P100*ARBETSBLAD!$E$99*P57</f>
        <v>0</v>
      </c>
      <c r="Q381" s="1883">
        <f>ARBETSBLAD!Q100*ARBETSBLAD!$E$99*Q57</f>
        <v>0</v>
      </c>
      <c r="R381" s="1883">
        <f>ARBETSBLAD!R100*ARBETSBLAD!$E$99*R57</f>
        <v>0</v>
      </c>
      <c r="S381" s="1883">
        <f>ARBETSBLAD!S100*ARBETSBLAD!$E$99*S57</f>
        <v>0</v>
      </c>
      <c r="T381" s="1883">
        <f>ARBETSBLAD!T100*ARBETSBLAD!$E$99*T57</f>
        <v>0</v>
      </c>
      <c r="U381" s="1883">
        <f>ARBETSBLAD!U100*ARBETSBLAD!$E$99*U57</f>
        <v>0</v>
      </c>
      <c r="V381" s="1883">
        <f>ARBETSBLAD!V100*ARBETSBLAD!$E$99*V57</f>
        <v>0</v>
      </c>
      <c r="W381" s="1883">
        <f>ARBETSBLAD!W100*ARBETSBLAD!$E$99*W57</f>
        <v>0</v>
      </c>
      <c r="X381" s="1883">
        <f>ARBETSBLAD!X100*ARBETSBLAD!$E$99*X57</f>
        <v>0</v>
      </c>
      <c r="Y381" s="1883">
        <f>ARBETSBLAD!Y100*ARBETSBLAD!$E$99*Y57</f>
        <v>0</v>
      </c>
      <c r="Z381" s="1883">
        <f>ARBETSBLAD!Z100*ARBETSBLAD!$E$99*Z57</f>
        <v>0</v>
      </c>
      <c r="AA381" s="1883">
        <f>ARBETSBLAD!AA100*ARBETSBLAD!$E$99*AA57</f>
        <v>0</v>
      </c>
      <c r="AB381" s="1883">
        <f>ARBETSBLAD!AB100*ARBETSBLAD!$E$99*AB57</f>
        <v>0</v>
      </c>
      <c r="AC381" s="1883">
        <f>ARBETSBLAD!AC100*ARBETSBLAD!$E$99*AC57</f>
        <v>0</v>
      </c>
      <c r="AD381" s="1883">
        <f>ARBETSBLAD!AD100*ARBETSBLAD!$E$99*AD57</f>
        <v>0</v>
      </c>
      <c r="AE381" s="1883">
        <f>ARBETSBLAD!AE100*ARBETSBLAD!$E$99*AE57</f>
        <v>0</v>
      </c>
      <c r="AF381" s="1883">
        <f>ARBETSBLAD!AF100*ARBETSBLAD!$E$99*AF57</f>
        <v>0</v>
      </c>
      <c r="AH381" s="1283"/>
      <c r="AI381" s="1283"/>
      <c r="AJ381" s="1283"/>
      <c r="AL381" s="1566"/>
      <c r="AM381" s="1290"/>
      <c r="AN381" s="1567"/>
    </row>
    <row r="382" spans="1:40" s="115" customFormat="1" ht="13.8" hidden="1">
      <c r="A382" s="1270"/>
      <c r="B382" s="115" t="s">
        <v>1057</v>
      </c>
      <c r="E382" s="1564"/>
      <c r="G382" s="1881"/>
      <c r="I382" s="1883">
        <f>I446</f>
        <v>0</v>
      </c>
      <c r="J382" s="1883">
        <f t="shared" ref="J382:U382" si="112">J446</f>
        <v>0</v>
      </c>
      <c r="K382" s="1883">
        <f t="shared" si="112"/>
        <v>0</v>
      </c>
      <c r="L382" s="1883">
        <f t="shared" si="112"/>
        <v>0</v>
      </c>
      <c r="M382" s="1883">
        <f t="shared" si="112"/>
        <v>0</v>
      </c>
      <c r="N382" s="1883">
        <f t="shared" si="112"/>
        <v>0</v>
      </c>
      <c r="O382" s="1883">
        <f t="shared" si="112"/>
        <v>0</v>
      </c>
      <c r="P382" s="1883">
        <f t="shared" si="112"/>
        <v>0</v>
      </c>
      <c r="Q382" s="1883">
        <f t="shared" si="112"/>
        <v>0</v>
      </c>
      <c r="R382" s="1883">
        <f t="shared" si="112"/>
        <v>0</v>
      </c>
      <c r="S382" s="1883">
        <f t="shared" si="112"/>
        <v>0</v>
      </c>
      <c r="T382" s="1883">
        <f t="shared" si="112"/>
        <v>0</v>
      </c>
      <c r="U382" s="1883">
        <f t="shared" si="112"/>
        <v>0</v>
      </c>
      <c r="V382" s="1883"/>
      <c r="W382" s="1883"/>
      <c r="X382" s="1883"/>
      <c r="Y382" s="1883"/>
      <c r="Z382" s="1883"/>
      <c r="AA382" s="1883"/>
      <c r="AB382" s="1883"/>
      <c r="AC382" s="1883"/>
      <c r="AD382" s="1897"/>
      <c r="AE382" s="1883"/>
      <c r="AF382" s="1883"/>
      <c r="AH382" s="1283"/>
      <c r="AI382" s="1283"/>
      <c r="AJ382" s="1283"/>
      <c r="AL382" s="1566"/>
      <c r="AM382" s="1290"/>
      <c r="AN382" s="1567"/>
    </row>
    <row r="383" spans="1:40" s="115" customFormat="1" ht="12.9" hidden="1" customHeight="1">
      <c r="A383" s="1270"/>
      <c r="B383" s="1540" t="s">
        <v>1163</v>
      </c>
      <c r="I383" s="226">
        <f t="shared" ref="I383:AF383" si="113">I133</f>
        <v>0</v>
      </c>
      <c r="J383" s="226">
        <f t="shared" si="113"/>
        <v>0</v>
      </c>
      <c r="K383" s="226">
        <f t="shared" si="113"/>
        <v>0</v>
      </c>
      <c r="L383" s="226">
        <f t="shared" si="113"/>
        <v>0</v>
      </c>
      <c r="M383" s="226">
        <f t="shared" si="113"/>
        <v>0</v>
      </c>
      <c r="N383" s="226">
        <f t="shared" si="113"/>
        <v>0</v>
      </c>
      <c r="O383" s="226">
        <f t="shared" si="113"/>
        <v>0</v>
      </c>
      <c r="P383" s="226">
        <f t="shared" si="113"/>
        <v>0</v>
      </c>
      <c r="Q383" s="226">
        <f t="shared" si="113"/>
        <v>0</v>
      </c>
      <c r="R383" s="226">
        <f t="shared" si="113"/>
        <v>0</v>
      </c>
      <c r="S383" s="226">
        <f t="shared" si="113"/>
        <v>0</v>
      </c>
      <c r="T383" s="225">
        <f t="shared" si="113"/>
        <v>0</v>
      </c>
      <c r="U383" s="122">
        <f t="shared" si="113"/>
        <v>0</v>
      </c>
      <c r="V383" s="122">
        <f t="shared" si="113"/>
        <v>0</v>
      </c>
      <c r="W383" s="122">
        <f t="shared" si="113"/>
        <v>0</v>
      </c>
      <c r="X383" s="122">
        <f t="shared" si="113"/>
        <v>0</v>
      </c>
      <c r="Y383" s="122">
        <f t="shared" si="113"/>
        <v>0</v>
      </c>
      <c r="Z383" s="122">
        <f t="shared" si="113"/>
        <v>0</v>
      </c>
      <c r="AA383" s="122">
        <f t="shared" si="113"/>
        <v>0</v>
      </c>
      <c r="AB383" s="122">
        <f t="shared" si="113"/>
        <v>0</v>
      </c>
      <c r="AC383" s="122">
        <f t="shared" si="113"/>
        <v>0</v>
      </c>
      <c r="AD383" s="1568">
        <f t="shared" si="113"/>
        <v>0</v>
      </c>
      <c r="AE383" s="122">
        <f t="shared" si="113"/>
        <v>0</v>
      </c>
      <c r="AF383" s="122">
        <f t="shared" si="113"/>
        <v>0</v>
      </c>
      <c r="AH383" s="1283"/>
      <c r="AI383" s="1283"/>
      <c r="AJ383" s="1283"/>
      <c r="AL383" s="1290"/>
      <c r="AM383" s="1290"/>
      <c r="AN383" s="1290"/>
    </row>
    <row r="384" spans="1:40" s="115" customFormat="1" ht="12.9" hidden="1" customHeight="1">
      <c r="A384" s="1270"/>
      <c r="B384" s="1540" t="s">
        <v>880</v>
      </c>
      <c r="I384" s="232">
        <f>ARBETSBLAD!I274*I57</f>
        <v>0</v>
      </c>
      <c r="J384" s="232">
        <f>ARBETSBLAD!J274*J57</f>
        <v>0</v>
      </c>
      <c r="K384" s="232">
        <f>ARBETSBLAD!K274*K57</f>
        <v>0</v>
      </c>
      <c r="L384" s="232">
        <f>ARBETSBLAD!L274*L57</f>
        <v>0</v>
      </c>
      <c r="M384" s="232">
        <f>ARBETSBLAD!M274*M57</f>
        <v>0</v>
      </c>
      <c r="N384" s="232">
        <f>ARBETSBLAD!N274*N57</f>
        <v>0</v>
      </c>
      <c r="O384" s="232">
        <f>ARBETSBLAD!O274*O57</f>
        <v>0</v>
      </c>
      <c r="P384" s="232">
        <f>ARBETSBLAD!P274*P57</f>
        <v>0</v>
      </c>
      <c r="Q384" s="232">
        <f>ARBETSBLAD!Q274*Q57</f>
        <v>0</v>
      </c>
      <c r="R384" s="232">
        <f>ARBETSBLAD!R274*R57</f>
        <v>0</v>
      </c>
      <c r="S384" s="232">
        <f>ARBETSBLAD!S274*S57</f>
        <v>0</v>
      </c>
      <c r="T384" s="231">
        <f>ARBETSBLAD!T274*T57</f>
        <v>0</v>
      </c>
      <c r="U384" s="128">
        <f>ARBETSBLAD!U274*U57</f>
        <v>0</v>
      </c>
      <c r="V384" s="128">
        <f>ARBETSBLAD!V274*V57</f>
        <v>0</v>
      </c>
      <c r="W384" s="128">
        <f>ARBETSBLAD!W274*W57</f>
        <v>0</v>
      </c>
      <c r="X384" s="128">
        <f>ARBETSBLAD!X274*X57</f>
        <v>0</v>
      </c>
      <c r="Y384" s="128">
        <f>ARBETSBLAD!Y274*Y57</f>
        <v>0</v>
      </c>
      <c r="Z384" s="128">
        <f>ARBETSBLAD!Z274*Z57</f>
        <v>0</v>
      </c>
      <c r="AA384" s="128">
        <f>ARBETSBLAD!AA274*AA57</f>
        <v>0</v>
      </c>
      <c r="AB384" s="128">
        <f>ARBETSBLAD!AB274*AB57</f>
        <v>0</v>
      </c>
      <c r="AC384" s="128">
        <f>ARBETSBLAD!AC274*AC57</f>
        <v>0</v>
      </c>
      <c r="AD384" s="1569">
        <f>ARBETSBLAD!AD274*AD57</f>
        <v>0</v>
      </c>
      <c r="AE384" s="128">
        <f>ARBETSBLAD!AE274*AE57</f>
        <v>0</v>
      </c>
      <c r="AF384" s="128">
        <f>ARBETSBLAD!AF274*AF57</f>
        <v>0</v>
      </c>
      <c r="AH384" s="1283"/>
      <c r="AI384" s="1283"/>
      <c r="AJ384" s="1283"/>
      <c r="AL384" s="1290"/>
      <c r="AM384" s="1290"/>
      <c r="AN384" s="1290"/>
    </row>
    <row r="385" spans="1:40" s="115" customFormat="1" ht="12.9" hidden="1" customHeight="1">
      <c r="A385" s="1270"/>
      <c r="B385" s="1540" t="s">
        <v>762</v>
      </c>
      <c r="I385" s="1570">
        <f>ARBETSBLAD!I233*I57</f>
        <v>0</v>
      </c>
      <c r="J385" s="1570">
        <f>ARBETSBLAD!J233*J57</f>
        <v>0</v>
      </c>
      <c r="K385" s="1570">
        <f>ARBETSBLAD!K233*K57</f>
        <v>0</v>
      </c>
      <c r="L385" s="1570">
        <f>ARBETSBLAD!L233*L57</f>
        <v>0</v>
      </c>
      <c r="M385" s="1570">
        <f>ARBETSBLAD!M233*M57</f>
        <v>0</v>
      </c>
      <c r="N385" s="1570">
        <f>ARBETSBLAD!N233*N57</f>
        <v>0</v>
      </c>
      <c r="O385" s="1570">
        <f>ARBETSBLAD!O233*O57</f>
        <v>0</v>
      </c>
      <c r="P385" s="1570">
        <f>ARBETSBLAD!P233*P57</f>
        <v>0</v>
      </c>
      <c r="Q385" s="1570">
        <f>ARBETSBLAD!Q233*Q57</f>
        <v>0</v>
      </c>
      <c r="R385" s="1570">
        <f>ARBETSBLAD!R233*R57</f>
        <v>0</v>
      </c>
      <c r="S385" s="1570">
        <f>ARBETSBLAD!S233*S57</f>
        <v>0</v>
      </c>
      <c r="T385" s="228">
        <f>ARBETSBLAD!T233*T57</f>
        <v>0</v>
      </c>
      <c r="U385" s="1571">
        <f>ARBETSBLAD!U233*U57</f>
        <v>0</v>
      </c>
      <c r="V385" s="1571">
        <f>ARBETSBLAD!V233*V57</f>
        <v>0</v>
      </c>
      <c r="W385" s="1571">
        <f>ARBETSBLAD!W233*W57</f>
        <v>0</v>
      </c>
      <c r="X385" s="1571">
        <f>ARBETSBLAD!X233*X57</f>
        <v>0</v>
      </c>
      <c r="Y385" s="1571">
        <f>ARBETSBLAD!Y233*Y57</f>
        <v>0</v>
      </c>
      <c r="Z385" s="1571">
        <f>ARBETSBLAD!Z233*Z57</f>
        <v>0</v>
      </c>
      <c r="AA385" s="1571">
        <f>ARBETSBLAD!AA233*AA57</f>
        <v>0</v>
      </c>
      <c r="AB385" s="1571">
        <f>ARBETSBLAD!AB233*AB57</f>
        <v>0</v>
      </c>
      <c r="AC385" s="1571">
        <f>ARBETSBLAD!AC233*AC57</f>
        <v>0</v>
      </c>
      <c r="AD385" s="1572">
        <f>ARBETSBLAD!AD233*AD57</f>
        <v>0</v>
      </c>
      <c r="AE385" s="1571">
        <f>ARBETSBLAD!AE233*AE57</f>
        <v>0</v>
      </c>
      <c r="AF385" s="1571">
        <f>ARBETSBLAD!AF233*AF57</f>
        <v>0</v>
      </c>
      <c r="AH385" s="1283"/>
      <c r="AI385" s="1283"/>
      <c r="AJ385" s="1283"/>
      <c r="AL385" s="1290"/>
      <c r="AM385" s="1290"/>
      <c r="AN385" s="1290"/>
    </row>
    <row r="386" spans="1:40" s="115" customFormat="1" ht="12.9" hidden="1" customHeight="1">
      <c r="A386" s="1270"/>
      <c r="B386" s="1540" t="s">
        <v>964</v>
      </c>
      <c r="I386" s="229">
        <f>ARBETSBLAD!I267*I57</f>
        <v>0</v>
      </c>
      <c r="J386" s="229">
        <f>ARBETSBLAD!J267*J57</f>
        <v>0</v>
      </c>
      <c r="K386" s="229">
        <f>ARBETSBLAD!K267*K57</f>
        <v>0</v>
      </c>
      <c r="L386" s="229">
        <f>ARBETSBLAD!L267*L57</f>
        <v>0</v>
      </c>
      <c r="M386" s="229">
        <f>ARBETSBLAD!M267*M57</f>
        <v>0</v>
      </c>
      <c r="N386" s="229">
        <f>ARBETSBLAD!N267*N57</f>
        <v>0</v>
      </c>
      <c r="O386" s="229">
        <f>ARBETSBLAD!O267*O57</f>
        <v>0</v>
      </c>
      <c r="P386" s="229">
        <f>ARBETSBLAD!P267*P57</f>
        <v>0</v>
      </c>
      <c r="Q386" s="229">
        <f>ARBETSBLAD!Q267*Q57</f>
        <v>0</v>
      </c>
      <c r="R386" s="229">
        <f>ARBETSBLAD!R267*R57</f>
        <v>0</v>
      </c>
      <c r="S386" s="229">
        <f>ARBETSBLAD!S267*S57</f>
        <v>0</v>
      </c>
      <c r="T386" s="228">
        <f>ARBETSBLAD!T267*T57</f>
        <v>0</v>
      </c>
      <c r="U386" s="125">
        <f>ARBETSBLAD!U267*U57</f>
        <v>0</v>
      </c>
      <c r="V386" s="125">
        <f>ARBETSBLAD!V267*V57</f>
        <v>0</v>
      </c>
      <c r="W386" s="125">
        <f>ARBETSBLAD!W267*W57</f>
        <v>0</v>
      </c>
      <c r="X386" s="125">
        <f>ARBETSBLAD!X267*X57</f>
        <v>0</v>
      </c>
      <c r="Y386" s="125">
        <f>ARBETSBLAD!Y267*Y57</f>
        <v>0</v>
      </c>
      <c r="Z386" s="125">
        <f>ARBETSBLAD!Z267*Z57</f>
        <v>0</v>
      </c>
      <c r="AA386" s="125">
        <f>ARBETSBLAD!AA267*AA57</f>
        <v>0</v>
      </c>
      <c r="AB386" s="125">
        <f>ARBETSBLAD!AB267*AB57</f>
        <v>0</v>
      </c>
      <c r="AC386" s="125">
        <f>ARBETSBLAD!AC267*AC57</f>
        <v>0</v>
      </c>
      <c r="AD386" s="1572">
        <f>ARBETSBLAD!AD267*AD57</f>
        <v>0</v>
      </c>
      <c r="AE386" s="125">
        <f>ARBETSBLAD!AE267*AE57</f>
        <v>0</v>
      </c>
      <c r="AF386" s="125">
        <f>ARBETSBLAD!AF267*AF57</f>
        <v>0</v>
      </c>
      <c r="AH386" s="1283"/>
      <c r="AI386" s="1283"/>
      <c r="AJ386" s="1283"/>
      <c r="AL386" s="1290"/>
      <c r="AM386" s="1290"/>
      <c r="AN386" s="1290"/>
    </row>
    <row r="387" spans="1:40" s="115" customFormat="1" ht="12.9" hidden="1" customHeight="1">
      <c r="A387" s="1270"/>
      <c r="B387" s="1540" t="s">
        <v>9</v>
      </c>
      <c r="I387" s="1573">
        <f>ARBETSBLAD!I164*I57</f>
        <v>0</v>
      </c>
      <c r="J387" s="1573">
        <f>ARBETSBLAD!J164*J57</f>
        <v>0</v>
      </c>
      <c r="K387" s="1573">
        <f>ARBETSBLAD!K164*K57</f>
        <v>0</v>
      </c>
      <c r="L387" s="1573">
        <f>ARBETSBLAD!L164*L57</f>
        <v>0</v>
      </c>
      <c r="M387" s="1573">
        <f>ARBETSBLAD!M164*M57</f>
        <v>0</v>
      </c>
      <c r="N387" s="1573">
        <f>ARBETSBLAD!N164*N57</f>
        <v>0</v>
      </c>
      <c r="O387" s="1573">
        <f>ARBETSBLAD!O164*O57</f>
        <v>0</v>
      </c>
      <c r="P387" s="1573">
        <f>ARBETSBLAD!P164*P57</f>
        <v>0</v>
      </c>
      <c r="Q387" s="1573">
        <f>ARBETSBLAD!Q164*Q57</f>
        <v>0</v>
      </c>
      <c r="R387" s="1573">
        <f>ARBETSBLAD!R164*R57</f>
        <v>0</v>
      </c>
      <c r="S387" s="1573">
        <f>ARBETSBLAD!S164*S57</f>
        <v>0</v>
      </c>
      <c r="T387" s="1574">
        <f>ARBETSBLAD!T164*T57</f>
        <v>0</v>
      </c>
      <c r="U387" s="1575">
        <f>ARBETSBLAD!U164*U57</f>
        <v>0</v>
      </c>
      <c r="V387" s="1575">
        <f>ARBETSBLAD!V164*V57</f>
        <v>0</v>
      </c>
      <c r="W387" s="1575">
        <f>ARBETSBLAD!W164*W57</f>
        <v>0</v>
      </c>
      <c r="X387" s="1575">
        <f>ARBETSBLAD!X164*X57</f>
        <v>0</v>
      </c>
      <c r="Y387" s="1575">
        <f>ARBETSBLAD!Y164*Y57</f>
        <v>0</v>
      </c>
      <c r="Z387" s="1575">
        <f>ARBETSBLAD!Z164*Z57</f>
        <v>0</v>
      </c>
      <c r="AA387" s="1575">
        <f>ARBETSBLAD!AA164*AA57</f>
        <v>0</v>
      </c>
      <c r="AB387" s="1575">
        <f>ARBETSBLAD!AB164*AB57</f>
        <v>0</v>
      </c>
      <c r="AC387" s="1575">
        <f>ARBETSBLAD!AC164*AC57</f>
        <v>0</v>
      </c>
      <c r="AD387" s="1575">
        <f>ARBETSBLAD!AD164*AD57</f>
        <v>0</v>
      </c>
      <c r="AE387" s="1575">
        <f>ARBETSBLAD!AE164*AE57</f>
        <v>0</v>
      </c>
      <c r="AF387" s="1575">
        <f>ARBETSBLAD!AF164*AF57</f>
        <v>0</v>
      </c>
      <c r="AH387" s="1283"/>
      <c r="AI387" s="1283"/>
      <c r="AJ387" s="1283"/>
      <c r="AL387" s="1290"/>
      <c r="AM387" s="1290"/>
      <c r="AN387" s="1290"/>
    </row>
    <row r="388" spans="1:40" s="115" customFormat="1" ht="12.9" hidden="1" customHeight="1">
      <c r="A388" s="1270"/>
      <c r="B388" s="1540" t="s">
        <v>965</v>
      </c>
      <c r="I388" s="229">
        <f>(ARBETSBLAD!I170+ARBETSBLAD!I173+ARBETSBLAD!I176+ARBETSBLAD!I179+ARBETSBLAD!I182+I333)*I57</f>
        <v>0</v>
      </c>
      <c r="J388" s="229">
        <f>(ARBETSBLAD!J170+ARBETSBLAD!J173+ARBETSBLAD!J176+ARBETSBLAD!J179+ARBETSBLAD!J182+J333)*J57</f>
        <v>0</v>
      </c>
      <c r="K388" s="229">
        <f>(ARBETSBLAD!K170+ARBETSBLAD!K173+ARBETSBLAD!K176+ARBETSBLAD!K179+ARBETSBLAD!K182+K333)*K57</f>
        <v>0</v>
      </c>
      <c r="L388" s="229">
        <f>(ARBETSBLAD!L170+ARBETSBLAD!L173+ARBETSBLAD!L176+ARBETSBLAD!L179+ARBETSBLAD!L182+L333)*L57</f>
        <v>0</v>
      </c>
      <c r="M388" s="229">
        <f>(ARBETSBLAD!M170+ARBETSBLAD!M173+ARBETSBLAD!M176+ARBETSBLAD!M179+ARBETSBLAD!M182+M333)*M57</f>
        <v>0</v>
      </c>
      <c r="N388" s="229">
        <f>(ARBETSBLAD!N170+ARBETSBLAD!N173+ARBETSBLAD!N176+ARBETSBLAD!N179+ARBETSBLAD!N182+N333)*N57</f>
        <v>0</v>
      </c>
      <c r="O388" s="229">
        <f>(ARBETSBLAD!O170+ARBETSBLAD!O173+ARBETSBLAD!O176+ARBETSBLAD!O179+ARBETSBLAD!O182+O333)*O57</f>
        <v>0</v>
      </c>
      <c r="P388" s="229">
        <f>(ARBETSBLAD!P170+ARBETSBLAD!P173+ARBETSBLAD!P176+ARBETSBLAD!P179+ARBETSBLAD!P182+P333)*P57</f>
        <v>0</v>
      </c>
      <c r="Q388" s="229">
        <f>(ARBETSBLAD!Q170+ARBETSBLAD!Q173+ARBETSBLAD!Q176+ARBETSBLAD!Q179+ARBETSBLAD!Q182+Q333)*Q57</f>
        <v>0</v>
      </c>
      <c r="R388" s="229">
        <f>(ARBETSBLAD!R170+ARBETSBLAD!R173+ARBETSBLAD!R176+ARBETSBLAD!R179+ARBETSBLAD!R182+R333)*R57</f>
        <v>0</v>
      </c>
      <c r="S388" s="229">
        <f>(ARBETSBLAD!S170+ARBETSBLAD!S173+ARBETSBLAD!S176+ARBETSBLAD!S179+ARBETSBLAD!S182+S333)*S57</f>
        <v>0</v>
      </c>
      <c r="T388" s="228">
        <f>(ARBETSBLAD!T170+ARBETSBLAD!T173+ARBETSBLAD!T176+ARBETSBLAD!T179+ARBETSBLAD!T182+T333)*T57</f>
        <v>0</v>
      </c>
      <c r="U388" s="125">
        <f>ARBETSBLAD!U170+ARBETSBLAD!U173+ARBETSBLAD!U176+ARBETSBLAD!U179+ARBETSBLAD!U182+U333</f>
        <v>0</v>
      </c>
      <c r="V388" s="125">
        <f>ARBETSBLAD!V170+ARBETSBLAD!V173+ARBETSBLAD!V176+ARBETSBLAD!V179+ARBETSBLAD!V182+V333</f>
        <v>0</v>
      </c>
      <c r="W388" s="125">
        <f>ARBETSBLAD!W170+ARBETSBLAD!W173+ARBETSBLAD!W176+ARBETSBLAD!W179+ARBETSBLAD!W182+W333</f>
        <v>0</v>
      </c>
      <c r="X388" s="125">
        <f>ARBETSBLAD!X170+ARBETSBLAD!X173+ARBETSBLAD!X176+ARBETSBLAD!X179+ARBETSBLAD!X182+X333</f>
        <v>0</v>
      </c>
      <c r="Y388" s="125">
        <f>ARBETSBLAD!Y170+ARBETSBLAD!Y173+ARBETSBLAD!Y176+ARBETSBLAD!Y179+ARBETSBLAD!Y182+Y333</f>
        <v>0</v>
      </c>
      <c r="Z388" s="125">
        <f>ARBETSBLAD!Z170+ARBETSBLAD!Z173+ARBETSBLAD!Z176+ARBETSBLAD!Z179+ARBETSBLAD!Z182+Z333</f>
        <v>0</v>
      </c>
      <c r="AA388" s="125">
        <f>ARBETSBLAD!AA170+ARBETSBLAD!AA173+ARBETSBLAD!AA176+ARBETSBLAD!AA179+ARBETSBLAD!AA182+AA333</f>
        <v>0</v>
      </c>
      <c r="AB388" s="125">
        <f>ARBETSBLAD!AB170+ARBETSBLAD!AB173+ARBETSBLAD!AB176+ARBETSBLAD!AB179+ARBETSBLAD!AB182+AB333</f>
        <v>0</v>
      </c>
      <c r="AC388" s="125">
        <f>ARBETSBLAD!AC170+ARBETSBLAD!AC173+ARBETSBLAD!AC176+ARBETSBLAD!AC179+ARBETSBLAD!AC182+AC333</f>
        <v>0</v>
      </c>
      <c r="AD388" s="125">
        <f>ARBETSBLAD!AD170+ARBETSBLAD!AD173+ARBETSBLAD!AD176+ARBETSBLAD!AD179+ARBETSBLAD!AD182+AD333</f>
        <v>0</v>
      </c>
      <c r="AE388" s="125">
        <f>ARBETSBLAD!AE170+ARBETSBLAD!AE173+ARBETSBLAD!AE176+ARBETSBLAD!AE179+ARBETSBLAD!AE182+AE333</f>
        <v>0</v>
      </c>
      <c r="AF388" s="125">
        <f>ARBETSBLAD!AF170+ARBETSBLAD!AF173+ARBETSBLAD!AF176+ARBETSBLAD!AF179+ARBETSBLAD!AF182+AF333</f>
        <v>0</v>
      </c>
      <c r="AH388" s="1283"/>
      <c r="AI388" s="1283"/>
      <c r="AJ388" s="1283"/>
      <c r="AL388" s="1290"/>
      <c r="AM388" s="1290"/>
      <c r="AN388" s="1290"/>
    </row>
    <row r="389" spans="1:40" s="115" customFormat="1" ht="12.9" hidden="1" customHeight="1">
      <c r="A389" s="1270"/>
      <c r="B389" s="1540" t="s">
        <v>10</v>
      </c>
      <c r="I389" s="235">
        <f t="shared" ref="I389:AF389" si="114">I134</f>
        <v>0</v>
      </c>
      <c r="J389" s="235">
        <f t="shared" si="114"/>
        <v>0</v>
      </c>
      <c r="K389" s="235">
        <f t="shared" si="114"/>
        <v>0</v>
      </c>
      <c r="L389" s="235">
        <f t="shared" si="114"/>
        <v>0</v>
      </c>
      <c r="M389" s="235">
        <f t="shared" si="114"/>
        <v>0</v>
      </c>
      <c r="N389" s="235">
        <f t="shared" si="114"/>
        <v>0</v>
      </c>
      <c r="O389" s="235">
        <f t="shared" si="114"/>
        <v>0</v>
      </c>
      <c r="P389" s="235">
        <f t="shared" si="114"/>
        <v>0</v>
      </c>
      <c r="Q389" s="235">
        <f t="shared" si="114"/>
        <v>0</v>
      </c>
      <c r="R389" s="1576">
        <f t="shared" si="114"/>
        <v>0</v>
      </c>
      <c r="S389" s="235">
        <f t="shared" si="114"/>
        <v>0</v>
      </c>
      <c r="T389" s="1577">
        <f t="shared" si="114"/>
        <v>0</v>
      </c>
      <c r="U389" s="1578">
        <f t="shared" si="114"/>
        <v>0</v>
      </c>
      <c r="V389" s="1578">
        <f t="shared" si="114"/>
        <v>0</v>
      </c>
      <c r="W389" s="1578">
        <f t="shared" si="114"/>
        <v>0</v>
      </c>
      <c r="X389" s="1578">
        <f t="shared" si="114"/>
        <v>0</v>
      </c>
      <c r="Y389" s="1578">
        <f t="shared" si="114"/>
        <v>0</v>
      </c>
      <c r="Z389" s="1578">
        <f t="shared" si="114"/>
        <v>0</v>
      </c>
      <c r="AA389" s="1578">
        <f t="shared" si="114"/>
        <v>0</v>
      </c>
      <c r="AB389" s="1578">
        <f t="shared" si="114"/>
        <v>0</v>
      </c>
      <c r="AC389" s="1578">
        <f t="shared" si="114"/>
        <v>0</v>
      </c>
      <c r="AD389" s="1579">
        <f t="shared" si="114"/>
        <v>0</v>
      </c>
      <c r="AE389" s="1578">
        <f t="shared" si="114"/>
        <v>0</v>
      </c>
      <c r="AF389" s="1578">
        <f t="shared" si="114"/>
        <v>0</v>
      </c>
      <c r="AH389" s="1283"/>
      <c r="AI389" s="1283"/>
      <c r="AJ389" s="1283"/>
      <c r="AL389" s="1290"/>
      <c r="AM389" s="1290"/>
      <c r="AN389" s="1290"/>
    </row>
    <row r="390" spans="1:40" s="115" customFormat="1" ht="12.9" hidden="1" customHeight="1">
      <c r="A390" s="1270"/>
      <c r="B390" s="1540" t="s">
        <v>11</v>
      </c>
      <c r="I390" s="223">
        <f t="shared" ref="I390:AF390" si="115">IF($G$375=1,I363,IF($G$375=2,I368,IF($G$375=3,I373,0)))+I467</f>
        <v>0</v>
      </c>
      <c r="J390" s="223">
        <f t="shared" si="115"/>
        <v>0</v>
      </c>
      <c r="K390" s="223">
        <f t="shared" ca="1" si="115"/>
        <v>0</v>
      </c>
      <c r="L390" s="223">
        <f t="shared" ca="1" si="115"/>
        <v>0</v>
      </c>
      <c r="M390" s="223">
        <f t="shared" ca="1" si="115"/>
        <v>0</v>
      </c>
      <c r="N390" s="223">
        <f t="shared" ca="1" si="115"/>
        <v>0</v>
      </c>
      <c r="O390" s="223">
        <f t="shared" ca="1" si="115"/>
        <v>0</v>
      </c>
      <c r="P390" s="223">
        <f t="shared" ca="1" si="115"/>
        <v>0</v>
      </c>
      <c r="Q390" s="223">
        <f t="shared" ca="1" si="115"/>
        <v>0</v>
      </c>
      <c r="R390" s="223">
        <f t="shared" ca="1" si="115"/>
        <v>0</v>
      </c>
      <c r="S390" s="223">
        <f t="shared" ca="1" si="115"/>
        <v>0</v>
      </c>
      <c r="T390" s="236">
        <f t="shared" ca="1" si="115"/>
        <v>0</v>
      </c>
      <c r="U390" s="118">
        <f t="shared" ca="1" si="115"/>
        <v>0</v>
      </c>
      <c r="V390" s="118">
        <f t="shared" ca="1" si="115"/>
        <v>0</v>
      </c>
      <c r="W390" s="118">
        <f t="shared" ca="1" si="115"/>
        <v>0</v>
      </c>
      <c r="X390" s="118">
        <f t="shared" ca="1" si="115"/>
        <v>0</v>
      </c>
      <c r="Y390" s="118">
        <f t="shared" ca="1" si="115"/>
        <v>0</v>
      </c>
      <c r="Z390" s="118">
        <f t="shared" ca="1" si="115"/>
        <v>0</v>
      </c>
      <c r="AA390" s="118">
        <f t="shared" ca="1" si="115"/>
        <v>0</v>
      </c>
      <c r="AB390" s="118">
        <f t="shared" ca="1" si="115"/>
        <v>0</v>
      </c>
      <c r="AC390" s="118">
        <f t="shared" ca="1" si="115"/>
        <v>0</v>
      </c>
      <c r="AD390" s="118">
        <f t="shared" ca="1" si="115"/>
        <v>0</v>
      </c>
      <c r="AE390" s="118">
        <f t="shared" ca="1" si="115"/>
        <v>0</v>
      </c>
      <c r="AF390" s="118">
        <f t="shared" ca="1" si="115"/>
        <v>0</v>
      </c>
      <c r="AH390" s="1283"/>
      <c r="AI390" s="1283"/>
      <c r="AJ390" s="1283"/>
      <c r="AL390" s="1290"/>
      <c r="AM390" s="1290"/>
      <c r="AN390" s="1290"/>
    </row>
    <row r="391" spans="1:40" s="115" customFormat="1" ht="12.9" hidden="1" customHeight="1">
      <c r="A391" s="1270"/>
      <c r="B391" s="1540" t="s">
        <v>12</v>
      </c>
      <c r="I391" s="224">
        <f t="shared" ref="I391:AF391" si="116">SUM(I383:I390)</f>
        <v>0</v>
      </c>
      <c r="J391" s="224">
        <f t="shared" si="116"/>
        <v>0</v>
      </c>
      <c r="K391" s="224">
        <f t="shared" ca="1" si="116"/>
        <v>0</v>
      </c>
      <c r="L391" s="1580">
        <f t="shared" ca="1" si="116"/>
        <v>0</v>
      </c>
      <c r="M391" s="223">
        <f t="shared" ca="1" si="116"/>
        <v>0</v>
      </c>
      <c r="N391" s="224">
        <f t="shared" ca="1" si="116"/>
        <v>0</v>
      </c>
      <c r="O391" s="224">
        <f t="shared" ca="1" si="116"/>
        <v>0</v>
      </c>
      <c r="P391" s="224">
        <f t="shared" ca="1" si="116"/>
        <v>0</v>
      </c>
      <c r="Q391" s="224">
        <f t="shared" ca="1" si="116"/>
        <v>0</v>
      </c>
      <c r="R391" s="1581">
        <f t="shared" ca="1" si="116"/>
        <v>0</v>
      </c>
      <c r="S391" s="224">
        <f t="shared" ca="1" si="116"/>
        <v>0</v>
      </c>
      <c r="T391" s="234">
        <f t="shared" ca="1" si="116"/>
        <v>0</v>
      </c>
      <c r="U391" s="119">
        <f t="shared" ca="1" si="116"/>
        <v>0</v>
      </c>
      <c r="V391" s="119">
        <f t="shared" ca="1" si="116"/>
        <v>0</v>
      </c>
      <c r="W391" s="118">
        <f t="shared" ca="1" si="116"/>
        <v>0</v>
      </c>
      <c r="X391" s="1582">
        <f t="shared" ca="1" si="116"/>
        <v>0</v>
      </c>
      <c r="Y391" s="118">
        <f t="shared" ca="1" si="116"/>
        <v>0</v>
      </c>
      <c r="Z391" s="119">
        <f t="shared" ca="1" si="116"/>
        <v>0</v>
      </c>
      <c r="AA391" s="119">
        <f t="shared" ca="1" si="116"/>
        <v>0</v>
      </c>
      <c r="AB391" s="119">
        <f t="shared" ca="1" si="116"/>
        <v>0</v>
      </c>
      <c r="AC391" s="119">
        <f t="shared" ca="1" si="116"/>
        <v>0</v>
      </c>
      <c r="AD391" s="1583">
        <f t="shared" ca="1" si="116"/>
        <v>0</v>
      </c>
      <c r="AE391" s="119">
        <f t="shared" ca="1" si="116"/>
        <v>0</v>
      </c>
      <c r="AF391" s="119">
        <f t="shared" ca="1" si="116"/>
        <v>0</v>
      </c>
      <c r="AH391" s="1283"/>
      <c r="AI391" s="1283"/>
      <c r="AJ391" s="1283"/>
      <c r="AL391" s="1290"/>
      <c r="AM391" s="1290"/>
      <c r="AN391" s="1290"/>
    </row>
    <row r="392" spans="1:40" s="115" customFormat="1" ht="12.9" hidden="1" customHeight="1">
      <c r="A392" s="1270"/>
      <c r="B392" s="1540" t="s">
        <v>160</v>
      </c>
      <c r="I392" s="1584"/>
      <c r="J392" s="1584"/>
      <c r="K392" s="1584"/>
      <c r="L392" s="1584"/>
      <c r="M392" s="1584"/>
      <c r="N392" s="1584"/>
      <c r="O392" s="1584"/>
      <c r="P392" s="1584"/>
      <c r="Q392" s="1584"/>
      <c r="R392" s="1584"/>
      <c r="S392" s="1584"/>
      <c r="T392" s="1585"/>
      <c r="U392" s="1586"/>
      <c r="V392" s="1356"/>
      <c r="W392" s="1356"/>
      <c r="X392" s="1356"/>
      <c r="Y392" s="1356"/>
      <c r="Z392" s="1356"/>
      <c r="AA392" s="1356"/>
      <c r="AB392" s="1356"/>
      <c r="AC392" s="1356"/>
      <c r="AD392" s="1356"/>
      <c r="AE392" s="1356"/>
      <c r="AF392" s="1356"/>
      <c r="AH392" s="1283"/>
      <c r="AI392" s="1283"/>
      <c r="AJ392" s="1283"/>
      <c r="AL392" s="1290"/>
      <c r="AM392" s="1290"/>
      <c r="AN392" s="1290"/>
    </row>
    <row r="393" spans="1:40" s="115" customFormat="1" ht="12.9" hidden="1" customHeight="1">
      <c r="A393" s="1270"/>
      <c r="B393" s="1540" t="s">
        <v>220</v>
      </c>
      <c r="I393" s="226">
        <f t="shared" ref="I393:AF393" si="117">I200</f>
        <v>0</v>
      </c>
      <c r="J393" s="226">
        <f t="shared" si="117"/>
        <v>0</v>
      </c>
      <c r="K393" s="226">
        <f t="shared" si="117"/>
        <v>0</v>
      </c>
      <c r="L393" s="226">
        <f t="shared" si="117"/>
        <v>0</v>
      </c>
      <c r="M393" s="226">
        <f t="shared" si="117"/>
        <v>0</v>
      </c>
      <c r="N393" s="226">
        <f t="shared" si="117"/>
        <v>0</v>
      </c>
      <c r="O393" s="226">
        <f t="shared" si="117"/>
        <v>0</v>
      </c>
      <c r="P393" s="226">
        <f t="shared" si="117"/>
        <v>0</v>
      </c>
      <c r="Q393" s="226">
        <f t="shared" si="117"/>
        <v>0</v>
      </c>
      <c r="R393" s="1587">
        <f t="shared" si="117"/>
        <v>0</v>
      </c>
      <c r="S393" s="226">
        <f t="shared" si="117"/>
        <v>0</v>
      </c>
      <c r="T393" s="225">
        <f t="shared" si="117"/>
        <v>0</v>
      </c>
      <c r="U393" s="122">
        <f t="shared" si="117"/>
        <v>0</v>
      </c>
      <c r="V393" s="122">
        <f t="shared" si="117"/>
        <v>0</v>
      </c>
      <c r="W393" s="122">
        <f t="shared" si="117"/>
        <v>0</v>
      </c>
      <c r="X393" s="122">
        <f t="shared" si="117"/>
        <v>0</v>
      </c>
      <c r="Y393" s="122">
        <f t="shared" si="117"/>
        <v>0</v>
      </c>
      <c r="Z393" s="122">
        <f t="shared" si="117"/>
        <v>0</v>
      </c>
      <c r="AA393" s="122">
        <f t="shared" si="117"/>
        <v>0</v>
      </c>
      <c r="AB393" s="122">
        <f t="shared" si="117"/>
        <v>0</v>
      </c>
      <c r="AC393" s="122">
        <f t="shared" si="117"/>
        <v>0</v>
      </c>
      <c r="AD393" s="1568">
        <f t="shared" si="117"/>
        <v>0</v>
      </c>
      <c r="AE393" s="122">
        <f t="shared" si="117"/>
        <v>0</v>
      </c>
      <c r="AF393" s="122">
        <f t="shared" si="117"/>
        <v>0</v>
      </c>
      <c r="AH393" s="1283"/>
      <c r="AI393" s="1283"/>
      <c r="AJ393" s="1283"/>
      <c r="AL393" s="1290"/>
      <c r="AM393" s="1290"/>
      <c r="AN393" s="1290"/>
    </row>
    <row r="394" spans="1:40" s="115" customFormat="1" ht="12.9" hidden="1" customHeight="1">
      <c r="A394" s="1270"/>
      <c r="B394" s="1540" t="s">
        <v>1160</v>
      </c>
      <c r="I394" s="1588">
        <f>I232*fx!I57</f>
        <v>0</v>
      </c>
      <c r="J394" s="1588">
        <f>J232*fx!J57</f>
        <v>0</v>
      </c>
      <c r="K394" s="1588">
        <f ca="1">K232*fx!K57</f>
        <v>0</v>
      </c>
      <c r="L394" s="1588">
        <f ca="1">L232*fx!L57</f>
        <v>0</v>
      </c>
      <c r="M394" s="1588">
        <f ca="1">M232*fx!M57</f>
        <v>0</v>
      </c>
      <c r="N394" s="1588">
        <f ca="1">N232*fx!N57</f>
        <v>0</v>
      </c>
      <c r="O394" s="1588">
        <f ca="1">O232*fx!O57</f>
        <v>0</v>
      </c>
      <c r="P394" s="1588">
        <f ca="1">P232*fx!P57</f>
        <v>0</v>
      </c>
      <c r="Q394" s="1588">
        <f ca="1">Q232*fx!Q57</f>
        <v>0</v>
      </c>
      <c r="R394" s="1589">
        <f ca="1">R232*fx!R57</f>
        <v>0</v>
      </c>
      <c r="S394" s="1588">
        <f ca="1">S232*fx!S57</f>
        <v>0</v>
      </c>
      <c r="T394" s="1590">
        <f ca="1">T232*fx!T57</f>
        <v>0</v>
      </c>
      <c r="U394" s="1591">
        <f ca="1">U232*fx!U57</f>
        <v>0</v>
      </c>
      <c r="V394" s="1591">
        <f ca="1">V232*fx!V57</f>
        <v>0</v>
      </c>
      <c r="W394" s="1591">
        <f ca="1">W232*fx!W57</f>
        <v>0</v>
      </c>
      <c r="X394" s="1591">
        <f ca="1">X232*fx!X57</f>
        <v>0</v>
      </c>
      <c r="Y394" s="1591">
        <f ca="1">Y232*fx!Y57</f>
        <v>0</v>
      </c>
      <c r="Z394" s="1591">
        <f ca="1">Z232*fx!Z57</f>
        <v>0</v>
      </c>
      <c r="AA394" s="1591">
        <f ca="1">AA232*fx!AA57</f>
        <v>0</v>
      </c>
      <c r="AB394" s="1591">
        <f ca="1">AB232*fx!AB57</f>
        <v>0</v>
      </c>
      <c r="AC394" s="1591">
        <f ca="1">AC232*fx!AC57</f>
        <v>0</v>
      </c>
      <c r="AD394" s="1592">
        <f ca="1">AD232*fx!AD57</f>
        <v>0</v>
      </c>
      <c r="AE394" s="1591">
        <f ca="1">AE232*fx!AE57</f>
        <v>0</v>
      </c>
      <c r="AF394" s="1591">
        <f ca="1">AF232*fx!AF57</f>
        <v>0</v>
      </c>
      <c r="AH394" s="1283"/>
      <c r="AI394" s="1283"/>
      <c r="AJ394" s="1283"/>
      <c r="AL394" s="1290"/>
      <c r="AM394" s="1290"/>
      <c r="AN394" s="1290"/>
    </row>
    <row r="395" spans="1:40" s="115" customFormat="1" ht="12.9" hidden="1" customHeight="1">
      <c r="A395" s="1270"/>
      <c r="B395" s="1540" t="s">
        <v>227</v>
      </c>
      <c r="I395" s="1588">
        <f t="shared" ref="I395:AF395" si="118">I264</f>
        <v>0</v>
      </c>
      <c r="J395" s="1588">
        <f t="shared" si="118"/>
        <v>0</v>
      </c>
      <c r="K395" s="1588">
        <f t="shared" si="118"/>
        <v>0</v>
      </c>
      <c r="L395" s="1588">
        <f t="shared" si="118"/>
        <v>0</v>
      </c>
      <c r="M395" s="1588">
        <f t="shared" si="118"/>
        <v>0</v>
      </c>
      <c r="N395" s="1588">
        <f t="shared" si="118"/>
        <v>0</v>
      </c>
      <c r="O395" s="1588">
        <f t="shared" si="118"/>
        <v>0</v>
      </c>
      <c r="P395" s="1588">
        <f t="shared" si="118"/>
        <v>0</v>
      </c>
      <c r="Q395" s="1588">
        <f t="shared" si="118"/>
        <v>0</v>
      </c>
      <c r="R395" s="1589">
        <f t="shared" si="118"/>
        <v>0</v>
      </c>
      <c r="S395" s="1588">
        <f t="shared" si="118"/>
        <v>0</v>
      </c>
      <c r="T395" s="1590">
        <f t="shared" si="118"/>
        <v>0</v>
      </c>
      <c r="U395" s="1591">
        <f t="shared" si="118"/>
        <v>0</v>
      </c>
      <c r="V395" s="1591">
        <f t="shared" si="118"/>
        <v>0</v>
      </c>
      <c r="W395" s="1591">
        <f t="shared" si="118"/>
        <v>0</v>
      </c>
      <c r="X395" s="1591">
        <f t="shared" si="118"/>
        <v>0</v>
      </c>
      <c r="Y395" s="1591">
        <f t="shared" si="118"/>
        <v>0</v>
      </c>
      <c r="Z395" s="1591">
        <f t="shared" si="118"/>
        <v>0</v>
      </c>
      <c r="AA395" s="1591">
        <f t="shared" si="118"/>
        <v>0</v>
      </c>
      <c r="AB395" s="1591">
        <f t="shared" si="118"/>
        <v>0</v>
      </c>
      <c r="AC395" s="1591">
        <f t="shared" si="118"/>
        <v>0</v>
      </c>
      <c r="AD395" s="1592">
        <f t="shared" si="118"/>
        <v>0</v>
      </c>
      <c r="AE395" s="1591">
        <f t="shared" si="118"/>
        <v>0</v>
      </c>
      <c r="AF395" s="1591">
        <f t="shared" si="118"/>
        <v>0</v>
      </c>
      <c r="AH395" s="1283"/>
      <c r="AI395" s="1283"/>
      <c r="AJ395" s="1283"/>
      <c r="AL395" s="1290"/>
      <c r="AM395" s="1290"/>
      <c r="AN395" s="1290"/>
    </row>
    <row r="396" spans="1:40" s="115" customFormat="1" ht="12.9" hidden="1" customHeight="1">
      <c r="A396" s="1270"/>
      <c r="B396" s="1540" t="s">
        <v>761</v>
      </c>
      <c r="I396" s="1588">
        <f>ARBETSBLAD!I245*I57</f>
        <v>0</v>
      </c>
      <c r="J396" s="1588">
        <f>ARBETSBLAD!J245*J57</f>
        <v>0</v>
      </c>
      <c r="K396" s="1588">
        <f>ARBETSBLAD!K245*K57</f>
        <v>0</v>
      </c>
      <c r="L396" s="1588">
        <f>ARBETSBLAD!L245*L57</f>
        <v>0</v>
      </c>
      <c r="M396" s="1588">
        <f>ARBETSBLAD!M245*M57</f>
        <v>0</v>
      </c>
      <c r="N396" s="1588">
        <f>ARBETSBLAD!N245*N57</f>
        <v>0</v>
      </c>
      <c r="O396" s="1588">
        <f>ARBETSBLAD!O245*O57</f>
        <v>0</v>
      </c>
      <c r="P396" s="1588">
        <f>ARBETSBLAD!P245*P57</f>
        <v>0</v>
      </c>
      <c r="Q396" s="1588">
        <f>ARBETSBLAD!Q245*Q57</f>
        <v>0</v>
      </c>
      <c r="R396" s="1589">
        <f>ARBETSBLAD!R245*R57</f>
        <v>0</v>
      </c>
      <c r="S396" s="1588">
        <f>ARBETSBLAD!S245*S57</f>
        <v>0</v>
      </c>
      <c r="T396" s="1590">
        <f>ARBETSBLAD!T245*T57</f>
        <v>0</v>
      </c>
      <c r="U396" s="1591">
        <f>ARBETSBLAD!U245*U57</f>
        <v>0</v>
      </c>
      <c r="V396" s="1591">
        <f>ARBETSBLAD!V245*V57</f>
        <v>0</v>
      </c>
      <c r="W396" s="1591">
        <f>ARBETSBLAD!W245*W57</f>
        <v>0</v>
      </c>
      <c r="X396" s="1591">
        <f>ARBETSBLAD!X245*X57</f>
        <v>0</v>
      </c>
      <c r="Y396" s="1591">
        <f>ARBETSBLAD!Y245*Y57</f>
        <v>0</v>
      </c>
      <c r="Z396" s="1591">
        <f>ARBETSBLAD!Z245*Z57</f>
        <v>0</v>
      </c>
      <c r="AA396" s="1591">
        <f>ARBETSBLAD!AA245*AA57</f>
        <v>0</v>
      </c>
      <c r="AB396" s="1591">
        <f>ARBETSBLAD!AB245*AB57</f>
        <v>0</v>
      </c>
      <c r="AC396" s="1591">
        <f>ARBETSBLAD!AC245*AC57</f>
        <v>0</v>
      </c>
      <c r="AD396" s="1592">
        <f>ARBETSBLAD!AD245*AD57</f>
        <v>0</v>
      </c>
      <c r="AE396" s="1591">
        <f>ARBETSBLAD!AE245*AE57</f>
        <v>0</v>
      </c>
      <c r="AF396" s="1591">
        <f>ARBETSBLAD!AF245*AF57</f>
        <v>0</v>
      </c>
      <c r="AH396" s="1283"/>
      <c r="AI396" s="1283"/>
      <c r="AJ396" s="1283"/>
      <c r="AL396" s="1290"/>
      <c r="AM396" s="1290"/>
      <c r="AN396" s="1290"/>
    </row>
    <row r="397" spans="1:40" s="115" customFormat="1" ht="12.9" hidden="1" customHeight="1">
      <c r="A397" s="1270"/>
      <c r="B397" s="1540" t="s">
        <v>966</v>
      </c>
      <c r="I397" s="1588">
        <f>ARBETSBLAD!I266*I57</f>
        <v>0</v>
      </c>
      <c r="J397" s="1588">
        <f>ARBETSBLAD!J266*J57</f>
        <v>0</v>
      </c>
      <c r="K397" s="1588">
        <f>ARBETSBLAD!K266*K57</f>
        <v>0</v>
      </c>
      <c r="L397" s="1588">
        <f>ARBETSBLAD!L266*L57</f>
        <v>0</v>
      </c>
      <c r="M397" s="1588">
        <f>ARBETSBLAD!M266*M57</f>
        <v>0</v>
      </c>
      <c r="N397" s="1588">
        <f>ARBETSBLAD!N266*N57</f>
        <v>0</v>
      </c>
      <c r="O397" s="1588">
        <f>ARBETSBLAD!O266*O57</f>
        <v>0</v>
      </c>
      <c r="P397" s="1588">
        <f>ARBETSBLAD!P266*P57</f>
        <v>0</v>
      </c>
      <c r="Q397" s="1588">
        <f>ARBETSBLAD!Q266*Q57</f>
        <v>0</v>
      </c>
      <c r="R397" s="1589">
        <f>ARBETSBLAD!R266*R57</f>
        <v>0</v>
      </c>
      <c r="S397" s="1588">
        <f>ARBETSBLAD!S266*S57</f>
        <v>0</v>
      </c>
      <c r="T397" s="1590">
        <f>ARBETSBLAD!T266*T57</f>
        <v>0</v>
      </c>
      <c r="U397" s="1591">
        <f>ARBETSBLAD!U266*U57</f>
        <v>0</v>
      </c>
      <c r="V397" s="1591">
        <f>ARBETSBLAD!V266*V57</f>
        <v>0</v>
      </c>
      <c r="W397" s="1591">
        <f>ARBETSBLAD!W266*W57</f>
        <v>0</v>
      </c>
      <c r="X397" s="1591">
        <f>ARBETSBLAD!X266*X57</f>
        <v>0</v>
      </c>
      <c r="Y397" s="1591">
        <f>ARBETSBLAD!Y266*Y57</f>
        <v>0</v>
      </c>
      <c r="Z397" s="1591">
        <f>ARBETSBLAD!Z266*Z57</f>
        <v>0</v>
      </c>
      <c r="AA397" s="1591">
        <f>ARBETSBLAD!AA266*AA57</f>
        <v>0</v>
      </c>
      <c r="AB397" s="1591">
        <f>ARBETSBLAD!AB266*AB57</f>
        <v>0</v>
      </c>
      <c r="AC397" s="1591">
        <f>ARBETSBLAD!AC266*AC57</f>
        <v>0</v>
      </c>
      <c r="AD397" s="1592">
        <f>ARBETSBLAD!AD266*AD57</f>
        <v>0</v>
      </c>
      <c r="AE397" s="1591">
        <f>ARBETSBLAD!AE266*AE57</f>
        <v>0</v>
      </c>
      <c r="AF397" s="1591">
        <f>ARBETSBLAD!AF266*AF57</f>
        <v>0</v>
      </c>
      <c r="AH397" s="1283"/>
      <c r="AI397" s="1283"/>
      <c r="AJ397" s="1283"/>
      <c r="AL397" s="1290"/>
      <c r="AM397" s="1290"/>
      <c r="AN397" s="1290"/>
    </row>
    <row r="398" spans="1:40" s="115" customFormat="1" ht="12.9" hidden="1" customHeight="1">
      <c r="A398" s="1270"/>
      <c r="B398" s="1540" t="s">
        <v>13</v>
      </c>
      <c r="E398" s="1593"/>
      <c r="I398" s="1588">
        <f>SUMPRODUCT(ARBETSBLAD!I88:I97,ARBETSBLAD!$H$88:$H$97)*I57+IF(AND(ARBETSBLAD!$G$99&gt;0,fx!I57=1),ARBETSBLAD!I100*ARBETSBLAD!$H$100,0)</f>
        <v>0</v>
      </c>
      <c r="J398" s="1588">
        <f>SUMPRODUCT(ARBETSBLAD!J88:J97,ARBETSBLAD!$H$88:$H$97)*J57+IF(AND(ARBETSBLAD!$G$99&gt;0,fx!J57=1),ARBETSBLAD!J100*ARBETSBLAD!$H$100,0)</f>
        <v>0</v>
      </c>
      <c r="K398" s="1588">
        <f>SUMPRODUCT(ARBETSBLAD!K88:K97,ARBETSBLAD!$H$88:$H$97)*K57+IF(AND(ARBETSBLAD!$G$99&gt;0,fx!K57=1),ARBETSBLAD!K100*ARBETSBLAD!$H$100,0)</f>
        <v>0</v>
      </c>
      <c r="L398" s="1588">
        <f>SUMPRODUCT(ARBETSBLAD!L88:L97,ARBETSBLAD!$H$88:$H$97)*L57+IF(AND(ARBETSBLAD!$G$99&gt;0,fx!L57=1),ARBETSBLAD!L100*ARBETSBLAD!$H$100,0)</f>
        <v>0</v>
      </c>
      <c r="M398" s="1588">
        <f>SUMPRODUCT(ARBETSBLAD!M88:M97,ARBETSBLAD!$H$88:$H$97)*M57+IF(AND(ARBETSBLAD!$G$99&gt;0,fx!M57=1),ARBETSBLAD!M100*ARBETSBLAD!$H$100,0)</f>
        <v>0</v>
      </c>
      <c r="N398" s="1588">
        <f>SUMPRODUCT(ARBETSBLAD!N88:N97,ARBETSBLAD!$H$88:$H$97)*N57+IF(AND(ARBETSBLAD!$G$99&gt;0,fx!N57=1),ARBETSBLAD!N100*ARBETSBLAD!$H$100,0)</f>
        <v>0</v>
      </c>
      <c r="O398" s="1588">
        <f>SUMPRODUCT(ARBETSBLAD!O88:O97,ARBETSBLAD!$H$88:$H$97)*O57+IF(AND(ARBETSBLAD!$G$99&gt;0,fx!O57=1),ARBETSBLAD!O100*ARBETSBLAD!$H$100,0)</f>
        <v>0</v>
      </c>
      <c r="P398" s="1588">
        <f>SUMPRODUCT(ARBETSBLAD!P88:P97,ARBETSBLAD!$H$88:$H$97)*P57+IF(AND(ARBETSBLAD!$G$99&gt;0,fx!P57=1),ARBETSBLAD!P100*ARBETSBLAD!$H$100,0)</f>
        <v>0</v>
      </c>
      <c r="Q398" s="1588">
        <f>SUMPRODUCT(ARBETSBLAD!Q88:Q97,ARBETSBLAD!$H$88:$H$97)*Q57+IF(AND(ARBETSBLAD!$G$99&gt;0,fx!Q57=1),ARBETSBLAD!Q100*ARBETSBLAD!$H$100,0)</f>
        <v>0</v>
      </c>
      <c r="R398" s="1589">
        <f>SUMPRODUCT(ARBETSBLAD!R88:R97,ARBETSBLAD!$H$88:$H$97)*R57+IF(AND(ARBETSBLAD!$G$99&gt;0,fx!R57=1),ARBETSBLAD!R100*ARBETSBLAD!$H$100,0)</f>
        <v>0</v>
      </c>
      <c r="S398" s="1588">
        <f>SUMPRODUCT(ARBETSBLAD!S88:S97,ARBETSBLAD!$H$88:$H$97)*S57+IF(AND(ARBETSBLAD!$G$99&gt;0,fx!S57=1),ARBETSBLAD!S100*ARBETSBLAD!$H$100,0)</f>
        <v>0</v>
      </c>
      <c r="T398" s="1590">
        <f>SUMPRODUCT(ARBETSBLAD!T88:T97,ARBETSBLAD!$H$88:$H$97)*T57+IF(AND(ARBETSBLAD!$G$99&gt;0,fx!T57=1),ARBETSBLAD!T100*ARBETSBLAD!$H$100,0)</f>
        <v>0</v>
      </c>
      <c r="U398" s="1591">
        <f>SUMPRODUCT(ARBETSBLAD!U88:U97,ARBETSBLAD!$H$88:$H$97)*U57+IF(AND(ARBETSBLAD!$G$99&gt;0,fx!U57=1),ARBETSBLAD!U100*ARBETSBLAD!$H$100,0)</f>
        <v>0</v>
      </c>
      <c r="V398" s="1591">
        <f>SUMPRODUCT(ARBETSBLAD!V88:V97,ARBETSBLAD!$H$88:$H$97)*V57+IF(AND(ARBETSBLAD!$G$99&gt;0,fx!V57=1),ARBETSBLAD!V100*ARBETSBLAD!$H$100,0)</f>
        <v>0</v>
      </c>
      <c r="W398" s="1591">
        <f>SUMPRODUCT(ARBETSBLAD!W88:W97,ARBETSBLAD!$H$88:$H$97)*W57+IF(AND(ARBETSBLAD!$G$99&gt;0,fx!W57=1),ARBETSBLAD!W100*ARBETSBLAD!$H$100,0)</f>
        <v>0</v>
      </c>
      <c r="X398" s="1591">
        <f>SUMPRODUCT(ARBETSBLAD!X88:X97,ARBETSBLAD!$H$88:$H$97)*X57+IF(AND(ARBETSBLAD!$G$99&gt;0,fx!X57=1),ARBETSBLAD!X100*ARBETSBLAD!$H$100,0)</f>
        <v>0</v>
      </c>
      <c r="Y398" s="1591">
        <f>SUMPRODUCT(ARBETSBLAD!Y88:Y97,ARBETSBLAD!$H$88:$H$97)*Y57+IF(AND(ARBETSBLAD!$G$99&gt;0,fx!Y57=1),ARBETSBLAD!Y100*ARBETSBLAD!$H$100,0)</f>
        <v>0</v>
      </c>
      <c r="Z398" s="1591">
        <f>SUMPRODUCT(ARBETSBLAD!Z88:Z97,ARBETSBLAD!$H$88:$H$97)*Z57+IF(AND(ARBETSBLAD!$G$99&gt;0,fx!Z57=1),ARBETSBLAD!Z100*ARBETSBLAD!$H$100,0)</f>
        <v>0</v>
      </c>
      <c r="AA398" s="1591">
        <f>SUMPRODUCT(ARBETSBLAD!AA88:AA97,ARBETSBLAD!$H$88:$H$97)*AA57+IF(AND(ARBETSBLAD!$G$99&gt;0,fx!AA57=1),ARBETSBLAD!AA100*ARBETSBLAD!$H$100,0)</f>
        <v>0</v>
      </c>
      <c r="AB398" s="1591">
        <f>SUMPRODUCT(ARBETSBLAD!AB88:AB97,ARBETSBLAD!$H$88:$H$97)*AB57+IF(AND(ARBETSBLAD!$G$99&gt;0,fx!AB57=1),ARBETSBLAD!AB100*ARBETSBLAD!$H$100,0)</f>
        <v>0</v>
      </c>
      <c r="AC398" s="1591">
        <f>SUMPRODUCT(ARBETSBLAD!AC88:AC97,ARBETSBLAD!$H$88:$H$97)*AC57+IF(AND(ARBETSBLAD!$G$99&gt;0,fx!AC57=1),ARBETSBLAD!AC100*ARBETSBLAD!$H$100,0)</f>
        <v>0</v>
      </c>
      <c r="AD398" s="1592">
        <f>SUMPRODUCT(ARBETSBLAD!AD88:AD97,ARBETSBLAD!$H$88:$H$97)*AD57+IF(AND(ARBETSBLAD!$G$99&gt;0,fx!AD57=1),ARBETSBLAD!AD100*ARBETSBLAD!$H$100,0)</f>
        <v>0</v>
      </c>
      <c r="AE398" s="1591">
        <f>SUMPRODUCT(ARBETSBLAD!AE88:AE97,ARBETSBLAD!$H$88:$H$97)*AE57+IF(AND(ARBETSBLAD!$G$99&gt;0,fx!AE57=1),ARBETSBLAD!AE100*ARBETSBLAD!$H$100,0)</f>
        <v>0</v>
      </c>
      <c r="AF398" s="1591">
        <f>SUMPRODUCT(ARBETSBLAD!AF88:AF97,ARBETSBLAD!$H$88:$H$97)*AF57+IF(AND(ARBETSBLAD!$G$99&gt;0,fx!AF57=1),ARBETSBLAD!AF100*ARBETSBLAD!$H$100,0)</f>
        <v>0</v>
      </c>
      <c r="AH398" s="1283"/>
      <c r="AI398" s="1283"/>
      <c r="AJ398" s="1283"/>
      <c r="AL398" s="1594"/>
      <c r="AM398" s="1290"/>
      <c r="AN398" s="1290"/>
    </row>
    <row r="399" spans="1:40" s="115" customFormat="1" ht="12.9" hidden="1" customHeight="1">
      <c r="A399" s="1270"/>
      <c r="B399" s="1540" t="s">
        <v>14</v>
      </c>
      <c r="E399" s="1593"/>
      <c r="I399" s="1588">
        <f>ARBETSBLAD!I103*ARBETSBLAD!$H$102</f>
        <v>0</v>
      </c>
      <c r="J399" s="1588">
        <f>ARBETSBLAD!J103*ARBETSBLAD!$H$102</f>
        <v>0</v>
      </c>
      <c r="K399" s="1588">
        <f>ARBETSBLAD!K103*ARBETSBLAD!$H$102</f>
        <v>0</v>
      </c>
      <c r="L399" s="1588">
        <f>ARBETSBLAD!L103*ARBETSBLAD!$H$102</f>
        <v>0</v>
      </c>
      <c r="M399" s="1588">
        <f>ARBETSBLAD!M103*ARBETSBLAD!$H$102</f>
        <v>0</v>
      </c>
      <c r="N399" s="1588">
        <f>ARBETSBLAD!N103*ARBETSBLAD!$H$102</f>
        <v>0</v>
      </c>
      <c r="O399" s="1588">
        <f>ARBETSBLAD!O103*ARBETSBLAD!$H$102</f>
        <v>0</v>
      </c>
      <c r="P399" s="1588">
        <f>ARBETSBLAD!P103*ARBETSBLAD!$H$102</f>
        <v>0</v>
      </c>
      <c r="Q399" s="1588">
        <f>ARBETSBLAD!Q103*ARBETSBLAD!$H$102</f>
        <v>0</v>
      </c>
      <c r="R399" s="1589">
        <f>ARBETSBLAD!R103*ARBETSBLAD!$H$102</f>
        <v>0</v>
      </c>
      <c r="S399" s="1588">
        <f>ARBETSBLAD!S103*ARBETSBLAD!$H$102</f>
        <v>0</v>
      </c>
      <c r="T399" s="1590">
        <f>ARBETSBLAD!T103*ARBETSBLAD!$H$102</f>
        <v>0</v>
      </c>
      <c r="U399" s="1591">
        <f>ARBETSBLAD!U103*ARBETSBLAD!$H$102</f>
        <v>0</v>
      </c>
      <c r="V399" s="1591">
        <f>ARBETSBLAD!V103*ARBETSBLAD!$H$102</f>
        <v>0</v>
      </c>
      <c r="W399" s="1591">
        <f>ARBETSBLAD!W103*ARBETSBLAD!$H$102</f>
        <v>0</v>
      </c>
      <c r="X399" s="1591">
        <f>ARBETSBLAD!X103*ARBETSBLAD!$H$102</f>
        <v>0</v>
      </c>
      <c r="Y399" s="1591">
        <f>ARBETSBLAD!Y103*ARBETSBLAD!$H$102</f>
        <v>0</v>
      </c>
      <c r="Z399" s="1591">
        <f>ARBETSBLAD!Z103*ARBETSBLAD!$H$102</f>
        <v>0</v>
      </c>
      <c r="AA399" s="1591">
        <f>ARBETSBLAD!AA103*ARBETSBLAD!$H$102</f>
        <v>0</v>
      </c>
      <c r="AB399" s="1591">
        <f>ARBETSBLAD!AB103*ARBETSBLAD!$H$102</f>
        <v>0</v>
      </c>
      <c r="AC399" s="1591">
        <f>ARBETSBLAD!AC103*ARBETSBLAD!$H$102</f>
        <v>0</v>
      </c>
      <c r="AD399" s="1592">
        <f>ARBETSBLAD!AD103*ARBETSBLAD!$H$102</f>
        <v>0</v>
      </c>
      <c r="AE399" s="1591">
        <f>ARBETSBLAD!AE103*ARBETSBLAD!$H$102</f>
        <v>0</v>
      </c>
      <c r="AF399" s="1591">
        <f>ARBETSBLAD!AF103*ARBETSBLAD!$H$102</f>
        <v>0</v>
      </c>
      <c r="AH399" s="1283"/>
      <c r="AI399" s="1283"/>
      <c r="AJ399" s="1283"/>
      <c r="AL399" s="1594"/>
      <c r="AM399" s="1290"/>
      <c r="AN399" s="1290"/>
    </row>
    <row r="400" spans="1:40" s="115" customFormat="1" ht="12.9" hidden="1" customHeight="1">
      <c r="A400" s="1270"/>
      <c r="B400" s="1540" t="s">
        <v>15</v>
      </c>
      <c r="I400" s="1595">
        <f>I443</f>
        <v>0</v>
      </c>
      <c r="J400" s="1595">
        <f t="shared" ref="J400:AF400" si="119">I376+I377+I378+I381+J443</f>
        <v>0</v>
      </c>
      <c r="K400" s="1595">
        <f t="shared" si="119"/>
        <v>0</v>
      </c>
      <c r="L400" s="1595">
        <f t="shared" si="119"/>
        <v>0</v>
      </c>
      <c r="M400" s="1595">
        <f t="shared" si="119"/>
        <v>0</v>
      </c>
      <c r="N400" s="1595">
        <f t="shared" si="119"/>
        <v>0</v>
      </c>
      <c r="O400" s="1595">
        <f t="shared" si="119"/>
        <v>0</v>
      </c>
      <c r="P400" s="1595">
        <f t="shared" si="119"/>
        <v>0</v>
      </c>
      <c r="Q400" s="1595">
        <f t="shared" si="119"/>
        <v>0</v>
      </c>
      <c r="R400" s="1595">
        <f t="shared" si="119"/>
        <v>0</v>
      </c>
      <c r="S400" s="1595">
        <f t="shared" si="119"/>
        <v>0</v>
      </c>
      <c r="T400" s="1595">
        <f t="shared" si="119"/>
        <v>0</v>
      </c>
      <c r="U400" s="1591">
        <f t="shared" si="119"/>
        <v>0</v>
      </c>
      <c r="V400" s="1591">
        <f t="shared" si="119"/>
        <v>0</v>
      </c>
      <c r="W400" s="1591">
        <f t="shared" si="119"/>
        <v>0</v>
      </c>
      <c r="X400" s="1591">
        <f t="shared" si="119"/>
        <v>0</v>
      </c>
      <c r="Y400" s="1591">
        <f t="shared" si="119"/>
        <v>0</v>
      </c>
      <c r="Z400" s="1591">
        <f t="shared" si="119"/>
        <v>0</v>
      </c>
      <c r="AA400" s="1591">
        <f t="shared" si="119"/>
        <v>0</v>
      </c>
      <c r="AB400" s="1591">
        <f t="shared" si="119"/>
        <v>0</v>
      </c>
      <c r="AC400" s="1591">
        <f t="shared" si="119"/>
        <v>0</v>
      </c>
      <c r="AD400" s="1592">
        <f t="shared" si="119"/>
        <v>0</v>
      </c>
      <c r="AE400" s="1591">
        <f t="shared" si="119"/>
        <v>0</v>
      </c>
      <c r="AF400" s="1591">
        <f t="shared" si="119"/>
        <v>0</v>
      </c>
      <c r="AH400" s="1283"/>
      <c r="AI400" s="1283"/>
      <c r="AJ400" s="1283"/>
      <c r="AL400" s="1290"/>
      <c r="AM400" s="1290"/>
      <c r="AN400" s="1290"/>
    </row>
    <row r="401" spans="1:40" s="115" customFormat="1" ht="12.9" hidden="1" customHeight="1">
      <c r="A401" s="1270"/>
      <c r="B401" s="1540" t="s">
        <v>1067</v>
      </c>
      <c r="I401" s="1906">
        <f>I57*ARBETSBLAD!I262</f>
        <v>0</v>
      </c>
      <c r="J401" s="1906">
        <f>J57*ARBETSBLAD!J262</f>
        <v>0</v>
      </c>
      <c r="K401" s="1906">
        <f>K57*ARBETSBLAD!K262</f>
        <v>0</v>
      </c>
      <c r="L401" s="1906">
        <f>L57*ARBETSBLAD!L262</f>
        <v>0</v>
      </c>
      <c r="M401" s="1906">
        <f>M57*ARBETSBLAD!M262</f>
        <v>0</v>
      </c>
      <c r="N401" s="1906">
        <f>N57*ARBETSBLAD!N262</f>
        <v>0</v>
      </c>
      <c r="O401" s="1906">
        <f>O57*ARBETSBLAD!O262</f>
        <v>0</v>
      </c>
      <c r="P401" s="1906">
        <f>P57*ARBETSBLAD!P262</f>
        <v>0</v>
      </c>
      <c r="Q401" s="1906">
        <f>Q57*ARBETSBLAD!Q262</f>
        <v>0</v>
      </c>
      <c r="R401" s="1907">
        <f>R57*ARBETSBLAD!R262</f>
        <v>0</v>
      </c>
      <c r="S401" s="1906">
        <f>S57*ARBETSBLAD!S262</f>
        <v>0</v>
      </c>
      <c r="T401" s="1908">
        <f>T57*ARBETSBLAD!T262</f>
        <v>0</v>
      </c>
      <c r="U401" s="1909">
        <f>U57*ARBETSBLAD!U262</f>
        <v>0</v>
      </c>
      <c r="V401" s="1909">
        <f>V57*ARBETSBLAD!V262</f>
        <v>0</v>
      </c>
      <c r="W401" s="1909">
        <f>W57*ARBETSBLAD!W262</f>
        <v>0</v>
      </c>
      <c r="X401" s="1909">
        <f>X57*ARBETSBLAD!X262</f>
        <v>0</v>
      </c>
      <c r="Y401" s="1909">
        <f>Y57*ARBETSBLAD!Y262</f>
        <v>0</v>
      </c>
      <c r="Z401" s="1909">
        <f>Z57*ARBETSBLAD!Z262</f>
        <v>0</v>
      </c>
      <c r="AA401" s="1909">
        <f>AA57*ARBETSBLAD!AA262</f>
        <v>0</v>
      </c>
      <c r="AB401" s="1909">
        <f>AB57*ARBETSBLAD!AB262</f>
        <v>0</v>
      </c>
      <c r="AC401" s="1909">
        <f>AC57*ARBETSBLAD!AC262</f>
        <v>0</v>
      </c>
      <c r="AD401" s="1910">
        <f>AD57*ARBETSBLAD!AD262</f>
        <v>0</v>
      </c>
      <c r="AE401" s="1909">
        <f>AE57*ARBETSBLAD!AE262</f>
        <v>0</v>
      </c>
      <c r="AF401" s="1909">
        <f>AF57*ARBETSBLAD!AF262</f>
        <v>0</v>
      </c>
      <c r="AH401" s="1283"/>
      <c r="AI401" s="1283"/>
      <c r="AJ401" s="1283"/>
      <c r="AL401" s="1290"/>
      <c r="AM401" s="1290"/>
      <c r="AN401" s="1290"/>
    </row>
    <row r="402" spans="1:40" s="115" customFormat="1" ht="12.9" hidden="1" customHeight="1">
      <c r="A402" s="1270"/>
      <c r="B402" s="1540" t="s">
        <v>323</v>
      </c>
      <c r="I402" s="1588">
        <f>ARBETSBLAD!I111</f>
        <v>0</v>
      </c>
      <c r="J402" s="1588">
        <f>ARBETSBLAD!J111</f>
        <v>0</v>
      </c>
      <c r="K402" s="1588">
        <f>ARBETSBLAD!K111</f>
        <v>0</v>
      </c>
      <c r="L402" s="1588">
        <f>ARBETSBLAD!L111</f>
        <v>0</v>
      </c>
      <c r="M402" s="1588">
        <f>ARBETSBLAD!M111</f>
        <v>0</v>
      </c>
      <c r="N402" s="1588">
        <f>ARBETSBLAD!N111</f>
        <v>0</v>
      </c>
      <c r="O402" s="1588">
        <f>ARBETSBLAD!O111</f>
        <v>0</v>
      </c>
      <c r="P402" s="1588">
        <f>ARBETSBLAD!P111</f>
        <v>0</v>
      </c>
      <c r="Q402" s="1588">
        <f>ARBETSBLAD!Q111</f>
        <v>0</v>
      </c>
      <c r="R402" s="1589">
        <f>ARBETSBLAD!R111</f>
        <v>0</v>
      </c>
      <c r="S402" s="1588">
        <f>ARBETSBLAD!S111</f>
        <v>0</v>
      </c>
      <c r="T402" s="1590">
        <f>ARBETSBLAD!T111</f>
        <v>0</v>
      </c>
      <c r="U402" s="1591">
        <f>ARBETSBLAD!U111</f>
        <v>0</v>
      </c>
      <c r="V402" s="1591">
        <f>ARBETSBLAD!V111</f>
        <v>0</v>
      </c>
      <c r="W402" s="1591">
        <f>ARBETSBLAD!W111</f>
        <v>0</v>
      </c>
      <c r="X402" s="1591">
        <f>ARBETSBLAD!X111</f>
        <v>0</v>
      </c>
      <c r="Y402" s="1591">
        <f>ARBETSBLAD!Y111</f>
        <v>0</v>
      </c>
      <c r="Z402" s="1591">
        <f>ARBETSBLAD!Z111</f>
        <v>0</v>
      </c>
      <c r="AA402" s="1591">
        <f>ARBETSBLAD!AA111</f>
        <v>0</v>
      </c>
      <c r="AB402" s="1591">
        <f>ARBETSBLAD!AB111</f>
        <v>0</v>
      </c>
      <c r="AC402" s="1591">
        <f>ARBETSBLAD!AC111</f>
        <v>0</v>
      </c>
      <c r="AD402" s="1592">
        <f>ARBETSBLAD!AD111</f>
        <v>0</v>
      </c>
      <c r="AE402" s="1591">
        <f>ARBETSBLAD!AE111</f>
        <v>0</v>
      </c>
      <c r="AF402" s="1591">
        <f>ARBETSBLAD!AF111</f>
        <v>0</v>
      </c>
      <c r="AH402" s="1283"/>
      <c r="AI402" s="1283"/>
      <c r="AJ402" s="1283"/>
      <c r="AL402" s="1290"/>
      <c r="AM402" s="1290"/>
      <c r="AN402" s="1290"/>
    </row>
    <row r="403" spans="1:40" s="115" customFormat="1" ht="12.9" hidden="1" customHeight="1">
      <c r="A403" s="1270"/>
      <c r="B403" s="1540" t="s">
        <v>16</v>
      </c>
      <c r="I403" s="229">
        <f>ARBETSBLAD!I198</f>
        <v>0</v>
      </c>
      <c r="J403" s="229">
        <f>ARBETSBLAD!J198</f>
        <v>0</v>
      </c>
      <c r="K403" s="229">
        <f>ARBETSBLAD!K198</f>
        <v>0</v>
      </c>
      <c r="L403" s="229">
        <f>ARBETSBLAD!L198</f>
        <v>0</v>
      </c>
      <c r="M403" s="229">
        <f>ARBETSBLAD!M198</f>
        <v>0</v>
      </c>
      <c r="N403" s="229">
        <f>ARBETSBLAD!N198</f>
        <v>0</v>
      </c>
      <c r="O403" s="229">
        <f>ARBETSBLAD!O198</f>
        <v>0</v>
      </c>
      <c r="P403" s="229">
        <f>ARBETSBLAD!P198</f>
        <v>0</v>
      </c>
      <c r="Q403" s="229">
        <f>ARBETSBLAD!Q198</f>
        <v>0</v>
      </c>
      <c r="R403" s="229">
        <f>ARBETSBLAD!R198</f>
        <v>0</v>
      </c>
      <c r="S403" s="229">
        <f>ARBETSBLAD!S198</f>
        <v>0</v>
      </c>
      <c r="T403" s="228">
        <f>ARBETSBLAD!T198</f>
        <v>0</v>
      </c>
      <c r="U403" s="125">
        <f>ARBETSBLAD!U198</f>
        <v>0</v>
      </c>
      <c r="V403" s="125">
        <f>ARBETSBLAD!V198</f>
        <v>0</v>
      </c>
      <c r="W403" s="125">
        <f>ARBETSBLAD!W198</f>
        <v>0</v>
      </c>
      <c r="X403" s="125">
        <f>ARBETSBLAD!X198</f>
        <v>0</v>
      </c>
      <c r="Y403" s="125">
        <f>ARBETSBLAD!Y198</f>
        <v>0</v>
      </c>
      <c r="Z403" s="125">
        <f>ARBETSBLAD!Z198</f>
        <v>0</v>
      </c>
      <c r="AA403" s="125">
        <f>ARBETSBLAD!AA198</f>
        <v>0</v>
      </c>
      <c r="AB403" s="125">
        <f>ARBETSBLAD!AB198</f>
        <v>0</v>
      </c>
      <c r="AC403" s="125">
        <f>ARBETSBLAD!AC198</f>
        <v>0</v>
      </c>
      <c r="AD403" s="125">
        <f>ARBETSBLAD!AD198</f>
        <v>0</v>
      </c>
      <c r="AE403" s="125">
        <f>ARBETSBLAD!AE198</f>
        <v>0</v>
      </c>
      <c r="AF403" s="125">
        <f>ARBETSBLAD!AF198</f>
        <v>0</v>
      </c>
      <c r="AH403" s="1283"/>
      <c r="AI403" s="1283"/>
      <c r="AJ403" s="1283"/>
      <c r="AL403" s="1290"/>
      <c r="AM403" s="1290"/>
      <c r="AN403" s="1290"/>
    </row>
    <row r="404" spans="1:40" s="115" customFormat="1" ht="12.9" hidden="1" customHeight="1">
      <c r="A404" s="1270"/>
      <c r="B404" s="1540" t="s">
        <v>1016</v>
      </c>
      <c r="C404" s="1317"/>
      <c r="I404" s="235">
        <f>(ARBETSBLAD!I105+ARBETSBLAD!I106+ARBETSBLAD!I107)*I57</f>
        <v>0</v>
      </c>
      <c r="J404" s="235">
        <f>(ARBETSBLAD!J105+ARBETSBLAD!J106+ARBETSBLAD!J107)*J57</f>
        <v>0</v>
      </c>
      <c r="K404" s="235">
        <f>(ARBETSBLAD!K105+ARBETSBLAD!K106+ARBETSBLAD!K107)*K57</f>
        <v>0</v>
      </c>
      <c r="L404" s="235">
        <f>(ARBETSBLAD!L105+ARBETSBLAD!L106+ARBETSBLAD!L107)*L57</f>
        <v>0</v>
      </c>
      <c r="M404" s="235">
        <f>(ARBETSBLAD!M105+ARBETSBLAD!M106+ARBETSBLAD!M107)*M57</f>
        <v>0</v>
      </c>
      <c r="N404" s="235">
        <f>(ARBETSBLAD!N105+ARBETSBLAD!N106+ARBETSBLAD!N107)*N57</f>
        <v>0</v>
      </c>
      <c r="O404" s="235">
        <f>(ARBETSBLAD!O105+ARBETSBLAD!O106+ARBETSBLAD!O107)*O57</f>
        <v>0</v>
      </c>
      <c r="P404" s="235">
        <f>(ARBETSBLAD!P105+ARBETSBLAD!P106+ARBETSBLAD!P107)*P57</f>
        <v>0</v>
      </c>
      <c r="Q404" s="235">
        <f>(ARBETSBLAD!Q105+ARBETSBLAD!Q106+ARBETSBLAD!Q107)*Q57</f>
        <v>0</v>
      </c>
      <c r="R404" s="1576">
        <f>(ARBETSBLAD!R105+ARBETSBLAD!R106+ARBETSBLAD!R107)*R57</f>
        <v>0</v>
      </c>
      <c r="S404" s="235">
        <f>(ARBETSBLAD!S105+ARBETSBLAD!S106+ARBETSBLAD!S107)*S57</f>
        <v>0</v>
      </c>
      <c r="T404" s="1577">
        <f>(ARBETSBLAD!T105+ARBETSBLAD!T106+ARBETSBLAD!T107)*T57</f>
        <v>0</v>
      </c>
      <c r="U404" s="1578">
        <f>(ARBETSBLAD!U105+ARBETSBLAD!U106+ARBETSBLAD!U107)*U57</f>
        <v>0</v>
      </c>
      <c r="V404" s="1578">
        <f>(ARBETSBLAD!V105+ARBETSBLAD!V106+ARBETSBLAD!V107)*V57</f>
        <v>0</v>
      </c>
      <c r="W404" s="1578">
        <f>(ARBETSBLAD!W105+ARBETSBLAD!W106+ARBETSBLAD!W107)*W57</f>
        <v>0</v>
      </c>
      <c r="X404" s="1578">
        <f>(ARBETSBLAD!X105+ARBETSBLAD!X106+ARBETSBLAD!X107)*X57</f>
        <v>0</v>
      </c>
      <c r="Y404" s="1578">
        <f>(ARBETSBLAD!Y105+ARBETSBLAD!Y106+ARBETSBLAD!Y107)*Y57</f>
        <v>0</v>
      </c>
      <c r="Z404" s="1578">
        <f>(ARBETSBLAD!Z105+ARBETSBLAD!Z106+ARBETSBLAD!Z107)*Z57</f>
        <v>0</v>
      </c>
      <c r="AA404" s="1578">
        <f>(ARBETSBLAD!AA105+ARBETSBLAD!AA106+ARBETSBLAD!AA107)*AA57</f>
        <v>0</v>
      </c>
      <c r="AB404" s="1578">
        <f>(ARBETSBLAD!AB105+ARBETSBLAD!AB106+ARBETSBLAD!AB107)*AB57</f>
        <v>0</v>
      </c>
      <c r="AC404" s="1578">
        <f>(ARBETSBLAD!AC105+ARBETSBLAD!AC106+ARBETSBLAD!AC107)*AC57</f>
        <v>0</v>
      </c>
      <c r="AD404" s="1579">
        <f>(ARBETSBLAD!AD105+ARBETSBLAD!AD106+ARBETSBLAD!AD107)*AD57</f>
        <v>0</v>
      </c>
      <c r="AE404" s="1578">
        <f>(ARBETSBLAD!AE105+ARBETSBLAD!AE106+ARBETSBLAD!AE107)*AE57</f>
        <v>0</v>
      </c>
      <c r="AF404" s="1578">
        <f>(ARBETSBLAD!AF105+ARBETSBLAD!AF106+ARBETSBLAD!AF107)*AF57</f>
        <v>0</v>
      </c>
      <c r="AH404" s="1283"/>
      <c r="AI404" s="1283"/>
      <c r="AJ404" s="1283"/>
      <c r="AL404" s="1290"/>
      <c r="AM404" s="1290"/>
      <c r="AN404" s="1290"/>
    </row>
    <row r="405" spans="1:40" s="115" customFormat="1" ht="12.9" hidden="1" customHeight="1">
      <c r="A405" s="1270"/>
      <c r="B405" s="1540" t="s">
        <v>221</v>
      </c>
      <c r="I405" s="235">
        <f>ARBETSBLAD!I192*I57</f>
        <v>0</v>
      </c>
      <c r="J405" s="235">
        <f>ARBETSBLAD!J192*J57</f>
        <v>0</v>
      </c>
      <c r="K405" s="235">
        <f>ARBETSBLAD!K192*K57</f>
        <v>0</v>
      </c>
      <c r="L405" s="235">
        <f>ARBETSBLAD!L192*L57</f>
        <v>0</v>
      </c>
      <c r="M405" s="235">
        <f>ARBETSBLAD!M192*M57</f>
        <v>0</v>
      </c>
      <c r="N405" s="235">
        <f>ARBETSBLAD!N192*N57</f>
        <v>0</v>
      </c>
      <c r="O405" s="235">
        <f>ARBETSBLAD!O192*O57</f>
        <v>0</v>
      </c>
      <c r="P405" s="235">
        <f>ARBETSBLAD!P192*P57</f>
        <v>0</v>
      </c>
      <c r="Q405" s="235">
        <f>ARBETSBLAD!Q192*Q57</f>
        <v>0</v>
      </c>
      <c r="R405" s="235">
        <f>ARBETSBLAD!R192*R57</f>
        <v>0</v>
      </c>
      <c r="S405" s="235">
        <f>ARBETSBLAD!S192*S57</f>
        <v>0</v>
      </c>
      <c r="T405" s="235">
        <f>ARBETSBLAD!T192*T57</f>
        <v>0</v>
      </c>
      <c r="U405" s="1578">
        <f>ARBETSBLAD!U192</f>
        <v>0</v>
      </c>
      <c r="V405" s="1578">
        <f>ARBETSBLAD!V192</f>
        <v>0</v>
      </c>
      <c r="W405" s="1578">
        <f>ARBETSBLAD!W192</f>
        <v>0</v>
      </c>
      <c r="X405" s="1578">
        <f>ARBETSBLAD!X192</f>
        <v>0</v>
      </c>
      <c r="Y405" s="1578">
        <f>ARBETSBLAD!Y192</f>
        <v>0</v>
      </c>
      <c r="Z405" s="1578">
        <f>ARBETSBLAD!Z192</f>
        <v>0</v>
      </c>
      <c r="AA405" s="1578">
        <f>ARBETSBLAD!AA192</f>
        <v>0</v>
      </c>
      <c r="AB405" s="1578">
        <f>ARBETSBLAD!AB192</f>
        <v>0</v>
      </c>
      <c r="AC405" s="1578">
        <f>ARBETSBLAD!AC192</f>
        <v>0</v>
      </c>
      <c r="AD405" s="1578">
        <f>ARBETSBLAD!AD192</f>
        <v>0</v>
      </c>
      <c r="AE405" s="1578">
        <f>ARBETSBLAD!AE192</f>
        <v>0</v>
      </c>
      <c r="AF405" s="1578">
        <f>ARBETSBLAD!AF192</f>
        <v>0</v>
      </c>
      <c r="AH405" s="1283"/>
      <c r="AI405" s="1283"/>
      <c r="AJ405" s="1283"/>
      <c r="AL405" s="1290"/>
      <c r="AM405" s="1290"/>
      <c r="AN405" s="1290"/>
    </row>
    <row r="406" spans="1:40" s="115" customFormat="1" ht="12.9" hidden="1" customHeight="1">
      <c r="A406" s="1270"/>
      <c r="B406" s="1540" t="s">
        <v>17</v>
      </c>
      <c r="I406" s="235">
        <f>(ARBETSBLAD!I171+ARBETSBLAD!I174+ARBETSBLAD!I177+ARBETSBLAD!I180+ARBETSBLAD!I183+ARBETSBLAD!I185)*I57</f>
        <v>0</v>
      </c>
      <c r="J406" s="235">
        <f>(ARBETSBLAD!J171+ARBETSBLAD!J174+ARBETSBLAD!J177+ARBETSBLAD!J180+ARBETSBLAD!J183+ARBETSBLAD!J185)*J57</f>
        <v>0</v>
      </c>
      <c r="K406" s="235">
        <f>(ARBETSBLAD!K171+ARBETSBLAD!K174+ARBETSBLAD!K177+ARBETSBLAD!K180+ARBETSBLAD!K183+ARBETSBLAD!K185)*K57</f>
        <v>0</v>
      </c>
      <c r="L406" s="235">
        <f>(ARBETSBLAD!L171+ARBETSBLAD!L174+ARBETSBLAD!L177+ARBETSBLAD!L180+ARBETSBLAD!L183+ARBETSBLAD!L185)*L57</f>
        <v>0</v>
      </c>
      <c r="M406" s="235">
        <f>(ARBETSBLAD!M171+ARBETSBLAD!M174+ARBETSBLAD!M177+ARBETSBLAD!M180+ARBETSBLAD!M183+ARBETSBLAD!M185)*M57</f>
        <v>0</v>
      </c>
      <c r="N406" s="235">
        <f>(ARBETSBLAD!N171+ARBETSBLAD!N174+ARBETSBLAD!N177+ARBETSBLAD!N180+ARBETSBLAD!N183+ARBETSBLAD!N185)*N57</f>
        <v>0</v>
      </c>
      <c r="O406" s="235">
        <f>(ARBETSBLAD!O171+ARBETSBLAD!O174+ARBETSBLAD!O177+ARBETSBLAD!O180+ARBETSBLAD!O183+ARBETSBLAD!O185)*O57</f>
        <v>0</v>
      </c>
      <c r="P406" s="235">
        <f>(ARBETSBLAD!P171+ARBETSBLAD!P174+ARBETSBLAD!P177+ARBETSBLAD!P180+ARBETSBLAD!P183+ARBETSBLAD!P185)*P57</f>
        <v>0</v>
      </c>
      <c r="Q406" s="235">
        <f>(ARBETSBLAD!Q171+ARBETSBLAD!Q174+ARBETSBLAD!Q177+ARBETSBLAD!Q180+ARBETSBLAD!Q183+ARBETSBLAD!Q185)*Q57</f>
        <v>0</v>
      </c>
      <c r="R406" s="235">
        <f>(ARBETSBLAD!R171+ARBETSBLAD!R174+ARBETSBLAD!R177+ARBETSBLAD!R180+ARBETSBLAD!R183+ARBETSBLAD!R185)*R57</f>
        <v>0</v>
      </c>
      <c r="S406" s="235">
        <f>(ARBETSBLAD!S171+ARBETSBLAD!S174+ARBETSBLAD!S177+ARBETSBLAD!S180+ARBETSBLAD!S183+ARBETSBLAD!S185)*S57</f>
        <v>0</v>
      </c>
      <c r="T406" s="235">
        <f>(ARBETSBLAD!T171+ARBETSBLAD!T174+ARBETSBLAD!T177+ARBETSBLAD!T180+ARBETSBLAD!T183+ARBETSBLAD!T185)*T57</f>
        <v>0</v>
      </c>
      <c r="U406" s="1578">
        <f>(ARBETSBLAD!U171+ARBETSBLAD!U174+ARBETSBLAD!U177+ARBETSBLAD!U180+ARBETSBLAD!U183+ARBETSBLAD!U185)*U57</f>
        <v>0</v>
      </c>
      <c r="V406" s="1578">
        <f>(ARBETSBLAD!V171+ARBETSBLAD!V174+ARBETSBLAD!V177+ARBETSBLAD!V180+ARBETSBLAD!V183+ARBETSBLAD!V185)*V57</f>
        <v>0</v>
      </c>
      <c r="W406" s="1578">
        <f>(ARBETSBLAD!W171+ARBETSBLAD!W174+ARBETSBLAD!W177+ARBETSBLAD!W180+ARBETSBLAD!W183+ARBETSBLAD!W185)*W57</f>
        <v>0</v>
      </c>
      <c r="X406" s="1578">
        <f>(ARBETSBLAD!X171+ARBETSBLAD!X174+ARBETSBLAD!X177+ARBETSBLAD!X180+ARBETSBLAD!X183+ARBETSBLAD!X185)*X57</f>
        <v>0</v>
      </c>
      <c r="Y406" s="1578">
        <f>(ARBETSBLAD!Y171+ARBETSBLAD!Y174+ARBETSBLAD!Y177+ARBETSBLAD!Y180+ARBETSBLAD!Y183+ARBETSBLAD!Y185)*Y57</f>
        <v>0</v>
      </c>
      <c r="Z406" s="1578">
        <f>(ARBETSBLAD!Z171+ARBETSBLAD!Z174+ARBETSBLAD!Z177+ARBETSBLAD!Z180+ARBETSBLAD!Z183+ARBETSBLAD!Z185)*Z57</f>
        <v>0</v>
      </c>
      <c r="AA406" s="1578">
        <f>(ARBETSBLAD!AA171+ARBETSBLAD!AA174+ARBETSBLAD!AA177+ARBETSBLAD!AA180+ARBETSBLAD!AA183+ARBETSBLAD!AA185)*AA57</f>
        <v>0</v>
      </c>
      <c r="AB406" s="1578">
        <f>(ARBETSBLAD!AB171+ARBETSBLAD!AB174+ARBETSBLAD!AB177+ARBETSBLAD!AB180+ARBETSBLAD!AB183+ARBETSBLAD!AB185)*AB57</f>
        <v>0</v>
      </c>
      <c r="AC406" s="1578">
        <f>(ARBETSBLAD!AC171+ARBETSBLAD!AC174+ARBETSBLAD!AC177+ARBETSBLAD!AC180+ARBETSBLAD!AC183+ARBETSBLAD!AC185)*AC57</f>
        <v>0</v>
      </c>
      <c r="AD406" s="1578">
        <f>(ARBETSBLAD!AD171+ARBETSBLAD!AD174+ARBETSBLAD!AD177+ARBETSBLAD!AD180+ARBETSBLAD!AD183+ARBETSBLAD!AD185)*AD57</f>
        <v>0</v>
      </c>
      <c r="AE406" s="1578">
        <f>(ARBETSBLAD!AE171+ARBETSBLAD!AE174+ARBETSBLAD!AE177+ARBETSBLAD!AE180+ARBETSBLAD!AE183+ARBETSBLAD!AE185)*AE57</f>
        <v>0</v>
      </c>
      <c r="AF406" s="1578">
        <f>(ARBETSBLAD!AF171+ARBETSBLAD!AF174+ARBETSBLAD!AF177+ARBETSBLAD!AF180+ARBETSBLAD!AF183+ARBETSBLAD!AF185)*AF57</f>
        <v>0</v>
      </c>
      <c r="AH406" s="1283"/>
      <c r="AI406" s="1283"/>
      <c r="AJ406" s="1283"/>
      <c r="AL406" s="1290"/>
      <c r="AM406" s="1290"/>
      <c r="AN406" s="1290"/>
    </row>
    <row r="407" spans="1:40" s="115" customFormat="1" ht="12.9" hidden="1" customHeight="1">
      <c r="A407" s="1270"/>
      <c r="B407" s="1540" t="s">
        <v>18</v>
      </c>
      <c r="I407" s="235">
        <f t="shared" ref="I407:AF407" si="120">I292</f>
        <v>0</v>
      </c>
      <c r="J407" s="235">
        <f t="shared" si="120"/>
        <v>0</v>
      </c>
      <c r="K407" s="235">
        <f t="shared" ca="1" si="120"/>
        <v>0</v>
      </c>
      <c r="L407" s="235">
        <f t="shared" ca="1" si="120"/>
        <v>0</v>
      </c>
      <c r="M407" s="235">
        <f t="shared" ca="1" si="120"/>
        <v>0</v>
      </c>
      <c r="N407" s="235">
        <f t="shared" ca="1" si="120"/>
        <v>0</v>
      </c>
      <c r="O407" s="235">
        <f t="shared" ca="1" si="120"/>
        <v>0</v>
      </c>
      <c r="P407" s="235">
        <f t="shared" ca="1" si="120"/>
        <v>0</v>
      </c>
      <c r="Q407" s="235">
        <f t="shared" ca="1" si="120"/>
        <v>0</v>
      </c>
      <c r="R407" s="235">
        <f t="shared" ca="1" si="120"/>
        <v>0</v>
      </c>
      <c r="S407" s="235">
        <f t="shared" ca="1" si="120"/>
        <v>0</v>
      </c>
      <c r="T407" s="1577">
        <f t="shared" ca="1" si="120"/>
        <v>0</v>
      </c>
      <c r="U407" s="1578">
        <f t="shared" ca="1" si="120"/>
        <v>0</v>
      </c>
      <c r="V407" s="1578">
        <f t="shared" ca="1" si="120"/>
        <v>0</v>
      </c>
      <c r="W407" s="1578">
        <f t="shared" ca="1" si="120"/>
        <v>0</v>
      </c>
      <c r="X407" s="1578">
        <f t="shared" ca="1" si="120"/>
        <v>0</v>
      </c>
      <c r="Y407" s="1578">
        <f t="shared" ca="1" si="120"/>
        <v>0</v>
      </c>
      <c r="Z407" s="1578">
        <f t="shared" ca="1" si="120"/>
        <v>0</v>
      </c>
      <c r="AA407" s="1578">
        <f t="shared" ca="1" si="120"/>
        <v>0</v>
      </c>
      <c r="AB407" s="1578">
        <f t="shared" ca="1" si="120"/>
        <v>0</v>
      </c>
      <c r="AC407" s="1578">
        <f t="shared" ca="1" si="120"/>
        <v>0</v>
      </c>
      <c r="AD407" s="1579">
        <f t="shared" ca="1" si="120"/>
        <v>0</v>
      </c>
      <c r="AE407" s="1578">
        <f t="shared" ca="1" si="120"/>
        <v>0</v>
      </c>
      <c r="AF407" s="1578">
        <f t="shared" ca="1" si="120"/>
        <v>0</v>
      </c>
      <c r="AH407" s="1283"/>
      <c r="AI407" s="1283"/>
      <c r="AJ407" s="1283"/>
      <c r="AL407" s="1290"/>
      <c r="AM407" s="1290"/>
      <c r="AN407" s="1290"/>
    </row>
    <row r="408" spans="1:40" s="115" customFormat="1" ht="12.9" hidden="1" customHeight="1">
      <c r="A408" s="1270"/>
      <c r="B408" s="1540" t="s">
        <v>19</v>
      </c>
      <c r="I408" s="223">
        <f t="shared" ref="I408:AF408" si="121">IF($G$375=1,I364,IF($G$375=2,I369,IF($G$375=3,I374,0)))+I468</f>
        <v>0</v>
      </c>
      <c r="J408" s="223">
        <f t="shared" si="121"/>
        <v>0</v>
      </c>
      <c r="K408" s="223">
        <f t="shared" ca="1" si="121"/>
        <v>0</v>
      </c>
      <c r="L408" s="223">
        <f t="shared" ca="1" si="121"/>
        <v>0</v>
      </c>
      <c r="M408" s="223">
        <f t="shared" ca="1" si="121"/>
        <v>0</v>
      </c>
      <c r="N408" s="223">
        <f t="shared" ca="1" si="121"/>
        <v>0</v>
      </c>
      <c r="O408" s="223">
        <f t="shared" ca="1" si="121"/>
        <v>0</v>
      </c>
      <c r="P408" s="223">
        <f t="shared" ca="1" si="121"/>
        <v>0</v>
      </c>
      <c r="Q408" s="223">
        <f t="shared" ca="1" si="121"/>
        <v>0</v>
      </c>
      <c r="R408" s="223">
        <f t="shared" ca="1" si="121"/>
        <v>0</v>
      </c>
      <c r="S408" s="223">
        <f t="shared" ca="1" si="121"/>
        <v>0</v>
      </c>
      <c r="T408" s="236">
        <f t="shared" ca="1" si="121"/>
        <v>0</v>
      </c>
      <c r="U408" s="118">
        <f t="shared" ca="1" si="121"/>
        <v>0</v>
      </c>
      <c r="V408" s="118">
        <f t="shared" ca="1" si="121"/>
        <v>0</v>
      </c>
      <c r="W408" s="118">
        <f t="shared" ca="1" si="121"/>
        <v>0</v>
      </c>
      <c r="X408" s="118">
        <f t="shared" ca="1" si="121"/>
        <v>0</v>
      </c>
      <c r="Y408" s="118">
        <f t="shared" ca="1" si="121"/>
        <v>0</v>
      </c>
      <c r="Z408" s="118">
        <f t="shared" ca="1" si="121"/>
        <v>0</v>
      </c>
      <c r="AA408" s="118">
        <f t="shared" ca="1" si="121"/>
        <v>0</v>
      </c>
      <c r="AB408" s="118">
        <f t="shared" ca="1" si="121"/>
        <v>0</v>
      </c>
      <c r="AC408" s="118">
        <f t="shared" ca="1" si="121"/>
        <v>0</v>
      </c>
      <c r="AD408" s="118">
        <f t="shared" ca="1" si="121"/>
        <v>0</v>
      </c>
      <c r="AE408" s="118">
        <f t="shared" ca="1" si="121"/>
        <v>0</v>
      </c>
      <c r="AF408" s="118">
        <f t="shared" ca="1" si="121"/>
        <v>0</v>
      </c>
      <c r="AH408" s="1283"/>
      <c r="AI408" s="1283"/>
      <c r="AJ408" s="1283"/>
      <c r="AL408" s="1290"/>
      <c r="AM408" s="1290"/>
      <c r="AN408" s="1290"/>
    </row>
    <row r="409" spans="1:40" s="115" customFormat="1" ht="12.9" hidden="1" customHeight="1">
      <c r="A409" s="1270"/>
      <c r="B409" s="1540" t="s">
        <v>20</v>
      </c>
      <c r="I409" s="224">
        <f t="shared" ref="I409:AF409" si="122">SUM(I393:I408)</f>
        <v>0</v>
      </c>
      <c r="J409" s="224">
        <f t="shared" si="122"/>
        <v>0</v>
      </c>
      <c r="K409" s="224">
        <f t="shared" ca="1" si="122"/>
        <v>0</v>
      </c>
      <c r="L409" s="224">
        <f t="shared" ca="1" si="122"/>
        <v>0</v>
      </c>
      <c r="M409" s="224">
        <f t="shared" ca="1" si="122"/>
        <v>0</v>
      </c>
      <c r="N409" s="224">
        <f t="shared" ca="1" si="122"/>
        <v>0</v>
      </c>
      <c r="O409" s="224">
        <f t="shared" ca="1" si="122"/>
        <v>0</v>
      </c>
      <c r="P409" s="224">
        <f t="shared" ca="1" si="122"/>
        <v>0</v>
      </c>
      <c r="Q409" s="224">
        <f t="shared" ca="1" si="122"/>
        <v>0</v>
      </c>
      <c r="R409" s="224">
        <f t="shared" ca="1" si="122"/>
        <v>0</v>
      </c>
      <c r="S409" s="224">
        <f t="shared" ca="1" si="122"/>
        <v>0</v>
      </c>
      <c r="T409" s="234">
        <f t="shared" ca="1" si="122"/>
        <v>0</v>
      </c>
      <c r="U409" s="119">
        <f t="shared" ca="1" si="122"/>
        <v>0</v>
      </c>
      <c r="V409" s="119">
        <f t="shared" ca="1" si="122"/>
        <v>0</v>
      </c>
      <c r="W409" s="119">
        <f t="shared" ca="1" si="122"/>
        <v>0</v>
      </c>
      <c r="X409" s="119">
        <f t="shared" ca="1" si="122"/>
        <v>0</v>
      </c>
      <c r="Y409" s="119">
        <f t="shared" ca="1" si="122"/>
        <v>0</v>
      </c>
      <c r="Z409" s="119">
        <f t="shared" ca="1" si="122"/>
        <v>0</v>
      </c>
      <c r="AA409" s="119">
        <f t="shared" ca="1" si="122"/>
        <v>0</v>
      </c>
      <c r="AB409" s="119">
        <f t="shared" ca="1" si="122"/>
        <v>0</v>
      </c>
      <c r="AC409" s="119">
        <f t="shared" ca="1" si="122"/>
        <v>0</v>
      </c>
      <c r="AD409" s="119">
        <f t="shared" ca="1" si="122"/>
        <v>0</v>
      </c>
      <c r="AE409" s="119">
        <f t="shared" ca="1" si="122"/>
        <v>0</v>
      </c>
      <c r="AF409" s="119">
        <f t="shared" ca="1" si="122"/>
        <v>0</v>
      </c>
      <c r="AH409" s="1283"/>
      <c r="AI409" s="1283"/>
      <c r="AJ409" s="1283"/>
      <c r="AL409" s="1290"/>
      <c r="AM409" s="1290"/>
      <c r="AN409" s="1290"/>
    </row>
    <row r="410" spans="1:40" s="115" customFormat="1" ht="12.9" hidden="1" customHeight="1">
      <c r="A410" s="1270"/>
      <c r="B410" s="1540" t="s">
        <v>21</v>
      </c>
      <c r="I410" s="1584"/>
      <c r="J410" s="1584"/>
      <c r="K410" s="1584"/>
      <c r="L410" s="1584"/>
      <c r="M410" s="1584"/>
      <c r="N410" s="1584"/>
      <c r="O410" s="1584"/>
      <c r="P410" s="1584"/>
      <c r="Q410" s="1584"/>
      <c r="R410" s="1584"/>
      <c r="S410" s="1584"/>
      <c r="T410" s="1585"/>
      <c r="U410" s="1586"/>
      <c r="V410" s="1356"/>
      <c r="W410" s="1356"/>
      <c r="X410" s="1356"/>
      <c r="Y410" s="1356"/>
      <c r="Z410" s="1356"/>
      <c r="AA410" s="1356"/>
      <c r="AB410" s="1356"/>
      <c r="AC410" s="1356"/>
      <c r="AD410" s="1356"/>
      <c r="AE410" s="1356"/>
      <c r="AF410" s="1356"/>
      <c r="AH410" s="1283"/>
      <c r="AI410" s="1283"/>
      <c r="AJ410" s="1283"/>
      <c r="AL410" s="1290"/>
      <c r="AM410" s="1290"/>
      <c r="AN410" s="1290"/>
    </row>
    <row r="411" spans="1:40" s="115" customFormat="1" ht="12.9" hidden="1" customHeight="1">
      <c r="A411" s="1270"/>
      <c r="B411" s="1540" t="s">
        <v>22</v>
      </c>
      <c r="I411" s="226">
        <f>I437</f>
        <v>0</v>
      </c>
      <c r="J411" s="225">
        <f t="shared" ref="J411:T411" si="123">I414+J437</f>
        <v>0</v>
      </c>
      <c r="K411" s="225">
        <f t="shared" si="123"/>
        <v>0</v>
      </c>
      <c r="L411" s="225">
        <f t="shared" ca="1" si="123"/>
        <v>0</v>
      </c>
      <c r="M411" s="225">
        <f t="shared" ca="1" si="123"/>
        <v>0</v>
      </c>
      <c r="N411" s="225">
        <f t="shared" ca="1" si="123"/>
        <v>0</v>
      </c>
      <c r="O411" s="225">
        <f t="shared" ca="1" si="123"/>
        <v>0</v>
      </c>
      <c r="P411" s="225">
        <f t="shared" ca="1" si="123"/>
        <v>0</v>
      </c>
      <c r="Q411" s="225">
        <f t="shared" ca="1" si="123"/>
        <v>0</v>
      </c>
      <c r="R411" s="225">
        <f t="shared" ca="1" si="123"/>
        <v>0</v>
      </c>
      <c r="S411" s="225">
        <f t="shared" ca="1" si="123"/>
        <v>0</v>
      </c>
      <c r="T411" s="225">
        <f t="shared" ca="1" si="123"/>
        <v>0</v>
      </c>
      <c r="U411" s="122">
        <f t="shared" ref="U411:AF411" ca="1" si="124">T414</f>
        <v>0</v>
      </c>
      <c r="V411" s="120">
        <f t="shared" ca="1" si="124"/>
        <v>0</v>
      </c>
      <c r="W411" s="121">
        <f t="shared" ca="1" si="124"/>
        <v>0</v>
      </c>
      <c r="X411" s="122">
        <f t="shared" ca="1" si="124"/>
        <v>0</v>
      </c>
      <c r="Y411" s="122">
        <f t="shared" ca="1" si="124"/>
        <v>0</v>
      </c>
      <c r="Z411" s="122">
        <f t="shared" ca="1" si="124"/>
        <v>0</v>
      </c>
      <c r="AA411" s="122">
        <f t="shared" ca="1" si="124"/>
        <v>0</v>
      </c>
      <c r="AB411" s="121">
        <f t="shared" ca="1" si="124"/>
        <v>0</v>
      </c>
      <c r="AC411" s="122">
        <f t="shared" ca="1" si="124"/>
        <v>0</v>
      </c>
      <c r="AD411" s="122">
        <f t="shared" ca="1" si="124"/>
        <v>0</v>
      </c>
      <c r="AE411" s="122">
        <f t="shared" ca="1" si="124"/>
        <v>0</v>
      </c>
      <c r="AF411" s="122">
        <f t="shared" ca="1" si="124"/>
        <v>0</v>
      </c>
      <c r="AH411" s="1283"/>
      <c r="AI411" s="1283"/>
      <c r="AJ411" s="1283"/>
      <c r="AL411" s="1290"/>
      <c r="AM411" s="1290"/>
      <c r="AN411" s="1290"/>
    </row>
    <row r="412" spans="1:40" s="115" customFormat="1" ht="12.9" hidden="1" customHeight="1">
      <c r="A412" s="1270"/>
      <c r="B412" s="1540" t="s">
        <v>12</v>
      </c>
      <c r="I412" s="235">
        <f t="shared" ref="I412:AF412" si="125">I391</f>
        <v>0</v>
      </c>
      <c r="J412" s="227">
        <f t="shared" si="125"/>
        <v>0</v>
      </c>
      <c r="K412" s="228">
        <f t="shared" ca="1" si="125"/>
        <v>0</v>
      </c>
      <c r="L412" s="229">
        <f t="shared" ca="1" si="125"/>
        <v>0</v>
      </c>
      <c r="M412" s="227">
        <f t="shared" ca="1" si="125"/>
        <v>0</v>
      </c>
      <c r="N412" s="229">
        <f t="shared" ca="1" si="125"/>
        <v>0</v>
      </c>
      <c r="O412" s="229">
        <f t="shared" ca="1" si="125"/>
        <v>0</v>
      </c>
      <c r="P412" s="228">
        <f t="shared" ca="1" si="125"/>
        <v>0</v>
      </c>
      <c r="Q412" s="229">
        <f t="shared" ca="1" si="125"/>
        <v>0</v>
      </c>
      <c r="R412" s="227">
        <f t="shared" ca="1" si="125"/>
        <v>0</v>
      </c>
      <c r="S412" s="229">
        <f t="shared" ca="1" si="125"/>
        <v>0</v>
      </c>
      <c r="T412" s="228">
        <f t="shared" ca="1" si="125"/>
        <v>0</v>
      </c>
      <c r="U412" s="125">
        <f t="shared" ca="1" si="125"/>
        <v>0</v>
      </c>
      <c r="V412" s="123">
        <f t="shared" ca="1" si="125"/>
        <v>0</v>
      </c>
      <c r="W412" s="124">
        <f t="shared" ca="1" si="125"/>
        <v>0</v>
      </c>
      <c r="X412" s="125">
        <f t="shared" ca="1" si="125"/>
        <v>0</v>
      </c>
      <c r="Y412" s="123">
        <f t="shared" ca="1" si="125"/>
        <v>0</v>
      </c>
      <c r="Z412" s="125">
        <f t="shared" ca="1" si="125"/>
        <v>0</v>
      </c>
      <c r="AA412" s="125">
        <f t="shared" ca="1" si="125"/>
        <v>0</v>
      </c>
      <c r="AB412" s="124">
        <f t="shared" ca="1" si="125"/>
        <v>0</v>
      </c>
      <c r="AC412" s="125">
        <f t="shared" ca="1" si="125"/>
        <v>0</v>
      </c>
      <c r="AD412" s="123">
        <f t="shared" ca="1" si="125"/>
        <v>0</v>
      </c>
      <c r="AE412" s="125">
        <f t="shared" ca="1" si="125"/>
        <v>0</v>
      </c>
      <c r="AF412" s="125">
        <f t="shared" ca="1" si="125"/>
        <v>0</v>
      </c>
      <c r="AH412" s="1283"/>
      <c r="AI412" s="1283"/>
      <c r="AJ412" s="1283"/>
      <c r="AL412" s="1290"/>
      <c r="AM412" s="1290"/>
      <c r="AN412" s="1290"/>
    </row>
    <row r="413" spans="1:40" s="115" customFormat="1" ht="12.9" hidden="1" customHeight="1">
      <c r="A413" s="1270"/>
      <c r="B413" s="1540" t="s">
        <v>20</v>
      </c>
      <c r="I413" s="232">
        <f t="shared" ref="I413:AF413" si="126">I409</f>
        <v>0</v>
      </c>
      <c r="J413" s="230">
        <f t="shared" si="126"/>
        <v>0</v>
      </c>
      <c r="K413" s="231">
        <f t="shared" ca="1" si="126"/>
        <v>0</v>
      </c>
      <c r="L413" s="232">
        <f t="shared" ca="1" si="126"/>
        <v>0</v>
      </c>
      <c r="M413" s="230">
        <f t="shared" ca="1" si="126"/>
        <v>0</v>
      </c>
      <c r="N413" s="232">
        <f t="shared" ca="1" si="126"/>
        <v>0</v>
      </c>
      <c r="O413" s="232">
        <f t="shared" ca="1" si="126"/>
        <v>0</v>
      </c>
      <c r="P413" s="231">
        <f t="shared" ca="1" si="126"/>
        <v>0</v>
      </c>
      <c r="Q413" s="232">
        <f t="shared" ca="1" si="126"/>
        <v>0</v>
      </c>
      <c r="R413" s="230">
        <f t="shared" ca="1" si="126"/>
        <v>0</v>
      </c>
      <c r="S413" s="232">
        <f t="shared" ca="1" si="126"/>
        <v>0</v>
      </c>
      <c r="T413" s="231">
        <f t="shared" ca="1" si="126"/>
        <v>0</v>
      </c>
      <c r="U413" s="128">
        <f t="shared" ca="1" si="126"/>
        <v>0</v>
      </c>
      <c r="V413" s="126">
        <f t="shared" ca="1" si="126"/>
        <v>0</v>
      </c>
      <c r="W413" s="127">
        <f t="shared" ca="1" si="126"/>
        <v>0</v>
      </c>
      <c r="X413" s="128">
        <f t="shared" ca="1" si="126"/>
        <v>0</v>
      </c>
      <c r="Y413" s="126">
        <f t="shared" ca="1" si="126"/>
        <v>0</v>
      </c>
      <c r="Z413" s="128">
        <f t="shared" ca="1" si="126"/>
        <v>0</v>
      </c>
      <c r="AA413" s="128">
        <f t="shared" ca="1" si="126"/>
        <v>0</v>
      </c>
      <c r="AB413" s="127">
        <f t="shared" ca="1" si="126"/>
        <v>0</v>
      </c>
      <c r="AC413" s="128">
        <f t="shared" ca="1" si="126"/>
        <v>0</v>
      </c>
      <c r="AD413" s="126">
        <f t="shared" ca="1" si="126"/>
        <v>0</v>
      </c>
      <c r="AE413" s="128">
        <f t="shared" ca="1" si="126"/>
        <v>0</v>
      </c>
      <c r="AF413" s="128">
        <f t="shared" ca="1" si="126"/>
        <v>0</v>
      </c>
      <c r="AH413" s="2899" t="s">
        <v>384</v>
      </c>
      <c r="AI413" s="2899"/>
      <c r="AJ413" s="2899"/>
      <c r="AL413" s="1290"/>
      <c r="AM413" s="1290"/>
      <c r="AN413" s="1290"/>
    </row>
    <row r="414" spans="1:40" s="115" customFormat="1" ht="12.9" hidden="1" customHeight="1">
      <c r="A414" s="1270"/>
      <c r="B414" s="1540" t="s">
        <v>23</v>
      </c>
      <c r="I414" s="224">
        <f t="shared" ref="I414:AF414" si="127">I411+I412-I413</f>
        <v>0</v>
      </c>
      <c r="J414" s="233">
        <f t="shared" si="127"/>
        <v>0</v>
      </c>
      <c r="K414" s="234">
        <f t="shared" ca="1" si="127"/>
        <v>0</v>
      </c>
      <c r="L414" s="224">
        <f t="shared" ca="1" si="127"/>
        <v>0</v>
      </c>
      <c r="M414" s="224">
        <f t="shared" ca="1" si="127"/>
        <v>0</v>
      </c>
      <c r="N414" s="224">
        <f t="shared" ca="1" si="127"/>
        <v>0</v>
      </c>
      <c r="O414" s="224">
        <f t="shared" ca="1" si="127"/>
        <v>0</v>
      </c>
      <c r="P414" s="234">
        <f t="shared" ca="1" si="127"/>
        <v>0</v>
      </c>
      <c r="Q414" s="224">
        <f t="shared" ca="1" si="127"/>
        <v>0</v>
      </c>
      <c r="R414" s="224">
        <f t="shared" ca="1" si="127"/>
        <v>0</v>
      </c>
      <c r="S414" s="224">
        <f t="shared" ca="1" si="127"/>
        <v>0</v>
      </c>
      <c r="T414" s="234">
        <f t="shared" ca="1" si="127"/>
        <v>0</v>
      </c>
      <c r="U414" s="119">
        <f t="shared" ca="1" si="127"/>
        <v>0</v>
      </c>
      <c r="V414" s="129">
        <f t="shared" ca="1" si="127"/>
        <v>0</v>
      </c>
      <c r="W414" s="130">
        <f t="shared" ca="1" si="127"/>
        <v>0</v>
      </c>
      <c r="X414" s="119">
        <f t="shared" ca="1" si="127"/>
        <v>0</v>
      </c>
      <c r="Y414" s="119">
        <f t="shared" ca="1" si="127"/>
        <v>0</v>
      </c>
      <c r="Z414" s="119">
        <f t="shared" ca="1" si="127"/>
        <v>0</v>
      </c>
      <c r="AA414" s="119">
        <f t="shared" ca="1" si="127"/>
        <v>0</v>
      </c>
      <c r="AB414" s="130">
        <f t="shared" ca="1" si="127"/>
        <v>0</v>
      </c>
      <c r="AC414" s="119">
        <f t="shared" ca="1" si="127"/>
        <v>0</v>
      </c>
      <c r="AD414" s="119">
        <f t="shared" ca="1" si="127"/>
        <v>0</v>
      </c>
      <c r="AE414" s="119">
        <f t="shared" ca="1" si="127"/>
        <v>0</v>
      </c>
      <c r="AF414" s="119">
        <f t="shared" ca="1" si="127"/>
        <v>0</v>
      </c>
      <c r="AH414" s="1596">
        <f ca="1">IF(C57=1,MIN(I414:T414),IF(C57=2,MIN(O414:AF414)))</f>
        <v>0</v>
      </c>
      <c r="AI414" s="1349"/>
      <c r="AJ414" s="1596">
        <f ca="1">IF(C57=1,MIN(U414:AF414),IF(C57=2,MIN(O414:AF414)))</f>
        <v>0</v>
      </c>
      <c r="AL414" s="1290"/>
      <c r="AM414" s="1290"/>
      <c r="AN414" s="1290"/>
    </row>
    <row r="415" spans="1:40" s="115" customFormat="1" ht="12.9" hidden="1" customHeight="1">
      <c r="A415" s="1270"/>
      <c r="G415" s="16"/>
      <c r="H415" s="16"/>
      <c r="AH415" s="1283"/>
      <c r="AI415" s="1283"/>
      <c r="AJ415" s="1283"/>
      <c r="AL415" s="1290"/>
      <c r="AM415" s="1290"/>
      <c r="AN415" s="1522"/>
    </row>
    <row r="416" spans="1:40" s="115" customFormat="1" ht="12.9" hidden="1" customHeight="1">
      <c r="A416" s="1270"/>
      <c r="AH416" s="1283"/>
      <c r="AI416" s="1283"/>
      <c r="AJ416" s="1283"/>
      <c r="AL416" s="1290"/>
      <c r="AM416" s="1290"/>
      <c r="AN416" s="1290"/>
    </row>
    <row r="417" spans="1:40" s="115" customFormat="1" ht="12.9" hidden="1" customHeight="1">
      <c r="A417" s="1270"/>
      <c r="B417" s="102" t="s">
        <v>35</v>
      </c>
      <c r="C417" s="1597">
        <f>IF($B$429=B417,1,0)</f>
        <v>0</v>
      </c>
      <c r="D417" s="1598"/>
      <c r="E417" s="1597">
        <v>1</v>
      </c>
      <c r="AH417" s="1283"/>
      <c r="AI417" s="1283"/>
      <c r="AJ417" s="1283"/>
      <c r="AL417" s="1599"/>
      <c r="AM417" s="1290"/>
      <c r="AN417" s="1290"/>
    </row>
    <row r="418" spans="1:40" s="115" customFormat="1" ht="12.9" hidden="1" customHeight="1">
      <c r="A418" s="1270"/>
      <c r="B418" s="102" t="s">
        <v>36</v>
      </c>
      <c r="C418" s="1597">
        <f>IF($B$429=B418,2,0)</f>
        <v>0</v>
      </c>
      <c r="D418" s="1598"/>
      <c r="E418" s="1597">
        <v>2</v>
      </c>
      <c r="AH418" s="1283"/>
      <c r="AI418" s="1283"/>
      <c r="AJ418" s="1283"/>
      <c r="AL418" s="1599"/>
      <c r="AM418" s="1290"/>
      <c r="AN418" s="1290"/>
    </row>
    <row r="419" spans="1:40" s="115" customFormat="1" ht="12.9" hidden="1" customHeight="1">
      <c r="A419" s="1270"/>
      <c r="B419" s="102" t="s">
        <v>37</v>
      </c>
      <c r="C419" s="1597">
        <f>IF($B$429=B419,3,0)</f>
        <v>0</v>
      </c>
      <c r="D419" s="1598"/>
      <c r="E419" s="1597">
        <v>3</v>
      </c>
      <c r="AH419" s="1283"/>
      <c r="AI419" s="1283"/>
      <c r="AJ419" s="1283"/>
      <c r="AL419" s="1599"/>
      <c r="AM419" s="1290"/>
      <c r="AN419" s="1290"/>
    </row>
    <row r="420" spans="1:40" s="115" customFormat="1" ht="12.9" hidden="1" customHeight="1">
      <c r="A420" s="1270"/>
      <c r="B420" s="102" t="s">
        <v>38</v>
      </c>
      <c r="C420" s="1597">
        <f>IF($B$429=B420,4,0)</f>
        <v>0</v>
      </c>
      <c r="D420" s="1598"/>
      <c r="E420" s="1597">
        <v>4</v>
      </c>
      <c r="AH420" s="1283"/>
      <c r="AI420" s="1283"/>
      <c r="AJ420" s="1283"/>
      <c r="AL420" s="1599"/>
      <c r="AM420" s="1290"/>
      <c r="AN420" s="1290"/>
    </row>
    <row r="421" spans="1:40" s="115" customFormat="1" ht="12.9" hidden="1" customHeight="1">
      <c r="A421" s="1270"/>
      <c r="B421" s="102" t="s">
        <v>39</v>
      </c>
      <c r="C421" s="1597">
        <f>IF($B$429=B421,5,0)</f>
        <v>0</v>
      </c>
      <c r="D421" s="1598"/>
      <c r="E421" s="1597">
        <v>5</v>
      </c>
      <c r="AH421" s="1283"/>
      <c r="AI421" s="1283"/>
      <c r="AJ421" s="1283"/>
      <c r="AL421" s="1599"/>
      <c r="AM421" s="1290"/>
      <c r="AN421" s="1290"/>
    </row>
    <row r="422" spans="1:40" s="115" customFormat="1" ht="12.9" hidden="1" customHeight="1">
      <c r="A422" s="1270"/>
      <c r="B422" s="102" t="s">
        <v>40</v>
      </c>
      <c r="C422" s="1597">
        <f>IF($B$429=B422,6,0)</f>
        <v>0</v>
      </c>
      <c r="D422" s="1598"/>
      <c r="E422" s="1597">
        <v>6</v>
      </c>
      <c r="AH422" s="1283"/>
      <c r="AI422" s="1283"/>
      <c r="AJ422" s="1283"/>
      <c r="AL422" s="1599"/>
      <c r="AM422" s="1290"/>
      <c r="AN422" s="1290"/>
    </row>
    <row r="423" spans="1:40" s="115" customFormat="1" ht="12.9" hidden="1" customHeight="1">
      <c r="A423" s="1270"/>
      <c r="B423" s="102" t="s">
        <v>41</v>
      </c>
      <c r="C423" s="1597">
        <f>IF($B$429=B423,7,0)</f>
        <v>0</v>
      </c>
      <c r="D423" s="1598"/>
      <c r="E423" s="1597">
        <v>7</v>
      </c>
      <c r="AH423" s="1283"/>
      <c r="AI423" s="1283"/>
      <c r="AJ423" s="1283"/>
      <c r="AL423" s="1599"/>
      <c r="AM423" s="1290"/>
      <c r="AN423" s="1290"/>
    </row>
    <row r="424" spans="1:40" s="115" customFormat="1" ht="12.9" hidden="1" customHeight="1">
      <c r="A424" s="1270"/>
      <c r="B424" s="102" t="s">
        <v>42</v>
      </c>
      <c r="C424" s="1597">
        <f>IF($B$429=B424,8,0)</f>
        <v>0</v>
      </c>
      <c r="D424" s="1598"/>
      <c r="E424" s="1597">
        <v>8</v>
      </c>
      <c r="AH424" s="1283"/>
      <c r="AI424" s="1283"/>
      <c r="AJ424" s="1283"/>
      <c r="AL424" s="1599"/>
      <c r="AM424" s="1290"/>
      <c r="AN424" s="1290"/>
    </row>
    <row r="425" spans="1:40" s="115" customFormat="1" ht="12.9" hidden="1" customHeight="1">
      <c r="A425" s="1270"/>
      <c r="B425" s="102" t="s">
        <v>43</v>
      </c>
      <c r="C425" s="1597">
        <f>IF($B$429=B425,9,0)</f>
        <v>0</v>
      </c>
      <c r="D425" s="1598"/>
      <c r="E425" s="1597">
        <v>9</v>
      </c>
      <c r="AH425" s="1283"/>
      <c r="AI425" s="1283"/>
      <c r="AJ425" s="1283"/>
      <c r="AL425" s="1599"/>
      <c r="AM425" s="1290"/>
      <c r="AN425" s="1290"/>
    </row>
    <row r="426" spans="1:40" s="115" customFormat="1" ht="12.9" hidden="1" customHeight="1">
      <c r="A426" s="1270"/>
      <c r="B426" s="102" t="s">
        <v>44</v>
      </c>
      <c r="C426" s="1597">
        <f>IF($B$429=B426,10,0)</f>
        <v>0</v>
      </c>
      <c r="D426" s="1598"/>
      <c r="E426" s="1597">
        <v>10</v>
      </c>
      <c r="I426" s="103">
        <v>1</v>
      </c>
      <c r="J426" s="103">
        <v>2</v>
      </c>
      <c r="K426" s="103">
        <v>3</v>
      </c>
      <c r="L426" s="103">
        <v>4</v>
      </c>
      <c r="M426" s="103">
        <v>5</v>
      </c>
      <c r="N426" s="103">
        <v>6</v>
      </c>
      <c r="O426" s="103">
        <v>7</v>
      </c>
      <c r="P426" s="103">
        <v>8</v>
      </c>
      <c r="Q426" s="103">
        <v>9</v>
      </c>
      <c r="R426" s="103">
        <v>10</v>
      </c>
      <c r="S426" s="103">
        <v>11</v>
      </c>
      <c r="T426" s="104">
        <v>12</v>
      </c>
      <c r="U426" s="105">
        <v>1</v>
      </c>
      <c r="V426" s="106">
        <v>2</v>
      </c>
      <c r="W426" s="106">
        <v>3</v>
      </c>
      <c r="X426" s="106">
        <v>4</v>
      </c>
      <c r="Y426" s="106">
        <v>5</v>
      </c>
      <c r="Z426" s="106">
        <v>6</v>
      </c>
      <c r="AA426" s="106">
        <v>7</v>
      </c>
      <c r="AB426" s="106">
        <v>8</v>
      </c>
      <c r="AC426" s="106">
        <v>9</v>
      </c>
      <c r="AD426" s="106">
        <v>10</v>
      </c>
      <c r="AE426" s="106">
        <v>11</v>
      </c>
      <c r="AF426" s="106">
        <v>12</v>
      </c>
      <c r="AH426" s="1283"/>
      <c r="AI426" s="1283"/>
      <c r="AJ426" s="1283"/>
      <c r="AL426" s="1599"/>
      <c r="AM426" s="1290"/>
      <c r="AN426" s="1290"/>
    </row>
    <row r="427" spans="1:40" s="115" customFormat="1" ht="12.9" hidden="1" customHeight="1">
      <c r="A427" s="1270"/>
      <c r="B427" s="102" t="s">
        <v>45</v>
      </c>
      <c r="C427" s="1597">
        <f>IF($B$429=B427,11,0)</f>
        <v>0</v>
      </c>
      <c r="D427" s="1598"/>
      <c r="E427" s="1597">
        <v>11</v>
      </c>
      <c r="I427" s="103" t="str">
        <f t="shared" ref="I427:S427" si="128">LOOKUP(I428,$E$417:$E$428,$B$417:$B$428)</f>
        <v>Januari</v>
      </c>
      <c r="J427" s="103" t="str">
        <f t="shared" si="128"/>
        <v>Februari</v>
      </c>
      <c r="K427" s="103" t="str">
        <f t="shared" si="128"/>
        <v>Mars</v>
      </c>
      <c r="L427" s="103" t="str">
        <f t="shared" si="128"/>
        <v>April</v>
      </c>
      <c r="M427" s="103" t="str">
        <f t="shared" si="128"/>
        <v>Maj</v>
      </c>
      <c r="N427" s="103" t="str">
        <f t="shared" si="128"/>
        <v>Juni</v>
      </c>
      <c r="O427" s="103" t="str">
        <f t="shared" si="128"/>
        <v>Juli</v>
      </c>
      <c r="P427" s="103" t="str">
        <f t="shared" si="128"/>
        <v>Augusti</v>
      </c>
      <c r="Q427" s="103" t="str">
        <f t="shared" si="128"/>
        <v>September</v>
      </c>
      <c r="R427" s="103" t="str">
        <f t="shared" si="128"/>
        <v>Oktober</v>
      </c>
      <c r="S427" s="103" t="str">
        <f t="shared" si="128"/>
        <v>November</v>
      </c>
      <c r="T427" s="103" t="str">
        <f>B429</f>
        <v>December</v>
      </c>
      <c r="U427" s="105" t="str">
        <f t="shared" ref="U427:AF427" si="129">LOOKUP(U428,$E$417:$E$428,$B$417:$B$428)</f>
        <v>Januari</v>
      </c>
      <c r="V427" s="106" t="str">
        <f t="shared" si="129"/>
        <v>Februari</v>
      </c>
      <c r="W427" s="106" t="str">
        <f t="shared" si="129"/>
        <v>Mars</v>
      </c>
      <c r="X427" s="106" t="str">
        <f t="shared" si="129"/>
        <v>April</v>
      </c>
      <c r="Y427" s="106" t="str">
        <f t="shared" si="129"/>
        <v>Maj</v>
      </c>
      <c r="Z427" s="106" t="str">
        <f t="shared" si="129"/>
        <v>Juni</v>
      </c>
      <c r="AA427" s="106" t="str">
        <f t="shared" si="129"/>
        <v>Juli</v>
      </c>
      <c r="AB427" s="106" t="str">
        <f t="shared" si="129"/>
        <v>Augusti</v>
      </c>
      <c r="AC427" s="106" t="str">
        <f t="shared" si="129"/>
        <v>September</v>
      </c>
      <c r="AD427" s="106" t="str">
        <f t="shared" si="129"/>
        <v>Oktober</v>
      </c>
      <c r="AE427" s="106" t="str">
        <f t="shared" si="129"/>
        <v>November</v>
      </c>
      <c r="AF427" s="106" t="str">
        <f t="shared" si="129"/>
        <v>December</v>
      </c>
      <c r="AH427" s="1283"/>
      <c r="AI427" s="1283"/>
      <c r="AJ427" s="1283"/>
      <c r="AL427" s="1599"/>
      <c r="AM427" s="1290"/>
      <c r="AN427" s="1290"/>
    </row>
    <row r="428" spans="1:40" s="115" customFormat="1" ht="12.9" hidden="1" customHeight="1" thickBot="1">
      <c r="A428" s="1270"/>
      <c r="B428" s="102" t="s">
        <v>5</v>
      </c>
      <c r="C428" s="1597">
        <f>IF($B$429=B428,12,0)</f>
        <v>12</v>
      </c>
      <c r="D428" s="1598"/>
      <c r="E428" s="1597">
        <v>12</v>
      </c>
      <c r="I428" s="103">
        <f t="shared" ref="I428:S428" si="130">IF(J428-1&gt;0,J428-1,J428-1+12)</f>
        <v>1</v>
      </c>
      <c r="J428" s="103">
        <f t="shared" si="130"/>
        <v>2</v>
      </c>
      <c r="K428" s="103">
        <f t="shared" si="130"/>
        <v>3</v>
      </c>
      <c r="L428" s="103">
        <f t="shared" si="130"/>
        <v>4</v>
      </c>
      <c r="M428" s="103">
        <f t="shared" si="130"/>
        <v>5</v>
      </c>
      <c r="N428" s="103">
        <f t="shared" si="130"/>
        <v>6</v>
      </c>
      <c r="O428" s="103">
        <f t="shared" si="130"/>
        <v>7</v>
      </c>
      <c r="P428" s="103">
        <f t="shared" si="130"/>
        <v>8</v>
      </c>
      <c r="Q428" s="103">
        <f t="shared" si="130"/>
        <v>9</v>
      </c>
      <c r="R428" s="103">
        <f t="shared" si="130"/>
        <v>10</v>
      </c>
      <c r="S428" s="103">
        <f t="shared" si="130"/>
        <v>11</v>
      </c>
      <c r="T428" s="237">
        <f>C429</f>
        <v>12</v>
      </c>
      <c r="U428" s="105">
        <f t="shared" ref="U428:AF428" si="131">IF(T428&lt;12,T428+1,13-T428)</f>
        <v>1</v>
      </c>
      <c r="V428" s="106">
        <f t="shared" si="131"/>
        <v>2</v>
      </c>
      <c r="W428" s="106">
        <f t="shared" si="131"/>
        <v>3</v>
      </c>
      <c r="X428" s="106">
        <f t="shared" si="131"/>
        <v>4</v>
      </c>
      <c r="Y428" s="106">
        <f t="shared" si="131"/>
        <v>5</v>
      </c>
      <c r="Z428" s="106">
        <f t="shared" si="131"/>
        <v>6</v>
      </c>
      <c r="AA428" s="106">
        <f t="shared" si="131"/>
        <v>7</v>
      </c>
      <c r="AB428" s="106">
        <f t="shared" si="131"/>
        <v>8</v>
      </c>
      <c r="AC428" s="106">
        <f t="shared" si="131"/>
        <v>9</v>
      </c>
      <c r="AD428" s="106">
        <f t="shared" si="131"/>
        <v>10</v>
      </c>
      <c r="AE428" s="106">
        <f t="shared" si="131"/>
        <v>11</v>
      </c>
      <c r="AF428" s="106">
        <f t="shared" si="131"/>
        <v>12</v>
      </c>
      <c r="AH428" s="1283"/>
      <c r="AI428" s="1283"/>
      <c r="AJ428" s="1283"/>
      <c r="AL428" s="1599"/>
      <c r="AM428" s="1290"/>
      <c r="AN428" s="1290"/>
    </row>
    <row r="429" spans="1:40" s="115" customFormat="1" ht="12.9" hidden="1" customHeight="1" thickTop="1">
      <c r="A429" s="1270"/>
      <c r="B429" s="107" t="str">
        <f>ARBETSBLAD!T4</f>
        <v>December</v>
      </c>
      <c r="C429" s="1597">
        <f>SUM(C417:C428)</f>
        <v>12</v>
      </c>
      <c r="D429" s="1598"/>
      <c r="E429" s="1600"/>
      <c r="I429" s="1546"/>
      <c r="J429" s="1601"/>
      <c r="K429" s="1601"/>
      <c r="L429" s="1546"/>
      <c r="M429" s="1546"/>
      <c r="N429" s="1546"/>
      <c r="O429" s="1546"/>
      <c r="P429" s="1546"/>
      <c r="Q429" s="1546"/>
      <c r="R429" s="1546"/>
      <c r="S429" s="1546"/>
      <c r="T429" s="108">
        <f>IF(OR(T428=1,T428=4,T428=7,T428=10),1,IF(OR(T428=2,T428=5,T428=8,T428=11),2,IF(OR(T428=3,T428=6,T428=9,T428=12),3)))</f>
        <v>3</v>
      </c>
      <c r="U429" s="1546"/>
      <c r="V429" s="1601"/>
      <c r="W429" s="1601"/>
      <c r="X429" s="1546"/>
      <c r="Y429" s="1546"/>
      <c r="Z429" s="1546"/>
      <c r="AA429" s="1546"/>
      <c r="AB429" s="1546"/>
      <c r="AC429" s="1546"/>
      <c r="AD429" s="1546"/>
      <c r="AE429" s="1546"/>
      <c r="AF429" s="1546"/>
      <c r="AH429" s="1283"/>
      <c r="AI429" s="1283"/>
      <c r="AJ429" s="1283"/>
      <c r="AL429" s="1290"/>
      <c r="AM429" s="1290"/>
      <c r="AN429" s="1290"/>
    </row>
    <row r="430" spans="1:40" s="115" customFormat="1" ht="12.9" hidden="1" customHeight="1">
      <c r="A430" s="1270"/>
      <c r="AH430" s="1283"/>
      <c r="AI430" s="1283"/>
      <c r="AJ430" s="1283"/>
      <c r="AL430" s="1290"/>
      <c r="AM430" s="1290"/>
      <c r="AN430" s="1290"/>
    </row>
    <row r="431" spans="1:40" s="115" customFormat="1" ht="12.9" hidden="1" customHeight="1">
      <c r="A431" s="1270"/>
      <c r="B431" s="1540" t="s">
        <v>1367</v>
      </c>
      <c r="C431" s="1602">
        <f>IF(ARBETSBLAD!E220=0,ARBETSBLAD!E201,0)</f>
        <v>0</v>
      </c>
      <c r="I431" s="1603">
        <f>IF(I57=1,$C$431,0)</f>
        <v>0</v>
      </c>
      <c r="J431" s="1603">
        <f t="shared" ref="J431:T431" si="132">IF(SUM(I57:J57)=1,$C$431,0)</f>
        <v>0</v>
      </c>
      <c r="K431" s="1603">
        <f t="shared" si="132"/>
        <v>0</v>
      </c>
      <c r="L431" s="1603">
        <f t="shared" si="132"/>
        <v>0</v>
      </c>
      <c r="M431" s="1603">
        <f t="shared" si="132"/>
        <v>0</v>
      </c>
      <c r="N431" s="1603">
        <f t="shared" si="132"/>
        <v>0</v>
      </c>
      <c r="O431" s="1603">
        <f t="shared" si="132"/>
        <v>0</v>
      </c>
      <c r="P431" s="1603">
        <f t="shared" si="132"/>
        <v>0</v>
      </c>
      <c r="Q431" s="1603">
        <f t="shared" si="132"/>
        <v>0</v>
      </c>
      <c r="R431" s="1603">
        <f t="shared" si="132"/>
        <v>0</v>
      </c>
      <c r="S431" s="1603">
        <f t="shared" si="132"/>
        <v>0</v>
      </c>
      <c r="T431" s="1603">
        <f t="shared" si="132"/>
        <v>0</v>
      </c>
      <c r="AH431" s="1283"/>
      <c r="AI431" s="1283"/>
      <c r="AJ431" s="1283"/>
      <c r="AL431" s="1290"/>
      <c r="AM431" s="1290"/>
      <c r="AN431" s="1290"/>
    </row>
    <row r="432" spans="1:40" s="115" customFormat="1" ht="12.9" hidden="1" customHeight="1">
      <c r="A432" s="1270"/>
      <c r="B432" s="1540" t="s">
        <v>746</v>
      </c>
      <c r="C432" s="1602">
        <f>IF(ARBETSBLAD!E220=0,ARBETSBLAD!E202,0)</f>
        <v>0</v>
      </c>
      <c r="I432" s="1603"/>
      <c r="J432" s="1603"/>
      <c r="K432" s="1603"/>
      <c r="L432" s="1603"/>
      <c r="M432" s="1603"/>
      <c r="N432" s="1603"/>
      <c r="O432" s="1603"/>
      <c r="P432" s="1603"/>
      <c r="Q432" s="1603"/>
      <c r="R432" s="1603"/>
      <c r="S432" s="1603"/>
      <c r="T432" s="1603"/>
      <c r="AH432" s="1283"/>
      <c r="AI432" s="1283"/>
      <c r="AJ432" s="1283"/>
      <c r="AL432" s="1290"/>
      <c r="AM432" s="1290"/>
      <c r="AN432" s="1290"/>
    </row>
    <row r="433" spans="1:40" s="115" customFormat="1" ht="12.9" hidden="1" customHeight="1">
      <c r="A433" s="1270"/>
      <c r="B433" s="1540" t="s">
        <v>738</v>
      </c>
      <c r="C433" s="1602">
        <f>IF(ARBETSBLAD!E220=0,ARBETSBLAD!E203,0)</f>
        <v>0</v>
      </c>
      <c r="I433" s="1603">
        <f>IF(I57=1,$C$433,0)</f>
        <v>0</v>
      </c>
      <c r="J433" s="1603">
        <f t="shared" ref="J433:T433" si="133">IF(SUM(I57:J57)=1,$C$433,0)</f>
        <v>0</v>
      </c>
      <c r="K433" s="1603">
        <f t="shared" si="133"/>
        <v>0</v>
      </c>
      <c r="L433" s="1603">
        <f t="shared" si="133"/>
        <v>0</v>
      </c>
      <c r="M433" s="1603">
        <f t="shared" si="133"/>
        <v>0</v>
      </c>
      <c r="N433" s="1603">
        <f t="shared" si="133"/>
        <v>0</v>
      </c>
      <c r="O433" s="1603">
        <f t="shared" si="133"/>
        <v>0</v>
      </c>
      <c r="P433" s="1603">
        <f t="shared" si="133"/>
        <v>0</v>
      </c>
      <c r="Q433" s="1603">
        <f t="shared" si="133"/>
        <v>0</v>
      </c>
      <c r="R433" s="1603">
        <f t="shared" si="133"/>
        <v>0</v>
      </c>
      <c r="S433" s="1603">
        <f t="shared" si="133"/>
        <v>0</v>
      </c>
      <c r="T433" s="1603">
        <f t="shared" si="133"/>
        <v>0</v>
      </c>
      <c r="AH433" s="1283"/>
      <c r="AI433" s="1283"/>
      <c r="AJ433" s="1283"/>
      <c r="AL433" s="1290"/>
      <c r="AM433" s="1290"/>
      <c r="AN433" s="1290"/>
    </row>
    <row r="434" spans="1:40" s="115" customFormat="1" ht="12.9" hidden="1" customHeight="1">
      <c r="A434" s="1270"/>
      <c r="B434" s="1540" t="s">
        <v>741</v>
      </c>
      <c r="C434" s="1602">
        <f>IF(ARBETSBLAD!E220=0,ARBETSBLAD!E204,0)</f>
        <v>0</v>
      </c>
      <c r="I434" s="1603">
        <f>IF(I57=1,$C$434,0)</f>
        <v>0</v>
      </c>
      <c r="J434" s="1603">
        <f t="shared" ref="J434:T434" si="134">IF(SUM(I57:J57)=1,$C$434,0)</f>
        <v>0</v>
      </c>
      <c r="K434" s="1603">
        <f t="shared" si="134"/>
        <v>0</v>
      </c>
      <c r="L434" s="1603">
        <f t="shared" si="134"/>
        <v>0</v>
      </c>
      <c r="M434" s="1603">
        <f t="shared" si="134"/>
        <v>0</v>
      </c>
      <c r="N434" s="1603">
        <f t="shared" si="134"/>
        <v>0</v>
      </c>
      <c r="O434" s="1603">
        <f t="shared" si="134"/>
        <v>0</v>
      </c>
      <c r="P434" s="1603">
        <f t="shared" si="134"/>
        <v>0</v>
      </c>
      <c r="Q434" s="1603">
        <f t="shared" si="134"/>
        <v>0</v>
      </c>
      <c r="R434" s="1603">
        <f t="shared" si="134"/>
        <v>0</v>
      </c>
      <c r="S434" s="1603">
        <f t="shared" si="134"/>
        <v>0</v>
      </c>
      <c r="T434" s="1603">
        <f t="shared" si="134"/>
        <v>0</v>
      </c>
      <c r="AH434" s="1283"/>
      <c r="AI434" s="1283"/>
      <c r="AJ434" s="1283"/>
      <c r="AL434" s="1290"/>
      <c r="AM434" s="1290"/>
      <c r="AN434" s="1290"/>
    </row>
    <row r="435" spans="1:40" s="115" customFormat="1" ht="12.9" hidden="1" customHeight="1">
      <c r="A435" s="1270"/>
      <c r="B435" s="1540" t="s">
        <v>759</v>
      </c>
      <c r="C435" s="1602"/>
      <c r="I435" s="1603"/>
      <c r="J435" s="1603"/>
      <c r="K435" s="1603"/>
      <c r="L435" s="1603"/>
      <c r="M435" s="1603"/>
      <c r="N435" s="1603"/>
      <c r="O435" s="1603"/>
      <c r="P435" s="1603"/>
      <c r="Q435" s="1603"/>
      <c r="R435" s="1603"/>
      <c r="S435" s="1603"/>
      <c r="T435" s="1603"/>
      <c r="AH435" s="1283"/>
      <c r="AI435" s="1283"/>
      <c r="AJ435" s="1283"/>
      <c r="AL435" s="1290"/>
      <c r="AM435" s="1290"/>
      <c r="AN435" s="1290"/>
    </row>
    <row r="436" spans="1:40" s="115" customFormat="1" ht="12.9" hidden="1" customHeight="1">
      <c r="A436" s="1270"/>
      <c r="B436" s="1540" t="s">
        <v>744</v>
      </c>
      <c r="C436" s="1602">
        <f>IF(ARBETSBLAD!E220=0,ARBETSBLAD!E205,0)</f>
        <v>0</v>
      </c>
      <c r="I436" s="1603">
        <f>IF(I57=1,$C$436,0)</f>
        <v>0</v>
      </c>
      <c r="J436" s="1603">
        <f t="shared" ref="J436:T436" si="135">IF(SUM(I57:J57)=1,$C$436,0)</f>
        <v>0</v>
      </c>
      <c r="K436" s="1603">
        <f t="shared" si="135"/>
        <v>0</v>
      </c>
      <c r="L436" s="1603">
        <f t="shared" si="135"/>
        <v>0</v>
      </c>
      <c r="M436" s="1603">
        <f t="shared" si="135"/>
        <v>0</v>
      </c>
      <c r="N436" s="1603">
        <f t="shared" si="135"/>
        <v>0</v>
      </c>
      <c r="O436" s="1603">
        <f t="shared" si="135"/>
        <v>0</v>
      </c>
      <c r="P436" s="1603">
        <f t="shared" si="135"/>
        <v>0</v>
      </c>
      <c r="Q436" s="1603">
        <f t="shared" si="135"/>
        <v>0</v>
      </c>
      <c r="R436" s="1603">
        <f t="shared" si="135"/>
        <v>0</v>
      </c>
      <c r="S436" s="1603">
        <f t="shared" si="135"/>
        <v>0</v>
      </c>
      <c r="T436" s="1603">
        <f t="shared" si="135"/>
        <v>0</v>
      </c>
      <c r="AH436" s="1283"/>
      <c r="AI436" s="1283"/>
      <c r="AJ436" s="1283"/>
      <c r="AL436" s="1290"/>
      <c r="AM436" s="1290"/>
      <c r="AN436" s="1290"/>
    </row>
    <row r="437" spans="1:40" s="115" customFormat="1" ht="12.9" hidden="1" customHeight="1">
      <c r="A437" s="1270"/>
      <c r="B437" s="1540" t="s">
        <v>736</v>
      </c>
      <c r="C437" s="1602">
        <f>IF(ARBETSBLAD!E220=0,ARBETSBLAD!E206,0)</f>
        <v>0</v>
      </c>
      <c r="I437" s="1603">
        <f>IF(I57=1,$C$437,0)</f>
        <v>0</v>
      </c>
      <c r="J437" s="1603">
        <f t="shared" ref="J437:T437" si="136">IF(SUM(I57:J57)=1,$C$437,0)</f>
        <v>0</v>
      </c>
      <c r="K437" s="1603">
        <f t="shared" si="136"/>
        <v>0</v>
      </c>
      <c r="L437" s="1603">
        <f t="shared" si="136"/>
        <v>0</v>
      </c>
      <c r="M437" s="1603">
        <f t="shared" si="136"/>
        <v>0</v>
      </c>
      <c r="N437" s="1603">
        <f t="shared" si="136"/>
        <v>0</v>
      </c>
      <c r="O437" s="1603">
        <f t="shared" si="136"/>
        <v>0</v>
      </c>
      <c r="P437" s="1603">
        <f t="shared" si="136"/>
        <v>0</v>
      </c>
      <c r="Q437" s="1603">
        <f t="shared" si="136"/>
        <v>0</v>
      </c>
      <c r="R437" s="1603">
        <f t="shared" si="136"/>
        <v>0</v>
      </c>
      <c r="S437" s="1603">
        <f t="shared" si="136"/>
        <v>0</v>
      </c>
      <c r="T437" s="1603">
        <f t="shared" si="136"/>
        <v>0</v>
      </c>
      <c r="AH437" s="1283"/>
      <c r="AI437" s="1283"/>
      <c r="AJ437" s="1283"/>
      <c r="AL437" s="1290"/>
      <c r="AM437" s="1290"/>
      <c r="AN437" s="1290"/>
    </row>
    <row r="438" spans="1:40" s="115" customFormat="1" ht="12.9" hidden="1" customHeight="1">
      <c r="A438" s="1270"/>
      <c r="B438" s="1540" t="s">
        <v>735</v>
      </c>
      <c r="C438" s="1602">
        <f>IF(ARBETSBLAD!E220=0,ARBETSBLAD!E208,0)</f>
        <v>0</v>
      </c>
      <c r="I438" s="1603">
        <f>IF(I57=1,$C$438,0)</f>
        <v>0</v>
      </c>
      <c r="J438" s="1603">
        <f t="shared" ref="J438:AF438" si="137">IF(SUM(I57:J57)=1,$C$438,0)</f>
        <v>0</v>
      </c>
      <c r="K438" s="1603">
        <f t="shared" si="137"/>
        <v>0</v>
      </c>
      <c r="L438" s="1603">
        <f t="shared" si="137"/>
        <v>0</v>
      </c>
      <c r="M438" s="1603">
        <f t="shared" si="137"/>
        <v>0</v>
      </c>
      <c r="N438" s="1603">
        <f t="shared" si="137"/>
        <v>0</v>
      </c>
      <c r="O438" s="1603">
        <f t="shared" si="137"/>
        <v>0</v>
      </c>
      <c r="P438" s="1603">
        <f t="shared" si="137"/>
        <v>0</v>
      </c>
      <c r="Q438" s="1603">
        <f t="shared" si="137"/>
        <v>0</v>
      </c>
      <c r="R438" s="1603">
        <f t="shared" si="137"/>
        <v>0</v>
      </c>
      <c r="S438" s="1603">
        <f t="shared" si="137"/>
        <v>0</v>
      </c>
      <c r="T438" s="1603">
        <f t="shared" si="137"/>
        <v>0</v>
      </c>
      <c r="U438" s="1603">
        <f t="shared" si="137"/>
        <v>0</v>
      </c>
      <c r="V438" s="1603">
        <f t="shared" si="137"/>
        <v>0</v>
      </c>
      <c r="W438" s="1603">
        <f t="shared" si="137"/>
        <v>0</v>
      </c>
      <c r="X438" s="1603">
        <f t="shared" si="137"/>
        <v>0</v>
      </c>
      <c r="Y438" s="1603">
        <f t="shared" si="137"/>
        <v>0</v>
      </c>
      <c r="Z438" s="1603">
        <f t="shared" si="137"/>
        <v>0</v>
      </c>
      <c r="AA438" s="1603">
        <f t="shared" si="137"/>
        <v>0</v>
      </c>
      <c r="AB438" s="1603">
        <f t="shared" si="137"/>
        <v>0</v>
      </c>
      <c r="AC438" s="1603">
        <f t="shared" si="137"/>
        <v>0</v>
      </c>
      <c r="AD438" s="1603">
        <f t="shared" si="137"/>
        <v>0</v>
      </c>
      <c r="AE438" s="1603">
        <f t="shared" si="137"/>
        <v>0</v>
      </c>
      <c r="AF438" s="1603">
        <f t="shared" si="137"/>
        <v>0</v>
      </c>
      <c r="AH438" s="1283"/>
      <c r="AI438" s="1283"/>
      <c r="AJ438" s="1283"/>
      <c r="AL438" s="1290"/>
      <c r="AM438" s="1290"/>
      <c r="AN438" s="1290"/>
    </row>
    <row r="439" spans="1:40" s="115" customFormat="1" ht="12.9" hidden="1" customHeight="1">
      <c r="A439" s="1270"/>
      <c r="B439" s="1540" t="s">
        <v>739</v>
      </c>
      <c r="C439" s="1602">
        <f>IF(ARBETSBLAD!E220=0,ARBETSBLAD!E210,0)</f>
        <v>0</v>
      </c>
      <c r="I439" s="1603">
        <f>IF(I57=1,$C$439,0)</f>
        <v>0</v>
      </c>
      <c r="J439" s="1603">
        <f t="shared" ref="J439:T439" si="138">IF(SUM(I57:J57)=1,$C$439,0)</f>
        <v>0</v>
      </c>
      <c r="K439" s="1603">
        <f t="shared" si="138"/>
        <v>0</v>
      </c>
      <c r="L439" s="1603">
        <f t="shared" si="138"/>
        <v>0</v>
      </c>
      <c r="M439" s="1603">
        <f t="shared" si="138"/>
        <v>0</v>
      </c>
      <c r="N439" s="1603">
        <f t="shared" si="138"/>
        <v>0</v>
      </c>
      <c r="O439" s="1603">
        <f t="shared" si="138"/>
        <v>0</v>
      </c>
      <c r="P439" s="1603">
        <f t="shared" si="138"/>
        <v>0</v>
      </c>
      <c r="Q439" s="1603">
        <f t="shared" si="138"/>
        <v>0</v>
      </c>
      <c r="R439" s="1603">
        <f t="shared" si="138"/>
        <v>0</v>
      </c>
      <c r="S439" s="1603">
        <f t="shared" si="138"/>
        <v>0</v>
      </c>
      <c r="T439" s="1603">
        <f t="shared" si="138"/>
        <v>0</v>
      </c>
      <c r="AH439" s="1283"/>
      <c r="AI439" s="1283"/>
      <c r="AJ439" s="1283"/>
      <c r="AL439" s="1290"/>
      <c r="AM439" s="1290"/>
      <c r="AN439" s="1290"/>
    </row>
    <row r="440" spans="1:40" s="115" customFormat="1" ht="12.9" hidden="1" customHeight="1">
      <c r="A440" s="1270"/>
      <c r="B440" s="1540" t="s">
        <v>432</v>
      </c>
      <c r="C440" s="1602">
        <f>IF(ARBETSBLAD!E220=0,ARBETSBLAD!E211,0)</f>
        <v>0</v>
      </c>
      <c r="I440" s="1603"/>
      <c r="J440" s="1603"/>
      <c r="K440" s="1603"/>
      <c r="L440" s="1603"/>
      <c r="M440" s="1603"/>
      <c r="N440" s="1603"/>
      <c r="O440" s="1603"/>
      <c r="P440" s="1603"/>
      <c r="Q440" s="1603"/>
      <c r="R440" s="1603"/>
      <c r="S440" s="1603"/>
      <c r="T440" s="1603"/>
      <c r="AH440" s="1283"/>
      <c r="AI440" s="1283"/>
      <c r="AJ440" s="1283"/>
      <c r="AL440" s="1290"/>
      <c r="AM440" s="1290"/>
      <c r="AN440" s="1290"/>
    </row>
    <row r="441" spans="1:40" s="115" customFormat="1" ht="12.9" hidden="1" customHeight="1">
      <c r="A441" s="1270"/>
      <c r="B441" s="1540" t="s">
        <v>747</v>
      </c>
      <c r="C441" s="1602">
        <f>IF(ARBETSBLAD!E220=0,ARBETSBLAD!E212,0)</f>
        <v>0</v>
      </c>
      <c r="I441" s="1603">
        <f>IF(I57=1,$C$441,0)</f>
        <v>0</v>
      </c>
      <c r="J441" s="1603">
        <f>IF(AND($I$57=0,J57=1),$C$441,0)</f>
        <v>0</v>
      </c>
      <c r="K441" s="1603">
        <f t="shared" ref="K441:T441" si="139">IF(AND(J57=0,K57=1),$C$441,0)</f>
        <v>0</v>
      </c>
      <c r="L441" s="1603">
        <f t="shared" si="139"/>
        <v>0</v>
      </c>
      <c r="M441" s="1603">
        <f t="shared" si="139"/>
        <v>0</v>
      </c>
      <c r="N441" s="1603">
        <f t="shared" si="139"/>
        <v>0</v>
      </c>
      <c r="O441" s="1603">
        <f t="shared" si="139"/>
        <v>0</v>
      </c>
      <c r="P441" s="1603">
        <f t="shared" si="139"/>
        <v>0</v>
      </c>
      <c r="Q441" s="1603">
        <f t="shared" si="139"/>
        <v>0</v>
      </c>
      <c r="R441" s="1603">
        <f t="shared" si="139"/>
        <v>0</v>
      </c>
      <c r="S441" s="1603">
        <f t="shared" si="139"/>
        <v>0</v>
      </c>
      <c r="T441" s="1603">
        <f t="shared" si="139"/>
        <v>0</v>
      </c>
      <c r="AH441" s="1283"/>
      <c r="AI441" s="1283"/>
      <c r="AJ441" s="1283"/>
      <c r="AL441" s="1290"/>
      <c r="AM441" s="1290"/>
      <c r="AN441" s="1290"/>
    </row>
    <row r="442" spans="1:40" s="115" customFormat="1" ht="12.9" hidden="1" customHeight="1">
      <c r="A442" s="1270"/>
      <c r="B442" s="1540" t="s">
        <v>743</v>
      </c>
      <c r="C442" s="1602">
        <f>IF(ARBETSBLAD!E220=0,ARBETSBLAD!E213,0)</f>
        <v>0</v>
      </c>
      <c r="I442" s="1603">
        <f>IF(I57=1,$C$442,0)</f>
        <v>0</v>
      </c>
      <c r="J442" s="1603">
        <f t="shared" ref="J442:T442" si="140">IF(SUM(I57:J57)=1,$C$442,0)</f>
        <v>0</v>
      </c>
      <c r="K442" s="1603">
        <f t="shared" si="140"/>
        <v>0</v>
      </c>
      <c r="L442" s="1603">
        <f t="shared" si="140"/>
        <v>0</v>
      </c>
      <c r="M442" s="1603">
        <f t="shared" si="140"/>
        <v>0</v>
      </c>
      <c r="N442" s="1603">
        <f t="shared" si="140"/>
        <v>0</v>
      </c>
      <c r="O442" s="1603">
        <f t="shared" si="140"/>
        <v>0</v>
      </c>
      <c r="P442" s="1603">
        <f t="shared" si="140"/>
        <v>0</v>
      </c>
      <c r="Q442" s="1603">
        <f t="shared" si="140"/>
        <v>0</v>
      </c>
      <c r="R442" s="1603">
        <f t="shared" si="140"/>
        <v>0</v>
      </c>
      <c r="S442" s="1603">
        <f t="shared" si="140"/>
        <v>0</v>
      </c>
      <c r="T442" s="1603">
        <f t="shared" si="140"/>
        <v>0</v>
      </c>
      <c r="AH442" s="1283"/>
      <c r="AI442" s="1283"/>
      <c r="AJ442" s="1283"/>
      <c r="AL442" s="1290"/>
      <c r="AM442" s="1290"/>
      <c r="AN442" s="1290"/>
    </row>
    <row r="443" spans="1:40" s="115" customFormat="1" ht="12.9" hidden="1" customHeight="1">
      <c r="A443" s="1270"/>
      <c r="B443" s="1540" t="s">
        <v>749</v>
      </c>
      <c r="C443" s="1602">
        <f>IF(ARBETSBLAD!E220=0,ARBETSBLAD!E214,0)</f>
        <v>0</v>
      </c>
      <c r="I443" s="1603">
        <f>IF(SUM($I$57:I57)=1,$C$443,0)</f>
        <v>0</v>
      </c>
      <c r="J443" s="1603">
        <f>IF(SUM($I$57:J57)=1,$C$443,0)</f>
        <v>0</v>
      </c>
      <c r="K443" s="1603">
        <f>IF(SUM($I$57:K57)=1,$C$443,0)</f>
        <v>0</v>
      </c>
      <c r="L443" s="1603">
        <f>IF(SUM($I$57:L57)=1,$C$443,0)</f>
        <v>0</v>
      </c>
      <c r="M443" s="1603">
        <f>IF(SUM($I$57:M57)=1,$C$443,0)</f>
        <v>0</v>
      </c>
      <c r="N443" s="1603">
        <f>IF(SUM($I$57:N57)=1,$C$443,0)</f>
        <v>0</v>
      </c>
      <c r="O443" s="1603">
        <f>IF(SUM($I$57:O57)=1,$C$443,0)</f>
        <v>0</v>
      </c>
      <c r="P443" s="1603">
        <f>IF(SUM($I$57:P57)=1,$C$443,0)</f>
        <v>0</v>
      </c>
      <c r="Q443" s="1603">
        <f>IF(SUM($I$57:Q57)=1,$C$443,0)</f>
        <v>0</v>
      </c>
      <c r="R443" s="1603">
        <f>IF(SUM($I$57:R57)=1,$C$443,0)</f>
        <v>0</v>
      </c>
      <c r="S443" s="1603">
        <f>IF(SUM($I$57:S57)=1,$C$443,0)</f>
        <v>0</v>
      </c>
      <c r="T443" s="1603">
        <f>IF(SUM($I$57:T57)=1,$C$443,0)</f>
        <v>0</v>
      </c>
      <c r="AH443" s="1283"/>
      <c r="AI443" s="1283"/>
      <c r="AJ443" s="1283"/>
      <c r="AL443" s="1290"/>
      <c r="AM443" s="1290"/>
      <c r="AN443" s="1290"/>
    </row>
    <row r="444" spans="1:40" s="115" customFormat="1" ht="12.9" hidden="1" customHeight="1">
      <c r="A444" s="1270"/>
      <c r="B444" s="1540" t="s">
        <v>1068</v>
      </c>
      <c r="C444" s="1602">
        <f>IF(ARBETSBLAD!E220=0,ARBETSBLAD!E215,0)</f>
        <v>0</v>
      </c>
      <c r="I444" s="1603">
        <f>IF(I57=1,$C$444,0)</f>
        <v>0</v>
      </c>
      <c r="J444" s="1603">
        <f t="shared" ref="J444:T444" si="141">IF(SUM(I57:J57)=1,$C$444,0)</f>
        <v>0</v>
      </c>
      <c r="K444" s="1603">
        <f t="shared" si="141"/>
        <v>0</v>
      </c>
      <c r="L444" s="1603">
        <f t="shared" si="141"/>
        <v>0</v>
      </c>
      <c r="M444" s="1603">
        <f t="shared" si="141"/>
        <v>0</v>
      </c>
      <c r="N444" s="1603">
        <f t="shared" si="141"/>
        <v>0</v>
      </c>
      <c r="O444" s="1603">
        <f t="shared" si="141"/>
        <v>0</v>
      </c>
      <c r="P444" s="1603">
        <f t="shared" si="141"/>
        <v>0</v>
      </c>
      <c r="Q444" s="1603">
        <f t="shared" si="141"/>
        <v>0</v>
      </c>
      <c r="R444" s="1603">
        <f t="shared" si="141"/>
        <v>0</v>
      </c>
      <c r="S444" s="1603">
        <f t="shared" si="141"/>
        <v>0</v>
      </c>
      <c r="T444" s="1603">
        <f t="shared" si="141"/>
        <v>0</v>
      </c>
      <c r="AH444" s="1283"/>
      <c r="AI444" s="1283"/>
      <c r="AJ444" s="1283"/>
      <c r="AL444" s="1290"/>
      <c r="AM444" s="1290"/>
      <c r="AN444" s="1290"/>
    </row>
    <row r="445" spans="1:40" s="115" customFormat="1" ht="12.9" hidden="1" customHeight="1">
      <c r="A445" s="1270"/>
      <c r="B445" s="1540" t="s">
        <v>745</v>
      </c>
      <c r="C445" s="1602">
        <f>IF(ARBETSBLAD!E220=0,ARBETSBLAD!E216,0)</f>
        <v>0</v>
      </c>
      <c r="I445" s="1603">
        <f>IF(I57=1,$C$445,0)</f>
        <v>0</v>
      </c>
      <c r="J445" s="1603">
        <f t="shared" ref="J445:T445" si="142">IF(SUM(I57:J57)=1,$C$445,0)</f>
        <v>0</v>
      </c>
      <c r="K445" s="1603">
        <f t="shared" si="142"/>
        <v>0</v>
      </c>
      <c r="L445" s="1603">
        <f t="shared" si="142"/>
        <v>0</v>
      </c>
      <c r="M445" s="1603">
        <f t="shared" si="142"/>
        <v>0</v>
      </c>
      <c r="N445" s="1603">
        <f t="shared" si="142"/>
        <v>0</v>
      </c>
      <c r="O445" s="1603">
        <f t="shared" si="142"/>
        <v>0</v>
      </c>
      <c r="P445" s="1603">
        <f t="shared" si="142"/>
        <v>0</v>
      </c>
      <c r="Q445" s="1603">
        <f t="shared" si="142"/>
        <v>0</v>
      </c>
      <c r="R445" s="1603">
        <f t="shared" si="142"/>
        <v>0</v>
      </c>
      <c r="S445" s="1603">
        <f t="shared" si="142"/>
        <v>0</v>
      </c>
      <c r="T445" s="1603">
        <f t="shared" si="142"/>
        <v>0</v>
      </c>
      <c r="AH445" s="1283"/>
      <c r="AI445" s="1283"/>
      <c r="AJ445" s="1283"/>
      <c r="AL445" s="1290"/>
      <c r="AM445" s="1290"/>
      <c r="AN445" s="1290"/>
    </row>
    <row r="446" spans="1:40" s="115" customFormat="1" ht="12.9" hidden="1" customHeight="1">
      <c r="A446" s="1270"/>
      <c r="B446" s="1540" t="s">
        <v>1056</v>
      </c>
      <c r="C446" s="1602">
        <f>IF(ARBETSBLAD!E220=0,ARBETSBLAD!E217,0)</f>
        <v>0</v>
      </c>
      <c r="I446" s="1603">
        <f>IF(I57=1,$C$446,0)</f>
        <v>0</v>
      </c>
      <c r="J446" s="1603">
        <f t="shared" ref="J446:T446" si="143">IF(SUM(I57:J57)=1,$C$446,0)</f>
        <v>0</v>
      </c>
      <c r="K446" s="1603">
        <f t="shared" si="143"/>
        <v>0</v>
      </c>
      <c r="L446" s="1603">
        <f t="shared" si="143"/>
        <v>0</v>
      </c>
      <c r="M446" s="1603">
        <f t="shared" si="143"/>
        <v>0</v>
      </c>
      <c r="N446" s="1603">
        <f t="shared" si="143"/>
        <v>0</v>
      </c>
      <c r="O446" s="1603">
        <f t="shared" si="143"/>
        <v>0</v>
      </c>
      <c r="P446" s="1603">
        <f t="shared" si="143"/>
        <v>0</v>
      </c>
      <c r="Q446" s="1603">
        <f t="shared" si="143"/>
        <v>0</v>
      </c>
      <c r="R446" s="1603">
        <f t="shared" si="143"/>
        <v>0</v>
      </c>
      <c r="S446" s="1603">
        <f t="shared" si="143"/>
        <v>0</v>
      </c>
      <c r="T446" s="1603">
        <f t="shared" si="143"/>
        <v>0</v>
      </c>
      <c r="AH446" s="1283"/>
      <c r="AI446" s="1283"/>
      <c r="AJ446" s="1283"/>
      <c r="AL446" s="1290"/>
      <c r="AM446" s="1290"/>
      <c r="AN446" s="1290"/>
    </row>
    <row r="447" spans="1:40" s="115" customFormat="1" ht="12.9" hidden="1" customHeight="1">
      <c r="A447" s="1270"/>
      <c r="B447" s="1540" t="s">
        <v>760</v>
      </c>
      <c r="C447" s="1602"/>
      <c r="I447" s="1603"/>
      <c r="J447" s="1603"/>
      <c r="K447" s="1603"/>
      <c r="L447" s="1603"/>
      <c r="M447" s="1603"/>
      <c r="N447" s="1603"/>
      <c r="O447" s="1603"/>
      <c r="P447" s="1603"/>
      <c r="Q447" s="1603"/>
      <c r="R447" s="1603"/>
      <c r="S447" s="1603"/>
      <c r="T447" s="1603"/>
      <c r="AH447" s="1283"/>
      <c r="AI447" s="1283"/>
      <c r="AJ447" s="1283"/>
      <c r="AL447" s="1290"/>
      <c r="AM447" s="1290"/>
      <c r="AN447" s="1290"/>
    </row>
    <row r="448" spans="1:40" s="115" customFormat="1" ht="12.9" hidden="1" customHeight="1">
      <c r="A448" s="1270"/>
      <c r="B448" s="1540" t="s">
        <v>742</v>
      </c>
      <c r="C448" s="1602">
        <f>IF(ARBETSBLAD!E220=0,ARBETSBLAD!E218,0)</f>
        <v>0</v>
      </c>
      <c r="I448" s="1603">
        <f>IF(I57=1,$C$448,0)</f>
        <v>0</v>
      </c>
      <c r="J448" s="1603">
        <f t="shared" ref="J448:T448" si="144">IF(SUM(I57:J57)=1,$C$448,0)</f>
        <v>0</v>
      </c>
      <c r="K448" s="1603">
        <f t="shared" si="144"/>
        <v>0</v>
      </c>
      <c r="L448" s="1603">
        <f t="shared" si="144"/>
        <v>0</v>
      </c>
      <c r="M448" s="1603">
        <f t="shared" si="144"/>
        <v>0</v>
      </c>
      <c r="N448" s="1603">
        <f t="shared" si="144"/>
        <v>0</v>
      </c>
      <c r="O448" s="1603">
        <f t="shared" si="144"/>
        <v>0</v>
      </c>
      <c r="P448" s="1603">
        <f t="shared" si="144"/>
        <v>0</v>
      </c>
      <c r="Q448" s="1603">
        <f t="shared" si="144"/>
        <v>0</v>
      </c>
      <c r="R448" s="1603">
        <f t="shared" si="144"/>
        <v>0</v>
      </c>
      <c r="S448" s="1603">
        <f t="shared" si="144"/>
        <v>0</v>
      </c>
      <c r="T448" s="1603">
        <f t="shared" si="144"/>
        <v>0</v>
      </c>
      <c r="AH448" s="1283"/>
      <c r="AI448" s="1283"/>
      <c r="AJ448" s="1283"/>
      <c r="AL448" s="1290"/>
      <c r="AM448" s="1290"/>
      <c r="AN448" s="1290"/>
    </row>
    <row r="449" spans="1:745" s="1" customFormat="1" ht="12.9" hidden="1" customHeight="1">
      <c r="A449" s="1270"/>
      <c r="B449" s="29"/>
      <c r="C449" s="780"/>
      <c r="I449" s="781"/>
      <c r="J449" s="781"/>
      <c r="K449" s="781"/>
      <c r="L449" s="781"/>
      <c r="M449" s="781"/>
      <c r="N449" s="781"/>
      <c r="O449" s="781"/>
      <c r="P449" s="781"/>
      <c r="Q449" s="781"/>
      <c r="R449" s="781"/>
      <c r="S449" s="781"/>
      <c r="T449" s="781"/>
      <c r="AN449" s="1005"/>
      <c r="AO449" s="1004"/>
      <c r="AP449" s="1004"/>
      <c r="AQ449" s="1004"/>
      <c r="AR449" s="1004"/>
      <c r="AS449" s="1004"/>
      <c r="AT449" s="1004"/>
      <c r="AU449" s="1004"/>
      <c r="AV449" s="1004"/>
      <c r="AW449" s="1004"/>
      <c r="AX449" s="1004"/>
      <c r="AY449" s="1004"/>
      <c r="AZ449" s="1004"/>
      <c r="BA449" s="1004"/>
      <c r="BB449" s="1004"/>
      <c r="BC449" s="1004"/>
      <c r="BD449" s="1004"/>
      <c r="BE449" s="1004"/>
      <c r="BF449" s="1004"/>
      <c r="BG449" s="1004"/>
      <c r="BH449" s="1004"/>
      <c r="BI449" s="1004"/>
      <c r="BJ449" s="1004"/>
      <c r="BK449" s="1004"/>
      <c r="BL449" s="1004"/>
      <c r="BM449" s="1004"/>
      <c r="BN449" s="1004"/>
      <c r="BO449" s="1004"/>
      <c r="BP449" s="1004"/>
      <c r="BQ449" s="1004"/>
      <c r="BR449" s="1004"/>
      <c r="BS449" s="1004"/>
      <c r="BT449" s="1004"/>
      <c r="BU449" s="1004"/>
      <c r="BV449" s="1004"/>
      <c r="BW449" s="1004"/>
      <c r="BX449" s="1004"/>
      <c r="BY449" s="1004"/>
      <c r="BZ449" s="1004"/>
      <c r="CA449" s="1004"/>
      <c r="CB449" s="1004"/>
      <c r="CC449" s="1004"/>
      <c r="CD449" s="1004"/>
      <c r="CE449" s="1004"/>
      <c r="CF449" s="1004"/>
      <c r="CG449" s="1004"/>
      <c r="CH449" s="1004"/>
      <c r="CI449" s="1004"/>
      <c r="CJ449" s="1004"/>
      <c r="CK449" s="1004"/>
      <c r="CL449" s="1004"/>
      <c r="CM449" s="1004"/>
      <c r="CN449" s="1004"/>
      <c r="CO449" s="1004"/>
      <c r="CP449" s="1004"/>
      <c r="CQ449" s="1004"/>
      <c r="CR449" s="1004"/>
      <c r="CS449" s="1004"/>
      <c r="CT449" s="1004"/>
      <c r="CU449" s="1004"/>
      <c r="CV449" s="1004"/>
      <c r="CW449" s="1004"/>
      <c r="CX449" s="1004"/>
      <c r="CY449" s="1004"/>
      <c r="CZ449" s="1004"/>
      <c r="DA449" s="1004"/>
      <c r="DB449" s="1004"/>
      <c r="DC449" s="1004"/>
      <c r="DD449" s="1004"/>
      <c r="DE449" s="1004"/>
      <c r="DF449" s="1004"/>
      <c r="DG449" s="1004"/>
      <c r="DH449" s="1004"/>
      <c r="DI449" s="1004"/>
      <c r="DJ449" s="1004"/>
      <c r="DK449" s="1004"/>
      <c r="DL449" s="1004"/>
      <c r="DM449" s="1004"/>
      <c r="DN449" s="1004"/>
      <c r="DO449" s="1004"/>
      <c r="DP449" s="1004"/>
      <c r="DQ449" s="1004"/>
      <c r="DR449" s="1004"/>
      <c r="DS449" s="1004"/>
      <c r="DT449" s="1004"/>
      <c r="DU449" s="1004"/>
      <c r="DV449" s="1004"/>
      <c r="DW449" s="1004"/>
      <c r="DX449" s="1004"/>
      <c r="DY449" s="1004"/>
      <c r="DZ449" s="1004"/>
      <c r="EA449" s="1004"/>
      <c r="EB449" s="1004"/>
      <c r="EC449" s="1004"/>
      <c r="ED449" s="1004"/>
      <c r="EE449" s="1004"/>
      <c r="EF449" s="1004"/>
      <c r="EG449" s="1004"/>
      <c r="EH449" s="1004"/>
      <c r="EI449" s="1004"/>
      <c r="EJ449" s="1004"/>
      <c r="EK449" s="1004"/>
      <c r="EL449" s="1004"/>
      <c r="EM449" s="1004"/>
      <c r="EN449" s="1004"/>
      <c r="EO449" s="1004"/>
      <c r="EP449" s="1004"/>
      <c r="EQ449" s="1004"/>
      <c r="ER449" s="1004"/>
      <c r="ES449" s="1004"/>
      <c r="ET449" s="1004"/>
      <c r="EU449" s="1004"/>
      <c r="EV449" s="1004"/>
      <c r="EW449" s="1004"/>
      <c r="EX449" s="1004"/>
      <c r="EY449" s="1004"/>
      <c r="EZ449" s="1004"/>
      <c r="FA449" s="1004"/>
      <c r="FB449" s="1004"/>
      <c r="FC449" s="1004"/>
      <c r="FD449" s="1004"/>
      <c r="FE449" s="1004"/>
      <c r="FF449" s="1004"/>
      <c r="FG449" s="1004"/>
      <c r="FH449" s="1004"/>
      <c r="FI449" s="1004"/>
      <c r="FJ449" s="1004"/>
      <c r="FK449" s="1004"/>
      <c r="FL449" s="1004"/>
      <c r="FM449" s="1004"/>
      <c r="FN449" s="1004"/>
      <c r="FO449" s="1004"/>
      <c r="FP449" s="1004"/>
      <c r="FQ449" s="1004"/>
      <c r="FR449" s="1004"/>
      <c r="FS449" s="1004"/>
      <c r="FT449" s="1004"/>
      <c r="FU449" s="1004"/>
      <c r="FV449" s="1004"/>
      <c r="FW449" s="1004"/>
      <c r="FX449" s="1004"/>
      <c r="FY449" s="1004"/>
      <c r="FZ449" s="1004"/>
      <c r="GA449" s="1004"/>
      <c r="GB449" s="1004"/>
      <c r="GC449" s="1004"/>
      <c r="GD449" s="1004"/>
      <c r="GE449" s="1004"/>
      <c r="GF449" s="1004"/>
      <c r="GG449" s="1004"/>
      <c r="GH449" s="1004"/>
      <c r="GI449" s="1004"/>
      <c r="GJ449" s="1004"/>
      <c r="GK449" s="1004"/>
      <c r="GL449" s="1004"/>
      <c r="GM449" s="1004"/>
      <c r="GN449" s="1004"/>
      <c r="GO449" s="1004"/>
      <c r="GP449" s="1004"/>
      <c r="GQ449" s="1004"/>
      <c r="GR449" s="1004"/>
      <c r="GS449" s="1004"/>
      <c r="GT449" s="1004"/>
      <c r="GU449" s="1004"/>
      <c r="GV449" s="1004"/>
      <c r="GW449" s="1004"/>
      <c r="GX449" s="1004"/>
      <c r="GY449" s="1004"/>
      <c r="GZ449" s="1004"/>
      <c r="HA449" s="1004"/>
      <c r="HB449" s="1004"/>
      <c r="HC449" s="1004"/>
      <c r="HD449" s="1004"/>
      <c r="HE449" s="1004"/>
      <c r="HF449" s="1004"/>
      <c r="HG449" s="1004"/>
      <c r="HH449" s="1004"/>
      <c r="HI449" s="1004"/>
      <c r="HJ449" s="1004"/>
      <c r="HK449" s="1004"/>
      <c r="HL449" s="1004"/>
      <c r="HM449" s="1004"/>
      <c r="HN449" s="1004"/>
      <c r="HO449" s="1004"/>
      <c r="HP449" s="1004"/>
      <c r="HQ449" s="1004"/>
      <c r="HR449" s="1004"/>
      <c r="HS449" s="1004"/>
      <c r="HT449" s="1004"/>
      <c r="HU449" s="1004"/>
      <c r="HV449" s="1004"/>
      <c r="HW449" s="1004"/>
      <c r="HX449" s="1004"/>
      <c r="HY449" s="1004"/>
      <c r="HZ449" s="1004"/>
      <c r="IA449" s="1004"/>
      <c r="IB449" s="1004"/>
      <c r="IC449" s="1004"/>
      <c r="ID449" s="1004"/>
      <c r="IE449" s="1004"/>
      <c r="IF449" s="1004"/>
      <c r="IG449" s="1004"/>
      <c r="IH449" s="1004"/>
      <c r="II449" s="1004"/>
      <c r="IJ449" s="1004"/>
      <c r="IK449" s="1004"/>
      <c r="IL449" s="1004"/>
      <c r="IM449" s="1004"/>
      <c r="IN449" s="1004"/>
      <c r="IO449" s="1004"/>
      <c r="IP449" s="1004"/>
      <c r="IQ449" s="1004"/>
      <c r="IR449" s="1004"/>
      <c r="IS449" s="1004"/>
      <c r="IT449" s="1004"/>
      <c r="IU449" s="1004"/>
      <c r="IV449" s="1004"/>
      <c r="IW449" s="1004"/>
      <c r="IX449" s="1004"/>
      <c r="IY449" s="1004"/>
      <c r="IZ449" s="1004"/>
      <c r="JA449" s="1004"/>
      <c r="JB449" s="1004"/>
      <c r="JC449" s="1004"/>
      <c r="JD449" s="1004"/>
      <c r="JE449" s="1004"/>
      <c r="JF449" s="1004"/>
      <c r="JG449" s="1004"/>
      <c r="JH449" s="1004"/>
      <c r="JI449" s="1004"/>
      <c r="JJ449" s="1004"/>
      <c r="JK449" s="1004"/>
      <c r="JL449" s="1004"/>
      <c r="JM449" s="1004"/>
      <c r="JN449" s="1004"/>
      <c r="JO449" s="1004"/>
      <c r="JP449" s="1004"/>
      <c r="JQ449" s="1004"/>
      <c r="JR449" s="1004"/>
      <c r="JS449" s="1004"/>
      <c r="JT449" s="1004"/>
      <c r="JU449" s="1004"/>
      <c r="JV449" s="1004"/>
      <c r="JW449" s="1004"/>
      <c r="JX449" s="1004"/>
      <c r="JY449" s="1004"/>
      <c r="JZ449" s="1004"/>
      <c r="KA449" s="1004"/>
      <c r="KB449" s="1004"/>
      <c r="KC449" s="1004"/>
      <c r="KD449" s="1004"/>
      <c r="KE449" s="1004"/>
      <c r="KF449" s="1004"/>
      <c r="KG449" s="1004"/>
      <c r="KH449" s="1004"/>
      <c r="KI449" s="1004"/>
      <c r="KJ449" s="1004"/>
      <c r="KK449" s="1004"/>
      <c r="KL449" s="1004"/>
      <c r="KM449" s="1004"/>
      <c r="KN449" s="1004"/>
      <c r="KO449" s="1004"/>
      <c r="KP449" s="1004"/>
      <c r="KQ449" s="1004"/>
      <c r="KR449" s="1004"/>
      <c r="KS449" s="1004"/>
      <c r="KT449" s="1004"/>
      <c r="KU449" s="1004"/>
      <c r="KV449" s="1004"/>
      <c r="KW449" s="1004"/>
      <c r="KX449" s="1004"/>
      <c r="KY449" s="1004"/>
      <c r="KZ449" s="1004"/>
      <c r="LA449" s="1004"/>
      <c r="LB449" s="1004"/>
      <c r="LC449" s="1004"/>
      <c r="LD449" s="1004"/>
      <c r="LE449" s="1004"/>
      <c r="LF449" s="1004"/>
      <c r="LG449" s="1004"/>
      <c r="LH449" s="1004"/>
      <c r="LI449" s="1004"/>
      <c r="LJ449" s="1004"/>
      <c r="LK449" s="1004"/>
      <c r="LL449" s="1004"/>
      <c r="LM449" s="1004"/>
      <c r="LN449" s="1004"/>
      <c r="LO449" s="1004"/>
      <c r="LP449" s="1004"/>
      <c r="LQ449" s="1004"/>
      <c r="LR449" s="1004"/>
      <c r="LS449" s="1004"/>
      <c r="LT449" s="1004"/>
      <c r="LU449" s="1004"/>
      <c r="LV449" s="1004"/>
      <c r="LW449" s="1004"/>
      <c r="LX449" s="1004"/>
      <c r="LY449" s="1004"/>
      <c r="LZ449" s="1004"/>
      <c r="MA449" s="1004"/>
      <c r="MB449" s="1004"/>
      <c r="MC449" s="1004"/>
      <c r="MD449" s="1004"/>
      <c r="ME449" s="1004"/>
      <c r="MF449" s="1004"/>
      <c r="MG449" s="1004"/>
      <c r="MH449" s="1004"/>
      <c r="MI449" s="1004"/>
      <c r="MJ449" s="1004"/>
      <c r="MK449" s="1004"/>
      <c r="ML449" s="1004"/>
      <c r="MM449" s="1004"/>
      <c r="MN449" s="1004"/>
      <c r="MO449" s="1004"/>
      <c r="MP449" s="1004"/>
      <c r="MQ449" s="1004"/>
      <c r="MR449" s="1004"/>
      <c r="MS449" s="1004"/>
      <c r="MT449" s="1004"/>
      <c r="MU449" s="1004"/>
      <c r="MV449" s="1004"/>
      <c r="MW449" s="1004"/>
      <c r="MX449" s="1004"/>
      <c r="MY449" s="1004"/>
      <c r="MZ449" s="1004"/>
      <c r="NA449" s="1004"/>
      <c r="NB449" s="1004"/>
      <c r="NC449" s="1004"/>
      <c r="ND449" s="1004"/>
      <c r="NE449" s="1004"/>
      <c r="NF449" s="1004"/>
      <c r="NG449" s="1004"/>
      <c r="NH449" s="1004"/>
      <c r="NI449" s="1004"/>
      <c r="NJ449" s="1004"/>
      <c r="NK449" s="1004"/>
      <c r="NL449" s="1004"/>
      <c r="NM449" s="1004"/>
      <c r="NN449" s="1004"/>
      <c r="NO449" s="1004"/>
      <c r="NP449" s="1004"/>
      <c r="NQ449" s="1004"/>
      <c r="NR449" s="1004"/>
      <c r="NS449" s="1004"/>
      <c r="NT449" s="1004"/>
      <c r="NU449" s="1004"/>
      <c r="NV449" s="1004"/>
      <c r="NW449" s="1004"/>
      <c r="NX449" s="1004"/>
      <c r="NY449" s="1004"/>
      <c r="NZ449" s="1004"/>
      <c r="OA449" s="1004"/>
      <c r="OB449" s="1004"/>
      <c r="OC449" s="1004"/>
      <c r="OD449" s="1004"/>
      <c r="OE449" s="1004"/>
      <c r="OF449" s="1004"/>
      <c r="OG449" s="1004"/>
      <c r="OH449" s="1004"/>
      <c r="OI449" s="1004"/>
      <c r="OJ449" s="1004"/>
      <c r="OK449" s="1004"/>
      <c r="OL449" s="1004"/>
      <c r="OM449" s="1004"/>
      <c r="ON449" s="1004"/>
      <c r="OO449" s="1004"/>
      <c r="OP449" s="1004"/>
      <c r="OQ449" s="1004"/>
      <c r="OR449" s="1004"/>
      <c r="OS449" s="1004"/>
      <c r="OT449" s="1004"/>
      <c r="OU449" s="1004"/>
      <c r="OV449" s="1004"/>
      <c r="OW449" s="1004"/>
      <c r="OX449" s="1004"/>
      <c r="OY449" s="1004"/>
      <c r="OZ449" s="1004"/>
      <c r="PA449" s="1004"/>
      <c r="PB449" s="1004"/>
      <c r="PC449" s="1004"/>
      <c r="PD449" s="1004"/>
      <c r="PE449" s="1004"/>
      <c r="PF449" s="1004"/>
      <c r="PG449" s="1004"/>
      <c r="PH449" s="1004"/>
      <c r="PI449" s="1004"/>
      <c r="PJ449" s="1004"/>
      <c r="PK449" s="1004"/>
      <c r="PL449" s="1004"/>
      <c r="PM449" s="1004"/>
      <c r="PN449" s="1004"/>
      <c r="PO449" s="1004"/>
      <c r="PP449" s="1004"/>
      <c r="PQ449" s="1004"/>
      <c r="PR449" s="1004"/>
      <c r="PS449" s="1004"/>
      <c r="PT449" s="1004"/>
      <c r="PU449" s="1004"/>
      <c r="PV449" s="1004"/>
      <c r="PW449" s="1004"/>
      <c r="PX449" s="1004"/>
      <c r="PY449" s="1004"/>
      <c r="PZ449" s="1004"/>
      <c r="QA449" s="1004"/>
      <c r="QB449" s="1004"/>
      <c r="QC449" s="1004"/>
      <c r="QD449" s="1004"/>
      <c r="QE449" s="1004"/>
      <c r="QF449" s="1004"/>
      <c r="QG449" s="1004"/>
      <c r="QH449" s="1004"/>
      <c r="QI449" s="1004"/>
      <c r="QJ449" s="1004"/>
      <c r="QK449" s="1004"/>
      <c r="QL449" s="1004"/>
      <c r="QM449" s="1004"/>
      <c r="QN449" s="1004"/>
      <c r="QO449" s="1004"/>
      <c r="QP449" s="1004"/>
      <c r="QQ449" s="1004"/>
      <c r="QR449" s="1004"/>
      <c r="QS449" s="1004"/>
      <c r="QT449" s="1004"/>
      <c r="QU449" s="1004"/>
      <c r="QV449" s="1004"/>
      <c r="QW449" s="1004"/>
      <c r="QX449" s="1004"/>
      <c r="QY449" s="1004"/>
      <c r="QZ449" s="1004"/>
      <c r="RA449" s="1004"/>
      <c r="RB449" s="1004"/>
      <c r="RC449" s="1004"/>
      <c r="RD449" s="1004"/>
      <c r="RE449" s="1004"/>
      <c r="RF449" s="1004"/>
      <c r="RG449" s="1004"/>
      <c r="RH449" s="1004"/>
      <c r="RI449" s="1004"/>
      <c r="RJ449" s="1004"/>
      <c r="RK449" s="1004"/>
      <c r="RL449" s="1004"/>
      <c r="RM449" s="1004"/>
      <c r="RN449" s="1004"/>
      <c r="RO449" s="1004"/>
      <c r="RP449" s="1004"/>
      <c r="RQ449" s="1004"/>
      <c r="RR449" s="1004"/>
      <c r="RS449" s="1004"/>
      <c r="RT449" s="1004"/>
      <c r="RU449" s="1004"/>
      <c r="RV449" s="1004"/>
      <c r="RW449" s="1004"/>
      <c r="RX449" s="1004"/>
      <c r="RY449" s="1004"/>
      <c r="RZ449" s="1004"/>
      <c r="SA449" s="1004"/>
      <c r="SB449" s="1004"/>
      <c r="SC449" s="1004"/>
      <c r="SD449" s="1004"/>
      <c r="SE449" s="1004"/>
      <c r="SF449" s="1004"/>
      <c r="SG449" s="1004"/>
      <c r="SH449" s="1004"/>
      <c r="SI449" s="1004"/>
      <c r="SJ449" s="1004"/>
      <c r="SK449" s="1004"/>
      <c r="SL449" s="1004"/>
      <c r="SM449" s="1004"/>
      <c r="SN449" s="1004"/>
      <c r="SO449" s="1004"/>
      <c r="SP449" s="1004"/>
      <c r="SQ449" s="1004"/>
      <c r="SR449" s="1004"/>
      <c r="SS449" s="1004"/>
      <c r="ST449" s="1004"/>
      <c r="SU449" s="1004"/>
      <c r="SV449" s="1004"/>
      <c r="SW449" s="1004"/>
      <c r="SX449" s="1004"/>
      <c r="SY449" s="1004"/>
      <c r="SZ449" s="1004"/>
      <c r="TA449" s="1004"/>
      <c r="TB449" s="1004"/>
      <c r="TC449" s="1004"/>
      <c r="TD449" s="1004"/>
      <c r="TE449" s="1004"/>
      <c r="TF449" s="1004"/>
      <c r="TG449" s="1004"/>
      <c r="TH449" s="1004"/>
      <c r="TI449" s="1004"/>
      <c r="TJ449" s="1004"/>
      <c r="TK449" s="1004"/>
      <c r="TL449" s="1004"/>
      <c r="TM449" s="1004"/>
      <c r="TN449" s="1004"/>
      <c r="TO449" s="1004"/>
      <c r="TP449" s="1004"/>
      <c r="TQ449" s="1004"/>
      <c r="TR449" s="1004"/>
      <c r="TS449" s="1004"/>
      <c r="TT449" s="1004"/>
      <c r="TU449" s="1004"/>
      <c r="TV449" s="1004"/>
      <c r="TW449" s="1004"/>
      <c r="TX449" s="1004"/>
      <c r="TY449" s="1004"/>
      <c r="TZ449" s="1004"/>
      <c r="UA449" s="1004"/>
      <c r="UB449" s="1004"/>
      <c r="UC449" s="1004"/>
      <c r="UD449" s="1004"/>
      <c r="UE449" s="1004"/>
      <c r="UF449" s="1004"/>
      <c r="UG449" s="1004"/>
      <c r="UH449" s="1004"/>
      <c r="UI449" s="1004"/>
      <c r="UJ449" s="1004"/>
      <c r="UK449" s="1004"/>
      <c r="UL449" s="1004"/>
      <c r="UM449" s="1004"/>
      <c r="UN449" s="1004"/>
      <c r="UO449" s="1004"/>
      <c r="UP449" s="1004"/>
      <c r="UQ449" s="1004"/>
      <c r="UR449" s="1004"/>
      <c r="US449" s="1004"/>
      <c r="UT449" s="1004"/>
      <c r="UU449" s="1004"/>
      <c r="UV449" s="1004"/>
      <c r="UW449" s="1004"/>
      <c r="UX449" s="1004"/>
      <c r="UY449" s="1004"/>
      <c r="UZ449" s="1004"/>
      <c r="VA449" s="1004"/>
      <c r="VB449" s="1004"/>
      <c r="VC449" s="1004"/>
      <c r="VD449" s="1004"/>
      <c r="VE449" s="1004"/>
      <c r="VF449" s="1004"/>
      <c r="VG449" s="1004"/>
      <c r="VH449" s="1004"/>
      <c r="VI449" s="1004"/>
      <c r="VJ449" s="1004"/>
      <c r="VK449" s="1004"/>
      <c r="VL449" s="1004"/>
      <c r="VM449" s="1004"/>
      <c r="VN449" s="1004"/>
      <c r="VO449" s="1004"/>
      <c r="VP449" s="1004"/>
      <c r="VQ449" s="1004"/>
      <c r="VR449" s="1004"/>
      <c r="VS449" s="1004"/>
      <c r="VT449" s="1004"/>
      <c r="VU449" s="1004"/>
      <c r="VV449" s="1004"/>
      <c r="VW449" s="1004"/>
      <c r="VX449" s="1004"/>
      <c r="VY449" s="1004"/>
      <c r="VZ449" s="1004"/>
      <c r="WA449" s="1004"/>
      <c r="WB449" s="1004"/>
      <c r="WC449" s="1004"/>
      <c r="WD449" s="1004"/>
      <c r="WE449" s="1004"/>
      <c r="WF449" s="1004"/>
      <c r="WG449" s="1004"/>
      <c r="WH449" s="1004"/>
      <c r="WI449" s="1004"/>
      <c r="WJ449" s="1004"/>
      <c r="WK449" s="1004"/>
      <c r="WL449" s="1004"/>
      <c r="WM449" s="1004"/>
      <c r="WN449" s="1004"/>
      <c r="WO449" s="1004"/>
      <c r="WP449" s="1004"/>
      <c r="WQ449" s="1004"/>
      <c r="WR449" s="1004"/>
      <c r="WS449" s="1004"/>
      <c r="WT449" s="1004"/>
      <c r="WU449" s="1004"/>
      <c r="WV449" s="1004"/>
      <c r="WW449" s="1004"/>
      <c r="WX449" s="1004"/>
      <c r="WY449" s="1004"/>
      <c r="WZ449" s="1004"/>
      <c r="XA449" s="1004"/>
      <c r="XB449" s="1004"/>
      <c r="XC449" s="1004"/>
      <c r="XD449" s="1004"/>
      <c r="XE449" s="1004"/>
      <c r="XF449" s="1004"/>
      <c r="XG449" s="1004"/>
      <c r="XH449" s="1004"/>
      <c r="XI449" s="1004"/>
      <c r="XJ449" s="1004"/>
      <c r="XK449" s="1004"/>
      <c r="XL449" s="1004"/>
      <c r="XM449" s="1004"/>
      <c r="XN449" s="1004"/>
      <c r="XO449" s="1004"/>
      <c r="XP449" s="1004"/>
      <c r="XQ449" s="1004"/>
      <c r="XR449" s="1004"/>
      <c r="XS449" s="1004"/>
      <c r="XT449" s="1004"/>
      <c r="XU449" s="1004"/>
      <c r="XV449" s="1004"/>
      <c r="XW449" s="1004"/>
      <c r="XX449" s="1004"/>
      <c r="XY449" s="1004"/>
      <c r="XZ449" s="1004"/>
      <c r="YA449" s="1004"/>
      <c r="YB449" s="1004"/>
      <c r="YC449" s="1004"/>
      <c r="YD449" s="1004"/>
      <c r="YE449" s="1004"/>
      <c r="YF449" s="1004"/>
      <c r="YG449" s="1004"/>
      <c r="YH449" s="1004"/>
      <c r="YI449" s="1004"/>
      <c r="YJ449" s="1004"/>
      <c r="YK449" s="1004"/>
      <c r="YL449" s="1004"/>
      <c r="YM449" s="1004"/>
      <c r="YN449" s="1004"/>
      <c r="YO449" s="1004"/>
      <c r="YP449" s="1004"/>
      <c r="YQ449" s="1004"/>
      <c r="YR449" s="1004"/>
      <c r="YS449" s="1004"/>
      <c r="YT449" s="1004"/>
      <c r="YU449" s="1004"/>
      <c r="YV449" s="1004"/>
      <c r="YW449" s="1004"/>
      <c r="YX449" s="1004"/>
      <c r="YY449" s="1004"/>
      <c r="YZ449" s="1004"/>
      <c r="ZA449" s="1004"/>
      <c r="ZB449" s="1004"/>
      <c r="ZC449" s="1004"/>
      <c r="ZD449" s="1004"/>
      <c r="ZE449" s="1004"/>
      <c r="ZF449" s="1004"/>
      <c r="ZG449" s="1004"/>
      <c r="ZH449" s="1004"/>
      <c r="ZI449" s="1004"/>
      <c r="ZJ449" s="1004"/>
      <c r="ZK449" s="1004"/>
      <c r="ZL449" s="1004"/>
      <c r="ZM449" s="1004"/>
      <c r="ZN449" s="1004"/>
      <c r="ZO449" s="1004"/>
      <c r="ZP449" s="1004"/>
      <c r="ZQ449" s="1004"/>
      <c r="ZR449" s="1004"/>
      <c r="ZS449" s="1004"/>
      <c r="ZT449" s="1004"/>
      <c r="ZU449" s="1004"/>
      <c r="ZV449" s="1004"/>
      <c r="ZW449" s="1004"/>
      <c r="ZX449" s="1004"/>
      <c r="ZY449" s="1004"/>
      <c r="ZZ449" s="1004"/>
      <c r="AAA449" s="1004"/>
      <c r="AAB449" s="1004"/>
      <c r="AAC449" s="1004"/>
      <c r="AAD449" s="1004"/>
      <c r="AAE449" s="1004"/>
      <c r="AAF449" s="1004"/>
      <c r="AAG449" s="1004"/>
      <c r="AAH449" s="1004"/>
      <c r="AAI449" s="1004"/>
      <c r="AAJ449" s="1004"/>
      <c r="AAK449" s="1004"/>
      <c r="AAL449" s="1004"/>
      <c r="AAM449" s="1004"/>
      <c r="AAN449" s="1004"/>
      <c r="AAO449" s="1004"/>
      <c r="AAP449" s="1004"/>
      <c r="AAQ449" s="1004"/>
      <c r="AAR449" s="1004"/>
      <c r="AAS449" s="1004"/>
      <c r="AAT449" s="1004"/>
      <c r="AAU449" s="1004"/>
      <c r="AAV449" s="1004"/>
      <c r="AAW449" s="1004"/>
      <c r="AAX449" s="1004"/>
      <c r="AAY449" s="1004"/>
      <c r="AAZ449" s="1004"/>
      <c r="ABA449" s="1004"/>
      <c r="ABB449" s="1004"/>
      <c r="ABC449" s="1004"/>
      <c r="ABD449" s="1004"/>
      <c r="ABE449" s="1004"/>
      <c r="ABF449" s="1004"/>
      <c r="ABG449" s="1004"/>
      <c r="ABH449" s="1004"/>
      <c r="ABI449" s="1004"/>
      <c r="ABJ449" s="1004"/>
      <c r="ABK449" s="1004"/>
      <c r="ABL449" s="1004"/>
      <c r="ABM449" s="1004"/>
      <c r="ABN449" s="1004"/>
      <c r="ABO449" s="1004"/>
      <c r="ABP449" s="1004"/>
      <c r="ABQ449" s="1004"/>
    </row>
    <row r="450" spans="1:745" s="111" customFormat="1" ht="12.75" hidden="1" customHeight="1">
      <c r="A450" s="1270"/>
      <c r="B450" s="1661" t="s">
        <v>969</v>
      </c>
      <c r="C450" s="1662"/>
      <c r="D450" s="1662"/>
      <c r="E450" s="1663"/>
      <c r="F450" s="1664"/>
      <c r="G450" s="1663"/>
      <c r="H450" s="1665"/>
      <c r="I450" s="1656">
        <f>IF(OR(C61=2,C61=3),0,IF(C61=1,I436/2))</f>
        <v>0</v>
      </c>
      <c r="J450" s="1656">
        <f t="shared" ref="J450:Y450" si="145">IF(OR($C$61=2,$C$61=3),0,IF($C$61=1,IF(I57=1,I436/2,IF(I57=0,J436/2,0))))</f>
        <v>0</v>
      </c>
      <c r="K450" s="1656">
        <f t="shared" si="145"/>
        <v>0</v>
      </c>
      <c r="L450" s="1656">
        <f t="shared" si="145"/>
        <v>0</v>
      </c>
      <c r="M450" s="1656">
        <f t="shared" si="145"/>
        <v>0</v>
      </c>
      <c r="N450" s="1656">
        <f t="shared" si="145"/>
        <v>0</v>
      </c>
      <c r="O450" s="1656">
        <f t="shared" si="145"/>
        <v>0</v>
      </c>
      <c r="P450" s="1656">
        <f t="shared" si="145"/>
        <v>0</v>
      </c>
      <c r="Q450" s="1656">
        <f t="shared" si="145"/>
        <v>0</v>
      </c>
      <c r="R450" s="1656">
        <f t="shared" si="145"/>
        <v>0</v>
      </c>
      <c r="S450" s="1656">
        <f t="shared" si="145"/>
        <v>0</v>
      </c>
      <c r="T450" s="1656">
        <f t="shared" si="145"/>
        <v>0</v>
      </c>
      <c r="U450" s="1656">
        <f t="shared" si="145"/>
        <v>0</v>
      </c>
      <c r="V450" s="1656">
        <f t="shared" si="145"/>
        <v>0</v>
      </c>
      <c r="W450" s="1656">
        <f t="shared" si="145"/>
        <v>0</v>
      </c>
      <c r="X450" s="1656">
        <f t="shared" si="145"/>
        <v>0</v>
      </c>
      <c r="Y450" s="1656">
        <f t="shared" si="145"/>
        <v>0</v>
      </c>
      <c r="Z450" s="1656"/>
      <c r="AA450" s="1656">
        <f t="shared" ref="AA450:AF450" si="146">IF(OR($C$61=2,$C$61=3),0,IF($C$61=1,IF(Z57=1,Z436/2,IF(Z57=0,AA436/2,0))))</f>
        <v>0</v>
      </c>
      <c r="AB450" s="1656">
        <f t="shared" si="146"/>
        <v>0</v>
      </c>
      <c r="AC450" s="1656">
        <f t="shared" si="146"/>
        <v>0</v>
      </c>
      <c r="AD450" s="1656">
        <f t="shared" si="146"/>
        <v>0</v>
      </c>
      <c r="AE450" s="1656">
        <f t="shared" si="146"/>
        <v>0</v>
      </c>
      <c r="AF450" s="1656">
        <f t="shared" si="146"/>
        <v>0</v>
      </c>
      <c r="AG450" s="336"/>
      <c r="AH450" s="1044"/>
      <c r="AI450" s="1048"/>
      <c r="AJ450" s="1046"/>
      <c r="AK450" s="1009"/>
      <c r="AL450" s="1026"/>
      <c r="AM450" s="1025"/>
      <c r="AN450" s="1026"/>
      <c r="AO450" s="1009"/>
      <c r="AP450" s="1009"/>
      <c r="AQ450" s="1009"/>
      <c r="AR450" s="1009"/>
      <c r="AS450" s="1009"/>
      <c r="AT450" s="1009"/>
      <c r="AU450" s="1009"/>
      <c r="AV450" s="1009"/>
      <c r="AW450" s="1009"/>
      <c r="AX450" s="1009"/>
      <c r="AY450" s="1009"/>
      <c r="AZ450" s="1009"/>
      <c r="BA450" s="1009"/>
      <c r="BB450" s="1009"/>
      <c r="BC450" s="1009"/>
      <c r="BD450" s="1009"/>
      <c r="BE450" s="1009"/>
      <c r="BF450" s="1009"/>
      <c r="BG450" s="1009"/>
      <c r="BH450" s="1009"/>
      <c r="BI450" s="1009"/>
      <c r="BJ450" s="1009"/>
      <c r="BK450" s="1009"/>
      <c r="BL450" s="1009"/>
      <c r="BM450" s="1009"/>
      <c r="BN450" s="1009"/>
      <c r="BO450" s="1009"/>
      <c r="BP450" s="1009"/>
      <c r="BQ450" s="1009"/>
      <c r="BR450" s="1009"/>
      <c r="BS450" s="1009"/>
      <c r="BT450" s="1009"/>
      <c r="BU450" s="1009"/>
      <c r="BV450" s="1009"/>
      <c r="BW450" s="1009"/>
      <c r="BX450" s="1009"/>
      <c r="BY450" s="1009"/>
      <c r="BZ450" s="1009"/>
      <c r="CA450" s="1009"/>
      <c r="CB450" s="1009"/>
      <c r="CC450" s="1009"/>
      <c r="CD450" s="1009"/>
      <c r="CE450" s="1009"/>
      <c r="CF450" s="1009"/>
      <c r="CG450" s="1009"/>
      <c r="CH450" s="1009"/>
      <c r="CI450" s="1009"/>
      <c r="CJ450" s="1009"/>
      <c r="CK450" s="1009"/>
      <c r="CL450" s="1009"/>
      <c r="CM450" s="1009"/>
      <c r="CN450" s="1009"/>
      <c r="CO450" s="1009"/>
      <c r="CP450" s="1009"/>
      <c r="CQ450" s="1009"/>
      <c r="CR450" s="1009"/>
      <c r="CS450" s="1009"/>
      <c r="CT450" s="1009"/>
      <c r="CU450" s="1009"/>
      <c r="CV450" s="1009"/>
      <c r="CW450" s="1009"/>
      <c r="CX450" s="1009"/>
      <c r="CY450" s="1009"/>
      <c r="CZ450" s="1009"/>
      <c r="DA450" s="1009"/>
      <c r="DB450" s="1009"/>
      <c r="DC450" s="1009"/>
      <c r="DD450" s="1009"/>
      <c r="DE450" s="1009"/>
      <c r="DF450" s="1009"/>
      <c r="DG450" s="1009"/>
      <c r="DH450" s="1009"/>
      <c r="DI450" s="1009"/>
      <c r="DJ450" s="1009"/>
      <c r="DK450" s="1009"/>
      <c r="DL450" s="1009"/>
      <c r="DM450" s="1009"/>
      <c r="DN450" s="1009"/>
      <c r="DO450" s="1009"/>
      <c r="DP450" s="1009"/>
      <c r="DQ450" s="1009"/>
      <c r="DR450" s="1009"/>
      <c r="DS450" s="1009"/>
      <c r="DT450" s="1009"/>
      <c r="DU450" s="1009"/>
      <c r="DV450" s="1009"/>
      <c r="DW450" s="1009"/>
      <c r="DX450" s="1009"/>
      <c r="DY450" s="1009"/>
      <c r="DZ450" s="1009"/>
      <c r="EA450" s="1009"/>
      <c r="EB450" s="1009"/>
      <c r="EC450" s="1009"/>
      <c r="ED450" s="1009"/>
      <c r="EE450" s="1009"/>
      <c r="EF450" s="1009"/>
      <c r="EG450" s="1009"/>
      <c r="EH450" s="1009"/>
      <c r="EI450" s="1009"/>
      <c r="EJ450" s="1009"/>
      <c r="EK450" s="1009"/>
      <c r="EL450" s="1009"/>
      <c r="EM450" s="1009"/>
      <c r="EN450" s="1009"/>
      <c r="EO450" s="1009"/>
      <c r="EP450" s="1009"/>
      <c r="EQ450" s="1009"/>
      <c r="ER450" s="1009"/>
      <c r="ES450" s="1009"/>
      <c r="ET450" s="1009"/>
      <c r="EU450" s="1009"/>
      <c r="EV450" s="1009"/>
      <c r="EW450" s="1009"/>
      <c r="EX450" s="1009"/>
      <c r="EY450" s="1009"/>
      <c r="EZ450" s="1009"/>
      <c r="FA450" s="1009"/>
      <c r="FB450" s="1009"/>
      <c r="FC450" s="1009"/>
      <c r="FD450" s="1009"/>
      <c r="FE450" s="1009"/>
      <c r="FF450" s="1009"/>
      <c r="FG450" s="1009"/>
      <c r="FH450" s="1009"/>
      <c r="FI450" s="1009"/>
      <c r="FJ450" s="1009"/>
      <c r="FK450" s="1009"/>
      <c r="FL450" s="1009"/>
      <c r="FM450" s="1009"/>
      <c r="FN450" s="1009"/>
      <c r="FO450" s="1009"/>
      <c r="FP450" s="1009"/>
      <c r="FQ450" s="1009"/>
      <c r="FR450" s="1009"/>
      <c r="FS450" s="1009"/>
      <c r="FT450" s="1009"/>
      <c r="FU450" s="1009"/>
      <c r="FV450" s="1009"/>
      <c r="FW450" s="1009"/>
      <c r="FX450" s="1009"/>
      <c r="FY450" s="1009"/>
      <c r="FZ450" s="1009"/>
      <c r="GA450" s="1009"/>
      <c r="GB450" s="1009"/>
      <c r="GC450" s="1009"/>
      <c r="GD450" s="1009"/>
      <c r="GE450" s="1009"/>
      <c r="GF450" s="1009"/>
      <c r="GG450" s="1009"/>
      <c r="GH450" s="1009"/>
      <c r="GI450" s="1009"/>
      <c r="GJ450" s="1009"/>
      <c r="GK450" s="1009"/>
      <c r="GL450" s="1009"/>
      <c r="GM450" s="1009"/>
      <c r="GN450" s="1009"/>
      <c r="GO450" s="1009"/>
      <c r="GP450" s="1009"/>
      <c r="GQ450" s="1009"/>
      <c r="GR450" s="1009"/>
      <c r="GS450" s="1009"/>
      <c r="GT450" s="1009"/>
      <c r="GU450" s="1009"/>
      <c r="GV450" s="1009"/>
      <c r="GW450" s="1009"/>
      <c r="GX450" s="1009"/>
      <c r="GY450" s="1009"/>
      <c r="GZ450" s="1009"/>
      <c r="HA450" s="1009"/>
      <c r="HB450" s="1009"/>
      <c r="HC450" s="1009"/>
      <c r="HD450" s="1009"/>
      <c r="HE450" s="1009"/>
      <c r="HF450" s="1009"/>
      <c r="HG450" s="1009"/>
      <c r="HH450" s="1009"/>
      <c r="HI450" s="1009"/>
      <c r="HJ450" s="1009"/>
      <c r="HK450" s="1009"/>
      <c r="HL450" s="1009"/>
      <c r="HM450" s="1009"/>
      <c r="HN450" s="1009"/>
      <c r="HO450" s="1009"/>
      <c r="HP450" s="1009"/>
      <c r="HQ450" s="1009"/>
      <c r="HR450" s="1009"/>
      <c r="HS450" s="1009"/>
      <c r="HT450" s="1009"/>
      <c r="HU450" s="1009"/>
      <c r="HV450" s="1009"/>
      <c r="HW450" s="1009"/>
      <c r="HX450" s="1009"/>
      <c r="HY450" s="1009"/>
      <c r="HZ450" s="1009"/>
      <c r="IA450" s="1009"/>
      <c r="IB450" s="1009"/>
      <c r="IC450" s="1009"/>
      <c r="ID450" s="1009"/>
      <c r="IE450" s="1009"/>
      <c r="IF450" s="1009"/>
      <c r="IG450" s="1009"/>
      <c r="IH450" s="1009"/>
      <c r="II450" s="1009"/>
      <c r="IJ450" s="1009"/>
      <c r="IK450" s="1009"/>
      <c r="IL450" s="1009"/>
      <c r="IM450" s="1009"/>
      <c r="IN450" s="1009"/>
      <c r="IO450" s="1009"/>
      <c r="IP450" s="1009"/>
      <c r="IQ450" s="1009"/>
      <c r="IR450" s="1009"/>
      <c r="IS450" s="1009"/>
      <c r="IT450" s="1009"/>
      <c r="IU450" s="1009"/>
      <c r="IV450" s="1009"/>
      <c r="IW450" s="1009"/>
      <c r="IX450" s="1009"/>
      <c r="IY450" s="1009"/>
      <c r="IZ450" s="1009"/>
      <c r="JA450" s="1009"/>
      <c r="JB450" s="1009"/>
      <c r="JC450" s="1009"/>
      <c r="JD450" s="1009"/>
      <c r="JE450" s="1009"/>
      <c r="JF450" s="1009"/>
      <c r="JG450" s="1009"/>
      <c r="JH450" s="1009"/>
      <c r="JI450" s="1009"/>
      <c r="JJ450" s="1009"/>
      <c r="JK450" s="1009"/>
      <c r="JL450" s="1009"/>
      <c r="JM450" s="1009"/>
      <c r="JN450" s="1009"/>
      <c r="JO450" s="1009"/>
      <c r="JP450" s="1009"/>
      <c r="JQ450" s="1009"/>
      <c r="JR450" s="1009"/>
      <c r="JS450" s="1009"/>
      <c r="JT450" s="1009"/>
      <c r="JU450" s="1009"/>
      <c r="JV450" s="1009"/>
      <c r="JW450" s="1009"/>
      <c r="JX450" s="1009"/>
      <c r="JY450" s="1009"/>
      <c r="JZ450" s="1009"/>
      <c r="KA450" s="1009"/>
      <c r="KB450" s="1009"/>
      <c r="KC450" s="1009"/>
      <c r="KD450" s="1009"/>
      <c r="KE450" s="1009"/>
      <c r="KF450" s="1009"/>
      <c r="KG450" s="1009"/>
      <c r="KH450" s="1009"/>
      <c r="KI450" s="1009"/>
      <c r="KJ450" s="1009"/>
      <c r="KK450" s="1009"/>
      <c r="KL450" s="1009"/>
      <c r="KM450" s="1009"/>
      <c r="KN450" s="1009"/>
      <c r="KO450" s="1009"/>
      <c r="KP450" s="1009"/>
      <c r="KQ450" s="1009"/>
      <c r="KR450" s="1009"/>
      <c r="KS450" s="1009"/>
      <c r="KT450" s="1009"/>
      <c r="KU450" s="1009"/>
      <c r="KV450" s="1009"/>
      <c r="KW450" s="1009"/>
      <c r="KX450" s="1009"/>
      <c r="KY450" s="1009"/>
      <c r="KZ450" s="1009"/>
      <c r="LA450" s="1009"/>
      <c r="LB450" s="1009"/>
      <c r="LC450" s="1009"/>
      <c r="LD450" s="1009"/>
      <c r="LE450" s="1009"/>
      <c r="LF450" s="1009"/>
      <c r="LG450" s="1009"/>
      <c r="LH450" s="1009"/>
      <c r="LI450" s="1009"/>
      <c r="LJ450" s="1009"/>
      <c r="LK450" s="1009"/>
      <c r="LL450" s="1009"/>
      <c r="LM450" s="1009"/>
      <c r="LN450" s="1009"/>
      <c r="LO450" s="1009"/>
      <c r="LP450" s="1009"/>
      <c r="LQ450" s="1009"/>
      <c r="LR450" s="1009"/>
      <c r="LS450" s="1009"/>
      <c r="LT450" s="1009"/>
      <c r="LU450" s="1009"/>
      <c r="LV450" s="1009"/>
      <c r="LW450" s="1009"/>
      <c r="LX450" s="1009"/>
      <c r="LY450" s="1009"/>
      <c r="LZ450" s="1009"/>
      <c r="MA450" s="1009"/>
      <c r="MB450" s="1009"/>
      <c r="MC450" s="1009"/>
      <c r="MD450" s="1009"/>
      <c r="ME450" s="1009"/>
      <c r="MF450" s="1009"/>
      <c r="MG450" s="1009"/>
      <c r="MH450" s="1009"/>
      <c r="MI450" s="1009"/>
      <c r="MJ450" s="1009"/>
      <c r="MK450" s="1009"/>
      <c r="ML450" s="1009"/>
      <c r="MM450" s="1009"/>
      <c r="MN450" s="1009"/>
      <c r="MO450" s="1009"/>
      <c r="MP450" s="1009"/>
      <c r="MQ450" s="1009"/>
      <c r="MR450" s="1009"/>
      <c r="MS450" s="1009"/>
      <c r="MT450" s="1009"/>
      <c r="MU450" s="1009"/>
      <c r="MV450" s="1009"/>
      <c r="MW450" s="1009"/>
      <c r="MX450" s="1009"/>
      <c r="MY450" s="1009"/>
      <c r="MZ450" s="1009"/>
      <c r="NA450" s="1009"/>
      <c r="NB450" s="1009"/>
      <c r="NC450" s="1009"/>
      <c r="ND450" s="1009"/>
      <c r="NE450" s="1009"/>
      <c r="NF450" s="1009"/>
      <c r="NG450" s="1009"/>
      <c r="NH450" s="1009"/>
      <c r="NI450" s="1009"/>
      <c r="NJ450" s="1009"/>
      <c r="NK450" s="1009"/>
      <c r="NL450" s="1009"/>
      <c r="NM450" s="1009"/>
      <c r="NN450" s="1009"/>
      <c r="NO450" s="1009"/>
      <c r="NP450" s="1009"/>
      <c r="NQ450" s="1009"/>
      <c r="NR450" s="1009"/>
      <c r="NS450" s="1009"/>
      <c r="NT450" s="1009"/>
      <c r="NU450" s="1009"/>
      <c r="NV450" s="1009"/>
      <c r="NW450" s="1009"/>
      <c r="NX450" s="1009"/>
      <c r="NY450" s="1009"/>
      <c r="NZ450" s="1009"/>
      <c r="OA450" s="1009"/>
      <c r="OB450" s="1009"/>
      <c r="OC450" s="1009"/>
      <c r="OD450" s="1009"/>
      <c r="OE450" s="1009"/>
      <c r="OF450" s="1009"/>
      <c r="OG450" s="1009"/>
      <c r="OH450" s="1009"/>
      <c r="OI450" s="1009"/>
      <c r="OJ450" s="1009"/>
      <c r="OK450" s="1009"/>
      <c r="OL450" s="1009"/>
      <c r="OM450" s="1009"/>
      <c r="ON450" s="1009"/>
      <c r="OO450" s="1009"/>
      <c r="OP450" s="1009"/>
      <c r="OQ450" s="1009"/>
      <c r="OR450" s="1009"/>
      <c r="OS450" s="1009"/>
      <c r="OT450" s="1009"/>
      <c r="OU450" s="1009"/>
      <c r="OV450" s="1009"/>
      <c r="OW450" s="1009"/>
      <c r="OX450" s="1009"/>
      <c r="OY450" s="1009"/>
      <c r="OZ450" s="1009"/>
      <c r="PA450" s="1009"/>
      <c r="PB450" s="1009"/>
      <c r="PC450" s="1009"/>
      <c r="PD450" s="1009"/>
      <c r="PE450" s="1009"/>
      <c r="PF450" s="1009"/>
      <c r="PG450" s="1009"/>
      <c r="PH450" s="1009"/>
      <c r="PI450" s="1009"/>
      <c r="PJ450" s="1009"/>
      <c r="PK450" s="1009"/>
      <c r="PL450" s="1009"/>
      <c r="PM450" s="1009"/>
      <c r="PN450" s="1009"/>
      <c r="PO450" s="1009"/>
      <c r="PP450" s="1009"/>
      <c r="PQ450" s="1009"/>
      <c r="PR450" s="1009"/>
      <c r="PS450" s="1009"/>
      <c r="PT450" s="1009"/>
      <c r="PU450" s="1009"/>
      <c r="PV450" s="1009"/>
      <c r="PW450" s="1009"/>
      <c r="PX450" s="1009"/>
      <c r="PY450" s="1009"/>
      <c r="PZ450" s="1009"/>
      <c r="QA450" s="1009"/>
      <c r="QB450" s="1009"/>
      <c r="QC450" s="1009"/>
      <c r="QD450" s="1009"/>
      <c r="QE450" s="1009"/>
      <c r="QF450" s="1009"/>
      <c r="QG450" s="1009"/>
      <c r="QH450" s="1009"/>
      <c r="QI450" s="1009"/>
      <c r="QJ450" s="1009"/>
      <c r="QK450" s="1009"/>
      <c r="QL450" s="1009"/>
      <c r="QM450" s="1009"/>
      <c r="QN450" s="1009"/>
      <c r="QO450" s="1009"/>
      <c r="QP450" s="1009"/>
      <c r="QQ450" s="1009"/>
      <c r="QR450" s="1009"/>
      <c r="QS450" s="1009"/>
      <c r="QT450" s="1009"/>
      <c r="QU450" s="1009"/>
      <c r="QV450" s="1009"/>
      <c r="QW450" s="1009"/>
      <c r="QX450" s="1009"/>
      <c r="QY450" s="1009"/>
      <c r="QZ450" s="1009"/>
      <c r="RA450" s="1009"/>
      <c r="RB450" s="1009"/>
      <c r="RC450" s="1009"/>
      <c r="RD450" s="1009"/>
      <c r="RE450" s="1009"/>
      <c r="RF450" s="1009"/>
      <c r="RG450" s="1009"/>
      <c r="RH450" s="1009"/>
      <c r="RI450" s="1009"/>
      <c r="RJ450" s="1009"/>
      <c r="RK450" s="1009"/>
      <c r="RL450" s="1009"/>
      <c r="RM450" s="1009"/>
      <c r="RN450" s="1009"/>
      <c r="RO450" s="1009"/>
      <c r="RP450" s="1009"/>
      <c r="RQ450" s="1009"/>
      <c r="RR450" s="1009"/>
      <c r="RS450" s="1009"/>
      <c r="RT450" s="1009"/>
      <c r="RU450" s="1009"/>
      <c r="RV450" s="1009"/>
      <c r="RW450" s="1009"/>
      <c r="RX450" s="1009"/>
      <c r="RY450" s="1009"/>
      <c r="RZ450" s="1009"/>
      <c r="SA450" s="1009"/>
      <c r="SB450" s="1009"/>
      <c r="SC450" s="1009"/>
      <c r="SD450" s="1009"/>
      <c r="SE450" s="1009"/>
      <c r="SF450" s="1009"/>
      <c r="SG450" s="1009"/>
      <c r="SH450" s="1009"/>
      <c r="SI450" s="1009"/>
      <c r="SJ450" s="1009"/>
      <c r="SK450" s="1009"/>
      <c r="SL450" s="1009"/>
      <c r="SM450" s="1009"/>
      <c r="SN450" s="1009"/>
      <c r="SO450" s="1009"/>
      <c r="SP450" s="1009"/>
      <c r="SQ450" s="1009"/>
      <c r="SR450" s="1009"/>
      <c r="SS450" s="1009"/>
      <c r="ST450" s="1009"/>
      <c r="SU450" s="1009"/>
      <c r="SV450" s="1009"/>
      <c r="SW450" s="1009"/>
      <c r="SX450" s="1009"/>
      <c r="SY450" s="1009"/>
      <c r="SZ450" s="1009"/>
      <c r="TA450" s="1009"/>
      <c r="TB450" s="1009"/>
      <c r="TC450" s="1009"/>
      <c r="TD450" s="1009"/>
      <c r="TE450" s="1009"/>
      <c r="TF450" s="1009"/>
      <c r="TG450" s="1009"/>
      <c r="TH450" s="1009"/>
      <c r="TI450" s="1009"/>
      <c r="TJ450" s="1009"/>
      <c r="TK450" s="1009"/>
      <c r="TL450" s="1009"/>
      <c r="TM450" s="1009"/>
      <c r="TN450" s="1009"/>
      <c r="TO450" s="1009"/>
      <c r="TP450" s="1009"/>
      <c r="TQ450" s="1009"/>
      <c r="TR450" s="1009"/>
      <c r="TS450" s="1009"/>
      <c r="TT450" s="1009"/>
      <c r="TU450" s="1009"/>
      <c r="TV450" s="1009"/>
      <c r="TW450" s="1009"/>
      <c r="TX450" s="1009"/>
      <c r="TY450" s="1009"/>
      <c r="TZ450" s="1009"/>
      <c r="UA450" s="1009"/>
      <c r="UB450" s="1009"/>
      <c r="UC450" s="1009"/>
      <c r="UD450" s="1009"/>
      <c r="UE450" s="1009"/>
      <c r="UF450" s="1009"/>
      <c r="UG450" s="1009"/>
      <c r="UH450" s="1009"/>
      <c r="UI450" s="1009"/>
      <c r="UJ450" s="1009"/>
      <c r="UK450" s="1009"/>
      <c r="UL450" s="1009"/>
      <c r="UM450" s="1009"/>
      <c r="UN450" s="1009"/>
      <c r="UO450" s="1009"/>
      <c r="UP450" s="1009"/>
      <c r="UQ450" s="1009"/>
      <c r="UR450" s="1009"/>
      <c r="US450" s="1009"/>
      <c r="UT450" s="1009"/>
      <c r="UU450" s="1009"/>
      <c r="UV450" s="1009"/>
      <c r="UW450" s="1009"/>
      <c r="UX450" s="1009"/>
      <c r="UY450" s="1009"/>
      <c r="UZ450" s="1009"/>
      <c r="VA450" s="1009"/>
      <c r="VB450" s="1009"/>
      <c r="VC450" s="1009"/>
      <c r="VD450" s="1009"/>
      <c r="VE450" s="1009"/>
      <c r="VF450" s="1009"/>
      <c r="VG450" s="1009"/>
      <c r="VH450" s="1009"/>
      <c r="VI450" s="1009"/>
      <c r="VJ450" s="1009"/>
      <c r="VK450" s="1009"/>
      <c r="VL450" s="1009"/>
      <c r="VM450" s="1009"/>
      <c r="VN450" s="1009"/>
      <c r="VO450" s="1009"/>
      <c r="VP450" s="1009"/>
      <c r="VQ450" s="1009"/>
      <c r="VR450" s="1009"/>
      <c r="VS450" s="1009"/>
      <c r="VT450" s="1009"/>
      <c r="VU450" s="1009"/>
      <c r="VV450" s="1009"/>
      <c r="VW450" s="1009"/>
      <c r="VX450" s="1009"/>
      <c r="VY450" s="1009"/>
      <c r="VZ450" s="1009"/>
      <c r="WA450" s="1009"/>
      <c r="WB450" s="1009"/>
      <c r="WC450" s="1009"/>
      <c r="WD450" s="1009"/>
      <c r="WE450" s="1009"/>
      <c r="WF450" s="1009"/>
      <c r="WG450" s="1009"/>
      <c r="WH450" s="1009"/>
      <c r="WI450" s="1009"/>
      <c r="WJ450" s="1009"/>
      <c r="WK450" s="1009"/>
      <c r="WL450" s="1009"/>
      <c r="WM450" s="1009"/>
      <c r="WN450" s="1009"/>
      <c r="WO450" s="1009"/>
      <c r="WP450" s="1009"/>
      <c r="WQ450" s="1009"/>
      <c r="WR450" s="1009"/>
      <c r="WS450" s="1009"/>
      <c r="WT450" s="1009"/>
      <c r="WU450" s="1009"/>
      <c r="WV450" s="1009"/>
      <c r="WW450" s="1009"/>
      <c r="WX450" s="1009"/>
      <c r="WY450" s="1009"/>
      <c r="WZ450" s="1009"/>
      <c r="XA450" s="1009"/>
      <c r="XB450" s="1009"/>
      <c r="XC450" s="1009"/>
      <c r="XD450" s="1009"/>
      <c r="XE450" s="1009"/>
      <c r="XF450" s="1009"/>
      <c r="XG450" s="1009"/>
      <c r="XH450" s="1009"/>
      <c r="XI450" s="1009"/>
      <c r="XJ450" s="1009"/>
      <c r="XK450" s="1009"/>
      <c r="XL450" s="1009"/>
      <c r="XM450" s="1009"/>
      <c r="XN450" s="1009"/>
      <c r="XO450" s="1009"/>
      <c r="XP450" s="1009"/>
      <c r="XQ450" s="1009"/>
      <c r="XR450" s="1009"/>
      <c r="XS450" s="1009"/>
      <c r="XT450" s="1009"/>
      <c r="XU450" s="1009"/>
      <c r="XV450" s="1009"/>
      <c r="XW450" s="1009"/>
      <c r="XX450" s="1009"/>
      <c r="XY450" s="1009"/>
      <c r="XZ450" s="1009"/>
      <c r="YA450" s="1009"/>
      <c r="YB450" s="1009"/>
      <c r="YC450" s="1009"/>
      <c r="YD450" s="1009"/>
      <c r="YE450" s="1009"/>
      <c r="YF450" s="1009"/>
      <c r="YG450" s="1009"/>
      <c r="YH450" s="1009"/>
      <c r="YI450" s="1009"/>
      <c r="YJ450" s="1009"/>
      <c r="YK450" s="1009"/>
      <c r="YL450" s="1009"/>
      <c r="YM450" s="1009"/>
      <c r="YN450" s="1009"/>
      <c r="YO450" s="1009"/>
      <c r="YP450" s="1009"/>
      <c r="YQ450" s="1009"/>
      <c r="YR450" s="1009"/>
      <c r="YS450" s="1009"/>
      <c r="YT450" s="1009"/>
      <c r="YU450" s="1009"/>
      <c r="YV450" s="1009"/>
      <c r="YW450" s="1009"/>
      <c r="YX450" s="1009"/>
      <c r="YY450" s="1009"/>
      <c r="YZ450" s="1009"/>
      <c r="ZA450" s="1009"/>
      <c r="ZB450" s="1009"/>
      <c r="ZC450" s="1009"/>
      <c r="ZD450" s="1009"/>
      <c r="ZE450" s="1009"/>
      <c r="ZF450" s="1009"/>
      <c r="ZG450" s="1009"/>
      <c r="ZH450" s="1009"/>
      <c r="ZI450" s="1009"/>
      <c r="ZJ450" s="1009"/>
      <c r="ZK450" s="1009"/>
      <c r="ZL450" s="1009"/>
      <c r="ZM450" s="1009"/>
      <c r="ZN450" s="1009"/>
      <c r="ZO450" s="1009"/>
      <c r="ZP450" s="1009"/>
      <c r="ZQ450" s="1009"/>
      <c r="ZR450" s="1009"/>
      <c r="ZS450" s="1009"/>
      <c r="ZT450" s="1009"/>
      <c r="ZU450" s="1009"/>
      <c r="ZV450" s="1009"/>
      <c r="ZW450" s="1009"/>
      <c r="ZX450" s="1009"/>
      <c r="ZY450" s="1009"/>
      <c r="ZZ450" s="1009"/>
      <c r="AAA450" s="1009"/>
      <c r="AAB450" s="1009"/>
      <c r="AAC450" s="1009"/>
      <c r="AAD450" s="1009"/>
      <c r="AAE450" s="1009"/>
      <c r="AAF450" s="1009"/>
      <c r="AAG450" s="1009"/>
      <c r="AAH450" s="1009"/>
      <c r="AAI450" s="1009"/>
      <c r="AAJ450" s="1009"/>
      <c r="AAK450" s="1009"/>
      <c r="AAL450" s="1009"/>
      <c r="AAM450" s="1009"/>
      <c r="AAN450" s="1009"/>
      <c r="AAO450" s="1009"/>
      <c r="AAP450" s="1009"/>
      <c r="AAQ450" s="1009"/>
      <c r="AAR450" s="1009"/>
      <c r="AAS450" s="1009"/>
      <c r="AAT450" s="1009"/>
      <c r="AAU450" s="1009"/>
      <c r="AAV450" s="1009"/>
      <c r="AAW450" s="1009"/>
      <c r="AAX450" s="1009"/>
      <c r="AAY450" s="1009"/>
      <c r="AAZ450" s="1009"/>
      <c r="ABA450" s="1009"/>
      <c r="ABB450" s="1009"/>
      <c r="ABC450" s="1009"/>
      <c r="ABD450" s="1009"/>
      <c r="ABE450" s="1009"/>
      <c r="ABF450" s="1009"/>
      <c r="ABG450" s="1009"/>
      <c r="ABH450" s="1009"/>
      <c r="ABI450" s="1009"/>
      <c r="ABJ450" s="1009"/>
      <c r="ABK450" s="1009"/>
      <c r="ABL450" s="1009"/>
      <c r="ABM450" s="1009"/>
      <c r="ABN450" s="1009"/>
      <c r="ABO450" s="1009"/>
      <c r="ABP450" s="1009"/>
      <c r="ABQ450" s="1009"/>
    </row>
    <row r="451" spans="1:745" s="111" customFormat="1" ht="12.75" hidden="1" customHeight="1">
      <c r="A451" s="1270"/>
      <c r="B451" s="1652" t="s">
        <v>970</v>
      </c>
      <c r="C451" s="1653"/>
      <c r="D451" s="1653"/>
      <c r="E451" s="1654"/>
      <c r="F451" s="1655"/>
      <c r="G451" s="1654"/>
      <c r="H451" s="1671">
        <v>3</v>
      </c>
      <c r="I451" s="1674"/>
      <c r="J451" s="1674">
        <f>C436/2*J57</f>
        <v>0</v>
      </c>
      <c r="K451" s="1674"/>
      <c r="L451" s="1674"/>
      <c r="M451" s="1674">
        <f>SUMIF(I57:M57,1,I436:M436)/2</f>
        <v>0</v>
      </c>
      <c r="N451" s="1674"/>
      <c r="O451" s="1674"/>
      <c r="P451" s="1674">
        <f>SUMIF(K57:P57,1,K436:P436)/2</f>
        <v>0</v>
      </c>
      <c r="Q451" s="1674"/>
      <c r="R451" s="1674"/>
      <c r="S451" s="1674">
        <f>SUMIF(N57:S57,1,N436:S436)/2</f>
        <v>0</v>
      </c>
      <c r="T451" s="1674"/>
      <c r="U451" s="1674"/>
      <c r="V451" s="1674">
        <f>SUMIF(Q57:V57,1,Q436:V436)/2</f>
        <v>0</v>
      </c>
      <c r="W451" s="1674"/>
      <c r="X451" s="1674"/>
      <c r="Y451" s="1674">
        <f>SUMIF(T57:Y57,1,T436:Y436)/2</f>
        <v>0</v>
      </c>
      <c r="Z451" s="1656"/>
      <c r="AA451" s="1656"/>
      <c r="AB451" s="1656"/>
      <c r="AC451" s="1656"/>
      <c r="AD451" s="1656"/>
      <c r="AE451" s="1656"/>
      <c r="AF451" s="1656"/>
      <c r="AG451" s="336"/>
      <c r="AH451" s="1044"/>
      <c r="AI451" s="1048"/>
      <c r="AJ451" s="1046"/>
      <c r="AK451" s="1009"/>
      <c r="AL451" s="1026"/>
      <c r="AM451" s="1025"/>
      <c r="AN451" s="1026"/>
      <c r="AO451" s="1009"/>
      <c r="AP451" s="1009"/>
      <c r="AQ451" s="1009"/>
      <c r="AR451" s="1009"/>
      <c r="AS451" s="1009"/>
      <c r="AT451" s="1009"/>
      <c r="AU451" s="1009"/>
      <c r="AV451" s="1009"/>
      <c r="AW451" s="1009"/>
      <c r="AX451" s="1009"/>
      <c r="AY451" s="1009"/>
      <c r="AZ451" s="1009"/>
      <c r="BA451" s="1009"/>
      <c r="BB451" s="1009"/>
      <c r="BC451" s="1009"/>
      <c r="BD451" s="1009"/>
      <c r="BE451" s="1009"/>
      <c r="BF451" s="1009"/>
      <c r="BG451" s="1009"/>
      <c r="BH451" s="1009"/>
      <c r="BI451" s="1009"/>
      <c r="BJ451" s="1009"/>
      <c r="BK451" s="1009"/>
      <c r="BL451" s="1009"/>
      <c r="BM451" s="1009"/>
      <c r="BN451" s="1009"/>
      <c r="BO451" s="1009"/>
      <c r="BP451" s="1009"/>
      <c r="BQ451" s="1009"/>
      <c r="BR451" s="1009"/>
      <c r="BS451" s="1009"/>
      <c r="BT451" s="1009"/>
      <c r="BU451" s="1009"/>
      <c r="BV451" s="1009"/>
      <c r="BW451" s="1009"/>
      <c r="BX451" s="1009"/>
      <c r="BY451" s="1009"/>
      <c r="BZ451" s="1009"/>
      <c r="CA451" s="1009"/>
      <c r="CB451" s="1009"/>
      <c r="CC451" s="1009"/>
      <c r="CD451" s="1009"/>
      <c r="CE451" s="1009"/>
      <c r="CF451" s="1009"/>
      <c r="CG451" s="1009"/>
      <c r="CH451" s="1009"/>
      <c r="CI451" s="1009"/>
      <c r="CJ451" s="1009"/>
      <c r="CK451" s="1009"/>
      <c r="CL451" s="1009"/>
      <c r="CM451" s="1009"/>
      <c r="CN451" s="1009"/>
      <c r="CO451" s="1009"/>
      <c r="CP451" s="1009"/>
      <c r="CQ451" s="1009"/>
      <c r="CR451" s="1009"/>
      <c r="CS451" s="1009"/>
      <c r="CT451" s="1009"/>
      <c r="CU451" s="1009"/>
      <c r="CV451" s="1009"/>
      <c r="CW451" s="1009"/>
      <c r="CX451" s="1009"/>
      <c r="CY451" s="1009"/>
      <c r="CZ451" s="1009"/>
      <c r="DA451" s="1009"/>
      <c r="DB451" s="1009"/>
      <c r="DC451" s="1009"/>
      <c r="DD451" s="1009"/>
      <c r="DE451" s="1009"/>
      <c r="DF451" s="1009"/>
      <c r="DG451" s="1009"/>
      <c r="DH451" s="1009"/>
      <c r="DI451" s="1009"/>
      <c r="DJ451" s="1009"/>
      <c r="DK451" s="1009"/>
      <c r="DL451" s="1009"/>
      <c r="DM451" s="1009"/>
      <c r="DN451" s="1009"/>
      <c r="DO451" s="1009"/>
      <c r="DP451" s="1009"/>
      <c r="DQ451" s="1009"/>
      <c r="DR451" s="1009"/>
      <c r="DS451" s="1009"/>
      <c r="DT451" s="1009"/>
      <c r="DU451" s="1009"/>
      <c r="DV451" s="1009"/>
      <c r="DW451" s="1009"/>
      <c r="DX451" s="1009"/>
      <c r="DY451" s="1009"/>
      <c r="DZ451" s="1009"/>
      <c r="EA451" s="1009"/>
      <c r="EB451" s="1009"/>
      <c r="EC451" s="1009"/>
      <c r="ED451" s="1009"/>
      <c r="EE451" s="1009"/>
      <c r="EF451" s="1009"/>
      <c r="EG451" s="1009"/>
      <c r="EH451" s="1009"/>
      <c r="EI451" s="1009"/>
      <c r="EJ451" s="1009"/>
      <c r="EK451" s="1009"/>
      <c r="EL451" s="1009"/>
      <c r="EM451" s="1009"/>
      <c r="EN451" s="1009"/>
      <c r="EO451" s="1009"/>
      <c r="EP451" s="1009"/>
      <c r="EQ451" s="1009"/>
      <c r="ER451" s="1009"/>
      <c r="ES451" s="1009"/>
      <c r="ET451" s="1009"/>
      <c r="EU451" s="1009"/>
      <c r="EV451" s="1009"/>
      <c r="EW451" s="1009"/>
      <c r="EX451" s="1009"/>
      <c r="EY451" s="1009"/>
      <c r="EZ451" s="1009"/>
      <c r="FA451" s="1009"/>
      <c r="FB451" s="1009"/>
      <c r="FC451" s="1009"/>
      <c r="FD451" s="1009"/>
      <c r="FE451" s="1009"/>
      <c r="FF451" s="1009"/>
      <c r="FG451" s="1009"/>
      <c r="FH451" s="1009"/>
      <c r="FI451" s="1009"/>
      <c r="FJ451" s="1009"/>
      <c r="FK451" s="1009"/>
      <c r="FL451" s="1009"/>
      <c r="FM451" s="1009"/>
      <c r="FN451" s="1009"/>
      <c r="FO451" s="1009"/>
      <c r="FP451" s="1009"/>
      <c r="FQ451" s="1009"/>
      <c r="FR451" s="1009"/>
      <c r="FS451" s="1009"/>
      <c r="FT451" s="1009"/>
      <c r="FU451" s="1009"/>
      <c r="FV451" s="1009"/>
      <c r="FW451" s="1009"/>
      <c r="FX451" s="1009"/>
      <c r="FY451" s="1009"/>
      <c r="FZ451" s="1009"/>
      <c r="GA451" s="1009"/>
      <c r="GB451" s="1009"/>
      <c r="GC451" s="1009"/>
      <c r="GD451" s="1009"/>
      <c r="GE451" s="1009"/>
      <c r="GF451" s="1009"/>
      <c r="GG451" s="1009"/>
      <c r="GH451" s="1009"/>
      <c r="GI451" s="1009"/>
      <c r="GJ451" s="1009"/>
      <c r="GK451" s="1009"/>
      <c r="GL451" s="1009"/>
      <c r="GM451" s="1009"/>
      <c r="GN451" s="1009"/>
      <c r="GO451" s="1009"/>
      <c r="GP451" s="1009"/>
      <c r="GQ451" s="1009"/>
      <c r="GR451" s="1009"/>
      <c r="GS451" s="1009"/>
      <c r="GT451" s="1009"/>
      <c r="GU451" s="1009"/>
      <c r="GV451" s="1009"/>
      <c r="GW451" s="1009"/>
      <c r="GX451" s="1009"/>
      <c r="GY451" s="1009"/>
      <c r="GZ451" s="1009"/>
      <c r="HA451" s="1009"/>
      <c r="HB451" s="1009"/>
      <c r="HC451" s="1009"/>
      <c r="HD451" s="1009"/>
      <c r="HE451" s="1009"/>
      <c r="HF451" s="1009"/>
      <c r="HG451" s="1009"/>
      <c r="HH451" s="1009"/>
      <c r="HI451" s="1009"/>
      <c r="HJ451" s="1009"/>
      <c r="HK451" s="1009"/>
      <c r="HL451" s="1009"/>
      <c r="HM451" s="1009"/>
      <c r="HN451" s="1009"/>
      <c r="HO451" s="1009"/>
      <c r="HP451" s="1009"/>
      <c r="HQ451" s="1009"/>
      <c r="HR451" s="1009"/>
      <c r="HS451" s="1009"/>
      <c r="HT451" s="1009"/>
      <c r="HU451" s="1009"/>
      <c r="HV451" s="1009"/>
      <c r="HW451" s="1009"/>
      <c r="HX451" s="1009"/>
      <c r="HY451" s="1009"/>
      <c r="HZ451" s="1009"/>
      <c r="IA451" s="1009"/>
      <c r="IB451" s="1009"/>
      <c r="IC451" s="1009"/>
      <c r="ID451" s="1009"/>
      <c r="IE451" s="1009"/>
      <c r="IF451" s="1009"/>
      <c r="IG451" s="1009"/>
      <c r="IH451" s="1009"/>
      <c r="II451" s="1009"/>
      <c r="IJ451" s="1009"/>
      <c r="IK451" s="1009"/>
      <c r="IL451" s="1009"/>
      <c r="IM451" s="1009"/>
      <c r="IN451" s="1009"/>
      <c r="IO451" s="1009"/>
      <c r="IP451" s="1009"/>
      <c r="IQ451" s="1009"/>
      <c r="IR451" s="1009"/>
      <c r="IS451" s="1009"/>
      <c r="IT451" s="1009"/>
      <c r="IU451" s="1009"/>
      <c r="IV451" s="1009"/>
      <c r="IW451" s="1009"/>
      <c r="IX451" s="1009"/>
      <c r="IY451" s="1009"/>
      <c r="IZ451" s="1009"/>
      <c r="JA451" s="1009"/>
      <c r="JB451" s="1009"/>
      <c r="JC451" s="1009"/>
      <c r="JD451" s="1009"/>
      <c r="JE451" s="1009"/>
      <c r="JF451" s="1009"/>
      <c r="JG451" s="1009"/>
      <c r="JH451" s="1009"/>
      <c r="JI451" s="1009"/>
      <c r="JJ451" s="1009"/>
      <c r="JK451" s="1009"/>
      <c r="JL451" s="1009"/>
      <c r="JM451" s="1009"/>
      <c r="JN451" s="1009"/>
      <c r="JO451" s="1009"/>
      <c r="JP451" s="1009"/>
      <c r="JQ451" s="1009"/>
      <c r="JR451" s="1009"/>
      <c r="JS451" s="1009"/>
      <c r="JT451" s="1009"/>
      <c r="JU451" s="1009"/>
      <c r="JV451" s="1009"/>
      <c r="JW451" s="1009"/>
      <c r="JX451" s="1009"/>
      <c r="JY451" s="1009"/>
      <c r="JZ451" s="1009"/>
      <c r="KA451" s="1009"/>
      <c r="KB451" s="1009"/>
      <c r="KC451" s="1009"/>
      <c r="KD451" s="1009"/>
      <c r="KE451" s="1009"/>
      <c r="KF451" s="1009"/>
      <c r="KG451" s="1009"/>
      <c r="KH451" s="1009"/>
      <c r="KI451" s="1009"/>
      <c r="KJ451" s="1009"/>
      <c r="KK451" s="1009"/>
      <c r="KL451" s="1009"/>
      <c r="KM451" s="1009"/>
      <c r="KN451" s="1009"/>
      <c r="KO451" s="1009"/>
      <c r="KP451" s="1009"/>
      <c r="KQ451" s="1009"/>
      <c r="KR451" s="1009"/>
      <c r="KS451" s="1009"/>
      <c r="KT451" s="1009"/>
      <c r="KU451" s="1009"/>
      <c r="KV451" s="1009"/>
      <c r="KW451" s="1009"/>
      <c r="KX451" s="1009"/>
      <c r="KY451" s="1009"/>
      <c r="KZ451" s="1009"/>
      <c r="LA451" s="1009"/>
      <c r="LB451" s="1009"/>
      <c r="LC451" s="1009"/>
      <c r="LD451" s="1009"/>
      <c r="LE451" s="1009"/>
      <c r="LF451" s="1009"/>
      <c r="LG451" s="1009"/>
      <c r="LH451" s="1009"/>
      <c r="LI451" s="1009"/>
      <c r="LJ451" s="1009"/>
      <c r="LK451" s="1009"/>
      <c r="LL451" s="1009"/>
      <c r="LM451" s="1009"/>
      <c r="LN451" s="1009"/>
      <c r="LO451" s="1009"/>
      <c r="LP451" s="1009"/>
      <c r="LQ451" s="1009"/>
      <c r="LR451" s="1009"/>
      <c r="LS451" s="1009"/>
      <c r="LT451" s="1009"/>
      <c r="LU451" s="1009"/>
      <c r="LV451" s="1009"/>
      <c r="LW451" s="1009"/>
      <c r="LX451" s="1009"/>
      <c r="LY451" s="1009"/>
      <c r="LZ451" s="1009"/>
      <c r="MA451" s="1009"/>
      <c r="MB451" s="1009"/>
      <c r="MC451" s="1009"/>
      <c r="MD451" s="1009"/>
      <c r="ME451" s="1009"/>
      <c r="MF451" s="1009"/>
      <c r="MG451" s="1009"/>
      <c r="MH451" s="1009"/>
      <c r="MI451" s="1009"/>
      <c r="MJ451" s="1009"/>
      <c r="MK451" s="1009"/>
      <c r="ML451" s="1009"/>
      <c r="MM451" s="1009"/>
      <c r="MN451" s="1009"/>
      <c r="MO451" s="1009"/>
      <c r="MP451" s="1009"/>
      <c r="MQ451" s="1009"/>
      <c r="MR451" s="1009"/>
      <c r="MS451" s="1009"/>
      <c r="MT451" s="1009"/>
      <c r="MU451" s="1009"/>
      <c r="MV451" s="1009"/>
      <c r="MW451" s="1009"/>
      <c r="MX451" s="1009"/>
      <c r="MY451" s="1009"/>
      <c r="MZ451" s="1009"/>
      <c r="NA451" s="1009"/>
      <c r="NB451" s="1009"/>
      <c r="NC451" s="1009"/>
      <c r="ND451" s="1009"/>
      <c r="NE451" s="1009"/>
      <c r="NF451" s="1009"/>
      <c r="NG451" s="1009"/>
      <c r="NH451" s="1009"/>
      <c r="NI451" s="1009"/>
      <c r="NJ451" s="1009"/>
      <c r="NK451" s="1009"/>
      <c r="NL451" s="1009"/>
      <c r="NM451" s="1009"/>
      <c r="NN451" s="1009"/>
      <c r="NO451" s="1009"/>
      <c r="NP451" s="1009"/>
      <c r="NQ451" s="1009"/>
      <c r="NR451" s="1009"/>
      <c r="NS451" s="1009"/>
      <c r="NT451" s="1009"/>
      <c r="NU451" s="1009"/>
      <c r="NV451" s="1009"/>
      <c r="NW451" s="1009"/>
      <c r="NX451" s="1009"/>
      <c r="NY451" s="1009"/>
      <c r="NZ451" s="1009"/>
      <c r="OA451" s="1009"/>
      <c r="OB451" s="1009"/>
      <c r="OC451" s="1009"/>
      <c r="OD451" s="1009"/>
      <c r="OE451" s="1009"/>
      <c r="OF451" s="1009"/>
      <c r="OG451" s="1009"/>
      <c r="OH451" s="1009"/>
      <c r="OI451" s="1009"/>
      <c r="OJ451" s="1009"/>
      <c r="OK451" s="1009"/>
      <c r="OL451" s="1009"/>
      <c r="OM451" s="1009"/>
      <c r="ON451" s="1009"/>
      <c r="OO451" s="1009"/>
      <c r="OP451" s="1009"/>
      <c r="OQ451" s="1009"/>
      <c r="OR451" s="1009"/>
      <c r="OS451" s="1009"/>
      <c r="OT451" s="1009"/>
      <c r="OU451" s="1009"/>
      <c r="OV451" s="1009"/>
      <c r="OW451" s="1009"/>
      <c r="OX451" s="1009"/>
      <c r="OY451" s="1009"/>
      <c r="OZ451" s="1009"/>
      <c r="PA451" s="1009"/>
      <c r="PB451" s="1009"/>
      <c r="PC451" s="1009"/>
      <c r="PD451" s="1009"/>
      <c r="PE451" s="1009"/>
      <c r="PF451" s="1009"/>
      <c r="PG451" s="1009"/>
      <c r="PH451" s="1009"/>
      <c r="PI451" s="1009"/>
      <c r="PJ451" s="1009"/>
      <c r="PK451" s="1009"/>
      <c r="PL451" s="1009"/>
      <c r="PM451" s="1009"/>
      <c r="PN451" s="1009"/>
      <c r="PO451" s="1009"/>
      <c r="PP451" s="1009"/>
      <c r="PQ451" s="1009"/>
      <c r="PR451" s="1009"/>
      <c r="PS451" s="1009"/>
      <c r="PT451" s="1009"/>
      <c r="PU451" s="1009"/>
      <c r="PV451" s="1009"/>
      <c r="PW451" s="1009"/>
      <c r="PX451" s="1009"/>
      <c r="PY451" s="1009"/>
      <c r="PZ451" s="1009"/>
      <c r="QA451" s="1009"/>
      <c r="QB451" s="1009"/>
      <c r="QC451" s="1009"/>
      <c r="QD451" s="1009"/>
      <c r="QE451" s="1009"/>
      <c r="QF451" s="1009"/>
      <c r="QG451" s="1009"/>
      <c r="QH451" s="1009"/>
      <c r="QI451" s="1009"/>
      <c r="QJ451" s="1009"/>
      <c r="QK451" s="1009"/>
      <c r="QL451" s="1009"/>
      <c r="QM451" s="1009"/>
      <c r="QN451" s="1009"/>
      <c r="QO451" s="1009"/>
      <c r="QP451" s="1009"/>
      <c r="QQ451" s="1009"/>
      <c r="QR451" s="1009"/>
      <c r="QS451" s="1009"/>
      <c r="QT451" s="1009"/>
      <c r="QU451" s="1009"/>
      <c r="QV451" s="1009"/>
      <c r="QW451" s="1009"/>
      <c r="QX451" s="1009"/>
      <c r="QY451" s="1009"/>
      <c r="QZ451" s="1009"/>
      <c r="RA451" s="1009"/>
      <c r="RB451" s="1009"/>
      <c r="RC451" s="1009"/>
      <c r="RD451" s="1009"/>
      <c r="RE451" s="1009"/>
      <c r="RF451" s="1009"/>
      <c r="RG451" s="1009"/>
      <c r="RH451" s="1009"/>
      <c r="RI451" s="1009"/>
      <c r="RJ451" s="1009"/>
      <c r="RK451" s="1009"/>
      <c r="RL451" s="1009"/>
      <c r="RM451" s="1009"/>
      <c r="RN451" s="1009"/>
      <c r="RO451" s="1009"/>
      <c r="RP451" s="1009"/>
      <c r="RQ451" s="1009"/>
      <c r="RR451" s="1009"/>
      <c r="RS451" s="1009"/>
      <c r="RT451" s="1009"/>
      <c r="RU451" s="1009"/>
      <c r="RV451" s="1009"/>
      <c r="RW451" s="1009"/>
      <c r="RX451" s="1009"/>
      <c r="RY451" s="1009"/>
      <c r="RZ451" s="1009"/>
      <c r="SA451" s="1009"/>
      <c r="SB451" s="1009"/>
      <c r="SC451" s="1009"/>
      <c r="SD451" s="1009"/>
      <c r="SE451" s="1009"/>
      <c r="SF451" s="1009"/>
      <c r="SG451" s="1009"/>
      <c r="SH451" s="1009"/>
      <c r="SI451" s="1009"/>
      <c r="SJ451" s="1009"/>
      <c r="SK451" s="1009"/>
      <c r="SL451" s="1009"/>
      <c r="SM451" s="1009"/>
      <c r="SN451" s="1009"/>
      <c r="SO451" s="1009"/>
      <c r="SP451" s="1009"/>
      <c r="SQ451" s="1009"/>
      <c r="SR451" s="1009"/>
      <c r="SS451" s="1009"/>
      <c r="ST451" s="1009"/>
      <c r="SU451" s="1009"/>
      <c r="SV451" s="1009"/>
      <c r="SW451" s="1009"/>
      <c r="SX451" s="1009"/>
      <c r="SY451" s="1009"/>
      <c r="SZ451" s="1009"/>
      <c r="TA451" s="1009"/>
      <c r="TB451" s="1009"/>
      <c r="TC451" s="1009"/>
      <c r="TD451" s="1009"/>
      <c r="TE451" s="1009"/>
      <c r="TF451" s="1009"/>
      <c r="TG451" s="1009"/>
      <c r="TH451" s="1009"/>
      <c r="TI451" s="1009"/>
      <c r="TJ451" s="1009"/>
      <c r="TK451" s="1009"/>
      <c r="TL451" s="1009"/>
      <c r="TM451" s="1009"/>
      <c r="TN451" s="1009"/>
      <c r="TO451" s="1009"/>
      <c r="TP451" s="1009"/>
      <c r="TQ451" s="1009"/>
      <c r="TR451" s="1009"/>
      <c r="TS451" s="1009"/>
      <c r="TT451" s="1009"/>
      <c r="TU451" s="1009"/>
      <c r="TV451" s="1009"/>
      <c r="TW451" s="1009"/>
      <c r="TX451" s="1009"/>
      <c r="TY451" s="1009"/>
      <c r="TZ451" s="1009"/>
      <c r="UA451" s="1009"/>
      <c r="UB451" s="1009"/>
      <c r="UC451" s="1009"/>
      <c r="UD451" s="1009"/>
      <c r="UE451" s="1009"/>
      <c r="UF451" s="1009"/>
      <c r="UG451" s="1009"/>
      <c r="UH451" s="1009"/>
      <c r="UI451" s="1009"/>
      <c r="UJ451" s="1009"/>
      <c r="UK451" s="1009"/>
      <c r="UL451" s="1009"/>
      <c r="UM451" s="1009"/>
      <c r="UN451" s="1009"/>
      <c r="UO451" s="1009"/>
      <c r="UP451" s="1009"/>
      <c r="UQ451" s="1009"/>
      <c r="UR451" s="1009"/>
      <c r="US451" s="1009"/>
      <c r="UT451" s="1009"/>
      <c r="UU451" s="1009"/>
      <c r="UV451" s="1009"/>
      <c r="UW451" s="1009"/>
      <c r="UX451" s="1009"/>
      <c r="UY451" s="1009"/>
      <c r="UZ451" s="1009"/>
      <c r="VA451" s="1009"/>
      <c r="VB451" s="1009"/>
      <c r="VC451" s="1009"/>
      <c r="VD451" s="1009"/>
      <c r="VE451" s="1009"/>
      <c r="VF451" s="1009"/>
      <c r="VG451" s="1009"/>
      <c r="VH451" s="1009"/>
      <c r="VI451" s="1009"/>
      <c r="VJ451" s="1009"/>
      <c r="VK451" s="1009"/>
      <c r="VL451" s="1009"/>
      <c r="VM451" s="1009"/>
      <c r="VN451" s="1009"/>
      <c r="VO451" s="1009"/>
      <c r="VP451" s="1009"/>
      <c r="VQ451" s="1009"/>
      <c r="VR451" s="1009"/>
      <c r="VS451" s="1009"/>
      <c r="VT451" s="1009"/>
      <c r="VU451" s="1009"/>
      <c r="VV451" s="1009"/>
      <c r="VW451" s="1009"/>
      <c r="VX451" s="1009"/>
      <c r="VY451" s="1009"/>
      <c r="VZ451" s="1009"/>
      <c r="WA451" s="1009"/>
      <c r="WB451" s="1009"/>
      <c r="WC451" s="1009"/>
      <c r="WD451" s="1009"/>
      <c r="WE451" s="1009"/>
      <c r="WF451" s="1009"/>
      <c r="WG451" s="1009"/>
      <c r="WH451" s="1009"/>
      <c r="WI451" s="1009"/>
      <c r="WJ451" s="1009"/>
      <c r="WK451" s="1009"/>
      <c r="WL451" s="1009"/>
      <c r="WM451" s="1009"/>
      <c r="WN451" s="1009"/>
      <c r="WO451" s="1009"/>
      <c r="WP451" s="1009"/>
      <c r="WQ451" s="1009"/>
      <c r="WR451" s="1009"/>
      <c r="WS451" s="1009"/>
      <c r="WT451" s="1009"/>
      <c r="WU451" s="1009"/>
      <c r="WV451" s="1009"/>
      <c r="WW451" s="1009"/>
      <c r="WX451" s="1009"/>
      <c r="WY451" s="1009"/>
      <c r="WZ451" s="1009"/>
      <c r="XA451" s="1009"/>
      <c r="XB451" s="1009"/>
      <c r="XC451" s="1009"/>
      <c r="XD451" s="1009"/>
      <c r="XE451" s="1009"/>
      <c r="XF451" s="1009"/>
      <c r="XG451" s="1009"/>
      <c r="XH451" s="1009"/>
      <c r="XI451" s="1009"/>
      <c r="XJ451" s="1009"/>
      <c r="XK451" s="1009"/>
      <c r="XL451" s="1009"/>
      <c r="XM451" s="1009"/>
      <c r="XN451" s="1009"/>
      <c r="XO451" s="1009"/>
      <c r="XP451" s="1009"/>
      <c r="XQ451" s="1009"/>
      <c r="XR451" s="1009"/>
      <c r="XS451" s="1009"/>
      <c r="XT451" s="1009"/>
      <c r="XU451" s="1009"/>
      <c r="XV451" s="1009"/>
      <c r="XW451" s="1009"/>
      <c r="XX451" s="1009"/>
      <c r="XY451" s="1009"/>
      <c r="XZ451" s="1009"/>
      <c r="YA451" s="1009"/>
      <c r="YB451" s="1009"/>
      <c r="YC451" s="1009"/>
      <c r="YD451" s="1009"/>
      <c r="YE451" s="1009"/>
      <c r="YF451" s="1009"/>
      <c r="YG451" s="1009"/>
      <c r="YH451" s="1009"/>
      <c r="YI451" s="1009"/>
      <c r="YJ451" s="1009"/>
      <c r="YK451" s="1009"/>
      <c r="YL451" s="1009"/>
      <c r="YM451" s="1009"/>
      <c r="YN451" s="1009"/>
      <c r="YO451" s="1009"/>
      <c r="YP451" s="1009"/>
      <c r="YQ451" s="1009"/>
      <c r="YR451" s="1009"/>
      <c r="YS451" s="1009"/>
      <c r="YT451" s="1009"/>
      <c r="YU451" s="1009"/>
      <c r="YV451" s="1009"/>
      <c r="YW451" s="1009"/>
      <c r="YX451" s="1009"/>
      <c r="YY451" s="1009"/>
      <c r="YZ451" s="1009"/>
      <c r="ZA451" s="1009"/>
      <c r="ZB451" s="1009"/>
      <c r="ZC451" s="1009"/>
      <c r="ZD451" s="1009"/>
      <c r="ZE451" s="1009"/>
      <c r="ZF451" s="1009"/>
      <c r="ZG451" s="1009"/>
      <c r="ZH451" s="1009"/>
      <c r="ZI451" s="1009"/>
      <c r="ZJ451" s="1009"/>
      <c r="ZK451" s="1009"/>
      <c r="ZL451" s="1009"/>
      <c r="ZM451" s="1009"/>
      <c r="ZN451" s="1009"/>
      <c r="ZO451" s="1009"/>
      <c r="ZP451" s="1009"/>
      <c r="ZQ451" s="1009"/>
      <c r="ZR451" s="1009"/>
      <c r="ZS451" s="1009"/>
      <c r="ZT451" s="1009"/>
      <c r="ZU451" s="1009"/>
      <c r="ZV451" s="1009"/>
      <c r="ZW451" s="1009"/>
      <c r="ZX451" s="1009"/>
      <c r="ZY451" s="1009"/>
      <c r="ZZ451" s="1009"/>
      <c r="AAA451" s="1009"/>
      <c r="AAB451" s="1009"/>
      <c r="AAC451" s="1009"/>
      <c r="AAD451" s="1009"/>
      <c r="AAE451" s="1009"/>
      <c r="AAF451" s="1009"/>
      <c r="AAG451" s="1009"/>
      <c r="AAH451" s="1009"/>
      <c r="AAI451" s="1009"/>
      <c r="AAJ451" s="1009"/>
      <c r="AAK451" s="1009"/>
      <c r="AAL451" s="1009"/>
      <c r="AAM451" s="1009"/>
      <c r="AAN451" s="1009"/>
      <c r="AAO451" s="1009"/>
      <c r="AAP451" s="1009"/>
      <c r="AAQ451" s="1009"/>
      <c r="AAR451" s="1009"/>
      <c r="AAS451" s="1009"/>
      <c r="AAT451" s="1009"/>
      <c r="AAU451" s="1009"/>
      <c r="AAV451" s="1009"/>
      <c r="AAW451" s="1009"/>
      <c r="AAX451" s="1009"/>
      <c r="AAY451" s="1009"/>
      <c r="AAZ451" s="1009"/>
      <c r="ABA451" s="1009"/>
      <c r="ABB451" s="1009"/>
      <c r="ABC451" s="1009"/>
      <c r="ABD451" s="1009"/>
      <c r="ABE451" s="1009"/>
      <c r="ABF451" s="1009"/>
      <c r="ABG451" s="1009"/>
      <c r="ABH451" s="1009"/>
      <c r="ABI451" s="1009"/>
      <c r="ABJ451" s="1009"/>
      <c r="ABK451" s="1009"/>
      <c r="ABL451" s="1009"/>
      <c r="ABM451" s="1009"/>
      <c r="ABN451" s="1009"/>
      <c r="ABO451" s="1009"/>
      <c r="ABP451" s="1009"/>
      <c r="ABQ451" s="1009"/>
    </row>
    <row r="452" spans="1:745" s="111" customFormat="1" ht="12.75" hidden="1" customHeight="1">
      <c r="A452" s="1270"/>
      <c r="B452" s="1652" t="s">
        <v>970</v>
      </c>
      <c r="C452" s="1653"/>
      <c r="D452" s="1653"/>
      <c r="E452" s="1654"/>
      <c r="F452" s="1655"/>
      <c r="G452" s="1654"/>
      <c r="H452" s="1671">
        <v>2</v>
      </c>
      <c r="I452" s="1673"/>
      <c r="J452" s="1673"/>
      <c r="K452" s="1673">
        <f>SUMIF(I57:K57,1,I436:K436)/2</f>
        <v>0</v>
      </c>
      <c r="L452" s="1673"/>
      <c r="M452" s="1673"/>
      <c r="N452" s="1673">
        <f>SUMIF(I57:N57,1,I436:N436)/2</f>
        <v>0</v>
      </c>
      <c r="O452" s="1673"/>
      <c r="P452" s="1673"/>
      <c r="Q452" s="1673">
        <f>SUMIF(L57:Q57,1,L436:Q436)/2</f>
        <v>0</v>
      </c>
      <c r="R452" s="1673"/>
      <c r="S452" s="1673"/>
      <c r="T452" s="1673">
        <f>SUMIF(O57:T57,1,O436:T436)/2</f>
        <v>0</v>
      </c>
      <c r="U452" s="1673"/>
      <c r="V452" s="1673"/>
      <c r="W452" s="1673">
        <f>SUMIF(R57:W57,1,R436:W436)/2</f>
        <v>0</v>
      </c>
      <c r="X452" s="1656"/>
      <c r="Y452" s="1656"/>
      <c r="Z452" s="1656"/>
      <c r="AA452" s="1656"/>
      <c r="AB452" s="1656"/>
      <c r="AC452" s="1656"/>
      <c r="AD452" s="1656"/>
      <c r="AE452" s="1656"/>
      <c r="AF452" s="1656"/>
      <c r="AG452" s="336"/>
      <c r="AH452" s="1044"/>
      <c r="AI452" s="1048"/>
      <c r="AJ452" s="1046"/>
      <c r="AK452" s="1009"/>
      <c r="AL452" s="1026"/>
      <c r="AM452" s="1025"/>
      <c r="AN452" s="1026"/>
      <c r="AO452" s="1009"/>
      <c r="AP452" s="1009"/>
      <c r="AQ452" s="1009"/>
      <c r="AR452" s="1009"/>
      <c r="AS452" s="1009"/>
      <c r="AT452" s="1009"/>
      <c r="AU452" s="1009"/>
      <c r="AV452" s="1009"/>
      <c r="AW452" s="1009"/>
      <c r="AX452" s="1009"/>
      <c r="AY452" s="1009"/>
      <c r="AZ452" s="1009"/>
      <c r="BA452" s="1009"/>
      <c r="BB452" s="1009"/>
      <c r="BC452" s="1009"/>
      <c r="BD452" s="1009"/>
      <c r="BE452" s="1009"/>
      <c r="BF452" s="1009"/>
      <c r="BG452" s="1009"/>
      <c r="BH452" s="1009"/>
      <c r="BI452" s="1009"/>
      <c r="BJ452" s="1009"/>
      <c r="BK452" s="1009"/>
      <c r="BL452" s="1009"/>
      <c r="BM452" s="1009"/>
      <c r="BN452" s="1009"/>
      <c r="BO452" s="1009"/>
      <c r="BP452" s="1009"/>
      <c r="BQ452" s="1009"/>
      <c r="BR452" s="1009"/>
      <c r="BS452" s="1009"/>
      <c r="BT452" s="1009"/>
      <c r="BU452" s="1009"/>
      <c r="BV452" s="1009"/>
      <c r="BW452" s="1009"/>
      <c r="BX452" s="1009"/>
      <c r="BY452" s="1009"/>
      <c r="BZ452" s="1009"/>
      <c r="CA452" s="1009"/>
      <c r="CB452" s="1009"/>
      <c r="CC452" s="1009"/>
      <c r="CD452" s="1009"/>
      <c r="CE452" s="1009"/>
      <c r="CF452" s="1009"/>
      <c r="CG452" s="1009"/>
      <c r="CH452" s="1009"/>
      <c r="CI452" s="1009"/>
      <c r="CJ452" s="1009"/>
      <c r="CK452" s="1009"/>
      <c r="CL452" s="1009"/>
      <c r="CM452" s="1009"/>
      <c r="CN452" s="1009"/>
      <c r="CO452" s="1009"/>
      <c r="CP452" s="1009"/>
      <c r="CQ452" s="1009"/>
      <c r="CR452" s="1009"/>
      <c r="CS452" s="1009"/>
      <c r="CT452" s="1009"/>
      <c r="CU452" s="1009"/>
      <c r="CV452" s="1009"/>
      <c r="CW452" s="1009"/>
      <c r="CX452" s="1009"/>
      <c r="CY452" s="1009"/>
      <c r="CZ452" s="1009"/>
      <c r="DA452" s="1009"/>
      <c r="DB452" s="1009"/>
      <c r="DC452" s="1009"/>
      <c r="DD452" s="1009"/>
      <c r="DE452" s="1009"/>
      <c r="DF452" s="1009"/>
      <c r="DG452" s="1009"/>
      <c r="DH452" s="1009"/>
      <c r="DI452" s="1009"/>
      <c r="DJ452" s="1009"/>
      <c r="DK452" s="1009"/>
      <c r="DL452" s="1009"/>
      <c r="DM452" s="1009"/>
      <c r="DN452" s="1009"/>
      <c r="DO452" s="1009"/>
      <c r="DP452" s="1009"/>
      <c r="DQ452" s="1009"/>
      <c r="DR452" s="1009"/>
      <c r="DS452" s="1009"/>
      <c r="DT452" s="1009"/>
      <c r="DU452" s="1009"/>
      <c r="DV452" s="1009"/>
      <c r="DW452" s="1009"/>
      <c r="DX452" s="1009"/>
      <c r="DY452" s="1009"/>
      <c r="DZ452" s="1009"/>
      <c r="EA452" s="1009"/>
      <c r="EB452" s="1009"/>
      <c r="EC452" s="1009"/>
      <c r="ED452" s="1009"/>
      <c r="EE452" s="1009"/>
      <c r="EF452" s="1009"/>
      <c r="EG452" s="1009"/>
      <c r="EH452" s="1009"/>
      <c r="EI452" s="1009"/>
      <c r="EJ452" s="1009"/>
      <c r="EK452" s="1009"/>
      <c r="EL452" s="1009"/>
      <c r="EM452" s="1009"/>
      <c r="EN452" s="1009"/>
      <c r="EO452" s="1009"/>
      <c r="EP452" s="1009"/>
      <c r="EQ452" s="1009"/>
      <c r="ER452" s="1009"/>
      <c r="ES452" s="1009"/>
      <c r="ET452" s="1009"/>
      <c r="EU452" s="1009"/>
      <c r="EV452" s="1009"/>
      <c r="EW452" s="1009"/>
      <c r="EX452" s="1009"/>
      <c r="EY452" s="1009"/>
      <c r="EZ452" s="1009"/>
      <c r="FA452" s="1009"/>
      <c r="FB452" s="1009"/>
      <c r="FC452" s="1009"/>
      <c r="FD452" s="1009"/>
      <c r="FE452" s="1009"/>
      <c r="FF452" s="1009"/>
      <c r="FG452" s="1009"/>
      <c r="FH452" s="1009"/>
      <c r="FI452" s="1009"/>
      <c r="FJ452" s="1009"/>
      <c r="FK452" s="1009"/>
      <c r="FL452" s="1009"/>
      <c r="FM452" s="1009"/>
      <c r="FN452" s="1009"/>
      <c r="FO452" s="1009"/>
      <c r="FP452" s="1009"/>
      <c r="FQ452" s="1009"/>
      <c r="FR452" s="1009"/>
      <c r="FS452" s="1009"/>
      <c r="FT452" s="1009"/>
      <c r="FU452" s="1009"/>
      <c r="FV452" s="1009"/>
      <c r="FW452" s="1009"/>
      <c r="FX452" s="1009"/>
      <c r="FY452" s="1009"/>
      <c r="FZ452" s="1009"/>
      <c r="GA452" s="1009"/>
      <c r="GB452" s="1009"/>
      <c r="GC452" s="1009"/>
      <c r="GD452" s="1009"/>
      <c r="GE452" s="1009"/>
      <c r="GF452" s="1009"/>
      <c r="GG452" s="1009"/>
      <c r="GH452" s="1009"/>
      <c r="GI452" s="1009"/>
      <c r="GJ452" s="1009"/>
      <c r="GK452" s="1009"/>
      <c r="GL452" s="1009"/>
      <c r="GM452" s="1009"/>
      <c r="GN452" s="1009"/>
      <c r="GO452" s="1009"/>
      <c r="GP452" s="1009"/>
      <c r="GQ452" s="1009"/>
      <c r="GR452" s="1009"/>
      <c r="GS452" s="1009"/>
      <c r="GT452" s="1009"/>
      <c r="GU452" s="1009"/>
      <c r="GV452" s="1009"/>
      <c r="GW452" s="1009"/>
      <c r="GX452" s="1009"/>
      <c r="GY452" s="1009"/>
      <c r="GZ452" s="1009"/>
      <c r="HA452" s="1009"/>
      <c r="HB452" s="1009"/>
      <c r="HC452" s="1009"/>
      <c r="HD452" s="1009"/>
      <c r="HE452" s="1009"/>
      <c r="HF452" s="1009"/>
      <c r="HG452" s="1009"/>
      <c r="HH452" s="1009"/>
      <c r="HI452" s="1009"/>
      <c r="HJ452" s="1009"/>
      <c r="HK452" s="1009"/>
      <c r="HL452" s="1009"/>
      <c r="HM452" s="1009"/>
      <c r="HN452" s="1009"/>
      <c r="HO452" s="1009"/>
      <c r="HP452" s="1009"/>
      <c r="HQ452" s="1009"/>
      <c r="HR452" s="1009"/>
      <c r="HS452" s="1009"/>
      <c r="HT452" s="1009"/>
      <c r="HU452" s="1009"/>
      <c r="HV452" s="1009"/>
      <c r="HW452" s="1009"/>
      <c r="HX452" s="1009"/>
      <c r="HY452" s="1009"/>
      <c r="HZ452" s="1009"/>
      <c r="IA452" s="1009"/>
      <c r="IB452" s="1009"/>
      <c r="IC452" s="1009"/>
      <c r="ID452" s="1009"/>
      <c r="IE452" s="1009"/>
      <c r="IF452" s="1009"/>
      <c r="IG452" s="1009"/>
      <c r="IH452" s="1009"/>
      <c r="II452" s="1009"/>
      <c r="IJ452" s="1009"/>
      <c r="IK452" s="1009"/>
      <c r="IL452" s="1009"/>
      <c r="IM452" s="1009"/>
      <c r="IN452" s="1009"/>
      <c r="IO452" s="1009"/>
      <c r="IP452" s="1009"/>
      <c r="IQ452" s="1009"/>
      <c r="IR452" s="1009"/>
      <c r="IS452" s="1009"/>
      <c r="IT452" s="1009"/>
      <c r="IU452" s="1009"/>
      <c r="IV452" s="1009"/>
      <c r="IW452" s="1009"/>
      <c r="IX452" s="1009"/>
      <c r="IY452" s="1009"/>
      <c r="IZ452" s="1009"/>
      <c r="JA452" s="1009"/>
      <c r="JB452" s="1009"/>
      <c r="JC452" s="1009"/>
      <c r="JD452" s="1009"/>
      <c r="JE452" s="1009"/>
      <c r="JF452" s="1009"/>
      <c r="JG452" s="1009"/>
      <c r="JH452" s="1009"/>
      <c r="JI452" s="1009"/>
      <c r="JJ452" s="1009"/>
      <c r="JK452" s="1009"/>
      <c r="JL452" s="1009"/>
      <c r="JM452" s="1009"/>
      <c r="JN452" s="1009"/>
      <c r="JO452" s="1009"/>
      <c r="JP452" s="1009"/>
      <c r="JQ452" s="1009"/>
      <c r="JR452" s="1009"/>
      <c r="JS452" s="1009"/>
      <c r="JT452" s="1009"/>
      <c r="JU452" s="1009"/>
      <c r="JV452" s="1009"/>
      <c r="JW452" s="1009"/>
      <c r="JX452" s="1009"/>
      <c r="JY452" s="1009"/>
      <c r="JZ452" s="1009"/>
      <c r="KA452" s="1009"/>
      <c r="KB452" s="1009"/>
      <c r="KC452" s="1009"/>
      <c r="KD452" s="1009"/>
      <c r="KE452" s="1009"/>
      <c r="KF452" s="1009"/>
      <c r="KG452" s="1009"/>
      <c r="KH452" s="1009"/>
      <c r="KI452" s="1009"/>
      <c r="KJ452" s="1009"/>
      <c r="KK452" s="1009"/>
      <c r="KL452" s="1009"/>
      <c r="KM452" s="1009"/>
      <c r="KN452" s="1009"/>
      <c r="KO452" s="1009"/>
      <c r="KP452" s="1009"/>
      <c r="KQ452" s="1009"/>
      <c r="KR452" s="1009"/>
      <c r="KS452" s="1009"/>
      <c r="KT452" s="1009"/>
      <c r="KU452" s="1009"/>
      <c r="KV452" s="1009"/>
      <c r="KW452" s="1009"/>
      <c r="KX452" s="1009"/>
      <c r="KY452" s="1009"/>
      <c r="KZ452" s="1009"/>
      <c r="LA452" s="1009"/>
      <c r="LB452" s="1009"/>
      <c r="LC452" s="1009"/>
      <c r="LD452" s="1009"/>
      <c r="LE452" s="1009"/>
      <c r="LF452" s="1009"/>
      <c r="LG452" s="1009"/>
      <c r="LH452" s="1009"/>
      <c r="LI452" s="1009"/>
      <c r="LJ452" s="1009"/>
      <c r="LK452" s="1009"/>
      <c r="LL452" s="1009"/>
      <c r="LM452" s="1009"/>
      <c r="LN452" s="1009"/>
      <c r="LO452" s="1009"/>
      <c r="LP452" s="1009"/>
      <c r="LQ452" s="1009"/>
      <c r="LR452" s="1009"/>
      <c r="LS452" s="1009"/>
      <c r="LT452" s="1009"/>
      <c r="LU452" s="1009"/>
      <c r="LV452" s="1009"/>
      <c r="LW452" s="1009"/>
      <c r="LX452" s="1009"/>
      <c r="LY452" s="1009"/>
      <c r="LZ452" s="1009"/>
      <c r="MA452" s="1009"/>
      <c r="MB452" s="1009"/>
      <c r="MC452" s="1009"/>
      <c r="MD452" s="1009"/>
      <c r="ME452" s="1009"/>
      <c r="MF452" s="1009"/>
      <c r="MG452" s="1009"/>
      <c r="MH452" s="1009"/>
      <c r="MI452" s="1009"/>
      <c r="MJ452" s="1009"/>
      <c r="MK452" s="1009"/>
      <c r="ML452" s="1009"/>
      <c r="MM452" s="1009"/>
      <c r="MN452" s="1009"/>
      <c r="MO452" s="1009"/>
      <c r="MP452" s="1009"/>
      <c r="MQ452" s="1009"/>
      <c r="MR452" s="1009"/>
      <c r="MS452" s="1009"/>
      <c r="MT452" s="1009"/>
      <c r="MU452" s="1009"/>
      <c r="MV452" s="1009"/>
      <c r="MW452" s="1009"/>
      <c r="MX452" s="1009"/>
      <c r="MY452" s="1009"/>
      <c r="MZ452" s="1009"/>
      <c r="NA452" s="1009"/>
      <c r="NB452" s="1009"/>
      <c r="NC452" s="1009"/>
      <c r="ND452" s="1009"/>
      <c r="NE452" s="1009"/>
      <c r="NF452" s="1009"/>
      <c r="NG452" s="1009"/>
      <c r="NH452" s="1009"/>
      <c r="NI452" s="1009"/>
      <c r="NJ452" s="1009"/>
      <c r="NK452" s="1009"/>
      <c r="NL452" s="1009"/>
      <c r="NM452" s="1009"/>
      <c r="NN452" s="1009"/>
      <c r="NO452" s="1009"/>
      <c r="NP452" s="1009"/>
      <c r="NQ452" s="1009"/>
      <c r="NR452" s="1009"/>
      <c r="NS452" s="1009"/>
      <c r="NT452" s="1009"/>
      <c r="NU452" s="1009"/>
      <c r="NV452" s="1009"/>
      <c r="NW452" s="1009"/>
      <c r="NX452" s="1009"/>
      <c r="NY452" s="1009"/>
      <c r="NZ452" s="1009"/>
      <c r="OA452" s="1009"/>
      <c r="OB452" s="1009"/>
      <c r="OC452" s="1009"/>
      <c r="OD452" s="1009"/>
      <c r="OE452" s="1009"/>
      <c r="OF452" s="1009"/>
      <c r="OG452" s="1009"/>
      <c r="OH452" s="1009"/>
      <c r="OI452" s="1009"/>
      <c r="OJ452" s="1009"/>
      <c r="OK452" s="1009"/>
      <c r="OL452" s="1009"/>
      <c r="OM452" s="1009"/>
      <c r="ON452" s="1009"/>
      <c r="OO452" s="1009"/>
      <c r="OP452" s="1009"/>
      <c r="OQ452" s="1009"/>
      <c r="OR452" s="1009"/>
      <c r="OS452" s="1009"/>
      <c r="OT452" s="1009"/>
      <c r="OU452" s="1009"/>
      <c r="OV452" s="1009"/>
      <c r="OW452" s="1009"/>
      <c r="OX452" s="1009"/>
      <c r="OY452" s="1009"/>
      <c r="OZ452" s="1009"/>
      <c r="PA452" s="1009"/>
      <c r="PB452" s="1009"/>
      <c r="PC452" s="1009"/>
      <c r="PD452" s="1009"/>
      <c r="PE452" s="1009"/>
      <c r="PF452" s="1009"/>
      <c r="PG452" s="1009"/>
      <c r="PH452" s="1009"/>
      <c r="PI452" s="1009"/>
      <c r="PJ452" s="1009"/>
      <c r="PK452" s="1009"/>
      <c r="PL452" s="1009"/>
      <c r="PM452" s="1009"/>
      <c r="PN452" s="1009"/>
      <c r="PO452" s="1009"/>
      <c r="PP452" s="1009"/>
      <c r="PQ452" s="1009"/>
      <c r="PR452" s="1009"/>
      <c r="PS452" s="1009"/>
      <c r="PT452" s="1009"/>
      <c r="PU452" s="1009"/>
      <c r="PV452" s="1009"/>
      <c r="PW452" s="1009"/>
      <c r="PX452" s="1009"/>
      <c r="PY452" s="1009"/>
      <c r="PZ452" s="1009"/>
      <c r="QA452" s="1009"/>
      <c r="QB452" s="1009"/>
      <c r="QC452" s="1009"/>
      <c r="QD452" s="1009"/>
      <c r="QE452" s="1009"/>
      <c r="QF452" s="1009"/>
      <c r="QG452" s="1009"/>
      <c r="QH452" s="1009"/>
      <c r="QI452" s="1009"/>
      <c r="QJ452" s="1009"/>
      <c r="QK452" s="1009"/>
      <c r="QL452" s="1009"/>
      <c r="QM452" s="1009"/>
      <c r="QN452" s="1009"/>
      <c r="QO452" s="1009"/>
      <c r="QP452" s="1009"/>
      <c r="QQ452" s="1009"/>
      <c r="QR452" s="1009"/>
      <c r="QS452" s="1009"/>
      <c r="QT452" s="1009"/>
      <c r="QU452" s="1009"/>
      <c r="QV452" s="1009"/>
      <c r="QW452" s="1009"/>
      <c r="QX452" s="1009"/>
      <c r="QY452" s="1009"/>
      <c r="QZ452" s="1009"/>
      <c r="RA452" s="1009"/>
      <c r="RB452" s="1009"/>
      <c r="RC452" s="1009"/>
      <c r="RD452" s="1009"/>
      <c r="RE452" s="1009"/>
      <c r="RF452" s="1009"/>
      <c r="RG452" s="1009"/>
      <c r="RH452" s="1009"/>
      <c r="RI452" s="1009"/>
      <c r="RJ452" s="1009"/>
      <c r="RK452" s="1009"/>
      <c r="RL452" s="1009"/>
      <c r="RM452" s="1009"/>
      <c r="RN452" s="1009"/>
      <c r="RO452" s="1009"/>
      <c r="RP452" s="1009"/>
      <c r="RQ452" s="1009"/>
      <c r="RR452" s="1009"/>
      <c r="RS452" s="1009"/>
      <c r="RT452" s="1009"/>
      <c r="RU452" s="1009"/>
      <c r="RV452" s="1009"/>
      <c r="RW452" s="1009"/>
      <c r="RX452" s="1009"/>
      <c r="RY452" s="1009"/>
      <c r="RZ452" s="1009"/>
      <c r="SA452" s="1009"/>
      <c r="SB452" s="1009"/>
      <c r="SC452" s="1009"/>
      <c r="SD452" s="1009"/>
      <c r="SE452" s="1009"/>
      <c r="SF452" s="1009"/>
      <c r="SG452" s="1009"/>
      <c r="SH452" s="1009"/>
      <c r="SI452" s="1009"/>
      <c r="SJ452" s="1009"/>
      <c r="SK452" s="1009"/>
      <c r="SL452" s="1009"/>
      <c r="SM452" s="1009"/>
      <c r="SN452" s="1009"/>
      <c r="SO452" s="1009"/>
      <c r="SP452" s="1009"/>
      <c r="SQ452" s="1009"/>
      <c r="SR452" s="1009"/>
      <c r="SS452" s="1009"/>
      <c r="ST452" s="1009"/>
      <c r="SU452" s="1009"/>
      <c r="SV452" s="1009"/>
      <c r="SW452" s="1009"/>
      <c r="SX452" s="1009"/>
      <c r="SY452" s="1009"/>
      <c r="SZ452" s="1009"/>
      <c r="TA452" s="1009"/>
      <c r="TB452" s="1009"/>
      <c r="TC452" s="1009"/>
      <c r="TD452" s="1009"/>
      <c r="TE452" s="1009"/>
      <c r="TF452" s="1009"/>
      <c r="TG452" s="1009"/>
      <c r="TH452" s="1009"/>
      <c r="TI452" s="1009"/>
      <c r="TJ452" s="1009"/>
      <c r="TK452" s="1009"/>
      <c r="TL452" s="1009"/>
      <c r="TM452" s="1009"/>
      <c r="TN452" s="1009"/>
      <c r="TO452" s="1009"/>
      <c r="TP452" s="1009"/>
      <c r="TQ452" s="1009"/>
      <c r="TR452" s="1009"/>
      <c r="TS452" s="1009"/>
      <c r="TT452" s="1009"/>
      <c r="TU452" s="1009"/>
      <c r="TV452" s="1009"/>
      <c r="TW452" s="1009"/>
      <c r="TX452" s="1009"/>
      <c r="TY452" s="1009"/>
      <c r="TZ452" s="1009"/>
      <c r="UA452" s="1009"/>
      <c r="UB452" s="1009"/>
      <c r="UC452" s="1009"/>
      <c r="UD452" s="1009"/>
      <c r="UE452" s="1009"/>
      <c r="UF452" s="1009"/>
      <c r="UG452" s="1009"/>
      <c r="UH452" s="1009"/>
      <c r="UI452" s="1009"/>
      <c r="UJ452" s="1009"/>
      <c r="UK452" s="1009"/>
      <c r="UL452" s="1009"/>
      <c r="UM452" s="1009"/>
      <c r="UN452" s="1009"/>
      <c r="UO452" s="1009"/>
      <c r="UP452" s="1009"/>
      <c r="UQ452" s="1009"/>
      <c r="UR452" s="1009"/>
      <c r="US452" s="1009"/>
      <c r="UT452" s="1009"/>
      <c r="UU452" s="1009"/>
      <c r="UV452" s="1009"/>
      <c r="UW452" s="1009"/>
      <c r="UX452" s="1009"/>
      <c r="UY452" s="1009"/>
      <c r="UZ452" s="1009"/>
      <c r="VA452" s="1009"/>
      <c r="VB452" s="1009"/>
      <c r="VC452" s="1009"/>
      <c r="VD452" s="1009"/>
      <c r="VE452" s="1009"/>
      <c r="VF452" s="1009"/>
      <c r="VG452" s="1009"/>
      <c r="VH452" s="1009"/>
      <c r="VI452" s="1009"/>
      <c r="VJ452" s="1009"/>
      <c r="VK452" s="1009"/>
      <c r="VL452" s="1009"/>
      <c r="VM452" s="1009"/>
      <c r="VN452" s="1009"/>
      <c r="VO452" s="1009"/>
      <c r="VP452" s="1009"/>
      <c r="VQ452" s="1009"/>
      <c r="VR452" s="1009"/>
      <c r="VS452" s="1009"/>
      <c r="VT452" s="1009"/>
      <c r="VU452" s="1009"/>
      <c r="VV452" s="1009"/>
      <c r="VW452" s="1009"/>
      <c r="VX452" s="1009"/>
      <c r="VY452" s="1009"/>
      <c r="VZ452" s="1009"/>
      <c r="WA452" s="1009"/>
      <c r="WB452" s="1009"/>
      <c r="WC452" s="1009"/>
      <c r="WD452" s="1009"/>
      <c r="WE452" s="1009"/>
      <c r="WF452" s="1009"/>
      <c r="WG452" s="1009"/>
      <c r="WH452" s="1009"/>
      <c r="WI452" s="1009"/>
      <c r="WJ452" s="1009"/>
      <c r="WK452" s="1009"/>
      <c r="WL452" s="1009"/>
      <c r="WM452" s="1009"/>
      <c r="WN452" s="1009"/>
      <c r="WO452" s="1009"/>
      <c r="WP452" s="1009"/>
      <c r="WQ452" s="1009"/>
      <c r="WR452" s="1009"/>
      <c r="WS452" s="1009"/>
      <c r="WT452" s="1009"/>
      <c r="WU452" s="1009"/>
      <c r="WV452" s="1009"/>
      <c r="WW452" s="1009"/>
      <c r="WX452" s="1009"/>
      <c r="WY452" s="1009"/>
      <c r="WZ452" s="1009"/>
      <c r="XA452" s="1009"/>
      <c r="XB452" s="1009"/>
      <c r="XC452" s="1009"/>
      <c r="XD452" s="1009"/>
      <c r="XE452" s="1009"/>
      <c r="XF452" s="1009"/>
      <c r="XG452" s="1009"/>
      <c r="XH452" s="1009"/>
      <c r="XI452" s="1009"/>
      <c r="XJ452" s="1009"/>
      <c r="XK452" s="1009"/>
      <c r="XL452" s="1009"/>
      <c r="XM452" s="1009"/>
      <c r="XN452" s="1009"/>
      <c r="XO452" s="1009"/>
      <c r="XP452" s="1009"/>
      <c r="XQ452" s="1009"/>
      <c r="XR452" s="1009"/>
      <c r="XS452" s="1009"/>
      <c r="XT452" s="1009"/>
      <c r="XU452" s="1009"/>
      <c r="XV452" s="1009"/>
      <c r="XW452" s="1009"/>
      <c r="XX452" s="1009"/>
      <c r="XY452" s="1009"/>
      <c r="XZ452" s="1009"/>
      <c r="YA452" s="1009"/>
      <c r="YB452" s="1009"/>
      <c r="YC452" s="1009"/>
      <c r="YD452" s="1009"/>
      <c r="YE452" s="1009"/>
      <c r="YF452" s="1009"/>
      <c r="YG452" s="1009"/>
      <c r="YH452" s="1009"/>
      <c r="YI452" s="1009"/>
      <c r="YJ452" s="1009"/>
      <c r="YK452" s="1009"/>
      <c r="YL452" s="1009"/>
      <c r="YM452" s="1009"/>
      <c r="YN452" s="1009"/>
      <c r="YO452" s="1009"/>
      <c r="YP452" s="1009"/>
      <c r="YQ452" s="1009"/>
      <c r="YR452" s="1009"/>
      <c r="YS452" s="1009"/>
      <c r="YT452" s="1009"/>
      <c r="YU452" s="1009"/>
      <c r="YV452" s="1009"/>
      <c r="YW452" s="1009"/>
      <c r="YX452" s="1009"/>
      <c r="YY452" s="1009"/>
      <c r="YZ452" s="1009"/>
      <c r="ZA452" s="1009"/>
      <c r="ZB452" s="1009"/>
      <c r="ZC452" s="1009"/>
      <c r="ZD452" s="1009"/>
      <c r="ZE452" s="1009"/>
      <c r="ZF452" s="1009"/>
      <c r="ZG452" s="1009"/>
      <c r="ZH452" s="1009"/>
      <c r="ZI452" s="1009"/>
      <c r="ZJ452" s="1009"/>
      <c r="ZK452" s="1009"/>
      <c r="ZL452" s="1009"/>
      <c r="ZM452" s="1009"/>
      <c r="ZN452" s="1009"/>
      <c r="ZO452" s="1009"/>
      <c r="ZP452" s="1009"/>
      <c r="ZQ452" s="1009"/>
      <c r="ZR452" s="1009"/>
      <c r="ZS452" s="1009"/>
      <c r="ZT452" s="1009"/>
      <c r="ZU452" s="1009"/>
      <c r="ZV452" s="1009"/>
      <c r="ZW452" s="1009"/>
      <c r="ZX452" s="1009"/>
      <c r="ZY452" s="1009"/>
      <c r="ZZ452" s="1009"/>
      <c r="AAA452" s="1009"/>
      <c r="AAB452" s="1009"/>
      <c r="AAC452" s="1009"/>
      <c r="AAD452" s="1009"/>
      <c r="AAE452" s="1009"/>
      <c r="AAF452" s="1009"/>
      <c r="AAG452" s="1009"/>
      <c r="AAH452" s="1009"/>
      <c r="AAI452" s="1009"/>
      <c r="AAJ452" s="1009"/>
      <c r="AAK452" s="1009"/>
      <c r="AAL452" s="1009"/>
      <c r="AAM452" s="1009"/>
      <c r="AAN452" s="1009"/>
      <c r="AAO452" s="1009"/>
      <c r="AAP452" s="1009"/>
      <c r="AAQ452" s="1009"/>
      <c r="AAR452" s="1009"/>
      <c r="AAS452" s="1009"/>
      <c r="AAT452" s="1009"/>
      <c r="AAU452" s="1009"/>
      <c r="AAV452" s="1009"/>
      <c r="AAW452" s="1009"/>
      <c r="AAX452" s="1009"/>
      <c r="AAY452" s="1009"/>
      <c r="AAZ452" s="1009"/>
      <c r="ABA452" s="1009"/>
      <c r="ABB452" s="1009"/>
      <c r="ABC452" s="1009"/>
      <c r="ABD452" s="1009"/>
      <c r="ABE452" s="1009"/>
      <c r="ABF452" s="1009"/>
      <c r="ABG452" s="1009"/>
      <c r="ABH452" s="1009"/>
      <c r="ABI452" s="1009"/>
      <c r="ABJ452" s="1009"/>
      <c r="ABK452" s="1009"/>
      <c r="ABL452" s="1009"/>
      <c r="ABM452" s="1009"/>
      <c r="ABN452" s="1009"/>
      <c r="ABO452" s="1009"/>
      <c r="ABP452" s="1009"/>
      <c r="ABQ452" s="1009"/>
    </row>
    <row r="453" spans="1:745" s="111" customFormat="1" ht="12.75" hidden="1" customHeight="1">
      <c r="A453" s="1270"/>
      <c r="B453" s="1652" t="s">
        <v>970</v>
      </c>
      <c r="C453" s="1653"/>
      <c r="D453" s="1653"/>
      <c r="E453" s="1654"/>
      <c r="F453" s="1655"/>
      <c r="G453" s="1654"/>
      <c r="H453" s="1671">
        <v>1</v>
      </c>
      <c r="I453" s="1672">
        <f>SUMIF(I57:I57,1,I436:I436)/2</f>
        <v>0</v>
      </c>
      <c r="J453" s="1672"/>
      <c r="K453" s="1672"/>
      <c r="L453" s="1672">
        <f>SUMIF(I57:L57,1,I436:L436)/2</f>
        <v>0</v>
      </c>
      <c r="M453" s="1672"/>
      <c r="N453" s="1672"/>
      <c r="O453" s="1672">
        <f>SUMIF(J57:O57,1,J436:O436)/2</f>
        <v>0</v>
      </c>
      <c r="P453" s="1672"/>
      <c r="Q453" s="1672"/>
      <c r="R453" s="1672">
        <f>SUMIF(M57:R57,1,M436:R436)/2</f>
        <v>0</v>
      </c>
      <c r="S453" s="1672"/>
      <c r="T453" s="1672"/>
      <c r="U453" s="1672">
        <f>SUMIF(P57:U57,1,P436:U436)/2</f>
        <v>0</v>
      </c>
      <c r="V453" s="1672"/>
      <c r="W453" s="1672"/>
      <c r="X453" s="1672">
        <f>SUMIF(S57:X57,1,S436:X436)/2</f>
        <v>0</v>
      </c>
      <c r="Y453" s="1656"/>
      <c r="Z453" s="1656"/>
      <c r="AA453" s="1656"/>
      <c r="AB453" s="1656"/>
      <c r="AC453" s="1656"/>
      <c r="AD453" s="1656"/>
      <c r="AE453" s="1656"/>
      <c r="AF453" s="1656"/>
      <c r="AG453" s="336"/>
      <c r="AH453" s="1044"/>
      <c r="AI453" s="1048"/>
      <c r="AJ453" s="1046"/>
      <c r="AK453" s="1009"/>
      <c r="AL453" s="1026"/>
      <c r="AM453" s="1025"/>
      <c r="AN453" s="1026"/>
      <c r="AO453" s="1009"/>
      <c r="AP453" s="1009"/>
      <c r="AQ453" s="1009"/>
      <c r="AR453" s="1009"/>
      <c r="AS453" s="1009"/>
      <c r="AT453" s="1009"/>
      <c r="AU453" s="1009"/>
      <c r="AV453" s="1009"/>
      <c r="AW453" s="1009"/>
      <c r="AX453" s="1009"/>
      <c r="AY453" s="1009"/>
      <c r="AZ453" s="1009"/>
      <c r="BA453" s="1009"/>
      <c r="BB453" s="1009"/>
      <c r="BC453" s="1009"/>
      <c r="BD453" s="1009"/>
      <c r="BE453" s="1009"/>
      <c r="BF453" s="1009"/>
      <c r="BG453" s="1009"/>
      <c r="BH453" s="1009"/>
      <c r="BI453" s="1009"/>
      <c r="BJ453" s="1009"/>
      <c r="BK453" s="1009"/>
      <c r="BL453" s="1009"/>
      <c r="BM453" s="1009"/>
      <c r="BN453" s="1009"/>
      <c r="BO453" s="1009"/>
      <c r="BP453" s="1009"/>
      <c r="BQ453" s="1009"/>
      <c r="BR453" s="1009"/>
      <c r="BS453" s="1009"/>
      <c r="BT453" s="1009"/>
      <c r="BU453" s="1009"/>
      <c r="BV453" s="1009"/>
      <c r="BW453" s="1009"/>
      <c r="BX453" s="1009"/>
      <c r="BY453" s="1009"/>
      <c r="BZ453" s="1009"/>
      <c r="CA453" s="1009"/>
      <c r="CB453" s="1009"/>
      <c r="CC453" s="1009"/>
      <c r="CD453" s="1009"/>
      <c r="CE453" s="1009"/>
      <c r="CF453" s="1009"/>
      <c r="CG453" s="1009"/>
      <c r="CH453" s="1009"/>
      <c r="CI453" s="1009"/>
      <c r="CJ453" s="1009"/>
      <c r="CK453" s="1009"/>
      <c r="CL453" s="1009"/>
      <c r="CM453" s="1009"/>
      <c r="CN453" s="1009"/>
      <c r="CO453" s="1009"/>
      <c r="CP453" s="1009"/>
      <c r="CQ453" s="1009"/>
      <c r="CR453" s="1009"/>
      <c r="CS453" s="1009"/>
      <c r="CT453" s="1009"/>
      <c r="CU453" s="1009"/>
      <c r="CV453" s="1009"/>
      <c r="CW453" s="1009"/>
      <c r="CX453" s="1009"/>
      <c r="CY453" s="1009"/>
      <c r="CZ453" s="1009"/>
      <c r="DA453" s="1009"/>
      <c r="DB453" s="1009"/>
      <c r="DC453" s="1009"/>
      <c r="DD453" s="1009"/>
      <c r="DE453" s="1009"/>
      <c r="DF453" s="1009"/>
      <c r="DG453" s="1009"/>
      <c r="DH453" s="1009"/>
      <c r="DI453" s="1009"/>
      <c r="DJ453" s="1009"/>
      <c r="DK453" s="1009"/>
      <c r="DL453" s="1009"/>
      <c r="DM453" s="1009"/>
      <c r="DN453" s="1009"/>
      <c r="DO453" s="1009"/>
      <c r="DP453" s="1009"/>
      <c r="DQ453" s="1009"/>
      <c r="DR453" s="1009"/>
      <c r="DS453" s="1009"/>
      <c r="DT453" s="1009"/>
      <c r="DU453" s="1009"/>
      <c r="DV453" s="1009"/>
      <c r="DW453" s="1009"/>
      <c r="DX453" s="1009"/>
      <c r="DY453" s="1009"/>
      <c r="DZ453" s="1009"/>
      <c r="EA453" s="1009"/>
      <c r="EB453" s="1009"/>
      <c r="EC453" s="1009"/>
      <c r="ED453" s="1009"/>
      <c r="EE453" s="1009"/>
      <c r="EF453" s="1009"/>
      <c r="EG453" s="1009"/>
      <c r="EH453" s="1009"/>
      <c r="EI453" s="1009"/>
      <c r="EJ453" s="1009"/>
      <c r="EK453" s="1009"/>
      <c r="EL453" s="1009"/>
      <c r="EM453" s="1009"/>
      <c r="EN453" s="1009"/>
      <c r="EO453" s="1009"/>
      <c r="EP453" s="1009"/>
      <c r="EQ453" s="1009"/>
      <c r="ER453" s="1009"/>
      <c r="ES453" s="1009"/>
      <c r="ET453" s="1009"/>
      <c r="EU453" s="1009"/>
      <c r="EV453" s="1009"/>
      <c r="EW453" s="1009"/>
      <c r="EX453" s="1009"/>
      <c r="EY453" s="1009"/>
      <c r="EZ453" s="1009"/>
      <c r="FA453" s="1009"/>
      <c r="FB453" s="1009"/>
      <c r="FC453" s="1009"/>
      <c r="FD453" s="1009"/>
      <c r="FE453" s="1009"/>
      <c r="FF453" s="1009"/>
      <c r="FG453" s="1009"/>
      <c r="FH453" s="1009"/>
      <c r="FI453" s="1009"/>
      <c r="FJ453" s="1009"/>
      <c r="FK453" s="1009"/>
      <c r="FL453" s="1009"/>
      <c r="FM453" s="1009"/>
      <c r="FN453" s="1009"/>
      <c r="FO453" s="1009"/>
      <c r="FP453" s="1009"/>
      <c r="FQ453" s="1009"/>
      <c r="FR453" s="1009"/>
      <c r="FS453" s="1009"/>
      <c r="FT453" s="1009"/>
      <c r="FU453" s="1009"/>
      <c r="FV453" s="1009"/>
      <c r="FW453" s="1009"/>
      <c r="FX453" s="1009"/>
      <c r="FY453" s="1009"/>
      <c r="FZ453" s="1009"/>
      <c r="GA453" s="1009"/>
      <c r="GB453" s="1009"/>
      <c r="GC453" s="1009"/>
      <c r="GD453" s="1009"/>
      <c r="GE453" s="1009"/>
      <c r="GF453" s="1009"/>
      <c r="GG453" s="1009"/>
      <c r="GH453" s="1009"/>
      <c r="GI453" s="1009"/>
      <c r="GJ453" s="1009"/>
      <c r="GK453" s="1009"/>
      <c r="GL453" s="1009"/>
      <c r="GM453" s="1009"/>
      <c r="GN453" s="1009"/>
      <c r="GO453" s="1009"/>
      <c r="GP453" s="1009"/>
      <c r="GQ453" s="1009"/>
      <c r="GR453" s="1009"/>
      <c r="GS453" s="1009"/>
      <c r="GT453" s="1009"/>
      <c r="GU453" s="1009"/>
      <c r="GV453" s="1009"/>
      <c r="GW453" s="1009"/>
      <c r="GX453" s="1009"/>
      <c r="GY453" s="1009"/>
      <c r="GZ453" s="1009"/>
      <c r="HA453" s="1009"/>
      <c r="HB453" s="1009"/>
      <c r="HC453" s="1009"/>
      <c r="HD453" s="1009"/>
      <c r="HE453" s="1009"/>
      <c r="HF453" s="1009"/>
      <c r="HG453" s="1009"/>
      <c r="HH453" s="1009"/>
      <c r="HI453" s="1009"/>
      <c r="HJ453" s="1009"/>
      <c r="HK453" s="1009"/>
      <c r="HL453" s="1009"/>
      <c r="HM453" s="1009"/>
      <c r="HN453" s="1009"/>
      <c r="HO453" s="1009"/>
      <c r="HP453" s="1009"/>
      <c r="HQ453" s="1009"/>
      <c r="HR453" s="1009"/>
      <c r="HS453" s="1009"/>
      <c r="HT453" s="1009"/>
      <c r="HU453" s="1009"/>
      <c r="HV453" s="1009"/>
      <c r="HW453" s="1009"/>
      <c r="HX453" s="1009"/>
      <c r="HY453" s="1009"/>
      <c r="HZ453" s="1009"/>
      <c r="IA453" s="1009"/>
      <c r="IB453" s="1009"/>
      <c r="IC453" s="1009"/>
      <c r="ID453" s="1009"/>
      <c r="IE453" s="1009"/>
      <c r="IF453" s="1009"/>
      <c r="IG453" s="1009"/>
      <c r="IH453" s="1009"/>
      <c r="II453" s="1009"/>
      <c r="IJ453" s="1009"/>
      <c r="IK453" s="1009"/>
      <c r="IL453" s="1009"/>
      <c r="IM453" s="1009"/>
      <c r="IN453" s="1009"/>
      <c r="IO453" s="1009"/>
      <c r="IP453" s="1009"/>
      <c r="IQ453" s="1009"/>
      <c r="IR453" s="1009"/>
      <c r="IS453" s="1009"/>
      <c r="IT453" s="1009"/>
      <c r="IU453" s="1009"/>
      <c r="IV453" s="1009"/>
      <c r="IW453" s="1009"/>
      <c r="IX453" s="1009"/>
      <c r="IY453" s="1009"/>
      <c r="IZ453" s="1009"/>
      <c r="JA453" s="1009"/>
      <c r="JB453" s="1009"/>
      <c r="JC453" s="1009"/>
      <c r="JD453" s="1009"/>
      <c r="JE453" s="1009"/>
      <c r="JF453" s="1009"/>
      <c r="JG453" s="1009"/>
      <c r="JH453" s="1009"/>
      <c r="JI453" s="1009"/>
      <c r="JJ453" s="1009"/>
      <c r="JK453" s="1009"/>
      <c r="JL453" s="1009"/>
      <c r="JM453" s="1009"/>
      <c r="JN453" s="1009"/>
      <c r="JO453" s="1009"/>
      <c r="JP453" s="1009"/>
      <c r="JQ453" s="1009"/>
      <c r="JR453" s="1009"/>
      <c r="JS453" s="1009"/>
      <c r="JT453" s="1009"/>
      <c r="JU453" s="1009"/>
      <c r="JV453" s="1009"/>
      <c r="JW453" s="1009"/>
      <c r="JX453" s="1009"/>
      <c r="JY453" s="1009"/>
      <c r="JZ453" s="1009"/>
      <c r="KA453" s="1009"/>
      <c r="KB453" s="1009"/>
      <c r="KC453" s="1009"/>
      <c r="KD453" s="1009"/>
      <c r="KE453" s="1009"/>
      <c r="KF453" s="1009"/>
      <c r="KG453" s="1009"/>
      <c r="KH453" s="1009"/>
      <c r="KI453" s="1009"/>
      <c r="KJ453" s="1009"/>
      <c r="KK453" s="1009"/>
      <c r="KL453" s="1009"/>
      <c r="KM453" s="1009"/>
      <c r="KN453" s="1009"/>
      <c r="KO453" s="1009"/>
      <c r="KP453" s="1009"/>
      <c r="KQ453" s="1009"/>
      <c r="KR453" s="1009"/>
      <c r="KS453" s="1009"/>
      <c r="KT453" s="1009"/>
      <c r="KU453" s="1009"/>
      <c r="KV453" s="1009"/>
      <c r="KW453" s="1009"/>
      <c r="KX453" s="1009"/>
      <c r="KY453" s="1009"/>
      <c r="KZ453" s="1009"/>
      <c r="LA453" s="1009"/>
      <c r="LB453" s="1009"/>
      <c r="LC453" s="1009"/>
      <c r="LD453" s="1009"/>
      <c r="LE453" s="1009"/>
      <c r="LF453" s="1009"/>
      <c r="LG453" s="1009"/>
      <c r="LH453" s="1009"/>
      <c r="LI453" s="1009"/>
      <c r="LJ453" s="1009"/>
      <c r="LK453" s="1009"/>
      <c r="LL453" s="1009"/>
      <c r="LM453" s="1009"/>
      <c r="LN453" s="1009"/>
      <c r="LO453" s="1009"/>
      <c r="LP453" s="1009"/>
      <c r="LQ453" s="1009"/>
      <c r="LR453" s="1009"/>
      <c r="LS453" s="1009"/>
      <c r="LT453" s="1009"/>
      <c r="LU453" s="1009"/>
      <c r="LV453" s="1009"/>
      <c r="LW453" s="1009"/>
      <c r="LX453" s="1009"/>
      <c r="LY453" s="1009"/>
      <c r="LZ453" s="1009"/>
      <c r="MA453" s="1009"/>
      <c r="MB453" s="1009"/>
      <c r="MC453" s="1009"/>
      <c r="MD453" s="1009"/>
      <c r="ME453" s="1009"/>
      <c r="MF453" s="1009"/>
      <c r="MG453" s="1009"/>
      <c r="MH453" s="1009"/>
      <c r="MI453" s="1009"/>
      <c r="MJ453" s="1009"/>
      <c r="MK453" s="1009"/>
      <c r="ML453" s="1009"/>
      <c r="MM453" s="1009"/>
      <c r="MN453" s="1009"/>
      <c r="MO453" s="1009"/>
      <c r="MP453" s="1009"/>
      <c r="MQ453" s="1009"/>
      <c r="MR453" s="1009"/>
      <c r="MS453" s="1009"/>
      <c r="MT453" s="1009"/>
      <c r="MU453" s="1009"/>
      <c r="MV453" s="1009"/>
      <c r="MW453" s="1009"/>
      <c r="MX453" s="1009"/>
      <c r="MY453" s="1009"/>
      <c r="MZ453" s="1009"/>
      <c r="NA453" s="1009"/>
      <c r="NB453" s="1009"/>
      <c r="NC453" s="1009"/>
      <c r="ND453" s="1009"/>
      <c r="NE453" s="1009"/>
      <c r="NF453" s="1009"/>
      <c r="NG453" s="1009"/>
      <c r="NH453" s="1009"/>
      <c r="NI453" s="1009"/>
      <c r="NJ453" s="1009"/>
      <c r="NK453" s="1009"/>
      <c r="NL453" s="1009"/>
      <c r="NM453" s="1009"/>
      <c r="NN453" s="1009"/>
      <c r="NO453" s="1009"/>
      <c r="NP453" s="1009"/>
      <c r="NQ453" s="1009"/>
      <c r="NR453" s="1009"/>
      <c r="NS453" s="1009"/>
      <c r="NT453" s="1009"/>
      <c r="NU453" s="1009"/>
      <c r="NV453" s="1009"/>
      <c r="NW453" s="1009"/>
      <c r="NX453" s="1009"/>
      <c r="NY453" s="1009"/>
      <c r="NZ453" s="1009"/>
      <c r="OA453" s="1009"/>
      <c r="OB453" s="1009"/>
      <c r="OC453" s="1009"/>
      <c r="OD453" s="1009"/>
      <c r="OE453" s="1009"/>
      <c r="OF453" s="1009"/>
      <c r="OG453" s="1009"/>
      <c r="OH453" s="1009"/>
      <c r="OI453" s="1009"/>
      <c r="OJ453" s="1009"/>
      <c r="OK453" s="1009"/>
      <c r="OL453" s="1009"/>
      <c r="OM453" s="1009"/>
      <c r="ON453" s="1009"/>
      <c r="OO453" s="1009"/>
      <c r="OP453" s="1009"/>
      <c r="OQ453" s="1009"/>
      <c r="OR453" s="1009"/>
      <c r="OS453" s="1009"/>
      <c r="OT453" s="1009"/>
      <c r="OU453" s="1009"/>
      <c r="OV453" s="1009"/>
      <c r="OW453" s="1009"/>
      <c r="OX453" s="1009"/>
      <c r="OY453" s="1009"/>
      <c r="OZ453" s="1009"/>
      <c r="PA453" s="1009"/>
      <c r="PB453" s="1009"/>
      <c r="PC453" s="1009"/>
      <c r="PD453" s="1009"/>
      <c r="PE453" s="1009"/>
      <c r="PF453" s="1009"/>
      <c r="PG453" s="1009"/>
      <c r="PH453" s="1009"/>
      <c r="PI453" s="1009"/>
      <c r="PJ453" s="1009"/>
      <c r="PK453" s="1009"/>
      <c r="PL453" s="1009"/>
      <c r="PM453" s="1009"/>
      <c r="PN453" s="1009"/>
      <c r="PO453" s="1009"/>
      <c r="PP453" s="1009"/>
      <c r="PQ453" s="1009"/>
      <c r="PR453" s="1009"/>
      <c r="PS453" s="1009"/>
      <c r="PT453" s="1009"/>
      <c r="PU453" s="1009"/>
      <c r="PV453" s="1009"/>
      <c r="PW453" s="1009"/>
      <c r="PX453" s="1009"/>
      <c r="PY453" s="1009"/>
      <c r="PZ453" s="1009"/>
      <c r="QA453" s="1009"/>
      <c r="QB453" s="1009"/>
      <c r="QC453" s="1009"/>
      <c r="QD453" s="1009"/>
      <c r="QE453" s="1009"/>
      <c r="QF453" s="1009"/>
      <c r="QG453" s="1009"/>
      <c r="QH453" s="1009"/>
      <c r="QI453" s="1009"/>
      <c r="QJ453" s="1009"/>
      <c r="QK453" s="1009"/>
      <c r="QL453" s="1009"/>
      <c r="QM453" s="1009"/>
      <c r="QN453" s="1009"/>
      <c r="QO453" s="1009"/>
      <c r="QP453" s="1009"/>
      <c r="QQ453" s="1009"/>
      <c r="QR453" s="1009"/>
      <c r="QS453" s="1009"/>
      <c r="QT453" s="1009"/>
      <c r="QU453" s="1009"/>
      <c r="QV453" s="1009"/>
      <c r="QW453" s="1009"/>
      <c r="QX453" s="1009"/>
      <c r="QY453" s="1009"/>
      <c r="QZ453" s="1009"/>
      <c r="RA453" s="1009"/>
      <c r="RB453" s="1009"/>
      <c r="RC453" s="1009"/>
      <c r="RD453" s="1009"/>
      <c r="RE453" s="1009"/>
      <c r="RF453" s="1009"/>
      <c r="RG453" s="1009"/>
      <c r="RH453" s="1009"/>
      <c r="RI453" s="1009"/>
      <c r="RJ453" s="1009"/>
      <c r="RK453" s="1009"/>
      <c r="RL453" s="1009"/>
      <c r="RM453" s="1009"/>
      <c r="RN453" s="1009"/>
      <c r="RO453" s="1009"/>
      <c r="RP453" s="1009"/>
      <c r="RQ453" s="1009"/>
      <c r="RR453" s="1009"/>
      <c r="RS453" s="1009"/>
      <c r="RT453" s="1009"/>
      <c r="RU453" s="1009"/>
      <c r="RV453" s="1009"/>
      <c r="RW453" s="1009"/>
      <c r="RX453" s="1009"/>
      <c r="RY453" s="1009"/>
      <c r="RZ453" s="1009"/>
      <c r="SA453" s="1009"/>
      <c r="SB453" s="1009"/>
      <c r="SC453" s="1009"/>
      <c r="SD453" s="1009"/>
      <c r="SE453" s="1009"/>
      <c r="SF453" s="1009"/>
      <c r="SG453" s="1009"/>
      <c r="SH453" s="1009"/>
      <c r="SI453" s="1009"/>
      <c r="SJ453" s="1009"/>
      <c r="SK453" s="1009"/>
      <c r="SL453" s="1009"/>
      <c r="SM453" s="1009"/>
      <c r="SN453" s="1009"/>
      <c r="SO453" s="1009"/>
      <c r="SP453" s="1009"/>
      <c r="SQ453" s="1009"/>
      <c r="SR453" s="1009"/>
      <c r="SS453" s="1009"/>
      <c r="ST453" s="1009"/>
      <c r="SU453" s="1009"/>
      <c r="SV453" s="1009"/>
      <c r="SW453" s="1009"/>
      <c r="SX453" s="1009"/>
      <c r="SY453" s="1009"/>
      <c r="SZ453" s="1009"/>
      <c r="TA453" s="1009"/>
      <c r="TB453" s="1009"/>
      <c r="TC453" s="1009"/>
      <c r="TD453" s="1009"/>
      <c r="TE453" s="1009"/>
      <c r="TF453" s="1009"/>
      <c r="TG453" s="1009"/>
      <c r="TH453" s="1009"/>
      <c r="TI453" s="1009"/>
      <c r="TJ453" s="1009"/>
      <c r="TK453" s="1009"/>
      <c r="TL453" s="1009"/>
      <c r="TM453" s="1009"/>
      <c r="TN453" s="1009"/>
      <c r="TO453" s="1009"/>
      <c r="TP453" s="1009"/>
      <c r="TQ453" s="1009"/>
      <c r="TR453" s="1009"/>
      <c r="TS453" s="1009"/>
      <c r="TT453" s="1009"/>
      <c r="TU453" s="1009"/>
      <c r="TV453" s="1009"/>
      <c r="TW453" s="1009"/>
      <c r="TX453" s="1009"/>
      <c r="TY453" s="1009"/>
      <c r="TZ453" s="1009"/>
      <c r="UA453" s="1009"/>
      <c r="UB453" s="1009"/>
      <c r="UC453" s="1009"/>
      <c r="UD453" s="1009"/>
      <c r="UE453" s="1009"/>
      <c r="UF453" s="1009"/>
      <c r="UG453" s="1009"/>
      <c r="UH453" s="1009"/>
      <c r="UI453" s="1009"/>
      <c r="UJ453" s="1009"/>
      <c r="UK453" s="1009"/>
      <c r="UL453" s="1009"/>
      <c r="UM453" s="1009"/>
      <c r="UN453" s="1009"/>
      <c r="UO453" s="1009"/>
      <c r="UP453" s="1009"/>
      <c r="UQ453" s="1009"/>
      <c r="UR453" s="1009"/>
      <c r="US453" s="1009"/>
      <c r="UT453" s="1009"/>
      <c r="UU453" s="1009"/>
      <c r="UV453" s="1009"/>
      <c r="UW453" s="1009"/>
      <c r="UX453" s="1009"/>
      <c r="UY453" s="1009"/>
      <c r="UZ453" s="1009"/>
      <c r="VA453" s="1009"/>
      <c r="VB453" s="1009"/>
      <c r="VC453" s="1009"/>
      <c r="VD453" s="1009"/>
      <c r="VE453" s="1009"/>
      <c r="VF453" s="1009"/>
      <c r="VG453" s="1009"/>
      <c r="VH453" s="1009"/>
      <c r="VI453" s="1009"/>
      <c r="VJ453" s="1009"/>
      <c r="VK453" s="1009"/>
      <c r="VL453" s="1009"/>
      <c r="VM453" s="1009"/>
      <c r="VN453" s="1009"/>
      <c r="VO453" s="1009"/>
      <c r="VP453" s="1009"/>
      <c r="VQ453" s="1009"/>
      <c r="VR453" s="1009"/>
      <c r="VS453" s="1009"/>
      <c r="VT453" s="1009"/>
      <c r="VU453" s="1009"/>
      <c r="VV453" s="1009"/>
      <c r="VW453" s="1009"/>
      <c r="VX453" s="1009"/>
      <c r="VY453" s="1009"/>
      <c r="VZ453" s="1009"/>
      <c r="WA453" s="1009"/>
      <c r="WB453" s="1009"/>
      <c r="WC453" s="1009"/>
      <c r="WD453" s="1009"/>
      <c r="WE453" s="1009"/>
      <c r="WF453" s="1009"/>
      <c r="WG453" s="1009"/>
      <c r="WH453" s="1009"/>
      <c r="WI453" s="1009"/>
      <c r="WJ453" s="1009"/>
      <c r="WK453" s="1009"/>
      <c r="WL453" s="1009"/>
      <c r="WM453" s="1009"/>
      <c r="WN453" s="1009"/>
      <c r="WO453" s="1009"/>
      <c r="WP453" s="1009"/>
      <c r="WQ453" s="1009"/>
      <c r="WR453" s="1009"/>
      <c r="WS453" s="1009"/>
      <c r="WT453" s="1009"/>
      <c r="WU453" s="1009"/>
      <c r="WV453" s="1009"/>
      <c r="WW453" s="1009"/>
      <c r="WX453" s="1009"/>
      <c r="WY453" s="1009"/>
      <c r="WZ453" s="1009"/>
      <c r="XA453" s="1009"/>
      <c r="XB453" s="1009"/>
      <c r="XC453" s="1009"/>
      <c r="XD453" s="1009"/>
      <c r="XE453" s="1009"/>
      <c r="XF453" s="1009"/>
      <c r="XG453" s="1009"/>
      <c r="XH453" s="1009"/>
      <c r="XI453" s="1009"/>
      <c r="XJ453" s="1009"/>
      <c r="XK453" s="1009"/>
      <c r="XL453" s="1009"/>
      <c r="XM453" s="1009"/>
      <c r="XN453" s="1009"/>
      <c r="XO453" s="1009"/>
      <c r="XP453" s="1009"/>
      <c r="XQ453" s="1009"/>
      <c r="XR453" s="1009"/>
      <c r="XS453" s="1009"/>
      <c r="XT453" s="1009"/>
      <c r="XU453" s="1009"/>
      <c r="XV453" s="1009"/>
      <c r="XW453" s="1009"/>
      <c r="XX453" s="1009"/>
      <c r="XY453" s="1009"/>
      <c r="XZ453" s="1009"/>
      <c r="YA453" s="1009"/>
      <c r="YB453" s="1009"/>
      <c r="YC453" s="1009"/>
      <c r="YD453" s="1009"/>
      <c r="YE453" s="1009"/>
      <c r="YF453" s="1009"/>
      <c r="YG453" s="1009"/>
      <c r="YH453" s="1009"/>
      <c r="YI453" s="1009"/>
      <c r="YJ453" s="1009"/>
      <c r="YK453" s="1009"/>
      <c r="YL453" s="1009"/>
      <c r="YM453" s="1009"/>
      <c r="YN453" s="1009"/>
      <c r="YO453" s="1009"/>
      <c r="YP453" s="1009"/>
      <c r="YQ453" s="1009"/>
      <c r="YR453" s="1009"/>
      <c r="YS453" s="1009"/>
      <c r="YT453" s="1009"/>
      <c r="YU453" s="1009"/>
      <c r="YV453" s="1009"/>
      <c r="YW453" s="1009"/>
      <c r="YX453" s="1009"/>
      <c r="YY453" s="1009"/>
      <c r="YZ453" s="1009"/>
      <c r="ZA453" s="1009"/>
      <c r="ZB453" s="1009"/>
      <c r="ZC453" s="1009"/>
      <c r="ZD453" s="1009"/>
      <c r="ZE453" s="1009"/>
      <c r="ZF453" s="1009"/>
      <c r="ZG453" s="1009"/>
      <c r="ZH453" s="1009"/>
      <c r="ZI453" s="1009"/>
      <c r="ZJ453" s="1009"/>
      <c r="ZK453" s="1009"/>
      <c r="ZL453" s="1009"/>
      <c r="ZM453" s="1009"/>
      <c r="ZN453" s="1009"/>
      <c r="ZO453" s="1009"/>
      <c r="ZP453" s="1009"/>
      <c r="ZQ453" s="1009"/>
      <c r="ZR453" s="1009"/>
      <c r="ZS453" s="1009"/>
      <c r="ZT453" s="1009"/>
      <c r="ZU453" s="1009"/>
      <c r="ZV453" s="1009"/>
      <c r="ZW453" s="1009"/>
      <c r="ZX453" s="1009"/>
      <c r="ZY453" s="1009"/>
      <c r="ZZ453" s="1009"/>
      <c r="AAA453" s="1009"/>
      <c r="AAB453" s="1009"/>
      <c r="AAC453" s="1009"/>
      <c r="AAD453" s="1009"/>
      <c r="AAE453" s="1009"/>
      <c r="AAF453" s="1009"/>
      <c r="AAG453" s="1009"/>
      <c r="AAH453" s="1009"/>
      <c r="AAI453" s="1009"/>
      <c r="AAJ453" s="1009"/>
      <c r="AAK453" s="1009"/>
      <c r="AAL453" s="1009"/>
      <c r="AAM453" s="1009"/>
      <c r="AAN453" s="1009"/>
      <c r="AAO453" s="1009"/>
      <c r="AAP453" s="1009"/>
      <c r="AAQ453" s="1009"/>
      <c r="AAR453" s="1009"/>
      <c r="AAS453" s="1009"/>
      <c r="AAT453" s="1009"/>
      <c r="AAU453" s="1009"/>
      <c r="AAV453" s="1009"/>
      <c r="AAW453" s="1009"/>
      <c r="AAX453" s="1009"/>
      <c r="AAY453" s="1009"/>
      <c r="AAZ453" s="1009"/>
      <c r="ABA453" s="1009"/>
      <c r="ABB453" s="1009"/>
      <c r="ABC453" s="1009"/>
      <c r="ABD453" s="1009"/>
      <c r="ABE453" s="1009"/>
      <c r="ABF453" s="1009"/>
      <c r="ABG453" s="1009"/>
      <c r="ABH453" s="1009"/>
      <c r="ABI453" s="1009"/>
      <c r="ABJ453" s="1009"/>
      <c r="ABK453" s="1009"/>
      <c r="ABL453" s="1009"/>
      <c r="ABM453" s="1009"/>
      <c r="ABN453" s="1009"/>
      <c r="ABO453" s="1009"/>
      <c r="ABP453" s="1009"/>
      <c r="ABQ453" s="1009"/>
    </row>
    <row r="454" spans="1:745" s="111" customFormat="1" ht="12.75" hidden="1" customHeight="1">
      <c r="A454" s="1270"/>
      <c r="B454" s="1652" t="s">
        <v>973</v>
      </c>
      <c r="C454" s="1653"/>
      <c r="D454" s="1653"/>
      <c r="E454" s="1654"/>
      <c r="F454" s="1655"/>
      <c r="G454" s="1654"/>
      <c r="H454" s="1657"/>
      <c r="I454" s="1656">
        <f t="shared" ref="I454:Y454" si="147">SUMIF($H$451:$H$453,$T$429,I451:I453)</f>
        <v>0</v>
      </c>
      <c r="J454" s="1656">
        <f t="shared" si="147"/>
        <v>0</v>
      </c>
      <c r="K454" s="1656">
        <f t="shared" si="147"/>
        <v>0</v>
      </c>
      <c r="L454" s="1656">
        <f t="shared" si="147"/>
        <v>0</v>
      </c>
      <c r="M454" s="1656">
        <f t="shared" si="147"/>
        <v>0</v>
      </c>
      <c r="N454" s="1656">
        <f t="shared" si="147"/>
        <v>0</v>
      </c>
      <c r="O454" s="1656">
        <f t="shared" si="147"/>
        <v>0</v>
      </c>
      <c r="P454" s="1656">
        <f t="shared" si="147"/>
        <v>0</v>
      </c>
      <c r="Q454" s="1656">
        <f t="shared" si="147"/>
        <v>0</v>
      </c>
      <c r="R454" s="1656">
        <f t="shared" si="147"/>
        <v>0</v>
      </c>
      <c r="S454" s="1656">
        <f t="shared" si="147"/>
        <v>0</v>
      </c>
      <c r="T454" s="1656">
        <f t="shared" si="147"/>
        <v>0</v>
      </c>
      <c r="U454" s="1656">
        <f t="shared" si="147"/>
        <v>0</v>
      </c>
      <c r="V454" s="1656">
        <f t="shared" si="147"/>
        <v>0</v>
      </c>
      <c r="W454" s="1656">
        <f t="shared" si="147"/>
        <v>0</v>
      </c>
      <c r="X454" s="1656">
        <f t="shared" si="147"/>
        <v>0</v>
      </c>
      <c r="Y454" s="1656">
        <f t="shared" si="147"/>
        <v>0</v>
      </c>
      <c r="Z454" s="1656"/>
      <c r="AA454" s="1656"/>
      <c r="AB454" s="1656"/>
      <c r="AC454" s="1656"/>
      <c r="AD454" s="1656"/>
      <c r="AE454" s="1656"/>
      <c r="AF454" s="1656"/>
      <c r="AG454" s="336"/>
      <c r="AH454" s="1044"/>
      <c r="AI454" s="1048"/>
      <c r="AJ454" s="1046"/>
      <c r="AK454" s="1009"/>
      <c r="AL454" s="1026"/>
      <c r="AM454" s="1025"/>
      <c r="AN454" s="1026"/>
      <c r="AO454" s="1009"/>
      <c r="AP454" s="1009"/>
      <c r="AQ454" s="1009"/>
      <c r="AR454" s="1009"/>
      <c r="AS454" s="1009"/>
      <c r="AT454" s="1009"/>
      <c r="AU454" s="1009"/>
      <c r="AV454" s="1009"/>
      <c r="AW454" s="1009"/>
      <c r="AX454" s="1009"/>
      <c r="AY454" s="1009"/>
      <c r="AZ454" s="1009"/>
      <c r="BA454" s="1009"/>
      <c r="BB454" s="1009"/>
      <c r="BC454" s="1009"/>
      <c r="BD454" s="1009"/>
      <c r="BE454" s="1009"/>
      <c r="BF454" s="1009"/>
      <c r="BG454" s="1009"/>
      <c r="BH454" s="1009"/>
      <c r="BI454" s="1009"/>
      <c r="BJ454" s="1009"/>
      <c r="BK454" s="1009"/>
      <c r="BL454" s="1009"/>
      <c r="BM454" s="1009"/>
      <c r="BN454" s="1009"/>
      <c r="BO454" s="1009"/>
      <c r="BP454" s="1009"/>
      <c r="BQ454" s="1009"/>
      <c r="BR454" s="1009"/>
      <c r="BS454" s="1009"/>
      <c r="BT454" s="1009"/>
      <c r="BU454" s="1009"/>
      <c r="BV454" s="1009"/>
      <c r="BW454" s="1009"/>
      <c r="BX454" s="1009"/>
      <c r="BY454" s="1009"/>
      <c r="BZ454" s="1009"/>
      <c r="CA454" s="1009"/>
      <c r="CB454" s="1009"/>
      <c r="CC454" s="1009"/>
      <c r="CD454" s="1009"/>
      <c r="CE454" s="1009"/>
      <c r="CF454" s="1009"/>
      <c r="CG454" s="1009"/>
      <c r="CH454" s="1009"/>
      <c r="CI454" s="1009"/>
      <c r="CJ454" s="1009"/>
      <c r="CK454" s="1009"/>
      <c r="CL454" s="1009"/>
      <c r="CM454" s="1009"/>
      <c r="CN454" s="1009"/>
      <c r="CO454" s="1009"/>
      <c r="CP454" s="1009"/>
      <c r="CQ454" s="1009"/>
      <c r="CR454" s="1009"/>
      <c r="CS454" s="1009"/>
      <c r="CT454" s="1009"/>
      <c r="CU454" s="1009"/>
      <c r="CV454" s="1009"/>
      <c r="CW454" s="1009"/>
      <c r="CX454" s="1009"/>
      <c r="CY454" s="1009"/>
      <c r="CZ454" s="1009"/>
      <c r="DA454" s="1009"/>
      <c r="DB454" s="1009"/>
      <c r="DC454" s="1009"/>
      <c r="DD454" s="1009"/>
      <c r="DE454" s="1009"/>
      <c r="DF454" s="1009"/>
      <c r="DG454" s="1009"/>
      <c r="DH454" s="1009"/>
      <c r="DI454" s="1009"/>
      <c r="DJ454" s="1009"/>
      <c r="DK454" s="1009"/>
      <c r="DL454" s="1009"/>
      <c r="DM454" s="1009"/>
      <c r="DN454" s="1009"/>
      <c r="DO454" s="1009"/>
      <c r="DP454" s="1009"/>
      <c r="DQ454" s="1009"/>
      <c r="DR454" s="1009"/>
      <c r="DS454" s="1009"/>
      <c r="DT454" s="1009"/>
      <c r="DU454" s="1009"/>
      <c r="DV454" s="1009"/>
      <c r="DW454" s="1009"/>
      <c r="DX454" s="1009"/>
      <c r="DY454" s="1009"/>
      <c r="DZ454" s="1009"/>
      <c r="EA454" s="1009"/>
      <c r="EB454" s="1009"/>
      <c r="EC454" s="1009"/>
      <c r="ED454" s="1009"/>
      <c r="EE454" s="1009"/>
      <c r="EF454" s="1009"/>
      <c r="EG454" s="1009"/>
      <c r="EH454" s="1009"/>
      <c r="EI454" s="1009"/>
      <c r="EJ454" s="1009"/>
      <c r="EK454" s="1009"/>
      <c r="EL454" s="1009"/>
      <c r="EM454" s="1009"/>
      <c r="EN454" s="1009"/>
      <c r="EO454" s="1009"/>
      <c r="EP454" s="1009"/>
      <c r="EQ454" s="1009"/>
      <c r="ER454" s="1009"/>
      <c r="ES454" s="1009"/>
      <c r="ET454" s="1009"/>
      <c r="EU454" s="1009"/>
      <c r="EV454" s="1009"/>
      <c r="EW454" s="1009"/>
      <c r="EX454" s="1009"/>
      <c r="EY454" s="1009"/>
      <c r="EZ454" s="1009"/>
      <c r="FA454" s="1009"/>
      <c r="FB454" s="1009"/>
      <c r="FC454" s="1009"/>
      <c r="FD454" s="1009"/>
      <c r="FE454" s="1009"/>
      <c r="FF454" s="1009"/>
      <c r="FG454" s="1009"/>
      <c r="FH454" s="1009"/>
      <c r="FI454" s="1009"/>
      <c r="FJ454" s="1009"/>
      <c r="FK454" s="1009"/>
      <c r="FL454" s="1009"/>
      <c r="FM454" s="1009"/>
      <c r="FN454" s="1009"/>
      <c r="FO454" s="1009"/>
      <c r="FP454" s="1009"/>
      <c r="FQ454" s="1009"/>
      <c r="FR454" s="1009"/>
      <c r="FS454" s="1009"/>
      <c r="FT454" s="1009"/>
      <c r="FU454" s="1009"/>
      <c r="FV454" s="1009"/>
      <c r="FW454" s="1009"/>
      <c r="FX454" s="1009"/>
      <c r="FY454" s="1009"/>
      <c r="FZ454" s="1009"/>
      <c r="GA454" s="1009"/>
      <c r="GB454" s="1009"/>
      <c r="GC454" s="1009"/>
      <c r="GD454" s="1009"/>
      <c r="GE454" s="1009"/>
      <c r="GF454" s="1009"/>
      <c r="GG454" s="1009"/>
      <c r="GH454" s="1009"/>
      <c r="GI454" s="1009"/>
      <c r="GJ454" s="1009"/>
      <c r="GK454" s="1009"/>
      <c r="GL454" s="1009"/>
      <c r="GM454" s="1009"/>
      <c r="GN454" s="1009"/>
      <c r="GO454" s="1009"/>
      <c r="GP454" s="1009"/>
      <c r="GQ454" s="1009"/>
      <c r="GR454" s="1009"/>
      <c r="GS454" s="1009"/>
      <c r="GT454" s="1009"/>
      <c r="GU454" s="1009"/>
      <c r="GV454" s="1009"/>
      <c r="GW454" s="1009"/>
      <c r="GX454" s="1009"/>
      <c r="GY454" s="1009"/>
      <c r="GZ454" s="1009"/>
      <c r="HA454" s="1009"/>
      <c r="HB454" s="1009"/>
      <c r="HC454" s="1009"/>
      <c r="HD454" s="1009"/>
      <c r="HE454" s="1009"/>
      <c r="HF454" s="1009"/>
      <c r="HG454" s="1009"/>
      <c r="HH454" s="1009"/>
      <c r="HI454" s="1009"/>
      <c r="HJ454" s="1009"/>
      <c r="HK454" s="1009"/>
      <c r="HL454" s="1009"/>
      <c r="HM454" s="1009"/>
      <c r="HN454" s="1009"/>
      <c r="HO454" s="1009"/>
      <c r="HP454" s="1009"/>
      <c r="HQ454" s="1009"/>
      <c r="HR454" s="1009"/>
      <c r="HS454" s="1009"/>
      <c r="HT454" s="1009"/>
      <c r="HU454" s="1009"/>
      <c r="HV454" s="1009"/>
      <c r="HW454" s="1009"/>
      <c r="HX454" s="1009"/>
      <c r="HY454" s="1009"/>
      <c r="HZ454" s="1009"/>
      <c r="IA454" s="1009"/>
      <c r="IB454" s="1009"/>
      <c r="IC454" s="1009"/>
      <c r="ID454" s="1009"/>
      <c r="IE454" s="1009"/>
      <c r="IF454" s="1009"/>
      <c r="IG454" s="1009"/>
      <c r="IH454" s="1009"/>
      <c r="II454" s="1009"/>
      <c r="IJ454" s="1009"/>
      <c r="IK454" s="1009"/>
      <c r="IL454" s="1009"/>
      <c r="IM454" s="1009"/>
      <c r="IN454" s="1009"/>
      <c r="IO454" s="1009"/>
      <c r="IP454" s="1009"/>
      <c r="IQ454" s="1009"/>
      <c r="IR454" s="1009"/>
      <c r="IS454" s="1009"/>
      <c r="IT454" s="1009"/>
      <c r="IU454" s="1009"/>
      <c r="IV454" s="1009"/>
      <c r="IW454" s="1009"/>
      <c r="IX454" s="1009"/>
      <c r="IY454" s="1009"/>
      <c r="IZ454" s="1009"/>
      <c r="JA454" s="1009"/>
      <c r="JB454" s="1009"/>
      <c r="JC454" s="1009"/>
      <c r="JD454" s="1009"/>
      <c r="JE454" s="1009"/>
      <c r="JF454" s="1009"/>
      <c r="JG454" s="1009"/>
      <c r="JH454" s="1009"/>
      <c r="JI454" s="1009"/>
      <c r="JJ454" s="1009"/>
      <c r="JK454" s="1009"/>
      <c r="JL454" s="1009"/>
      <c r="JM454" s="1009"/>
      <c r="JN454" s="1009"/>
      <c r="JO454" s="1009"/>
      <c r="JP454" s="1009"/>
      <c r="JQ454" s="1009"/>
      <c r="JR454" s="1009"/>
      <c r="JS454" s="1009"/>
      <c r="JT454" s="1009"/>
      <c r="JU454" s="1009"/>
      <c r="JV454" s="1009"/>
      <c r="JW454" s="1009"/>
      <c r="JX454" s="1009"/>
      <c r="JY454" s="1009"/>
      <c r="JZ454" s="1009"/>
      <c r="KA454" s="1009"/>
      <c r="KB454" s="1009"/>
      <c r="KC454" s="1009"/>
      <c r="KD454" s="1009"/>
      <c r="KE454" s="1009"/>
      <c r="KF454" s="1009"/>
      <c r="KG454" s="1009"/>
      <c r="KH454" s="1009"/>
      <c r="KI454" s="1009"/>
      <c r="KJ454" s="1009"/>
      <c r="KK454" s="1009"/>
      <c r="KL454" s="1009"/>
      <c r="KM454" s="1009"/>
      <c r="KN454" s="1009"/>
      <c r="KO454" s="1009"/>
      <c r="KP454" s="1009"/>
      <c r="KQ454" s="1009"/>
      <c r="KR454" s="1009"/>
      <c r="KS454" s="1009"/>
      <c r="KT454" s="1009"/>
      <c r="KU454" s="1009"/>
      <c r="KV454" s="1009"/>
      <c r="KW454" s="1009"/>
      <c r="KX454" s="1009"/>
      <c r="KY454" s="1009"/>
      <c r="KZ454" s="1009"/>
      <c r="LA454" s="1009"/>
      <c r="LB454" s="1009"/>
      <c r="LC454" s="1009"/>
      <c r="LD454" s="1009"/>
      <c r="LE454" s="1009"/>
      <c r="LF454" s="1009"/>
      <c r="LG454" s="1009"/>
      <c r="LH454" s="1009"/>
      <c r="LI454" s="1009"/>
      <c r="LJ454" s="1009"/>
      <c r="LK454" s="1009"/>
      <c r="LL454" s="1009"/>
      <c r="LM454" s="1009"/>
      <c r="LN454" s="1009"/>
      <c r="LO454" s="1009"/>
      <c r="LP454" s="1009"/>
      <c r="LQ454" s="1009"/>
      <c r="LR454" s="1009"/>
      <c r="LS454" s="1009"/>
      <c r="LT454" s="1009"/>
      <c r="LU454" s="1009"/>
      <c r="LV454" s="1009"/>
      <c r="LW454" s="1009"/>
      <c r="LX454" s="1009"/>
      <c r="LY454" s="1009"/>
      <c r="LZ454" s="1009"/>
      <c r="MA454" s="1009"/>
      <c r="MB454" s="1009"/>
      <c r="MC454" s="1009"/>
      <c r="MD454" s="1009"/>
      <c r="ME454" s="1009"/>
      <c r="MF454" s="1009"/>
      <c r="MG454" s="1009"/>
      <c r="MH454" s="1009"/>
      <c r="MI454" s="1009"/>
      <c r="MJ454" s="1009"/>
      <c r="MK454" s="1009"/>
      <c r="ML454" s="1009"/>
      <c r="MM454" s="1009"/>
      <c r="MN454" s="1009"/>
      <c r="MO454" s="1009"/>
      <c r="MP454" s="1009"/>
      <c r="MQ454" s="1009"/>
      <c r="MR454" s="1009"/>
      <c r="MS454" s="1009"/>
      <c r="MT454" s="1009"/>
      <c r="MU454" s="1009"/>
      <c r="MV454" s="1009"/>
      <c r="MW454" s="1009"/>
      <c r="MX454" s="1009"/>
      <c r="MY454" s="1009"/>
      <c r="MZ454" s="1009"/>
      <c r="NA454" s="1009"/>
      <c r="NB454" s="1009"/>
      <c r="NC454" s="1009"/>
      <c r="ND454" s="1009"/>
      <c r="NE454" s="1009"/>
      <c r="NF454" s="1009"/>
      <c r="NG454" s="1009"/>
      <c r="NH454" s="1009"/>
      <c r="NI454" s="1009"/>
      <c r="NJ454" s="1009"/>
      <c r="NK454" s="1009"/>
      <c r="NL454" s="1009"/>
      <c r="NM454" s="1009"/>
      <c r="NN454" s="1009"/>
      <c r="NO454" s="1009"/>
      <c r="NP454" s="1009"/>
      <c r="NQ454" s="1009"/>
      <c r="NR454" s="1009"/>
      <c r="NS454" s="1009"/>
      <c r="NT454" s="1009"/>
      <c r="NU454" s="1009"/>
      <c r="NV454" s="1009"/>
      <c r="NW454" s="1009"/>
      <c r="NX454" s="1009"/>
      <c r="NY454" s="1009"/>
      <c r="NZ454" s="1009"/>
      <c r="OA454" s="1009"/>
      <c r="OB454" s="1009"/>
      <c r="OC454" s="1009"/>
      <c r="OD454" s="1009"/>
      <c r="OE454" s="1009"/>
      <c r="OF454" s="1009"/>
      <c r="OG454" s="1009"/>
      <c r="OH454" s="1009"/>
      <c r="OI454" s="1009"/>
      <c r="OJ454" s="1009"/>
      <c r="OK454" s="1009"/>
      <c r="OL454" s="1009"/>
      <c r="OM454" s="1009"/>
      <c r="ON454" s="1009"/>
      <c r="OO454" s="1009"/>
      <c r="OP454" s="1009"/>
      <c r="OQ454" s="1009"/>
      <c r="OR454" s="1009"/>
      <c r="OS454" s="1009"/>
      <c r="OT454" s="1009"/>
      <c r="OU454" s="1009"/>
      <c r="OV454" s="1009"/>
      <c r="OW454" s="1009"/>
      <c r="OX454" s="1009"/>
      <c r="OY454" s="1009"/>
      <c r="OZ454" s="1009"/>
      <c r="PA454" s="1009"/>
      <c r="PB454" s="1009"/>
      <c r="PC454" s="1009"/>
      <c r="PD454" s="1009"/>
      <c r="PE454" s="1009"/>
      <c r="PF454" s="1009"/>
      <c r="PG454" s="1009"/>
      <c r="PH454" s="1009"/>
      <c r="PI454" s="1009"/>
      <c r="PJ454" s="1009"/>
      <c r="PK454" s="1009"/>
      <c r="PL454" s="1009"/>
      <c r="PM454" s="1009"/>
      <c r="PN454" s="1009"/>
      <c r="PO454" s="1009"/>
      <c r="PP454" s="1009"/>
      <c r="PQ454" s="1009"/>
      <c r="PR454" s="1009"/>
      <c r="PS454" s="1009"/>
      <c r="PT454" s="1009"/>
      <c r="PU454" s="1009"/>
      <c r="PV454" s="1009"/>
      <c r="PW454" s="1009"/>
      <c r="PX454" s="1009"/>
      <c r="PY454" s="1009"/>
      <c r="PZ454" s="1009"/>
      <c r="QA454" s="1009"/>
      <c r="QB454" s="1009"/>
      <c r="QC454" s="1009"/>
      <c r="QD454" s="1009"/>
      <c r="QE454" s="1009"/>
      <c r="QF454" s="1009"/>
      <c r="QG454" s="1009"/>
      <c r="QH454" s="1009"/>
      <c r="QI454" s="1009"/>
      <c r="QJ454" s="1009"/>
      <c r="QK454" s="1009"/>
      <c r="QL454" s="1009"/>
      <c r="QM454" s="1009"/>
      <c r="QN454" s="1009"/>
      <c r="QO454" s="1009"/>
      <c r="QP454" s="1009"/>
      <c r="QQ454" s="1009"/>
      <c r="QR454" s="1009"/>
      <c r="QS454" s="1009"/>
      <c r="QT454" s="1009"/>
      <c r="QU454" s="1009"/>
      <c r="QV454" s="1009"/>
      <c r="QW454" s="1009"/>
      <c r="QX454" s="1009"/>
      <c r="QY454" s="1009"/>
      <c r="QZ454" s="1009"/>
      <c r="RA454" s="1009"/>
      <c r="RB454" s="1009"/>
      <c r="RC454" s="1009"/>
      <c r="RD454" s="1009"/>
      <c r="RE454" s="1009"/>
      <c r="RF454" s="1009"/>
      <c r="RG454" s="1009"/>
      <c r="RH454" s="1009"/>
      <c r="RI454" s="1009"/>
      <c r="RJ454" s="1009"/>
      <c r="RK454" s="1009"/>
      <c r="RL454" s="1009"/>
      <c r="RM454" s="1009"/>
      <c r="RN454" s="1009"/>
      <c r="RO454" s="1009"/>
      <c r="RP454" s="1009"/>
      <c r="RQ454" s="1009"/>
      <c r="RR454" s="1009"/>
      <c r="RS454" s="1009"/>
      <c r="RT454" s="1009"/>
      <c r="RU454" s="1009"/>
      <c r="RV454" s="1009"/>
      <c r="RW454" s="1009"/>
      <c r="RX454" s="1009"/>
      <c r="RY454" s="1009"/>
      <c r="RZ454" s="1009"/>
      <c r="SA454" s="1009"/>
      <c r="SB454" s="1009"/>
      <c r="SC454" s="1009"/>
      <c r="SD454" s="1009"/>
      <c r="SE454" s="1009"/>
      <c r="SF454" s="1009"/>
      <c r="SG454" s="1009"/>
      <c r="SH454" s="1009"/>
      <c r="SI454" s="1009"/>
      <c r="SJ454" s="1009"/>
      <c r="SK454" s="1009"/>
      <c r="SL454" s="1009"/>
      <c r="SM454" s="1009"/>
      <c r="SN454" s="1009"/>
      <c r="SO454" s="1009"/>
      <c r="SP454" s="1009"/>
      <c r="SQ454" s="1009"/>
      <c r="SR454" s="1009"/>
      <c r="SS454" s="1009"/>
      <c r="ST454" s="1009"/>
      <c r="SU454" s="1009"/>
      <c r="SV454" s="1009"/>
      <c r="SW454" s="1009"/>
      <c r="SX454" s="1009"/>
      <c r="SY454" s="1009"/>
      <c r="SZ454" s="1009"/>
      <c r="TA454" s="1009"/>
      <c r="TB454" s="1009"/>
      <c r="TC454" s="1009"/>
      <c r="TD454" s="1009"/>
      <c r="TE454" s="1009"/>
      <c r="TF454" s="1009"/>
      <c r="TG454" s="1009"/>
      <c r="TH454" s="1009"/>
      <c r="TI454" s="1009"/>
      <c r="TJ454" s="1009"/>
      <c r="TK454" s="1009"/>
      <c r="TL454" s="1009"/>
      <c r="TM454" s="1009"/>
      <c r="TN454" s="1009"/>
      <c r="TO454" s="1009"/>
      <c r="TP454" s="1009"/>
      <c r="TQ454" s="1009"/>
      <c r="TR454" s="1009"/>
      <c r="TS454" s="1009"/>
      <c r="TT454" s="1009"/>
      <c r="TU454" s="1009"/>
      <c r="TV454" s="1009"/>
      <c r="TW454" s="1009"/>
      <c r="TX454" s="1009"/>
      <c r="TY454" s="1009"/>
      <c r="TZ454" s="1009"/>
      <c r="UA454" s="1009"/>
      <c r="UB454" s="1009"/>
      <c r="UC454" s="1009"/>
      <c r="UD454" s="1009"/>
      <c r="UE454" s="1009"/>
      <c r="UF454" s="1009"/>
      <c r="UG454" s="1009"/>
      <c r="UH454" s="1009"/>
      <c r="UI454" s="1009"/>
      <c r="UJ454" s="1009"/>
      <c r="UK454" s="1009"/>
      <c r="UL454" s="1009"/>
      <c r="UM454" s="1009"/>
      <c r="UN454" s="1009"/>
      <c r="UO454" s="1009"/>
      <c r="UP454" s="1009"/>
      <c r="UQ454" s="1009"/>
      <c r="UR454" s="1009"/>
      <c r="US454" s="1009"/>
      <c r="UT454" s="1009"/>
      <c r="UU454" s="1009"/>
      <c r="UV454" s="1009"/>
      <c r="UW454" s="1009"/>
      <c r="UX454" s="1009"/>
      <c r="UY454" s="1009"/>
      <c r="UZ454" s="1009"/>
      <c r="VA454" s="1009"/>
      <c r="VB454" s="1009"/>
      <c r="VC454" s="1009"/>
      <c r="VD454" s="1009"/>
      <c r="VE454" s="1009"/>
      <c r="VF454" s="1009"/>
      <c r="VG454" s="1009"/>
      <c r="VH454" s="1009"/>
      <c r="VI454" s="1009"/>
      <c r="VJ454" s="1009"/>
      <c r="VK454" s="1009"/>
      <c r="VL454" s="1009"/>
      <c r="VM454" s="1009"/>
      <c r="VN454" s="1009"/>
      <c r="VO454" s="1009"/>
      <c r="VP454" s="1009"/>
      <c r="VQ454" s="1009"/>
      <c r="VR454" s="1009"/>
      <c r="VS454" s="1009"/>
      <c r="VT454" s="1009"/>
      <c r="VU454" s="1009"/>
      <c r="VV454" s="1009"/>
      <c r="VW454" s="1009"/>
      <c r="VX454" s="1009"/>
      <c r="VY454" s="1009"/>
      <c r="VZ454" s="1009"/>
      <c r="WA454" s="1009"/>
      <c r="WB454" s="1009"/>
      <c r="WC454" s="1009"/>
      <c r="WD454" s="1009"/>
      <c r="WE454" s="1009"/>
      <c r="WF454" s="1009"/>
      <c r="WG454" s="1009"/>
      <c r="WH454" s="1009"/>
      <c r="WI454" s="1009"/>
      <c r="WJ454" s="1009"/>
      <c r="WK454" s="1009"/>
      <c r="WL454" s="1009"/>
      <c r="WM454" s="1009"/>
      <c r="WN454" s="1009"/>
      <c r="WO454" s="1009"/>
      <c r="WP454" s="1009"/>
      <c r="WQ454" s="1009"/>
      <c r="WR454" s="1009"/>
      <c r="WS454" s="1009"/>
      <c r="WT454" s="1009"/>
      <c r="WU454" s="1009"/>
      <c r="WV454" s="1009"/>
      <c r="WW454" s="1009"/>
      <c r="WX454" s="1009"/>
      <c r="WY454" s="1009"/>
      <c r="WZ454" s="1009"/>
      <c r="XA454" s="1009"/>
      <c r="XB454" s="1009"/>
      <c r="XC454" s="1009"/>
      <c r="XD454" s="1009"/>
      <c r="XE454" s="1009"/>
      <c r="XF454" s="1009"/>
      <c r="XG454" s="1009"/>
      <c r="XH454" s="1009"/>
      <c r="XI454" s="1009"/>
      <c r="XJ454" s="1009"/>
      <c r="XK454" s="1009"/>
      <c r="XL454" s="1009"/>
      <c r="XM454" s="1009"/>
      <c r="XN454" s="1009"/>
      <c r="XO454" s="1009"/>
      <c r="XP454" s="1009"/>
      <c r="XQ454" s="1009"/>
      <c r="XR454" s="1009"/>
      <c r="XS454" s="1009"/>
      <c r="XT454" s="1009"/>
      <c r="XU454" s="1009"/>
      <c r="XV454" s="1009"/>
      <c r="XW454" s="1009"/>
      <c r="XX454" s="1009"/>
      <c r="XY454" s="1009"/>
      <c r="XZ454" s="1009"/>
      <c r="YA454" s="1009"/>
      <c r="YB454" s="1009"/>
      <c r="YC454" s="1009"/>
      <c r="YD454" s="1009"/>
      <c r="YE454" s="1009"/>
      <c r="YF454" s="1009"/>
      <c r="YG454" s="1009"/>
      <c r="YH454" s="1009"/>
      <c r="YI454" s="1009"/>
      <c r="YJ454" s="1009"/>
      <c r="YK454" s="1009"/>
      <c r="YL454" s="1009"/>
      <c r="YM454" s="1009"/>
      <c r="YN454" s="1009"/>
      <c r="YO454" s="1009"/>
      <c r="YP454" s="1009"/>
      <c r="YQ454" s="1009"/>
      <c r="YR454" s="1009"/>
      <c r="YS454" s="1009"/>
      <c r="YT454" s="1009"/>
      <c r="YU454" s="1009"/>
      <c r="YV454" s="1009"/>
      <c r="YW454" s="1009"/>
      <c r="YX454" s="1009"/>
      <c r="YY454" s="1009"/>
      <c r="YZ454" s="1009"/>
      <c r="ZA454" s="1009"/>
      <c r="ZB454" s="1009"/>
      <c r="ZC454" s="1009"/>
      <c r="ZD454" s="1009"/>
      <c r="ZE454" s="1009"/>
      <c r="ZF454" s="1009"/>
      <c r="ZG454" s="1009"/>
      <c r="ZH454" s="1009"/>
      <c r="ZI454" s="1009"/>
      <c r="ZJ454" s="1009"/>
      <c r="ZK454" s="1009"/>
      <c r="ZL454" s="1009"/>
      <c r="ZM454" s="1009"/>
      <c r="ZN454" s="1009"/>
      <c r="ZO454" s="1009"/>
      <c r="ZP454" s="1009"/>
      <c r="ZQ454" s="1009"/>
      <c r="ZR454" s="1009"/>
      <c r="ZS454" s="1009"/>
      <c r="ZT454" s="1009"/>
      <c r="ZU454" s="1009"/>
      <c r="ZV454" s="1009"/>
      <c r="ZW454" s="1009"/>
      <c r="ZX454" s="1009"/>
      <c r="ZY454" s="1009"/>
      <c r="ZZ454" s="1009"/>
      <c r="AAA454" s="1009"/>
      <c r="AAB454" s="1009"/>
      <c r="AAC454" s="1009"/>
      <c r="AAD454" s="1009"/>
      <c r="AAE454" s="1009"/>
      <c r="AAF454" s="1009"/>
      <c r="AAG454" s="1009"/>
      <c r="AAH454" s="1009"/>
      <c r="AAI454" s="1009"/>
      <c r="AAJ454" s="1009"/>
      <c r="AAK454" s="1009"/>
      <c r="AAL454" s="1009"/>
      <c r="AAM454" s="1009"/>
      <c r="AAN454" s="1009"/>
      <c r="AAO454" s="1009"/>
      <c r="AAP454" s="1009"/>
      <c r="AAQ454" s="1009"/>
      <c r="AAR454" s="1009"/>
      <c r="AAS454" s="1009"/>
      <c r="AAT454" s="1009"/>
      <c r="AAU454" s="1009"/>
      <c r="AAV454" s="1009"/>
      <c r="AAW454" s="1009"/>
      <c r="AAX454" s="1009"/>
      <c r="AAY454" s="1009"/>
      <c r="AAZ454" s="1009"/>
      <c r="ABA454" s="1009"/>
      <c r="ABB454" s="1009"/>
      <c r="ABC454" s="1009"/>
      <c r="ABD454" s="1009"/>
      <c r="ABE454" s="1009"/>
      <c r="ABF454" s="1009"/>
      <c r="ABG454" s="1009"/>
      <c r="ABH454" s="1009"/>
      <c r="ABI454" s="1009"/>
      <c r="ABJ454" s="1009"/>
      <c r="ABK454" s="1009"/>
      <c r="ABL454" s="1009"/>
      <c r="ABM454" s="1009"/>
      <c r="ABN454" s="1009"/>
      <c r="ABO454" s="1009"/>
      <c r="ABP454" s="1009"/>
      <c r="ABQ454" s="1009"/>
    </row>
    <row r="455" spans="1:745" s="111" customFormat="1" ht="12.75" hidden="1" customHeight="1">
      <c r="A455" s="1270"/>
      <c r="B455" s="1652" t="s">
        <v>971</v>
      </c>
      <c r="C455" s="1653"/>
      <c r="D455" s="1653"/>
      <c r="E455" s="1654"/>
      <c r="F455" s="1655"/>
      <c r="G455" s="1654"/>
      <c r="H455" s="1657"/>
      <c r="I455" s="1656"/>
      <c r="J455" s="1656"/>
      <c r="K455" s="1656"/>
      <c r="L455" s="1656"/>
      <c r="M455" s="1656"/>
      <c r="N455" s="1675">
        <f>IF($T$428=6,C436*N57,0)</f>
        <v>0</v>
      </c>
      <c r="O455" s="1675">
        <f>IF(OR($T$428=4,$T$428=5,$T$428=8,$T$428=12),C436*O57,0)</f>
        <v>0</v>
      </c>
      <c r="P455" s="1675">
        <f>IF(OR($T$428=3,$T$428=7,$T$428=11),C436*P57,0)</f>
        <v>0</v>
      </c>
      <c r="Q455" s="1675">
        <f>IF(OR($T$428=2,$T$428=10),C436*Q57,0)</f>
        <v>0</v>
      </c>
      <c r="R455" s="1675">
        <f>IF(OR($T$428=1,$T$428=9),C436*R57,0)</f>
        <v>0</v>
      </c>
      <c r="S455" s="1656"/>
      <c r="T455" s="1656"/>
      <c r="U455" s="1656"/>
      <c r="V455" s="1656"/>
      <c r="W455" s="1656"/>
      <c r="X455" s="1656"/>
      <c r="Y455" s="1656"/>
      <c r="Z455" s="1675">
        <f>IF($T$428=6,C436*Z58,0)</f>
        <v>0</v>
      </c>
      <c r="AA455" s="1675">
        <f>IF(OR($T$428=4,$T$428=5,$T$428=8,$T$428=12),C436*AA58,0)</f>
        <v>0</v>
      </c>
      <c r="AB455" s="1675">
        <f>IF(OR($T$428=3,$T$428=7,$T$428=11),C436*AB58,0)</f>
        <v>0</v>
      </c>
      <c r="AC455" s="1675">
        <f>IF(OR($T$428=2,$T$428=10),C436*AC58,0)</f>
        <v>0</v>
      </c>
      <c r="AD455" s="1675">
        <f>IF(OR($T$428=1,$T$428=9),C436*AD58,0)</f>
        <v>0</v>
      </c>
      <c r="AE455" s="1656"/>
      <c r="AF455" s="1656"/>
      <c r="AG455" s="336"/>
      <c r="AH455" s="1044"/>
      <c r="AI455" s="1048"/>
      <c r="AJ455" s="1046"/>
      <c r="AK455" s="1009"/>
      <c r="AL455" s="1026"/>
      <c r="AM455" s="1025"/>
      <c r="AN455" s="1026"/>
      <c r="AO455" s="1009"/>
      <c r="AP455" s="1009"/>
      <c r="AQ455" s="1009"/>
      <c r="AR455" s="1009"/>
      <c r="AS455" s="1009"/>
      <c r="AT455" s="1009"/>
      <c r="AU455" s="1009"/>
      <c r="AV455" s="1009"/>
      <c r="AW455" s="1009"/>
      <c r="AX455" s="1009"/>
      <c r="AY455" s="1009"/>
      <c r="AZ455" s="1009"/>
      <c r="BA455" s="1009"/>
      <c r="BB455" s="1009"/>
      <c r="BC455" s="1009"/>
      <c r="BD455" s="1009"/>
      <c r="BE455" s="1009"/>
      <c r="BF455" s="1009"/>
      <c r="BG455" s="1009"/>
      <c r="BH455" s="1009"/>
      <c r="BI455" s="1009"/>
      <c r="BJ455" s="1009"/>
      <c r="BK455" s="1009"/>
      <c r="BL455" s="1009"/>
      <c r="BM455" s="1009"/>
      <c r="BN455" s="1009"/>
      <c r="BO455" s="1009"/>
      <c r="BP455" s="1009"/>
      <c r="BQ455" s="1009"/>
      <c r="BR455" s="1009"/>
      <c r="BS455" s="1009"/>
      <c r="BT455" s="1009"/>
      <c r="BU455" s="1009"/>
      <c r="BV455" s="1009"/>
      <c r="BW455" s="1009"/>
      <c r="BX455" s="1009"/>
      <c r="BY455" s="1009"/>
      <c r="BZ455" s="1009"/>
      <c r="CA455" s="1009"/>
      <c r="CB455" s="1009"/>
      <c r="CC455" s="1009"/>
      <c r="CD455" s="1009"/>
      <c r="CE455" s="1009"/>
      <c r="CF455" s="1009"/>
      <c r="CG455" s="1009"/>
      <c r="CH455" s="1009"/>
      <c r="CI455" s="1009"/>
      <c r="CJ455" s="1009"/>
      <c r="CK455" s="1009"/>
      <c r="CL455" s="1009"/>
      <c r="CM455" s="1009"/>
      <c r="CN455" s="1009"/>
      <c r="CO455" s="1009"/>
      <c r="CP455" s="1009"/>
      <c r="CQ455" s="1009"/>
      <c r="CR455" s="1009"/>
      <c r="CS455" s="1009"/>
      <c r="CT455" s="1009"/>
      <c r="CU455" s="1009"/>
      <c r="CV455" s="1009"/>
      <c r="CW455" s="1009"/>
      <c r="CX455" s="1009"/>
      <c r="CY455" s="1009"/>
      <c r="CZ455" s="1009"/>
      <c r="DA455" s="1009"/>
      <c r="DB455" s="1009"/>
      <c r="DC455" s="1009"/>
      <c r="DD455" s="1009"/>
      <c r="DE455" s="1009"/>
      <c r="DF455" s="1009"/>
      <c r="DG455" s="1009"/>
      <c r="DH455" s="1009"/>
      <c r="DI455" s="1009"/>
      <c r="DJ455" s="1009"/>
      <c r="DK455" s="1009"/>
      <c r="DL455" s="1009"/>
      <c r="DM455" s="1009"/>
      <c r="DN455" s="1009"/>
      <c r="DO455" s="1009"/>
      <c r="DP455" s="1009"/>
      <c r="DQ455" s="1009"/>
      <c r="DR455" s="1009"/>
      <c r="DS455" s="1009"/>
      <c r="DT455" s="1009"/>
      <c r="DU455" s="1009"/>
      <c r="DV455" s="1009"/>
      <c r="DW455" s="1009"/>
      <c r="DX455" s="1009"/>
      <c r="DY455" s="1009"/>
      <c r="DZ455" s="1009"/>
      <c r="EA455" s="1009"/>
      <c r="EB455" s="1009"/>
      <c r="EC455" s="1009"/>
      <c r="ED455" s="1009"/>
      <c r="EE455" s="1009"/>
      <c r="EF455" s="1009"/>
      <c r="EG455" s="1009"/>
      <c r="EH455" s="1009"/>
      <c r="EI455" s="1009"/>
      <c r="EJ455" s="1009"/>
      <c r="EK455" s="1009"/>
      <c r="EL455" s="1009"/>
      <c r="EM455" s="1009"/>
      <c r="EN455" s="1009"/>
      <c r="EO455" s="1009"/>
      <c r="EP455" s="1009"/>
      <c r="EQ455" s="1009"/>
      <c r="ER455" s="1009"/>
      <c r="ES455" s="1009"/>
      <c r="ET455" s="1009"/>
      <c r="EU455" s="1009"/>
      <c r="EV455" s="1009"/>
      <c r="EW455" s="1009"/>
      <c r="EX455" s="1009"/>
      <c r="EY455" s="1009"/>
      <c r="EZ455" s="1009"/>
      <c r="FA455" s="1009"/>
      <c r="FB455" s="1009"/>
      <c r="FC455" s="1009"/>
      <c r="FD455" s="1009"/>
      <c r="FE455" s="1009"/>
      <c r="FF455" s="1009"/>
      <c r="FG455" s="1009"/>
      <c r="FH455" s="1009"/>
      <c r="FI455" s="1009"/>
      <c r="FJ455" s="1009"/>
      <c r="FK455" s="1009"/>
      <c r="FL455" s="1009"/>
      <c r="FM455" s="1009"/>
      <c r="FN455" s="1009"/>
      <c r="FO455" s="1009"/>
      <c r="FP455" s="1009"/>
      <c r="FQ455" s="1009"/>
      <c r="FR455" s="1009"/>
      <c r="FS455" s="1009"/>
      <c r="FT455" s="1009"/>
      <c r="FU455" s="1009"/>
      <c r="FV455" s="1009"/>
      <c r="FW455" s="1009"/>
      <c r="FX455" s="1009"/>
      <c r="FY455" s="1009"/>
      <c r="FZ455" s="1009"/>
      <c r="GA455" s="1009"/>
      <c r="GB455" s="1009"/>
      <c r="GC455" s="1009"/>
      <c r="GD455" s="1009"/>
      <c r="GE455" s="1009"/>
      <c r="GF455" s="1009"/>
      <c r="GG455" s="1009"/>
      <c r="GH455" s="1009"/>
      <c r="GI455" s="1009"/>
      <c r="GJ455" s="1009"/>
      <c r="GK455" s="1009"/>
      <c r="GL455" s="1009"/>
      <c r="GM455" s="1009"/>
      <c r="GN455" s="1009"/>
      <c r="GO455" s="1009"/>
      <c r="GP455" s="1009"/>
      <c r="GQ455" s="1009"/>
      <c r="GR455" s="1009"/>
      <c r="GS455" s="1009"/>
      <c r="GT455" s="1009"/>
      <c r="GU455" s="1009"/>
      <c r="GV455" s="1009"/>
      <c r="GW455" s="1009"/>
      <c r="GX455" s="1009"/>
      <c r="GY455" s="1009"/>
      <c r="GZ455" s="1009"/>
      <c r="HA455" s="1009"/>
      <c r="HB455" s="1009"/>
      <c r="HC455" s="1009"/>
      <c r="HD455" s="1009"/>
      <c r="HE455" s="1009"/>
      <c r="HF455" s="1009"/>
      <c r="HG455" s="1009"/>
      <c r="HH455" s="1009"/>
      <c r="HI455" s="1009"/>
      <c r="HJ455" s="1009"/>
      <c r="HK455" s="1009"/>
      <c r="HL455" s="1009"/>
      <c r="HM455" s="1009"/>
      <c r="HN455" s="1009"/>
      <c r="HO455" s="1009"/>
      <c r="HP455" s="1009"/>
      <c r="HQ455" s="1009"/>
      <c r="HR455" s="1009"/>
      <c r="HS455" s="1009"/>
      <c r="HT455" s="1009"/>
      <c r="HU455" s="1009"/>
      <c r="HV455" s="1009"/>
      <c r="HW455" s="1009"/>
      <c r="HX455" s="1009"/>
      <c r="HY455" s="1009"/>
      <c r="HZ455" s="1009"/>
      <c r="IA455" s="1009"/>
      <c r="IB455" s="1009"/>
      <c r="IC455" s="1009"/>
      <c r="ID455" s="1009"/>
      <c r="IE455" s="1009"/>
      <c r="IF455" s="1009"/>
      <c r="IG455" s="1009"/>
      <c r="IH455" s="1009"/>
      <c r="II455" s="1009"/>
      <c r="IJ455" s="1009"/>
      <c r="IK455" s="1009"/>
      <c r="IL455" s="1009"/>
      <c r="IM455" s="1009"/>
      <c r="IN455" s="1009"/>
      <c r="IO455" s="1009"/>
      <c r="IP455" s="1009"/>
      <c r="IQ455" s="1009"/>
      <c r="IR455" s="1009"/>
      <c r="IS455" s="1009"/>
      <c r="IT455" s="1009"/>
      <c r="IU455" s="1009"/>
      <c r="IV455" s="1009"/>
      <c r="IW455" s="1009"/>
      <c r="IX455" s="1009"/>
      <c r="IY455" s="1009"/>
      <c r="IZ455" s="1009"/>
      <c r="JA455" s="1009"/>
      <c r="JB455" s="1009"/>
      <c r="JC455" s="1009"/>
      <c r="JD455" s="1009"/>
      <c r="JE455" s="1009"/>
      <c r="JF455" s="1009"/>
      <c r="JG455" s="1009"/>
      <c r="JH455" s="1009"/>
      <c r="JI455" s="1009"/>
      <c r="JJ455" s="1009"/>
      <c r="JK455" s="1009"/>
      <c r="JL455" s="1009"/>
      <c r="JM455" s="1009"/>
      <c r="JN455" s="1009"/>
      <c r="JO455" s="1009"/>
      <c r="JP455" s="1009"/>
      <c r="JQ455" s="1009"/>
      <c r="JR455" s="1009"/>
      <c r="JS455" s="1009"/>
      <c r="JT455" s="1009"/>
      <c r="JU455" s="1009"/>
      <c r="JV455" s="1009"/>
      <c r="JW455" s="1009"/>
      <c r="JX455" s="1009"/>
      <c r="JY455" s="1009"/>
      <c r="JZ455" s="1009"/>
      <c r="KA455" s="1009"/>
      <c r="KB455" s="1009"/>
      <c r="KC455" s="1009"/>
      <c r="KD455" s="1009"/>
      <c r="KE455" s="1009"/>
      <c r="KF455" s="1009"/>
      <c r="KG455" s="1009"/>
      <c r="KH455" s="1009"/>
      <c r="KI455" s="1009"/>
      <c r="KJ455" s="1009"/>
      <c r="KK455" s="1009"/>
      <c r="KL455" s="1009"/>
      <c r="KM455" s="1009"/>
      <c r="KN455" s="1009"/>
      <c r="KO455" s="1009"/>
      <c r="KP455" s="1009"/>
      <c r="KQ455" s="1009"/>
      <c r="KR455" s="1009"/>
      <c r="KS455" s="1009"/>
      <c r="KT455" s="1009"/>
      <c r="KU455" s="1009"/>
      <c r="KV455" s="1009"/>
      <c r="KW455" s="1009"/>
      <c r="KX455" s="1009"/>
      <c r="KY455" s="1009"/>
      <c r="KZ455" s="1009"/>
      <c r="LA455" s="1009"/>
      <c r="LB455" s="1009"/>
      <c r="LC455" s="1009"/>
      <c r="LD455" s="1009"/>
      <c r="LE455" s="1009"/>
      <c r="LF455" s="1009"/>
      <c r="LG455" s="1009"/>
      <c r="LH455" s="1009"/>
      <c r="LI455" s="1009"/>
      <c r="LJ455" s="1009"/>
      <c r="LK455" s="1009"/>
      <c r="LL455" s="1009"/>
      <c r="LM455" s="1009"/>
      <c r="LN455" s="1009"/>
      <c r="LO455" s="1009"/>
      <c r="LP455" s="1009"/>
      <c r="LQ455" s="1009"/>
      <c r="LR455" s="1009"/>
      <c r="LS455" s="1009"/>
      <c r="LT455" s="1009"/>
      <c r="LU455" s="1009"/>
      <c r="LV455" s="1009"/>
      <c r="LW455" s="1009"/>
      <c r="LX455" s="1009"/>
      <c r="LY455" s="1009"/>
      <c r="LZ455" s="1009"/>
      <c r="MA455" s="1009"/>
      <c r="MB455" s="1009"/>
      <c r="MC455" s="1009"/>
      <c r="MD455" s="1009"/>
      <c r="ME455" s="1009"/>
      <c r="MF455" s="1009"/>
      <c r="MG455" s="1009"/>
      <c r="MH455" s="1009"/>
      <c r="MI455" s="1009"/>
      <c r="MJ455" s="1009"/>
      <c r="MK455" s="1009"/>
      <c r="ML455" s="1009"/>
      <c r="MM455" s="1009"/>
      <c r="MN455" s="1009"/>
      <c r="MO455" s="1009"/>
      <c r="MP455" s="1009"/>
      <c r="MQ455" s="1009"/>
      <c r="MR455" s="1009"/>
      <c r="MS455" s="1009"/>
      <c r="MT455" s="1009"/>
      <c r="MU455" s="1009"/>
      <c r="MV455" s="1009"/>
      <c r="MW455" s="1009"/>
      <c r="MX455" s="1009"/>
      <c r="MY455" s="1009"/>
      <c r="MZ455" s="1009"/>
      <c r="NA455" s="1009"/>
      <c r="NB455" s="1009"/>
      <c r="NC455" s="1009"/>
      <c r="ND455" s="1009"/>
      <c r="NE455" s="1009"/>
      <c r="NF455" s="1009"/>
      <c r="NG455" s="1009"/>
      <c r="NH455" s="1009"/>
      <c r="NI455" s="1009"/>
      <c r="NJ455" s="1009"/>
      <c r="NK455" s="1009"/>
      <c r="NL455" s="1009"/>
      <c r="NM455" s="1009"/>
      <c r="NN455" s="1009"/>
      <c r="NO455" s="1009"/>
      <c r="NP455" s="1009"/>
      <c r="NQ455" s="1009"/>
      <c r="NR455" s="1009"/>
      <c r="NS455" s="1009"/>
      <c r="NT455" s="1009"/>
      <c r="NU455" s="1009"/>
      <c r="NV455" s="1009"/>
      <c r="NW455" s="1009"/>
      <c r="NX455" s="1009"/>
      <c r="NY455" s="1009"/>
      <c r="NZ455" s="1009"/>
      <c r="OA455" s="1009"/>
      <c r="OB455" s="1009"/>
      <c r="OC455" s="1009"/>
      <c r="OD455" s="1009"/>
      <c r="OE455" s="1009"/>
      <c r="OF455" s="1009"/>
      <c r="OG455" s="1009"/>
      <c r="OH455" s="1009"/>
      <c r="OI455" s="1009"/>
      <c r="OJ455" s="1009"/>
      <c r="OK455" s="1009"/>
      <c r="OL455" s="1009"/>
      <c r="OM455" s="1009"/>
      <c r="ON455" s="1009"/>
      <c r="OO455" s="1009"/>
      <c r="OP455" s="1009"/>
      <c r="OQ455" s="1009"/>
      <c r="OR455" s="1009"/>
      <c r="OS455" s="1009"/>
      <c r="OT455" s="1009"/>
      <c r="OU455" s="1009"/>
      <c r="OV455" s="1009"/>
      <c r="OW455" s="1009"/>
      <c r="OX455" s="1009"/>
      <c r="OY455" s="1009"/>
      <c r="OZ455" s="1009"/>
      <c r="PA455" s="1009"/>
      <c r="PB455" s="1009"/>
      <c r="PC455" s="1009"/>
      <c r="PD455" s="1009"/>
      <c r="PE455" s="1009"/>
      <c r="PF455" s="1009"/>
      <c r="PG455" s="1009"/>
      <c r="PH455" s="1009"/>
      <c r="PI455" s="1009"/>
      <c r="PJ455" s="1009"/>
      <c r="PK455" s="1009"/>
      <c r="PL455" s="1009"/>
      <c r="PM455" s="1009"/>
      <c r="PN455" s="1009"/>
      <c r="PO455" s="1009"/>
      <c r="PP455" s="1009"/>
      <c r="PQ455" s="1009"/>
      <c r="PR455" s="1009"/>
      <c r="PS455" s="1009"/>
      <c r="PT455" s="1009"/>
      <c r="PU455" s="1009"/>
      <c r="PV455" s="1009"/>
      <c r="PW455" s="1009"/>
      <c r="PX455" s="1009"/>
      <c r="PY455" s="1009"/>
      <c r="PZ455" s="1009"/>
      <c r="QA455" s="1009"/>
      <c r="QB455" s="1009"/>
      <c r="QC455" s="1009"/>
      <c r="QD455" s="1009"/>
      <c r="QE455" s="1009"/>
      <c r="QF455" s="1009"/>
      <c r="QG455" s="1009"/>
      <c r="QH455" s="1009"/>
      <c r="QI455" s="1009"/>
      <c r="QJ455" s="1009"/>
      <c r="QK455" s="1009"/>
      <c r="QL455" s="1009"/>
      <c r="QM455" s="1009"/>
      <c r="QN455" s="1009"/>
      <c r="QO455" s="1009"/>
      <c r="QP455" s="1009"/>
      <c r="QQ455" s="1009"/>
      <c r="QR455" s="1009"/>
      <c r="QS455" s="1009"/>
      <c r="QT455" s="1009"/>
      <c r="QU455" s="1009"/>
      <c r="QV455" s="1009"/>
      <c r="QW455" s="1009"/>
      <c r="QX455" s="1009"/>
      <c r="QY455" s="1009"/>
      <c r="QZ455" s="1009"/>
      <c r="RA455" s="1009"/>
      <c r="RB455" s="1009"/>
      <c r="RC455" s="1009"/>
      <c r="RD455" s="1009"/>
      <c r="RE455" s="1009"/>
      <c r="RF455" s="1009"/>
      <c r="RG455" s="1009"/>
      <c r="RH455" s="1009"/>
      <c r="RI455" s="1009"/>
      <c r="RJ455" s="1009"/>
      <c r="RK455" s="1009"/>
      <c r="RL455" s="1009"/>
      <c r="RM455" s="1009"/>
      <c r="RN455" s="1009"/>
      <c r="RO455" s="1009"/>
      <c r="RP455" s="1009"/>
      <c r="RQ455" s="1009"/>
      <c r="RR455" s="1009"/>
      <c r="RS455" s="1009"/>
      <c r="RT455" s="1009"/>
      <c r="RU455" s="1009"/>
      <c r="RV455" s="1009"/>
      <c r="RW455" s="1009"/>
      <c r="RX455" s="1009"/>
      <c r="RY455" s="1009"/>
      <c r="RZ455" s="1009"/>
      <c r="SA455" s="1009"/>
      <c r="SB455" s="1009"/>
      <c r="SC455" s="1009"/>
      <c r="SD455" s="1009"/>
      <c r="SE455" s="1009"/>
      <c r="SF455" s="1009"/>
      <c r="SG455" s="1009"/>
      <c r="SH455" s="1009"/>
      <c r="SI455" s="1009"/>
      <c r="SJ455" s="1009"/>
      <c r="SK455" s="1009"/>
      <c r="SL455" s="1009"/>
      <c r="SM455" s="1009"/>
      <c r="SN455" s="1009"/>
      <c r="SO455" s="1009"/>
      <c r="SP455" s="1009"/>
      <c r="SQ455" s="1009"/>
      <c r="SR455" s="1009"/>
      <c r="SS455" s="1009"/>
      <c r="ST455" s="1009"/>
      <c r="SU455" s="1009"/>
      <c r="SV455" s="1009"/>
      <c r="SW455" s="1009"/>
      <c r="SX455" s="1009"/>
      <c r="SY455" s="1009"/>
      <c r="SZ455" s="1009"/>
      <c r="TA455" s="1009"/>
      <c r="TB455" s="1009"/>
      <c r="TC455" s="1009"/>
      <c r="TD455" s="1009"/>
      <c r="TE455" s="1009"/>
      <c r="TF455" s="1009"/>
      <c r="TG455" s="1009"/>
      <c r="TH455" s="1009"/>
      <c r="TI455" s="1009"/>
      <c r="TJ455" s="1009"/>
      <c r="TK455" s="1009"/>
      <c r="TL455" s="1009"/>
      <c r="TM455" s="1009"/>
      <c r="TN455" s="1009"/>
      <c r="TO455" s="1009"/>
      <c r="TP455" s="1009"/>
      <c r="TQ455" s="1009"/>
      <c r="TR455" s="1009"/>
      <c r="TS455" s="1009"/>
      <c r="TT455" s="1009"/>
      <c r="TU455" s="1009"/>
      <c r="TV455" s="1009"/>
      <c r="TW455" s="1009"/>
      <c r="TX455" s="1009"/>
      <c r="TY455" s="1009"/>
      <c r="TZ455" s="1009"/>
      <c r="UA455" s="1009"/>
      <c r="UB455" s="1009"/>
      <c r="UC455" s="1009"/>
      <c r="UD455" s="1009"/>
      <c r="UE455" s="1009"/>
      <c r="UF455" s="1009"/>
      <c r="UG455" s="1009"/>
      <c r="UH455" s="1009"/>
      <c r="UI455" s="1009"/>
      <c r="UJ455" s="1009"/>
      <c r="UK455" s="1009"/>
      <c r="UL455" s="1009"/>
      <c r="UM455" s="1009"/>
      <c r="UN455" s="1009"/>
      <c r="UO455" s="1009"/>
      <c r="UP455" s="1009"/>
      <c r="UQ455" s="1009"/>
      <c r="UR455" s="1009"/>
      <c r="US455" s="1009"/>
      <c r="UT455" s="1009"/>
      <c r="UU455" s="1009"/>
      <c r="UV455" s="1009"/>
      <c r="UW455" s="1009"/>
      <c r="UX455" s="1009"/>
      <c r="UY455" s="1009"/>
      <c r="UZ455" s="1009"/>
      <c r="VA455" s="1009"/>
      <c r="VB455" s="1009"/>
      <c r="VC455" s="1009"/>
      <c r="VD455" s="1009"/>
      <c r="VE455" s="1009"/>
      <c r="VF455" s="1009"/>
      <c r="VG455" s="1009"/>
      <c r="VH455" s="1009"/>
      <c r="VI455" s="1009"/>
      <c r="VJ455" s="1009"/>
      <c r="VK455" s="1009"/>
      <c r="VL455" s="1009"/>
      <c r="VM455" s="1009"/>
      <c r="VN455" s="1009"/>
      <c r="VO455" s="1009"/>
      <c r="VP455" s="1009"/>
      <c r="VQ455" s="1009"/>
      <c r="VR455" s="1009"/>
      <c r="VS455" s="1009"/>
      <c r="VT455" s="1009"/>
      <c r="VU455" s="1009"/>
      <c r="VV455" s="1009"/>
      <c r="VW455" s="1009"/>
      <c r="VX455" s="1009"/>
      <c r="VY455" s="1009"/>
      <c r="VZ455" s="1009"/>
      <c r="WA455" s="1009"/>
      <c r="WB455" s="1009"/>
      <c r="WC455" s="1009"/>
      <c r="WD455" s="1009"/>
      <c r="WE455" s="1009"/>
      <c r="WF455" s="1009"/>
      <c r="WG455" s="1009"/>
      <c r="WH455" s="1009"/>
      <c r="WI455" s="1009"/>
      <c r="WJ455" s="1009"/>
      <c r="WK455" s="1009"/>
      <c r="WL455" s="1009"/>
      <c r="WM455" s="1009"/>
      <c r="WN455" s="1009"/>
      <c r="WO455" s="1009"/>
      <c r="WP455" s="1009"/>
      <c r="WQ455" s="1009"/>
      <c r="WR455" s="1009"/>
      <c r="WS455" s="1009"/>
      <c r="WT455" s="1009"/>
      <c r="WU455" s="1009"/>
      <c r="WV455" s="1009"/>
      <c r="WW455" s="1009"/>
      <c r="WX455" s="1009"/>
      <c r="WY455" s="1009"/>
      <c r="WZ455" s="1009"/>
      <c r="XA455" s="1009"/>
      <c r="XB455" s="1009"/>
      <c r="XC455" s="1009"/>
      <c r="XD455" s="1009"/>
      <c r="XE455" s="1009"/>
      <c r="XF455" s="1009"/>
      <c r="XG455" s="1009"/>
      <c r="XH455" s="1009"/>
      <c r="XI455" s="1009"/>
      <c r="XJ455" s="1009"/>
      <c r="XK455" s="1009"/>
      <c r="XL455" s="1009"/>
      <c r="XM455" s="1009"/>
      <c r="XN455" s="1009"/>
      <c r="XO455" s="1009"/>
      <c r="XP455" s="1009"/>
      <c r="XQ455" s="1009"/>
      <c r="XR455" s="1009"/>
      <c r="XS455" s="1009"/>
      <c r="XT455" s="1009"/>
      <c r="XU455" s="1009"/>
      <c r="XV455" s="1009"/>
      <c r="XW455" s="1009"/>
      <c r="XX455" s="1009"/>
      <c r="XY455" s="1009"/>
      <c r="XZ455" s="1009"/>
      <c r="YA455" s="1009"/>
      <c r="YB455" s="1009"/>
      <c r="YC455" s="1009"/>
      <c r="YD455" s="1009"/>
      <c r="YE455" s="1009"/>
      <c r="YF455" s="1009"/>
      <c r="YG455" s="1009"/>
      <c r="YH455" s="1009"/>
      <c r="YI455" s="1009"/>
      <c r="YJ455" s="1009"/>
      <c r="YK455" s="1009"/>
      <c r="YL455" s="1009"/>
      <c r="YM455" s="1009"/>
      <c r="YN455" s="1009"/>
      <c r="YO455" s="1009"/>
      <c r="YP455" s="1009"/>
      <c r="YQ455" s="1009"/>
      <c r="YR455" s="1009"/>
      <c r="YS455" s="1009"/>
      <c r="YT455" s="1009"/>
      <c r="YU455" s="1009"/>
      <c r="YV455" s="1009"/>
      <c r="YW455" s="1009"/>
      <c r="YX455" s="1009"/>
      <c r="YY455" s="1009"/>
      <c r="YZ455" s="1009"/>
      <c r="ZA455" s="1009"/>
      <c r="ZB455" s="1009"/>
      <c r="ZC455" s="1009"/>
      <c r="ZD455" s="1009"/>
      <c r="ZE455" s="1009"/>
      <c r="ZF455" s="1009"/>
      <c r="ZG455" s="1009"/>
      <c r="ZH455" s="1009"/>
      <c r="ZI455" s="1009"/>
      <c r="ZJ455" s="1009"/>
      <c r="ZK455" s="1009"/>
      <c r="ZL455" s="1009"/>
      <c r="ZM455" s="1009"/>
      <c r="ZN455" s="1009"/>
      <c r="ZO455" s="1009"/>
      <c r="ZP455" s="1009"/>
      <c r="ZQ455" s="1009"/>
      <c r="ZR455" s="1009"/>
      <c r="ZS455" s="1009"/>
      <c r="ZT455" s="1009"/>
      <c r="ZU455" s="1009"/>
      <c r="ZV455" s="1009"/>
      <c r="ZW455" s="1009"/>
      <c r="ZX455" s="1009"/>
      <c r="ZY455" s="1009"/>
      <c r="ZZ455" s="1009"/>
      <c r="AAA455" s="1009"/>
      <c r="AAB455" s="1009"/>
      <c r="AAC455" s="1009"/>
      <c r="AAD455" s="1009"/>
      <c r="AAE455" s="1009"/>
      <c r="AAF455" s="1009"/>
      <c r="AAG455" s="1009"/>
      <c r="AAH455" s="1009"/>
      <c r="AAI455" s="1009"/>
      <c r="AAJ455" s="1009"/>
      <c r="AAK455" s="1009"/>
      <c r="AAL455" s="1009"/>
      <c r="AAM455" s="1009"/>
      <c r="AAN455" s="1009"/>
      <c r="AAO455" s="1009"/>
      <c r="AAP455" s="1009"/>
      <c r="AAQ455" s="1009"/>
      <c r="AAR455" s="1009"/>
      <c r="AAS455" s="1009"/>
      <c r="AAT455" s="1009"/>
      <c r="AAU455" s="1009"/>
      <c r="AAV455" s="1009"/>
      <c r="AAW455" s="1009"/>
      <c r="AAX455" s="1009"/>
      <c r="AAY455" s="1009"/>
      <c r="AAZ455" s="1009"/>
      <c r="ABA455" s="1009"/>
      <c r="ABB455" s="1009"/>
      <c r="ABC455" s="1009"/>
      <c r="ABD455" s="1009"/>
      <c r="ABE455" s="1009"/>
      <c r="ABF455" s="1009"/>
      <c r="ABG455" s="1009"/>
      <c r="ABH455" s="1009"/>
      <c r="ABI455" s="1009"/>
      <c r="ABJ455" s="1009"/>
      <c r="ABK455" s="1009"/>
      <c r="ABL455" s="1009"/>
      <c r="ABM455" s="1009"/>
      <c r="ABN455" s="1009"/>
      <c r="ABO455" s="1009"/>
      <c r="ABP455" s="1009"/>
      <c r="ABQ455" s="1009"/>
    </row>
    <row r="456" spans="1:745" s="111" customFormat="1" ht="12.75" hidden="1" customHeight="1">
      <c r="A456" s="1270"/>
      <c r="B456" s="1666" t="s">
        <v>972</v>
      </c>
      <c r="C456" s="1667"/>
      <c r="D456" s="1667"/>
      <c r="E456" s="1668"/>
      <c r="F456" s="1669"/>
      <c r="G456" s="1668"/>
      <c r="H456" s="1670"/>
      <c r="I456" s="1656"/>
      <c r="J456" s="1656"/>
      <c r="K456" s="1656"/>
      <c r="L456" s="1656"/>
      <c r="M456" s="1676">
        <f>IF($T$428=12,C436*M57,0)</f>
        <v>0</v>
      </c>
      <c r="N456" s="1656"/>
      <c r="O456" s="1656"/>
      <c r="P456" s="1656"/>
      <c r="Q456" s="1656"/>
      <c r="R456" s="1656"/>
      <c r="S456" s="1656"/>
      <c r="T456" s="1656"/>
      <c r="U456" s="1656"/>
      <c r="V456" s="1656"/>
      <c r="W456" s="1656"/>
      <c r="X456" s="1656"/>
      <c r="Y456" s="1656">
        <f>IF($T$428=12,C436*Y58,0)</f>
        <v>0</v>
      </c>
      <c r="Z456" s="1656"/>
      <c r="AA456" s="1656"/>
      <c r="AB456" s="1656"/>
      <c r="AC456" s="1656"/>
      <c r="AD456" s="1656"/>
      <c r="AE456" s="1656"/>
      <c r="AF456" s="1656"/>
      <c r="AG456" s="336"/>
      <c r="AH456" s="1044"/>
      <c r="AI456" s="1048"/>
      <c r="AJ456" s="1046"/>
      <c r="AK456" s="1009"/>
      <c r="AL456" s="1026"/>
      <c r="AM456" s="1025"/>
      <c r="AN456" s="1026"/>
      <c r="AO456" s="1009"/>
      <c r="AP456" s="1009"/>
      <c r="AQ456" s="1009"/>
      <c r="AR456" s="1009"/>
      <c r="AS456" s="1009"/>
      <c r="AT456" s="1009"/>
      <c r="AU456" s="1009"/>
      <c r="AV456" s="1009"/>
      <c r="AW456" s="1009"/>
      <c r="AX456" s="1009"/>
      <c r="AY456" s="1009"/>
      <c r="AZ456" s="1009"/>
      <c r="BA456" s="1009"/>
      <c r="BB456" s="1009"/>
      <c r="BC456" s="1009"/>
      <c r="BD456" s="1009"/>
      <c r="BE456" s="1009"/>
      <c r="BF456" s="1009"/>
      <c r="BG456" s="1009"/>
      <c r="BH456" s="1009"/>
      <c r="BI456" s="1009"/>
      <c r="BJ456" s="1009"/>
      <c r="BK456" s="1009"/>
      <c r="BL456" s="1009"/>
      <c r="BM456" s="1009"/>
      <c r="BN456" s="1009"/>
      <c r="BO456" s="1009"/>
      <c r="BP456" s="1009"/>
      <c r="BQ456" s="1009"/>
      <c r="BR456" s="1009"/>
      <c r="BS456" s="1009"/>
      <c r="BT456" s="1009"/>
      <c r="BU456" s="1009"/>
      <c r="BV456" s="1009"/>
      <c r="BW456" s="1009"/>
      <c r="BX456" s="1009"/>
      <c r="BY456" s="1009"/>
      <c r="BZ456" s="1009"/>
      <c r="CA456" s="1009"/>
      <c r="CB456" s="1009"/>
      <c r="CC456" s="1009"/>
      <c r="CD456" s="1009"/>
      <c r="CE456" s="1009"/>
      <c r="CF456" s="1009"/>
      <c r="CG456" s="1009"/>
      <c r="CH456" s="1009"/>
      <c r="CI456" s="1009"/>
      <c r="CJ456" s="1009"/>
      <c r="CK456" s="1009"/>
      <c r="CL456" s="1009"/>
      <c r="CM456" s="1009"/>
      <c r="CN456" s="1009"/>
      <c r="CO456" s="1009"/>
      <c r="CP456" s="1009"/>
      <c r="CQ456" s="1009"/>
      <c r="CR456" s="1009"/>
      <c r="CS456" s="1009"/>
      <c r="CT456" s="1009"/>
      <c r="CU456" s="1009"/>
      <c r="CV456" s="1009"/>
      <c r="CW456" s="1009"/>
      <c r="CX456" s="1009"/>
      <c r="CY456" s="1009"/>
      <c r="CZ456" s="1009"/>
      <c r="DA456" s="1009"/>
      <c r="DB456" s="1009"/>
      <c r="DC456" s="1009"/>
      <c r="DD456" s="1009"/>
      <c r="DE456" s="1009"/>
      <c r="DF456" s="1009"/>
      <c r="DG456" s="1009"/>
      <c r="DH456" s="1009"/>
      <c r="DI456" s="1009"/>
      <c r="DJ456" s="1009"/>
      <c r="DK456" s="1009"/>
      <c r="DL456" s="1009"/>
      <c r="DM456" s="1009"/>
      <c r="DN456" s="1009"/>
      <c r="DO456" s="1009"/>
      <c r="DP456" s="1009"/>
      <c r="DQ456" s="1009"/>
      <c r="DR456" s="1009"/>
      <c r="DS456" s="1009"/>
      <c r="DT456" s="1009"/>
      <c r="DU456" s="1009"/>
      <c r="DV456" s="1009"/>
      <c r="DW456" s="1009"/>
      <c r="DX456" s="1009"/>
      <c r="DY456" s="1009"/>
      <c r="DZ456" s="1009"/>
      <c r="EA456" s="1009"/>
      <c r="EB456" s="1009"/>
      <c r="EC456" s="1009"/>
      <c r="ED456" s="1009"/>
      <c r="EE456" s="1009"/>
      <c r="EF456" s="1009"/>
      <c r="EG456" s="1009"/>
      <c r="EH456" s="1009"/>
      <c r="EI456" s="1009"/>
      <c r="EJ456" s="1009"/>
      <c r="EK456" s="1009"/>
      <c r="EL456" s="1009"/>
      <c r="EM456" s="1009"/>
      <c r="EN456" s="1009"/>
      <c r="EO456" s="1009"/>
      <c r="EP456" s="1009"/>
      <c r="EQ456" s="1009"/>
      <c r="ER456" s="1009"/>
      <c r="ES456" s="1009"/>
      <c r="ET456" s="1009"/>
      <c r="EU456" s="1009"/>
      <c r="EV456" s="1009"/>
      <c r="EW456" s="1009"/>
      <c r="EX456" s="1009"/>
      <c r="EY456" s="1009"/>
      <c r="EZ456" s="1009"/>
      <c r="FA456" s="1009"/>
      <c r="FB456" s="1009"/>
      <c r="FC456" s="1009"/>
      <c r="FD456" s="1009"/>
      <c r="FE456" s="1009"/>
      <c r="FF456" s="1009"/>
      <c r="FG456" s="1009"/>
      <c r="FH456" s="1009"/>
      <c r="FI456" s="1009"/>
      <c r="FJ456" s="1009"/>
      <c r="FK456" s="1009"/>
      <c r="FL456" s="1009"/>
      <c r="FM456" s="1009"/>
      <c r="FN456" s="1009"/>
      <c r="FO456" s="1009"/>
      <c r="FP456" s="1009"/>
      <c r="FQ456" s="1009"/>
      <c r="FR456" s="1009"/>
      <c r="FS456" s="1009"/>
      <c r="FT456" s="1009"/>
      <c r="FU456" s="1009"/>
      <c r="FV456" s="1009"/>
      <c r="FW456" s="1009"/>
      <c r="FX456" s="1009"/>
      <c r="FY456" s="1009"/>
      <c r="FZ456" s="1009"/>
      <c r="GA456" s="1009"/>
      <c r="GB456" s="1009"/>
      <c r="GC456" s="1009"/>
      <c r="GD456" s="1009"/>
      <c r="GE456" s="1009"/>
      <c r="GF456" s="1009"/>
      <c r="GG456" s="1009"/>
      <c r="GH456" s="1009"/>
      <c r="GI456" s="1009"/>
      <c r="GJ456" s="1009"/>
      <c r="GK456" s="1009"/>
      <c r="GL456" s="1009"/>
      <c r="GM456" s="1009"/>
      <c r="GN456" s="1009"/>
      <c r="GO456" s="1009"/>
      <c r="GP456" s="1009"/>
      <c r="GQ456" s="1009"/>
      <c r="GR456" s="1009"/>
      <c r="GS456" s="1009"/>
      <c r="GT456" s="1009"/>
      <c r="GU456" s="1009"/>
      <c r="GV456" s="1009"/>
      <c r="GW456" s="1009"/>
      <c r="GX456" s="1009"/>
      <c r="GY456" s="1009"/>
      <c r="GZ456" s="1009"/>
      <c r="HA456" s="1009"/>
      <c r="HB456" s="1009"/>
      <c r="HC456" s="1009"/>
      <c r="HD456" s="1009"/>
      <c r="HE456" s="1009"/>
      <c r="HF456" s="1009"/>
      <c r="HG456" s="1009"/>
      <c r="HH456" s="1009"/>
      <c r="HI456" s="1009"/>
      <c r="HJ456" s="1009"/>
      <c r="HK456" s="1009"/>
      <c r="HL456" s="1009"/>
      <c r="HM456" s="1009"/>
      <c r="HN456" s="1009"/>
      <c r="HO456" s="1009"/>
      <c r="HP456" s="1009"/>
      <c r="HQ456" s="1009"/>
      <c r="HR456" s="1009"/>
      <c r="HS456" s="1009"/>
      <c r="HT456" s="1009"/>
      <c r="HU456" s="1009"/>
      <c r="HV456" s="1009"/>
      <c r="HW456" s="1009"/>
      <c r="HX456" s="1009"/>
      <c r="HY456" s="1009"/>
      <c r="HZ456" s="1009"/>
      <c r="IA456" s="1009"/>
      <c r="IB456" s="1009"/>
      <c r="IC456" s="1009"/>
      <c r="ID456" s="1009"/>
      <c r="IE456" s="1009"/>
      <c r="IF456" s="1009"/>
      <c r="IG456" s="1009"/>
      <c r="IH456" s="1009"/>
      <c r="II456" s="1009"/>
      <c r="IJ456" s="1009"/>
      <c r="IK456" s="1009"/>
      <c r="IL456" s="1009"/>
      <c r="IM456" s="1009"/>
      <c r="IN456" s="1009"/>
      <c r="IO456" s="1009"/>
      <c r="IP456" s="1009"/>
      <c r="IQ456" s="1009"/>
      <c r="IR456" s="1009"/>
      <c r="IS456" s="1009"/>
      <c r="IT456" s="1009"/>
      <c r="IU456" s="1009"/>
      <c r="IV456" s="1009"/>
      <c r="IW456" s="1009"/>
      <c r="IX456" s="1009"/>
      <c r="IY456" s="1009"/>
      <c r="IZ456" s="1009"/>
      <c r="JA456" s="1009"/>
      <c r="JB456" s="1009"/>
      <c r="JC456" s="1009"/>
      <c r="JD456" s="1009"/>
      <c r="JE456" s="1009"/>
      <c r="JF456" s="1009"/>
      <c r="JG456" s="1009"/>
      <c r="JH456" s="1009"/>
      <c r="JI456" s="1009"/>
      <c r="JJ456" s="1009"/>
      <c r="JK456" s="1009"/>
      <c r="JL456" s="1009"/>
      <c r="JM456" s="1009"/>
      <c r="JN456" s="1009"/>
      <c r="JO456" s="1009"/>
      <c r="JP456" s="1009"/>
      <c r="JQ456" s="1009"/>
      <c r="JR456" s="1009"/>
      <c r="JS456" s="1009"/>
      <c r="JT456" s="1009"/>
      <c r="JU456" s="1009"/>
      <c r="JV456" s="1009"/>
      <c r="JW456" s="1009"/>
      <c r="JX456" s="1009"/>
      <c r="JY456" s="1009"/>
      <c r="JZ456" s="1009"/>
      <c r="KA456" s="1009"/>
      <c r="KB456" s="1009"/>
      <c r="KC456" s="1009"/>
      <c r="KD456" s="1009"/>
      <c r="KE456" s="1009"/>
      <c r="KF456" s="1009"/>
      <c r="KG456" s="1009"/>
      <c r="KH456" s="1009"/>
      <c r="KI456" s="1009"/>
      <c r="KJ456" s="1009"/>
      <c r="KK456" s="1009"/>
      <c r="KL456" s="1009"/>
      <c r="KM456" s="1009"/>
      <c r="KN456" s="1009"/>
      <c r="KO456" s="1009"/>
      <c r="KP456" s="1009"/>
      <c r="KQ456" s="1009"/>
      <c r="KR456" s="1009"/>
      <c r="KS456" s="1009"/>
      <c r="KT456" s="1009"/>
      <c r="KU456" s="1009"/>
      <c r="KV456" s="1009"/>
      <c r="KW456" s="1009"/>
      <c r="KX456" s="1009"/>
      <c r="KY456" s="1009"/>
      <c r="KZ456" s="1009"/>
      <c r="LA456" s="1009"/>
      <c r="LB456" s="1009"/>
      <c r="LC456" s="1009"/>
      <c r="LD456" s="1009"/>
      <c r="LE456" s="1009"/>
      <c r="LF456" s="1009"/>
      <c r="LG456" s="1009"/>
      <c r="LH456" s="1009"/>
      <c r="LI456" s="1009"/>
      <c r="LJ456" s="1009"/>
      <c r="LK456" s="1009"/>
      <c r="LL456" s="1009"/>
      <c r="LM456" s="1009"/>
      <c r="LN456" s="1009"/>
      <c r="LO456" s="1009"/>
      <c r="LP456" s="1009"/>
      <c r="LQ456" s="1009"/>
      <c r="LR456" s="1009"/>
      <c r="LS456" s="1009"/>
      <c r="LT456" s="1009"/>
      <c r="LU456" s="1009"/>
      <c r="LV456" s="1009"/>
      <c r="LW456" s="1009"/>
      <c r="LX456" s="1009"/>
      <c r="LY456" s="1009"/>
      <c r="LZ456" s="1009"/>
      <c r="MA456" s="1009"/>
      <c r="MB456" s="1009"/>
      <c r="MC456" s="1009"/>
      <c r="MD456" s="1009"/>
      <c r="ME456" s="1009"/>
      <c r="MF456" s="1009"/>
      <c r="MG456" s="1009"/>
      <c r="MH456" s="1009"/>
      <c r="MI456" s="1009"/>
      <c r="MJ456" s="1009"/>
      <c r="MK456" s="1009"/>
      <c r="ML456" s="1009"/>
      <c r="MM456" s="1009"/>
      <c r="MN456" s="1009"/>
      <c r="MO456" s="1009"/>
      <c r="MP456" s="1009"/>
      <c r="MQ456" s="1009"/>
      <c r="MR456" s="1009"/>
      <c r="MS456" s="1009"/>
      <c r="MT456" s="1009"/>
      <c r="MU456" s="1009"/>
      <c r="MV456" s="1009"/>
      <c r="MW456" s="1009"/>
      <c r="MX456" s="1009"/>
      <c r="MY456" s="1009"/>
      <c r="MZ456" s="1009"/>
      <c r="NA456" s="1009"/>
      <c r="NB456" s="1009"/>
      <c r="NC456" s="1009"/>
      <c r="ND456" s="1009"/>
      <c r="NE456" s="1009"/>
      <c r="NF456" s="1009"/>
      <c r="NG456" s="1009"/>
      <c r="NH456" s="1009"/>
      <c r="NI456" s="1009"/>
      <c r="NJ456" s="1009"/>
      <c r="NK456" s="1009"/>
      <c r="NL456" s="1009"/>
      <c r="NM456" s="1009"/>
      <c r="NN456" s="1009"/>
      <c r="NO456" s="1009"/>
      <c r="NP456" s="1009"/>
      <c r="NQ456" s="1009"/>
      <c r="NR456" s="1009"/>
      <c r="NS456" s="1009"/>
      <c r="NT456" s="1009"/>
      <c r="NU456" s="1009"/>
      <c r="NV456" s="1009"/>
      <c r="NW456" s="1009"/>
      <c r="NX456" s="1009"/>
      <c r="NY456" s="1009"/>
      <c r="NZ456" s="1009"/>
      <c r="OA456" s="1009"/>
      <c r="OB456" s="1009"/>
      <c r="OC456" s="1009"/>
      <c r="OD456" s="1009"/>
      <c r="OE456" s="1009"/>
      <c r="OF456" s="1009"/>
      <c r="OG456" s="1009"/>
      <c r="OH456" s="1009"/>
      <c r="OI456" s="1009"/>
      <c r="OJ456" s="1009"/>
      <c r="OK456" s="1009"/>
      <c r="OL456" s="1009"/>
      <c r="OM456" s="1009"/>
      <c r="ON456" s="1009"/>
      <c r="OO456" s="1009"/>
      <c r="OP456" s="1009"/>
      <c r="OQ456" s="1009"/>
      <c r="OR456" s="1009"/>
      <c r="OS456" s="1009"/>
      <c r="OT456" s="1009"/>
      <c r="OU456" s="1009"/>
      <c r="OV456" s="1009"/>
      <c r="OW456" s="1009"/>
      <c r="OX456" s="1009"/>
      <c r="OY456" s="1009"/>
      <c r="OZ456" s="1009"/>
      <c r="PA456" s="1009"/>
      <c r="PB456" s="1009"/>
      <c r="PC456" s="1009"/>
      <c r="PD456" s="1009"/>
      <c r="PE456" s="1009"/>
      <c r="PF456" s="1009"/>
      <c r="PG456" s="1009"/>
      <c r="PH456" s="1009"/>
      <c r="PI456" s="1009"/>
      <c r="PJ456" s="1009"/>
      <c r="PK456" s="1009"/>
      <c r="PL456" s="1009"/>
      <c r="PM456" s="1009"/>
      <c r="PN456" s="1009"/>
      <c r="PO456" s="1009"/>
      <c r="PP456" s="1009"/>
      <c r="PQ456" s="1009"/>
      <c r="PR456" s="1009"/>
      <c r="PS456" s="1009"/>
      <c r="PT456" s="1009"/>
      <c r="PU456" s="1009"/>
      <c r="PV456" s="1009"/>
      <c r="PW456" s="1009"/>
      <c r="PX456" s="1009"/>
      <c r="PY456" s="1009"/>
      <c r="PZ456" s="1009"/>
      <c r="QA456" s="1009"/>
      <c r="QB456" s="1009"/>
      <c r="QC456" s="1009"/>
      <c r="QD456" s="1009"/>
      <c r="QE456" s="1009"/>
      <c r="QF456" s="1009"/>
      <c r="QG456" s="1009"/>
      <c r="QH456" s="1009"/>
      <c r="QI456" s="1009"/>
      <c r="QJ456" s="1009"/>
      <c r="QK456" s="1009"/>
      <c r="QL456" s="1009"/>
      <c r="QM456" s="1009"/>
      <c r="QN456" s="1009"/>
      <c r="QO456" s="1009"/>
      <c r="QP456" s="1009"/>
      <c r="QQ456" s="1009"/>
      <c r="QR456" s="1009"/>
      <c r="QS456" s="1009"/>
      <c r="QT456" s="1009"/>
      <c r="QU456" s="1009"/>
      <c r="QV456" s="1009"/>
      <c r="QW456" s="1009"/>
      <c r="QX456" s="1009"/>
      <c r="QY456" s="1009"/>
      <c r="QZ456" s="1009"/>
      <c r="RA456" s="1009"/>
      <c r="RB456" s="1009"/>
      <c r="RC456" s="1009"/>
      <c r="RD456" s="1009"/>
      <c r="RE456" s="1009"/>
      <c r="RF456" s="1009"/>
      <c r="RG456" s="1009"/>
      <c r="RH456" s="1009"/>
      <c r="RI456" s="1009"/>
      <c r="RJ456" s="1009"/>
      <c r="RK456" s="1009"/>
      <c r="RL456" s="1009"/>
      <c r="RM456" s="1009"/>
      <c r="RN456" s="1009"/>
      <c r="RO456" s="1009"/>
      <c r="RP456" s="1009"/>
      <c r="RQ456" s="1009"/>
      <c r="RR456" s="1009"/>
      <c r="RS456" s="1009"/>
      <c r="RT456" s="1009"/>
      <c r="RU456" s="1009"/>
      <c r="RV456" s="1009"/>
      <c r="RW456" s="1009"/>
      <c r="RX456" s="1009"/>
      <c r="RY456" s="1009"/>
      <c r="RZ456" s="1009"/>
      <c r="SA456" s="1009"/>
      <c r="SB456" s="1009"/>
      <c r="SC456" s="1009"/>
      <c r="SD456" s="1009"/>
      <c r="SE456" s="1009"/>
      <c r="SF456" s="1009"/>
      <c r="SG456" s="1009"/>
      <c r="SH456" s="1009"/>
      <c r="SI456" s="1009"/>
      <c r="SJ456" s="1009"/>
      <c r="SK456" s="1009"/>
      <c r="SL456" s="1009"/>
      <c r="SM456" s="1009"/>
      <c r="SN456" s="1009"/>
      <c r="SO456" s="1009"/>
      <c r="SP456" s="1009"/>
      <c r="SQ456" s="1009"/>
      <c r="SR456" s="1009"/>
      <c r="SS456" s="1009"/>
      <c r="ST456" s="1009"/>
      <c r="SU456" s="1009"/>
      <c r="SV456" s="1009"/>
      <c r="SW456" s="1009"/>
      <c r="SX456" s="1009"/>
      <c r="SY456" s="1009"/>
      <c r="SZ456" s="1009"/>
      <c r="TA456" s="1009"/>
      <c r="TB456" s="1009"/>
      <c r="TC456" s="1009"/>
      <c r="TD456" s="1009"/>
      <c r="TE456" s="1009"/>
      <c r="TF456" s="1009"/>
      <c r="TG456" s="1009"/>
      <c r="TH456" s="1009"/>
      <c r="TI456" s="1009"/>
      <c r="TJ456" s="1009"/>
      <c r="TK456" s="1009"/>
      <c r="TL456" s="1009"/>
      <c r="TM456" s="1009"/>
      <c r="TN456" s="1009"/>
      <c r="TO456" s="1009"/>
      <c r="TP456" s="1009"/>
      <c r="TQ456" s="1009"/>
      <c r="TR456" s="1009"/>
      <c r="TS456" s="1009"/>
      <c r="TT456" s="1009"/>
      <c r="TU456" s="1009"/>
      <c r="TV456" s="1009"/>
      <c r="TW456" s="1009"/>
      <c r="TX456" s="1009"/>
      <c r="TY456" s="1009"/>
      <c r="TZ456" s="1009"/>
      <c r="UA456" s="1009"/>
      <c r="UB456" s="1009"/>
      <c r="UC456" s="1009"/>
      <c r="UD456" s="1009"/>
      <c r="UE456" s="1009"/>
      <c r="UF456" s="1009"/>
      <c r="UG456" s="1009"/>
      <c r="UH456" s="1009"/>
      <c r="UI456" s="1009"/>
      <c r="UJ456" s="1009"/>
      <c r="UK456" s="1009"/>
      <c r="UL456" s="1009"/>
      <c r="UM456" s="1009"/>
      <c r="UN456" s="1009"/>
      <c r="UO456" s="1009"/>
      <c r="UP456" s="1009"/>
      <c r="UQ456" s="1009"/>
      <c r="UR456" s="1009"/>
      <c r="US456" s="1009"/>
      <c r="UT456" s="1009"/>
      <c r="UU456" s="1009"/>
      <c r="UV456" s="1009"/>
      <c r="UW456" s="1009"/>
      <c r="UX456" s="1009"/>
      <c r="UY456" s="1009"/>
      <c r="UZ456" s="1009"/>
      <c r="VA456" s="1009"/>
      <c r="VB456" s="1009"/>
      <c r="VC456" s="1009"/>
      <c r="VD456" s="1009"/>
      <c r="VE456" s="1009"/>
      <c r="VF456" s="1009"/>
      <c r="VG456" s="1009"/>
      <c r="VH456" s="1009"/>
      <c r="VI456" s="1009"/>
      <c r="VJ456" s="1009"/>
      <c r="VK456" s="1009"/>
      <c r="VL456" s="1009"/>
      <c r="VM456" s="1009"/>
      <c r="VN456" s="1009"/>
      <c r="VO456" s="1009"/>
      <c r="VP456" s="1009"/>
      <c r="VQ456" s="1009"/>
      <c r="VR456" s="1009"/>
      <c r="VS456" s="1009"/>
      <c r="VT456" s="1009"/>
      <c r="VU456" s="1009"/>
      <c r="VV456" s="1009"/>
      <c r="VW456" s="1009"/>
      <c r="VX456" s="1009"/>
      <c r="VY456" s="1009"/>
      <c r="VZ456" s="1009"/>
      <c r="WA456" s="1009"/>
      <c r="WB456" s="1009"/>
      <c r="WC456" s="1009"/>
      <c r="WD456" s="1009"/>
      <c r="WE456" s="1009"/>
      <c r="WF456" s="1009"/>
      <c r="WG456" s="1009"/>
      <c r="WH456" s="1009"/>
      <c r="WI456" s="1009"/>
      <c r="WJ456" s="1009"/>
      <c r="WK456" s="1009"/>
      <c r="WL456" s="1009"/>
      <c r="WM456" s="1009"/>
      <c r="WN456" s="1009"/>
      <c r="WO456" s="1009"/>
      <c r="WP456" s="1009"/>
      <c r="WQ456" s="1009"/>
      <c r="WR456" s="1009"/>
      <c r="WS456" s="1009"/>
      <c r="WT456" s="1009"/>
      <c r="WU456" s="1009"/>
      <c r="WV456" s="1009"/>
      <c r="WW456" s="1009"/>
      <c r="WX456" s="1009"/>
      <c r="WY456" s="1009"/>
      <c r="WZ456" s="1009"/>
      <c r="XA456" s="1009"/>
      <c r="XB456" s="1009"/>
      <c r="XC456" s="1009"/>
      <c r="XD456" s="1009"/>
      <c r="XE456" s="1009"/>
      <c r="XF456" s="1009"/>
      <c r="XG456" s="1009"/>
      <c r="XH456" s="1009"/>
      <c r="XI456" s="1009"/>
      <c r="XJ456" s="1009"/>
      <c r="XK456" s="1009"/>
      <c r="XL456" s="1009"/>
      <c r="XM456" s="1009"/>
      <c r="XN456" s="1009"/>
      <c r="XO456" s="1009"/>
      <c r="XP456" s="1009"/>
      <c r="XQ456" s="1009"/>
      <c r="XR456" s="1009"/>
      <c r="XS456" s="1009"/>
      <c r="XT456" s="1009"/>
      <c r="XU456" s="1009"/>
      <c r="XV456" s="1009"/>
      <c r="XW456" s="1009"/>
      <c r="XX456" s="1009"/>
      <c r="XY456" s="1009"/>
      <c r="XZ456" s="1009"/>
      <c r="YA456" s="1009"/>
      <c r="YB456" s="1009"/>
      <c r="YC456" s="1009"/>
      <c r="YD456" s="1009"/>
      <c r="YE456" s="1009"/>
      <c r="YF456" s="1009"/>
      <c r="YG456" s="1009"/>
      <c r="YH456" s="1009"/>
      <c r="YI456" s="1009"/>
      <c r="YJ456" s="1009"/>
      <c r="YK456" s="1009"/>
      <c r="YL456" s="1009"/>
      <c r="YM456" s="1009"/>
      <c r="YN456" s="1009"/>
      <c r="YO456" s="1009"/>
      <c r="YP456" s="1009"/>
      <c r="YQ456" s="1009"/>
      <c r="YR456" s="1009"/>
      <c r="YS456" s="1009"/>
      <c r="YT456" s="1009"/>
      <c r="YU456" s="1009"/>
      <c r="YV456" s="1009"/>
      <c r="YW456" s="1009"/>
      <c r="YX456" s="1009"/>
      <c r="YY456" s="1009"/>
      <c r="YZ456" s="1009"/>
      <c r="ZA456" s="1009"/>
      <c r="ZB456" s="1009"/>
      <c r="ZC456" s="1009"/>
      <c r="ZD456" s="1009"/>
      <c r="ZE456" s="1009"/>
      <c r="ZF456" s="1009"/>
      <c r="ZG456" s="1009"/>
      <c r="ZH456" s="1009"/>
      <c r="ZI456" s="1009"/>
      <c r="ZJ456" s="1009"/>
      <c r="ZK456" s="1009"/>
      <c r="ZL456" s="1009"/>
      <c r="ZM456" s="1009"/>
      <c r="ZN456" s="1009"/>
      <c r="ZO456" s="1009"/>
      <c r="ZP456" s="1009"/>
      <c r="ZQ456" s="1009"/>
      <c r="ZR456" s="1009"/>
      <c r="ZS456" s="1009"/>
      <c r="ZT456" s="1009"/>
      <c r="ZU456" s="1009"/>
      <c r="ZV456" s="1009"/>
      <c r="ZW456" s="1009"/>
      <c r="ZX456" s="1009"/>
      <c r="ZY456" s="1009"/>
      <c r="ZZ456" s="1009"/>
      <c r="AAA456" s="1009"/>
      <c r="AAB456" s="1009"/>
      <c r="AAC456" s="1009"/>
      <c r="AAD456" s="1009"/>
      <c r="AAE456" s="1009"/>
      <c r="AAF456" s="1009"/>
      <c r="AAG456" s="1009"/>
      <c r="AAH456" s="1009"/>
      <c r="AAI456" s="1009"/>
      <c r="AAJ456" s="1009"/>
      <c r="AAK456" s="1009"/>
      <c r="AAL456" s="1009"/>
      <c r="AAM456" s="1009"/>
      <c r="AAN456" s="1009"/>
      <c r="AAO456" s="1009"/>
      <c r="AAP456" s="1009"/>
      <c r="AAQ456" s="1009"/>
      <c r="AAR456" s="1009"/>
      <c r="AAS456" s="1009"/>
      <c r="AAT456" s="1009"/>
      <c r="AAU456" s="1009"/>
      <c r="AAV456" s="1009"/>
      <c r="AAW456" s="1009"/>
      <c r="AAX456" s="1009"/>
      <c r="AAY456" s="1009"/>
      <c r="AAZ456" s="1009"/>
      <c r="ABA456" s="1009"/>
      <c r="ABB456" s="1009"/>
      <c r="ABC456" s="1009"/>
      <c r="ABD456" s="1009"/>
      <c r="ABE456" s="1009"/>
      <c r="ABF456" s="1009"/>
      <c r="ABG456" s="1009"/>
      <c r="ABH456" s="1009"/>
      <c r="ABI456" s="1009"/>
      <c r="ABJ456" s="1009"/>
      <c r="ABK456" s="1009"/>
      <c r="ABL456" s="1009"/>
      <c r="ABM456" s="1009"/>
      <c r="ABN456" s="1009"/>
      <c r="ABO456" s="1009"/>
      <c r="ABP456" s="1009"/>
      <c r="ABQ456" s="1009"/>
    </row>
    <row r="457" spans="1:745" s="111" customFormat="1" ht="12.75" hidden="1" customHeight="1">
      <c r="A457" s="1270"/>
      <c r="B457" s="1661" t="s">
        <v>979</v>
      </c>
      <c r="C457" s="1662"/>
      <c r="D457" s="1662"/>
      <c r="E457" s="1663"/>
      <c r="F457" s="1664"/>
      <c r="G457" s="1663"/>
      <c r="H457" s="1665"/>
      <c r="I457" s="1656">
        <f>IF(OR($C$61=2,$C$61=3),0,IF($C$61=1,$I$448/2))</f>
        <v>0</v>
      </c>
      <c r="J457" s="1656">
        <f t="shared" ref="J457:AF457" si="148">IF(OR($C$61=2,$C$61=3),0,IF($C$61=1,IF(I57=1,I448/2,IF(I57=0,J448/2,0))))</f>
        <v>0</v>
      </c>
      <c r="K457" s="1656">
        <f t="shared" si="148"/>
        <v>0</v>
      </c>
      <c r="L457" s="1656">
        <f t="shared" si="148"/>
        <v>0</v>
      </c>
      <c r="M457" s="1656">
        <f t="shared" si="148"/>
        <v>0</v>
      </c>
      <c r="N457" s="1656">
        <f t="shared" si="148"/>
        <v>0</v>
      </c>
      <c r="O457" s="1656">
        <f t="shared" si="148"/>
        <v>0</v>
      </c>
      <c r="P457" s="1656">
        <f t="shared" si="148"/>
        <v>0</v>
      </c>
      <c r="Q457" s="1656">
        <f t="shared" si="148"/>
        <v>0</v>
      </c>
      <c r="R457" s="1656">
        <f t="shared" si="148"/>
        <v>0</v>
      </c>
      <c r="S457" s="1656">
        <f t="shared" si="148"/>
        <v>0</v>
      </c>
      <c r="T457" s="1656">
        <f t="shared" si="148"/>
        <v>0</v>
      </c>
      <c r="U457" s="1656">
        <f t="shared" si="148"/>
        <v>0</v>
      </c>
      <c r="V457" s="1656">
        <f t="shared" si="148"/>
        <v>0</v>
      </c>
      <c r="W457" s="1656">
        <f t="shared" si="148"/>
        <v>0</v>
      </c>
      <c r="X457" s="1656">
        <f t="shared" si="148"/>
        <v>0</v>
      </c>
      <c r="Y457" s="1656">
        <f t="shared" si="148"/>
        <v>0</v>
      </c>
      <c r="Z457" s="1656">
        <f t="shared" si="148"/>
        <v>0</v>
      </c>
      <c r="AA457" s="1656">
        <f t="shared" si="148"/>
        <v>0</v>
      </c>
      <c r="AB457" s="1656">
        <f t="shared" si="148"/>
        <v>0</v>
      </c>
      <c r="AC457" s="1656">
        <f t="shared" si="148"/>
        <v>0</v>
      </c>
      <c r="AD457" s="1656">
        <f t="shared" si="148"/>
        <v>0</v>
      </c>
      <c r="AE457" s="1656">
        <f t="shared" si="148"/>
        <v>0</v>
      </c>
      <c r="AF457" s="1656">
        <f t="shared" si="148"/>
        <v>0</v>
      </c>
      <c r="AG457" s="336"/>
      <c r="AH457" s="1044"/>
      <c r="AI457" s="1048"/>
      <c r="AJ457" s="1046"/>
      <c r="AK457" s="1009"/>
      <c r="AL457" s="1026"/>
      <c r="AM457" s="1025"/>
      <c r="AN457" s="1026"/>
      <c r="AO457" s="1009"/>
      <c r="AP457" s="1009"/>
      <c r="AQ457" s="1009"/>
      <c r="AR457" s="1009"/>
      <c r="AS457" s="1009"/>
      <c r="AT457" s="1009"/>
      <c r="AU457" s="1009"/>
      <c r="AV457" s="1009"/>
      <c r="AW457" s="1009"/>
      <c r="AX457" s="1009"/>
      <c r="AY457" s="1009"/>
      <c r="AZ457" s="1009"/>
      <c r="BA457" s="1009"/>
      <c r="BB457" s="1009"/>
      <c r="BC457" s="1009"/>
      <c r="BD457" s="1009"/>
      <c r="BE457" s="1009"/>
      <c r="BF457" s="1009"/>
      <c r="BG457" s="1009"/>
      <c r="BH457" s="1009"/>
      <c r="BI457" s="1009"/>
      <c r="BJ457" s="1009"/>
      <c r="BK457" s="1009"/>
      <c r="BL457" s="1009"/>
      <c r="BM457" s="1009"/>
      <c r="BN457" s="1009"/>
      <c r="BO457" s="1009"/>
      <c r="BP457" s="1009"/>
      <c r="BQ457" s="1009"/>
      <c r="BR457" s="1009"/>
      <c r="BS457" s="1009"/>
      <c r="BT457" s="1009"/>
      <c r="BU457" s="1009"/>
      <c r="BV457" s="1009"/>
      <c r="BW457" s="1009"/>
      <c r="BX457" s="1009"/>
      <c r="BY457" s="1009"/>
      <c r="BZ457" s="1009"/>
      <c r="CA457" s="1009"/>
      <c r="CB457" s="1009"/>
      <c r="CC457" s="1009"/>
      <c r="CD457" s="1009"/>
      <c r="CE457" s="1009"/>
      <c r="CF457" s="1009"/>
      <c r="CG457" s="1009"/>
      <c r="CH457" s="1009"/>
      <c r="CI457" s="1009"/>
      <c r="CJ457" s="1009"/>
      <c r="CK457" s="1009"/>
      <c r="CL457" s="1009"/>
      <c r="CM457" s="1009"/>
      <c r="CN457" s="1009"/>
      <c r="CO457" s="1009"/>
      <c r="CP457" s="1009"/>
      <c r="CQ457" s="1009"/>
      <c r="CR457" s="1009"/>
      <c r="CS457" s="1009"/>
      <c r="CT457" s="1009"/>
      <c r="CU457" s="1009"/>
      <c r="CV457" s="1009"/>
      <c r="CW457" s="1009"/>
      <c r="CX457" s="1009"/>
      <c r="CY457" s="1009"/>
      <c r="CZ457" s="1009"/>
      <c r="DA457" s="1009"/>
      <c r="DB457" s="1009"/>
      <c r="DC457" s="1009"/>
      <c r="DD457" s="1009"/>
      <c r="DE457" s="1009"/>
      <c r="DF457" s="1009"/>
      <c r="DG457" s="1009"/>
      <c r="DH457" s="1009"/>
      <c r="DI457" s="1009"/>
      <c r="DJ457" s="1009"/>
      <c r="DK457" s="1009"/>
      <c r="DL457" s="1009"/>
      <c r="DM457" s="1009"/>
      <c r="DN457" s="1009"/>
      <c r="DO457" s="1009"/>
      <c r="DP457" s="1009"/>
      <c r="DQ457" s="1009"/>
      <c r="DR457" s="1009"/>
      <c r="DS457" s="1009"/>
      <c r="DT457" s="1009"/>
      <c r="DU457" s="1009"/>
      <c r="DV457" s="1009"/>
      <c r="DW457" s="1009"/>
      <c r="DX457" s="1009"/>
      <c r="DY457" s="1009"/>
      <c r="DZ457" s="1009"/>
      <c r="EA457" s="1009"/>
      <c r="EB457" s="1009"/>
      <c r="EC457" s="1009"/>
      <c r="ED457" s="1009"/>
      <c r="EE457" s="1009"/>
      <c r="EF457" s="1009"/>
      <c r="EG457" s="1009"/>
      <c r="EH457" s="1009"/>
      <c r="EI457" s="1009"/>
      <c r="EJ457" s="1009"/>
      <c r="EK457" s="1009"/>
      <c r="EL457" s="1009"/>
      <c r="EM457" s="1009"/>
      <c r="EN457" s="1009"/>
      <c r="EO457" s="1009"/>
      <c r="EP457" s="1009"/>
      <c r="EQ457" s="1009"/>
      <c r="ER457" s="1009"/>
      <c r="ES457" s="1009"/>
      <c r="ET457" s="1009"/>
      <c r="EU457" s="1009"/>
      <c r="EV457" s="1009"/>
      <c r="EW457" s="1009"/>
      <c r="EX457" s="1009"/>
      <c r="EY457" s="1009"/>
      <c r="EZ457" s="1009"/>
      <c r="FA457" s="1009"/>
      <c r="FB457" s="1009"/>
      <c r="FC457" s="1009"/>
      <c r="FD457" s="1009"/>
      <c r="FE457" s="1009"/>
      <c r="FF457" s="1009"/>
      <c r="FG457" s="1009"/>
      <c r="FH457" s="1009"/>
      <c r="FI457" s="1009"/>
      <c r="FJ457" s="1009"/>
      <c r="FK457" s="1009"/>
      <c r="FL457" s="1009"/>
      <c r="FM457" s="1009"/>
      <c r="FN457" s="1009"/>
      <c r="FO457" s="1009"/>
      <c r="FP457" s="1009"/>
      <c r="FQ457" s="1009"/>
      <c r="FR457" s="1009"/>
      <c r="FS457" s="1009"/>
      <c r="FT457" s="1009"/>
      <c r="FU457" s="1009"/>
      <c r="FV457" s="1009"/>
      <c r="FW457" s="1009"/>
      <c r="FX457" s="1009"/>
      <c r="FY457" s="1009"/>
      <c r="FZ457" s="1009"/>
      <c r="GA457" s="1009"/>
      <c r="GB457" s="1009"/>
      <c r="GC457" s="1009"/>
      <c r="GD457" s="1009"/>
      <c r="GE457" s="1009"/>
      <c r="GF457" s="1009"/>
      <c r="GG457" s="1009"/>
      <c r="GH457" s="1009"/>
      <c r="GI457" s="1009"/>
      <c r="GJ457" s="1009"/>
      <c r="GK457" s="1009"/>
      <c r="GL457" s="1009"/>
      <c r="GM457" s="1009"/>
      <c r="GN457" s="1009"/>
      <c r="GO457" s="1009"/>
      <c r="GP457" s="1009"/>
      <c r="GQ457" s="1009"/>
      <c r="GR457" s="1009"/>
      <c r="GS457" s="1009"/>
      <c r="GT457" s="1009"/>
      <c r="GU457" s="1009"/>
      <c r="GV457" s="1009"/>
      <c r="GW457" s="1009"/>
      <c r="GX457" s="1009"/>
      <c r="GY457" s="1009"/>
      <c r="GZ457" s="1009"/>
      <c r="HA457" s="1009"/>
      <c r="HB457" s="1009"/>
      <c r="HC457" s="1009"/>
      <c r="HD457" s="1009"/>
      <c r="HE457" s="1009"/>
      <c r="HF457" s="1009"/>
      <c r="HG457" s="1009"/>
      <c r="HH457" s="1009"/>
      <c r="HI457" s="1009"/>
      <c r="HJ457" s="1009"/>
      <c r="HK457" s="1009"/>
      <c r="HL457" s="1009"/>
      <c r="HM457" s="1009"/>
      <c r="HN457" s="1009"/>
      <c r="HO457" s="1009"/>
      <c r="HP457" s="1009"/>
      <c r="HQ457" s="1009"/>
      <c r="HR457" s="1009"/>
      <c r="HS457" s="1009"/>
      <c r="HT457" s="1009"/>
      <c r="HU457" s="1009"/>
      <c r="HV457" s="1009"/>
      <c r="HW457" s="1009"/>
      <c r="HX457" s="1009"/>
      <c r="HY457" s="1009"/>
      <c r="HZ457" s="1009"/>
      <c r="IA457" s="1009"/>
      <c r="IB457" s="1009"/>
      <c r="IC457" s="1009"/>
      <c r="ID457" s="1009"/>
      <c r="IE457" s="1009"/>
      <c r="IF457" s="1009"/>
      <c r="IG457" s="1009"/>
      <c r="IH457" s="1009"/>
      <c r="II457" s="1009"/>
      <c r="IJ457" s="1009"/>
      <c r="IK457" s="1009"/>
      <c r="IL457" s="1009"/>
      <c r="IM457" s="1009"/>
      <c r="IN457" s="1009"/>
      <c r="IO457" s="1009"/>
      <c r="IP457" s="1009"/>
      <c r="IQ457" s="1009"/>
      <c r="IR457" s="1009"/>
      <c r="IS457" s="1009"/>
      <c r="IT457" s="1009"/>
      <c r="IU457" s="1009"/>
      <c r="IV457" s="1009"/>
      <c r="IW457" s="1009"/>
      <c r="IX457" s="1009"/>
      <c r="IY457" s="1009"/>
      <c r="IZ457" s="1009"/>
      <c r="JA457" s="1009"/>
      <c r="JB457" s="1009"/>
      <c r="JC457" s="1009"/>
      <c r="JD457" s="1009"/>
      <c r="JE457" s="1009"/>
      <c r="JF457" s="1009"/>
      <c r="JG457" s="1009"/>
      <c r="JH457" s="1009"/>
      <c r="JI457" s="1009"/>
      <c r="JJ457" s="1009"/>
      <c r="JK457" s="1009"/>
      <c r="JL457" s="1009"/>
      <c r="JM457" s="1009"/>
      <c r="JN457" s="1009"/>
      <c r="JO457" s="1009"/>
      <c r="JP457" s="1009"/>
      <c r="JQ457" s="1009"/>
      <c r="JR457" s="1009"/>
      <c r="JS457" s="1009"/>
      <c r="JT457" s="1009"/>
      <c r="JU457" s="1009"/>
      <c r="JV457" s="1009"/>
      <c r="JW457" s="1009"/>
      <c r="JX457" s="1009"/>
      <c r="JY457" s="1009"/>
      <c r="JZ457" s="1009"/>
      <c r="KA457" s="1009"/>
      <c r="KB457" s="1009"/>
      <c r="KC457" s="1009"/>
      <c r="KD457" s="1009"/>
      <c r="KE457" s="1009"/>
      <c r="KF457" s="1009"/>
      <c r="KG457" s="1009"/>
      <c r="KH457" s="1009"/>
      <c r="KI457" s="1009"/>
      <c r="KJ457" s="1009"/>
      <c r="KK457" s="1009"/>
      <c r="KL457" s="1009"/>
      <c r="KM457" s="1009"/>
      <c r="KN457" s="1009"/>
      <c r="KO457" s="1009"/>
      <c r="KP457" s="1009"/>
      <c r="KQ457" s="1009"/>
      <c r="KR457" s="1009"/>
      <c r="KS457" s="1009"/>
      <c r="KT457" s="1009"/>
      <c r="KU457" s="1009"/>
      <c r="KV457" s="1009"/>
      <c r="KW457" s="1009"/>
      <c r="KX457" s="1009"/>
      <c r="KY457" s="1009"/>
      <c r="KZ457" s="1009"/>
      <c r="LA457" s="1009"/>
      <c r="LB457" s="1009"/>
      <c r="LC457" s="1009"/>
      <c r="LD457" s="1009"/>
      <c r="LE457" s="1009"/>
      <c r="LF457" s="1009"/>
      <c r="LG457" s="1009"/>
      <c r="LH457" s="1009"/>
      <c r="LI457" s="1009"/>
      <c r="LJ457" s="1009"/>
      <c r="LK457" s="1009"/>
      <c r="LL457" s="1009"/>
      <c r="LM457" s="1009"/>
      <c r="LN457" s="1009"/>
      <c r="LO457" s="1009"/>
      <c r="LP457" s="1009"/>
      <c r="LQ457" s="1009"/>
      <c r="LR457" s="1009"/>
      <c r="LS457" s="1009"/>
      <c r="LT457" s="1009"/>
      <c r="LU457" s="1009"/>
      <c r="LV457" s="1009"/>
      <c r="LW457" s="1009"/>
      <c r="LX457" s="1009"/>
      <c r="LY457" s="1009"/>
      <c r="LZ457" s="1009"/>
      <c r="MA457" s="1009"/>
      <c r="MB457" s="1009"/>
      <c r="MC457" s="1009"/>
      <c r="MD457" s="1009"/>
      <c r="ME457" s="1009"/>
      <c r="MF457" s="1009"/>
      <c r="MG457" s="1009"/>
      <c r="MH457" s="1009"/>
      <c r="MI457" s="1009"/>
      <c r="MJ457" s="1009"/>
      <c r="MK457" s="1009"/>
      <c r="ML457" s="1009"/>
      <c r="MM457" s="1009"/>
      <c r="MN457" s="1009"/>
      <c r="MO457" s="1009"/>
      <c r="MP457" s="1009"/>
      <c r="MQ457" s="1009"/>
      <c r="MR457" s="1009"/>
      <c r="MS457" s="1009"/>
      <c r="MT457" s="1009"/>
      <c r="MU457" s="1009"/>
      <c r="MV457" s="1009"/>
      <c r="MW457" s="1009"/>
      <c r="MX457" s="1009"/>
      <c r="MY457" s="1009"/>
      <c r="MZ457" s="1009"/>
      <c r="NA457" s="1009"/>
      <c r="NB457" s="1009"/>
      <c r="NC457" s="1009"/>
      <c r="ND457" s="1009"/>
      <c r="NE457" s="1009"/>
      <c r="NF457" s="1009"/>
      <c r="NG457" s="1009"/>
      <c r="NH457" s="1009"/>
      <c r="NI457" s="1009"/>
      <c r="NJ457" s="1009"/>
      <c r="NK457" s="1009"/>
      <c r="NL457" s="1009"/>
      <c r="NM457" s="1009"/>
      <c r="NN457" s="1009"/>
      <c r="NO457" s="1009"/>
      <c r="NP457" s="1009"/>
      <c r="NQ457" s="1009"/>
      <c r="NR457" s="1009"/>
      <c r="NS457" s="1009"/>
      <c r="NT457" s="1009"/>
      <c r="NU457" s="1009"/>
      <c r="NV457" s="1009"/>
      <c r="NW457" s="1009"/>
      <c r="NX457" s="1009"/>
      <c r="NY457" s="1009"/>
      <c r="NZ457" s="1009"/>
      <c r="OA457" s="1009"/>
      <c r="OB457" s="1009"/>
      <c r="OC457" s="1009"/>
      <c r="OD457" s="1009"/>
      <c r="OE457" s="1009"/>
      <c r="OF457" s="1009"/>
      <c r="OG457" s="1009"/>
      <c r="OH457" s="1009"/>
      <c r="OI457" s="1009"/>
      <c r="OJ457" s="1009"/>
      <c r="OK457" s="1009"/>
      <c r="OL457" s="1009"/>
      <c r="OM457" s="1009"/>
      <c r="ON457" s="1009"/>
      <c r="OO457" s="1009"/>
      <c r="OP457" s="1009"/>
      <c r="OQ457" s="1009"/>
      <c r="OR457" s="1009"/>
      <c r="OS457" s="1009"/>
      <c r="OT457" s="1009"/>
      <c r="OU457" s="1009"/>
      <c r="OV457" s="1009"/>
      <c r="OW457" s="1009"/>
      <c r="OX457" s="1009"/>
      <c r="OY457" s="1009"/>
      <c r="OZ457" s="1009"/>
      <c r="PA457" s="1009"/>
      <c r="PB457" s="1009"/>
      <c r="PC457" s="1009"/>
      <c r="PD457" s="1009"/>
      <c r="PE457" s="1009"/>
      <c r="PF457" s="1009"/>
      <c r="PG457" s="1009"/>
      <c r="PH457" s="1009"/>
      <c r="PI457" s="1009"/>
      <c r="PJ457" s="1009"/>
      <c r="PK457" s="1009"/>
      <c r="PL457" s="1009"/>
      <c r="PM457" s="1009"/>
      <c r="PN457" s="1009"/>
      <c r="PO457" s="1009"/>
      <c r="PP457" s="1009"/>
      <c r="PQ457" s="1009"/>
      <c r="PR457" s="1009"/>
      <c r="PS457" s="1009"/>
      <c r="PT457" s="1009"/>
      <c r="PU457" s="1009"/>
      <c r="PV457" s="1009"/>
      <c r="PW457" s="1009"/>
      <c r="PX457" s="1009"/>
      <c r="PY457" s="1009"/>
      <c r="PZ457" s="1009"/>
      <c r="QA457" s="1009"/>
      <c r="QB457" s="1009"/>
      <c r="QC457" s="1009"/>
      <c r="QD457" s="1009"/>
      <c r="QE457" s="1009"/>
      <c r="QF457" s="1009"/>
      <c r="QG457" s="1009"/>
      <c r="QH457" s="1009"/>
      <c r="QI457" s="1009"/>
      <c r="QJ457" s="1009"/>
      <c r="QK457" s="1009"/>
      <c r="QL457" s="1009"/>
      <c r="QM457" s="1009"/>
      <c r="QN457" s="1009"/>
      <c r="QO457" s="1009"/>
      <c r="QP457" s="1009"/>
      <c r="QQ457" s="1009"/>
      <c r="QR457" s="1009"/>
      <c r="QS457" s="1009"/>
      <c r="QT457" s="1009"/>
      <c r="QU457" s="1009"/>
      <c r="QV457" s="1009"/>
      <c r="QW457" s="1009"/>
      <c r="QX457" s="1009"/>
      <c r="QY457" s="1009"/>
      <c r="QZ457" s="1009"/>
      <c r="RA457" s="1009"/>
      <c r="RB457" s="1009"/>
      <c r="RC457" s="1009"/>
      <c r="RD457" s="1009"/>
      <c r="RE457" s="1009"/>
      <c r="RF457" s="1009"/>
      <c r="RG457" s="1009"/>
      <c r="RH457" s="1009"/>
      <c r="RI457" s="1009"/>
      <c r="RJ457" s="1009"/>
      <c r="RK457" s="1009"/>
      <c r="RL457" s="1009"/>
      <c r="RM457" s="1009"/>
      <c r="RN457" s="1009"/>
      <c r="RO457" s="1009"/>
      <c r="RP457" s="1009"/>
      <c r="RQ457" s="1009"/>
      <c r="RR457" s="1009"/>
      <c r="RS457" s="1009"/>
      <c r="RT457" s="1009"/>
      <c r="RU457" s="1009"/>
      <c r="RV457" s="1009"/>
      <c r="RW457" s="1009"/>
      <c r="RX457" s="1009"/>
      <c r="RY457" s="1009"/>
      <c r="RZ457" s="1009"/>
      <c r="SA457" s="1009"/>
      <c r="SB457" s="1009"/>
      <c r="SC457" s="1009"/>
      <c r="SD457" s="1009"/>
      <c r="SE457" s="1009"/>
      <c r="SF457" s="1009"/>
      <c r="SG457" s="1009"/>
      <c r="SH457" s="1009"/>
      <c r="SI457" s="1009"/>
      <c r="SJ457" s="1009"/>
      <c r="SK457" s="1009"/>
      <c r="SL457" s="1009"/>
      <c r="SM457" s="1009"/>
      <c r="SN457" s="1009"/>
      <c r="SO457" s="1009"/>
      <c r="SP457" s="1009"/>
      <c r="SQ457" s="1009"/>
      <c r="SR457" s="1009"/>
      <c r="SS457" s="1009"/>
      <c r="ST457" s="1009"/>
      <c r="SU457" s="1009"/>
      <c r="SV457" s="1009"/>
      <c r="SW457" s="1009"/>
      <c r="SX457" s="1009"/>
      <c r="SY457" s="1009"/>
      <c r="SZ457" s="1009"/>
      <c r="TA457" s="1009"/>
      <c r="TB457" s="1009"/>
      <c r="TC457" s="1009"/>
      <c r="TD457" s="1009"/>
      <c r="TE457" s="1009"/>
      <c r="TF457" s="1009"/>
      <c r="TG457" s="1009"/>
      <c r="TH457" s="1009"/>
      <c r="TI457" s="1009"/>
      <c r="TJ457" s="1009"/>
      <c r="TK457" s="1009"/>
      <c r="TL457" s="1009"/>
      <c r="TM457" s="1009"/>
      <c r="TN457" s="1009"/>
      <c r="TO457" s="1009"/>
      <c r="TP457" s="1009"/>
      <c r="TQ457" s="1009"/>
      <c r="TR457" s="1009"/>
      <c r="TS457" s="1009"/>
      <c r="TT457" s="1009"/>
      <c r="TU457" s="1009"/>
      <c r="TV457" s="1009"/>
      <c r="TW457" s="1009"/>
      <c r="TX457" s="1009"/>
      <c r="TY457" s="1009"/>
      <c r="TZ457" s="1009"/>
      <c r="UA457" s="1009"/>
      <c r="UB457" s="1009"/>
      <c r="UC457" s="1009"/>
      <c r="UD457" s="1009"/>
      <c r="UE457" s="1009"/>
      <c r="UF457" s="1009"/>
      <c r="UG457" s="1009"/>
      <c r="UH457" s="1009"/>
      <c r="UI457" s="1009"/>
      <c r="UJ457" s="1009"/>
      <c r="UK457" s="1009"/>
      <c r="UL457" s="1009"/>
      <c r="UM457" s="1009"/>
      <c r="UN457" s="1009"/>
      <c r="UO457" s="1009"/>
      <c r="UP457" s="1009"/>
      <c r="UQ457" s="1009"/>
      <c r="UR457" s="1009"/>
      <c r="US457" s="1009"/>
      <c r="UT457" s="1009"/>
      <c r="UU457" s="1009"/>
      <c r="UV457" s="1009"/>
      <c r="UW457" s="1009"/>
      <c r="UX457" s="1009"/>
      <c r="UY457" s="1009"/>
      <c r="UZ457" s="1009"/>
      <c r="VA457" s="1009"/>
      <c r="VB457" s="1009"/>
      <c r="VC457" s="1009"/>
      <c r="VD457" s="1009"/>
      <c r="VE457" s="1009"/>
      <c r="VF457" s="1009"/>
      <c r="VG457" s="1009"/>
      <c r="VH457" s="1009"/>
      <c r="VI457" s="1009"/>
      <c r="VJ457" s="1009"/>
      <c r="VK457" s="1009"/>
      <c r="VL457" s="1009"/>
      <c r="VM457" s="1009"/>
      <c r="VN457" s="1009"/>
      <c r="VO457" s="1009"/>
      <c r="VP457" s="1009"/>
      <c r="VQ457" s="1009"/>
      <c r="VR457" s="1009"/>
      <c r="VS457" s="1009"/>
      <c r="VT457" s="1009"/>
      <c r="VU457" s="1009"/>
      <c r="VV457" s="1009"/>
      <c r="VW457" s="1009"/>
      <c r="VX457" s="1009"/>
      <c r="VY457" s="1009"/>
      <c r="VZ457" s="1009"/>
      <c r="WA457" s="1009"/>
      <c r="WB457" s="1009"/>
      <c r="WC457" s="1009"/>
      <c r="WD457" s="1009"/>
      <c r="WE457" s="1009"/>
      <c r="WF457" s="1009"/>
      <c r="WG457" s="1009"/>
      <c r="WH457" s="1009"/>
      <c r="WI457" s="1009"/>
      <c r="WJ457" s="1009"/>
      <c r="WK457" s="1009"/>
      <c r="WL457" s="1009"/>
      <c r="WM457" s="1009"/>
      <c r="WN457" s="1009"/>
      <c r="WO457" s="1009"/>
      <c r="WP457" s="1009"/>
      <c r="WQ457" s="1009"/>
      <c r="WR457" s="1009"/>
      <c r="WS457" s="1009"/>
      <c r="WT457" s="1009"/>
      <c r="WU457" s="1009"/>
      <c r="WV457" s="1009"/>
      <c r="WW457" s="1009"/>
      <c r="WX457" s="1009"/>
      <c r="WY457" s="1009"/>
      <c r="WZ457" s="1009"/>
      <c r="XA457" s="1009"/>
      <c r="XB457" s="1009"/>
      <c r="XC457" s="1009"/>
      <c r="XD457" s="1009"/>
      <c r="XE457" s="1009"/>
      <c r="XF457" s="1009"/>
      <c r="XG457" s="1009"/>
      <c r="XH457" s="1009"/>
      <c r="XI457" s="1009"/>
      <c r="XJ457" s="1009"/>
      <c r="XK457" s="1009"/>
      <c r="XL457" s="1009"/>
      <c r="XM457" s="1009"/>
      <c r="XN457" s="1009"/>
      <c r="XO457" s="1009"/>
      <c r="XP457" s="1009"/>
      <c r="XQ457" s="1009"/>
      <c r="XR457" s="1009"/>
      <c r="XS457" s="1009"/>
      <c r="XT457" s="1009"/>
      <c r="XU457" s="1009"/>
      <c r="XV457" s="1009"/>
      <c r="XW457" s="1009"/>
      <c r="XX457" s="1009"/>
      <c r="XY457" s="1009"/>
      <c r="XZ457" s="1009"/>
      <c r="YA457" s="1009"/>
      <c r="YB457" s="1009"/>
      <c r="YC457" s="1009"/>
      <c r="YD457" s="1009"/>
      <c r="YE457" s="1009"/>
      <c r="YF457" s="1009"/>
      <c r="YG457" s="1009"/>
      <c r="YH457" s="1009"/>
      <c r="YI457" s="1009"/>
      <c r="YJ457" s="1009"/>
      <c r="YK457" s="1009"/>
      <c r="YL457" s="1009"/>
      <c r="YM457" s="1009"/>
      <c r="YN457" s="1009"/>
      <c r="YO457" s="1009"/>
      <c r="YP457" s="1009"/>
      <c r="YQ457" s="1009"/>
      <c r="YR457" s="1009"/>
      <c r="YS457" s="1009"/>
      <c r="YT457" s="1009"/>
      <c r="YU457" s="1009"/>
      <c r="YV457" s="1009"/>
      <c r="YW457" s="1009"/>
      <c r="YX457" s="1009"/>
      <c r="YY457" s="1009"/>
      <c r="YZ457" s="1009"/>
      <c r="ZA457" s="1009"/>
      <c r="ZB457" s="1009"/>
      <c r="ZC457" s="1009"/>
      <c r="ZD457" s="1009"/>
      <c r="ZE457" s="1009"/>
      <c r="ZF457" s="1009"/>
      <c r="ZG457" s="1009"/>
      <c r="ZH457" s="1009"/>
      <c r="ZI457" s="1009"/>
      <c r="ZJ457" s="1009"/>
      <c r="ZK457" s="1009"/>
      <c r="ZL457" s="1009"/>
      <c r="ZM457" s="1009"/>
      <c r="ZN457" s="1009"/>
      <c r="ZO457" s="1009"/>
      <c r="ZP457" s="1009"/>
      <c r="ZQ457" s="1009"/>
      <c r="ZR457" s="1009"/>
      <c r="ZS457" s="1009"/>
      <c r="ZT457" s="1009"/>
      <c r="ZU457" s="1009"/>
      <c r="ZV457" s="1009"/>
      <c r="ZW457" s="1009"/>
      <c r="ZX457" s="1009"/>
      <c r="ZY457" s="1009"/>
      <c r="ZZ457" s="1009"/>
      <c r="AAA457" s="1009"/>
      <c r="AAB457" s="1009"/>
      <c r="AAC457" s="1009"/>
      <c r="AAD457" s="1009"/>
      <c r="AAE457" s="1009"/>
      <c r="AAF457" s="1009"/>
      <c r="AAG457" s="1009"/>
      <c r="AAH457" s="1009"/>
      <c r="AAI457" s="1009"/>
      <c r="AAJ457" s="1009"/>
      <c r="AAK457" s="1009"/>
      <c r="AAL457" s="1009"/>
      <c r="AAM457" s="1009"/>
      <c r="AAN457" s="1009"/>
      <c r="AAO457" s="1009"/>
      <c r="AAP457" s="1009"/>
      <c r="AAQ457" s="1009"/>
      <c r="AAR457" s="1009"/>
      <c r="AAS457" s="1009"/>
      <c r="AAT457" s="1009"/>
      <c r="AAU457" s="1009"/>
      <c r="AAV457" s="1009"/>
      <c r="AAW457" s="1009"/>
      <c r="AAX457" s="1009"/>
      <c r="AAY457" s="1009"/>
      <c r="AAZ457" s="1009"/>
      <c r="ABA457" s="1009"/>
      <c r="ABB457" s="1009"/>
      <c r="ABC457" s="1009"/>
      <c r="ABD457" s="1009"/>
      <c r="ABE457" s="1009"/>
      <c r="ABF457" s="1009"/>
      <c r="ABG457" s="1009"/>
      <c r="ABH457" s="1009"/>
      <c r="ABI457" s="1009"/>
      <c r="ABJ457" s="1009"/>
      <c r="ABK457" s="1009"/>
      <c r="ABL457" s="1009"/>
      <c r="ABM457" s="1009"/>
      <c r="ABN457" s="1009"/>
      <c r="ABO457" s="1009"/>
      <c r="ABP457" s="1009"/>
      <c r="ABQ457" s="1009"/>
    </row>
    <row r="458" spans="1:745" s="111" customFormat="1" ht="12.75" hidden="1" customHeight="1">
      <c r="A458" s="1270"/>
      <c r="B458" s="1652" t="s">
        <v>980</v>
      </c>
      <c r="C458" s="1653"/>
      <c r="D458" s="1653"/>
      <c r="E458" s="1654"/>
      <c r="F458" s="1655"/>
      <c r="G458" s="1654"/>
      <c r="H458" s="1659">
        <v>3</v>
      </c>
      <c r="I458" s="1674"/>
      <c r="J458" s="1674">
        <f>C448/2*J57</f>
        <v>0</v>
      </c>
      <c r="K458" s="1674"/>
      <c r="L458" s="1674"/>
      <c r="M458" s="1674">
        <f>SUMIF(I57:M57,1,I448:M448)/2</f>
        <v>0</v>
      </c>
      <c r="N458" s="1674"/>
      <c r="O458" s="1674"/>
      <c r="P458" s="1674">
        <f>SUMIF(K57:P57,1,K448:P448)/2</f>
        <v>0</v>
      </c>
      <c r="Q458" s="1674"/>
      <c r="R458" s="1674"/>
      <c r="S458" s="1674">
        <f>SUMIF(N57:S57,1,N448:S448)/2</f>
        <v>0</v>
      </c>
      <c r="T458" s="1674"/>
      <c r="U458" s="1674"/>
      <c r="V458" s="1674">
        <f>SUMIF(Q57:V57,1,Q448:V448)/2</f>
        <v>0</v>
      </c>
      <c r="W458" s="1674"/>
      <c r="X458" s="1674"/>
      <c r="Y458" s="1674">
        <f>SUMIF(T57:Y57,1,T448:Y448)/2</f>
        <v>0</v>
      </c>
      <c r="Z458" s="1656"/>
      <c r="AA458" s="1656"/>
      <c r="AB458" s="1656"/>
      <c r="AC458" s="1656"/>
      <c r="AD458" s="1656"/>
      <c r="AE458" s="1656"/>
      <c r="AF458" s="1656"/>
      <c r="AG458" s="336"/>
      <c r="AH458" s="1044"/>
      <c r="AI458" s="1048"/>
      <c r="AJ458" s="1046"/>
      <c r="AK458" s="1009"/>
      <c r="AL458" s="1026"/>
      <c r="AM458" s="1025"/>
      <c r="AN458" s="1026"/>
      <c r="AO458" s="1009"/>
      <c r="AP458" s="1009"/>
      <c r="AQ458" s="1009"/>
      <c r="AR458" s="1009"/>
      <c r="AS458" s="1009"/>
      <c r="AT458" s="1009"/>
      <c r="AU458" s="1009"/>
      <c r="AV458" s="1009"/>
      <c r="AW458" s="1009"/>
      <c r="AX458" s="1009"/>
      <c r="AY458" s="1009"/>
      <c r="AZ458" s="1009"/>
      <c r="BA458" s="1009"/>
      <c r="BB458" s="1009"/>
      <c r="BC458" s="1009"/>
      <c r="BD458" s="1009"/>
      <c r="BE458" s="1009"/>
      <c r="BF458" s="1009"/>
      <c r="BG458" s="1009"/>
      <c r="BH458" s="1009"/>
      <c r="BI458" s="1009"/>
      <c r="BJ458" s="1009"/>
      <c r="BK458" s="1009"/>
      <c r="BL458" s="1009"/>
      <c r="BM458" s="1009"/>
      <c r="BN458" s="1009"/>
      <c r="BO458" s="1009"/>
      <c r="BP458" s="1009"/>
      <c r="BQ458" s="1009"/>
      <c r="BR458" s="1009"/>
      <c r="BS458" s="1009"/>
      <c r="BT458" s="1009"/>
      <c r="BU458" s="1009"/>
      <c r="BV458" s="1009"/>
      <c r="BW458" s="1009"/>
      <c r="BX458" s="1009"/>
      <c r="BY458" s="1009"/>
      <c r="BZ458" s="1009"/>
      <c r="CA458" s="1009"/>
      <c r="CB458" s="1009"/>
      <c r="CC458" s="1009"/>
      <c r="CD458" s="1009"/>
      <c r="CE458" s="1009"/>
      <c r="CF458" s="1009"/>
      <c r="CG458" s="1009"/>
      <c r="CH458" s="1009"/>
      <c r="CI458" s="1009"/>
      <c r="CJ458" s="1009"/>
      <c r="CK458" s="1009"/>
      <c r="CL458" s="1009"/>
      <c r="CM458" s="1009"/>
      <c r="CN458" s="1009"/>
      <c r="CO458" s="1009"/>
      <c r="CP458" s="1009"/>
      <c r="CQ458" s="1009"/>
      <c r="CR458" s="1009"/>
      <c r="CS458" s="1009"/>
      <c r="CT458" s="1009"/>
      <c r="CU458" s="1009"/>
      <c r="CV458" s="1009"/>
      <c r="CW458" s="1009"/>
      <c r="CX458" s="1009"/>
      <c r="CY458" s="1009"/>
      <c r="CZ458" s="1009"/>
      <c r="DA458" s="1009"/>
      <c r="DB458" s="1009"/>
      <c r="DC458" s="1009"/>
      <c r="DD458" s="1009"/>
      <c r="DE458" s="1009"/>
      <c r="DF458" s="1009"/>
      <c r="DG458" s="1009"/>
      <c r="DH458" s="1009"/>
      <c r="DI458" s="1009"/>
      <c r="DJ458" s="1009"/>
      <c r="DK458" s="1009"/>
      <c r="DL458" s="1009"/>
      <c r="DM458" s="1009"/>
      <c r="DN458" s="1009"/>
      <c r="DO458" s="1009"/>
      <c r="DP458" s="1009"/>
      <c r="DQ458" s="1009"/>
      <c r="DR458" s="1009"/>
      <c r="DS458" s="1009"/>
      <c r="DT458" s="1009"/>
      <c r="DU458" s="1009"/>
      <c r="DV458" s="1009"/>
      <c r="DW458" s="1009"/>
      <c r="DX458" s="1009"/>
      <c r="DY458" s="1009"/>
      <c r="DZ458" s="1009"/>
      <c r="EA458" s="1009"/>
      <c r="EB458" s="1009"/>
      <c r="EC458" s="1009"/>
      <c r="ED458" s="1009"/>
      <c r="EE458" s="1009"/>
      <c r="EF458" s="1009"/>
      <c r="EG458" s="1009"/>
      <c r="EH458" s="1009"/>
      <c r="EI458" s="1009"/>
      <c r="EJ458" s="1009"/>
      <c r="EK458" s="1009"/>
      <c r="EL458" s="1009"/>
      <c r="EM458" s="1009"/>
      <c r="EN458" s="1009"/>
      <c r="EO458" s="1009"/>
      <c r="EP458" s="1009"/>
      <c r="EQ458" s="1009"/>
      <c r="ER458" s="1009"/>
      <c r="ES458" s="1009"/>
      <c r="ET458" s="1009"/>
      <c r="EU458" s="1009"/>
      <c r="EV458" s="1009"/>
      <c r="EW458" s="1009"/>
      <c r="EX458" s="1009"/>
      <c r="EY458" s="1009"/>
      <c r="EZ458" s="1009"/>
      <c r="FA458" s="1009"/>
      <c r="FB458" s="1009"/>
      <c r="FC458" s="1009"/>
      <c r="FD458" s="1009"/>
      <c r="FE458" s="1009"/>
      <c r="FF458" s="1009"/>
      <c r="FG458" s="1009"/>
      <c r="FH458" s="1009"/>
      <c r="FI458" s="1009"/>
      <c r="FJ458" s="1009"/>
      <c r="FK458" s="1009"/>
      <c r="FL458" s="1009"/>
      <c r="FM458" s="1009"/>
      <c r="FN458" s="1009"/>
      <c r="FO458" s="1009"/>
      <c r="FP458" s="1009"/>
      <c r="FQ458" s="1009"/>
      <c r="FR458" s="1009"/>
      <c r="FS458" s="1009"/>
      <c r="FT458" s="1009"/>
      <c r="FU458" s="1009"/>
      <c r="FV458" s="1009"/>
      <c r="FW458" s="1009"/>
      <c r="FX458" s="1009"/>
      <c r="FY458" s="1009"/>
      <c r="FZ458" s="1009"/>
      <c r="GA458" s="1009"/>
      <c r="GB458" s="1009"/>
      <c r="GC458" s="1009"/>
      <c r="GD458" s="1009"/>
      <c r="GE458" s="1009"/>
      <c r="GF458" s="1009"/>
      <c r="GG458" s="1009"/>
      <c r="GH458" s="1009"/>
      <c r="GI458" s="1009"/>
      <c r="GJ458" s="1009"/>
      <c r="GK458" s="1009"/>
      <c r="GL458" s="1009"/>
      <c r="GM458" s="1009"/>
      <c r="GN458" s="1009"/>
      <c r="GO458" s="1009"/>
      <c r="GP458" s="1009"/>
      <c r="GQ458" s="1009"/>
      <c r="GR458" s="1009"/>
      <c r="GS458" s="1009"/>
      <c r="GT458" s="1009"/>
      <c r="GU458" s="1009"/>
      <c r="GV458" s="1009"/>
      <c r="GW458" s="1009"/>
      <c r="GX458" s="1009"/>
      <c r="GY458" s="1009"/>
      <c r="GZ458" s="1009"/>
      <c r="HA458" s="1009"/>
      <c r="HB458" s="1009"/>
      <c r="HC458" s="1009"/>
      <c r="HD458" s="1009"/>
      <c r="HE458" s="1009"/>
      <c r="HF458" s="1009"/>
      <c r="HG458" s="1009"/>
      <c r="HH458" s="1009"/>
      <c r="HI458" s="1009"/>
      <c r="HJ458" s="1009"/>
      <c r="HK458" s="1009"/>
      <c r="HL458" s="1009"/>
      <c r="HM458" s="1009"/>
      <c r="HN458" s="1009"/>
      <c r="HO458" s="1009"/>
      <c r="HP458" s="1009"/>
      <c r="HQ458" s="1009"/>
      <c r="HR458" s="1009"/>
      <c r="HS458" s="1009"/>
      <c r="HT458" s="1009"/>
      <c r="HU458" s="1009"/>
      <c r="HV458" s="1009"/>
      <c r="HW458" s="1009"/>
      <c r="HX458" s="1009"/>
      <c r="HY458" s="1009"/>
      <c r="HZ458" s="1009"/>
      <c r="IA458" s="1009"/>
      <c r="IB458" s="1009"/>
      <c r="IC458" s="1009"/>
      <c r="ID458" s="1009"/>
      <c r="IE458" s="1009"/>
      <c r="IF458" s="1009"/>
      <c r="IG458" s="1009"/>
      <c r="IH458" s="1009"/>
      <c r="II458" s="1009"/>
      <c r="IJ458" s="1009"/>
      <c r="IK458" s="1009"/>
      <c r="IL458" s="1009"/>
      <c r="IM458" s="1009"/>
      <c r="IN458" s="1009"/>
      <c r="IO458" s="1009"/>
      <c r="IP458" s="1009"/>
      <c r="IQ458" s="1009"/>
      <c r="IR458" s="1009"/>
      <c r="IS458" s="1009"/>
      <c r="IT458" s="1009"/>
      <c r="IU458" s="1009"/>
      <c r="IV458" s="1009"/>
      <c r="IW458" s="1009"/>
      <c r="IX458" s="1009"/>
      <c r="IY458" s="1009"/>
      <c r="IZ458" s="1009"/>
      <c r="JA458" s="1009"/>
      <c r="JB458" s="1009"/>
      <c r="JC458" s="1009"/>
      <c r="JD458" s="1009"/>
      <c r="JE458" s="1009"/>
      <c r="JF458" s="1009"/>
      <c r="JG458" s="1009"/>
      <c r="JH458" s="1009"/>
      <c r="JI458" s="1009"/>
      <c r="JJ458" s="1009"/>
      <c r="JK458" s="1009"/>
      <c r="JL458" s="1009"/>
      <c r="JM458" s="1009"/>
      <c r="JN458" s="1009"/>
      <c r="JO458" s="1009"/>
      <c r="JP458" s="1009"/>
      <c r="JQ458" s="1009"/>
      <c r="JR458" s="1009"/>
      <c r="JS458" s="1009"/>
      <c r="JT458" s="1009"/>
      <c r="JU458" s="1009"/>
      <c r="JV458" s="1009"/>
      <c r="JW458" s="1009"/>
      <c r="JX458" s="1009"/>
      <c r="JY458" s="1009"/>
      <c r="JZ458" s="1009"/>
      <c r="KA458" s="1009"/>
      <c r="KB458" s="1009"/>
      <c r="KC458" s="1009"/>
      <c r="KD458" s="1009"/>
      <c r="KE458" s="1009"/>
      <c r="KF458" s="1009"/>
      <c r="KG458" s="1009"/>
      <c r="KH458" s="1009"/>
      <c r="KI458" s="1009"/>
      <c r="KJ458" s="1009"/>
      <c r="KK458" s="1009"/>
      <c r="KL458" s="1009"/>
      <c r="KM458" s="1009"/>
      <c r="KN458" s="1009"/>
      <c r="KO458" s="1009"/>
      <c r="KP458" s="1009"/>
      <c r="KQ458" s="1009"/>
      <c r="KR458" s="1009"/>
      <c r="KS458" s="1009"/>
      <c r="KT458" s="1009"/>
      <c r="KU458" s="1009"/>
      <c r="KV458" s="1009"/>
      <c r="KW458" s="1009"/>
      <c r="KX458" s="1009"/>
      <c r="KY458" s="1009"/>
      <c r="KZ458" s="1009"/>
      <c r="LA458" s="1009"/>
      <c r="LB458" s="1009"/>
      <c r="LC458" s="1009"/>
      <c r="LD458" s="1009"/>
      <c r="LE458" s="1009"/>
      <c r="LF458" s="1009"/>
      <c r="LG458" s="1009"/>
      <c r="LH458" s="1009"/>
      <c r="LI458" s="1009"/>
      <c r="LJ458" s="1009"/>
      <c r="LK458" s="1009"/>
      <c r="LL458" s="1009"/>
      <c r="LM458" s="1009"/>
      <c r="LN458" s="1009"/>
      <c r="LO458" s="1009"/>
      <c r="LP458" s="1009"/>
      <c r="LQ458" s="1009"/>
      <c r="LR458" s="1009"/>
      <c r="LS458" s="1009"/>
      <c r="LT458" s="1009"/>
      <c r="LU458" s="1009"/>
      <c r="LV458" s="1009"/>
      <c r="LW458" s="1009"/>
      <c r="LX458" s="1009"/>
      <c r="LY458" s="1009"/>
      <c r="LZ458" s="1009"/>
      <c r="MA458" s="1009"/>
      <c r="MB458" s="1009"/>
      <c r="MC458" s="1009"/>
      <c r="MD458" s="1009"/>
      <c r="ME458" s="1009"/>
      <c r="MF458" s="1009"/>
      <c r="MG458" s="1009"/>
      <c r="MH458" s="1009"/>
      <c r="MI458" s="1009"/>
      <c r="MJ458" s="1009"/>
      <c r="MK458" s="1009"/>
      <c r="ML458" s="1009"/>
      <c r="MM458" s="1009"/>
      <c r="MN458" s="1009"/>
      <c r="MO458" s="1009"/>
      <c r="MP458" s="1009"/>
      <c r="MQ458" s="1009"/>
      <c r="MR458" s="1009"/>
      <c r="MS458" s="1009"/>
      <c r="MT458" s="1009"/>
      <c r="MU458" s="1009"/>
      <c r="MV458" s="1009"/>
      <c r="MW458" s="1009"/>
      <c r="MX458" s="1009"/>
      <c r="MY458" s="1009"/>
      <c r="MZ458" s="1009"/>
      <c r="NA458" s="1009"/>
      <c r="NB458" s="1009"/>
      <c r="NC458" s="1009"/>
      <c r="ND458" s="1009"/>
      <c r="NE458" s="1009"/>
      <c r="NF458" s="1009"/>
      <c r="NG458" s="1009"/>
      <c r="NH458" s="1009"/>
      <c r="NI458" s="1009"/>
      <c r="NJ458" s="1009"/>
      <c r="NK458" s="1009"/>
      <c r="NL458" s="1009"/>
      <c r="NM458" s="1009"/>
      <c r="NN458" s="1009"/>
      <c r="NO458" s="1009"/>
      <c r="NP458" s="1009"/>
      <c r="NQ458" s="1009"/>
      <c r="NR458" s="1009"/>
      <c r="NS458" s="1009"/>
      <c r="NT458" s="1009"/>
      <c r="NU458" s="1009"/>
      <c r="NV458" s="1009"/>
      <c r="NW458" s="1009"/>
      <c r="NX458" s="1009"/>
      <c r="NY458" s="1009"/>
      <c r="NZ458" s="1009"/>
      <c r="OA458" s="1009"/>
      <c r="OB458" s="1009"/>
      <c r="OC458" s="1009"/>
      <c r="OD458" s="1009"/>
      <c r="OE458" s="1009"/>
      <c r="OF458" s="1009"/>
      <c r="OG458" s="1009"/>
      <c r="OH458" s="1009"/>
      <c r="OI458" s="1009"/>
      <c r="OJ458" s="1009"/>
      <c r="OK458" s="1009"/>
      <c r="OL458" s="1009"/>
      <c r="OM458" s="1009"/>
      <c r="ON458" s="1009"/>
      <c r="OO458" s="1009"/>
      <c r="OP458" s="1009"/>
      <c r="OQ458" s="1009"/>
      <c r="OR458" s="1009"/>
      <c r="OS458" s="1009"/>
      <c r="OT458" s="1009"/>
      <c r="OU458" s="1009"/>
      <c r="OV458" s="1009"/>
      <c r="OW458" s="1009"/>
      <c r="OX458" s="1009"/>
      <c r="OY458" s="1009"/>
      <c r="OZ458" s="1009"/>
      <c r="PA458" s="1009"/>
      <c r="PB458" s="1009"/>
      <c r="PC458" s="1009"/>
      <c r="PD458" s="1009"/>
      <c r="PE458" s="1009"/>
      <c r="PF458" s="1009"/>
      <c r="PG458" s="1009"/>
      <c r="PH458" s="1009"/>
      <c r="PI458" s="1009"/>
      <c r="PJ458" s="1009"/>
      <c r="PK458" s="1009"/>
      <c r="PL458" s="1009"/>
      <c r="PM458" s="1009"/>
      <c r="PN458" s="1009"/>
      <c r="PO458" s="1009"/>
      <c r="PP458" s="1009"/>
      <c r="PQ458" s="1009"/>
      <c r="PR458" s="1009"/>
      <c r="PS458" s="1009"/>
      <c r="PT458" s="1009"/>
      <c r="PU458" s="1009"/>
      <c r="PV458" s="1009"/>
      <c r="PW458" s="1009"/>
      <c r="PX458" s="1009"/>
      <c r="PY458" s="1009"/>
      <c r="PZ458" s="1009"/>
      <c r="QA458" s="1009"/>
      <c r="QB458" s="1009"/>
      <c r="QC458" s="1009"/>
      <c r="QD458" s="1009"/>
      <c r="QE458" s="1009"/>
      <c r="QF458" s="1009"/>
      <c r="QG458" s="1009"/>
      <c r="QH458" s="1009"/>
      <c r="QI458" s="1009"/>
      <c r="QJ458" s="1009"/>
      <c r="QK458" s="1009"/>
      <c r="QL458" s="1009"/>
      <c r="QM458" s="1009"/>
      <c r="QN458" s="1009"/>
      <c r="QO458" s="1009"/>
      <c r="QP458" s="1009"/>
      <c r="QQ458" s="1009"/>
      <c r="QR458" s="1009"/>
      <c r="QS458" s="1009"/>
      <c r="QT458" s="1009"/>
      <c r="QU458" s="1009"/>
      <c r="QV458" s="1009"/>
      <c r="QW458" s="1009"/>
      <c r="QX458" s="1009"/>
      <c r="QY458" s="1009"/>
      <c r="QZ458" s="1009"/>
      <c r="RA458" s="1009"/>
      <c r="RB458" s="1009"/>
      <c r="RC458" s="1009"/>
      <c r="RD458" s="1009"/>
      <c r="RE458" s="1009"/>
      <c r="RF458" s="1009"/>
      <c r="RG458" s="1009"/>
      <c r="RH458" s="1009"/>
      <c r="RI458" s="1009"/>
      <c r="RJ458" s="1009"/>
      <c r="RK458" s="1009"/>
      <c r="RL458" s="1009"/>
      <c r="RM458" s="1009"/>
      <c r="RN458" s="1009"/>
      <c r="RO458" s="1009"/>
      <c r="RP458" s="1009"/>
      <c r="RQ458" s="1009"/>
      <c r="RR458" s="1009"/>
      <c r="RS458" s="1009"/>
      <c r="RT458" s="1009"/>
      <c r="RU458" s="1009"/>
      <c r="RV458" s="1009"/>
      <c r="RW458" s="1009"/>
      <c r="RX458" s="1009"/>
      <c r="RY458" s="1009"/>
      <c r="RZ458" s="1009"/>
      <c r="SA458" s="1009"/>
      <c r="SB458" s="1009"/>
      <c r="SC458" s="1009"/>
      <c r="SD458" s="1009"/>
      <c r="SE458" s="1009"/>
      <c r="SF458" s="1009"/>
      <c r="SG458" s="1009"/>
      <c r="SH458" s="1009"/>
      <c r="SI458" s="1009"/>
      <c r="SJ458" s="1009"/>
      <c r="SK458" s="1009"/>
      <c r="SL458" s="1009"/>
      <c r="SM458" s="1009"/>
      <c r="SN458" s="1009"/>
      <c r="SO458" s="1009"/>
      <c r="SP458" s="1009"/>
      <c r="SQ458" s="1009"/>
      <c r="SR458" s="1009"/>
      <c r="SS458" s="1009"/>
      <c r="ST458" s="1009"/>
      <c r="SU458" s="1009"/>
      <c r="SV458" s="1009"/>
      <c r="SW458" s="1009"/>
      <c r="SX458" s="1009"/>
      <c r="SY458" s="1009"/>
      <c r="SZ458" s="1009"/>
      <c r="TA458" s="1009"/>
      <c r="TB458" s="1009"/>
      <c r="TC458" s="1009"/>
      <c r="TD458" s="1009"/>
      <c r="TE458" s="1009"/>
      <c r="TF458" s="1009"/>
      <c r="TG458" s="1009"/>
      <c r="TH458" s="1009"/>
      <c r="TI458" s="1009"/>
      <c r="TJ458" s="1009"/>
      <c r="TK458" s="1009"/>
      <c r="TL458" s="1009"/>
      <c r="TM458" s="1009"/>
      <c r="TN458" s="1009"/>
      <c r="TO458" s="1009"/>
      <c r="TP458" s="1009"/>
      <c r="TQ458" s="1009"/>
      <c r="TR458" s="1009"/>
      <c r="TS458" s="1009"/>
      <c r="TT458" s="1009"/>
      <c r="TU458" s="1009"/>
      <c r="TV458" s="1009"/>
      <c r="TW458" s="1009"/>
      <c r="TX458" s="1009"/>
      <c r="TY458" s="1009"/>
      <c r="TZ458" s="1009"/>
      <c r="UA458" s="1009"/>
      <c r="UB458" s="1009"/>
      <c r="UC458" s="1009"/>
      <c r="UD458" s="1009"/>
      <c r="UE458" s="1009"/>
      <c r="UF458" s="1009"/>
      <c r="UG458" s="1009"/>
      <c r="UH458" s="1009"/>
      <c r="UI458" s="1009"/>
      <c r="UJ458" s="1009"/>
      <c r="UK458" s="1009"/>
      <c r="UL458" s="1009"/>
      <c r="UM458" s="1009"/>
      <c r="UN458" s="1009"/>
      <c r="UO458" s="1009"/>
      <c r="UP458" s="1009"/>
      <c r="UQ458" s="1009"/>
      <c r="UR458" s="1009"/>
      <c r="US458" s="1009"/>
      <c r="UT458" s="1009"/>
      <c r="UU458" s="1009"/>
      <c r="UV458" s="1009"/>
      <c r="UW458" s="1009"/>
      <c r="UX458" s="1009"/>
      <c r="UY458" s="1009"/>
      <c r="UZ458" s="1009"/>
      <c r="VA458" s="1009"/>
      <c r="VB458" s="1009"/>
      <c r="VC458" s="1009"/>
      <c r="VD458" s="1009"/>
      <c r="VE458" s="1009"/>
      <c r="VF458" s="1009"/>
      <c r="VG458" s="1009"/>
      <c r="VH458" s="1009"/>
      <c r="VI458" s="1009"/>
      <c r="VJ458" s="1009"/>
      <c r="VK458" s="1009"/>
      <c r="VL458" s="1009"/>
      <c r="VM458" s="1009"/>
      <c r="VN458" s="1009"/>
      <c r="VO458" s="1009"/>
      <c r="VP458" s="1009"/>
      <c r="VQ458" s="1009"/>
      <c r="VR458" s="1009"/>
      <c r="VS458" s="1009"/>
      <c r="VT458" s="1009"/>
      <c r="VU458" s="1009"/>
      <c r="VV458" s="1009"/>
      <c r="VW458" s="1009"/>
      <c r="VX458" s="1009"/>
      <c r="VY458" s="1009"/>
      <c r="VZ458" s="1009"/>
      <c r="WA458" s="1009"/>
      <c r="WB458" s="1009"/>
      <c r="WC458" s="1009"/>
      <c r="WD458" s="1009"/>
      <c r="WE458" s="1009"/>
      <c r="WF458" s="1009"/>
      <c r="WG458" s="1009"/>
      <c r="WH458" s="1009"/>
      <c r="WI458" s="1009"/>
      <c r="WJ458" s="1009"/>
      <c r="WK458" s="1009"/>
      <c r="WL458" s="1009"/>
      <c r="WM458" s="1009"/>
      <c r="WN458" s="1009"/>
      <c r="WO458" s="1009"/>
      <c r="WP458" s="1009"/>
      <c r="WQ458" s="1009"/>
      <c r="WR458" s="1009"/>
      <c r="WS458" s="1009"/>
      <c r="WT458" s="1009"/>
      <c r="WU458" s="1009"/>
      <c r="WV458" s="1009"/>
      <c r="WW458" s="1009"/>
      <c r="WX458" s="1009"/>
      <c r="WY458" s="1009"/>
      <c r="WZ458" s="1009"/>
      <c r="XA458" s="1009"/>
      <c r="XB458" s="1009"/>
      <c r="XC458" s="1009"/>
      <c r="XD458" s="1009"/>
      <c r="XE458" s="1009"/>
      <c r="XF458" s="1009"/>
      <c r="XG458" s="1009"/>
      <c r="XH458" s="1009"/>
      <c r="XI458" s="1009"/>
      <c r="XJ458" s="1009"/>
      <c r="XK458" s="1009"/>
      <c r="XL458" s="1009"/>
      <c r="XM458" s="1009"/>
      <c r="XN458" s="1009"/>
      <c r="XO458" s="1009"/>
      <c r="XP458" s="1009"/>
      <c r="XQ458" s="1009"/>
      <c r="XR458" s="1009"/>
      <c r="XS458" s="1009"/>
      <c r="XT458" s="1009"/>
      <c r="XU458" s="1009"/>
      <c r="XV458" s="1009"/>
      <c r="XW458" s="1009"/>
      <c r="XX458" s="1009"/>
      <c r="XY458" s="1009"/>
      <c r="XZ458" s="1009"/>
      <c r="YA458" s="1009"/>
      <c r="YB458" s="1009"/>
      <c r="YC458" s="1009"/>
      <c r="YD458" s="1009"/>
      <c r="YE458" s="1009"/>
      <c r="YF458" s="1009"/>
      <c r="YG458" s="1009"/>
      <c r="YH458" s="1009"/>
      <c r="YI458" s="1009"/>
      <c r="YJ458" s="1009"/>
      <c r="YK458" s="1009"/>
      <c r="YL458" s="1009"/>
      <c r="YM458" s="1009"/>
      <c r="YN458" s="1009"/>
      <c r="YO458" s="1009"/>
      <c r="YP458" s="1009"/>
      <c r="YQ458" s="1009"/>
      <c r="YR458" s="1009"/>
      <c r="YS458" s="1009"/>
      <c r="YT458" s="1009"/>
      <c r="YU458" s="1009"/>
      <c r="YV458" s="1009"/>
      <c r="YW458" s="1009"/>
      <c r="YX458" s="1009"/>
      <c r="YY458" s="1009"/>
      <c r="YZ458" s="1009"/>
      <c r="ZA458" s="1009"/>
      <c r="ZB458" s="1009"/>
      <c r="ZC458" s="1009"/>
      <c r="ZD458" s="1009"/>
      <c r="ZE458" s="1009"/>
      <c r="ZF458" s="1009"/>
      <c r="ZG458" s="1009"/>
      <c r="ZH458" s="1009"/>
      <c r="ZI458" s="1009"/>
      <c r="ZJ458" s="1009"/>
      <c r="ZK458" s="1009"/>
      <c r="ZL458" s="1009"/>
      <c r="ZM458" s="1009"/>
      <c r="ZN458" s="1009"/>
      <c r="ZO458" s="1009"/>
      <c r="ZP458" s="1009"/>
      <c r="ZQ458" s="1009"/>
      <c r="ZR458" s="1009"/>
      <c r="ZS458" s="1009"/>
      <c r="ZT458" s="1009"/>
      <c r="ZU458" s="1009"/>
      <c r="ZV458" s="1009"/>
      <c r="ZW458" s="1009"/>
      <c r="ZX458" s="1009"/>
      <c r="ZY458" s="1009"/>
      <c r="ZZ458" s="1009"/>
      <c r="AAA458" s="1009"/>
      <c r="AAB458" s="1009"/>
      <c r="AAC458" s="1009"/>
      <c r="AAD458" s="1009"/>
      <c r="AAE458" s="1009"/>
      <c r="AAF458" s="1009"/>
      <c r="AAG458" s="1009"/>
      <c r="AAH458" s="1009"/>
      <c r="AAI458" s="1009"/>
      <c r="AAJ458" s="1009"/>
      <c r="AAK458" s="1009"/>
      <c r="AAL458" s="1009"/>
      <c r="AAM458" s="1009"/>
      <c r="AAN458" s="1009"/>
      <c r="AAO458" s="1009"/>
      <c r="AAP458" s="1009"/>
      <c r="AAQ458" s="1009"/>
      <c r="AAR458" s="1009"/>
      <c r="AAS458" s="1009"/>
      <c r="AAT458" s="1009"/>
      <c r="AAU458" s="1009"/>
      <c r="AAV458" s="1009"/>
      <c r="AAW458" s="1009"/>
      <c r="AAX458" s="1009"/>
      <c r="AAY458" s="1009"/>
      <c r="AAZ458" s="1009"/>
      <c r="ABA458" s="1009"/>
      <c r="ABB458" s="1009"/>
      <c r="ABC458" s="1009"/>
      <c r="ABD458" s="1009"/>
      <c r="ABE458" s="1009"/>
      <c r="ABF458" s="1009"/>
      <c r="ABG458" s="1009"/>
      <c r="ABH458" s="1009"/>
      <c r="ABI458" s="1009"/>
      <c r="ABJ458" s="1009"/>
      <c r="ABK458" s="1009"/>
      <c r="ABL458" s="1009"/>
      <c r="ABM458" s="1009"/>
      <c r="ABN458" s="1009"/>
      <c r="ABO458" s="1009"/>
      <c r="ABP458" s="1009"/>
      <c r="ABQ458" s="1009"/>
    </row>
    <row r="459" spans="1:745" s="111" customFormat="1" ht="12.75" hidden="1" customHeight="1">
      <c r="A459" s="1270"/>
      <c r="B459" s="1652" t="s">
        <v>980</v>
      </c>
      <c r="C459" s="1653"/>
      <c r="D459" s="1653"/>
      <c r="E459" s="1654"/>
      <c r="F459" s="1655"/>
      <c r="G459" s="1654"/>
      <c r="H459" s="1659">
        <v>2</v>
      </c>
      <c r="I459" s="1673"/>
      <c r="J459" s="1673"/>
      <c r="K459" s="1673">
        <f>SUMIF(I57:K57,1,I448:K448)/2</f>
        <v>0</v>
      </c>
      <c r="L459" s="1673"/>
      <c r="M459" s="1673"/>
      <c r="N459" s="1673">
        <f>SUMIF(I57:N57,1,I448:N448)/2</f>
        <v>0</v>
      </c>
      <c r="O459" s="1673"/>
      <c r="P459" s="1673"/>
      <c r="Q459" s="1673">
        <f>SUMIF(L57:Q57,1,L448:Q448)/2</f>
        <v>0</v>
      </c>
      <c r="R459" s="1673"/>
      <c r="S459" s="1673"/>
      <c r="T459" s="1673">
        <f>SUMIF(O57:T57,1,O448:T448)/2</f>
        <v>0</v>
      </c>
      <c r="U459" s="1673"/>
      <c r="V459" s="1673"/>
      <c r="W459" s="1673">
        <f>SUMIF(R57:W57,1,R448:W448)/2</f>
        <v>0</v>
      </c>
      <c r="X459" s="1656"/>
      <c r="Y459" s="1656"/>
      <c r="Z459" s="1656"/>
      <c r="AA459" s="1656"/>
      <c r="AB459" s="1656"/>
      <c r="AC459" s="1656"/>
      <c r="AD459" s="1656"/>
      <c r="AE459" s="1656"/>
      <c r="AF459" s="1656"/>
      <c r="AG459" s="336"/>
      <c r="AH459" s="1044"/>
      <c r="AI459" s="1048"/>
      <c r="AJ459" s="1046"/>
      <c r="AK459" s="1009"/>
      <c r="AL459" s="1026"/>
      <c r="AM459" s="1025"/>
      <c r="AN459" s="1026"/>
      <c r="AO459" s="1009"/>
      <c r="AP459" s="1009"/>
      <c r="AQ459" s="1009"/>
      <c r="AR459" s="1009"/>
      <c r="AS459" s="1009"/>
      <c r="AT459" s="1009"/>
      <c r="AU459" s="1009"/>
      <c r="AV459" s="1009"/>
      <c r="AW459" s="1009"/>
      <c r="AX459" s="1009"/>
      <c r="AY459" s="1009"/>
      <c r="AZ459" s="1009"/>
      <c r="BA459" s="1009"/>
      <c r="BB459" s="1009"/>
      <c r="BC459" s="1009"/>
      <c r="BD459" s="1009"/>
      <c r="BE459" s="1009"/>
      <c r="BF459" s="1009"/>
      <c r="BG459" s="1009"/>
      <c r="BH459" s="1009"/>
      <c r="BI459" s="1009"/>
      <c r="BJ459" s="1009"/>
      <c r="BK459" s="1009"/>
      <c r="BL459" s="1009"/>
      <c r="BM459" s="1009"/>
      <c r="BN459" s="1009"/>
      <c r="BO459" s="1009"/>
      <c r="BP459" s="1009"/>
      <c r="BQ459" s="1009"/>
      <c r="BR459" s="1009"/>
      <c r="BS459" s="1009"/>
      <c r="BT459" s="1009"/>
      <c r="BU459" s="1009"/>
      <c r="BV459" s="1009"/>
      <c r="BW459" s="1009"/>
      <c r="BX459" s="1009"/>
      <c r="BY459" s="1009"/>
      <c r="BZ459" s="1009"/>
      <c r="CA459" s="1009"/>
      <c r="CB459" s="1009"/>
      <c r="CC459" s="1009"/>
      <c r="CD459" s="1009"/>
      <c r="CE459" s="1009"/>
      <c r="CF459" s="1009"/>
      <c r="CG459" s="1009"/>
      <c r="CH459" s="1009"/>
      <c r="CI459" s="1009"/>
      <c r="CJ459" s="1009"/>
      <c r="CK459" s="1009"/>
      <c r="CL459" s="1009"/>
      <c r="CM459" s="1009"/>
      <c r="CN459" s="1009"/>
      <c r="CO459" s="1009"/>
      <c r="CP459" s="1009"/>
      <c r="CQ459" s="1009"/>
      <c r="CR459" s="1009"/>
      <c r="CS459" s="1009"/>
      <c r="CT459" s="1009"/>
      <c r="CU459" s="1009"/>
      <c r="CV459" s="1009"/>
      <c r="CW459" s="1009"/>
      <c r="CX459" s="1009"/>
      <c r="CY459" s="1009"/>
      <c r="CZ459" s="1009"/>
      <c r="DA459" s="1009"/>
      <c r="DB459" s="1009"/>
      <c r="DC459" s="1009"/>
      <c r="DD459" s="1009"/>
      <c r="DE459" s="1009"/>
      <c r="DF459" s="1009"/>
      <c r="DG459" s="1009"/>
      <c r="DH459" s="1009"/>
      <c r="DI459" s="1009"/>
      <c r="DJ459" s="1009"/>
      <c r="DK459" s="1009"/>
      <c r="DL459" s="1009"/>
      <c r="DM459" s="1009"/>
      <c r="DN459" s="1009"/>
      <c r="DO459" s="1009"/>
      <c r="DP459" s="1009"/>
      <c r="DQ459" s="1009"/>
      <c r="DR459" s="1009"/>
      <c r="DS459" s="1009"/>
      <c r="DT459" s="1009"/>
      <c r="DU459" s="1009"/>
      <c r="DV459" s="1009"/>
      <c r="DW459" s="1009"/>
      <c r="DX459" s="1009"/>
      <c r="DY459" s="1009"/>
      <c r="DZ459" s="1009"/>
      <c r="EA459" s="1009"/>
      <c r="EB459" s="1009"/>
      <c r="EC459" s="1009"/>
      <c r="ED459" s="1009"/>
      <c r="EE459" s="1009"/>
      <c r="EF459" s="1009"/>
      <c r="EG459" s="1009"/>
      <c r="EH459" s="1009"/>
      <c r="EI459" s="1009"/>
      <c r="EJ459" s="1009"/>
      <c r="EK459" s="1009"/>
      <c r="EL459" s="1009"/>
      <c r="EM459" s="1009"/>
      <c r="EN459" s="1009"/>
      <c r="EO459" s="1009"/>
      <c r="EP459" s="1009"/>
      <c r="EQ459" s="1009"/>
      <c r="ER459" s="1009"/>
      <c r="ES459" s="1009"/>
      <c r="ET459" s="1009"/>
      <c r="EU459" s="1009"/>
      <c r="EV459" s="1009"/>
      <c r="EW459" s="1009"/>
      <c r="EX459" s="1009"/>
      <c r="EY459" s="1009"/>
      <c r="EZ459" s="1009"/>
      <c r="FA459" s="1009"/>
      <c r="FB459" s="1009"/>
      <c r="FC459" s="1009"/>
      <c r="FD459" s="1009"/>
      <c r="FE459" s="1009"/>
      <c r="FF459" s="1009"/>
      <c r="FG459" s="1009"/>
      <c r="FH459" s="1009"/>
      <c r="FI459" s="1009"/>
      <c r="FJ459" s="1009"/>
      <c r="FK459" s="1009"/>
      <c r="FL459" s="1009"/>
      <c r="FM459" s="1009"/>
      <c r="FN459" s="1009"/>
      <c r="FO459" s="1009"/>
      <c r="FP459" s="1009"/>
      <c r="FQ459" s="1009"/>
      <c r="FR459" s="1009"/>
      <c r="FS459" s="1009"/>
      <c r="FT459" s="1009"/>
      <c r="FU459" s="1009"/>
      <c r="FV459" s="1009"/>
      <c r="FW459" s="1009"/>
      <c r="FX459" s="1009"/>
      <c r="FY459" s="1009"/>
      <c r="FZ459" s="1009"/>
      <c r="GA459" s="1009"/>
      <c r="GB459" s="1009"/>
      <c r="GC459" s="1009"/>
      <c r="GD459" s="1009"/>
      <c r="GE459" s="1009"/>
      <c r="GF459" s="1009"/>
      <c r="GG459" s="1009"/>
      <c r="GH459" s="1009"/>
      <c r="GI459" s="1009"/>
      <c r="GJ459" s="1009"/>
      <c r="GK459" s="1009"/>
      <c r="GL459" s="1009"/>
      <c r="GM459" s="1009"/>
      <c r="GN459" s="1009"/>
      <c r="GO459" s="1009"/>
      <c r="GP459" s="1009"/>
      <c r="GQ459" s="1009"/>
      <c r="GR459" s="1009"/>
      <c r="GS459" s="1009"/>
      <c r="GT459" s="1009"/>
      <c r="GU459" s="1009"/>
      <c r="GV459" s="1009"/>
      <c r="GW459" s="1009"/>
      <c r="GX459" s="1009"/>
      <c r="GY459" s="1009"/>
      <c r="GZ459" s="1009"/>
      <c r="HA459" s="1009"/>
      <c r="HB459" s="1009"/>
      <c r="HC459" s="1009"/>
      <c r="HD459" s="1009"/>
      <c r="HE459" s="1009"/>
      <c r="HF459" s="1009"/>
      <c r="HG459" s="1009"/>
      <c r="HH459" s="1009"/>
      <c r="HI459" s="1009"/>
      <c r="HJ459" s="1009"/>
      <c r="HK459" s="1009"/>
      <c r="HL459" s="1009"/>
      <c r="HM459" s="1009"/>
      <c r="HN459" s="1009"/>
      <c r="HO459" s="1009"/>
      <c r="HP459" s="1009"/>
      <c r="HQ459" s="1009"/>
      <c r="HR459" s="1009"/>
      <c r="HS459" s="1009"/>
      <c r="HT459" s="1009"/>
      <c r="HU459" s="1009"/>
      <c r="HV459" s="1009"/>
      <c r="HW459" s="1009"/>
      <c r="HX459" s="1009"/>
      <c r="HY459" s="1009"/>
      <c r="HZ459" s="1009"/>
      <c r="IA459" s="1009"/>
      <c r="IB459" s="1009"/>
      <c r="IC459" s="1009"/>
      <c r="ID459" s="1009"/>
      <c r="IE459" s="1009"/>
      <c r="IF459" s="1009"/>
      <c r="IG459" s="1009"/>
      <c r="IH459" s="1009"/>
      <c r="II459" s="1009"/>
      <c r="IJ459" s="1009"/>
      <c r="IK459" s="1009"/>
      <c r="IL459" s="1009"/>
      <c r="IM459" s="1009"/>
      <c r="IN459" s="1009"/>
      <c r="IO459" s="1009"/>
      <c r="IP459" s="1009"/>
      <c r="IQ459" s="1009"/>
      <c r="IR459" s="1009"/>
      <c r="IS459" s="1009"/>
      <c r="IT459" s="1009"/>
      <c r="IU459" s="1009"/>
      <c r="IV459" s="1009"/>
      <c r="IW459" s="1009"/>
      <c r="IX459" s="1009"/>
      <c r="IY459" s="1009"/>
      <c r="IZ459" s="1009"/>
      <c r="JA459" s="1009"/>
      <c r="JB459" s="1009"/>
      <c r="JC459" s="1009"/>
      <c r="JD459" s="1009"/>
      <c r="JE459" s="1009"/>
      <c r="JF459" s="1009"/>
      <c r="JG459" s="1009"/>
      <c r="JH459" s="1009"/>
      <c r="JI459" s="1009"/>
      <c r="JJ459" s="1009"/>
      <c r="JK459" s="1009"/>
      <c r="JL459" s="1009"/>
      <c r="JM459" s="1009"/>
      <c r="JN459" s="1009"/>
      <c r="JO459" s="1009"/>
      <c r="JP459" s="1009"/>
      <c r="JQ459" s="1009"/>
      <c r="JR459" s="1009"/>
      <c r="JS459" s="1009"/>
      <c r="JT459" s="1009"/>
      <c r="JU459" s="1009"/>
      <c r="JV459" s="1009"/>
      <c r="JW459" s="1009"/>
      <c r="JX459" s="1009"/>
      <c r="JY459" s="1009"/>
      <c r="JZ459" s="1009"/>
      <c r="KA459" s="1009"/>
      <c r="KB459" s="1009"/>
      <c r="KC459" s="1009"/>
      <c r="KD459" s="1009"/>
      <c r="KE459" s="1009"/>
      <c r="KF459" s="1009"/>
      <c r="KG459" s="1009"/>
      <c r="KH459" s="1009"/>
      <c r="KI459" s="1009"/>
      <c r="KJ459" s="1009"/>
      <c r="KK459" s="1009"/>
      <c r="KL459" s="1009"/>
      <c r="KM459" s="1009"/>
      <c r="KN459" s="1009"/>
      <c r="KO459" s="1009"/>
      <c r="KP459" s="1009"/>
      <c r="KQ459" s="1009"/>
      <c r="KR459" s="1009"/>
      <c r="KS459" s="1009"/>
      <c r="KT459" s="1009"/>
      <c r="KU459" s="1009"/>
      <c r="KV459" s="1009"/>
      <c r="KW459" s="1009"/>
      <c r="KX459" s="1009"/>
      <c r="KY459" s="1009"/>
      <c r="KZ459" s="1009"/>
      <c r="LA459" s="1009"/>
      <c r="LB459" s="1009"/>
      <c r="LC459" s="1009"/>
      <c r="LD459" s="1009"/>
      <c r="LE459" s="1009"/>
      <c r="LF459" s="1009"/>
      <c r="LG459" s="1009"/>
      <c r="LH459" s="1009"/>
      <c r="LI459" s="1009"/>
      <c r="LJ459" s="1009"/>
      <c r="LK459" s="1009"/>
      <c r="LL459" s="1009"/>
      <c r="LM459" s="1009"/>
      <c r="LN459" s="1009"/>
      <c r="LO459" s="1009"/>
      <c r="LP459" s="1009"/>
      <c r="LQ459" s="1009"/>
      <c r="LR459" s="1009"/>
      <c r="LS459" s="1009"/>
      <c r="LT459" s="1009"/>
      <c r="LU459" s="1009"/>
      <c r="LV459" s="1009"/>
      <c r="LW459" s="1009"/>
      <c r="LX459" s="1009"/>
      <c r="LY459" s="1009"/>
      <c r="LZ459" s="1009"/>
      <c r="MA459" s="1009"/>
      <c r="MB459" s="1009"/>
      <c r="MC459" s="1009"/>
      <c r="MD459" s="1009"/>
      <c r="ME459" s="1009"/>
      <c r="MF459" s="1009"/>
      <c r="MG459" s="1009"/>
      <c r="MH459" s="1009"/>
      <c r="MI459" s="1009"/>
      <c r="MJ459" s="1009"/>
      <c r="MK459" s="1009"/>
      <c r="ML459" s="1009"/>
      <c r="MM459" s="1009"/>
      <c r="MN459" s="1009"/>
      <c r="MO459" s="1009"/>
      <c r="MP459" s="1009"/>
      <c r="MQ459" s="1009"/>
      <c r="MR459" s="1009"/>
      <c r="MS459" s="1009"/>
      <c r="MT459" s="1009"/>
      <c r="MU459" s="1009"/>
      <c r="MV459" s="1009"/>
      <c r="MW459" s="1009"/>
      <c r="MX459" s="1009"/>
      <c r="MY459" s="1009"/>
      <c r="MZ459" s="1009"/>
      <c r="NA459" s="1009"/>
      <c r="NB459" s="1009"/>
      <c r="NC459" s="1009"/>
      <c r="ND459" s="1009"/>
      <c r="NE459" s="1009"/>
      <c r="NF459" s="1009"/>
      <c r="NG459" s="1009"/>
      <c r="NH459" s="1009"/>
      <c r="NI459" s="1009"/>
      <c r="NJ459" s="1009"/>
      <c r="NK459" s="1009"/>
      <c r="NL459" s="1009"/>
      <c r="NM459" s="1009"/>
      <c r="NN459" s="1009"/>
      <c r="NO459" s="1009"/>
      <c r="NP459" s="1009"/>
      <c r="NQ459" s="1009"/>
      <c r="NR459" s="1009"/>
      <c r="NS459" s="1009"/>
      <c r="NT459" s="1009"/>
      <c r="NU459" s="1009"/>
      <c r="NV459" s="1009"/>
      <c r="NW459" s="1009"/>
      <c r="NX459" s="1009"/>
      <c r="NY459" s="1009"/>
      <c r="NZ459" s="1009"/>
      <c r="OA459" s="1009"/>
      <c r="OB459" s="1009"/>
      <c r="OC459" s="1009"/>
      <c r="OD459" s="1009"/>
      <c r="OE459" s="1009"/>
      <c r="OF459" s="1009"/>
      <c r="OG459" s="1009"/>
      <c r="OH459" s="1009"/>
      <c r="OI459" s="1009"/>
      <c r="OJ459" s="1009"/>
      <c r="OK459" s="1009"/>
      <c r="OL459" s="1009"/>
      <c r="OM459" s="1009"/>
      <c r="ON459" s="1009"/>
      <c r="OO459" s="1009"/>
      <c r="OP459" s="1009"/>
      <c r="OQ459" s="1009"/>
      <c r="OR459" s="1009"/>
      <c r="OS459" s="1009"/>
      <c r="OT459" s="1009"/>
      <c r="OU459" s="1009"/>
      <c r="OV459" s="1009"/>
      <c r="OW459" s="1009"/>
      <c r="OX459" s="1009"/>
      <c r="OY459" s="1009"/>
      <c r="OZ459" s="1009"/>
      <c r="PA459" s="1009"/>
      <c r="PB459" s="1009"/>
      <c r="PC459" s="1009"/>
      <c r="PD459" s="1009"/>
      <c r="PE459" s="1009"/>
      <c r="PF459" s="1009"/>
      <c r="PG459" s="1009"/>
      <c r="PH459" s="1009"/>
      <c r="PI459" s="1009"/>
      <c r="PJ459" s="1009"/>
      <c r="PK459" s="1009"/>
      <c r="PL459" s="1009"/>
      <c r="PM459" s="1009"/>
      <c r="PN459" s="1009"/>
      <c r="PO459" s="1009"/>
      <c r="PP459" s="1009"/>
      <c r="PQ459" s="1009"/>
      <c r="PR459" s="1009"/>
      <c r="PS459" s="1009"/>
      <c r="PT459" s="1009"/>
      <c r="PU459" s="1009"/>
      <c r="PV459" s="1009"/>
      <c r="PW459" s="1009"/>
      <c r="PX459" s="1009"/>
      <c r="PY459" s="1009"/>
      <c r="PZ459" s="1009"/>
      <c r="QA459" s="1009"/>
      <c r="QB459" s="1009"/>
      <c r="QC459" s="1009"/>
      <c r="QD459" s="1009"/>
      <c r="QE459" s="1009"/>
      <c r="QF459" s="1009"/>
      <c r="QG459" s="1009"/>
      <c r="QH459" s="1009"/>
      <c r="QI459" s="1009"/>
      <c r="QJ459" s="1009"/>
      <c r="QK459" s="1009"/>
      <c r="QL459" s="1009"/>
      <c r="QM459" s="1009"/>
      <c r="QN459" s="1009"/>
      <c r="QO459" s="1009"/>
      <c r="QP459" s="1009"/>
      <c r="QQ459" s="1009"/>
      <c r="QR459" s="1009"/>
      <c r="QS459" s="1009"/>
      <c r="QT459" s="1009"/>
      <c r="QU459" s="1009"/>
      <c r="QV459" s="1009"/>
      <c r="QW459" s="1009"/>
      <c r="QX459" s="1009"/>
      <c r="QY459" s="1009"/>
      <c r="QZ459" s="1009"/>
      <c r="RA459" s="1009"/>
      <c r="RB459" s="1009"/>
      <c r="RC459" s="1009"/>
      <c r="RD459" s="1009"/>
      <c r="RE459" s="1009"/>
      <c r="RF459" s="1009"/>
      <c r="RG459" s="1009"/>
      <c r="RH459" s="1009"/>
      <c r="RI459" s="1009"/>
      <c r="RJ459" s="1009"/>
      <c r="RK459" s="1009"/>
      <c r="RL459" s="1009"/>
      <c r="RM459" s="1009"/>
      <c r="RN459" s="1009"/>
      <c r="RO459" s="1009"/>
      <c r="RP459" s="1009"/>
      <c r="RQ459" s="1009"/>
      <c r="RR459" s="1009"/>
      <c r="RS459" s="1009"/>
      <c r="RT459" s="1009"/>
      <c r="RU459" s="1009"/>
      <c r="RV459" s="1009"/>
      <c r="RW459" s="1009"/>
      <c r="RX459" s="1009"/>
      <c r="RY459" s="1009"/>
      <c r="RZ459" s="1009"/>
      <c r="SA459" s="1009"/>
      <c r="SB459" s="1009"/>
      <c r="SC459" s="1009"/>
      <c r="SD459" s="1009"/>
      <c r="SE459" s="1009"/>
      <c r="SF459" s="1009"/>
      <c r="SG459" s="1009"/>
      <c r="SH459" s="1009"/>
      <c r="SI459" s="1009"/>
      <c r="SJ459" s="1009"/>
      <c r="SK459" s="1009"/>
      <c r="SL459" s="1009"/>
      <c r="SM459" s="1009"/>
      <c r="SN459" s="1009"/>
      <c r="SO459" s="1009"/>
      <c r="SP459" s="1009"/>
      <c r="SQ459" s="1009"/>
      <c r="SR459" s="1009"/>
      <c r="SS459" s="1009"/>
      <c r="ST459" s="1009"/>
      <c r="SU459" s="1009"/>
      <c r="SV459" s="1009"/>
      <c r="SW459" s="1009"/>
      <c r="SX459" s="1009"/>
      <c r="SY459" s="1009"/>
      <c r="SZ459" s="1009"/>
      <c r="TA459" s="1009"/>
      <c r="TB459" s="1009"/>
      <c r="TC459" s="1009"/>
      <c r="TD459" s="1009"/>
      <c r="TE459" s="1009"/>
      <c r="TF459" s="1009"/>
      <c r="TG459" s="1009"/>
      <c r="TH459" s="1009"/>
      <c r="TI459" s="1009"/>
      <c r="TJ459" s="1009"/>
      <c r="TK459" s="1009"/>
      <c r="TL459" s="1009"/>
      <c r="TM459" s="1009"/>
      <c r="TN459" s="1009"/>
      <c r="TO459" s="1009"/>
      <c r="TP459" s="1009"/>
      <c r="TQ459" s="1009"/>
      <c r="TR459" s="1009"/>
      <c r="TS459" s="1009"/>
      <c r="TT459" s="1009"/>
      <c r="TU459" s="1009"/>
      <c r="TV459" s="1009"/>
      <c r="TW459" s="1009"/>
      <c r="TX459" s="1009"/>
      <c r="TY459" s="1009"/>
      <c r="TZ459" s="1009"/>
      <c r="UA459" s="1009"/>
      <c r="UB459" s="1009"/>
      <c r="UC459" s="1009"/>
      <c r="UD459" s="1009"/>
      <c r="UE459" s="1009"/>
      <c r="UF459" s="1009"/>
      <c r="UG459" s="1009"/>
      <c r="UH459" s="1009"/>
      <c r="UI459" s="1009"/>
      <c r="UJ459" s="1009"/>
      <c r="UK459" s="1009"/>
      <c r="UL459" s="1009"/>
      <c r="UM459" s="1009"/>
      <c r="UN459" s="1009"/>
      <c r="UO459" s="1009"/>
      <c r="UP459" s="1009"/>
      <c r="UQ459" s="1009"/>
      <c r="UR459" s="1009"/>
      <c r="US459" s="1009"/>
      <c r="UT459" s="1009"/>
      <c r="UU459" s="1009"/>
      <c r="UV459" s="1009"/>
      <c r="UW459" s="1009"/>
      <c r="UX459" s="1009"/>
      <c r="UY459" s="1009"/>
      <c r="UZ459" s="1009"/>
      <c r="VA459" s="1009"/>
      <c r="VB459" s="1009"/>
      <c r="VC459" s="1009"/>
      <c r="VD459" s="1009"/>
      <c r="VE459" s="1009"/>
      <c r="VF459" s="1009"/>
      <c r="VG459" s="1009"/>
      <c r="VH459" s="1009"/>
      <c r="VI459" s="1009"/>
      <c r="VJ459" s="1009"/>
      <c r="VK459" s="1009"/>
      <c r="VL459" s="1009"/>
      <c r="VM459" s="1009"/>
      <c r="VN459" s="1009"/>
      <c r="VO459" s="1009"/>
      <c r="VP459" s="1009"/>
      <c r="VQ459" s="1009"/>
      <c r="VR459" s="1009"/>
      <c r="VS459" s="1009"/>
      <c r="VT459" s="1009"/>
      <c r="VU459" s="1009"/>
      <c r="VV459" s="1009"/>
      <c r="VW459" s="1009"/>
      <c r="VX459" s="1009"/>
      <c r="VY459" s="1009"/>
      <c r="VZ459" s="1009"/>
      <c r="WA459" s="1009"/>
      <c r="WB459" s="1009"/>
      <c r="WC459" s="1009"/>
      <c r="WD459" s="1009"/>
      <c r="WE459" s="1009"/>
      <c r="WF459" s="1009"/>
      <c r="WG459" s="1009"/>
      <c r="WH459" s="1009"/>
      <c r="WI459" s="1009"/>
      <c r="WJ459" s="1009"/>
      <c r="WK459" s="1009"/>
      <c r="WL459" s="1009"/>
      <c r="WM459" s="1009"/>
      <c r="WN459" s="1009"/>
      <c r="WO459" s="1009"/>
      <c r="WP459" s="1009"/>
      <c r="WQ459" s="1009"/>
      <c r="WR459" s="1009"/>
      <c r="WS459" s="1009"/>
      <c r="WT459" s="1009"/>
      <c r="WU459" s="1009"/>
      <c r="WV459" s="1009"/>
      <c r="WW459" s="1009"/>
      <c r="WX459" s="1009"/>
      <c r="WY459" s="1009"/>
      <c r="WZ459" s="1009"/>
      <c r="XA459" s="1009"/>
      <c r="XB459" s="1009"/>
      <c r="XC459" s="1009"/>
      <c r="XD459" s="1009"/>
      <c r="XE459" s="1009"/>
      <c r="XF459" s="1009"/>
      <c r="XG459" s="1009"/>
      <c r="XH459" s="1009"/>
      <c r="XI459" s="1009"/>
      <c r="XJ459" s="1009"/>
      <c r="XK459" s="1009"/>
      <c r="XL459" s="1009"/>
      <c r="XM459" s="1009"/>
      <c r="XN459" s="1009"/>
      <c r="XO459" s="1009"/>
      <c r="XP459" s="1009"/>
      <c r="XQ459" s="1009"/>
      <c r="XR459" s="1009"/>
      <c r="XS459" s="1009"/>
      <c r="XT459" s="1009"/>
      <c r="XU459" s="1009"/>
      <c r="XV459" s="1009"/>
      <c r="XW459" s="1009"/>
      <c r="XX459" s="1009"/>
      <c r="XY459" s="1009"/>
      <c r="XZ459" s="1009"/>
      <c r="YA459" s="1009"/>
      <c r="YB459" s="1009"/>
      <c r="YC459" s="1009"/>
      <c r="YD459" s="1009"/>
      <c r="YE459" s="1009"/>
      <c r="YF459" s="1009"/>
      <c r="YG459" s="1009"/>
      <c r="YH459" s="1009"/>
      <c r="YI459" s="1009"/>
      <c r="YJ459" s="1009"/>
      <c r="YK459" s="1009"/>
      <c r="YL459" s="1009"/>
      <c r="YM459" s="1009"/>
      <c r="YN459" s="1009"/>
      <c r="YO459" s="1009"/>
      <c r="YP459" s="1009"/>
      <c r="YQ459" s="1009"/>
      <c r="YR459" s="1009"/>
      <c r="YS459" s="1009"/>
      <c r="YT459" s="1009"/>
      <c r="YU459" s="1009"/>
      <c r="YV459" s="1009"/>
      <c r="YW459" s="1009"/>
      <c r="YX459" s="1009"/>
      <c r="YY459" s="1009"/>
      <c r="YZ459" s="1009"/>
      <c r="ZA459" s="1009"/>
      <c r="ZB459" s="1009"/>
      <c r="ZC459" s="1009"/>
      <c r="ZD459" s="1009"/>
      <c r="ZE459" s="1009"/>
      <c r="ZF459" s="1009"/>
      <c r="ZG459" s="1009"/>
      <c r="ZH459" s="1009"/>
      <c r="ZI459" s="1009"/>
      <c r="ZJ459" s="1009"/>
      <c r="ZK459" s="1009"/>
      <c r="ZL459" s="1009"/>
      <c r="ZM459" s="1009"/>
      <c r="ZN459" s="1009"/>
      <c r="ZO459" s="1009"/>
      <c r="ZP459" s="1009"/>
      <c r="ZQ459" s="1009"/>
      <c r="ZR459" s="1009"/>
      <c r="ZS459" s="1009"/>
      <c r="ZT459" s="1009"/>
      <c r="ZU459" s="1009"/>
      <c r="ZV459" s="1009"/>
      <c r="ZW459" s="1009"/>
      <c r="ZX459" s="1009"/>
      <c r="ZY459" s="1009"/>
      <c r="ZZ459" s="1009"/>
      <c r="AAA459" s="1009"/>
      <c r="AAB459" s="1009"/>
      <c r="AAC459" s="1009"/>
      <c r="AAD459" s="1009"/>
      <c r="AAE459" s="1009"/>
      <c r="AAF459" s="1009"/>
      <c r="AAG459" s="1009"/>
      <c r="AAH459" s="1009"/>
      <c r="AAI459" s="1009"/>
      <c r="AAJ459" s="1009"/>
      <c r="AAK459" s="1009"/>
      <c r="AAL459" s="1009"/>
      <c r="AAM459" s="1009"/>
      <c r="AAN459" s="1009"/>
      <c r="AAO459" s="1009"/>
      <c r="AAP459" s="1009"/>
      <c r="AAQ459" s="1009"/>
      <c r="AAR459" s="1009"/>
      <c r="AAS459" s="1009"/>
      <c r="AAT459" s="1009"/>
      <c r="AAU459" s="1009"/>
      <c r="AAV459" s="1009"/>
      <c r="AAW459" s="1009"/>
      <c r="AAX459" s="1009"/>
      <c r="AAY459" s="1009"/>
      <c r="AAZ459" s="1009"/>
      <c r="ABA459" s="1009"/>
      <c r="ABB459" s="1009"/>
      <c r="ABC459" s="1009"/>
      <c r="ABD459" s="1009"/>
      <c r="ABE459" s="1009"/>
      <c r="ABF459" s="1009"/>
      <c r="ABG459" s="1009"/>
      <c r="ABH459" s="1009"/>
      <c r="ABI459" s="1009"/>
      <c r="ABJ459" s="1009"/>
      <c r="ABK459" s="1009"/>
      <c r="ABL459" s="1009"/>
      <c r="ABM459" s="1009"/>
      <c r="ABN459" s="1009"/>
      <c r="ABO459" s="1009"/>
      <c r="ABP459" s="1009"/>
      <c r="ABQ459" s="1009"/>
    </row>
    <row r="460" spans="1:745" s="111" customFormat="1" ht="12.75" hidden="1" customHeight="1">
      <c r="A460" s="1270"/>
      <c r="B460" s="1652" t="s">
        <v>980</v>
      </c>
      <c r="C460" s="1653"/>
      <c r="D460" s="1653"/>
      <c r="E460" s="1654"/>
      <c r="F460" s="1655"/>
      <c r="G460" s="1654"/>
      <c r="H460" s="1659">
        <v>1</v>
      </c>
      <c r="I460" s="1672">
        <f>SUMIF(I57:I57,1,I448:I448)/2</f>
        <v>0</v>
      </c>
      <c r="J460" s="1672"/>
      <c r="K460" s="1672"/>
      <c r="L460" s="1672">
        <f>SUMIF(I57:L57,1,I448:L448)/2</f>
        <v>0</v>
      </c>
      <c r="M460" s="1672"/>
      <c r="N460" s="1672"/>
      <c r="O460" s="1672">
        <f>SUMIF(J57:O57,1,J448:O448)/2</f>
        <v>0</v>
      </c>
      <c r="P460" s="1672"/>
      <c r="Q460" s="1672"/>
      <c r="R460" s="1672">
        <f>SUMIF(M57:R57,1,M448:R448)/2</f>
        <v>0</v>
      </c>
      <c r="S460" s="1672"/>
      <c r="T460" s="1672"/>
      <c r="U460" s="1672">
        <f>SUMIF(P57:U57,1,P448:U448)/2</f>
        <v>0</v>
      </c>
      <c r="V460" s="1672">
        <f>SUMIF(Q64:V64,1,Q443:V443)/2</f>
        <v>0</v>
      </c>
      <c r="W460" s="1672"/>
      <c r="X460" s="1672">
        <f>SUMIF(S57:X57,1,S448:X448)/2</f>
        <v>0</v>
      </c>
      <c r="Y460" s="1656"/>
      <c r="Z460" s="1656"/>
      <c r="AA460" s="1656"/>
      <c r="AB460" s="1656"/>
      <c r="AC460" s="1656"/>
      <c r="AD460" s="1656"/>
      <c r="AE460" s="1656"/>
      <c r="AF460" s="1656"/>
      <c r="AG460" s="336"/>
      <c r="AH460" s="1044"/>
      <c r="AI460" s="1048"/>
      <c r="AJ460" s="1046"/>
      <c r="AK460" s="1009"/>
      <c r="AL460" s="1026"/>
      <c r="AM460" s="1025"/>
      <c r="AN460" s="1026"/>
      <c r="AO460" s="1009"/>
      <c r="AP460" s="1009"/>
      <c r="AQ460" s="1009"/>
      <c r="AR460" s="1009"/>
      <c r="AS460" s="1009"/>
      <c r="AT460" s="1009"/>
      <c r="AU460" s="1009"/>
      <c r="AV460" s="1009"/>
      <c r="AW460" s="1009"/>
      <c r="AX460" s="1009"/>
      <c r="AY460" s="1009"/>
      <c r="AZ460" s="1009"/>
      <c r="BA460" s="1009"/>
      <c r="BB460" s="1009"/>
      <c r="BC460" s="1009"/>
      <c r="BD460" s="1009"/>
      <c r="BE460" s="1009"/>
      <c r="BF460" s="1009"/>
      <c r="BG460" s="1009"/>
      <c r="BH460" s="1009"/>
      <c r="BI460" s="1009"/>
      <c r="BJ460" s="1009"/>
      <c r="BK460" s="1009"/>
      <c r="BL460" s="1009"/>
      <c r="BM460" s="1009"/>
      <c r="BN460" s="1009"/>
      <c r="BO460" s="1009"/>
      <c r="BP460" s="1009"/>
      <c r="BQ460" s="1009"/>
      <c r="BR460" s="1009"/>
      <c r="BS460" s="1009"/>
      <c r="BT460" s="1009"/>
      <c r="BU460" s="1009"/>
      <c r="BV460" s="1009"/>
      <c r="BW460" s="1009"/>
      <c r="BX460" s="1009"/>
      <c r="BY460" s="1009"/>
      <c r="BZ460" s="1009"/>
      <c r="CA460" s="1009"/>
      <c r="CB460" s="1009"/>
      <c r="CC460" s="1009"/>
      <c r="CD460" s="1009"/>
      <c r="CE460" s="1009"/>
      <c r="CF460" s="1009"/>
      <c r="CG460" s="1009"/>
      <c r="CH460" s="1009"/>
      <c r="CI460" s="1009"/>
      <c r="CJ460" s="1009"/>
      <c r="CK460" s="1009"/>
      <c r="CL460" s="1009"/>
      <c r="CM460" s="1009"/>
      <c r="CN460" s="1009"/>
      <c r="CO460" s="1009"/>
      <c r="CP460" s="1009"/>
      <c r="CQ460" s="1009"/>
      <c r="CR460" s="1009"/>
      <c r="CS460" s="1009"/>
      <c r="CT460" s="1009"/>
      <c r="CU460" s="1009"/>
      <c r="CV460" s="1009"/>
      <c r="CW460" s="1009"/>
      <c r="CX460" s="1009"/>
      <c r="CY460" s="1009"/>
      <c r="CZ460" s="1009"/>
      <c r="DA460" s="1009"/>
      <c r="DB460" s="1009"/>
      <c r="DC460" s="1009"/>
      <c r="DD460" s="1009"/>
      <c r="DE460" s="1009"/>
      <c r="DF460" s="1009"/>
      <c r="DG460" s="1009"/>
      <c r="DH460" s="1009"/>
      <c r="DI460" s="1009"/>
      <c r="DJ460" s="1009"/>
      <c r="DK460" s="1009"/>
      <c r="DL460" s="1009"/>
      <c r="DM460" s="1009"/>
      <c r="DN460" s="1009"/>
      <c r="DO460" s="1009"/>
      <c r="DP460" s="1009"/>
      <c r="DQ460" s="1009"/>
      <c r="DR460" s="1009"/>
      <c r="DS460" s="1009"/>
      <c r="DT460" s="1009"/>
      <c r="DU460" s="1009"/>
      <c r="DV460" s="1009"/>
      <c r="DW460" s="1009"/>
      <c r="DX460" s="1009"/>
      <c r="DY460" s="1009"/>
      <c r="DZ460" s="1009"/>
      <c r="EA460" s="1009"/>
      <c r="EB460" s="1009"/>
      <c r="EC460" s="1009"/>
      <c r="ED460" s="1009"/>
      <c r="EE460" s="1009"/>
      <c r="EF460" s="1009"/>
      <c r="EG460" s="1009"/>
      <c r="EH460" s="1009"/>
      <c r="EI460" s="1009"/>
      <c r="EJ460" s="1009"/>
      <c r="EK460" s="1009"/>
      <c r="EL460" s="1009"/>
      <c r="EM460" s="1009"/>
      <c r="EN460" s="1009"/>
      <c r="EO460" s="1009"/>
      <c r="EP460" s="1009"/>
      <c r="EQ460" s="1009"/>
      <c r="ER460" s="1009"/>
      <c r="ES460" s="1009"/>
      <c r="ET460" s="1009"/>
      <c r="EU460" s="1009"/>
      <c r="EV460" s="1009"/>
      <c r="EW460" s="1009"/>
      <c r="EX460" s="1009"/>
      <c r="EY460" s="1009"/>
      <c r="EZ460" s="1009"/>
      <c r="FA460" s="1009"/>
      <c r="FB460" s="1009"/>
      <c r="FC460" s="1009"/>
      <c r="FD460" s="1009"/>
      <c r="FE460" s="1009"/>
      <c r="FF460" s="1009"/>
      <c r="FG460" s="1009"/>
      <c r="FH460" s="1009"/>
      <c r="FI460" s="1009"/>
      <c r="FJ460" s="1009"/>
      <c r="FK460" s="1009"/>
      <c r="FL460" s="1009"/>
      <c r="FM460" s="1009"/>
      <c r="FN460" s="1009"/>
      <c r="FO460" s="1009"/>
      <c r="FP460" s="1009"/>
      <c r="FQ460" s="1009"/>
      <c r="FR460" s="1009"/>
      <c r="FS460" s="1009"/>
      <c r="FT460" s="1009"/>
      <c r="FU460" s="1009"/>
      <c r="FV460" s="1009"/>
      <c r="FW460" s="1009"/>
      <c r="FX460" s="1009"/>
      <c r="FY460" s="1009"/>
      <c r="FZ460" s="1009"/>
      <c r="GA460" s="1009"/>
      <c r="GB460" s="1009"/>
      <c r="GC460" s="1009"/>
      <c r="GD460" s="1009"/>
      <c r="GE460" s="1009"/>
      <c r="GF460" s="1009"/>
      <c r="GG460" s="1009"/>
      <c r="GH460" s="1009"/>
      <c r="GI460" s="1009"/>
      <c r="GJ460" s="1009"/>
      <c r="GK460" s="1009"/>
      <c r="GL460" s="1009"/>
      <c r="GM460" s="1009"/>
      <c r="GN460" s="1009"/>
      <c r="GO460" s="1009"/>
      <c r="GP460" s="1009"/>
      <c r="GQ460" s="1009"/>
      <c r="GR460" s="1009"/>
      <c r="GS460" s="1009"/>
      <c r="GT460" s="1009"/>
      <c r="GU460" s="1009"/>
      <c r="GV460" s="1009"/>
      <c r="GW460" s="1009"/>
      <c r="GX460" s="1009"/>
      <c r="GY460" s="1009"/>
      <c r="GZ460" s="1009"/>
      <c r="HA460" s="1009"/>
      <c r="HB460" s="1009"/>
      <c r="HC460" s="1009"/>
      <c r="HD460" s="1009"/>
      <c r="HE460" s="1009"/>
      <c r="HF460" s="1009"/>
      <c r="HG460" s="1009"/>
      <c r="HH460" s="1009"/>
      <c r="HI460" s="1009"/>
      <c r="HJ460" s="1009"/>
      <c r="HK460" s="1009"/>
      <c r="HL460" s="1009"/>
      <c r="HM460" s="1009"/>
      <c r="HN460" s="1009"/>
      <c r="HO460" s="1009"/>
      <c r="HP460" s="1009"/>
      <c r="HQ460" s="1009"/>
      <c r="HR460" s="1009"/>
      <c r="HS460" s="1009"/>
      <c r="HT460" s="1009"/>
      <c r="HU460" s="1009"/>
      <c r="HV460" s="1009"/>
      <c r="HW460" s="1009"/>
      <c r="HX460" s="1009"/>
      <c r="HY460" s="1009"/>
      <c r="HZ460" s="1009"/>
      <c r="IA460" s="1009"/>
      <c r="IB460" s="1009"/>
      <c r="IC460" s="1009"/>
      <c r="ID460" s="1009"/>
      <c r="IE460" s="1009"/>
      <c r="IF460" s="1009"/>
      <c r="IG460" s="1009"/>
      <c r="IH460" s="1009"/>
      <c r="II460" s="1009"/>
      <c r="IJ460" s="1009"/>
      <c r="IK460" s="1009"/>
      <c r="IL460" s="1009"/>
      <c r="IM460" s="1009"/>
      <c r="IN460" s="1009"/>
      <c r="IO460" s="1009"/>
      <c r="IP460" s="1009"/>
      <c r="IQ460" s="1009"/>
      <c r="IR460" s="1009"/>
      <c r="IS460" s="1009"/>
      <c r="IT460" s="1009"/>
      <c r="IU460" s="1009"/>
      <c r="IV460" s="1009"/>
      <c r="IW460" s="1009"/>
      <c r="IX460" s="1009"/>
      <c r="IY460" s="1009"/>
      <c r="IZ460" s="1009"/>
      <c r="JA460" s="1009"/>
      <c r="JB460" s="1009"/>
      <c r="JC460" s="1009"/>
      <c r="JD460" s="1009"/>
      <c r="JE460" s="1009"/>
      <c r="JF460" s="1009"/>
      <c r="JG460" s="1009"/>
      <c r="JH460" s="1009"/>
      <c r="JI460" s="1009"/>
      <c r="JJ460" s="1009"/>
      <c r="JK460" s="1009"/>
      <c r="JL460" s="1009"/>
      <c r="JM460" s="1009"/>
      <c r="JN460" s="1009"/>
      <c r="JO460" s="1009"/>
      <c r="JP460" s="1009"/>
      <c r="JQ460" s="1009"/>
      <c r="JR460" s="1009"/>
      <c r="JS460" s="1009"/>
      <c r="JT460" s="1009"/>
      <c r="JU460" s="1009"/>
      <c r="JV460" s="1009"/>
      <c r="JW460" s="1009"/>
      <c r="JX460" s="1009"/>
      <c r="JY460" s="1009"/>
      <c r="JZ460" s="1009"/>
      <c r="KA460" s="1009"/>
      <c r="KB460" s="1009"/>
      <c r="KC460" s="1009"/>
      <c r="KD460" s="1009"/>
      <c r="KE460" s="1009"/>
      <c r="KF460" s="1009"/>
      <c r="KG460" s="1009"/>
      <c r="KH460" s="1009"/>
      <c r="KI460" s="1009"/>
      <c r="KJ460" s="1009"/>
      <c r="KK460" s="1009"/>
      <c r="KL460" s="1009"/>
      <c r="KM460" s="1009"/>
      <c r="KN460" s="1009"/>
      <c r="KO460" s="1009"/>
      <c r="KP460" s="1009"/>
      <c r="KQ460" s="1009"/>
      <c r="KR460" s="1009"/>
      <c r="KS460" s="1009"/>
      <c r="KT460" s="1009"/>
      <c r="KU460" s="1009"/>
      <c r="KV460" s="1009"/>
      <c r="KW460" s="1009"/>
      <c r="KX460" s="1009"/>
      <c r="KY460" s="1009"/>
      <c r="KZ460" s="1009"/>
      <c r="LA460" s="1009"/>
      <c r="LB460" s="1009"/>
      <c r="LC460" s="1009"/>
      <c r="LD460" s="1009"/>
      <c r="LE460" s="1009"/>
      <c r="LF460" s="1009"/>
      <c r="LG460" s="1009"/>
      <c r="LH460" s="1009"/>
      <c r="LI460" s="1009"/>
      <c r="LJ460" s="1009"/>
      <c r="LK460" s="1009"/>
      <c r="LL460" s="1009"/>
      <c r="LM460" s="1009"/>
      <c r="LN460" s="1009"/>
      <c r="LO460" s="1009"/>
      <c r="LP460" s="1009"/>
      <c r="LQ460" s="1009"/>
      <c r="LR460" s="1009"/>
      <c r="LS460" s="1009"/>
      <c r="LT460" s="1009"/>
      <c r="LU460" s="1009"/>
      <c r="LV460" s="1009"/>
      <c r="LW460" s="1009"/>
      <c r="LX460" s="1009"/>
      <c r="LY460" s="1009"/>
      <c r="LZ460" s="1009"/>
      <c r="MA460" s="1009"/>
      <c r="MB460" s="1009"/>
      <c r="MC460" s="1009"/>
      <c r="MD460" s="1009"/>
      <c r="ME460" s="1009"/>
      <c r="MF460" s="1009"/>
      <c r="MG460" s="1009"/>
      <c r="MH460" s="1009"/>
      <c r="MI460" s="1009"/>
      <c r="MJ460" s="1009"/>
      <c r="MK460" s="1009"/>
      <c r="ML460" s="1009"/>
      <c r="MM460" s="1009"/>
      <c r="MN460" s="1009"/>
      <c r="MO460" s="1009"/>
      <c r="MP460" s="1009"/>
      <c r="MQ460" s="1009"/>
      <c r="MR460" s="1009"/>
      <c r="MS460" s="1009"/>
      <c r="MT460" s="1009"/>
      <c r="MU460" s="1009"/>
      <c r="MV460" s="1009"/>
      <c r="MW460" s="1009"/>
      <c r="MX460" s="1009"/>
      <c r="MY460" s="1009"/>
      <c r="MZ460" s="1009"/>
      <c r="NA460" s="1009"/>
      <c r="NB460" s="1009"/>
      <c r="NC460" s="1009"/>
      <c r="ND460" s="1009"/>
      <c r="NE460" s="1009"/>
      <c r="NF460" s="1009"/>
      <c r="NG460" s="1009"/>
      <c r="NH460" s="1009"/>
      <c r="NI460" s="1009"/>
      <c r="NJ460" s="1009"/>
      <c r="NK460" s="1009"/>
      <c r="NL460" s="1009"/>
      <c r="NM460" s="1009"/>
      <c r="NN460" s="1009"/>
      <c r="NO460" s="1009"/>
      <c r="NP460" s="1009"/>
      <c r="NQ460" s="1009"/>
      <c r="NR460" s="1009"/>
      <c r="NS460" s="1009"/>
      <c r="NT460" s="1009"/>
      <c r="NU460" s="1009"/>
      <c r="NV460" s="1009"/>
      <c r="NW460" s="1009"/>
      <c r="NX460" s="1009"/>
      <c r="NY460" s="1009"/>
      <c r="NZ460" s="1009"/>
      <c r="OA460" s="1009"/>
      <c r="OB460" s="1009"/>
      <c r="OC460" s="1009"/>
      <c r="OD460" s="1009"/>
      <c r="OE460" s="1009"/>
      <c r="OF460" s="1009"/>
      <c r="OG460" s="1009"/>
      <c r="OH460" s="1009"/>
      <c r="OI460" s="1009"/>
      <c r="OJ460" s="1009"/>
      <c r="OK460" s="1009"/>
      <c r="OL460" s="1009"/>
      <c r="OM460" s="1009"/>
      <c r="ON460" s="1009"/>
      <c r="OO460" s="1009"/>
      <c r="OP460" s="1009"/>
      <c r="OQ460" s="1009"/>
      <c r="OR460" s="1009"/>
      <c r="OS460" s="1009"/>
      <c r="OT460" s="1009"/>
      <c r="OU460" s="1009"/>
      <c r="OV460" s="1009"/>
      <c r="OW460" s="1009"/>
      <c r="OX460" s="1009"/>
      <c r="OY460" s="1009"/>
      <c r="OZ460" s="1009"/>
      <c r="PA460" s="1009"/>
      <c r="PB460" s="1009"/>
      <c r="PC460" s="1009"/>
      <c r="PD460" s="1009"/>
      <c r="PE460" s="1009"/>
      <c r="PF460" s="1009"/>
      <c r="PG460" s="1009"/>
      <c r="PH460" s="1009"/>
      <c r="PI460" s="1009"/>
      <c r="PJ460" s="1009"/>
      <c r="PK460" s="1009"/>
      <c r="PL460" s="1009"/>
      <c r="PM460" s="1009"/>
      <c r="PN460" s="1009"/>
      <c r="PO460" s="1009"/>
      <c r="PP460" s="1009"/>
      <c r="PQ460" s="1009"/>
      <c r="PR460" s="1009"/>
      <c r="PS460" s="1009"/>
      <c r="PT460" s="1009"/>
      <c r="PU460" s="1009"/>
      <c r="PV460" s="1009"/>
      <c r="PW460" s="1009"/>
      <c r="PX460" s="1009"/>
      <c r="PY460" s="1009"/>
      <c r="PZ460" s="1009"/>
      <c r="QA460" s="1009"/>
      <c r="QB460" s="1009"/>
      <c r="QC460" s="1009"/>
      <c r="QD460" s="1009"/>
      <c r="QE460" s="1009"/>
      <c r="QF460" s="1009"/>
      <c r="QG460" s="1009"/>
      <c r="QH460" s="1009"/>
      <c r="QI460" s="1009"/>
      <c r="QJ460" s="1009"/>
      <c r="QK460" s="1009"/>
      <c r="QL460" s="1009"/>
      <c r="QM460" s="1009"/>
      <c r="QN460" s="1009"/>
      <c r="QO460" s="1009"/>
      <c r="QP460" s="1009"/>
      <c r="QQ460" s="1009"/>
      <c r="QR460" s="1009"/>
      <c r="QS460" s="1009"/>
      <c r="QT460" s="1009"/>
      <c r="QU460" s="1009"/>
      <c r="QV460" s="1009"/>
      <c r="QW460" s="1009"/>
      <c r="QX460" s="1009"/>
      <c r="QY460" s="1009"/>
      <c r="QZ460" s="1009"/>
      <c r="RA460" s="1009"/>
      <c r="RB460" s="1009"/>
      <c r="RC460" s="1009"/>
      <c r="RD460" s="1009"/>
      <c r="RE460" s="1009"/>
      <c r="RF460" s="1009"/>
      <c r="RG460" s="1009"/>
      <c r="RH460" s="1009"/>
      <c r="RI460" s="1009"/>
      <c r="RJ460" s="1009"/>
      <c r="RK460" s="1009"/>
      <c r="RL460" s="1009"/>
      <c r="RM460" s="1009"/>
      <c r="RN460" s="1009"/>
      <c r="RO460" s="1009"/>
      <c r="RP460" s="1009"/>
      <c r="RQ460" s="1009"/>
      <c r="RR460" s="1009"/>
      <c r="RS460" s="1009"/>
      <c r="RT460" s="1009"/>
      <c r="RU460" s="1009"/>
      <c r="RV460" s="1009"/>
      <c r="RW460" s="1009"/>
      <c r="RX460" s="1009"/>
      <c r="RY460" s="1009"/>
      <c r="RZ460" s="1009"/>
      <c r="SA460" s="1009"/>
      <c r="SB460" s="1009"/>
      <c r="SC460" s="1009"/>
      <c r="SD460" s="1009"/>
      <c r="SE460" s="1009"/>
      <c r="SF460" s="1009"/>
      <c r="SG460" s="1009"/>
      <c r="SH460" s="1009"/>
      <c r="SI460" s="1009"/>
      <c r="SJ460" s="1009"/>
      <c r="SK460" s="1009"/>
      <c r="SL460" s="1009"/>
      <c r="SM460" s="1009"/>
      <c r="SN460" s="1009"/>
      <c r="SO460" s="1009"/>
      <c r="SP460" s="1009"/>
      <c r="SQ460" s="1009"/>
      <c r="SR460" s="1009"/>
      <c r="SS460" s="1009"/>
      <c r="ST460" s="1009"/>
      <c r="SU460" s="1009"/>
      <c r="SV460" s="1009"/>
      <c r="SW460" s="1009"/>
      <c r="SX460" s="1009"/>
      <c r="SY460" s="1009"/>
      <c r="SZ460" s="1009"/>
      <c r="TA460" s="1009"/>
      <c r="TB460" s="1009"/>
      <c r="TC460" s="1009"/>
      <c r="TD460" s="1009"/>
      <c r="TE460" s="1009"/>
      <c r="TF460" s="1009"/>
      <c r="TG460" s="1009"/>
      <c r="TH460" s="1009"/>
      <c r="TI460" s="1009"/>
      <c r="TJ460" s="1009"/>
      <c r="TK460" s="1009"/>
      <c r="TL460" s="1009"/>
      <c r="TM460" s="1009"/>
      <c r="TN460" s="1009"/>
      <c r="TO460" s="1009"/>
      <c r="TP460" s="1009"/>
      <c r="TQ460" s="1009"/>
      <c r="TR460" s="1009"/>
      <c r="TS460" s="1009"/>
      <c r="TT460" s="1009"/>
      <c r="TU460" s="1009"/>
      <c r="TV460" s="1009"/>
      <c r="TW460" s="1009"/>
      <c r="TX460" s="1009"/>
      <c r="TY460" s="1009"/>
      <c r="TZ460" s="1009"/>
      <c r="UA460" s="1009"/>
      <c r="UB460" s="1009"/>
      <c r="UC460" s="1009"/>
      <c r="UD460" s="1009"/>
      <c r="UE460" s="1009"/>
      <c r="UF460" s="1009"/>
      <c r="UG460" s="1009"/>
      <c r="UH460" s="1009"/>
      <c r="UI460" s="1009"/>
      <c r="UJ460" s="1009"/>
      <c r="UK460" s="1009"/>
      <c r="UL460" s="1009"/>
      <c r="UM460" s="1009"/>
      <c r="UN460" s="1009"/>
      <c r="UO460" s="1009"/>
      <c r="UP460" s="1009"/>
      <c r="UQ460" s="1009"/>
      <c r="UR460" s="1009"/>
      <c r="US460" s="1009"/>
      <c r="UT460" s="1009"/>
      <c r="UU460" s="1009"/>
      <c r="UV460" s="1009"/>
      <c r="UW460" s="1009"/>
      <c r="UX460" s="1009"/>
      <c r="UY460" s="1009"/>
      <c r="UZ460" s="1009"/>
      <c r="VA460" s="1009"/>
      <c r="VB460" s="1009"/>
      <c r="VC460" s="1009"/>
      <c r="VD460" s="1009"/>
      <c r="VE460" s="1009"/>
      <c r="VF460" s="1009"/>
      <c r="VG460" s="1009"/>
      <c r="VH460" s="1009"/>
      <c r="VI460" s="1009"/>
      <c r="VJ460" s="1009"/>
      <c r="VK460" s="1009"/>
      <c r="VL460" s="1009"/>
      <c r="VM460" s="1009"/>
      <c r="VN460" s="1009"/>
      <c r="VO460" s="1009"/>
      <c r="VP460" s="1009"/>
      <c r="VQ460" s="1009"/>
      <c r="VR460" s="1009"/>
      <c r="VS460" s="1009"/>
      <c r="VT460" s="1009"/>
      <c r="VU460" s="1009"/>
      <c r="VV460" s="1009"/>
      <c r="VW460" s="1009"/>
      <c r="VX460" s="1009"/>
      <c r="VY460" s="1009"/>
      <c r="VZ460" s="1009"/>
      <c r="WA460" s="1009"/>
      <c r="WB460" s="1009"/>
      <c r="WC460" s="1009"/>
      <c r="WD460" s="1009"/>
      <c r="WE460" s="1009"/>
      <c r="WF460" s="1009"/>
      <c r="WG460" s="1009"/>
      <c r="WH460" s="1009"/>
      <c r="WI460" s="1009"/>
      <c r="WJ460" s="1009"/>
      <c r="WK460" s="1009"/>
      <c r="WL460" s="1009"/>
      <c r="WM460" s="1009"/>
      <c r="WN460" s="1009"/>
      <c r="WO460" s="1009"/>
      <c r="WP460" s="1009"/>
      <c r="WQ460" s="1009"/>
      <c r="WR460" s="1009"/>
      <c r="WS460" s="1009"/>
      <c r="WT460" s="1009"/>
      <c r="WU460" s="1009"/>
      <c r="WV460" s="1009"/>
      <c r="WW460" s="1009"/>
      <c r="WX460" s="1009"/>
      <c r="WY460" s="1009"/>
      <c r="WZ460" s="1009"/>
      <c r="XA460" s="1009"/>
      <c r="XB460" s="1009"/>
      <c r="XC460" s="1009"/>
      <c r="XD460" s="1009"/>
      <c r="XE460" s="1009"/>
      <c r="XF460" s="1009"/>
      <c r="XG460" s="1009"/>
      <c r="XH460" s="1009"/>
      <c r="XI460" s="1009"/>
      <c r="XJ460" s="1009"/>
      <c r="XK460" s="1009"/>
      <c r="XL460" s="1009"/>
      <c r="XM460" s="1009"/>
      <c r="XN460" s="1009"/>
      <c r="XO460" s="1009"/>
      <c r="XP460" s="1009"/>
      <c r="XQ460" s="1009"/>
      <c r="XR460" s="1009"/>
      <c r="XS460" s="1009"/>
      <c r="XT460" s="1009"/>
      <c r="XU460" s="1009"/>
      <c r="XV460" s="1009"/>
      <c r="XW460" s="1009"/>
      <c r="XX460" s="1009"/>
      <c r="XY460" s="1009"/>
      <c r="XZ460" s="1009"/>
      <c r="YA460" s="1009"/>
      <c r="YB460" s="1009"/>
      <c r="YC460" s="1009"/>
      <c r="YD460" s="1009"/>
      <c r="YE460" s="1009"/>
      <c r="YF460" s="1009"/>
      <c r="YG460" s="1009"/>
      <c r="YH460" s="1009"/>
      <c r="YI460" s="1009"/>
      <c r="YJ460" s="1009"/>
      <c r="YK460" s="1009"/>
      <c r="YL460" s="1009"/>
      <c r="YM460" s="1009"/>
      <c r="YN460" s="1009"/>
      <c r="YO460" s="1009"/>
      <c r="YP460" s="1009"/>
      <c r="YQ460" s="1009"/>
      <c r="YR460" s="1009"/>
      <c r="YS460" s="1009"/>
      <c r="YT460" s="1009"/>
      <c r="YU460" s="1009"/>
      <c r="YV460" s="1009"/>
      <c r="YW460" s="1009"/>
      <c r="YX460" s="1009"/>
      <c r="YY460" s="1009"/>
      <c r="YZ460" s="1009"/>
      <c r="ZA460" s="1009"/>
      <c r="ZB460" s="1009"/>
      <c r="ZC460" s="1009"/>
      <c r="ZD460" s="1009"/>
      <c r="ZE460" s="1009"/>
      <c r="ZF460" s="1009"/>
      <c r="ZG460" s="1009"/>
      <c r="ZH460" s="1009"/>
      <c r="ZI460" s="1009"/>
      <c r="ZJ460" s="1009"/>
      <c r="ZK460" s="1009"/>
      <c r="ZL460" s="1009"/>
      <c r="ZM460" s="1009"/>
      <c r="ZN460" s="1009"/>
      <c r="ZO460" s="1009"/>
      <c r="ZP460" s="1009"/>
      <c r="ZQ460" s="1009"/>
      <c r="ZR460" s="1009"/>
      <c r="ZS460" s="1009"/>
      <c r="ZT460" s="1009"/>
      <c r="ZU460" s="1009"/>
      <c r="ZV460" s="1009"/>
      <c r="ZW460" s="1009"/>
      <c r="ZX460" s="1009"/>
      <c r="ZY460" s="1009"/>
      <c r="ZZ460" s="1009"/>
      <c r="AAA460" s="1009"/>
      <c r="AAB460" s="1009"/>
      <c r="AAC460" s="1009"/>
      <c r="AAD460" s="1009"/>
      <c r="AAE460" s="1009"/>
      <c r="AAF460" s="1009"/>
      <c r="AAG460" s="1009"/>
      <c r="AAH460" s="1009"/>
      <c r="AAI460" s="1009"/>
      <c r="AAJ460" s="1009"/>
      <c r="AAK460" s="1009"/>
      <c r="AAL460" s="1009"/>
      <c r="AAM460" s="1009"/>
      <c r="AAN460" s="1009"/>
      <c r="AAO460" s="1009"/>
      <c r="AAP460" s="1009"/>
      <c r="AAQ460" s="1009"/>
      <c r="AAR460" s="1009"/>
      <c r="AAS460" s="1009"/>
      <c r="AAT460" s="1009"/>
      <c r="AAU460" s="1009"/>
      <c r="AAV460" s="1009"/>
      <c r="AAW460" s="1009"/>
      <c r="AAX460" s="1009"/>
      <c r="AAY460" s="1009"/>
      <c r="AAZ460" s="1009"/>
      <c r="ABA460" s="1009"/>
      <c r="ABB460" s="1009"/>
      <c r="ABC460" s="1009"/>
      <c r="ABD460" s="1009"/>
      <c r="ABE460" s="1009"/>
      <c r="ABF460" s="1009"/>
      <c r="ABG460" s="1009"/>
      <c r="ABH460" s="1009"/>
      <c r="ABI460" s="1009"/>
      <c r="ABJ460" s="1009"/>
      <c r="ABK460" s="1009"/>
      <c r="ABL460" s="1009"/>
      <c r="ABM460" s="1009"/>
      <c r="ABN460" s="1009"/>
      <c r="ABO460" s="1009"/>
      <c r="ABP460" s="1009"/>
      <c r="ABQ460" s="1009"/>
    </row>
    <row r="461" spans="1:745" s="111" customFormat="1" ht="12.75" hidden="1" customHeight="1">
      <c r="A461" s="1270"/>
      <c r="B461" s="1652" t="s">
        <v>981</v>
      </c>
      <c r="C461" s="1653"/>
      <c r="D461" s="1653"/>
      <c r="E461" s="1654"/>
      <c r="F461" s="1655"/>
      <c r="G461" s="1654"/>
      <c r="H461" s="1657"/>
      <c r="I461" s="1656">
        <f t="shared" ref="I461:X461" si="149">SUMIF($H$458:$H$460,$T$429,I458:I460)</f>
        <v>0</v>
      </c>
      <c r="J461" s="1656">
        <f t="shared" si="149"/>
        <v>0</v>
      </c>
      <c r="K461" s="1656">
        <f t="shared" si="149"/>
        <v>0</v>
      </c>
      <c r="L461" s="1656">
        <f t="shared" si="149"/>
        <v>0</v>
      </c>
      <c r="M461" s="1656">
        <f t="shared" si="149"/>
        <v>0</v>
      </c>
      <c r="N461" s="1656">
        <f t="shared" si="149"/>
        <v>0</v>
      </c>
      <c r="O461" s="1656">
        <f t="shared" si="149"/>
        <v>0</v>
      </c>
      <c r="P461" s="1656">
        <f t="shared" si="149"/>
        <v>0</v>
      </c>
      <c r="Q461" s="1656">
        <f t="shared" si="149"/>
        <v>0</v>
      </c>
      <c r="R461" s="1656">
        <f t="shared" si="149"/>
        <v>0</v>
      </c>
      <c r="S461" s="1656">
        <f t="shared" si="149"/>
        <v>0</v>
      </c>
      <c r="T461" s="1656">
        <f t="shared" si="149"/>
        <v>0</v>
      </c>
      <c r="U461" s="1656">
        <f t="shared" si="149"/>
        <v>0</v>
      </c>
      <c r="V461" s="1656">
        <f t="shared" si="149"/>
        <v>0</v>
      </c>
      <c r="W461" s="1656">
        <f t="shared" si="149"/>
        <v>0</v>
      </c>
      <c r="X461" s="1656">
        <f t="shared" si="149"/>
        <v>0</v>
      </c>
      <c r="Y461" s="1656">
        <f>SUMIF($H$451:$H$453,$T$429,Y458:Y460)</f>
        <v>0</v>
      </c>
      <c r="Z461" s="1656"/>
      <c r="AA461" s="1656"/>
      <c r="AB461" s="1656"/>
      <c r="AC461" s="1656"/>
      <c r="AD461" s="1656"/>
      <c r="AE461" s="1656"/>
      <c r="AF461" s="1656"/>
      <c r="AG461" s="336"/>
      <c r="AH461" s="1044"/>
      <c r="AI461" s="1048"/>
      <c r="AJ461" s="1046"/>
      <c r="AK461" s="1009"/>
      <c r="AL461" s="1026"/>
      <c r="AM461" s="1025"/>
      <c r="AN461" s="1026"/>
      <c r="AO461" s="1009"/>
      <c r="AP461" s="1009"/>
      <c r="AQ461" s="1009"/>
      <c r="AR461" s="1009"/>
      <c r="AS461" s="1009"/>
      <c r="AT461" s="1009"/>
      <c r="AU461" s="1009"/>
      <c r="AV461" s="1009"/>
      <c r="AW461" s="1009"/>
      <c r="AX461" s="1009"/>
      <c r="AY461" s="1009"/>
      <c r="AZ461" s="1009"/>
      <c r="BA461" s="1009"/>
      <c r="BB461" s="1009"/>
      <c r="BC461" s="1009"/>
      <c r="BD461" s="1009"/>
      <c r="BE461" s="1009"/>
      <c r="BF461" s="1009"/>
      <c r="BG461" s="1009"/>
      <c r="BH461" s="1009"/>
      <c r="BI461" s="1009"/>
      <c r="BJ461" s="1009"/>
      <c r="BK461" s="1009"/>
      <c r="BL461" s="1009"/>
      <c r="BM461" s="1009"/>
      <c r="BN461" s="1009"/>
      <c r="BO461" s="1009"/>
      <c r="BP461" s="1009"/>
      <c r="BQ461" s="1009"/>
      <c r="BR461" s="1009"/>
      <c r="BS461" s="1009"/>
      <c r="BT461" s="1009"/>
      <c r="BU461" s="1009"/>
      <c r="BV461" s="1009"/>
      <c r="BW461" s="1009"/>
      <c r="BX461" s="1009"/>
      <c r="BY461" s="1009"/>
      <c r="BZ461" s="1009"/>
      <c r="CA461" s="1009"/>
      <c r="CB461" s="1009"/>
      <c r="CC461" s="1009"/>
      <c r="CD461" s="1009"/>
      <c r="CE461" s="1009"/>
      <c r="CF461" s="1009"/>
      <c r="CG461" s="1009"/>
      <c r="CH461" s="1009"/>
      <c r="CI461" s="1009"/>
      <c r="CJ461" s="1009"/>
      <c r="CK461" s="1009"/>
      <c r="CL461" s="1009"/>
      <c r="CM461" s="1009"/>
      <c r="CN461" s="1009"/>
      <c r="CO461" s="1009"/>
      <c r="CP461" s="1009"/>
      <c r="CQ461" s="1009"/>
      <c r="CR461" s="1009"/>
      <c r="CS461" s="1009"/>
      <c r="CT461" s="1009"/>
      <c r="CU461" s="1009"/>
      <c r="CV461" s="1009"/>
      <c r="CW461" s="1009"/>
      <c r="CX461" s="1009"/>
      <c r="CY461" s="1009"/>
      <c r="CZ461" s="1009"/>
      <c r="DA461" s="1009"/>
      <c r="DB461" s="1009"/>
      <c r="DC461" s="1009"/>
      <c r="DD461" s="1009"/>
      <c r="DE461" s="1009"/>
      <c r="DF461" s="1009"/>
      <c r="DG461" s="1009"/>
      <c r="DH461" s="1009"/>
      <c r="DI461" s="1009"/>
      <c r="DJ461" s="1009"/>
      <c r="DK461" s="1009"/>
      <c r="DL461" s="1009"/>
      <c r="DM461" s="1009"/>
      <c r="DN461" s="1009"/>
      <c r="DO461" s="1009"/>
      <c r="DP461" s="1009"/>
      <c r="DQ461" s="1009"/>
      <c r="DR461" s="1009"/>
      <c r="DS461" s="1009"/>
      <c r="DT461" s="1009"/>
      <c r="DU461" s="1009"/>
      <c r="DV461" s="1009"/>
      <c r="DW461" s="1009"/>
      <c r="DX461" s="1009"/>
      <c r="DY461" s="1009"/>
      <c r="DZ461" s="1009"/>
      <c r="EA461" s="1009"/>
      <c r="EB461" s="1009"/>
      <c r="EC461" s="1009"/>
      <c r="ED461" s="1009"/>
      <c r="EE461" s="1009"/>
      <c r="EF461" s="1009"/>
      <c r="EG461" s="1009"/>
      <c r="EH461" s="1009"/>
      <c r="EI461" s="1009"/>
      <c r="EJ461" s="1009"/>
      <c r="EK461" s="1009"/>
      <c r="EL461" s="1009"/>
      <c r="EM461" s="1009"/>
      <c r="EN461" s="1009"/>
      <c r="EO461" s="1009"/>
      <c r="EP461" s="1009"/>
      <c r="EQ461" s="1009"/>
      <c r="ER461" s="1009"/>
      <c r="ES461" s="1009"/>
      <c r="ET461" s="1009"/>
      <c r="EU461" s="1009"/>
      <c r="EV461" s="1009"/>
      <c r="EW461" s="1009"/>
      <c r="EX461" s="1009"/>
      <c r="EY461" s="1009"/>
      <c r="EZ461" s="1009"/>
      <c r="FA461" s="1009"/>
      <c r="FB461" s="1009"/>
      <c r="FC461" s="1009"/>
      <c r="FD461" s="1009"/>
      <c r="FE461" s="1009"/>
      <c r="FF461" s="1009"/>
      <c r="FG461" s="1009"/>
      <c r="FH461" s="1009"/>
      <c r="FI461" s="1009"/>
      <c r="FJ461" s="1009"/>
      <c r="FK461" s="1009"/>
      <c r="FL461" s="1009"/>
      <c r="FM461" s="1009"/>
      <c r="FN461" s="1009"/>
      <c r="FO461" s="1009"/>
      <c r="FP461" s="1009"/>
      <c r="FQ461" s="1009"/>
      <c r="FR461" s="1009"/>
      <c r="FS461" s="1009"/>
      <c r="FT461" s="1009"/>
      <c r="FU461" s="1009"/>
      <c r="FV461" s="1009"/>
      <c r="FW461" s="1009"/>
      <c r="FX461" s="1009"/>
      <c r="FY461" s="1009"/>
      <c r="FZ461" s="1009"/>
      <c r="GA461" s="1009"/>
      <c r="GB461" s="1009"/>
      <c r="GC461" s="1009"/>
      <c r="GD461" s="1009"/>
      <c r="GE461" s="1009"/>
      <c r="GF461" s="1009"/>
      <c r="GG461" s="1009"/>
      <c r="GH461" s="1009"/>
      <c r="GI461" s="1009"/>
      <c r="GJ461" s="1009"/>
      <c r="GK461" s="1009"/>
      <c r="GL461" s="1009"/>
      <c r="GM461" s="1009"/>
      <c r="GN461" s="1009"/>
      <c r="GO461" s="1009"/>
      <c r="GP461" s="1009"/>
      <c r="GQ461" s="1009"/>
      <c r="GR461" s="1009"/>
      <c r="GS461" s="1009"/>
      <c r="GT461" s="1009"/>
      <c r="GU461" s="1009"/>
      <c r="GV461" s="1009"/>
      <c r="GW461" s="1009"/>
      <c r="GX461" s="1009"/>
      <c r="GY461" s="1009"/>
      <c r="GZ461" s="1009"/>
      <c r="HA461" s="1009"/>
      <c r="HB461" s="1009"/>
      <c r="HC461" s="1009"/>
      <c r="HD461" s="1009"/>
      <c r="HE461" s="1009"/>
      <c r="HF461" s="1009"/>
      <c r="HG461" s="1009"/>
      <c r="HH461" s="1009"/>
      <c r="HI461" s="1009"/>
      <c r="HJ461" s="1009"/>
      <c r="HK461" s="1009"/>
      <c r="HL461" s="1009"/>
      <c r="HM461" s="1009"/>
      <c r="HN461" s="1009"/>
      <c r="HO461" s="1009"/>
      <c r="HP461" s="1009"/>
      <c r="HQ461" s="1009"/>
      <c r="HR461" s="1009"/>
      <c r="HS461" s="1009"/>
      <c r="HT461" s="1009"/>
      <c r="HU461" s="1009"/>
      <c r="HV461" s="1009"/>
      <c r="HW461" s="1009"/>
      <c r="HX461" s="1009"/>
      <c r="HY461" s="1009"/>
      <c r="HZ461" s="1009"/>
      <c r="IA461" s="1009"/>
      <c r="IB461" s="1009"/>
      <c r="IC461" s="1009"/>
      <c r="ID461" s="1009"/>
      <c r="IE461" s="1009"/>
      <c r="IF461" s="1009"/>
      <c r="IG461" s="1009"/>
      <c r="IH461" s="1009"/>
      <c r="II461" s="1009"/>
      <c r="IJ461" s="1009"/>
      <c r="IK461" s="1009"/>
      <c r="IL461" s="1009"/>
      <c r="IM461" s="1009"/>
      <c r="IN461" s="1009"/>
      <c r="IO461" s="1009"/>
      <c r="IP461" s="1009"/>
      <c r="IQ461" s="1009"/>
      <c r="IR461" s="1009"/>
      <c r="IS461" s="1009"/>
      <c r="IT461" s="1009"/>
      <c r="IU461" s="1009"/>
      <c r="IV461" s="1009"/>
      <c r="IW461" s="1009"/>
      <c r="IX461" s="1009"/>
      <c r="IY461" s="1009"/>
      <c r="IZ461" s="1009"/>
      <c r="JA461" s="1009"/>
      <c r="JB461" s="1009"/>
      <c r="JC461" s="1009"/>
      <c r="JD461" s="1009"/>
      <c r="JE461" s="1009"/>
      <c r="JF461" s="1009"/>
      <c r="JG461" s="1009"/>
      <c r="JH461" s="1009"/>
      <c r="JI461" s="1009"/>
      <c r="JJ461" s="1009"/>
      <c r="JK461" s="1009"/>
      <c r="JL461" s="1009"/>
      <c r="JM461" s="1009"/>
      <c r="JN461" s="1009"/>
      <c r="JO461" s="1009"/>
      <c r="JP461" s="1009"/>
      <c r="JQ461" s="1009"/>
      <c r="JR461" s="1009"/>
      <c r="JS461" s="1009"/>
      <c r="JT461" s="1009"/>
      <c r="JU461" s="1009"/>
      <c r="JV461" s="1009"/>
      <c r="JW461" s="1009"/>
      <c r="JX461" s="1009"/>
      <c r="JY461" s="1009"/>
      <c r="JZ461" s="1009"/>
      <c r="KA461" s="1009"/>
      <c r="KB461" s="1009"/>
      <c r="KC461" s="1009"/>
      <c r="KD461" s="1009"/>
      <c r="KE461" s="1009"/>
      <c r="KF461" s="1009"/>
      <c r="KG461" s="1009"/>
      <c r="KH461" s="1009"/>
      <c r="KI461" s="1009"/>
      <c r="KJ461" s="1009"/>
      <c r="KK461" s="1009"/>
      <c r="KL461" s="1009"/>
      <c r="KM461" s="1009"/>
      <c r="KN461" s="1009"/>
      <c r="KO461" s="1009"/>
      <c r="KP461" s="1009"/>
      <c r="KQ461" s="1009"/>
      <c r="KR461" s="1009"/>
      <c r="KS461" s="1009"/>
      <c r="KT461" s="1009"/>
      <c r="KU461" s="1009"/>
      <c r="KV461" s="1009"/>
      <c r="KW461" s="1009"/>
      <c r="KX461" s="1009"/>
      <c r="KY461" s="1009"/>
      <c r="KZ461" s="1009"/>
      <c r="LA461" s="1009"/>
      <c r="LB461" s="1009"/>
      <c r="LC461" s="1009"/>
      <c r="LD461" s="1009"/>
      <c r="LE461" s="1009"/>
      <c r="LF461" s="1009"/>
      <c r="LG461" s="1009"/>
      <c r="LH461" s="1009"/>
      <c r="LI461" s="1009"/>
      <c r="LJ461" s="1009"/>
      <c r="LK461" s="1009"/>
      <c r="LL461" s="1009"/>
      <c r="LM461" s="1009"/>
      <c r="LN461" s="1009"/>
      <c r="LO461" s="1009"/>
      <c r="LP461" s="1009"/>
      <c r="LQ461" s="1009"/>
      <c r="LR461" s="1009"/>
      <c r="LS461" s="1009"/>
      <c r="LT461" s="1009"/>
      <c r="LU461" s="1009"/>
      <c r="LV461" s="1009"/>
      <c r="LW461" s="1009"/>
      <c r="LX461" s="1009"/>
      <c r="LY461" s="1009"/>
      <c r="LZ461" s="1009"/>
      <c r="MA461" s="1009"/>
      <c r="MB461" s="1009"/>
      <c r="MC461" s="1009"/>
      <c r="MD461" s="1009"/>
      <c r="ME461" s="1009"/>
      <c r="MF461" s="1009"/>
      <c r="MG461" s="1009"/>
      <c r="MH461" s="1009"/>
      <c r="MI461" s="1009"/>
      <c r="MJ461" s="1009"/>
      <c r="MK461" s="1009"/>
      <c r="ML461" s="1009"/>
      <c r="MM461" s="1009"/>
      <c r="MN461" s="1009"/>
      <c r="MO461" s="1009"/>
      <c r="MP461" s="1009"/>
      <c r="MQ461" s="1009"/>
      <c r="MR461" s="1009"/>
      <c r="MS461" s="1009"/>
      <c r="MT461" s="1009"/>
      <c r="MU461" s="1009"/>
      <c r="MV461" s="1009"/>
      <c r="MW461" s="1009"/>
      <c r="MX461" s="1009"/>
      <c r="MY461" s="1009"/>
      <c r="MZ461" s="1009"/>
      <c r="NA461" s="1009"/>
      <c r="NB461" s="1009"/>
      <c r="NC461" s="1009"/>
      <c r="ND461" s="1009"/>
      <c r="NE461" s="1009"/>
      <c r="NF461" s="1009"/>
      <c r="NG461" s="1009"/>
      <c r="NH461" s="1009"/>
      <c r="NI461" s="1009"/>
      <c r="NJ461" s="1009"/>
      <c r="NK461" s="1009"/>
      <c r="NL461" s="1009"/>
      <c r="NM461" s="1009"/>
      <c r="NN461" s="1009"/>
      <c r="NO461" s="1009"/>
      <c r="NP461" s="1009"/>
      <c r="NQ461" s="1009"/>
      <c r="NR461" s="1009"/>
      <c r="NS461" s="1009"/>
      <c r="NT461" s="1009"/>
      <c r="NU461" s="1009"/>
      <c r="NV461" s="1009"/>
      <c r="NW461" s="1009"/>
      <c r="NX461" s="1009"/>
      <c r="NY461" s="1009"/>
      <c r="NZ461" s="1009"/>
      <c r="OA461" s="1009"/>
      <c r="OB461" s="1009"/>
      <c r="OC461" s="1009"/>
      <c r="OD461" s="1009"/>
      <c r="OE461" s="1009"/>
      <c r="OF461" s="1009"/>
      <c r="OG461" s="1009"/>
      <c r="OH461" s="1009"/>
      <c r="OI461" s="1009"/>
      <c r="OJ461" s="1009"/>
      <c r="OK461" s="1009"/>
      <c r="OL461" s="1009"/>
      <c r="OM461" s="1009"/>
      <c r="ON461" s="1009"/>
      <c r="OO461" s="1009"/>
      <c r="OP461" s="1009"/>
      <c r="OQ461" s="1009"/>
      <c r="OR461" s="1009"/>
      <c r="OS461" s="1009"/>
      <c r="OT461" s="1009"/>
      <c r="OU461" s="1009"/>
      <c r="OV461" s="1009"/>
      <c r="OW461" s="1009"/>
      <c r="OX461" s="1009"/>
      <c r="OY461" s="1009"/>
      <c r="OZ461" s="1009"/>
      <c r="PA461" s="1009"/>
      <c r="PB461" s="1009"/>
      <c r="PC461" s="1009"/>
      <c r="PD461" s="1009"/>
      <c r="PE461" s="1009"/>
      <c r="PF461" s="1009"/>
      <c r="PG461" s="1009"/>
      <c r="PH461" s="1009"/>
      <c r="PI461" s="1009"/>
      <c r="PJ461" s="1009"/>
      <c r="PK461" s="1009"/>
      <c r="PL461" s="1009"/>
      <c r="PM461" s="1009"/>
      <c r="PN461" s="1009"/>
      <c r="PO461" s="1009"/>
      <c r="PP461" s="1009"/>
      <c r="PQ461" s="1009"/>
      <c r="PR461" s="1009"/>
      <c r="PS461" s="1009"/>
      <c r="PT461" s="1009"/>
      <c r="PU461" s="1009"/>
      <c r="PV461" s="1009"/>
      <c r="PW461" s="1009"/>
      <c r="PX461" s="1009"/>
      <c r="PY461" s="1009"/>
      <c r="PZ461" s="1009"/>
      <c r="QA461" s="1009"/>
      <c r="QB461" s="1009"/>
      <c r="QC461" s="1009"/>
      <c r="QD461" s="1009"/>
      <c r="QE461" s="1009"/>
      <c r="QF461" s="1009"/>
      <c r="QG461" s="1009"/>
      <c r="QH461" s="1009"/>
      <c r="QI461" s="1009"/>
      <c r="QJ461" s="1009"/>
      <c r="QK461" s="1009"/>
      <c r="QL461" s="1009"/>
      <c r="QM461" s="1009"/>
      <c r="QN461" s="1009"/>
      <c r="QO461" s="1009"/>
      <c r="QP461" s="1009"/>
      <c r="QQ461" s="1009"/>
      <c r="QR461" s="1009"/>
      <c r="QS461" s="1009"/>
      <c r="QT461" s="1009"/>
      <c r="QU461" s="1009"/>
      <c r="QV461" s="1009"/>
      <c r="QW461" s="1009"/>
      <c r="QX461" s="1009"/>
      <c r="QY461" s="1009"/>
      <c r="QZ461" s="1009"/>
      <c r="RA461" s="1009"/>
      <c r="RB461" s="1009"/>
      <c r="RC461" s="1009"/>
      <c r="RD461" s="1009"/>
      <c r="RE461" s="1009"/>
      <c r="RF461" s="1009"/>
      <c r="RG461" s="1009"/>
      <c r="RH461" s="1009"/>
      <c r="RI461" s="1009"/>
      <c r="RJ461" s="1009"/>
      <c r="RK461" s="1009"/>
      <c r="RL461" s="1009"/>
      <c r="RM461" s="1009"/>
      <c r="RN461" s="1009"/>
      <c r="RO461" s="1009"/>
      <c r="RP461" s="1009"/>
      <c r="RQ461" s="1009"/>
      <c r="RR461" s="1009"/>
      <c r="RS461" s="1009"/>
      <c r="RT461" s="1009"/>
      <c r="RU461" s="1009"/>
      <c r="RV461" s="1009"/>
      <c r="RW461" s="1009"/>
      <c r="RX461" s="1009"/>
      <c r="RY461" s="1009"/>
      <c r="RZ461" s="1009"/>
      <c r="SA461" s="1009"/>
      <c r="SB461" s="1009"/>
      <c r="SC461" s="1009"/>
      <c r="SD461" s="1009"/>
      <c r="SE461" s="1009"/>
      <c r="SF461" s="1009"/>
      <c r="SG461" s="1009"/>
      <c r="SH461" s="1009"/>
      <c r="SI461" s="1009"/>
      <c r="SJ461" s="1009"/>
      <c r="SK461" s="1009"/>
      <c r="SL461" s="1009"/>
      <c r="SM461" s="1009"/>
      <c r="SN461" s="1009"/>
      <c r="SO461" s="1009"/>
      <c r="SP461" s="1009"/>
      <c r="SQ461" s="1009"/>
      <c r="SR461" s="1009"/>
      <c r="SS461" s="1009"/>
      <c r="ST461" s="1009"/>
      <c r="SU461" s="1009"/>
      <c r="SV461" s="1009"/>
      <c r="SW461" s="1009"/>
      <c r="SX461" s="1009"/>
      <c r="SY461" s="1009"/>
      <c r="SZ461" s="1009"/>
      <c r="TA461" s="1009"/>
      <c r="TB461" s="1009"/>
      <c r="TC461" s="1009"/>
      <c r="TD461" s="1009"/>
      <c r="TE461" s="1009"/>
      <c r="TF461" s="1009"/>
      <c r="TG461" s="1009"/>
      <c r="TH461" s="1009"/>
      <c r="TI461" s="1009"/>
      <c r="TJ461" s="1009"/>
      <c r="TK461" s="1009"/>
      <c r="TL461" s="1009"/>
      <c r="TM461" s="1009"/>
      <c r="TN461" s="1009"/>
      <c r="TO461" s="1009"/>
      <c r="TP461" s="1009"/>
      <c r="TQ461" s="1009"/>
      <c r="TR461" s="1009"/>
      <c r="TS461" s="1009"/>
      <c r="TT461" s="1009"/>
      <c r="TU461" s="1009"/>
      <c r="TV461" s="1009"/>
      <c r="TW461" s="1009"/>
      <c r="TX461" s="1009"/>
      <c r="TY461" s="1009"/>
      <c r="TZ461" s="1009"/>
      <c r="UA461" s="1009"/>
      <c r="UB461" s="1009"/>
      <c r="UC461" s="1009"/>
      <c r="UD461" s="1009"/>
      <c r="UE461" s="1009"/>
      <c r="UF461" s="1009"/>
      <c r="UG461" s="1009"/>
      <c r="UH461" s="1009"/>
      <c r="UI461" s="1009"/>
      <c r="UJ461" s="1009"/>
      <c r="UK461" s="1009"/>
      <c r="UL461" s="1009"/>
      <c r="UM461" s="1009"/>
      <c r="UN461" s="1009"/>
      <c r="UO461" s="1009"/>
      <c r="UP461" s="1009"/>
      <c r="UQ461" s="1009"/>
      <c r="UR461" s="1009"/>
      <c r="US461" s="1009"/>
      <c r="UT461" s="1009"/>
      <c r="UU461" s="1009"/>
      <c r="UV461" s="1009"/>
      <c r="UW461" s="1009"/>
      <c r="UX461" s="1009"/>
      <c r="UY461" s="1009"/>
      <c r="UZ461" s="1009"/>
      <c r="VA461" s="1009"/>
      <c r="VB461" s="1009"/>
      <c r="VC461" s="1009"/>
      <c r="VD461" s="1009"/>
      <c r="VE461" s="1009"/>
      <c r="VF461" s="1009"/>
      <c r="VG461" s="1009"/>
      <c r="VH461" s="1009"/>
      <c r="VI461" s="1009"/>
      <c r="VJ461" s="1009"/>
      <c r="VK461" s="1009"/>
      <c r="VL461" s="1009"/>
      <c r="VM461" s="1009"/>
      <c r="VN461" s="1009"/>
      <c r="VO461" s="1009"/>
      <c r="VP461" s="1009"/>
      <c r="VQ461" s="1009"/>
      <c r="VR461" s="1009"/>
      <c r="VS461" s="1009"/>
      <c r="VT461" s="1009"/>
      <c r="VU461" s="1009"/>
      <c r="VV461" s="1009"/>
      <c r="VW461" s="1009"/>
      <c r="VX461" s="1009"/>
      <c r="VY461" s="1009"/>
      <c r="VZ461" s="1009"/>
      <c r="WA461" s="1009"/>
      <c r="WB461" s="1009"/>
      <c r="WC461" s="1009"/>
      <c r="WD461" s="1009"/>
      <c r="WE461" s="1009"/>
      <c r="WF461" s="1009"/>
      <c r="WG461" s="1009"/>
      <c r="WH461" s="1009"/>
      <c r="WI461" s="1009"/>
      <c r="WJ461" s="1009"/>
      <c r="WK461" s="1009"/>
      <c r="WL461" s="1009"/>
      <c r="WM461" s="1009"/>
      <c r="WN461" s="1009"/>
      <c r="WO461" s="1009"/>
      <c r="WP461" s="1009"/>
      <c r="WQ461" s="1009"/>
      <c r="WR461" s="1009"/>
      <c r="WS461" s="1009"/>
      <c r="WT461" s="1009"/>
      <c r="WU461" s="1009"/>
      <c r="WV461" s="1009"/>
      <c r="WW461" s="1009"/>
      <c r="WX461" s="1009"/>
      <c r="WY461" s="1009"/>
      <c r="WZ461" s="1009"/>
      <c r="XA461" s="1009"/>
      <c r="XB461" s="1009"/>
      <c r="XC461" s="1009"/>
      <c r="XD461" s="1009"/>
      <c r="XE461" s="1009"/>
      <c r="XF461" s="1009"/>
      <c r="XG461" s="1009"/>
      <c r="XH461" s="1009"/>
      <c r="XI461" s="1009"/>
      <c r="XJ461" s="1009"/>
      <c r="XK461" s="1009"/>
      <c r="XL461" s="1009"/>
      <c r="XM461" s="1009"/>
      <c r="XN461" s="1009"/>
      <c r="XO461" s="1009"/>
      <c r="XP461" s="1009"/>
      <c r="XQ461" s="1009"/>
      <c r="XR461" s="1009"/>
      <c r="XS461" s="1009"/>
      <c r="XT461" s="1009"/>
      <c r="XU461" s="1009"/>
      <c r="XV461" s="1009"/>
      <c r="XW461" s="1009"/>
      <c r="XX461" s="1009"/>
      <c r="XY461" s="1009"/>
      <c r="XZ461" s="1009"/>
      <c r="YA461" s="1009"/>
      <c r="YB461" s="1009"/>
      <c r="YC461" s="1009"/>
      <c r="YD461" s="1009"/>
      <c r="YE461" s="1009"/>
      <c r="YF461" s="1009"/>
      <c r="YG461" s="1009"/>
      <c r="YH461" s="1009"/>
      <c r="YI461" s="1009"/>
      <c r="YJ461" s="1009"/>
      <c r="YK461" s="1009"/>
      <c r="YL461" s="1009"/>
      <c r="YM461" s="1009"/>
      <c r="YN461" s="1009"/>
      <c r="YO461" s="1009"/>
      <c r="YP461" s="1009"/>
      <c r="YQ461" s="1009"/>
      <c r="YR461" s="1009"/>
      <c r="YS461" s="1009"/>
      <c r="YT461" s="1009"/>
      <c r="YU461" s="1009"/>
      <c r="YV461" s="1009"/>
      <c r="YW461" s="1009"/>
      <c r="YX461" s="1009"/>
      <c r="YY461" s="1009"/>
      <c r="YZ461" s="1009"/>
      <c r="ZA461" s="1009"/>
      <c r="ZB461" s="1009"/>
      <c r="ZC461" s="1009"/>
      <c r="ZD461" s="1009"/>
      <c r="ZE461" s="1009"/>
      <c r="ZF461" s="1009"/>
      <c r="ZG461" s="1009"/>
      <c r="ZH461" s="1009"/>
      <c r="ZI461" s="1009"/>
      <c r="ZJ461" s="1009"/>
      <c r="ZK461" s="1009"/>
      <c r="ZL461" s="1009"/>
      <c r="ZM461" s="1009"/>
      <c r="ZN461" s="1009"/>
      <c r="ZO461" s="1009"/>
      <c r="ZP461" s="1009"/>
      <c r="ZQ461" s="1009"/>
      <c r="ZR461" s="1009"/>
      <c r="ZS461" s="1009"/>
      <c r="ZT461" s="1009"/>
      <c r="ZU461" s="1009"/>
      <c r="ZV461" s="1009"/>
      <c r="ZW461" s="1009"/>
      <c r="ZX461" s="1009"/>
      <c r="ZY461" s="1009"/>
      <c r="ZZ461" s="1009"/>
      <c r="AAA461" s="1009"/>
      <c r="AAB461" s="1009"/>
      <c r="AAC461" s="1009"/>
      <c r="AAD461" s="1009"/>
      <c r="AAE461" s="1009"/>
      <c r="AAF461" s="1009"/>
      <c r="AAG461" s="1009"/>
      <c r="AAH461" s="1009"/>
      <c r="AAI461" s="1009"/>
      <c r="AAJ461" s="1009"/>
      <c r="AAK461" s="1009"/>
      <c r="AAL461" s="1009"/>
      <c r="AAM461" s="1009"/>
      <c r="AAN461" s="1009"/>
      <c r="AAO461" s="1009"/>
      <c r="AAP461" s="1009"/>
      <c r="AAQ461" s="1009"/>
      <c r="AAR461" s="1009"/>
      <c r="AAS461" s="1009"/>
      <c r="AAT461" s="1009"/>
      <c r="AAU461" s="1009"/>
      <c r="AAV461" s="1009"/>
      <c r="AAW461" s="1009"/>
      <c r="AAX461" s="1009"/>
      <c r="AAY461" s="1009"/>
      <c r="AAZ461" s="1009"/>
      <c r="ABA461" s="1009"/>
      <c r="ABB461" s="1009"/>
      <c r="ABC461" s="1009"/>
      <c r="ABD461" s="1009"/>
      <c r="ABE461" s="1009"/>
      <c r="ABF461" s="1009"/>
      <c r="ABG461" s="1009"/>
      <c r="ABH461" s="1009"/>
      <c r="ABI461" s="1009"/>
      <c r="ABJ461" s="1009"/>
      <c r="ABK461" s="1009"/>
      <c r="ABL461" s="1009"/>
      <c r="ABM461" s="1009"/>
      <c r="ABN461" s="1009"/>
      <c r="ABO461" s="1009"/>
      <c r="ABP461" s="1009"/>
      <c r="ABQ461" s="1009"/>
    </row>
    <row r="462" spans="1:745" s="111" customFormat="1" ht="12.75" hidden="1" customHeight="1">
      <c r="A462" s="1270"/>
      <c r="B462" s="1652" t="s">
        <v>982</v>
      </c>
      <c r="C462" s="1653"/>
      <c r="D462" s="1653"/>
      <c r="E462" s="1654"/>
      <c r="F462" s="1655"/>
      <c r="G462" s="1654"/>
      <c r="H462" s="1657"/>
      <c r="I462" s="1656"/>
      <c r="J462" s="1656"/>
      <c r="K462" s="1656"/>
      <c r="L462" s="1656"/>
      <c r="M462" s="1656"/>
      <c r="N462" s="1675">
        <f>IF($T$428=6,C448*N57,0)</f>
        <v>0</v>
      </c>
      <c r="O462" s="1675">
        <f>IF(OR($T$428=4,$T$428=5,$T$428=8,$T$428=12),C448*O57,0)</f>
        <v>0</v>
      </c>
      <c r="P462" s="1675">
        <f>IF(OR($T$428=3,$T$428=7,$T$428=11),C448*P57,0)</f>
        <v>0</v>
      </c>
      <c r="Q462" s="1675">
        <f>IF(OR($T$428=2,$T$428=10),C448*Q57,0)</f>
        <v>0</v>
      </c>
      <c r="R462" s="1675">
        <f>IF(OR($T$428=1,$T$428=9),C448*R57,0)</f>
        <v>0</v>
      </c>
      <c r="S462" s="1656"/>
      <c r="T462" s="1656"/>
      <c r="U462" s="1656"/>
      <c r="V462" s="1656"/>
      <c r="W462" s="1656"/>
      <c r="X462" s="1656"/>
      <c r="Y462" s="1656"/>
      <c r="Z462" s="1675">
        <f>IF($T$428=6,C448*Z58,0)</f>
        <v>0</v>
      </c>
      <c r="AA462" s="1675">
        <f>IF(OR($T$428=4,$T$428=5,$T$428=8,$T$428=12),C448*AA58,0)</f>
        <v>0</v>
      </c>
      <c r="AB462" s="1675">
        <f>IF(OR($T$428=3,$T$428=7,$T$428=11),C448*AB58,0)</f>
        <v>0</v>
      </c>
      <c r="AC462" s="1675">
        <f>IF(OR($T$428=2,$T$428=10),C448*AC58,0)</f>
        <v>0</v>
      </c>
      <c r="AD462" s="1675">
        <f>IF(OR($T$428=1,$T$428=9),C448*AD58,0)</f>
        <v>0</v>
      </c>
      <c r="AE462" s="1656"/>
      <c r="AF462" s="1656"/>
      <c r="AG462" s="336"/>
      <c r="AH462" s="1044"/>
      <c r="AI462" s="1048"/>
      <c r="AJ462" s="1046"/>
      <c r="AK462" s="1009"/>
      <c r="AL462" s="1026"/>
      <c r="AM462" s="1025"/>
      <c r="AN462" s="1026"/>
      <c r="AO462" s="1009"/>
      <c r="AP462" s="1009"/>
      <c r="AQ462" s="1009"/>
      <c r="AR462" s="1009"/>
      <c r="AS462" s="1009"/>
      <c r="AT462" s="1009"/>
      <c r="AU462" s="1009"/>
      <c r="AV462" s="1009"/>
      <c r="AW462" s="1009"/>
      <c r="AX462" s="1009"/>
      <c r="AY462" s="1009"/>
      <c r="AZ462" s="1009"/>
      <c r="BA462" s="1009"/>
      <c r="BB462" s="1009"/>
      <c r="BC462" s="1009"/>
      <c r="BD462" s="1009"/>
      <c r="BE462" s="1009"/>
      <c r="BF462" s="1009"/>
      <c r="BG462" s="1009"/>
      <c r="BH462" s="1009"/>
      <c r="BI462" s="1009"/>
      <c r="BJ462" s="1009"/>
      <c r="BK462" s="1009"/>
      <c r="BL462" s="1009"/>
      <c r="BM462" s="1009"/>
      <c r="BN462" s="1009"/>
      <c r="BO462" s="1009"/>
      <c r="BP462" s="1009"/>
      <c r="BQ462" s="1009"/>
      <c r="BR462" s="1009"/>
      <c r="BS462" s="1009"/>
      <c r="BT462" s="1009"/>
      <c r="BU462" s="1009"/>
      <c r="BV462" s="1009"/>
      <c r="BW462" s="1009"/>
      <c r="BX462" s="1009"/>
      <c r="BY462" s="1009"/>
      <c r="BZ462" s="1009"/>
      <c r="CA462" s="1009"/>
      <c r="CB462" s="1009"/>
      <c r="CC462" s="1009"/>
      <c r="CD462" s="1009"/>
      <c r="CE462" s="1009"/>
      <c r="CF462" s="1009"/>
      <c r="CG462" s="1009"/>
      <c r="CH462" s="1009"/>
      <c r="CI462" s="1009"/>
      <c r="CJ462" s="1009"/>
      <c r="CK462" s="1009"/>
      <c r="CL462" s="1009"/>
      <c r="CM462" s="1009"/>
      <c r="CN462" s="1009"/>
      <c r="CO462" s="1009"/>
      <c r="CP462" s="1009"/>
      <c r="CQ462" s="1009"/>
      <c r="CR462" s="1009"/>
      <c r="CS462" s="1009"/>
      <c r="CT462" s="1009"/>
      <c r="CU462" s="1009"/>
      <c r="CV462" s="1009"/>
      <c r="CW462" s="1009"/>
      <c r="CX462" s="1009"/>
      <c r="CY462" s="1009"/>
      <c r="CZ462" s="1009"/>
      <c r="DA462" s="1009"/>
      <c r="DB462" s="1009"/>
      <c r="DC462" s="1009"/>
      <c r="DD462" s="1009"/>
      <c r="DE462" s="1009"/>
      <c r="DF462" s="1009"/>
      <c r="DG462" s="1009"/>
      <c r="DH462" s="1009"/>
      <c r="DI462" s="1009"/>
      <c r="DJ462" s="1009"/>
      <c r="DK462" s="1009"/>
      <c r="DL462" s="1009"/>
      <c r="DM462" s="1009"/>
      <c r="DN462" s="1009"/>
      <c r="DO462" s="1009"/>
      <c r="DP462" s="1009"/>
      <c r="DQ462" s="1009"/>
      <c r="DR462" s="1009"/>
      <c r="DS462" s="1009"/>
      <c r="DT462" s="1009"/>
      <c r="DU462" s="1009"/>
      <c r="DV462" s="1009"/>
      <c r="DW462" s="1009"/>
      <c r="DX462" s="1009"/>
      <c r="DY462" s="1009"/>
      <c r="DZ462" s="1009"/>
      <c r="EA462" s="1009"/>
      <c r="EB462" s="1009"/>
      <c r="EC462" s="1009"/>
      <c r="ED462" s="1009"/>
      <c r="EE462" s="1009"/>
      <c r="EF462" s="1009"/>
      <c r="EG462" s="1009"/>
      <c r="EH462" s="1009"/>
      <c r="EI462" s="1009"/>
      <c r="EJ462" s="1009"/>
      <c r="EK462" s="1009"/>
      <c r="EL462" s="1009"/>
      <c r="EM462" s="1009"/>
      <c r="EN462" s="1009"/>
      <c r="EO462" s="1009"/>
      <c r="EP462" s="1009"/>
      <c r="EQ462" s="1009"/>
      <c r="ER462" s="1009"/>
      <c r="ES462" s="1009"/>
      <c r="ET462" s="1009"/>
      <c r="EU462" s="1009"/>
      <c r="EV462" s="1009"/>
      <c r="EW462" s="1009"/>
      <c r="EX462" s="1009"/>
      <c r="EY462" s="1009"/>
      <c r="EZ462" s="1009"/>
      <c r="FA462" s="1009"/>
      <c r="FB462" s="1009"/>
      <c r="FC462" s="1009"/>
      <c r="FD462" s="1009"/>
      <c r="FE462" s="1009"/>
      <c r="FF462" s="1009"/>
      <c r="FG462" s="1009"/>
      <c r="FH462" s="1009"/>
      <c r="FI462" s="1009"/>
      <c r="FJ462" s="1009"/>
      <c r="FK462" s="1009"/>
      <c r="FL462" s="1009"/>
      <c r="FM462" s="1009"/>
      <c r="FN462" s="1009"/>
      <c r="FO462" s="1009"/>
      <c r="FP462" s="1009"/>
      <c r="FQ462" s="1009"/>
      <c r="FR462" s="1009"/>
      <c r="FS462" s="1009"/>
      <c r="FT462" s="1009"/>
      <c r="FU462" s="1009"/>
      <c r="FV462" s="1009"/>
      <c r="FW462" s="1009"/>
      <c r="FX462" s="1009"/>
      <c r="FY462" s="1009"/>
      <c r="FZ462" s="1009"/>
      <c r="GA462" s="1009"/>
      <c r="GB462" s="1009"/>
      <c r="GC462" s="1009"/>
      <c r="GD462" s="1009"/>
      <c r="GE462" s="1009"/>
      <c r="GF462" s="1009"/>
      <c r="GG462" s="1009"/>
      <c r="GH462" s="1009"/>
      <c r="GI462" s="1009"/>
      <c r="GJ462" s="1009"/>
      <c r="GK462" s="1009"/>
      <c r="GL462" s="1009"/>
      <c r="GM462" s="1009"/>
      <c r="GN462" s="1009"/>
      <c r="GO462" s="1009"/>
      <c r="GP462" s="1009"/>
      <c r="GQ462" s="1009"/>
      <c r="GR462" s="1009"/>
      <c r="GS462" s="1009"/>
      <c r="GT462" s="1009"/>
      <c r="GU462" s="1009"/>
      <c r="GV462" s="1009"/>
      <c r="GW462" s="1009"/>
      <c r="GX462" s="1009"/>
      <c r="GY462" s="1009"/>
      <c r="GZ462" s="1009"/>
      <c r="HA462" s="1009"/>
      <c r="HB462" s="1009"/>
      <c r="HC462" s="1009"/>
      <c r="HD462" s="1009"/>
      <c r="HE462" s="1009"/>
      <c r="HF462" s="1009"/>
      <c r="HG462" s="1009"/>
      <c r="HH462" s="1009"/>
      <c r="HI462" s="1009"/>
      <c r="HJ462" s="1009"/>
      <c r="HK462" s="1009"/>
      <c r="HL462" s="1009"/>
      <c r="HM462" s="1009"/>
      <c r="HN462" s="1009"/>
      <c r="HO462" s="1009"/>
      <c r="HP462" s="1009"/>
      <c r="HQ462" s="1009"/>
      <c r="HR462" s="1009"/>
      <c r="HS462" s="1009"/>
      <c r="HT462" s="1009"/>
      <c r="HU462" s="1009"/>
      <c r="HV462" s="1009"/>
      <c r="HW462" s="1009"/>
      <c r="HX462" s="1009"/>
      <c r="HY462" s="1009"/>
      <c r="HZ462" s="1009"/>
      <c r="IA462" s="1009"/>
      <c r="IB462" s="1009"/>
      <c r="IC462" s="1009"/>
      <c r="ID462" s="1009"/>
      <c r="IE462" s="1009"/>
      <c r="IF462" s="1009"/>
      <c r="IG462" s="1009"/>
      <c r="IH462" s="1009"/>
      <c r="II462" s="1009"/>
      <c r="IJ462" s="1009"/>
      <c r="IK462" s="1009"/>
      <c r="IL462" s="1009"/>
      <c r="IM462" s="1009"/>
      <c r="IN462" s="1009"/>
      <c r="IO462" s="1009"/>
      <c r="IP462" s="1009"/>
      <c r="IQ462" s="1009"/>
      <c r="IR462" s="1009"/>
      <c r="IS462" s="1009"/>
      <c r="IT462" s="1009"/>
      <c r="IU462" s="1009"/>
      <c r="IV462" s="1009"/>
      <c r="IW462" s="1009"/>
      <c r="IX462" s="1009"/>
      <c r="IY462" s="1009"/>
      <c r="IZ462" s="1009"/>
      <c r="JA462" s="1009"/>
      <c r="JB462" s="1009"/>
      <c r="JC462" s="1009"/>
      <c r="JD462" s="1009"/>
      <c r="JE462" s="1009"/>
      <c r="JF462" s="1009"/>
      <c r="JG462" s="1009"/>
      <c r="JH462" s="1009"/>
      <c r="JI462" s="1009"/>
      <c r="JJ462" s="1009"/>
      <c r="JK462" s="1009"/>
      <c r="JL462" s="1009"/>
      <c r="JM462" s="1009"/>
      <c r="JN462" s="1009"/>
      <c r="JO462" s="1009"/>
      <c r="JP462" s="1009"/>
      <c r="JQ462" s="1009"/>
      <c r="JR462" s="1009"/>
      <c r="JS462" s="1009"/>
      <c r="JT462" s="1009"/>
      <c r="JU462" s="1009"/>
      <c r="JV462" s="1009"/>
      <c r="JW462" s="1009"/>
      <c r="JX462" s="1009"/>
      <c r="JY462" s="1009"/>
      <c r="JZ462" s="1009"/>
      <c r="KA462" s="1009"/>
      <c r="KB462" s="1009"/>
      <c r="KC462" s="1009"/>
      <c r="KD462" s="1009"/>
      <c r="KE462" s="1009"/>
      <c r="KF462" s="1009"/>
      <c r="KG462" s="1009"/>
      <c r="KH462" s="1009"/>
      <c r="KI462" s="1009"/>
      <c r="KJ462" s="1009"/>
      <c r="KK462" s="1009"/>
      <c r="KL462" s="1009"/>
      <c r="KM462" s="1009"/>
      <c r="KN462" s="1009"/>
      <c r="KO462" s="1009"/>
      <c r="KP462" s="1009"/>
      <c r="KQ462" s="1009"/>
      <c r="KR462" s="1009"/>
      <c r="KS462" s="1009"/>
      <c r="KT462" s="1009"/>
      <c r="KU462" s="1009"/>
      <c r="KV462" s="1009"/>
      <c r="KW462" s="1009"/>
      <c r="KX462" s="1009"/>
      <c r="KY462" s="1009"/>
      <c r="KZ462" s="1009"/>
      <c r="LA462" s="1009"/>
      <c r="LB462" s="1009"/>
      <c r="LC462" s="1009"/>
      <c r="LD462" s="1009"/>
      <c r="LE462" s="1009"/>
      <c r="LF462" s="1009"/>
      <c r="LG462" s="1009"/>
      <c r="LH462" s="1009"/>
      <c r="LI462" s="1009"/>
      <c r="LJ462" s="1009"/>
      <c r="LK462" s="1009"/>
      <c r="LL462" s="1009"/>
      <c r="LM462" s="1009"/>
      <c r="LN462" s="1009"/>
      <c r="LO462" s="1009"/>
      <c r="LP462" s="1009"/>
      <c r="LQ462" s="1009"/>
      <c r="LR462" s="1009"/>
      <c r="LS462" s="1009"/>
      <c r="LT462" s="1009"/>
      <c r="LU462" s="1009"/>
      <c r="LV462" s="1009"/>
      <c r="LW462" s="1009"/>
      <c r="LX462" s="1009"/>
      <c r="LY462" s="1009"/>
      <c r="LZ462" s="1009"/>
      <c r="MA462" s="1009"/>
      <c r="MB462" s="1009"/>
      <c r="MC462" s="1009"/>
      <c r="MD462" s="1009"/>
      <c r="ME462" s="1009"/>
      <c r="MF462" s="1009"/>
      <c r="MG462" s="1009"/>
      <c r="MH462" s="1009"/>
      <c r="MI462" s="1009"/>
      <c r="MJ462" s="1009"/>
      <c r="MK462" s="1009"/>
      <c r="ML462" s="1009"/>
      <c r="MM462" s="1009"/>
      <c r="MN462" s="1009"/>
      <c r="MO462" s="1009"/>
      <c r="MP462" s="1009"/>
      <c r="MQ462" s="1009"/>
      <c r="MR462" s="1009"/>
      <c r="MS462" s="1009"/>
      <c r="MT462" s="1009"/>
      <c r="MU462" s="1009"/>
      <c r="MV462" s="1009"/>
      <c r="MW462" s="1009"/>
      <c r="MX462" s="1009"/>
      <c r="MY462" s="1009"/>
      <c r="MZ462" s="1009"/>
      <c r="NA462" s="1009"/>
      <c r="NB462" s="1009"/>
      <c r="NC462" s="1009"/>
      <c r="ND462" s="1009"/>
      <c r="NE462" s="1009"/>
      <c r="NF462" s="1009"/>
      <c r="NG462" s="1009"/>
      <c r="NH462" s="1009"/>
      <c r="NI462" s="1009"/>
      <c r="NJ462" s="1009"/>
      <c r="NK462" s="1009"/>
      <c r="NL462" s="1009"/>
      <c r="NM462" s="1009"/>
      <c r="NN462" s="1009"/>
      <c r="NO462" s="1009"/>
      <c r="NP462" s="1009"/>
      <c r="NQ462" s="1009"/>
      <c r="NR462" s="1009"/>
      <c r="NS462" s="1009"/>
      <c r="NT462" s="1009"/>
      <c r="NU462" s="1009"/>
      <c r="NV462" s="1009"/>
      <c r="NW462" s="1009"/>
      <c r="NX462" s="1009"/>
      <c r="NY462" s="1009"/>
      <c r="NZ462" s="1009"/>
      <c r="OA462" s="1009"/>
      <c r="OB462" s="1009"/>
      <c r="OC462" s="1009"/>
      <c r="OD462" s="1009"/>
      <c r="OE462" s="1009"/>
      <c r="OF462" s="1009"/>
      <c r="OG462" s="1009"/>
      <c r="OH462" s="1009"/>
      <c r="OI462" s="1009"/>
      <c r="OJ462" s="1009"/>
      <c r="OK462" s="1009"/>
      <c r="OL462" s="1009"/>
      <c r="OM462" s="1009"/>
      <c r="ON462" s="1009"/>
      <c r="OO462" s="1009"/>
      <c r="OP462" s="1009"/>
      <c r="OQ462" s="1009"/>
      <c r="OR462" s="1009"/>
      <c r="OS462" s="1009"/>
      <c r="OT462" s="1009"/>
      <c r="OU462" s="1009"/>
      <c r="OV462" s="1009"/>
      <c r="OW462" s="1009"/>
      <c r="OX462" s="1009"/>
      <c r="OY462" s="1009"/>
      <c r="OZ462" s="1009"/>
      <c r="PA462" s="1009"/>
      <c r="PB462" s="1009"/>
      <c r="PC462" s="1009"/>
      <c r="PD462" s="1009"/>
      <c r="PE462" s="1009"/>
      <c r="PF462" s="1009"/>
      <c r="PG462" s="1009"/>
      <c r="PH462" s="1009"/>
      <c r="PI462" s="1009"/>
      <c r="PJ462" s="1009"/>
      <c r="PK462" s="1009"/>
      <c r="PL462" s="1009"/>
      <c r="PM462" s="1009"/>
      <c r="PN462" s="1009"/>
      <c r="PO462" s="1009"/>
      <c r="PP462" s="1009"/>
      <c r="PQ462" s="1009"/>
      <c r="PR462" s="1009"/>
      <c r="PS462" s="1009"/>
      <c r="PT462" s="1009"/>
      <c r="PU462" s="1009"/>
      <c r="PV462" s="1009"/>
      <c r="PW462" s="1009"/>
      <c r="PX462" s="1009"/>
      <c r="PY462" s="1009"/>
      <c r="PZ462" s="1009"/>
      <c r="QA462" s="1009"/>
      <c r="QB462" s="1009"/>
      <c r="QC462" s="1009"/>
      <c r="QD462" s="1009"/>
      <c r="QE462" s="1009"/>
      <c r="QF462" s="1009"/>
      <c r="QG462" s="1009"/>
      <c r="QH462" s="1009"/>
      <c r="QI462" s="1009"/>
      <c r="QJ462" s="1009"/>
      <c r="QK462" s="1009"/>
      <c r="QL462" s="1009"/>
      <c r="QM462" s="1009"/>
      <c r="QN462" s="1009"/>
      <c r="QO462" s="1009"/>
      <c r="QP462" s="1009"/>
      <c r="QQ462" s="1009"/>
      <c r="QR462" s="1009"/>
      <c r="QS462" s="1009"/>
      <c r="QT462" s="1009"/>
      <c r="QU462" s="1009"/>
      <c r="QV462" s="1009"/>
      <c r="QW462" s="1009"/>
      <c r="QX462" s="1009"/>
      <c r="QY462" s="1009"/>
      <c r="QZ462" s="1009"/>
      <c r="RA462" s="1009"/>
      <c r="RB462" s="1009"/>
      <c r="RC462" s="1009"/>
      <c r="RD462" s="1009"/>
      <c r="RE462" s="1009"/>
      <c r="RF462" s="1009"/>
      <c r="RG462" s="1009"/>
      <c r="RH462" s="1009"/>
      <c r="RI462" s="1009"/>
      <c r="RJ462" s="1009"/>
      <c r="RK462" s="1009"/>
      <c r="RL462" s="1009"/>
      <c r="RM462" s="1009"/>
      <c r="RN462" s="1009"/>
      <c r="RO462" s="1009"/>
      <c r="RP462" s="1009"/>
      <c r="RQ462" s="1009"/>
      <c r="RR462" s="1009"/>
      <c r="RS462" s="1009"/>
      <c r="RT462" s="1009"/>
      <c r="RU462" s="1009"/>
      <c r="RV462" s="1009"/>
      <c r="RW462" s="1009"/>
      <c r="RX462" s="1009"/>
      <c r="RY462" s="1009"/>
      <c r="RZ462" s="1009"/>
      <c r="SA462" s="1009"/>
      <c r="SB462" s="1009"/>
      <c r="SC462" s="1009"/>
      <c r="SD462" s="1009"/>
      <c r="SE462" s="1009"/>
      <c r="SF462" s="1009"/>
      <c r="SG462" s="1009"/>
      <c r="SH462" s="1009"/>
      <c r="SI462" s="1009"/>
      <c r="SJ462" s="1009"/>
      <c r="SK462" s="1009"/>
      <c r="SL462" s="1009"/>
      <c r="SM462" s="1009"/>
      <c r="SN462" s="1009"/>
      <c r="SO462" s="1009"/>
      <c r="SP462" s="1009"/>
      <c r="SQ462" s="1009"/>
      <c r="SR462" s="1009"/>
      <c r="SS462" s="1009"/>
      <c r="ST462" s="1009"/>
      <c r="SU462" s="1009"/>
      <c r="SV462" s="1009"/>
      <c r="SW462" s="1009"/>
      <c r="SX462" s="1009"/>
      <c r="SY462" s="1009"/>
      <c r="SZ462" s="1009"/>
      <c r="TA462" s="1009"/>
      <c r="TB462" s="1009"/>
      <c r="TC462" s="1009"/>
      <c r="TD462" s="1009"/>
      <c r="TE462" s="1009"/>
      <c r="TF462" s="1009"/>
      <c r="TG462" s="1009"/>
      <c r="TH462" s="1009"/>
      <c r="TI462" s="1009"/>
      <c r="TJ462" s="1009"/>
      <c r="TK462" s="1009"/>
      <c r="TL462" s="1009"/>
      <c r="TM462" s="1009"/>
      <c r="TN462" s="1009"/>
      <c r="TO462" s="1009"/>
      <c r="TP462" s="1009"/>
      <c r="TQ462" s="1009"/>
      <c r="TR462" s="1009"/>
      <c r="TS462" s="1009"/>
      <c r="TT462" s="1009"/>
      <c r="TU462" s="1009"/>
      <c r="TV462" s="1009"/>
      <c r="TW462" s="1009"/>
      <c r="TX462" s="1009"/>
      <c r="TY462" s="1009"/>
      <c r="TZ462" s="1009"/>
      <c r="UA462" s="1009"/>
      <c r="UB462" s="1009"/>
      <c r="UC462" s="1009"/>
      <c r="UD462" s="1009"/>
      <c r="UE462" s="1009"/>
      <c r="UF462" s="1009"/>
      <c r="UG462" s="1009"/>
      <c r="UH462" s="1009"/>
      <c r="UI462" s="1009"/>
      <c r="UJ462" s="1009"/>
      <c r="UK462" s="1009"/>
      <c r="UL462" s="1009"/>
      <c r="UM462" s="1009"/>
      <c r="UN462" s="1009"/>
      <c r="UO462" s="1009"/>
      <c r="UP462" s="1009"/>
      <c r="UQ462" s="1009"/>
      <c r="UR462" s="1009"/>
      <c r="US462" s="1009"/>
      <c r="UT462" s="1009"/>
      <c r="UU462" s="1009"/>
      <c r="UV462" s="1009"/>
      <c r="UW462" s="1009"/>
      <c r="UX462" s="1009"/>
      <c r="UY462" s="1009"/>
      <c r="UZ462" s="1009"/>
      <c r="VA462" s="1009"/>
      <c r="VB462" s="1009"/>
      <c r="VC462" s="1009"/>
      <c r="VD462" s="1009"/>
      <c r="VE462" s="1009"/>
      <c r="VF462" s="1009"/>
      <c r="VG462" s="1009"/>
      <c r="VH462" s="1009"/>
      <c r="VI462" s="1009"/>
      <c r="VJ462" s="1009"/>
      <c r="VK462" s="1009"/>
      <c r="VL462" s="1009"/>
      <c r="VM462" s="1009"/>
      <c r="VN462" s="1009"/>
      <c r="VO462" s="1009"/>
      <c r="VP462" s="1009"/>
      <c r="VQ462" s="1009"/>
      <c r="VR462" s="1009"/>
      <c r="VS462" s="1009"/>
      <c r="VT462" s="1009"/>
      <c r="VU462" s="1009"/>
      <c r="VV462" s="1009"/>
      <c r="VW462" s="1009"/>
      <c r="VX462" s="1009"/>
      <c r="VY462" s="1009"/>
      <c r="VZ462" s="1009"/>
      <c r="WA462" s="1009"/>
      <c r="WB462" s="1009"/>
      <c r="WC462" s="1009"/>
      <c r="WD462" s="1009"/>
      <c r="WE462" s="1009"/>
      <c r="WF462" s="1009"/>
      <c r="WG462" s="1009"/>
      <c r="WH462" s="1009"/>
      <c r="WI462" s="1009"/>
      <c r="WJ462" s="1009"/>
      <c r="WK462" s="1009"/>
      <c r="WL462" s="1009"/>
      <c r="WM462" s="1009"/>
      <c r="WN462" s="1009"/>
      <c r="WO462" s="1009"/>
      <c r="WP462" s="1009"/>
      <c r="WQ462" s="1009"/>
      <c r="WR462" s="1009"/>
      <c r="WS462" s="1009"/>
      <c r="WT462" s="1009"/>
      <c r="WU462" s="1009"/>
      <c r="WV462" s="1009"/>
      <c r="WW462" s="1009"/>
      <c r="WX462" s="1009"/>
      <c r="WY462" s="1009"/>
      <c r="WZ462" s="1009"/>
      <c r="XA462" s="1009"/>
      <c r="XB462" s="1009"/>
      <c r="XC462" s="1009"/>
      <c r="XD462" s="1009"/>
      <c r="XE462" s="1009"/>
      <c r="XF462" s="1009"/>
      <c r="XG462" s="1009"/>
      <c r="XH462" s="1009"/>
      <c r="XI462" s="1009"/>
      <c r="XJ462" s="1009"/>
      <c r="XK462" s="1009"/>
      <c r="XL462" s="1009"/>
      <c r="XM462" s="1009"/>
      <c r="XN462" s="1009"/>
      <c r="XO462" s="1009"/>
      <c r="XP462" s="1009"/>
      <c r="XQ462" s="1009"/>
      <c r="XR462" s="1009"/>
      <c r="XS462" s="1009"/>
      <c r="XT462" s="1009"/>
      <c r="XU462" s="1009"/>
      <c r="XV462" s="1009"/>
      <c r="XW462" s="1009"/>
      <c r="XX462" s="1009"/>
      <c r="XY462" s="1009"/>
      <c r="XZ462" s="1009"/>
      <c r="YA462" s="1009"/>
      <c r="YB462" s="1009"/>
      <c r="YC462" s="1009"/>
      <c r="YD462" s="1009"/>
      <c r="YE462" s="1009"/>
      <c r="YF462" s="1009"/>
      <c r="YG462" s="1009"/>
      <c r="YH462" s="1009"/>
      <c r="YI462" s="1009"/>
      <c r="YJ462" s="1009"/>
      <c r="YK462" s="1009"/>
      <c r="YL462" s="1009"/>
      <c r="YM462" s="1009"/>
      <c r="YN462" s="1009"/>
      <c r="YO462" s="1009"/>
      <c r="YP462" s="1009"/>
      <c r="YQ462" s="1009"/>
      <c r="YR462" s="1009"/>
      <c r="YS462" s="1009"/>
      <c r="YT462" s="1009"/>
      <c r="YU462" s="1009"/>
      <c r="YV462" s="1009"/>
      <c r="YW462" s="1009"/>
      <c r="YX462" s="1009"/>
      <c r="YY462" s="1009"/>
      <c r="YZ462" s="1009"/>
      <c r="ZA462" s="1009"/>
      <c r="ZB462" s="1009"/>
      <c r="ZC462" s="1009"/>
      <c r="ZD462" s="1009"/>
      <c r="ZE462" s="1009"/>
      <c r="ZF462" s="1009"/>
      <c r="ZG462" s="1009"/>
      <c r="ZH462" s="1009"/>
      <c r="ZI462" s="1009"/>
      <c r="ZJ462" s="1009"/>
      <c r="ZK462" s="1009"/>
      <c r="ZL462" s="1009"/>
      <c r="ZM462" s="1009"/>
      <c r="ZN462" s="1009"/>
      <c r="ZO462" s="1009"/>
      <c r="ZP462" s="1009"/>
      <c r="ZQ462" s="1009"/>
      <c r="ZR462" s="1009"/>
      <c r="ZS462" s="1009"/>
      <c r="ZT462" s="1009"/>
      <c r="ZU462" s="1009"/>
      <c r="ZV462" s="1009"/>
      <c r="ZW462" s="1009"/>
      <c r="ZX462" s="1009"/>
      <c r="ZY462" s="1009"/>
      <c r="ZZ462" s="1009"/>
      <c r="AAA462" s="1009"/>
      <c r="AAB462" s="1009"/>
      <c r="AAC462" s="1009"/>
      <c r="AAD462" s="1009"/>
      <c r="AAE462" s="1009"/>
      <c r="AAF462" s="1009"/>
      <c r="AAG462" s="1009"/>
      <c r="AAH462" s="1009"/>
      <c r="AAI462" s="1009"/>
      <c r="AAJ462" s="1009"/>
      <c r="AAK462" s="1009"/>
      <c r="AAL462" s="1009"/>
      <c r="AAM462" s="1009"/>
      <c r="AAN462" s="1009"/>
      <c r="AAO462" s="1009"/>
      <c r="AAP462" s="1009"/>
      <c r="AAQ462" s="1009"/>
      <c r="AAR462" s="1009"/>
      <c r="AAS462" s="1009"/>
      <c r="AAT462" s="1009"/>
      <c r="AAU462" s="1009"/>
      <c r="AAV462" s="1009"/>
      <c r="AAW462" s="1009"/>
      <c r="AAX462" s="1009"/>
      <c r="AAY462" s="1009"/>
      <c r="AAZ462" s="1009"/>
      <c r="ABA462" s="1009"/>
      <c r="ABB462" s="1009"/>
      <c r="ABC462" s="1009"/>
      <c r="ABD462" s="1009"/>
      <c r="ABE462" s="1009"/>
      <c r="ABF462" s="1009"/>
      <c r="ABG462" s="1009"/>
      <c r="ABH462" s="1009"/>
      <c r="ABI462" s="1009"/>
      <c r="ABJ462" s="1009"/>
      <c r="ABK462" s="1009"/>
      <c r="ABL462" s="1009"/>
      <c r="ABM462" s="1009"/>
      <c r="ABN462" s="1009"/>
      <c r="ABO462" s="1009"/>
      <c r="ABP462" s="1009"/>
      <c r="ABQ462" s="1009"/>
    </row>
    <row r="463" spans="1:745" s="111" customFormat="1" ht="12.75" hidden="1" customHeight="1">
      <c r="A463" s="1270"/>
      <c r="B463" s="1680" t="s">
        <v>983</v>
      </c>
      <c r="C463" s="1681"/>
      <c r="D463" s="1681"/>
      <c r="E463" s="1682"/>
      <c r="F463" s="1683"/>
      <c r="G463" s="1682"/>
      <c r="H463" s="1684"/>
      <c r="I463" s="1656"/>
      <c r="J463" s="1656"/>
      <c r="K463" s="1656"/>
      <c r="L463" s="1656"/>
      <c r="M463" s="1676">
        <f>IF($T$428=12,C448*M57,0)</f>
        <v>0</v>
      </c>
      <c r="N463" s="1656"/>
      <c r="O463" s="1656"/>
      <c r="P463" s="1656"/>
      <c r="Q463" s="1656"/>
      <c r="R463" s="1656"/>
      <c r="S463" s="1656"/>
      <c r="T463" s="1656"/>
      <c r="V463" s="1656"/>
      <c r="W463" s="1656"/>
      <c r="X463" s="1656"/>
      <c r="Y463" s="1656">
        <f>IF($T$428=12,C448*Y58,0)</f>
        <v>0</v>
      </c>
      <c r="Z463" s="1656"/>
      <c r="AA463" s="1656"/>
      <c r="AB463" s="1656"/>
      <c r="AC463" s="1656"/>
      <c r="AD463" s="1656"/>
      <c r="AE463" s="1656"/>
      <c r="AF463" s="1656"/>
      <c r="AG463" s="336"/>
      <c r="AH463" s="1044"/>
      <c r="AI463" s="1048"/>
      <c r="AJ463" s="1046"/>
      <c r="AK463" s="1009"/>
      <c r="AL463" s="1026"/>
      <c r="AM463" s="1025"/>
      <c r="AN463" s="1026"/>
      <c r="AO463" s="1009"/>
      <c r="AP463" s="1009"/>
      <c r="AQ463" s="1009"/>
      <c r="AR463" s="1009"/>
      <c r="AS463" s="1009"/>
      <c r="AT463" s="1009"/>
      <c r="AU463" s="1009"/>
      <c r="AV463" s="1009"/>
      <c r="AW463" s="1009"/>
      <c r="AX463" s="1009"/>
      <c r="AY463" s="1009"/>
      <c r="AZ463" s="1009"/>
      <c r="BA463" s="1009"/>
      <c r="BB463" s="1009"/>
      <c r="BC463" s="1009"/>
      <c r="BD463" s="1009"/>
      <c r="BE463" s="1009"/>
      <c r="BF463" s="1009"/>
      <c r="BG463" s="1009"/>
      <c r="BH463" s="1009"/>
      <c r="BI463" s="1009"/>
      <c r="BJ463" s="1009"/>
      <c r="BK463" s="1009"/>
      <c r="BL463" s="1009"/>
      <c r="BM463" s="1009"/>
      <c r="BN463" s="1009"/>
      <c r="BO463" s="1009"/>
      <c r="BP463" s="1009"/>
      <c r="BQ463" s="1009"/>
      <c r="BR463" s="1009"/>
      <c r="BS463" s="1009"/>
      <c r="BT463" s="1009"/>
      <c r="BU463" s="1009"/>
      <c r="BV463" s="1009"/>
      <c r="BW463" s="1009"/>
      <c r="BX463" s="1009"/>
      <c r="BY463" s="1009"/>
      <c r="BZ463" s="1009"/>
      <c r="CA463" s="1009"/>
      <c r="CB463" s="1009"/>
      <c r="CC463" s="1009"/>
      <c r="CD463" s="1009"/>
      <c r="CE463" s="1009"/>
      <c r="CF463" s="1009"/>
      <c r="CG463" s="1009"/>
      <c r="CH463" s="1009"/>
      <c r="CI463" s="1009"/>
      <c r="CJ463" s="1009"/>
      <c r="CK463" s="1009"/>
      <c r="CL463" s="1009"/>
      <c r="CM463" s="1009"/>
      <c r="CN463" s="1009"/>
      <c r="CO463" s="1009"/>
      <c r="CP463" s="1009"/>
      <c r="CQ463" s="1009"/>
      <c r="CR463" s="1009"/>
      <c r="CS463" s="1009"/>
      <c r="CT463" s="1009"/>
      <c r="CU463" s="1009"/>
      <c r="CV463" s="1009"/>
      <c r="CW463" s="1009"/>
      <c r="CX463" s="1009"/>
      <c r="CY463" s="1009"/>
      <c r="CZ463" s="1009"/>
      <c r="DA463" s="1009"/>
      <c r="DB463" s="1009"/>
      <c r="DC463" s="1009"/>
      <c r="DD463" s="1009"/>
      <c r="DE463" s="1009"/>
      <c r="DF463" s="1009"/>
      <c r="DG463" s="1009"/>
      <c r="DH463" s="1009"/>
      <c r="DI463" s="1009"/>
      <c r="DJ463" s="1009"/>
      <c r="DK463" s="1009"/>
      <c r="DL463" s="1009"/>
      <c r="DM463" s="1009"/>
      <c r="DN463" s="1009"/>
      <c r="DO463" s="1009"/>
      <c r="DP463" s="1009"/>
      <c r="DQ463" s="1009"/>
      <c r="DR463" s="1009"/>
      <c r="DS463" s="1009"/>
      <c r="DT463" s="1009"/>
      <c r="DU463" s="1009"/>
      <c r="DV463" s="1009"/>
      <c r="DW463" s="1009"/>
      <c r="DX463" s="1009"/>
      <c r="DY463" s="1009"/>
      <c r="DZ463" s="1009"/>
      <c r="EA463" s="1009"/>
      <c r="EB463" s="1009"/>
      <c r="EC463" s="1009"/>
      <c r="ED463" s="1009"/>
      <c r="EE463" s="1009"/>
      <c r="EF463" s="1009"/>
      <c r="EG463" s="1009"/>
      <c r="EH463" s="1009"/>
      <c r="EI463" s="1009"/>
      <c r="EJ463" s="1009"/>
      <c r="EK463" s="1009"/>
      <c r="EL463" s="1009"/>
      <c r="EM463" s="1009"/>
      <c r="EN463" s="1009"/>
      <c r="EO463" s="1009"/>
      <c r="EP463" s="1009"/>
      <c r="EQ463" s="1009"/>
      <c r="ER463" s="1009"/>
      <c r="ES463" s="1009"/>
      <c r="ET463" s="1009"/>
      <c r="EU463" s="1009"/>
      <c r="EV463" s="1009"/>
      <c r="EW463" s="1009"/>
      <c r="EX463" s="1009"/>
      <c r="EY463" s="1009"/>
      <c r="EZ463" s="1009"/>
      <c r="FA463" s="1009"/>
      <c r="FB463" s="1009"/>
      <c r="FC463" s="1009"/>
      <c r="FD463" s="1009"/>
      <c r="FE463" s="1009"/>
      <c r="FF463" s="1009"/>
      <c r="FG463" s="1009"/>
      <c r="FH463" s="1009"/>
      <c r="FI463" s="1009"/>
      <c r="FJ463" s="1009"/>
      <c r="FK463" s="1009"/>
      <c r="FL463" s="1009"/>
      <c r="FM463" s="1009"/>
      <c r="FN463" s="1009"/>
      <c r="FO463" s="1009"/>
      <c r="FP463" s="1009"/>
      <c r="FQ463" s="1009"/>
      <c r="FR463" s="1009"/>
      <c r="FS463" s="1009"/>
      <c r="FT463" s="1009"/>
      <c r="FU463" s="1009"/>
      <c r="FV463" s="1009"/>
      <c r="FW463" s="1009"/>
      <c r="FX463" s="1009"/>
      <c r="FY463" s="1009"/>
      <c r="FZ463" s="1009"/>
      <c r="GA463" s="1009"/>
      <c r="GB463" s="1009"/>
      <c r="GC463" s="1009"/>
      <c r="GD463" s="1009"/>
      <c r="GE463" s="1009"/>
      <c r="GF463" s="1009"/>
      <c r="GG463" s="1009"/>
      <c r="GH463" s="1009"/>
      <c r="GI463" s="1009"/>
      <c r="GJ463" s="1009"/>
      <c r="GK463" s="1009"/>
      <c r="GL463" s="1009"/>
      <c r="GM463" s="1009"/>
      <c r="GN463" s="1009"/>
      <c r="GO463" s="1009"/>
      <c r="GP463" s="1009"/>
      <c r="GQ463" s="1009"/>
      <c r="GR463" s="1009"/>
      <c r="GS463" s="1009"/>
      <c r="GT463" s="1009"/>
      <c r="GU463" s="1009"/>
      <c r="GV463" s="1009"/>
      <c r="GW463" s="1009"/>
      <c r="GX463" s="1009"/>
      <c r="GY463" s="1009"/>
      <c r="GZ463" s="1009"/>
      <c r="HA463" s="1009"/>
      <c r="HB463" s="1009"/>
      <c r="HC463" s="1009"/>
      <c r="HD463" s="1009"/>
      <c r="HE463" s="1009"/>
      <c r="HF463" s="1009"/>
      <c r="HG463" s="1009"/>
      <c r="HH463" s="1009"/>
      <c r="HI463" s="1009"/>
      <c r="HJ463" s="1009"/>
      <c r="HK463" s="1009"/>
      <c r="HL463" s="1009"/>
      <c r="HM463" s="1009"/>
      <c r="HN463" s="1009"/>
      <c r="HO463" s="1009"/>
      <c r="HP463" s="1009"/>
      <c r="HQ463" s="1009"/>
      <c r="HR463" s="1009"/>
      <c r="HS463" s="1009"/>
      <c r="HT463" s="1009"/>
      <c r="HU463" s="1009"/>
      <c r="HV463" s="1009"/>
      <c r="HW463" s="1009"/>
      <c r="HX463" s="1009"/>
      <c r="HY463" s="1009"/>
      <c r="HZ463" s="1009"/>
      <c r="IA463" s="1009"/>
      <c r="IB463" s="1009"/>
      <c r="IC463" s="1009"/>
      <c r="ID463" s="1009"/>
      <c r="IE463" s="1009"/>
      <c r="IF463" s="1009"/>
      <c r="IG463" s="1009"/>
      <c r="IH463" s="1009"/>
      <c r="II463" s="1009"/>
      <c r="IJ463" s="1009"/>
      <c r="IK463" s="1009"/>
      <c r="IL463" s="1009"/>
      <c r="IM463" s="1009"/>
      <c r="IN463" s="1009"/>
      <c r="IO463" s="1009"/>
      <c r="IP463" s="1009"/>
      <c r="IQ463" s="1009"/>
      <c r="IR463" s="1009"/>
      <c r="IS463" s="1009"/>
      <c r="IT463" s="1009"/>
      <c r="IU463" s="1009"/>
      <c r="IV463" s="1009"/>
      <c r="IW463" s="1009"/>
      <c r="IX463" s="1009"/>
      <c r="IY463" s="1009"/>
      <c r="IZ463" s="1009"/>
      <c r="JA463" s="1009"/>
      <c r="JB463" s="1009"/>
      <c r="JC463" s="1009"/>
      <c r="JD463" s="1009"/>
      <c r="JE463" s="1009"/>
      <c r="JF463" s="1009"/>
      <c r="JG463" s="1009"/>
      <c r="JH463" s="1009"/>
      <c r="JI463" s="1009"/>
      <c r="JJ463" s="1009"/>
      <c r="JK463" s="1009"/>
      <c r="JL463" s="1009"/>
      <c r="JM463" s="1009"/>
      <c r="JN463" s="1009"/>
      <c r="JO463" s="1009"/>
      <c r="JP463" s="1009"/>
      <c r="JQ463" s="1009"/>
      <c r="JR463" s="1009"/>
      <c r="JS463" s="1009"/>
      <c r="JT463" s="1009"/>
      <c r="JU463" s="1009"/>
      <c r="JV463" s="1009"/>
      <c r="JW463" s="1009"/>
      <c r="JX463" s="1009"/>
      <c r="JY463" s="1009"/>
      <c r="JZ463" s="1009"/>
      <c r="KA463" s="1009"/>
      <c r="KB463" s="1009"/>
      <c r="KC463" s="1009"/>
      <c r="KD463" s="1009"/>
      <c r="KE463" s="1009"/>
      <c r="KF463" s="1009"/>
      <c r="KG463" s="1009"/>
      <c r="KH463" s="1009"/>
      <c r="KI463" s="1009"/>
      <c r="KJ463" s="1009"/>
      <c r="KK463" s="1009"/>
      <c r="KL463" s="1009"/>
      <c r="KM463" s="1009"/>
      <c r="KN463" s="1009"/>
      <c r="KO463" s="1009"/>
      <c r="KP463" s="1009"/>
      <c r="KQ463" s="1009"/>
      <c r="KR463" s="1009"/>
      <c r="KS463" s="1009"/>
      <c r="KT463" s="1009"/>
      <c r="KU463" s="1009"/>
      <c r="KV463" s="1009"/>
      <c r="KW463" s="1009"/>
      <c r="KX463" s="1009"/>
      <c r="KY463" s="1009"/>
      <c r="KZ463" s="1009"/>
      <c r="LA463" s="1009"/>
      <c r="LB463" s="1009"/>
      <c r="LC463" s="1009"/>
      <c r="LD463" s="1009"/>
      <c r="LE463" s="1009"/>
      <c r="LF463" s="1009"/>
      <c r="LG463" s="1009"/>
      <c r="LH463" s="1009"/>
      <c r="LI463" s="1009"/>
      <c r="LJ463" s="1009"/>
      <c r="LK463" s="1009"/>
      <c r="LL463" s="1009"/>
      <c r="LM463" s="1009"/>
      <c r="LN463" s="1009"/>
      <c r="LO463" s="1009"/>
      <c r="LP463" s="1009"/>
      <c r="LQ463" s="1009"/>
      <c r="LR463" s="1009"/>
      <c r="LS463" s="1009"/>
      <c r="LT463" s="1009"/>
      <c r="LU463" s="1009"/>
      <c r="LV463" s="1009"/>
      <c r="LW463" s="1009"/>
      <c r="LX463" s="1009"/>
      <c r="LY463" s="1009"/>
      <c r="LZ463" s="1009"/>
      <c r="MA463" s="1009"/>
      <c r="MB463" s="1009"/>
      <c r="MC463" s="1009"/>
      <c r="MD463" s="1009"/>
      <c r="ME463" s="1009"/>
      <c r="MF463" s="1009"/>
      <c r="MG463" s="1009"/>
      <c r="MH463" s="1009"/>
      <c r="MI463" s="1009"/>
      <c r="MJ463" s="1009"/>
      <c r="MK463" s="1009"/>
      <c r="ML463" s="1009"/>
      <c r="MM463" s="1009"/>
      <c r="MN463" s="1009"/>
      <c r="MO463" s="1009"/>
      <c r="MP463" s="1009"/>
      <c r="MQ463" s="1009"/>
      <c r="MR463" s="1009"/>
      <c r="MS463" s="1009"/>
      <c r="MT463" s="1009"/>
      <c r="MU463" s="1009"/>
      <c r="MV463" s="1009"/>
      <c r="MW463" s="1009"/>
      <c r="MX463" s="1009"/>
      <c r="MY463" s="1009"/>
      <c r="MZ463" s="1009"/>
      <c r="NA463" s="1009"/>
      <c r="NB463" s="1009"/>
      <c r="NC463" s="1009"/>
      <c r="ND463" s="1009"/>
      <c r="NE463" s="1009"/>
      <c r="NF463" s="1009"/>
      <c r="NG463" s="1009"/>
      <c r="NH463" s="1009"/>
      <c r="NI463" s="1009"/>
      <c r="NJ463" s="1009"/>
      <c r="NK463" s="1009"/>
      <c r="NL463" s="1009"/>
      <c r="NM463" s="1009"/>
      <c r="NN463" s="1009"/>
      <c r="NO463" s="1009"/>
      <c r="NP463" s="1009"/>
      <c r="NQ463" s="1009"/>
      <c r="NR463" s="1009"/>
      <c r="NS463" s="1009"/>
      <c r="NT463" s="1009"/>
      <c r="NU463" s="1009"/>
      <c r="NV463" s="1009"/>
      <c r="NW463" s="1009"/>
      <c r="NX463" s="1009"/>
      <c r="NY463" s="1009"/>
      <c r="NZ463" s="1009"/>
      <c r="OA463" s="1009"/>
      <c r="OB463" s="1009"/>
      <c r="OC463" s="1009"/>
      <c r="OD463" s="1009"/>
      <c r="OE463" s="1009"/>
      <c r="OF463" s="1009"/>
      <c r="OG463" s="1009"/>
      <c r="OH463" s="1009"/>
      <c r="OI463" s="1009"/>
      <c r="OJ463" s="1009"/>
      <c r="OK463" s="1009"/>
      <c r="OL463" s="1009"/>
      <c r="OM463" s="1009"/>
      <c r="ON463" s="1009"/>
      <c r="OO463" s="1009"/>
      <c r="OP463" s="1009"/>
      <c r="OQ463" s="1009"/>
      <c r="OR463" s="1009"/>
      <c r="OS463" s="1009"/>
      <c r="OT463" s="1009"/>
      <c r="OU463" s="1009"/>
      <c r="OV463" s="1009"/>
      <c r="OW463" s="1009"/>
      <c r="OX463" s="1009"/>
      <c r="OY463" s="1009"/>
      <c r="OZ463" s="1009"/>
      <c r="PA463" s="1009"/>
      <c r="PB463" s="1009"/>
      <c r="PC463" s="1009"/>
      <c r="PD463" s="1009"/>
      <c r="PE463" s="1009"/>
      <c r="PF463" s="1009"/>
      <c r="PG463" s="1009"/>
      <c r="PH463" s="1009"/>
      <c r="PI463" s="1009"/>
      <c r="PJ463" s="1009"/>
      <c r="PK463" s="1009"/>
      <c r="PL463" s="1009"/>
      <c r="PM463" s="1009"/>
      <c r="PN463" s="1009"/>
      <c r="PO463" s="1009"/>
      <c r="PP463" s="1009"/>
      <c r="PQ463" s="1009"/>
      <c r="PR463" s="1009"/>
      <c r="PS463" s="1009"/>
      <c r="PT463" s="1009"/>
      <c r="PU463" s="1009"/>
      <c r="PV463" s="1009"/>
      <c r="PW463" s="1009"/>
      <c r="PX463" s="1009"/>
      <c r="PY463" s="1009"/>
      <c r="PZ463" s="1009"/>
      <c r="QA463" s="1009"/>
      <c r="QB463" s="1009"/>
      <c r="QC463" s="1009"/>
      <c r="QD463" s="1009"/>
      <c r="QE463" s="1009"/>
      <c r="QF463" s="1009"/>
      <c r="QG463" s="1009"/>
      <c r="QH463" s="1009"/>
      <c r="QI463" s="1009"/>
      <c r="QJ463" s="1009"/>
      <c r="QK463" s="1009"/>
      <c r="QL463" s="1009"/>
      <c r="QM463" s="1009"/>
      <c r="QN463" s="1009"/>
      <c r="QO463" s="1009"/>
      <c r="QP463" s="1009"/>
      <c r="QQ463" s="1009"/>
      <c r="QR463" s="1009"/>
      <c r="QS463" s="1009"/>
      <c r="QT463" s="1009"/>
      <c r="QU463" s="1009"/>
      <c r="QV463" s="1009"/>
      <c r="QW463" s="1009"/>
      <c r="QX463" s="1009"/>
      <c r="QY463" s="1009"/>
      <c r="QZ463" s="1009"/>
      <c r="RA463" s="1009"/>
      <c r="RB463" s="1009"/>
      <c r="RC463" s="1009"/>
      <c r="RD463" s="1009"/>
      <c r="RE463" s="1009"/>
      <c r="RF463" s="1009"/>
      <c r="RG463" s="1009"/>
      <c r="RH463" s="1009"/>
      <c r="RI463" s="1009"/>
      <c r="RJ463" s="1009"/>
      <c r="RK463" s="1009"/>
      <c r="RL463" s="1009"/>
      <c r="RM463" s="1009"/>
      <c r="RN463" s="1009"/>
      <c r="RO463" s="1009"/>
      <c r="RP463" s="1009"/>
      <c r="RQ463" s="1009"/>
      <c r="RR463" s="1009"/>
      <c r="RS463" s="1009"/>
      <c r="RT463" s="1009"/>
      <c r="RU463" s="1009"/>
      <c r="RV463" s="1009"/>
      <c r="RW463" s="1009"/>
      <c r="RX463" s="1009"/>
      <c r="RY463" s="1009"/>
      <c r="RZ463" s="1009"/>
      <c r="SA463" s="1009"/>
      <c r="SB463" s="1009"/>
      <c r="SC463" s="1009"/>
      <c r="SD463" s="1009"/>
      <c r="SE463" s="1009"/>
      <c r="SF463" s="1009"/>
      <c r="SG463" s="1009"/>
      <c r="SH463" s="1009"/>
      <c r="SI463" s="1009"/>
      <c r="SJ463" s="1009"/>
      <c r="SK463" s="1009"/>
      <c r="SL463" s="1009"/>
      <c r="SM463" s="1009"/>
      <c r="SN463" s="1009"/>
      <c r="SO463" s="1009"/>
      <c r="SP463" s="1009"/>
      <c r="SQ463" s="1009"/>
      <c r="SR463" s="1009"/>
      <c r="SS463" s="1009"/>
      <c r="ST463" s="1009"/>
      <c r="SU463" s="1009"/>
      <c r="SV463" s="1009"/>
      <c r="SW463" s="1009"/>
      <c r="SX463" s="1009"/>
      <c r="SY463" s="1009"/>
      <c r="SZ463" s="1009"/>
      <c r="TA463" s="1009"/>
      <c r="TB463" s="1009"/>
      <c r="TC463" s="1009"/>
      <c r="TD463" s="1009"/>
      <c r="TE463" s="1009"/>
      <c r="TF463" s="1009"/>
      <c r="TG463" s="1009"/>
      <c r="TH463" s="1009"/>
      <c r="TI463" s="1009"/>
      <c r="TJ463" s="1009"/>
      <c r="TK463" s="1009"/>
      <c r="TL463" s="1009"/>
      <c r="TM463" s="1009"/>
      <c r="TN463" s="1009"/>
      <c r="TO463" s="1009"/>
      <c r="TP463" s="1009"/>
      <c r="TQ463" s="1009"/>
      <c r="TR463" s="1009"/>
      <c r="TS463" s="1009"/>
      <c r="TT463" s="1009"/>
      <c r="TU463" s="1009"/>
      <c r="TV463" s="1009"/>
      <c r="TW463" s="1009"/>
      <c r="TX463" s="1009"/>
      <c r="TY463" s="1009"/>
      <c r="TZ463" s="1009"/>
      <c r="UA463" s="1009"/>
      <c r="UB463" s="1009"/>
      <c r="UC463" s="1009"/>
      <c r="UD463" s="1009"/>
      <c r="UE463" s="1009"/>
      <c r="UF463" s="1009"/>
      <c r="UG463" s="1009"/>
      <c r="UH463" s="1009"/>
      <c r="UI463" s="1009"/>
      <c r="UJ463" s="1009"/>
      <c r="UK463" s="1009"/>
      <c r="UL463" s="1009"/>
      <c r="UM463" s="1009"/>
      <c r="UN463" s="1009"/>
      <c r="UO463" s="1009"/>
      <c r="UP463" s="1009"/>
      <c r="UQ463" s="1009"/>
      <c r="UR463" s="1009"/>
      <c r="US463" s="1009"/>
      <c r="UT463" s="1009"/>
      <c r="UU463" s="1009"/>
      <c r="UV463" s="1009"/>
      <c r="UW463" s="1009"/>
      <c r="UX463" s="1009"/>
      <c r="UY463" s="1009"/>
      <c r="UZ463" s="1009"/>
      <c r="VA463" s="1009"/>
      <c r="VB463" s="1009"/>
      <c r="VC463" s="1009"/>
      <c r="VD463" s="1009"/>
      <c r="VE463" s="1009"/>
      <c r="VF463" s="1009"/>
      <c r="VG463" s="1009"/>
      <c r="VH463" s="1009"/>
      <c r="VI463" s="1009"/>
      <c r="VJ463" s="1009"/>
      <c r="VK463" s="1009"/>
      <c r="VL463" s="1009"/>
      <c r="VM463" s="1009"/>
      <c r="VN463" s="1009"/>
      <c r="VO463" s="1009"/>
      <c r="VP463" s="1009"/>
      <c r="VQ463" s="1009"/>
      <c r="VR463" s="1009"/>
      <c r="VS463" s="1009"/>
      <c r="VT463" s="1009"/>
      <c r="VU463" s="1009"/>
      <c r="VV463" s="1009"/>
      <c r="VW463" s="1009"/>
      <c r="VX463" s="1009"/>
      <c r="VY463" s="1009"/>
      <c r="VZ463" s="1009"/>
      <c r="WA463" s="1009"/>
      <c r="WB463" s="1009"/>
      <c r="WC463" s="1009"/>
      <c r="WD463" s="1009"/>
      <c r="WE463" s="1009"/>
      <c r="WF463" s="1009"/>
      <c r="WG463" s="1009"/>
      <c r="WH463" s="1009"/>
      <c r="WI463" s="1009"/>
      <c r="WJ463" s="1009"/>
      <c r="WK463" s="1009"/>
      <c r="WL463" s="1009"/>
      <c r="WM463" s="1009"/>
      <c r="WN463" s="1009"/>
      <c r="WO463" s="1009"/>
      <c r="WP463" s="1009"/>
      <c r="WQ463" s="1009"/>
      <c r="WR463" s="1009"/>
      <c r="WS463" s="1009"/>
      <c r="WT463" s="1009"/>
      <c r="WU463" s="1009"/>
      <c r="WV463" s="1009"/>
      <c r="WW463" s="1009"/>
      <c r="WX463" s="1009"/>
      <c r="WY463" s="1009"/>
      <c r="WZ463" s="1009"/>
      <c r="XA463" s="1009"/>
      <c r="XB463" s="1009"/>
      <c r="XC463" s="1009"/>
      <c r="XD463" s="1009"/>
      <c r="XE463" s="1009"/>
      <c r="XF463" s="1009"/>
      <c r="XG463" s="1009"/>
      <c r="XH463" s="1009"/>
      <c r="XI463" s="1009"/>
      <c r="XJ463" s="1009"/>
      <c r="XK463" s="1009"/>
      <c r="XL463" s="1009"/>
      <c r="XM463" s="1009"/>
      <c r="XN463" s="1009"/>
      <c r="XO463" s="1009"/>
      <c r="XP463" s="1009"/>
      <c r="XQ463" s="1009"/>
      <c r="XR463" s="1009"/>
      <c r="XS463" s="1009"/>
      <c r="XT463" s="1009"/>
      <c r="XU463" s="1009"/>
      <c r="XV463" s="1009"/>
      <c r="XW463" s="1009"/>
      <c r="XX463" s="1009"/>
      <c r="XY463" s="1009"/>
      <c r="XZ463" s="1009"/>
      <c r="YA463" s="1009"/>
      <c r="YB463" s="1009"/>
      <c r="YC463" s="1009"/>
      <c r="YD463" s="1009"/>
      <c r="YE463" s="1009"/>
      <c r="YF463" s="1009"/>
      <c r="YG463" s="1009"/>
      <c r="YH463" s="1009"/>
      <c r="YI463" s="1009"/>
      <c r="YJ463" s="1009"/>
      <c r="YK463" s="1009"/>
      <c r="YL463" s="1009"/>
      <c r="YM463" s="1009"/>
      <c r="YN463" s="1009"/>
      <c r="YO463" s="1009"/>
      <c r="YP463" s="1009"/>
      <c r="YQ463" s="1009"/>
      <c r="YR463" s="1009"/>
      <c r="YS463" s="1009"/>
      <c r="YT463" s="1009"/>
      <c r="YU463" s="1009"/>
      <c r="YV463" s="1009"/>
      <c r="YW463" s="1009"/>
      <c r="YX463" s="1009"/>
      <c r="YY463" s="1009"/>
      <c r="YZ463" s="1009"/>
      <c r="ZA463" s="1009"/>
      <c r="ZB463" s="1009"/>
      <c r="ZC463" s="1009"/>
      <c r="ZD463" s="1009"/>
      <c r="ZE463" s="1009"/>
      <c r="ZF463" s="1009"/>
      <c r="ZG463" s="1009"/>
      <c r="ZH463" s="1009"/>
      <c r="ZI463" s="1009"/>
      <c r="ZJ463" s="1009"/>
      <c r="ZK463" s="1009"/>
      <c r="ZL463" s="1009"/>
      <c r="ZM463" s="1009"/>
      <c r="ZN463" s="1009"/>
      <c r="ZO463" s="1009"/>
      <c r="ZP463" s="1009"/>
      <c r="ZQ463" s="1009"/>
      <c r="ZR463" s="1009"/>
      <c r="ZS463" s="1009"/>
      <c r="ZT463" s="1009"/>
      <c r="ZU463" s="1009"/>
      <c r="ZV463" s="1009"/>
      <c r="ZW463" s="1009"/>
      <c r="ZX463" s="1009"/>
      <c r="ZY463" s="1009"/>
      <c r="ZZ463" s="1009"/>
      <c r="AAA463" s="1009"/>
      <c r="AAB463" s="1009"/>
      <c r="AAC463" s="1009"/>
      <c r="AAD463" s="1009"/>
      <c r="AAE463" s="1009"/>
      <c r="AAF463" s="1009"/>
      <c r="AAG463" s="1009"/>
      <c r="AAH463" s="1009"/>
      <c r="AAI463" s="1009"/>
      <c r="AAJ463" s="1009"/>
      <c r="AAK463" s="1009"/>
      <c r="AAL463" s="1009"/>
      <c r="AAM463" s="1009"/>
      <c r="AAN463" s="1009"/>
      <c r="AAO463" s="1009"/>
      <c r="AAP463" s="1009"/>
      <c r="AAQ463" s="1009"/>
      <c r="AAR463" s="1009"/>
      <c r="AAS463" s="1009"/>
      <c r="AAT463" s="1009"/>
      <c r="AAU463" s="1009"/>
      <c r="AAV463" s="1009"/>
      <c r="AAW463" s="1009"/>
      <c r="AAX463" s="1009"/>
      <c r="AAY463" s="1009"/>
      <c r="AAZ463" s="1009"/>
      <c r="ABA463" s="1009"/>
      <c r="ABB463" s="1009"/>
      <c r="ABC463" s="1009"/>
      <c r="ABD463" s="1009"/>
      <c r="ABE463" s="1009"/>
      <c r="ABF463" s="1009"/>
      <c r="ABG463" s="1009"/>
      <c r="ABH463" s="1009"/>
      <c r="ABI463" s="1009"/>
      <c r="ABJ463" s="1009"/>
      <c r="ABK463" s="1009"/>
      <c r="ABL463" s="1009"/>
      <c r="ABM463" s="1009"/>
      <c r="ABN463" s="1009"/>
      <c r="ABO463" s="1009"/>
      <c r="ABP463" s="1009"/>
      <c r="ABQ463" s="1009"/>
    </row>
    <row r="464" spans="1:745" ht="13.8" hidden="1">
      <c r="A464" s="1270"/>
      <c r="B464" s="1652" t="s">
        <v>987</v>
      </c>
      <c r="C464" s="1685"/>
      <c r="D464" s="1685"/>
      <c r="E464" s="1685"/>
      <c r="F464" s="1685"/>
      <c r="G464" s="1685"/>
      <c r="H464" s="1685"/>
      <c r="I464" s="1678">
        <f>ARBETSBLAD!I228*I57</f>
        <v>0</v>
      </c>
      <c r="J464" s="1678">
        <f>ARBETSBLAD!J228*J57</f>
        <v>0</v>
      </c>
      <c r="K464" s="1678">
        <f>ARBETSBLAD!K228*K57</f>
        <v>0</v>
      </c>
      <c r="L464" s="1678">
        <f>ARBETSBLAD!L228*L57</f>
        <v>0</v>
      </c>
      <c r="M464" s="1678">
        <f>ARBETSBLAD!M228*M57</f>
        <v>0</v>
      </c>
      <c r="N464" s="1678">
        <f>ARBETSBLAD!N228*N57</f>
        <v>0</v>
      </c>
      <c r="O464" s="1678">
        <f>ARBETSBLAD!O228*O57</f>
        <v>0</v>
      </c>
      <c r="P464" s="1678">
        <f>ARBETSBLAD!P228*P57</f>
        <v>0</v>
      </c>
      <c r="Q464" s="1678">
        <f>ARBETSBLAD!Q228*Q57</f>
        <v>0</v>
      </c>
      <c r="R464" s="1678">
        <f>ARBETSBLAD!R228*R57</f>
        <v>0</v>
      </c>
      <c r="S464" s="1678">
        <f>ARBETSBLAD!S228*S57</f>
        <v>0</v>
      </c>
      <c r="T464" s="1678">
        <f>ARBETSBLAD!T228*T57</f>
        <v>0</v>
      </c>
      <c r="U464" s="1678">
        <f>ARBETSBLAD!U228*U57</f>
        <v>0</v>
      </c>
      <c r="V464" s="1678">
        <f>ARBETSBLAD!V228*V57</f>
        <v>0</v>
      </c>
      <c r="W464" s="1678">
        <f>ARBETSBLAD!W228*W57</f>
        <v>0</v>
      </c>
      <c r="X464" s="1678">
        <f>ARBETSBLAD!X228*X57</f>
        <v>0</v>
      </c>
      <c r="Y464" s="1678">
        <f>ARBETSBLAD!Y228*Y57</f>
        <v>0</v>
      </c>
      <c r="Z464" s="1678">
        <f>ARBETSBLAD!Z228*Z57</f>
        <v>0</v>
      </c>
      <c r="AA464" s="1678">
        <f>ARBETSBLAD!AA228*AA57</f>
        <v>0</v>
      </c>
      <c r="AB464" s="1678">
        <f>ARBETSBLAD!AB228*AB57</f>
        <v>0</v>
      </c>
      <c r="AC464" s="1678">
        <f>ARBETSBLAD!AC228*AC57</f>
        <v>0</v>
      </c>
      <c r="AD464" s="1678">
        <f>ARBETSBLAD!AD228*AD57</f>
        <v>0</v>
      </c>
      <c r="AE464" s="1678">
        <f>ARBETSBLAD!AE228*AE57</f>
        <v>0</v>
      </c>
      <c r="AF464" s="1678">
        <f>ARBETSBLAD!AF228*AF57</f>
        <v>0</v>
      </c>
    </row>
    <row r="465" spans="1:36" ht="13.8" hidden="1">
      <c r="A465" s="1270"/>
      <c r="B465" s="1652" t="s">
        <v>988</v>
      </c>
      <c r="C465" s="1685"/>
      <c r="D465" s="1685"/>
      <c r="E465" s="1685"/>
      <c r="F465" s="1685"/>
      <c r="G465" s="1685"/>
      <c r="H465" s="1685"/>
      <c r="I465" s="1678">
        <f>ARBETSBLAD!I224*I57</f>
        <v>0</v>
      </c>
      <c r="J465" s="1678">
        <f>ARBETSBLAD!J224*J57</f>
        <v>0</v>
      </c>
      <c r="K465" s="1678">
        <f>ARBETSBLAD!K224*K57</f>
        <v>0</v>
      </c>
      <c r="L465" s="1678">
        <f>ARBETSBLAD!L224*L57</f>
        <v>0</v>
      </c>
      <c r="M465" s="1678">
        <f>ARBETSBLAD!M224*M57</f>
        <v>0</v>
      </c>
      <c r="N465" s="1678">
        <f>ARBETSBLAD!N224*N57</f>
        <v>0</v>
      </c>
      <c r="O465" s="1678">
        <f>ARBETSBLAD!O224*O57</f>
        <v>0</v>
      </c>
      <c r="P465" s="1678">
        <f>ARBETSBLAD!P224*P57</f>
        <v>0</v>
      </c>
      <c r="Q465" s="1678">
        <f>ARBETSBLAD!Q224*Q57</f>
        <v>0</v>
      </c>
      <c r="R465" s="1678">
        <f>ARBETSBLAD!R224*R57</f>
        <v>0</v>
      </c>
      <c r="S465" s="1678">
        <f>ARBETSBLAD!S224*S57</f>
        <v>0</v>
      </c>
      <c r="T465" s="1678">
        <f>ARBETSBLAD!T224*T57</f>
        <v>0</v>
      </c>
      <c r="U465" s="1678">
        <f>ARBETSBLAD!U224*U57</f>
        <v>0</v>
      </c>
      <c r="V465" s="1678">
        <f>ARBETSBLAD!V224*V57</f>
        <v>0</v>
      </c>
      <c r="W465" s="1678">
        <f>ARBETSBLAD!W224*W57</f>
        <v>0</v>
      </c>
      <c r="X465" s="1678">
        <f>ARBETSBLAD!X224*X57</f>
        <v>0</v>
      </c>
      <c r="Y465" s="1678">
        <f>ARBETSBLAD!Y224*Y57</f>
        <v>0</v>
      </c>
      <c r="Z465" s="1678">
        <f>ARBETSBLAD!Z224*Z57</f>
        <v>0</v>
      </c>
      <c r="AA465" s="1678">
        <f>ARBETSBLAD!AA224*AA57</f>
        <v>0</v>
      </c>
      <c r="AB465" s="1678">
        <f>ARBETSBLAD!AB224*AB57</f>
        <v>0</v>
      </c>
      <c r="AC465" s="1678">
        <f>ARBETSBLAD!AC224*AC57</f>
        <v>0</v>
      </c>
      <c r="AD465" s="1678">
        <f>ARBETSBLAD!AD224*AD57</f>
        <v>0</v>
      </c>
      <c r="AE465" s="1678">
        <f>ARBETSBLAD!AE224*AE57</f>
        <v>0</v>
      </c>
      <c r="AF465" s="1678">
        <f>ARBETSBLAD!AF224*AF57</f>
        <v>0</v>
      </c>
    </row>
    <row r="466" spans="1:36" ht="13.8" hidden="1">
      <c r="A466" s="1270"/>
      <c r="B466" s="1652" t="s">
        <v>991</v>
      </c>
      <c r="C466" s="1685"/>
      <c r="D466" s="1685"/>
      <c r="E466" s="1685"/>
      <c r="F466" s="1685"/>
      <c r="G466" s="1685"/>
      <c r="H466" s="1685"/>
      <c r="I466" s="1561">
        <f>I464-I465</f>
        <v>0</v>
      </c>
      <c r="J466" s="1679">
        <f t="shared" ref="J466:AF466" si="150">J464-J465</f>
        <v>0</v>
      </c>
      <c r="K466" s="1679">
        <f t="shared" si="150"/>
        <v>0</v>
      </c>
      <c r="L466" s="1679">
        <f t="shared" si="150"/>
        <v>0</v>
      </c>
      <c r="M466" s="1679">
        <f t="shared" si="150"/>
        <v>0</v>
      </c>
      <c r="N466" s="1679">
        <f t="shared" si="150"/>
        <v>0</v>
      </c>
      <c r="O466" s="1679">
        <f t="shared" si="150"/>
        <v>0</v>
      </c>
      <c r="P466" s="1679">
        <f t="shared" si="150"/>
        <v>0</v>
      </c>
      <c r="Q466" s="1679">
        <f t="shared" si="150"/>
        <v>0</v>
      </c>
      <c r="R466" s="1679">
        <f t="shared" si="150"/>
        <v>0</v>
      </c>
      <c r="S466" s="1679">
        <f t="shared" si="150"/>
        <v>0</v>
      </c>
      <c r="T466" s="1679">
        <f t="shared" si="150"/>
        <v>0</v>
      </c>
      <c r="U466" s="1679">
        <f t="shared" si="150"/>
        <v>0</v>
      </c>
      <c r="V466" s="1679">
        <f t="shared" si="150"/>
        <v>0</v>
      </c>
      <c r="W466" s="1679">
        <f t="shared" si="150"/>
        <v>0</v>
      </c>
      <c r="X466" s="1679">
        <f t="shared" si="150"/>
        <v>0</v>
      </c>
      <c r="Y466" s="1679">
        <f t="shared" si="150"/>
        <v>0</v>
      </c>
      <c r="Z466" s="1679">
        <f t="shared" si="150"/>
        <v>0</v>
      </c>
      <c r="AA466" s="1679">
        <f t="shared" si="150"/>
        <v>0</v>
      </c>
      <c r="AB466" s="1679">
        <f t="shared" si="150"/>
        <v>0</v>
      </c>
      <c r="AC466" s="1679">
        <f t="shared" si="150"/>
        <v>0</v>
      </c>
      <c r="AD466" s="1679">
        <f t="shared" si="150"/>
        <v>0</v>
      </c>
      <c r="AE466" s="1679">
        <f t="shared" si="150"/>
        <v>0</v>
      </c>
      <c r="AF466" s="1679">
        <f t="shared" si="150"/>
        <v>0</v>
      </c>
    </row>
    <row r="467" spans="1:36" ht="13.8" hidden="1">
      <c r="A467" s="1270"/>
      <c r="B467" s="1652" t="s">
        <v>989</v>
      </c>
      <c r="C467" s="1685"/>
      <c r="D467" s="1685"/>
      <c r="E467" s="1685"/>
      <c r="F467" s="1685"/>
      <c r="G467" s="1685"/>
      <c r="H467" s="1685"/>
      <c r="I467" s="1679">
        <f>IF(I466&lt;0,-I466,0)</f>
        <v>0</v>
      </c>
      <c r="J467" s="1679">
        <f t="shared" ref="J467:AF467" si="151">IF(J466&lt;0,-J466,0)</f>
        <v>0</v>
      </c>
      <c r="K467" s="1679">
        <f t="shared" si="151"/>
        <v>0</v>
      </c>
      <c r="L467" s="1679">
        <f t="shared" si="151"/>
        <v>0</v>
      </c>
      <c r="M467" s="1679">
        <f t="shared" si="151"/>
        <v>0</v>
      </c>
      <c r="N467" s="1679">
        <f t="shared" si="151"/>
        <v>0</v>
      </c>
      <c r="O467" s="1679">
        <f t="shared" si="151"/>
        <v>0</v>
      </c>
      <c r="P467" s="1679">
        <f t="shared" si="151"/>
        <v>0</v>
      </c>
      <c r="Q467" s="1679">
        <f t="shared" si="151"/>
        <v>0</v>
      </c>
      <c r="R467" s="1679">
        <f t="shared" si="151"/>
        <v>0</v>
      </c>
      <c r="S467" s="1679">
        <f t="shared" si="151"/>
        <v>0</v>
      </c>
      <c r="T467" s="1679">
        <f t="shared" si="151"/>
        <v>0</v>
      </c>
      <c r="U467" s="1679">
        <f t="shared" si="151"/>
        <v>0</v>
      </c>
      <c r="V467" s="1679">
        <f t="shared" si="151"/>
        <v>0</v>
      </c>
      <c r="W467" s="1679">
        <f t="shared" si="151"/>
        <v>0</v>
      </c>
      <c r="X467" s="1679">
        <f t="shared" si="151"/>
        <v>0</v>
      </c>
      <c r="Y467" s="1679">
        <f t="shared" si="151"/>
        <v>0</v>
      </c>
      <c r="Z467" s="1679">
        <f t="shared" si="151"/>
        <v>0</v>
      </c>
      <c r="AA467" s="1679">
        <f t="shared" si="151"/>
        <v>0</v>
      </c>
      <c r="AB467" s="1679">
        <f t="shared" si="151"/>
        <v>0</v>
      </c>
      <c r="AC467" s="1679">
        <f t="shared" si="151"/>
        <v>0</v>
      </c>
      <c r="AD467" s="1679">
        <f t="shared" si="151"/>
        <v>0</v>
      </c>
      <c r="AE467" s="1679">
        <f t="shared" si="151"/>
        <v>0</v>
      </c>
      <c r="AF467" s="1679">
        <f t="shared" si="151"/>
        <v>0</v>
      </c>
    </row>
    <row r="468" spans="1:36" ht="13.8" hidden="1">
      <c r="A468" s="1270"/>
      <c r="B468" s="1666" t="s">
        <v>990</v>
      </c>
      <c r="C468" s="1686"/>
      <c r="D468" s="1686"/>
      <c r="E468" s="1686"/>
      <c r="F468" s="1686"/>
      <c r="G468" s="1686"/>
      <c r="H468" s="1687"/>
      <c r="I468" s="1679">
        <f t="shared" ref="I468:AF468" si="152">IF(I466&gt;0,I466,0)</f>
        <v>0</v>
      </c>
      <c r="J468" s="1679">
        <f t="shared" si="152"/>
        <v>0</v>
      </c>
      <c r="K468" s="1679">
        <f t="shared" si="152"/>
        <v>0</v>
      </c>
      <c r="L468" s="1679">
        <f t="shared" si="152"/>
        <v>0</v>
      </c>
      <c r="M468" s="1679">
        <f t="shared" si="152"/>
        <v>0</v>
      </c>
      <c r="N468" s="1679">
        <f t="shared" si="152"/>
        <v>0</v>
      </c>
      <c r="O468" s="1679">
        <f t="shared" si="152"/>
        <v>0</v>
      </c>
      <c r="P468" s="1679">
        <f t="shared" si="152"/>
        <v>0</v>
      </c>
      <c r="Q468" s="1679">
        <f t="shared" si="152"/>
        <v>0</v>
      </c>
      <c r="R468" s="1679">
        <f t="shared" si="152"/>
        <v>0</v>
      </c>
      <c r="S468" s="1679">
        <f t="shared" si="152"/>
        <v>0</v>
      </c>
      <c r="T468" s="1679">
        <f t="shared" si="152"/>
        <v>0</v>
      </c>
      <c r="U468" s="1679">
        <f t="shared" si="152"/>
        <v>0</v>
      </c>
      <c r="V468" s="1679">
        <f t="shared" si="152"/>
        <v>0</v>
      </c>
      <c r="W468" s="1679">
        <f t="shared" si="152"/>
        <v>0</v>
      </c>
      <c r="X468" s="1679">
        <f t="shared" si="152"/>
        <v>0</v>
      </c>
      <c r="Y468" s="1679">
        <f t="shared" si="152"/>
        <v>0</v>
      </c>
      <c r="Z468" s="1679">
        <f t="shared" si="152"/>
        <v>0</v>
      </c>
      <c r="AA468" s="1679">
        <f t="shared" si="152"/>
        <v>0</v>
      </c>
      <c r="AB468" s="1679">
        <f t="shared" si="152"/>
        <v>0</v>
      </c>
      <c r="AC468" s="1679">
        <f t="shared" si="152"/>
        <v>0</v>
      </c>
      <c r="AD468" s="1679">
        <f t="shared" si="152"/>
        <v>0</v>
      </c>
      <c r="AE468" s="1679">
        <f t="shared" si="152"/>
        <v>0</v>
      </c>
      <c r="AF468" s="1679">
        <f t="shared" si="152"/>
        <v>0</v>
      </c>
    </row>
    <row r="469" spans="1:36" hidden="1">
      <c r="AH469" s="1962" t="s">
        <v>882</v>
      </c>
    </row>
    <row r="470" spans="1:36" hidden="1">
      <c r="A470" s="1270"/>
      <c r="B470" s="1278" t="s">
        <v>1103</v>
      </c>
      <c r="C470" s="1272"/>
      <c r="D470" s="1273"/>
      <c r="E470" s="1274"/>
      <c r="F470" s="1274"/>
      <c r="G470" s="1274"/>
      <c r="H470" s="1275"/>
      <c r="I470" s="1223"/>
      <c r="J470" s="1223"/>
      <c r="K470" s="1223"/>
      <c r="L470" s="1223"/>
      <c r="M470" s="1223"/>
      <c r="N470" s="1223"/>
      <c r="O470" s="1223"/>
      <c r="P470" s="1223"/>
      <c r="Q470" s="1223"/>
      <c r="R470" s="1223"/>
      <c r="S470" s="1223"/>
      <c r="T470" s="1223"/>
      <c r="U470" s="1223"/>
      <c r="V470" s="1223"/>
      <c r="W470" s="1223"/>
      <c r="X470" s="1223"/>
      <c r="Y470" s="1223"/>
      <c r="Z470" s="1223"/>
      <c r="AA470" s="1223"/>
      <c r="AB470" s="1223"/>
      <c r="AC470" s="1223"/>
      <c r="AD470" s="1223"/>
      <c r="AE470" s="1223"/>
      <c r="AF470" s="1223"/>
      <c r="AG470" s="1276"/>
      <c r="AH470" s="1222">
        <f>ARBETSBLAD!$AJ$33+ARBETSBLAD!$AJ$273-ARBETSBLAD!$AJ$76-ARBETSBLAD!$AJ108-ARBETSBLAD!$AJ$134-ARBETSBLAD!$AJ$135-ARBETSBLAD!$AJ$156-$AH$340</f>
        <v>0</v>
      </c>
      <c r="AI470" s="774"/>
      <c r="AJ470" s="1222">
        <f>ARBETSBLAD!$AL$33+ARBETSBLAD!$AL$273-ARBETSBLAD!$AL$76-ARBETSBLAD!$AL$108-ARBETSBLAD!$AL$134-ARBETSBLAD!$AL$135-ARBETSBLAD!$AL$156-$AJ$340</f>
        <v>0</v>
      </c>
    </row>
    <row r="471" spans="1:36" hidden="1">
      <c r="A471" s="1270"/>
      <c r="B471" s="1278" t="s">
        <v>1104</v>
      </c>
      <c r="C471" s="1272"/>
      <c r="D471" s="1273"/>
      <c r="E471" s="1274"/>
      <c r="F471" s="1274"/>
      <c r="G471" s="1274"/>
      <c r="H471" s="1275"/>
      <c r="I471" s="1993"/>
      <c r="J471" s="1993"/>
      <c r="K471" s="1993"/>
      <c r="L471" s="1993"/>
      <c r="M471" s="1993"/>
      <c r="N471" s="1993"/>
      <c r="O471" s="1993"/>
      <c r="P471" s="1993"/>
      <c r="Q471" s="1993"/>
      <c r="R471" s="1993"/>
      <c r="S471" s="1993"/>
      <c r="T471" s="1993"/>
      <c r="U471" s="1993"/>
      <c r="V471" s="1993"/>
      <c r="W471" s="1993"/>
      <c r="X471" s="1993"/>
      <c r="Y471" s="1993"/>
      <c r="Z471" s="1993"/>
      <c r="AA471" s="1993"/>
      <c r="AB471" s="1993"/>
      <c r="AC471" s="1993"/>
      <c r="AD471" s="1993"/>
      <c r="AE471" s="1993"/>
      <c r="AF471" s="1993"/>
      <c r="AG471" s="1276"/>
      <c r="AH471" s="1222">
        <f>ARBETSBLAD!$AJ$33+ARBETSBLAD!$AJ$273-ARBETSBLAD!$AJ$76-ARBETSBLAD!$AJ108-ARBETSBLAD!$AJ$134-ARBETSBLAD!$AJ$135-ARBETSBLAD!$AJ$156-$AH$340</f>
        <v>0</v>
      </c>
      <c r="AI471" s="774"/>
      <c r="AJ471" s="1222">
        <f>ARBETSBLAD!$AL$33+ARBETSBLAD!$AL$273-ARBETSBLAD!$AL$76-ARBETSBLAD!$AL108-ARBETSBLAD!$AL$134-ARBETSBLAD!$AL$135-ARBETSBLAD!$AL$156-$AJ$340</f>
        <v>0</v>
      </c>
    </row>
    <row r="472" spans="1:36" hidden="1"/>
    <row r="473" spans="1:36" hidden="1">
      <c r="A473" s="1252"/>
      <c r="B473" s="355" t="s">
        <v>961</v>
      </c>
      <c r="C473" s="1214"/>
      <c r="D473" s="1623"/>
      <c r="E473" s="1623"/>
      <c r="F473" s="1623"/>
      <c r="G473" s="1214"/>
      <c r="H473" s="1624"/>
      <c r="I473" s="992">
        <f>SUM(ARBETSBLAD!I57:I58)*fx!I57</f>
        <v>0</v>
      </c>
      <c r="J473" s="992">
        <f>SUM(ARBETSBLAD!J57:J58)*fx!J57</f>
        <v>0</v>
      </c>
      <c r="K473" s="992">
        <f>SUM(ARBETSBLAD!K57:K58)*fx!K57</f>
        <v>0</v>
      </c>
      <c r="L473" s="992">
        <f>SUM(ARBETSBLAD!L57:L58)*fx!L57</f>
        <v>0</v>
      </c>
      <c r="M473" s="992">
        <f>SUM(ARBETSBLAD!M57:M58)*fx!M57</f>
        <v>0</v>
      </c>
      <c r="N473" s="992">
        <f>SUM(ARBETSBLAD!N57:N58)*fx!N57</f>
        <v>0</v>
      </c>
      <c r="O473" s="992">
        <f>SUM(ARBETSBLAD!O57:O58)*fx!O57</f>
        <v>0</v>
      </c>
      <c r="P473" s="992">
        <f>SUM(ARBETSBLAD!P57:P58)*fx!P57</f>
        <v>0</v>
      </c>
      <c r="Q473" s="992">
        <f>SUM(ARBETSBLAD!Q57:Q58)*fx!Q57</f>
        <v>0</v>
      </c>
      <c r="R473" s="992">
        <f>SUM(ARBETSBLAD!R57:R58)*fx!R57</f>
        <v>0</v>
      </c>
      <c r="S473" s="992">
        <f>SUM(ARBETSBLAD!S57:S58)*fx!S57</f>
        <v>0</v>
      </c>
      <c r="T473" s="992">
        <f>SUM(ARBETSBLAD!T57:T58)*fx!T57</f>
        <v>0</v>
      </c>
      <c r="U473" s="992">
        <f>SUM(ARBETSBLAD!U57:U58)*fx!U57</f>
        <v>0</v>
      </c>
      <c r="V473" s="992">
        <f>SUM(ARBETSBLAD!V57:V58)*fx!V57</f>
        <v>0</v>
      </c>
      <c r="W473" s="992">
        <f>SUM(ARBETSBLAD!W57:W58)*fx!W57</f>
        <v>0</v>
      </c>
      <c r="X473" s="992">
        <f>SUM(ARBETSBLAD!X57:X58)*fx!X57</f>
        <v>0</v>
      </c>
      <c r="Y473" s="992">
        <f>SUM(ARBETSBLAD!Y57:Y58)*fx!Y57</f>
        <v>0</v>
      </c>
      <c r="Z473" s="992">
        <f>SUM(ARBETSBLAD!Z57:Z58)*fx!Z57</f>
        <v>0</v>
      </c>
      <c r="AA473" s="992">
        <f>SUM(ARBETSBLAD!AA57:AA58)*fx!AA57</f>
        <v>0</v>
      </c>
      <c r="AB473" s="992">
        <f>SUM(ARBETSBLAD!AB57:AB58)*fx!AB57</f>
        <v>0</v>
      </c>
      <c r="AC473" s="992">
        <f>SUM(ARBETSBLAD!AC57:AC58)*fx!AC57</f>
        <v>0</v>
      </c>
      <c r="AD473" s="992">
        <f>SUM(ARBETSBLAD!AD57:AD58)*fx!AD57</f>
        <v>0</v>
      </c>
      <c r="AE473" s="992">
        <f>SUM(ARBETSBLAD!AE57:AE58)*fx!AE57</f>
        <v>0</v>
      </c>
      <c r="AF473" s="992">
        <f>SUM(ARBETSBLAD!AF57:AF58)*fx!AF57</f>
        <v>0</v>
      </c>
      <c r="AG473" s="786"/>
      <c r="AH473" s="901">
        <f>IF(fx!$C$57=1,SUMIF(fx!I$57:T$57,1,I473:T473),IF(fx!$C$57=2,SUMIF(fx!O$57:AF$57,1,O473:AF473)))</f>
        <v>0</v>
      </c>
      <c r="AI473" s="1207"/>
      <c r="AJ473" s="902">
        <f>IF(fx!$C$57=1,SUM(U473:AF473),0)</f>
        <v>0</v>
      </c>
    </row>
    <row r="474" spans="1:36" hidden="1">
      <c r="A474" s="1038"/>
      <c r="B474" s="1752" t="s">
        <v>961</v>
      </c>
      <c r="C474" s="1753"/>
      <c r="D474" s="1754"/>
      <c r="E474" s="1754"/>
      <c r="F474" s="1754"/>
      <c r="G474" s="1753"/>
      <c r="H474" s="1755"/>
      <c r="I474" s="992">
        <f>SUM(ARBETSBLAD!I31:I32)*fx!I57</f>
        <v>0</v>
      </c>
      <c r="J474" s="992">
        <f>SUM(ARBETSBLAD!J31:J32)*fx!J57</f>
        <v>0</v>
      </c>
      <c r="K474" s="992">
        <f>SUM(ARBETSBLAD!K31:K32)*fx!K57</f>
        <v>0</v>
      </c>
      <c r="L474" s="992">
        <f>SUM(ARBETSBLAD!L31:L32)*fx!L57</f>
        <v>0</v>
      </c>
      <c r="M474" s="992">
        <f>SUM(ARBETSBLAD!M31:M32)*fx!M57</f>
        <v>0</v>
      </c>
      <c r="N474" s="992">
        <f>SUM(ARBETSBLAD!N31:N32)*fx!N57</f>
        <v>0</v>
      </c>
      <c r="O474" s="992">
        <f>SUM(ARBETSBLAD!O31:O32)*fx!O57</f>
        <v>0</v>
      </c>
      <c r="P474" s="992">
        <f>SUM(ARBETSBLAD!P31:P32)*fx!P57</f>
        <v>0</v>
      </c>
      <c r="Q474" s="992">
        <f>SUM(ARBETSBLAD!Q31:Q32)*fx!Q57</f>
        <v>0</v>
      </c>
      <c r="R474" s="992">
        <f>SUM(ARBETSBLAD!R31:R32)*fx!R57</f>
        <v>0</v>
      </c>
      <c r="S474" s="992">
        <f>SUM(ARBETSBLAD!S31:S32)*fx!S57</f>
        <v>0</v>
      </c>
      <c r="T474" s="992">
        <f>SUM(ARBETSBLAD!T31:T32)*fx!T57</f>
        <v>0</v>
      </c>
      <c r="U474" s="992">
        <f>SUM(ARBETSBLAD!U31:U32)*fx!U57</f>
        <v>0</v>
      </c>
      <c r="V474" s="992">
        <f>SUM(ARBETSBLAD!V31:V32)*fx!V57</f>
        <v>0</v>
      </c>
      <c r="W474" s="992">
        <f>SUM(ARBETSBLAD!W31:W32)*fx!W57</f>
        <v>0</v>
      </c>
      <c r="X474" s="992">
        <f>SUM(ARBETSBLAD!X31:X32)*fx!X57</f>
        <v>0</v>
      </c>
      <c r="Y474" s="992">
        <f>SUM(ARBETSBLAD!Y31:Y32)*fx!Y57</f>
        <v>0</v>
      </c>
      <c r="Z474" s="992">
        <f>SUM(ARBETSBLAD!Z31:Z32)*fx!Z57</f>
        <v>0</v>
      </c>
      <c r="AA474" s="992">
        <f>SUM(ARBETSBLAD!AA31:AA32)*fx!AA57</f>
        <v>0</v>
      </c>
      <c r="AB474" s="992">
        <f>SUM(ARBETSBLAD!AB31:AB32)*fx!AB57</f>
        <v>0</v>
      </c>
      <c r="AC474" s="992">
        <f>SUM(ARBETSBLAD!AC31:AC32)*fx!AC57</f>
        <v>0</v>
      </c>
      <c r="AD474" s="992">
        <f>SUM(ARBETSBLAD!AD31:AD32)*fx!AD57</f>
        <v>0</v>
      </c>
      <c r="AE474" s="992">
        <f>SUM(ARBETSBLAD!AE31:AE32)*fx!AE57</f>
        <v>0</v>
      </c>
      <c r="AF474" s="992">
        <f>SUM(ARBETSBLAD!AF31:AF32)*fx!AF57</f>
        <v>0</v>
      </c>
      <c r="AG474" s="786"/>
      <c r="AH474" s="901">
        <f>IF(fx!$C$57=1,SUMIF(fx!I$57:T$57,1,I474:T474),IF(fx!$C$57=2,SUMIF(fx!O$57:AF$57,1,O474:AF474)))</f>
        <v>0</v>
      </c>
      <c r="AI474" s="1207"/>
      <c r="AJ474" s="902">
        <f>IF(fx!$C$57=1,SUM(U474:AF474),0)</f>
        <v>0</v>
      </c>
    </row>
  </sheetData>
  <sheetProtection algorithmName="SHA-512" hashValue="IsU9zWSEs5F9rpZyhmDDQz8dhHa1DD0E1hV+kbKCM3wvo7dxCyKprrFuVGlrsouEGMaoZHEJeyIlPLO/w0LzBQ==" saltValue="gofpZV2xqrF2Hevut4QgDw==" spinCount="100000" sheet="1" selectLockedCells="1" selectUnlockedCells="1"/>
  <mergeCells count="5">
    <mergeCell ref="AH413:AJ413"/>
    <mergeCell ref="R69:S69"/>
    <mergeCell ref="C4:F4"/>
    <mergeCell ref="C6:F6"/>
    <mergeCell ref="P4:Q4"/>
  </mergeCells>
  <conditionalFormatting sqref="L4">
    <cfRule type="expression" dxfId="342" priority="4">
      <formula>#REF!=1</formula>
    </cfRule>
  </conditionalFormatting>
  <conditionalFormatting sqref="P2">
    <cfRule type="expression" dxfId="341" priority="5">
      <formula>#REF!=1</formula>
    </cfRule>
  </conditionalFormatting>
  <dataValidations count="1">
    <dataValidation allowBlank="1" showInputMessage="1" showErrorMessage="1" sqref="F450:F463 E9:E11 F54:H54 E55:E56 E470:E471 D349:G349 D346:G347"/>
  </dataValidations>
  <pageMargins left="0.15748031496062992" right="0.15748031496062992" top="0.31496062992125984" bottom="0.39370078740157483" header="0.23622047244094491" footer="0.15748031496062992"/>
  <pageSetup paperSize="9" orientation="landscape" r:id="rId1"/>
  <headerFooter>
    <oddFooter>&amp;C&amp;"Arial Narrow,Normal"&amp;8© Almi Företagspartner AB 2015-02-08</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ABR859"/>
  <sheetViews>
    <sheetView showGridLines="0" showZeros="0" zoomScaleNormal="100" workbookViewId="0">
      <pane xSplit="8" ySplit="8" topLeftCell="I9" activePane="bottomRight" state="frozenSplit"/>
      <selection pane="topRight" activeCell="I1" sqref="I1"/>
      <selection pane="bottomLeft" activeCell="A9" sqref="A9"/>
      <selection pane="bottomRight"/>
    </sheetView>
  </sheetViews>
  <sheetFormatPr defaultColWidth="9.109375" defaultRowHeight="13.2"/>
  <cols>
    <col min="1" max="1" width="1.44140625" style="1040" customWidth="1"/>
    <col min="2" max="2" width="15.6640625" style="1004" customWidth="1"/>
    <col min="3" max="3" width="11.6640625" style="1004" customWidth="1"/>
    <col min="4" max="4" width="0.5546875" style="1004" customWidth="1"/>
    <col min="5" max="5" width="5.6640625" style="1004" customWidth="1"/>
    <col min="6" max="6" width="0.5546875" style="1004" customWidth="1"/>
    <col min="7" max="7" width="4.88671875" style="1004" customWidth="1"/>
    <col min="8" max="8" width="1.6640625" style="1004" customWidth="1"/>
    <col min="9" max="32" width="8.5546875" style="1004" customWidth="1"/>
    <col min="33" max="33" width="0.44140625" style="1009" customWidth="1"/>
    <col min="34" max="34" width="4.33203125" style="1004" customWidth="1"/>
    <col min="35" max="35" width="0.44140625" style="1004" customWidth="1"/>
    <col min="36" max="36" width="8.5546875" style="1041" customWidth="1"/>
    <col min="37" max="37" width="0.88671875" style="1041" customWidth="1"/>
    <col min="38" max="38" width="8.5546875" style="1041" customWidth="1"/>
    <col min="39" max="39" width="0.88671875" style="1004" customWidth="1"/>
    <col min="40" max="40" width="8.5546875" style="1005" customWidth="1"/>
    <col min="41" max="41" width="8.5546875" style="1037" customWidth="1"/>
    <col min="42" max="43" width="8.5546875" style="1937" customWidth="1"/>
    <col min="44" max="61" width="8.5546875" style="1004" customWidth="1"/>
    <col min="62" max="68" width="9.109375" style="1004" customWidth="1"/>
    <col min="69" max="16384" width="9.109375" style="1004"/>
  </cols>
  <sheetData>
    <row r="1" spans="1:746" s="1" customFormat="1" ht="6" customHeight="1">
      <c r="A1" s="923"/>
      <c r="B1" s="166"/>
      <c r="C1" s="166"/>
      <c r="D1" s="166"/>
      <c r="E1" s="166"/>
      <c r="F1" s="166"/>
      <c r="G1" s="2200"/>
      <c r="H1" s="2201"/>
      <c r="I1" s="2201"/>
      <c r="J1" s="2200"/>
      <c r="K1" s="166"/>
      <c r="L1" s="166"/>
      <c r="M1" s="166"/>
      <c r="N1" s="166"/>
      <c r="O1" s="166"/>
      <c r="P1" s="166"/>
      <c r="Q1" s="166"/>
      <c r="R1" s="166"/>
      <c r="S1" s="166"/>
      <c r="T1" s="166"/>
      <c r="U1" s="166"/>
      <c r="V1" s="166"/>
      <c r="W1" s="166"/>
      <c r="X1" s="166"/>
      <c r="Y1" s="166"/>
      <c r="Z1" s="166"/>
      <c r="AA1" s="166"/>
      <c r="AB1" s="166"/>
      <c r="AC1" s="166"/>
      <c r="AD1" s="166"/>
      <c r="AE1" s="166"/>
      <c r="AF1" s="166"/>
      <c r="AG1" s="94"/>
      <c r="AH1" s="113"/>
      <c r="AI1" s="113"/>
      <c r="AJ1" s="413"/>
      <c r="AK1" s="414"/>
      <c r="AL1" s="414"/>
      <c r="AM1" s="1004"/>
      <c r="AN1" s="1922"/>
      <c r="AO1" s="1926"/>
      <c r="AP1" s="1926"/>
      <c r="AQ1" s="1926"/>
      <c r="AR1" s="1923"/>
      <c r="AS1" s="1923"/>
      <c r="AT1" s="1923"/>
      <c r="AU1" s="1923"/>
      <c r="AV1" s="1923"/>
      <c r="AW1" s="1923"/>
      <c r="AX1" s="1923"/>
      <c r="AY1" s="1923"/>
      <c r="AZ1" s="1923"/>
      <c r="BA1" s="1923"/>
      <c r="BB1" s="1923"/>
      <c r="BC1" s="1923"/>
      <c r="BD1" s="1923"/>
      <c r="BE1" s="1923"/>
      <c r="BF1" s="1923"/>
      <c r="BG1" s="1923"/>
      <c r="BH1" s="1923"/>
      <c r="BI1" s="1923"/>
      <c r="BJ1" s="1923"/>
      <c r="BK1" s="1923"/>
      <c r="BL1" s="1923"/>
      <c r="BM1" s="1923"/>
      <c r="BN1" s="1923"/>
      <c r="BO1" s="1923"/>
      <c r="BP1" s="1924"/>
      <c r="BQ1" s="1004"/>
      <c r="BR1" s="1004"/>
      <c r="BS1" s="1004"/>
      <c r="BT1" s="1004"/>
      <c r="BU1" s="1004"/>
      <c r="BV1" s="1004"/>
      <c r="BW1" s="1004"/>
      <c r="BX1" s="1004"/>
      <c r="BY1" s="1004"/>
      <c r="BZ1" s="1004"/>
      <c r="CA1" s="1004"/>
      <c r="CB1" s="1004"/>
      <c r="CC1" s="1004"/>
      <c r="CD1" s="1004"/>
      <c r="CE1" s="1004"/>
      <c r="CF1" s="1004"/>
      <c r="CG1" s="1004"/>
      <c r="CH1" s="1004"/>
      <c r="CI1" s="1004"/>
      <c r="CJ1" s="1004"/>
      <c r="CK1" s="1004"/>
      <c r="CL1" s="1004"/>
      <c r="CM1" s="1004"/>
      <c r="CN1" s="1004"/>
      <c r="CO1" s="1004"/>
      <c r="CP1" s="1004"/>
      <c r="CQ1" s="1004"/>
      <c r="CR1" s="1004"/>
      <c r="CS1" s="1004"/>
      <c r="CT1" s="1004"/>
      <c r="CU1" s="1004"/>
      <c r="CV1" s="1004"/>
      <c r="CW1" s="1004"/>
      <c r="CX1" s="1004"/>
      <c r="CY1" s="1004"/>
      <c r="CZ1" s="1004"/>
      <c r="DA1" s="1004"/>
      <c r="DB1" s="1004"/>
      <c r="DC1" s="1004"/>
      <c r="DD1" s="1004"/>
      <c r="DE1" s="1004"/>
      <c r="DF1" s="1004"/>
      <c r="DG1" s="1004"/>
      <c r="DH1" s="1004"/>
      <c r="DI1" s="1004"/>
      <c r="DJ1" s="1004"/>
      <c r="DK1" s="1004"/>
      <c r="DL1" s="1004"/>
      <c r="DM1" s="1004"/>
      <c r="DN1" s="1004"/>
      <c r="DO1" s="1004"/>
      <c r="DP1" s="1004"/>
      <c r="DQ1" s="1004"/>
      <c r="DR1" s="1004"/>
      <c r="DS1" s="1004"/>
      <c r="DT1" s="1004"/>
      <c r="DU1" s="1004"/>
      <c r="DV1" s="1004"/>
      <c r="DW1" s="1004"/>
      <c r="DX1" s="1004"/>
      <c r="DY1" s="1004"/>
      <c r="DZ1" s="1004"/>
      <c r="EA1" s="1004"/>
      <c r="EB1" s="1004"/>
      <c r="EC1" s="1004"/>
      <c r="ED1" s="1004"/>
      <c r="EE1" s="1004"/>
      <c r="EF1" s="1004"/>
      <c r="EG1" s="1004"/>
      <c r="EH1" s="1004"/>
      <c r="EI1" s="1004"/>
      <c r="EJ1" s="1004"/>
      <c r="EK1" s="1004"/>
      <c r="EL1" s="1004"/>
      <c r="EM1" s="1004"/>
      <c r="EN1" s="1004"/>
      <c r="EO1" s="1004"/>
      <c r="EP1" s="1004"/>
      <c r="EQ1" s="1004"/>
      <c r="ER1" s="1004"/>
      <c r="ES1" s="1004"/>
      <c r="ET1" s="1004"/>
      <c r="EU1" s="1004"/>
      <c r="EV1" s="1004"/>
      <c r="EW1" s="1004"/>
      <c r="EX1" s="1004"/>
      <c r="EY1" s="1004"/>
      <c r="EZ1" s="1004"/>
      <c r="FA1" s="1004"/>
      <c r="FB1" s="1004"/>
      <c r="FC1" s="1004"/>
      <c r="FD1" s="1004"/>
      <c r="FE1" s="1004"/>
      <c r="FF1" s="1004"/>
      <c r="FG1" s="1004"/>
      <c r="FH1" s="1004"/>
      <c r="FI1" s="1004"/>
      <c r="FJ1" s="1004"/>
      <c r="FK1" s="1004"/>
      <c r="FL1" s="1004"/>
      <c r="FM1" s="1004"/>
      <c r="FN1" s="1004"/>
      <c r="FO1" s="1004"/>
      <c r="FP1" s="1004"/>
      <c r="FQ1" s="1004"/>
      <c r="FR1" s="1004"/>
      <c r="FS1" s="1004"/>
      <c r="FT1" s="1004"/>
      <c r="FU1" s="1004"/>
      <c r="FV1" s="1004"/>
      <c r="FW1" s="1004"/>
      <c r="FX1" s="1004"/>
      <c r="FY1" s="1004"/>
      <c r="FZ1" s="1004"/>
      <c r="GA1" s="1004"/>
      <c r="GB1" s="1004"/>
      <c r="GC1" s="1004"/>
      <c r="GD1" s="1004"/>
      <c r="GE1" s="1004"/>
      <c r="GF1" s="1004"/>
      <c r="GG1" s="1004"/>
      <c r="GH1" s="1004"/>
      <c r="GI1" s="1004"/>
      <c r="GJ1" s="1004"/>
      <c r="GK1" s="1004"/>
      <c r="GL1" s="1004"/>
      <c r="GM1" s="1004"/>
      <c r="GN1" s="1004"/>
      <c r="GO1" s="1004"/>
      <c r="GP1" s="1004"/>
      <c r="GQ1" s="1004"/>
      <c r="GR1" s="1004"/>
      <c r="GS1" s="1004"/>
      <c r="GT1" s="1004"/>
      <c r="GU1" s="1004"/>
      <c r="GV1" s="1004"/>
      <c r="GW1" s="1004"/>
      <c r="GX1" s="1004"/>
      <c r="GY1" s="1004"/>
      <c r="GZ1" s="1004"/>
      <c r="HA1" s="1004"/>
      <c r="HB1" s="1004"/>
      <c r="HC1" s="1004"/>
      <c r="HD1" s="1004"/>
      <c r="HE1" s="1004"/>
      <c r="HF1" s="1004"/>
      <c r="HG1" s="1004"/>
      <c r="HH1" s="1004"/>
      <c r="HI1" s="1004"/>
      <c r="HJ1" s="1004"/>
      <c r="HK1" s="1004"/>
      <c r="HL1" s="1004"/>
      <c r="HM1" s="1004"/>
      <c r="HN1" s="1004"/>
      <c r="HO1" s="1004"/>
      <c r="HP1" s="1004"/>
      <c r="HQ1" s="1004"/>
      <c r="HR1" s="1004"/>
      <c r="HS1" s="1004"/>
      <c r="HT1" s="1004"/>
      <c r="HU1" s="1004"/>
      <c r="HV1" s="1004"/>
      <c r="HW1" s="1004"/>
      <c r="HX1" s="1004"/>
      <c r="HY1" s="1004"/>
      <c r="HZ1" s="1004"/>
      <c r="IA1" s="1004"/>
      <c r="IB1" s="1004"/>
      <c r="IC1" s="1004"/>
      <c r="ID1" s="1004"/>
      <c r="IE1" s="1004"/>
      <c r="IF1" s="1004"/>
      <c r="IG1" s="1004"/>
      <c r="IH1" s="1004"/>
      <c r="II1" s="1004"/>
      <c r="IJ1" s="1004"/>
      <c r="IK1" s="1004"/>
      <c r="IL1" s="1004"/>
      <c r="IM1" s="1004"/>
      <c r="IN1" s="1004"/>
      <c r="IO1" s="1004"/>
      <c r="IP1" s="1004"/>
      <c r="IQ1" s="1004"/>
      <c r="IR1" s="1004"/>
      <c r="IS1" s="1004"/>
      <c r="IT1" s="1004"/>
      <c r="IU1" s="1004"/>
      <c r="IV1" s="1004"/>
      <c r="IW1" s="1004"/>
      <c r="IX1" s="1004"/>
      <c r="IY1" s="1004"/>
      <c r="IZ1" s="1004"/>
      <c r="JA1" s="1004"/>
      <c r="JB1" s="1004"/>
      <c r="JC1" s="1004"/>
      <c r="JD1" s="1004"/>
      <c r="JE1" s="1004"/>
      <c r="JF1" s="1004"/>
      <c r="JG1" s="1004"/>
      <c r="JH1" s="1004"/>
      <c r="JI1" s="1004"/>
      <c r="JJ1" s="1004"/>
      <c r="JK1" s="1004"/>
      <c r="JL1" s="1004"/>
      <c r="JM1" s="1004"/>
      <c r="JN1" s="1004"/>
      <c r="JO1" s="1004"/>
      <c r="JP1" s="1004"/>
      <c r="JQ1" s="1004"/>
      <c r="JR1" s="1004"/>
      <c r="JS1" s="1004"/>
      <c r="JT1" s="1004"/>
      <c r="JU1" s="1004"/>
      <c r="JV1" s="1004"/>
      <c r="JW1" s="1004"/>
      <c r="JX1" s="1004"/>
      <c r="JY1" s="1004"/>
      <c r="JZ1" s="1004"/>
      <c r="KA1" s="1004"/>
      <c r="KB1" s="1004"/>
      <c r="KC1" s="1004"/>
      <c r="KD1" s="1004"/>
      <c r="KE1" s="1004"/>
      <c r="KF1" s="1004"/>
      <c r="KG1" s="1004"/>
      <c r="KH1" s="1004"/>
      <c r="KI1" s="1004"/>
      <c r="KJ1" s="1004"/>
      <c r="KK1" s="1004"/>
      <c r="KL1" s="1004"/>
      <c r="KM1" s="1004"/>
      <c r="KN1" s="1004"/>
      <c r="KO1" s="1004"/>
      <c r="KP1" s="1004"/>
      <c r="KQ1" s="1004"/>
      <c r="KR1" s="1004"/>
      <c r="KS1" s="1004"/>
      <c r="KT1" s="1004"/>
      <c r="KU1" s="1004"/>
      <c r="KV1" s="1004"/>
      <c r="KW1" s="1004"/>
      <c r="KX1" s="1004"/>
      <c r="KY1" s="1004"/>
      <c r="KZ1" s="1004"/>
      <c r="LA1" s="1004"/>
      <c r="LB1" s="1004"/>
      <c r="LC1" s="1004"/>
      <c r="LD1" s="1004"/>
      <c r="LE1" s="1004"/>
      <c r="LF1" s="1004"/>
      <c r="LG1" s="1004"/>
      <c r="LH1" s="1004"/>
      <c r="LI1" s="1004"/>
      <c r="LJ1" s="1004"/>
      <c r="LK1" s="1004"/>
      <c r="LL1" s="1004"/>
      <c r="LM1" s="1004"/>
      <c r="LN1" s="1004"/>
      <c r="LO1" s="1004"/>
      <c r="LP1" s="1004"/>
      <c r="LQ1" s="1004"/>
      <c r="LR1" s="1004"/>
      <c r="LS1" s="1004"/>
      <c r="LT1" s="1004"/>
      <c r="LU1" s="1004"/>
      <c r="LV1" s="1004"/>
      <c r="LW1" s="1004"/>
      <c r="LX1" s="1004"/>
      <c r="LY1" s="1004"/>
      <c r="LZ1" s="1004"/>
      <c r="MA1" s="1004"/>
      <c r="MB1" s="1004"/>
      <c r="MC1" s="1004"/>
      <c r="MD1" s="1004"/>
      <c r="ME1" s="1004"/>
      <c r="MF1" s="1004"/>
      <c r="MG1" s="1004"/>
      <c r="MH1" s="1004"/>
      <c r="MI1" s="1004"/>
      <c r="MJ1" s="1004"/>
      <c r="MK1" s="1004"/>
      <c r="ML1" s="1004"/>
      <c r="MM1" s="1004"/>
      <c r="MN1" s="1004"/>
      <c r="MO1" s="1004"/>
      <c r="MP1" s="1004"/>
      <c r="MQ1" s="1004"/>
      <c r="MR1" s="1004"/>
      <c r="MS1" s="1004"/>
      <c r="MT1" s="1004"/>
      <c r="MU1" s="1004"/>
      <c r="MV1" s="1004"/>
      <c r="MW1" s="1004"/>
      <c r="MX1" s="1004"/>
      <c r="MY1" s="1004"/>
      <c r="MZ1" s="1004"/>
      <c r="NA1" s="1004"/>
      <c r="NB1" s="1004"/>
      <c r="NC1" s="1004"/>
      <c r="ND1" s="1004"/>
      <c r="NE1" s="1004"/>
      <c r="NF1" s="1004"/>
      <c r="NG1" s="1004"/>
      <c r="NH1" s="1004"/>
      <c r="NI1" s="1004"/>
      <c r="NJ1" s="1004"/>
      <c r="NK1" s="1004"/>
      <c r="NL1" s="1004"/>
      <c r="NM1" s="1004"/>
      <c r="NN1" s="1004"/>
      <c r="NO1" s="1004"/>
      <c r="NP1" s="1004"/>
      <c r="NQ1" s="1004"/>
      <c r="NR1" s="1004"/>
      <c r="NS1" s="1004"/>
      <c r="NT1" s="1004"/>
      <c r="NU1" s="1004"/>
      <c r="NV1" s="1004"/>
      <c r="NW1" s="1004"/>
      <c r="NX1" s="1004"/>
      <c r="NY1" s="1004"/>
      <c r="NZ1" s="1004"/>
      <c r="OA1" s="1004"/>
      <c r="OB1" s="1004"/>
      <c r="OC1" s="1004"/>
      <c r="OD1" s="1004"/>
      <c r="OE1" s="1004"/>
      <c r="OF1" s="1004"/>
      <c r="OG1" s="1004"/>
      <c r="OH1" s="1004"/>
      <c r="OI1" s="1004"/>
      <c r="OJ1" s="1004"/>
      <c r="OK1" s="1004"/>
      <c r="OL1" s="1004"/>
      <c r="OM1" s="1004"/>
      <c r="ON1" s="1004"/>
      <c r="OO1" s="1004"/>
      <c r="OP1" s="1004"/>
      <c r="OQ1" s="1004"/>
      <c r="OR1" s="1004"/>
      <c r="OS1" s="1004"/>
      <c r="OT1" s="1004"/>
      <c r="OU1" s="1004"/>
      <c r="OV1" s="1004"/>
      <c r="OW1" s="1004"/>
      <c r="OX1" s="1004"/>
      <c r="OY1" s="1004"/>
      <c r="OZ1" s="1004"/>
      <c r="PA1" s="1004"/>
      <c r="PB1" s="1004"/>
      <c r="PC1" s="1004"/>
      <c r="PD1" s="1004"/>
      <c r="PE1" s="1004"/>
      <c r="PF1" s="1004"/>
      <c r="PG1" s="1004"/>
      <c r="PH1" s="1004"/>
      <c r="PI1" s="1004"/>
      <c r="PJ1" s="1004"/>
      <c r="PK1" s="1004"/>
      <c r="PL1" s="1004"/>
      <c r="PM1" s="1004"/>
      <c r="PN1" s="1004"/>
      <c r="PO1" s="1004"/>
      <c r="PP1" s="1004"/>
      <c r="PQ1" s="1004"/>
      <c r="PR1" s="1004"/>
      <c r="PS1" s="1004"/>
      <c r="PT1" s="1004"/>
      <c r="PU1" s="1004"/>
      <c r="PV1" s="1004"/>
      <c r="PW1" s="1004"/>
      <c r="PX1" s="1004"/>
      <c r="PY1" s="1004"/>
      <c r="PZ1" s="1004"/>
      <c r="QA1" s="1004"/>
      <c r="QB1" s="1004"/>
      <c r="QC1" s="1004"/>
      <c r="QD1" s="1004"/>
      <c r="QE1" s="1004"/>
      <c r="QF1" s="1004"/>
      <c r="QG1" s="1004"/>
      <c r="QH1" s="1004"/>
      <c r="QI1" s="1004"/>
      <c r="QJ1" s="1004"/>
      <c r="QK1" s="1004"/>
      <c r="QL1" s="1004"/>
      <c r="QM1" s="1004"/>
      <c r="QN1" s="1004"/>
      <c r="QO1" s="1004"/>
      <c r="QP1" s="1004"/>
      <c r="QQ1" s="1004"/>
      <c r="QR1" s="1004"/>
      <c r="QS1" s="1004"/>
      <c r="QT1" s="1004"/>
      <c r="QU1" s="1004"/>
      <c r="QV1" s="1004"/>
      <c r="QW1" s="1004"/>
      <c r="QX1" s="1004"/>
      <c r="QY1" s="1004"/>
      <c r="QZ1" s="1004"/>
      <c r="RA1" s="1004"/>
      <c r="RB1" s="1004"/>
      <c r="RC1" s="1004"/>
      <c r="RD1" s="1004"/>
      <c r="RE1" s="1004"/>
      <c r="RF1" s="1004"/>
      <c r="RG1" s="1004"/>
      <c r="RH1" s="1004"/>
      <c r="RI1" s="1004"/>
      <c r="RJ1" s="1004"/>
      <c r="RK1" s="1004"/>
      <c r="RL1" s="1004"/>
      <c r="RM1" s="1004"/>
      <c r="RN1" s="1004"/>
      <c r="RO1" s="1004"/>
      <c r="RP1" s="1004"/>
      <c r="RQ1" s="1004"/>
      <c r="RR1" s="1004"/>
      <c r="RS1" s="1004"/>
      <c r="RT1" s="1004"/>
      <c r="RU1" s="1004"/>
      <c r="RV1" s="1004"/>
      <c r="RW1" s="1004"/>
      <c r="RX1" s="1004"/>
      <c r="RY1" s="1004"/>
      <c r="RZ1" s="1004"/>
      <c r="SA1" s="1004"/>
      <c r="SB1" s="1004"/>
      <c r="SC1" s="1004"/>
      <c r="SD1" s="1004"/>
      <c r="SE1" s="1004"/>
      <c r="SF1" s="1004"/>
      <c r="SG1" s="1004"/>
      <c r="SH1" s="1004"/>
      <c r="SI1" s="1004"/>
      <c r="SJ1" s="1004"/>
      <c r="SK1" s="1004"/>
      <c r="SL1" s="1004"/>
      <c r="SM1" s="1004"/>
      <c r="SN1" s="1004"/>
      <c r="SO1" s="1004"/>
      <c r="SP1" s="1004"/>
      <c r="SQ1" s="1004"/>
      <c r="SR1" s="1004"/>
      <c r="SS1" s="1004"/>
      <c r="ST1" s="1004"/>
      <c r="SU1" s="1004"/>
      <c r="SV1" s="1004"/>
      <c r="SW1" s="1004"/>
      <c r="SX1" s="1004"/>
      <c r="SY1" s="1004"/>
      <c r="SZ1" s="1004"/>
      <c r="TA1" s="1004"/>
      <c r="TB1" s="1004"/>
      <c r="TC1" s="1004"/>
      <c r="TD1" s="1004"/>
      <c r="TE1" s="1004"/>
      <c r="TF1" s="1004"/>
      <c r="TG1" s="1004"/>
      <c r="TH1" s="1004"/>
      <c r="TI1" s="1004"/>
      <c r="TJ1" s="1004"/>
      <c r="TK1" s="1004"/>
      <c r="TL1" s="1004"/>
      <c r="TM1" s="1004"/>
      <c r="TN1" s="1004"/>
      <c r="TO1" s="1004"/>
      <c r="TP1" s="1004"/>
      <c r="TQ1" s="1004"/>
      <c r="TR1" s="1004"/>
      <c r="TS1" s="1004"/>
      <c r="TT1" s="1004"/>
      <c r="TU1" s="1004"/>
      <c r="TV1" s="1004"/>
      <c r="TW1" s="1004"/>
      <c r="TX1" s="1004"/>
      <c r="TY1" s="1004"/>
      <c r="TZ1" s="1004"/>
      <c r="UA1" s="1004"/>
      <c r="UB1" s="1004"/>
      <c r="UC1" s="1004"/>
      <c r="UD1" s="1004"/>
      <c r="UE1" s="1004"/>
      <c r="UF1" s="1004"/>
      <c r="UG1" s="1004"/>
      <c r="UH1" s="1004"/>
      <c r="UI1" s="1004"/>
      <c r="UJ1" s="1004"/>
      <c r="UK1" s="1004"/>
      <c r="UL1" s="1004"/>
      <c r="UM1" s="1004"/>
      <c r="UN1" s="1004"/>
      <c r="UO1" s="1004"/>
      <c r="UP1" s="1004"/>
      <c r="UQ1" s="1004"/>
      <c r="UR1" s="1004"/>
      <c r="US1" s="1004"/>
      <c r="UT1" s="1004"/>
      <c r="UU1" s="1004"/>
      <c r="UV1" s="1004"/>
      <c r="UW1" s="1004"/>
      <c r="UX1" s="1004"/>
      <c r="UY1" s="1004"/>
      <c r="UZ1" s="1004"/>
      <c r="VA1" s="1004"/>
      <c r="VB1" s="1004"/>
      <c r="VC1" s="1004"/>
      <c r="VD1" s="1004"/>
      <c r="VE1" s="1004"/>
      <c r="VF1" s="1004"/>
      <c r="VG1" s="1004"/>
      <c r="VH1" s="1004"/>
      <c r="VI1" s="1004"/>
      <c r="VJ1" s="1004"/>
      <c r="VK1" s="1004"/>
      <c r="VL1" s="1004"/>
      <c r="VM1" s="1004"/>
      <c r="VN1" s="1004"/>
      <c r="VO1" s="1004"/>
      <c r="VP1" s="1004"/>
      <c r="VQ1" s="1004"/>
      <c r="VR1" s="1004"/>
      <c r="VS1" s="1004"/>
      <c r="VT1" s="1004"/>
      <c r="VU1" s="1004"/>
      <c r="VV1" s="1004"/>
      <c r="VW1" s="1004"/>
      <c r="VX1" s="1004"/>
      <c r="VY1" s="1004"/>
      <c r="VZ1" s="1004"/>
      <c r="WA1" s="1004"/>
      <c r="WB1" s="1004"/>
      <c r="WC1" s="1004"/>
      <c r="WD1" s="1004"/>
      <c r="WE1" s="1004"/>
      <c r="WF1" s="1004"/>
      <c r="WG1" s="1004"/>
      <c r="WH1" s="1004"/>
      <c r="WI1" s="1004"/>
      <c r="WJ1" s="1004"/>
      <c r="WK1" s="1004"/>
      <c r="WL1" s="1004"/>
      <c r="WM1" s="1004"/>
      <c r="WN1" s="1004"/>
      <c r="WO1" s="1004"/>
      <c r="WP1" s="1004"/>
      <c r="WQ1" s="1004"/>
      <c r="WR1" s="1004"/>
      <c r="WS1" s="1004"/>
      <c r="WT1" s="1004"/>
      <c r="WU1" s="1004"/>
      <c r="WV1" s="1004"/>
      <c r="WW1" s="1004"/>
      <c r="WX1" s="1004"/>
      <c r="WY1" s="1004"/>
      <c r="WZ1" s="1004"/>
      <c r="XA1" s="1004"/>
      <c r="XB1" s="1004"/>
      <c r="XC1" s="1004"/>
      <c r="XD1" s="1004"/>
      <c r="XE1" s="1004"/>
      <c r="XF1" s="1004"/>
      <c r="XG1" s="1004"/>
      <c r="XH1" s="1004"/>
      <c r="XI1" s="1004"/>
      <c r="XJ1" s="1004"/>
      <c r="XK1" s="1004"/>
      <c r="XL1" s="1004"/>
      <c r="XM1" s="1004"/>
      <c r="XN1" s="1004"/>
      <c r="XO1" s="1004"/>
      <c r="XP1" s="1004"/>
      <c r="XQ1" s="1004"/>
      <c r="XR1" s="1004"/>
      <c r="XS1" s="1004"/>
      <c r="XT1" s="1004"/>
      <c r="XU1" s="1004"/>
      <c r="XV1" s="1004"/>
      <c r="XW1" s="1004"/>
      <c r="XX1" s="1004"/>
      <c r="XY1" s="1004"/>
      <c r="XZ1" s="1004"/>
      <c r="YA1" s="1004"/>
      <c r="YB1" s="1004"/>
      <c r="YC1" s="1004"/>
      <c r="YD1" s="1004"/>
      <c r="YE1" s="1004"/>
      <c r="YF1" s="1004"/>
      <c r="YG1" s="1004"/>
      <c r="YH1" s="1004"/>
      <c r="YI1" s="1004"/>
      <c r="YJ1" s="1004"/>
      <c r="YK1" s="1004"/>
      <c r="YL1" s="1004"/>
      <c r="YM1" s="1004"/>
      <c r="YN1" s="1004"/>
      <c r="YO1" s="1004"/>
      <c r="YP1" s="1004"/>
      <c r="YQ1" s="1004"/>
      <c r="YR1" s="1004"/>
      <c r="YS1" s="1004"/>
      <c r="YT1" s="1004"/>
      <c r="YU1" s="1004"/>
      <c r="YV1" s="1004"/>
      <c r="YW1" s="1004"/>
      <c r="YX1" s="1004"/>
      <c r="YY1" s="1004"/>
      <c r="YZ1" s="1004"/>
      <c r="ZA1" s="1004"/>
      <c r="ZB1" s="1004"/>
      <c r="ZC1" s="1004"/>
      <c r="ZD1" s="1004"/>
      <c r="ZE1" s="1004"/>
      <c r="ZF1" s="1004"/>
      <c r="ZG1" s="1004"/>
      <c r="ZH1" s="1004"/>
      <c r="ZI1" s="1004"/>
      <c r="ZJ1" s="1004"/>
      <c r="ZK1" s="1004"/>
      <c r="ZL1" s="1004"/>
      <c r="ZM1" s="1004"/>
      <c r="ZN1" s="1004"/>
      <c r="ZO1" s="1004"/>
      <c r="ZP1" s="1004"/>
      <c r="ZQ1" s="1004"/>
      <c r="ZR1" s="1004"/>
      <c r="ZS1" s="1004"/>
      <c r="ZT1" s="1004"/>
      <c r="ZU1" s="1004"/>
      <c r="ZV1" s="1004"/>
      <c r="ZW1" s="1004"/>
      <c r="ZX1" s="1004"/>
      <c r="ZY1" s="1004"/>
      <c r="ZZ1" s="1004"/>
      <c r="AAA1" s="1004"/>
      <c r="AAB1" s="1004"/>
      <c r="AAC1" s="1004"/>
      <c r="AAD1" s="1004"/>
      <c r="AAE1" s="1004"/>
      <c r="AAF1" s="1004"/>
      <c r="AAG1" s="1004"/>
      <c r="AAH1" s="1004"/>
      <c r="AAI1" s="1004"/>
      <c r="AAJ1" s="1004"/>
      <c r="AAK1" s="1004"/>
      <c r="AAL1" s="1004"/>
      <c r="AAM1" s="1004"/>
      <c r="AAN1" s="1004"/>
      <c r="AAO1" s="1004"/>
      <c r="AAP1" s="1004"/>
      <c r="AAQ1" s="1004"/>
      <c r="AAR1" s="1004"/>
      <c r="AAS1" s="1004"/>
      <c r="AAT1" s="1004"/>
      <c r="AAU1" s="1004"/>
      <c r="AAV1" s="1004"/>
      <c r="AAW1" s="1004"/>
      <c r="AAX1" s="1004"/>
      <c r="AAY1" s="1004"/>
      <c r="AAZ1" s="1004"/>
      <c r="ABA1" s="1004"/>
      <c r="ABB1" s="1004"/>
      <c r="ABC1" s="1004"/>
      <c r="ABD1" s="1004"/>
      <c r="ABE1" s="1004"/>
      <c r="ABF1" s="1004"/>
      <c r="ABG1" s="1004"/>
      <c r="ABH1" s="1004"/>
      <c r="ABI1" s="1004"/>
      <c r="ABJ1" s="1004"/>
      <c r="ABK1" s="1004"/>
      <c r="ABL1" s="1004"/>
      <c r="ABM1" s="1004"/>
      <c r="ABN1" s="1004"/>
      <c r="ABO1" s="1004"/>
      <c r="ABP1" s="1004"/>
      <c r="ABQ1" s="1004"/>
      <c r="ABR1" s="1004"/>
    </row>
    <row r="2" spans="1:746" s="1" customFormat="1" ht="12.9" customHeight="1">
      <c r="A2" s="924"/>
      <c r="B2" s="135" t="s">
        <v>337</v>
      </c>
      <c r="C2" s="140"/>
      <c r="D2" s="141"/>
      <c r="E2" s="411" t="s">
        <v>428</v>
      </c>
      <c r="F2" s="141"/>
      <c r="G2" s="141"/>
      <c r="H2" s="2156"/>
      <c r="I2" s="2564"/>
      <c r="J2" s="143"/>
      <c r="K2" s="2116"/>
      <c r="L2" s="261" t="str">
        <f>IF(fx!$C$57=2,"Välj startmånad (startkolumn) 7-12 ▼","Välj startmånad (startkolumn) 1-12▼")</f>
        <v>Välj startmånad (startkolumn) 1-12▼</v>
      </c>
      <c r="M2" s="2979"/>
      <c r="N2" s="261" t="s">
        <v>1111</v>
      </c>
      <c r="O2" s="260"/>
      <c r="P2" s="261" t="s">
        <v>429</v>
      </c>
      <c r="Q2" s="260"/>
      <c r="R2" s="260"/>
      <c r="S2" s="260"/>
      <c r="T2" s="261" t="s">
        <v>430</v>
      </c>
      <c r="U2" s="1811"/>
      <c r="V2" s="141"/>
      <c r="W2" s="141"/>
      <c r="X2" s="141"/>
      <c r="Y2" s="141"/>
      <c r="Z2" s="141"/>
      <c r="AA2" s="141"/>
      <c r="AB2" s="141"/>
      <c r="AC2" s="141"/>
      <c r="AD2" s="141"/>
      <c r="AE2" s="141"/>
      <c r="AF2" s="142"/>
      <c r="AG2" s="113"/>
      <c r="AH2" s="112"/>
      <c r="AI2" s="112"/>
      <c r="AJ2" s="2983" t="str">
        <f>LOOKUP(L4,I6:T6,I7:T7)</f>
        <v>Januari</v>
      </c>
      <c r="AK2" s="1041"/>
      <c r="AL2" s="2050" t="str">
        <f>IF(fx!C57=1,U7,IF(fx!C57=2,""))</f>
        <v>Januari</v>
      </c>
      <c r="AM2" s="1004"/>
      <c r="AN2" s="1006"/>
      <c r="AO2" s="2977" t="s">
        <v>1075</v>
      </c>
      <c r="AP2" s="2978"/>
      <c r="AQ2" s="2978"/>
      <c r="AR2" s="1913"/>
      <c r="AS2" s="1914"/>
      <c r="AT2" s="1913"/>
      <c r="AU2" s="1913"/>
      <c r="AV2" s="1913"/>
      <c r="AW2" s="1913"/>
      <c r="AX2" s="1913"/>
      <c r="AY2" s="1913"/>
      <c r="AZ2" s="1913"/>
      <c r="BA2" s="1913"/>
      <c r="BB2" s="1913"/>
      <c r="BC2" s="1913"/>
      <c r="BD2" s="1913"/>
      <c r="BE2" s="1913"/>
      <c r="BF2" s="1913"/>
      <c r="BG2" s="1913"/>
      <c r="BH2" s="1913"/>
      <c r="BI2" s="1913"/>
      <c r="BJ2" s="1913"/>
      <c r="BK2" s="1913"/>
      <c r="BL2" s="1913"/>
      <c r="BM2" s="1913"/>
      <c r="BN2" s="1913"/>
      <c r="BO2" s="1913"/>
      <c r="BP2" s="1947"/>
      <c r="BQ2" s="1004"/>
      <c r="BR2" s="1004"/>
      <c r="BS2" s="1004"/>
      <c r="BT2" s="1004"/>
      <c r="BU2" s="1004"/>
      <c r="BV2" s="1004"/>
      <c r="BW2" s="1004"/>
      <c r="BX2" s="1004"/>
      <c r="BY2" s="1004"/>
      <c r="BZ2" s="1004"/>
      <c r="CA2" s="1004"/>
      <c r="CB2" s="1004"/>
      <c r="CC2" s="1004"/>
      <c r="CD2" s="1004"/>
      <c r="CE2" s="1004"/>
      <c r="CF2" s="1004"/>
      <c r="CG2" s="1004"/>
      <c r="CH2" s="1004"/>
      <c r="CI2" s="1004"/>
      <c r="CJ2" s="1004"/>
      <c r="CK2" s="1004"/>
      <c r="CL2" s="1004"/>
      <c r="CM2" s="1004"/>
      <c r="CN2" s="1004"/>
      <c r="CO2" s="1004"/>
      <c r="CP2" s="1004"/>
      <c r="CQ2" s="1004"/>
      <c r="CR2" s="1004"/>
      <c r="CS2" s="1004"/>
      <c r="CT2" s="1004"/>
      <c r="CU2" s="1004"/>
      <c r="CV2" s="1004"/>
      <c r="CW2" s="1004"/>
      <c r="CX2" s="1004"/>
      <c r="CY2" s="1004"/>
      <c r="CZ2" s="1004"/>
      <c r="DA2" s="1004"/>
      <c r="DB2" s="1004"/>
      <c r="DC2" s="1004"/>
      <c r="DD2" s="1004"/>
      <c r="DE2" s="1004"/>
      <c r="DF2" s="1004"/>
      <c r="DG2" s="1004"/>
      <c r="DH2" s="1004"/>
      <c r="DI2" s="1004"/>
      <c r="DJ2" s="1004"/>
      <c r="DK2" s="1004"/>
      <c r="DL2" s="1004"/>
      <c r="DM2" s="1004"/>
      <c r="DN2" s="1004"/>
      <c r="DO2" s="1004"/>
      <c r="DP2" s="1004"/>
      <c r="DQ2" s="1004"/>
      <c r="DR2" s="1004"/>
      <c r="DS2" s="1004"/>
      <c r="DT2" s="1004"/>
      <c r="DU2" s="1004"/>
      <c r="DV2" s="1004"/>
      <c r="DW2" s="1004"/>
      <c r="DX2" s="1004"/>
      <c r="DY2" s="1004"/>
      <c r="DZ2" s="1004"/>
      <c r="EA2" s="1004"/>
      <c r="EB2" s="1004"/>
      <c r="EC2" s="1004"/>
      <c r="ED2" s="1004"/>
      <c r="EE2" s="1004"/>
      <c r="EF2" s="1004"/>
      <c r="EG2" s="1004"/>
      <c r="EH2" s="1004"/>
      <c r="EI2" s="1004"/>
      <c r="EJ2" s="1004"/>
      <c r="EK2" s="1004"/>
      <c r="EL2" s="1004"/>
      <c r="EM2" s="1004"/>
      <c r="EN2" s="1004"/>
      <c r="EO2" s="1004"/>
      <c r="EP2" s="1004"/>
      <c r="EQ2" s="1004"/>
      <c r="ER2" s="1004"/>
      <c r="ES2" s="1004"/>
      <c r="ET2" s="1004"/>
      <c r="EU2" s="1004"/>
      <c r="EV2" s="1004"/>
      <c r="EW2" s="1004"/>
      <c r="EX2" s="1004"/>
      <c r="EY2" s="1004"/>
      <c r="EZ2" s="1004"/>
      <c r="FA2" s="1004"/>
      <c r="FB2" s="1004"/>
      <c r="FC2" s="1004"/>
      <c r="FD2" s="1004"/>
      <c r="FE2" s="1004"/>
      <c r="FF2" s="1004"/>
      <c r="FG2" s="1004"/>
      <c r="FH2" s="1004"/>
      <c r="FI2" s="1004"/>
      <c r="FJ2" s="1004"/>
      <c r="FK2" s="1004"/>
      <c r="FL2" s="1004"/>
      <c r="FM2" s="1004"/>
      <c r="FN2" s="1004"/>
      <c r="FO2" s="1004"/>
      <c r="FP2" s="1004"/>
      <c r="FQ2" s="1004"/>
      <c r="FR2" s="1004"/>
      <c r="FS2" s="1004"/>
      <c r="FT2" s="1004"/>
      <c r="FU2" s="1004"/>
      <c r="FV2" s="1004"/>
      <c r="FW2" s="1004"/>
      <c r="FX2" s="1004"/>
      <c r="FY2" s="1004"/>
      <c r="FZ2" s="1004"/>
      <c r="GA2" s="1004"/>
      <c r="GB2" s="1004"/>
      <c r="GC2" s="1004"/>
      <c r="GD2" s="1004"/>
      <c r="GE2" s="1004"/>
      <c r="GF2" s="1004"/>
      <c r="GG2" s="1004"/>
      <c r="GH2" s="1004"/>
      <c r="GI2" s="1004"/>
      <c r="GJ2" s="1004"/>
      <c r="GK2" s="1004"/>
      <c r="GL2" s="1004"/>
      <c r="GM2" s="1004"/>
      <c r="GN2" s="1004"/>
      <c r="GO2" s="1004"/>
      <c r="GP2" s="1004"/>
      <c r="GQ2" s="1004"/>
      <c r="GR2" s="1004"/>
      <c r="GS2" s="1004"/>
      <c r="GT2" s="1004"/>
      <c r="GU2" s="1004"/>
      <c r="GV2" s="1004"/>
      <c r="GW2" s="1004"/>
      <c r="GX2" s="1004"/>
      <c r="GY2" s="1004"/>
      <c r="GZ2" s="1004"/>
      <c r="HA2" s="1004"/>
      <c r="HB2" s="1004"/>
      <c r="HC2" s="1004"/>
      <c r="HD2" s="1004"/>
      <c r="HE2" s="1004"/>
      <c r="HF2" s="1004"/>
      <c r="HG2" s="1004"/>
      <c r="HH2" s="1004"/>
      <c r="HI2" s="1004"/>
      <c r="HJ2" s="1004"/>
      <c r="HK2" s="1004"/>
      <c r="HL2" s="1004"/>
      <c r="HM2" s="1004"/>
      <c r="HN2" s="1004"/>
      <c r="HO2" s="1004"/>
      <c r="HP2" s="1004"/>
      <c r="HQ2" s="1004"/>
      <c r="HR2" s="1004"/>
      <c r="HS2" s="1004"/>
      <c r="HT2" s="1004"/>
      <c r="HU2" s="1004"/>
      <c r="HV2" s="1004"/>
      <c r="HW2" s="1004"/>
      <c r="HX2" s="1004"/>
      <c r="HY2" s="1004"/>
      <c r="HZ2" s="1004"/>
      <c r="IA2" s="1004"/>
      <c r="IB2" s="1004"/>
      <c r="IC2" s="1004"/>
      <c r="ID2" s="1004"/>
      <c r="IE2" s="1004"/>
      <c r="IF2" s="1004"/>
      <c r="IG2" s="1004"/>
      <c r="IH2" s="1004"/>
      <c r="II2" s="1004"/>
      <c r="IJ2" s="1004"/>
      <c r="IK2" s="1004"/>
      <c r="IL2" s="1004"/>
      <c r="IM2" s="1004"/>
      <c r="IN2" s="1004"/>
      <c r="IO2" s="1004"/>
      <c r="IP2" s="1004"/>
      <c r="IQ2" s="1004"/>
      <c r="IR2" s="1004"/>
      <c r="IS2" s="1004"/>
      <c r="IT2" s="1004"/>
      <c r="IU2" s="1004"/>
      <c r="IV2" s="1004"/>
      <c r="IW2" s="1004"/>
      <c r="IX2" s="1004"/>
      <c r="IY2" s="1004"/>
      <c r="IZ2" s="1004"/>
      <c r="JA2" s="1004"/>
      <c r="JB2" s="1004"/>
      <c r="JC2" s="1004"/>
      <c r="JD2" s="1004"/>
      <c r="JE2" s="1004"/>
      <c r="JF2" s="1004"/>
      <c r="JG2" s="1004"/>
      <c r="JH2" s="1004"/>
      <c r="JI2" s="1004"/>
      <c r="JJ2" s="1004"/>
      <c r="JK2" s="1004"/>
      <c r="JL2" s="1004"/>
      <c r="JM2" s="1004"/>
      <c r="JN2" s="1004"/>
      <c r="JO2" s="1004"/>
      <c r="JP2" s="1004"/>
      <c r="JQ2" s="1004"/>
      <c r="JR2" s="1004"/>
      <c r="JS2" s="1004"/>
      <c r="JT2" s="1004"/>
      <c r="JU2" s="1004"/>
      <c r="JV2" s="1004"/>
      <c r="JW2" s="1004"/>
      <c r="JX2" s="1004"/>
      <c r="JY2" s="1004"/>
      <c r="JZ2" s="1004"/>
      <c r="KA2" s="1004"/>
      <c r="KB2" s="1004"/>
      <c r="KC2" s="1004"/>
      <c r="KD2" s="1004"/>
      <c r="KE2" s="1004"/>
      <c r="KF2" s="1004"/>
      <c r="KG2" s="1004"/>
      <c r="KH2" s="1004"/>
      <c r="KI2" s="1004"/>
      <c r="KJ2" s="1004"/>
      <c r="KK2" s="1004"/>
      <c r="KL2" s="1004"/>
      <c r="KM2" s="1004"/>
      <c r="KN2" s="1004"/>
      <c r="KO2" s="1004"/>
      <c r="KP2" s="1004"/>
      <c r="KQ2" s="1004"/>
      <c r="KR2" s="1004"/>
      <c r="KS2" s="1004"/>
      <c r="KT2" s="1004"/>
      <c r="KU2" s="1004"/>
      <c r="KV2" s="1004"/>
      <c r="KW2" s="1004"/>
      <c r="KX2" s="1004"/>
      <c r="KY2" s="1004"/>
      <c r="KZ2" s="1004"/>
      <c r="LA2" s="1004"/>
      <c r="LB2" s="1004"/>
      <c r="LC2" s="1004"/>
      <c r="LD2" s="1004"/>
      <c r="LE2" s="1004"/>
      <c r="LF2" s="1004"/>
      <c r="LG2" s="1004"/>
      <c r="LH2" s="1004"/>
      <c r="LI2" s="1004"/>
      <c r="LJ2" s="1004"/>
      <c r="LK2" s="1004"/>
      <c r="LL2" s="1004"/>
      <c r="LM2" s="1004"/>
      <c r="LN2" s="1004"/>
      <c r="LO2" s="1004"/>
      <c r="LP2" s="1004"/>
      <c r="LQ2" s="1004"/>
      <c r="LR2" s="1004"/>
      <c r="LS2" s="1004"/>
      <c r="LT2" s="1004"/>
      <c r="LU2" s="1004"/>
      <c r="LV2" s="1004"/>
      <c r="LW2" s="1004"/>
      <c r="LX2" s="1004"/>
      <c r="LY2" s="1004"/>
      <c r="LZ2" s="1004"/>
      <c r="MA2" s="1004"/>
      <c r="MB2" s="1004"/>
      <c r="MC2" s="1004"/>
      <c r="MD2" s="1004"/>
      <c r="ME2" s="1004"/>
      <c r="MF2" s="1004"/>
      <c r="MG2" s="1004"/>
      <c r="MH2" s="1004"/>
      <c r="MI2" s="1004"/>
      <c r="MJ2" s="1004"/>
      <c r="MK2" s="1004"/>
      <c r="ML2" s="1004"/>
      <c r="MM2" s="1004"/>
      <c r="MN2" s="1004"/>
      <c r="MO2" s="1004"/>
      <c r="MP2" s="1004"/>
      <c r="MQ2" s="1004"/>
      <c r="MR2" s="1004"/>
      <c r="MS2" s="1004"/>
      <c r="MT2" s="1004"/>
      <c r="MU2" s="1004"/>
      <c r="MV2" s="1004"/>
      <c r="MW2" s="1004"/>
      <c r="MX2" s="1004"/>
      <c r="MY2" s="1004"/>
      <c r="MZ2" s="1004"/>
      <c r="NA2" s="1004"/>
      <c r="NB2" s="1004"/>
      <c r="NC2" s="1004"/>
      <c r="ND2" s="1004"/>
      <c r="NE2" s="1004"/>
      <c r="NF2" s="1004"/>
      <c r="NG2" s="1004"/>
      <c r="NH2" s="1004"/>
      <c r="NI2" s="1004"/>
      <c r="NJ2" s="1004"/>
      <c r="NK2" s="1004"/>
      <c r="NL2" s="1004"/>
      <c r="NM2" s="1004"/>
      <c r="NN2" s="1004"/>
      <c r="NO2" s="1004"/>
      <c r="NP2" s="1004"/>
      <c r="NQ2" s="1004"/>
      <c r="NR2" s="1004"/>
      <c r="NS2" s="1004"/>
      <c r="NT2" s="1004"/>
      <c r="NU2" s="1004"/>
      <c r="NV2" s="1004"/>
      <c r="NW2" s="1004"/>
      <c r="NX2" s="1004"/>
      <c r="NY2" s="1004"/>
      <c r="NZ2" s="1004"/>
      <c r="OA2" s="1004"/>
      <c r="OB2" s="1004"/>
      <c r="OC2" s="1004"/>
      <c r="OD2" s="1004"/>
      <c r="OE2" s="1004"/>
      <c r="OF2" s="1004"/>
      <c r="OG2" s="1004"/>
      <c r="OH2" s="1004"/>
      <c r="OI2" s="1004"/>
      <c r="OJ2" s="1004"/>
      <c r="OK2" s="1004"/>
      <c r="OL2" s="1004"/>
      <c r="OM2" s="1004"/>
      <c r="ON2" s="1004"/>
      <c r="OO2" s="1004"/>
      <c r="OP2" s="1004"/>
      <c r="OQ2" s="1004"/>
      <c r="OR2" s="1004"/>
      <c r="OS2" s="1004"/>
      <c r="OT2" s="1004"/>
      <c r="OU2" s="1004"/>
      <c r="OV2" s="1004"/>
      <c r="OW2" s="1004"/>
      <c r="OX2" s="1004"/>
      <c r="OY2" s="1004"/>
      <c r="OZ2" s="1004"/>
      <c r="PA2" s="1004"/>
      <c r="PB2" s="1004"/>
      <c r="PC2" s="1004"/>
      <c r="PD2" s="1004"/>
      <c r="PE2" s="1004"/>
      <c r="PF2" s="1004"/>
      <c r="PG2" s="1004"/>
      <c r="PH2" s="1004"/>
      <c r="PI2" s="1004"/>
      <c r="PJ2" s="1004"/>
      <c r="PK2" s="1004"/>
      <c r="PL2" s="1004"/>
      <c r="PM2" s="1004"/>
      <c r="PN2" s="1004"/>
      <c r="PO2" s="1004"/>
      <c r="PP2" s="1004"/>
      <c r="PQ2" s="1004"/>
      <c r="PR2" s="1004"/>
      <c r="PS2" s="1004"/>
      <c r="PT2" s="1004"/>
      <c r="PU2" s="1004"/>
      <c r="PV2" s="1004"/>
      <c r="PW2" s="1004"/>
      <c r="PX2" s="1004"/>
      <c r="PY2" s="1004"/>
      <c r="PZ2" s="1004"/>
      <c r="QA2" s="1004"/>
      <c r="QB2" s="1004"/>
      <c r="QC2" s="1004"/>
      <c r="QD2" s="1004"/>
      <c r="QE2" s="1004"/>
      <c r="QF2" s="1004"/>
      <c r="QG2" s="1004"/>
      <c r="QH2" s="1004"/>
      <c r="QI2" s="1004"/>
      <c r="QJ2" s="1004"/>
      <c r="QK2" s="1004"/>
      <c r="QL2" s="1004"/>
      <c r="QM2" s="1004"/>
      <c r="QN2" s="1004"/>
      <c r="QO2" s="1004"/>
      <c r="QP2" s="1004"/>
      <c r="QQ2" s="1004"/>
      <c r="QR2" s="1004"/>
      <c r="QS2" s="1004"/>
      <c r="QT2" s="1004"/>
      <c r="QU2" s="1004"/>
      <c r="QV2" s="1004"/>
      <c r="QW2" s="1004"/>
      <c r="QX2" s="1004"/>
      <c r="QY2" s="1004"/>
      <c r="QZ2" s="1004"/>
      <c r="RA2" s="1004"/>
      <c r="RB2" s="1004"/>
      <c r="RC2" s="1004"/>
      <c r="RD2" s="1004"/>
      <c r="RE2" s="1004"/>
      <c r="RF2" s="1004"/>
      <c r="RG2" s="1004"/>
      <c r="RH2" s="1004"/>
      <c r="RI2" s="1004"/>
      <c r="RJ2" s="1004"/>
      <c r="RK2" s="1004"/>
      <c r="RL2" s="1004"/>
      <c r="RM2" s="1004"/>
      <c r="RN2" s="1004"/>
      <c r="RO2" s="1004"/>
      <c r="RP2" s="1004"/>
      <c r="RQ2" s="1004"/>
      <c r="RR2" s="1004"/>
      <c r="RS2" s="1004"/>
      <c r="RT2" s="1004"/>
      <c r="RU2" s="1004"/>
      <c r="RV2" s="1004"/>
      <c r="RW2" s="1004"/>
      <c r="RX2" s="1004"/>
      <c r="RY2" s="1004"/>
      <c r="RZ2" s="1004"/>
      <c r="SA2" s="1004"/>
      <c r="SB2" s="1004"/>
      <c r="SC2" s="1004"/>
      <c r="SD2" s="1004"/>
      <c r="SE2" s="1004"/>
      <c r="SF2" s="1004"/>
      <c r="SG2" s="1004"/>
      <c r="SH2" s="1004"/>
      <c r="SI2" s="1004"/>
      <c r="SJ2" s="1004"/>
      <c r="SK2" s="1004"/>
      <c r="SL2" s="1004"/>
      <c r="SM2" s="1004"/>
      <c r="SN2" s="1004"/>
      <c r="SO2" s="1004"/>
      <c r="SP2" s="1004"/>
      <c r="SQ2" s="1004"/>
      <c r="SR2" s="1004"/>
      <c r="SS2" s="1004"/>
      <c r="ST2" s="1004"/>
      <c r="SU2" s="1004"/>
      <c r="SV2" s="1004"/>
      <c r="SW2" s="1004"/>
      <c r="SX2" s="1004"/>
      <c r="SY2" s="1004"/>
      <c r="SZ2" s="1004"/>
      <c r="TA2" s="1004"/>
      <c r="TB2" s="1004"/>
      <c r="TC2" s="1004"/>
      <c r="TD2" s="1004"/>
      <c r="TE2" s="1004"/>
      <c r="TF2" s="1004"/>
      <c r="TG2" s="1004"/>
      <c r="TH2" s="1004"/>
      <c r="TI2" s="1004"/>
      <c r="TJ2" s="1004"/>
      <c r="TK2" s="1004"/>
      <c r="TL2" s="1004"/>
      <c r="TM2" s="1004"/>
      <c r="TN2" s="1004"/>
      <c r="TO2" s="1004"/>
      <c r="TP2" s="1004"/>
      <c r="TQ2" s="1004"/>
      <c r="TR2" s="1004"/>
      <c r="TS2" s="1004"/>
      <c r="TT2" s="1004"/>
      <c r="TU2" s="1004"/>
      <c r="TV2" s="1004"/>
      <c r="TW2" s="1004"/>
      <c r="TX2" s="1004"/>
      <c r="TY2" s="1004"/>
      <c r="TZ2" s="1004"/>
      <c r="UA2" s="1004"/>
      <c r="UB2" s="1004"/>
      <c r="UC2" s="1004"/>
      <c r="UD2" s="1004"/>
      <c r="UE2" s="1004"/>
      <c r="UF2" s="1004"/>
      <c r="UG2" s="1004"/>
      <c r="UH2" s="1004"/>
      <c r="UI2" s="1004"/>
      <c r="UJ2" s="1004"/>
      <c r="UK2" s="1004"/>
      <c r="UL2" s="1004"/>
      <c r="UM2" s="1004"/>
      <c r="UN2" s="1004"/>
      <c r="UO2" s="1004"/>
      <c r="UP2" s="1004"/>
      <c r="UQ2" s="1004"/>
      <c r="UR2" s="1004"/>
      <c r="US2" s="1004"/>
      <c r="UT2" s="1004"/>
      <c r="UU2" s="1004"/>
      <c r="UV2" s="1004"/>
      <c r="UW2" s="1004"/>
      <c r="UX2" s="1004"/>
      <c r="UY2" s="1004"/>
      <c r="UZ2" s="1004"/>
      <c r="VA2" s="1004"/>
      <c r="VB2" s="1004"/>
      <c r="VC2" s="1004"/>
      <c r="VD2" s="1004"/>
      <c r="VE2" s="1004"/>
      <c r="VF2" s="1004"/>
      <c r="VG2" s="1004"/>
      <c r="VH2" s="1004"/>
      <c r="VI2" s="1004"/>
      <c r="VJ2" s="1004"/>
      <c r="VK2" s="1004"/>
      <c r="VL2" s="1004"/>
      <c r="VM2" s="1004"/>
      <c r="VN2" s="1004"/>
      <c r="VO2" s="1004"/>
      <c r="VP2" s="1004"/>
      <c r="VQ2" s="1004"/>
      <c r="VR2" s="1004"/>
      <c r="VS2" s="1004"/>
      <c r="VT2" s="1004"/>
      <c r="VU2" s="1004"/>
      <c r="VV2" s="1004"/>
      <c r="VW2" s="1004"/>
      <c r="VX2" s="1004"/>
      <c r="VY2" s="1004"/>
      <c r="VZ2" s="1004"/>
      <c r="WA2" s="1004"/>
      <c r="WB2" s="1004"/>
      <c r="WC2" s="1004"/>
      <c r="WD2" s="1004"/>
      <c r="WE2" s="1004"/>
      <c r="WF2" s="1004"/>
      <c r="WG2" s="1004"/>
      <c r="WH2" s="1004"/>
      <c r="WI2" s="1004"/>
      <c r="WJ2" s="1004"/>
      <c r="WK2" s="1004"/>
      <c r="WL2" s="1004"/>
      <c r="WM2" s="1004"/>
      <c r="WN2" s="1004"/>
      <c r="WO2" s="1004"/>
      <c r="WP2" s="1004"/>
      <c r="WQ2" s="1004"/>
      <c r="WR2" s="1004"/>
      <c r="WS2" s="1004"/>
      <c r="WT2" s="1004"/>
      <c r="WU2" s="1004"/>
      <c r="WV2" s="1004"/>
      <c r="WW2" s="1004"/>
      <c r="WX2" s="1004"/>
      <c r="WY2" s="1004"/>
      <c r="WZ2" s="1004"/>
      <c r="XA2" s="1004"/>
      <c r="XB2" s="1004"/>
      <c r="XC2" s="1004"/>
      <c r="XD2" s="1004"/>
      <c r="XE2" s="1004"/>
      <c r="XF2" s="1004"/>
      <c r="XG2" s="1004"/>
      <c r="XH2" s="1004"/>
      <c r="XI2" s="1004"/>
      <c r="XJ2" s="1004"/>
      <c r="XK2" s="1004"/>
      <c r="XL2" s="1004"/>
      <c r="XM2" s="1004"/>
      <c r="XN2" s="1004"/>
      <c r="XO2" s="1004"/>
      <c r="XP2" s="1004"/>
      <c r="XQ2" s="1004"/>
      <c r="XR2" s="1004"/>
      <c r="XS2" s="1004"/>
      <c r="XT2" s="1004"/>
      <c r="XU2" s="1004"/>
      <c r="XV2" s="1004"/>
      <c r="XW2" s="1004"/>
      <c r="XX2" s="1004"/>
      <c r="XY2" s="1004"/>
      <c r="XZ2" s="1004"/>
      <c r="YA2" s="1004"/>
      <c r="YB2" s="1004"/>
      <c r="YC2" s="1004"/>
      <c r="YD2" s="1004"/>
      <c r="YE2" s="1004"/>
      <c r="YF2" s="1004"/>
      <c r="YG2" s="1004"/>
      <c r="YH2" s="1004"/>
      <c r="YI2" s="1004"/>
      <c r="YJ2" s="1004"/>
      <c r="YK2" s="1004"/>
      <c r="YL2" s="1004"/>
      <c r="YM2" s="1004"/>
      <c r="YN2" s="1004"/>
      <c r="YO2" s="1004"/>
      <c r="YP2" s="1004"/>
      <c r="YQ2" s="1004"/>
      <c r="YR2" s="1004"/>
      <c r="YS2" s="1004"/>
      <c r="YT2" s="1004"/>
      <c r="YU2" s="1004"/>
      <c r="YV2" s="1004"/>
      <c r="YW2" s="1004"/>
      <c r="YX2" s="1004"/>
      <c r="YY2" s="1004"/>
      <c r="YZ2" s="1004"/>
      <c r="ZA2" s="1004"/>
      <c r="ZB2" s="1004"/>
      <c r="ZC2" s="1004"/>
      <c r="ZD2" s="1004"/>
      <c r="ZE2" s="1004"/>
      <c r="ZF2" s="1004"/>
      <c r="ZG2" s="1004"/>
      <c r="ZH2" s="1004"/>
      <c r="ZI2" s="1004"/>
      <c r="ZJ2" s="1004"/>
      <c r="ZK2" s="1004"/>
      <c r="ZL2" s="1004"/>
      <c r="ZM2" s="1004"/>
      <c r="ZN2" s="1004"/>
      <c r="ZO2" s="1004"/>
      <c r="ZP2" s="1004"/>
      <c r="ZQ2" s="1004"/>
      <c r="ZR2" s="1004"/>
      <c r="ZS2" s="1004"/>
      <c r="ZT2" s="1004"/>
      <c r="ZU2" s="1004"/>
      <c r="ZV2" s="1004"/>
      <c r="ZW2" s="1004"/>
      <c r="ZX2" s="1004"/>
      <c r="ZY2" s="1004"/>
      <c r="ZZ2" s="1004"/>
      <c r="AAA2" s="1004"/>
      <c r="AAB2" s="1004"/>
      <c r="AAC2" s="1004"/>
      <c r="AAD2" s="1004"/>
      <c r="AAE2" s="1004"/>
      <c r="AAF2" s="1004"/>
      <c r="AAG2" s="1004"/>
      <c r="AAH2" s="1004"/>
      <c r="AAI2" s="1004"/>
      <c r="AAJ2" s="1004"/>
      <c r="AAK2" s="1004"/>
      <c r="AAL2" s="1004"/>
      <c r="AAM2" s="1004"/>
      <c r="AAN2" s="1004"/>
      <c r="AAO2" s="1004"/>
      <c r="AAP2" s="1004"/>
      <c r="AAQ2" s="1004"/>
      <c r="AAR2" s="1004"/>
      <c r="AAS2" s="1004"/>
      <c r="AAT2" s="1004"/>
      <c r="AAU2" s="1004"/>
      <c r="AAV2" s="1004"/>
      <c r="AAW2" s="1004"/>
      <c r="AAX2" s="1004"/>
      <c r="AAY2" s="1004"/>
      <c r="AAZ2" s="1004"/>
      <c r="ABA2" s="1004"/>
      <c r="ABB2" s="1004"/>
      <c r="ABC2" s="1004"/>
      <c r="ABD2" s="1004"/>
      <c r="ABE2" s="1004"/>
      <c r="ABF2" s="1004"/>
      <c r="ABG2" s="1004"/>
      <c r="ABH2" s="1004"/>
      <c r="ABI2" s="1004"/>
      <c r="ABJ2" s="1004"/>
      <c r="ABK2" s="1004"/>
      <c r="ABL2" s="1004"/>
      <c r="ABM2" s="1004"/>
      <c r="ABN2" s="1004"/>
      <c r="ABO2" s="1004"/>
      <c r="ABP2" s="1004"/>
      <c r="ABQ2" s="1004"/>
      <c r="ABR2" s="1004"/>
    </row>
    <row r="3" spans="1:746" s="1" customFormat="1" ht="2.25" customHeight="1" thickBot="1">
      <c r="A3" s="924"/>
      <c r="B3" s="144"/>
      <c r="C3" s="145"/>
      <c r="D3" s="146"/>
      <c r="E3" s="146"/>
      <c r="F3" s="147"/>
      <c r="G3" s="146"/>
      <c r="H3" s="2157"/>
      <c r="I3" s="2565"/>
      <c r="J3" s="149"/>
      <c r="K3" s="150"/>
      <c r="L3" s="146"/>
      <c r="M3" s="2980"/>
      <c r="N3" s="146"/>
      <c r="O3" s="146"/>
      <c r="P3" s="146"/>
      <c r="Q3" s="146"/>
      <c r="R3" s="146"/>
      <c r="S3" s="146"/>
      <c r="T3" s="972"/>
      <c r="U3" s="144"/>
      <c r="V3" s="146"/>
      <c r="W3" s="146"/>
      <c r="X3" s="146"/>
      <c r="Y3" s="146"/>
      <c r="Z3" s="146"/>
      <c r="AA3" s="146"/>
      <c r="AB3" s="146"/>
      <c r="AC3" s="146"/>
      <c r="AD3" s="146"/>
      <c r="AE3" s="146"/>
      <c r="AF3" s="151"/>
      <c r="AG3" s="113"/>
      <c r="AH3" s="112"/>
      <c r="AI3" s="112"/>
      <c r="AJ3" s="2984"/>
      <c r="AK3" s="1041"/>
      <c r="AL3" s="2051"/>
      <c r="AM3" s="1004"/>
      <c r="AN3" s="1005"/>
      <c r="AO3" s="2977"/>
      <c r="AP3" s="2978"/>
      <c r="AQ3" s="2978"/>
      <c r="AR3" s="1913"/>
      <c r="AS3" s="1915"/>
      <c r="AT3" s="1913"/>
      <c r="AU3" s="1913"/>
      <c r="AV3" s="1913"/>
      <c r="AW3" s="1913"/>
      <c r="AX3" s="1913"/>
      <c r="AY3" s="1913"/>
      <c r="AZ3" s="1913"/>
      <c r="BA3" s="1913"/>
      <c r="BB3" s="1913"/>
      <c r="BC3" s="1913"/>
      <c r="BD3" s="1913"/>
      <c r="BE3" s="1913"/>
      <c r="BF3" s="1913"/>
      <c r="BG3" s="1913"/>
      <c r="BH3" s="1913"/>
      <c r="BI3" s="1913"/>
      <c r="BJ3" s="1913"/>
      <c r="BK3" s="1913"/>
      <c r="BL3" s="1913"/>
      <c r="BM3" s="1913"/>
      <c r="BN3" s="1913"/>
      <c r="BO3" s="1913"/>
      <c r="BP3" s="1004"/>
      <c r="BQ3" s="1004"/>
      <c r="BR3" s="1004"/>
      <c r="BS3" s="1004"/>
      <c r="BT3" s="1004"/>
      <c r="BU3" s="1004"/>
      <c r="BV3" s="1004"/>
      <c r="BW3" s="1004"/>
      <c r="BX3" s="1004"/>
      <c r="BY3" s="1004"/>
      <c r="BZ3" s="1004"/>
      <c r="CA3" s="1004"/>
      <c r="CB3" s="1004"/>
      <c r="CC3" s="1004"/>
      <c r="CD3" s="1004"/>
      <c r="CE3" s="1004"/>
      <c r="CF3" s="1004"/>
      <c r="CG3" s="1004"/>
      <c r="CH3" s="1004"/>
      <c r="CI3" s="1004"/>
      <c r="CJ3" s="1004"/>
      <c r="CK3" s="1004"/>
      <c r="CL3" s="1004"/>
      <c r="CM3" s="1004"/>
      <c r="CN3" s="1004"/>
      <c r="CO3" s="1004"/>
      <c r="CP3" s="1004"/>
      <c r="CQ3" s="1004"/>
      <c r="CR3" s="1004"/>
      <c r="CS3" s="1004"/>
      <c r="CT3" s="1004"/>
      <c r="CU3" s="1004"/>
      <c r="CV3" s="1004"/>
      <c r="CW3" s="1004"/>
      <c r="CX3" s="1004"/>
      <c r="CY3" s="1004"/>
      <c r="CZ3" s="1004"/>
      <c r="DA3" s="1004"/>
      <c r="DB3" s="1004"/>
      <c r="DC3" s="1004"/>
      <c r="DD3" s="1004"/>
      <c r="DE3" s="1004"/>
      <c r="DF3" s="1004"/>
      <c r="DG3" s="1004"/>
      <c r="DH3" s="1004"/>
      <c r="DI3" s="1004"/>
      <c r="DJ3" s="1004"/>
      <c r="DK3" s="1004"/>
      <c r="DL3" s="1004"/>
      <c r="DM3" s="1004"/>
      <c r="DN3" s="1004"/>
      <c r="DO3" s="1004"/>
      <c r="DP3" s="1004"/>
      <c r="DQ3" s="1004"/>
      <c r="DR3" s="1004"/>
      <c r="DS3" s="1004"/>
      <c r="DT3" s="1004"/>
      <c r="DU3" s="1004"/>
      <c r="DV3" s="1004"/>
      <c r="DW3" s="1004"/>
      <c r="DX3" s="1004"/>
      <c r="DY3" s="1004"/>
      <c r="DZ3" s="1004"/>
      <c r="EA3" s="1004"/>
      <c r="EB3" s="1004"/>
      <c r="EC3" s="1004"/>
      <c r="ED3" s="1004"/>
      <c r="EE3" s="1004"/>
      <c r="EF3" s="1004"/>
      <c r="EG3" s="1004"/>
      <c r="EH3" s="1004"/>
      <c r="EI3" s="1004"/>
      <c r="EJ3" s="1004"/>
      <c r="EK3" s="1004"/>
      <c r="EL3" s="1004"/>
      <c r="EM3" s="1004"/>
      <c r="EN3" s="1004"/>
      <c r="EO3" s="1004"/>
      <c r="EP3" s="1004"/>
      <c r="EQ3" s="1004"/>
      <c r="ER3" s="1004"/>
      <c r="ES3" s="1004"/>
      <c r="ET3" s="1004"/>
      <c r="EU3" s="1004"/>
      <c r="EV3" s="1004"/>
      <c r="EW3" s="1004"/>
      <c r="EX3" s="1004"/>
      <c r="EY3" s="1004"/>
      <c r="EZ3" s="1004"/>
      <c r="FA3" s="1004"/>
      <c r="FB3" s="1004"/>
      <c r="FC3" s="1004"/>
      <c r="FD3" s="1004"/>
      <c r="FE3" s="1004"/>
      <c r="FF3" s="1004"/>
      <c r="FG3" s="1004"/>
      <c r="FH3" s="1004"/>
      <c r="FI3" s="1004"/>
      <c r="FJ3" s="1004"/>
      <c r="FK3" s="1004"/>
      <c r="FL3" s="1004"/>
      <c r="FM3" s="1004"/>
      <c r="FN3" s="1004"/>
      <c r="FO3" s="1004"/>
      <c r="FP3" s="1004"/>
      <c r="FQ3" s="1004"/>
      <c r="FR3" s="1004"/>
      <c r="FS3" s="1004"/>
      <c r="FT3" s="1004"/>
      <c r="FU3" s="1004"/>
      <c r="FV3" s="1004"/>
      <c r="FW3" s="1004"/>
      <c r="FX3" s="1004"/>
      <c r="FY3" s="1004"/>
      <c r="FZ3" s="1004"/>
      <c r="GA3" s="1004"/>
      <c r="GB3" s="1004"/>
      <c r="GC3" s="1004"/>
      <c r="GD3" s="1004"/>
      <c r="GE3" s="1004"/>
      <c r="GF3" s="1004"/>
      <c r="GG3" s="1004"/>
      <c r="GH3" s="1004"/>
      <c r="GI3" s="1004"/>
      <c r="GJ3" s="1004"/>
      <c r="GK3" s="1004"/>
      <c r="GL3" s="1004"/>
      <c r="GM3" s="1004"/>
      <c r="GN3" s="1004"/>
      <c r="GO3" s="1004"/>
      <c r="GP3" s="1004"/>
      <c r="GQ3" s="1004"/>
      <c r="GR3" s="1004"/>
      <c r="GS3" s="1004"/>
      <c r="GT3" s="1004"/>
      <c r="GU3" s="1004"/>
      <c r="GV3" s="1004"/>
      <c r="GW3" s="1004"/>
      <c r="GX3" s="1004"/>
      <c r="GY3" s="1004"/>
      <c r="GZ3" s="1004"/>
      <c r="HA3" s="1004"/>
      <c r="HB3" s="1004"/>
      <c r="HC3" s="1004"/>
      <c r="HD3" s="1004"/>
      <c r="HE3" s="1004"/>
      <c r="HF3" s="1004"/>
      <c r="HG3" s="1004"/>
      <c r="HH3" s="1004"/>
      <c r="HI3" s="1004"/>
      <c r="HJ3" s="1004"/>
      <c r="HK3" s="1004"/>
      <c r="HL3" s="1004"/>
      <c r="HM3" s="1004"/>
      <c r="HN3" s="1004"/>
      <c r="HO3" s="1004"/>
      <c r="HP3" s="1004"/>
      <c r="HQ3" s="1004"/>
      <c r="HR3" s="1004"/>
      <c r="HS3" s="1004"/>
      <c r="HT3" s="1004"/>
      <c r="HU3" s="1004"/>
      <c r="HV3" s="1004"/>
      <c r="HW3" s="1004"/>
      <c r="HX3" s="1004"/>
      <c r="HY3" s="1004"/>
      <c r="HZ3" s="1004"/>
      <c r="IA3" s="1004"/>
      <c r="IB3" s="1004"/>
      <c r="IC3" s="1004"/>
      <c r="ID3" s="1004"/>
      <c r="IE3" s="1004"/>
      <c r="IF3" s="1004"/>
      <c r="IG3" s="1004"/>
      <c r="IH3" s="1004"/>
      <c r="II3" s="1004"/>
      <c r="IJ3" s="1004"/>
      <c r="IK3" s="1004"/>
      <c r="IL3" s="1004"/>
      <c r="IM3" s="1004"/>
      <c r="IN3" s="1004"/>
      <c r="IO3" s="1004"/>
      <c r="IP3" s="1004"/>
      <c r="IQ3" s="1004"/>
      <c r="IR3" s="1004"/>
      <c r="IS3" s="1004"/>
      <c r="IT3" s="1004"/>
      <c r="IU3" s="1004"/>
      <c r="IV3" s="1004"/>
      <c r="IW3" s="1004"/>
      <c r="IX3" s="1004"/>
      <c r="IY3" s="1004"/>
      <c r="IZ3" s="1004"/>
      <c r="JA3" s="1004"/>
      <c r="JB3" s="1004"/>
      <c r="JC3" s="1004"/>
      <c r="JD3" s="1004"/>
      <c r="JE3" s="1004"/>
      <c r="JF3" s="1004"/>
      <c r="JG3" s="1004"/>
      <c r="JH3" s="1004"/>
      <c r="JI3" s="1004"/>
      <c r="JJ3" s="1004"/>
      <c r="JK3" s="1004"/>
      <c r="JL3" s="1004"/>
      <c r="JM3" s="1004"/>
      <c r="JN3" s="1004"/>
      <c r="JO3" s="1004"/>
      <c r="JP3" s="1004"/>
      <c r="JQ3" s="1004"/>
      <c r="JR3" s="1004"/>
      <c r="JS3" s="1004"/>
      <c r="JT3" s="1004"/>
      <c r="JU3" s="1004"/>
      <c r="JV3" s="1004"/>
      <c r="JW3" s="1004"/>
      <c r="JX3" s="1004"/>
      <c r="JY3" s="1004"/>
      <c r="JZ3" s="1004"/>
      <c r="KA3" s="1004"/>
      <c r="KB3" s="1004"/>
      <c r="KC3" s="1004"/>
      <c r="KD3" s="1004"/>
      <c r="KE3" s="1004"/>
      <c r="KF3" s="1004"/>
      <c r="KG3" s="1004"/>
      <c r="KH3" s="1004"/>
      <c r="KI3" s="1004"/>
      <c r="KJ3" s="1004"/>
      <c r="KK3" s="1004"/>
      <c r="KL3" s="1004"/>
      <c r="KM3" s="1004"/>
      <c r="KN3" s="1004"/>
      <c r="KO3" s="1004"/>
      <c r="KP3" s="1004"/>
      <c r="KQ3" s="1004"/>
      <c r="KR3" s="1004"/>
      <c r="KS3" s="1004"/>
      <c r="KT3" s="1004"/>
      <c r="KU3" s="1004"/>
      <c r="KV3" s="1004"/>
      <c r="KW3" s="1004"/>
      <c r="KX3" s="1004"/>
      <c r="KY3" s="1004"/>
      <c r="KZ3" s="1004"/>
      <c r="LA3" s="1004"/>
      <c r="LB3" s="1004"/>
      <c r="LC3" s="1004"/>
      <c r="LD3" s="1004"/>
      <c r="LE3" s="1004"/>
      <c r="LF3" s="1004"/>
      <c r="LG3" s="1004"/>
      <c r="LH3" s="1004"/>
      <c r="LI3" s="1004"/>
      <c r="LJ3" s="1004"/>
      <c r="LK3" s="1004"/>
      <c r="LL3" s="1004"/>
      <c r="LM3" s="1004"/>
      <c r="LN3" s="1004"/>
      <c r="LO3" s="1004"/>
      <c r="LP3" s="1004"/>
      <c r="LQ3" s="1004"/>
      <c r="LR3" s="1004"/>
      <c r="LS3" s="1004"/>
      <c r="LT3" s="1004"/>
      <c r="LU3" s="1004"/>
      <c r="LV3" s="1004"/>
      <c r="LW3" s="1004"/>
      <c r="LX3" s="1004"/>
      <c r="LY3" s="1004"/>
      <c r="LZ3" s="1004"/>
      <c r="MA3" s="1004"/>
      <c r="MB3" s="1004"/>
      <c r="MC3" s="1004"/>
      <c r="MD3" s="1004"/>
      <c r="ME3" s="1004"/>
      <c r="MF3" s="1004"/>
      <c r="MG3" s="1004"/>
      <c r="MH3" s="1004"/>
      <c r="MI3" s="1004"/>
      <c r="MJ3" s="1004"/>
      <c r="MK3" s="1004"/>
      <c r="ML3" s="1004"/>
      <c r="MM3" s="1004"/>
      <c r="MN3" s="1004"/>
      <c r="MO3" s="1004"/>
      <c r="MP3" s="1004"/>
      <c r="MQ3" s="1004"/>
      <c r="MR3" s="1004"/>
      <c r="MS3" s="1004"/>
      <c r="MT3" s="1004"/>
      <c r="MU3" s="1004"/>
      <c r="MV3" s="1004"/>
      <c r="MW3" s="1004"/>
      <c r="MX3" s="1004"/>
      <c r="MY3" s="1004"/>
      <c r="MZ3" s="1004"/>
      <c r="NA3" s="1004"/>
      <c r="NB3" s="1004"/>
      <c r="NC3" s="1004"/>
      <c r="ND3" s="1004"/>
      <c r="NE3" s="1004"/>
      <c r="NF3" s="1004"/>
      <c r="NG3" s="1004"/>
      <c r="NH3" s="1004"/>
      <c r="NI3" s="1004"/>
      <c r="NJ3" s="1004"/>
      <c r="NK3" s="1004"/>
      <c r="NL3" s="1004"/>
      <c r="NM3" s="1004"/>
      <c r="NN3" s="1004"/>
      <c r="NO3" s="1004"/>
      <c r="NP3" s="1004"/>
      <c r="NQ3" s="1004"/>
      <c r="NR3" s="1004"/>
      <c r="NS3" s="1004"/>
      <c r="NT3" s="1004"/>
      <c r="NU3" s="1004"/>
      <c r="NV3" s="1004"/>
      <c r="NW3" s="1004"/>
      <c r="NX3" s="1004"/>
      <c r="NY3" s="1004"/>
      <c r="NZ3" s="1004"/>
      <c r="OA3" s="1004"/>
      <c r="OB3" s="1004"/>
      <c r="OC3" s="1004"/>
      <c r="OD3" s="1004"/>
      <c r="OE3" s="1004"/>
      <c r="OF3" s="1004"/>
      <c r="OG3" s="1004"/>
      <c r="OH3" s="1004"/>
      <c r="OI3" s="1004"/>
      <c r="OJ3" s="1004"/>
      <c r="OK3" s="1004"/>
      <c r="OL3" s="1004"/>
      <c r="OM3" s="1004"/>
      <c r="ON3" s="1004"/>
      <c r="OO3" s="1004"/>
      <c r="OP3" s="1004"/>
      <c r="OQ3" s="1004"/>
      <c r="OR3" s="1004"/>
      <c r="OS3" s="1004"/>
      <c r="OT3" s="1004"/>
      <c r="OU3" s="1004"/>
      <c r="OV3" s="1004"/>
      <c r="OW3" s="1004"/>
      <c r="OX3" s="1004"/>
      <c r="OY3" s="1004"/>
      <c r="OZ3" s="1004"/>
      <c r="PA3" s="1004"/>
      <c r="PB3" s="1004"/>
      <c r="PC3" s="1004"/>
      <c r="PD3" s="1004"/>
      <c r="PE3" s="1004"/>
      <c r="PF3" s="1004"/>
      <c r="PG3" s="1004"/>
      <c r="PH3" s="1004"/>
      <c r="PI3" s="1004"/>
      <c r="PJ3" s="1004"/>
      <c r="PK3" s="1004"/>
      <c r="PL3" s="1004"/>
      <c r="PM3" s="1004"/>
      <c r="PN3" s="1004"/>
      <c r="PO3" s="1004"/>
      <c r="PP3" s="1004"/>
      <c r="PQ3" s="1004"/>
      <c r="PR3" s="1004"/>
      <c r="PS3" s="1004"/>
      <c r="PT3" s="1004"/>
      <c r="PU3" s="1004"/>
      <c r="PV3" s="1004"/>
      <c r="PW3" s="1004"/>
      <c r="PX3" s="1004"/>
      <c r="PY3" s="1004"/>
      <c r="PZ3" s="1004"/>
      <c r="QA3" s="1004"/>
      <c r="QB3" s="1004"/>
      <c r="QC3" s="1004"/>
      <c r="QD3" s="1004"/>
      <c r="QE3" s="1004"/>
      <c r="QF3" s="1004"/>
      <c r="QG3" s="1004"/>
      <c r="QH3" s="1004"/>
      <c r="QI3" s="1004"/>
      <c r="QJ3" s="1004"/>
      <c r="QK3" s="1004"/>
      <c r="QL3" s="1004"/>
      <c r="QM3" s="1004"/>
      <c r="QN3" s="1004"/>
      <c r="QO3" s="1004"/>
      <c r="QP3" s="1004"/>
      <c r="QQ3" s="1004"/>
      <c r="QR3" s="1004"/>
      <c r="QS3" s="1004"/>
      <c r="QT3" s="1004"/>
      <c r="QU3" s="1004"/>
      <c r="QV3" s="1004"/>
      <c r="QW3" s="1004"/>
      <c r="QX3" s="1004"/>
      <c r="QY3" s="1004"/>
      <c r="QZ3" s="1004"/>
      <c r="RA3" s="1004"/>
      <c r="RB3" s="1004"/>
      <c r="RC3" s="1004"/>
      <c r="RD3" s="1004"/>
      <c r="RE3" s="1004"/>
      <c r="RF3" s="1004"/>
      <c r="RG3" s="1004"/>
      <c r="RH3" s="1004"/>
      <c r="RI3" s="1004"/>
      <c r="RJ3" s="1004"/>
      <c r="RK3" s="1004"/>
      <c r="RL3" s="1004"/>
      <c r="RM3" s="1004"/>
      <c r="RN3" s="1004"/>
      <c r="RO3" s="1004"/>
      <c r="RP3" s="1004"/>
      <c r="RQ3" s="1004"/>
      <c r="RR3" s="1004"/>
      <c r="RS3" s="1004"/>
      <c r="RT3" s="1004"/>
      <c r="RU3" s="1004"/>
      <c r="RV3" s="1004"/>
      <c r="RW3" s="1004"/>
      <c r="RX3" s="1004"/>
      <c r="RY3" s="1004"/>
      <c r="RZ3" s="1004"/>
      <c r="SA3" s="1004"/>
      <c r="SB3" s="1004"/>
      <c r="SC3" s="1004"/>
      <c r="SD3" s="1004"/>
      <c r="SE3" s="1004"/>
      <c r="SF3" s="1004"/>
      <c r="SG3" s="1004"/>
      <c r="SH3" s="1004"/>
      <c r="SI3" s="1004"/>
      <c r="SJ3" s="1004"/>
      <c r="SK3" s="1004"/>
      <c r="SL3" s="1004"/>
      <c r="SM3" s="1004"/>
      <c r="SN3" s="1004"/>
      <c r="SO3" s="1004"/>
      <c r="SP3" s="1004"/>
      <c r="SQ3" s="1004"/>
      <c r="SR3" s="1004"/>
      <c r="SS3" s="1004"/>
      <c r="ST3" s="1004"/>
      <c r="SU3" s="1004"/>
      <c r="SV3" s="1004"/>
      <c r="SW3" s="1004"/>
      <c r="SX3" s="1004"/>
      <c r="SY3" s="1004"/>
      <c r="SZ3" s="1004"/>
      <c r="TA3" s="1004"/>
      <c r="TB3" s="1004"/>
      <c r="TC3" s="1004"/>
      <c r="TD3" s="1004"/>
      <c r="TE3" s="1004"/>
      <c r="TF3" s="1004"/>
      <c r="TG3" s="1004"/>
      <c r="TH3" s="1004"/>
      <c r="TI3" s="1004"/>
      <c r="TJ3" s="1004"/>
      <c r="TK3" s="1004"/>
      <c r="TL3" s="1004"/>
      <c r="TM3" s="1004"/>
      <c r="TN3" s="1004"/>
      <c r="TO3" s="1004"/>
      <c r="TP3" s="1004"/>
      <c r="TQ3" s="1004"/>
      <c r="TR3" s="1004"/>
      <c r="TS3" s="1004"/>
      <c r="TT3" s="1004"/>
      <c r="TU3" s="1004"/>
      <c r="TV3" s="1004"/>
      <c r="TW3" s="1004"/>
      <c r="TX3" s="1004"/>
      <c r="TY3" s="1004"/>
      <c r="TZ3" s="1004"/>
      <c r="UA3" s="1004"/>
      <c r="UB3" s="1004"/>
      <c r="UC3" s="1004"/>
      <c r="UD3" s="1004"/>
      <c r="UE3" s="1004"/>
      <c r="UF3" s="1004"/>
      <c r="UG3" s="1004"/>
      <c r="UH3" s="1004"/>
      <c r="UI3" s="1004"/>
      <c r="UJ3" s="1004"/>
      <c r="UK3" s="1004"/>
      <c r="UL3" s="1004"/>
      <c r="UM3" s="1004"/>
      <c r="UN3" s="1004"/>
      <c r="UO3" s="1004"/>
      <c r="UP3" s="1004"/>
      <c r="UQ3" s="1004"/>
      <c r="UR3" s="1004"/>
      <c r="US3" s="1004"/>
      <c r="UT3" s="1004"/>
      <c r="UU3" s="1004"/>
      <c r="UV3" s="1004"/>
      <c r="UW3" s="1004"/>
      <c r="UX3" s="1004"/>
      <c r="UY3" s="1004"/>
      <c r="UZ3" s="1004"/>
      <c r="VA3" s="1004"/>
      <c r="VB3" s="1004"/>
      <c r="VC3" s="1004"/>
      <c r="VD3" s="1004"/>
      <c r="VE3" s="1004"/>
      <c r="VF3" s="1004"/>
      <c r="VG3" s="1004"/>
      <c r="VH3" s="1004"/>
      <c r="VI3" s="1004"/>
      <c r="VJ3" s="1004"/>
      <c r="VK3" s="1004"/>
      <c r="VL3" s="1004"/>
      <c r="VM3" s="1004"/>
      <c r="VN3" s="1004"/>
      <c r="VO3" s="1004"/>
      <c r="VP3" s="1004"/>
      <c r="VQ3" s="1004"/>
      <c r="VR3" s="1004"/>
      <c r="VS3" s="1004"/>
      <c r="VT3" s="1004"/>
      <c r="VU3" s="1004"/>
      <c r="VV3" s="1004"/>
      <c r="VW3" s="1004"/>
      <c r="VX3" s="1004"/>
      <c r="VY3" s="1004"/>
      <c r="VZ3" s="1004"/>
      <c r="WA3" s="1004"/>
      <c r="WB3" s="1004"/>
      <c r="WC3" s="1004"/>
      <c r="WD3" s="1004"/>
      <c r="WE3" s="1004"/>
      <c r="WF3" s="1004"/>
      <c r="WG3" s="1004"/>
      <c r="WH3" s="1004"/>
      <c r="WI3" s="1004"/>
      <c r="WJ3" s="1004"/>
      <c r="WK3" s="1004"/>
      <c r="WL3" s="1004"/>
      <c r="WM3" s="1004"/>
      <c r="WN3" s="1004"/>
      <c r="WO3" s="1004"/>
      <c r="WP3" s="1004"/>
      <c r="WQ3" s="1004"/>
      <c r="WR3" s="1004"/>
      <c r="WS3" s="1004"/>
      <c r="WT3" s="1004"/>
      <c r="WU3" s="1004"/>
      <c r="WV3" s="1004"/>
      <c r="WW3" s="1004"/>
      <c r="WX3" s="1004"/>
      <c r="WY3" s="1004"/>
      <c r="WZ3" s="1004"/>
      <c r="XA3" s="1004"/>
      <c r="XB3" s="1004"/>
      <c r="XC3" s="1004"/>
      <c r="XD3" s="1004"/>
      <c r="XE3" s="1004"/>
      <c r="XF3" s="1004"/>
      <c r="XG3" s="1004"/>
      <c r="XH3" s="1004"/>
      <c r="XI3" s="1004"/>
      <c r="XJ3" s="1004"/>
      <c r="XK3" s="1004"/>
      <c r="XL3" s="1004"/>
      <c r="XM3" s="1004"/>
      <c r="XN3" s="1004"/>
      <c r="XO3" s="1004"/>
      <c r="XP3" s="1004"/>
      <c r="XQ3" s="1004"/>
      <c r="XR3" s="1004"/>
      <c r="XS3" s="1004"/>
      <c r="XT3" s="1004"/>
      <c r="XU3" s="1004"/>
      <c r="XV3" s="1004"/>
      <c r="XW3" s="1004"/>
      <c r="XX3" s="1004"/>
      <c r="XY3" s="1004"/>
      <c r="XZ3" s="1004"/>
      <c r="YA3" s="1004"/>
      <c r="YB3" s="1004"/>
      <c r="YC3" s="1004"/>
      <c r="YD3" s="1004"/>
      <c r="YE3" s="1004"/>
      <c r="YF3" s="1004"/>
      <c r="YG3" s="1004"/>
      <c r="YH3" s="1004"/>
      <c r="YI3" s="1004"/>
      <c r="YJ3" s="1004"/>
      <c r="YK3" s="1004"/>
      <c r="YL3" s="1004"/>
      <c r="YM3" s="1004"/>
      <c r="YN3" s="1004"/>
      <c r="YO3" s="1004"/>
      <c r="YP3" s="1004"/>
      <c r="YQ3" s="1004"/>
      <c r="YR3" s="1004"/>
      <c r="YS3" s="1004"/>
      <c r="YT3" s="1004"/>
      <c r="YU3" s="1004"/>
      <c r="YV3" s="1004"/>
      <c r="YW3" s="1004"/>
      <c r="YX3" s="1004"/>
      <c r="YY3" s="1004"/>
      <c r="YZ3" s="1004"/>
      <c r="ZA3" s="1004"/>
      <c r="ZB3" s="1004"/>
      <c r="ZC3" s="1004"/>
      <c r="ZD3" s="1004"/>
      <c r="ZE3" s="1004"/>
      <c r="ZF3" s="1004"/>
      <c r="ZG3" s="1004"/>
      <c r="ZH3" s="1004"/>
      <c r="ZI3" s="1004"/>
      <c r="ZJ3" s="1004"/>
      <c r="ZK3" s="1004"/>
      <c r="ZL3" s="1004"/>
      <c r="ZM3" s="1004"/>
      <c r="ZN3" s="1004"/>
      <c r="ZO3" s="1004"/>
      <c r="ZP3" s="1004"/>
      <c r="ZQ3" s="1004"/>
      <c r="ZR3" s="1004"/>
      <c r="ZS3" s="1004"/>
      <c r="ZT3" s="1004"/>
      <c r="ZU3" s="1004"/>
      <c r="ZV3" s="1004"/>
      <c r="ZW3" s="1004"/>
      <c r="ZX3" s="1004"/>
      <c r="ZY3" s="1004"/>
      <c r="ZZ3" s="1004"/>
      <c r="AAA3" s="1004"/>
      <c r="AAB3" s="1004"/>
      <c r="AAC3" s="1004"/>
      <c r="AAD3" s="1004"/>
      <c r="AAE3" s="1004"/>
      <c r="AAF3" s="1004"/>
      <c r="AAG3" s="1004"/>
      <c r="AAH3" s="1004"/>
      <c r="AAI3" s="1004"/>
      <c r="AAJ3" s="1004"/>
      <c r="AAK3" s="1004"/>
      <c r="AAL3" s="1004"/>
      <c r="AAM3" s="1004"/>
      <c r="AAN3" s="1004"/>
      <c r="AAO3" s="1004"/>
      <c r="AAP3" s="1004"/>
      <c r="AAQ3" s="1004"/>
      <c r="AAR3" s="1004"/>
      <c r="AAS3" s="1004"/>
      <c r="AAT3" s="1004"/>
      <c r="AAU3" s="1004"/>
      <c r="AAV3" s="1004"/>
      <c r="AAW3" s="1004"/>
      <c r="AAX3" s="1004"/>
      <c r="AAY3" s="1004"/>
      <c r="AAZ3" s="1004"/>
      <c r="ABA3" s="1004"/>
      <c r="ABB3" s="1004"/>
      <c r="ABC3" s="1004"/>
      <c r="ABD3" s="1004"/>
      <c r="ABE3" s="1004"/>
      <c r="ABF3" s="1004"/>
      <c r="ABG3" s="1004"/>
      <c r="ABH3" s="1004"/>
      <c r="ABI3" s="1004"/>
      <c r="ABJ3" s="1004"/>
      <c r="ABK3" s="1004"/>
      <c r="ABL3" s="1004"/>
      <c r="ABM3" s="1004"/>
      <c r="ABN3" s="1004"/>
      <c r="ABO3" s="1004"/>
      <c r="ABP3" s="1004"/>
      <c r="ABQ3" s="1004"/>
      <c r="ABR3" s="1004"/>
    </row>
    <row r="4" spans="1:746" s="1" customFormat="1" ht="12.9" customHeight="1" thickBot="1">
      <c r="A4" s="924"/>
      <c r="B4" s="156" t="s">
        <v>837</v>
      </c>
      <c r="C4" s="2834" t="s">
        <v>7</v>
      </c>
      <c r="D4" s="2835"/>
      <c r="E4" s="2835"/>
      <c r="F4" s="2836"/>
      <c r="G4" s="154"/>
      <c r="H4" s="160"/>
      <c r="I4" s="2566"/>
      <c r="J4" s="2030"/>
      <c r="K4" s="2122" t="str">
        <f>LOOKUP(L4,E435:E446,F435:F446)</f>
        <v>Budgetstart i kolumn I</v>
      </c>
      <c r="L4" s="262">
        <v>1</v>
      </c>
      <c r="M4" s="1846">
        <f>IF(AND(fx!$C$57=1,L4=0),1,IF(AND(fx!$C$57=2,L4&lt;7),1,0))</f>
        <v>0</v>
      </c>
      <c r="N4" s="262">
        <v>2016</v>
      </c>
      <c r="O4" s="154"/>
      <c r="P4" s="2981" t="s">
        <v>4</v>
      </c>
      <c r="Q4" s="2982"/>
      <c r="R4" s="193"/>
      <c r="S4" s="154"/>
      <c r="T4" s="262" t="s">
        <v>5</v>
      </c>
      <c r="U4" s="2031"/>
      <c r="V4" s="154"/>
      <c r="W4" s="154"/>
      <c r="X4" s="154"/>
      <c r="Y4" s="154"/>
      <c r="Z4" s="154"/>
      <c r="AA4" s="154"/>
      <c r="AB4" s="154"/>
      <c r="AC4" s="154"/>
      <c r="AD4" s="154"/>
      <c r="AE4" s="154"/>
      <c r="AF4" s="165"/>
      <c r="AG4" s="94"/>
      <c r="AH4" s="112"/>
      <c r="AI4" s="112"/>
      <c r="AJ4" s="2040">
        <f>N4</f>
        <v>2016</v>
      </c>
      <c r="AK4" s="1041"/>
      <c r="AL4" s="2051">
        <f>IF(fx!C57=1,U8,"")</f>
        <v>2017</v>
      </c>
      <c r="AM4" s="1004"/>
      <c r="AN4" s="1005"/>
      <c r="AO4" s="2977"/>
      <c r="AP4" s="2978"/>
      <c r="AQ4" s="2978"/>
      <c r="AR4" s="1911" t="s">
        <v>1074</v>
      </c>
      <c r="AS4" s="1914"/>
      <c r="AT4" s="1913"/>
      <c r="AU4" s="1913"/>
      <c r="AV4" s="1913"/>
      <c r="AW4" s="1913"/>
      <c r="AX4" s="1913"/>
      <c r="AY4" s="1913"/>
      <c r="AZ4" s="1913"/>
      <c r="BA4" s="1913"/>
      <c r="BB4" s="1913"/>
      <c r="BC4" s="1913"/>
      <c r="BD4" s="1912" t="s">
        <v>1074</v>
      </c>
      <c r="BE4" s="1913"/>
      <c r="BF4" s="1913"/>
      <c r="BG4" s="1913"/>
      <c r="BH4" s="1913"/>
      <c r="BI4" s="1913"/>
      <c r="BJ4" s="1913"/>
      <c r="BK4" s="1913"/>
      <c r="BL4" s="1913"/>
      <c r="BM4" s="1913"/>
      <c r="BN4" s="1913"/>
      <c r="BO4" s="1913"/>
      <c r="BP4" s="1004"/>
      <c r="BQ4" s="1004"/>
      <c r="BR4" s="1004"/>
      <c r="BS4" s="1004"/>
      <c r="BT4" s="1004"/>
      <c r="BU4" s="1004"/>
      <c r="BV4" s="1004"/>
      <c r="BW4" s="1004"/>
      <c r="BX4" s="1004"/>
      <c r="BY4" s="1004"/>
      <c r="BZ4" s="1004"/>
      <c r="CA4" s="1004"/>
      <c r="CB4" s="1004"/>
      <c r="CC4" s="1004"/>
      <c r="CD4" s="1004"/>
      <c r="CE4" s="1004"/>
      <c r="CF4" s="1004"/>
      <c r="CG4" s="1004"/>
      <c r="CH4" s="1004"/>
      <c r="CI4" s="1004"/>
      <c r="CJ4" s="1004"/>
      <c r="CK4" s="1004"/>
      <c r="CL4" s="1004"/>
      <c r="CM4" s="1004"/>
      <c r="CN4" s="1004"/>
      <c r="CO4" s="1004"/>
      <c r="CP4" s="1004"/>
      <c r="CQ4" s="1004"/>
      <c r="CR4" s="1004"/>
      <c r="CS4" s="1004"/>
      <c r="CT4" s="1004"/>
      <c r="CU4" s="1004"/>
      <c r="CV4" s="1004"/>
      <c r="CW4" s="1004"/>
      <c r="CX4" s="1004"/>
      <c r="CY4" s="1004"/>
      <c r="CZ4" s="1004"/>
      <c r="DA4" s="1004"/>
      <c r="DB4" s="1004"/>
      <c r="DC4" s="1004"/>
      <c r="DD4" s="1004"/>
      <c r="DE4" s="1004"/>
      <c r="DF4" s="1004"/>
      <c r="DG4" s="1004"/>
      <c r="DH4" s="1004"/>
      <c r="DI4" s="1004"/>
      <c r="DJ4" s="1004"/>
      <c r="DK4" s="1004"/>
      <c r="DL4" s="1004"/>
      <c r="DM4" s="1004"/>
      <c r="DN4" s="1004"/>
      <c r="DO4" s="1004"/>
      <c r="DP4" s="1004"/>
      <c r="DQ4" s="1004"/>
      <c r="DR4" s="1004"/>
      <c r="DS4" s="1004"/>
      <c r="DT4" s="1004"/>
      <c r="DU4" s="1004"/>
      <c r="DV4" s="1004"/>
      <c r="DW4" s="1004"/>
      <c r="DX4" s="1004"/>
      <c r="DY4" s="1004"/>
      <c r="DZ4" s="1004"/>
      <c r="EA4" s="1004"/>
      <c r="EB4" s="1004"/>
      <c r="EC4" s="1004"/>
      <c r="ED4" s="1004"/>
      <c r="EE4" s="1004"/>
      <c r="EF4" s="1004"/>
      <c r="EG4" s="1004"/>
      <c r="EH4" s="1004"/>
      <c r="EI4" s="1004"/>
      <c r="EJ4" s="1004"/>
      <c r="EK4" s="1004"/>
      <c r="EL4" s="1004"/>
      <c r="EM4" s="1004"/>
      <c r="EN4" s="1004"/>
      <c r="EO4" s="1004"/>
      <c r="EP4" s="1004"/>
      <c r="EQ4" s="1004"/>
      <c r="ER4" s="1004"/>
      <c r="ES4" s="1004"/>
      <c r="ET4" s="1004"/>
      <c r="EU4" s="1004"/>
      <c r="EV4" s="1004"/>
      <c r="EW4" s="1004"/>
      <c r="EX4" s="1004"/>
      <c r="EY4" s="1004"/>
      <c r="EZ4" s="1004"/>
      <c r="FA4" s="1004"/>
      <c r="FB4" s="1004"/>
      <c r="FC4" s="1004"/>
      <c r="FD4" s="1004"/>
      <c r="FE4" s="1004"/>
      <c r="FF4" s="1004"/>
      <c r="FG4" s="1004"/>
      <c r="FH4" s="1004"/>
      <c r="FI4" s="1004"/>
      <c r="FJ4" s="1004"/>
      <c r="FK4" s="1004"/>
      <c r="FL4" s="1004"/>
      <c r="FM4" s="1004"/>
      <c r="FN4" s="1004"/>
      <c r="FO4" s="1004"/>
      <c r="FP4" s="1004"/>
      <c r="FQ4" s="1004"/>
      <c r="FR4" s="1004"/>
      <c r="FS4" s="1004"/>
      <c r="FT4" s="1004"/>
      <c r="FU4" s="1004"/>
      <c r="FV4" s="1004"/>
      <c r="FW4" s="1004"/>
      <c r="FX4" s="1004"/>
      <c r="FY4" s="1004"/>
      <c r="FZ4" s="1004"/>
      <c r="GA4" s="1004"/>
      <c r="GB4" s="1004"/>
      <c r="GC4" s="1004"/>
      <c r="GD4" s="1004"/>
      <c r="GE4" s="1004"/>
      <c r="GF4" s="1004"/>
      <c r="GG4" s="1004"/>
      <c r="GH4" s="1004"/>
      <c r="GI4" s="1004"/>
      <c r="GJ4" s="1004"/>
      <c r="GK4" s="1004"/>
      <c r="GL4" s="1004"/>
      <c r="GM4" s="1004"/>
      <c r="GN4" s="1004"/>
      <c r="GO4" s="1004"/>
      <c r="GP4" s="1004"/>
      <c r="GQ4" s="1004"/>
      <c r="GR4" s="1004"/>
      <c r="GS4" s="1004"/>
      <c r="GT4" s="1004"/>
      <c r="GU4" s="1004"/>
      <c r="GV4" s="1004"/>
      <c r="GW4" s="1004"/>
      <c r="GX4" s="1004"/>
      <c r="GY4" s="1004"/>
      <c r="GZ4" s="1004"/>
      <c r="HA4" s="1004"/>
      <c r="HB4" s="1004"/>
      <c r="HC4" s="1004"/>
      <c r="HD4" s="1004"/>
      <c r="HE4" s="1004"/>
      <c r="HF4" s="1004"/>
      <c r="HG4" s="1004"/>
      <c r="HH4" s="1004"/>
      <c r="HI4" s="1004"/>
      <c r="HJ4" s="1004"/>
      <c r="HK4" s="1004"/>
      <c r="HL4" s="1004"/>
      <c r="HM4" s="1004"/>
      <c r="HN4" s="1004"/>
      <c r="HO4" s="1004"/>
      <c r="HP4" s="1004"/>
      <c r="HQ4" s="1004"/>
      <c r="HR4" s="1004"/>
      <c r="HS4" s="1004"/>
      <c r="HT4" s="1004"/>
      <c r="HU4" s="1004"/>
      <c r="HV4" s="1004"/>
      <c r="HW4" s="1004"/>
      <c r="HX4" s="1004"/>
      <c r="HY4" s="1004"/>
      <c r="HZ4" s="1004"/>
      <c r="IA4" s="1004"/>
      <c r="IB4" s="1004"/>
      <c r="IC4" s="1004"/>
      <c r="ID4" s="1004"/>
      <c r="IE4" s="1004"/>
      <c r="IF4" s="1004"/>
      <c r="IG4" s="1004"/>
      <c r="IH4" s="1004"/>
      <c r="II4" s="1004"/>
      <c r="IJ4" s="1004"/>
      <c r="IK4" s="1004"/>
      <c r="IL4" s="1004"/>
      <c r="IM4" s="1004"/>
      <c r="IN4" s="1004"/>
      <c r="IO4" s="1004"/>
      <c r="IP4" s="1004"/>
      <c r="IQ4" s="1004"/>
      <c r="IR4" s="1004"/>
      <c r="IS4" s="1004"/>
      <c r="IT4" s="1004"/>
      <c r="IU4" s="1004"/>
      <c r="IV4" s="1004"/>
      <c r="IW4" s="1004"/>
      <c r="IX4" s="1004"/>
      <c r="IY4" s="1004"/>
      <c r="IZ4" s="1004"/>
      <c r="JA4" s="1004"/>
      <c r="JB4" s="1004"/>
      <c r="JC4" s="1004"/>
      <c r="JD4" s="1004"/>
      <c r="JE4" s="1004"/>
      <c r="JF4" s="1004"/>
      <c r="JG4" s="1004"/>
      <c r="JH4" s="1004"/>
      <c r="JI4" s="1004"/>
      <c r="JJ4" s="1004"/>
      <c r="JK4" s="1004"/>
      <c r="JL4" s="1004"/>
      <c r="JM4" s="1004"/>
      <c r="JN4" s="1004"/>
      <c r="JO4" s="1004"/>
      <c r="JP4" s="1004"/>
      <c r="JQ4" s="1004"/>
      <c r="JR4" s="1004"/>
      <c r="JS4" s="1004"/>
      <c r="JT4" s="1004"/>
      <c r="JU4" s="1004"/>
      <c r="JV4" s="1004"/>
      <c r="JW4" s="1004"/>
      <c r="JX4" s="1004"/>
      <c r="JY4" s="1004"/>
      <c r="JZ4" s="1004"/>
      <c r="KA4" s="1004"/>
      <c r="KB4" s="1004"/>
      <c r="KC4" s="1004"/>
      <c r="KD4" s="1004"/>
      <c r="KE4" s="1004"/>
      <c r="KF4" s="1004"/>
      <c r="KG4" s="1004"/>
      <c r="KH4" s="1004"/>
      <c r="KI4" s="1004"/>
      <c r="KJ4" s="1004"/>
      <c r="KK4" s="1004"/>
      <c r="KL4" s="1004"/>
      <c r="KM4" s="1004"/>
      <c r="KN4" s="1004"/>
      <c r="KO4" s="1004"/>
      <c r="KP4" s="1004"/>
      <c r="KQ4" s="1004"/>
      <c r="KR4" s="1004"/>
      <c r="KS4" s="1004"/>
      <c r="KT4" s="1004"/>
      <c r="KU4" s="1004"/>
      <c r="KV4" s="1004"/>
      <c r="KW4" s="1004"/>
      <c r="KX4" s="1004"/>
      <c r="KY4" s="1004"/>
      <c r="KZ4" s="1004"/>
      <c r="LA4" s="1004"/>
      <c r="LB4" s="1004"/>
      <c r="LC4" s="1004"/>
      <c r="LD4" s="1004"/>
      <c r="LE4" s="1004"/>
      <c r="LF4" s="1004"/>
      <c r="LG4" s="1004"/>
      <c r="LH4" s="1004"/>
      <c r="LI4" s="1004"/>
      <c r="LJ4" s="1004"/>
      <c r="LK4" s="1004"/>
      <c r="LL4" s="1004"/>
      <c r="LM4" s="1004"/>
      <c r="LN4" s="1004"/>
      <c r="LO4" s="1004"/>
      <c r="LP4" s="1004"/>
      <c r="LQ4" s="1004"/>
      <c r="LR4" s="1004"/>
      <c r="LS4" s="1004"/>
      <c r="LT4" s="1004"/>
      <c r="LU4" s="1004"/>
      <c r="LV4" s="1004"/>
      <c r="LW4" s="1004"/>
      <c r="LX4" s="1004"/>
      <c r="LY4" s="1004"/>
      <c r="LZ4" s="1004"/>
      <c r="MA4" s="1004"/>
      <c r="MB4" s="1004"/>
      <c r="MC4" s="1004"/>
      <c r="MD4" s="1004"/>
      <c r="ME4" s="1004"/>
      <c r="MF4" s="1004"/>
      <c r="MG4" s="1004"/>
      <c r="MH4" s="1004"/>
      <c r="MI4" s="1004"/>
      <c r="MJ4" s="1004"/>
      <c r="MK4" s="1004"/>
      <c r="ML4" s="1004"/>
      <c r="MM4" s="1004"/>
      <c r="MN4" s="1004"/>
      <c r="MO4" s="1004"/>
      <c r="MP4" s="1004"/>
      <c r="MQ4" s="1004"/>
      <c r="MR4" s="1004"/>
      <c r="MS4" s="1004"/>
      <c r="MT4" s="1004"/>
      <c r="MU4" s="1004"/>
      <c r="MV4" s="1004"/>
      <c r="MW4" s="1004"/>
      <c r="MX4" s="1004"/>
      <c r="MY4" s="1004"/>
      <c r="MZ4" s="1004"/>
      <c r="NA4" s="1004"/>
      <c r="NB4" s="1004"/>
      <c r="NC4" s="1004"/>
      <c r="ND4" s="1004"/>
      <c r="NE4" s="1004"/>
      <c r="NF4" s="1004"/>
      <c r="NG4" s="1004"/>
      <c r="NH4" s="1004"/>
      <c r="NI4" s="1004"/>
      <c r="NJ4" s="1004"/>
      <c r="NK4" s="1004"/>
      <c r="NL4" s="1004"/>
      <c r="NM4" s="1004"/>
      <c r="NN4" s="1004"/>
      <c r="NO4" s="1004"/>
      <c r="NP4" s="1004"/>
      <c r="NQ4" s="1004"/>
      <c r="NR4" s="1004"/>
      <c r="NS4" s="1004"/>
      <c r="NT4" s="1004"/>
      <c r="NU4" s="1004"/>
      <c r="NV4" s="1004"/>
      <c r="NW4" s="1004"/>
      <c r="NX4" s="1004"/>
      <c r="NY4" s="1004"/>
      <c r="NZ4" s="1004"/>
      <c r="OA4" s="1004"/>
      <c r="OB4" s="1004"/>
      <c r="OC4" s="1004"/>
      <c r="OD4" s="1004"/>
      <c r="OE4" s="1004"/>
      <c r="OF4" s="1004"/>
      <c r="OG4" s="1004"/>
      <c r="OH4" s="1004"/>
      <c r="OI4" s="1004"/>
      <c r="OJ4" s="1004"/>
      <c r="OK4" s="1004"/>
      <c r="OL4" s="1004"/>
      <c r="OM4" s="1004"/>
      <c r="ON4" s="1004"/>
      <c r="OO4" s="1004"/>
      <c r="OP4" s="1004"/>
      <c r="OQ4" s="1004"/>
      <c r="OR4" s="1004"/>
      <c r="OS4" s="1004"/>
      <c r="OT4" s="1004"/>
      <c r="OU4" s="1004"/>
      <c r="OV4" s="1004"/>
      <c r="OW4" s="1004"/>
      <c r="OX4" s="1004"/>
      <c r="OY4" s="1004"/>
      <c r="OZ4" s="1004"/>
      <c r="PA4" s="1004"/>
      <c r="PB4" s="1004"/>
      <c r="PC4" s="1004"/>
      <c r="PD4" s="1004"/>
      <c r="PE4" s="1004"/>
      <c r="PF4" s="1004"/>
      <c r="PG4" s="1004"/>
      <c r="PH4" s="1004"/>
      <c r="PI4" s="1004"/>
      <c r="PJ4" s="1004"/>
      <c r="PK4" s="1004"/>
      <c r="PL4" s="1004"/>
      <c r="PM4" s="1004"/>
      <c r="PN4" s="1004"/>
      <c r="PO4" s="1004"/>
      <c r="PP4" s="1004"/>
      <c r="PQ4" s="1004"/>
      <c r="PR4" s="1004"/>
      <c r="PS4" s="1004"/>
      <c r="PT4" s="1004"/>
      <c r="PU4" s="1004"/>
      <c r="PV4" s="1004"/>
      <c r="PW4" s="1004"/>
      <c r="PX4" s="1004"/>
      <c r="PY4" s="1004"/>
      <c r="PZ4" s="1004"/>
      <c r="QA4" s="1004"/>
      <c r="QB4" s="1004"/>
      <c r="QC4" s="1004"/>
      <c r="QD4" s="1004"/>
      <c r="QE4" s="1004"/>
      <c r="QF4" s="1004"/>
      <c r="QG4" s="1004"/>
      <c r="QH4" s="1004"/>
      <c r="QI4" s="1004"/>
      <c r="QJ4" s="1004"/>
      <c r="QK4" s="1004"/>
      <c r="QL4" s="1004"/>
      <c r="QM4" s="1004"/>
      <c r="QN4" s="1004"/>
      <c r="QO4" s="1004"/>
      <c r="QP4" s="1004"/>
      <c r="QQ4" s="1004"/>
      <c r="QR4" s="1004"/>
      <c r="QS4" s="1004"/>
      <c r="QT4" s="1004"/>
      <c r="QU4" s="1004"/>
      <c r="QV4" s="1004"/>
      <c r="QW4" s="1004"/>
      <c r="QX4" s="1004"/>
      <c r="QY4" s="1004"/>
      <c r="QZ4" s="1004"/>
      <c r="RA4" s="1004"/>
      <c r="RB4" s="1004"/>
      <c r="RC4" s="1004"/>
      <c r="RD4" s="1004"/>
      <c r="RE4" s="1004"/>
      <c r="RF4" s="1004"/>
      <c r="RG4" s="1004"/>
      <c r="RH4" s="1004"/>
      <c r="RI4" s="1004"/>
      <c r="RJ4" s="1004"/>
      <c r="RK4" s="1004"/>
      <c r="RL4" s="1004"/>
      <c r="RM4" s="1004"/>
      <c r="RN4" s="1004"/>
      <c r="RO4" s="1004"/>
      <c r="RP4" s="1004"/>
      <c r="RQ4" s="1004"/>
      <c r="RR4" s="1004"/>
      <c r="RS4" s="1004"/>
      <c r="RT4" s="1004"/>
      <c r="RU4" s="1004"/>
      <c r="RV4" s="1004"/>
      <c r="RW4" s="1004"/>
      <c r="RX4" s="1004"/>
      <c r="RY4" s="1004"/>
      <c r="RZ4" s="1004"/>
      <c r="SA4" s="1004"/>
      <c r="SB4" s="1004"/>
      <c r="SC4" s="1004"/>
      <c r="SD4" s="1004"/>
      <c r="SE4" s="1004"/>
      <c r="SF4" s="1004"/>
      <c r="SG4" s="1004"/>
      <c r="SH4" s="1004"/>
      <c r="SI4" s="1004"/>
      <c r="SJ4" s="1004"/>
      <c r="SK4" s="1004"/>
      <c r="SL4" s="1004"/>
      <c r="SM4" s="1004"/>
      <c r="SN4" s="1004"/>
      <c r="SO4" s="1004"/>
      <c r="SP4" s="1004"/>
      <c r="SQ4" s="1004"/>
      <c r="SR4" s="1004"/>
      <c r="SS4" s="1004"/>
      <c r="ST4" s="1004"/>
      <c r="SU4" s="1004"/>
      <c r="SV4" s="1004"/>
      <c r="SW4" s="1004"/>
      <c r="SX4" s="1004"/>
      <c r="SY4" s="1004"/>
      <c r="SZ4" s="1004"/>
      <c r="TA4" s="1004"/>
      <c r="TB4" s="1004"/>
      <c r="TC4" s="1004"/>
      <c r="TD4" s="1004"/>
      <c r="TE4" s="1004"/>
      <c r="TF4" s="1004"/>
      <c r="TG4" s="1004"/>
      <c r="TH4" s="1004"/>
      <c r="TI4" s="1004"/>
      <c r="TJ4" s="1004"/>
      <c r="TK4" s="1004"/>
      <c r="TL4" s="1004"/>
      <c r="TM4" s="1004"/>
      <c r="TN4" s="1004"/>
      <c r="TO4" s="1004"/>
      <c r="TP4" s="1004"/>
      <c r="TQ4" s="1004"/>
      <c r="TR4" s="1004"/>
      <c r="TS4" s="1004"/>
      <c r="TT4" s="1004"/>
      <c r="TU4" s="1004"/>
      <c r="TV4" s="1004"/>
      <c r="TW4" s="1004"/>
      <c r="TX4" s="1004"/>
      <c r="TY4" s="1004"/>
      <c r="TZ4" s="1004"/>
      <c r="UA4" s="1004"/>
      <c r="UB4" s="1004"/>
      <c r="UC4" s="1004"/>
      <c r="UD4" s="1004"/>
      <c r="UE4" s="1004"/>
      <c r="UF4" s="1004"/>
      <c r="UG4" s="1004"/>
      <c r="UH4" s="1004"/>
      <c r="UI4" s="1004"/>
      <c r="UJ4" s="1004"/>
      <c r="UK4" s="1004"/>
      <c r="UL4" s="1004"/>
      <c r="UM4" s="1004"/>
      <c r="UN4" s="1004"/>
      <c r="UO4" s="1004"/>
      <c r="UP4" s="1004"/>
      <c r="UQ4" s="1004"/>
      <c r="UR4" s="1004"/>
      <c r="US4" s="1004"/>
      <c r="UT4" s="1004"/>
      <c r="UU4" s="1004"/>
      <c r="UV4" s="1004"/>
      <c r="UW4" s="1004"/>
      <c r="UX4" s="1004"/>
      <c r="UY4" s="1004"/>
      <c r="UZ4" s="1004"/>
      <c r="VA4" s="1004"/>
      <c r="VB4" s="1004"/>
      <c r="VC4" s="1004"/>
      <c r="VD4" s="1004"/>
      <c r="VE4" s="1004"/>
      <c r="VF4" s="1004"/>
      <c r="VG4" s="1004"/>
      <c r="VH4" s="1004"/>
      <c r="VI4" s="1004"/>
      <c r="VJ4" s="1004"/>
      <c r="VK4" s="1004"/>
      <c r="VL4" s="1004"/>
      <c r="VM4" s="1004"/>
      <c r="VN4" s="1004"/>
      <c r="VO4" s="1004"/>
      <c r="VP4" s="1004"/>
      <c r="VQ4" s="1004"/>
      <c r="VR4" s="1004"/>
      <c r="VS4" s="1004"/>
      <c r="VT4" s="1004"/>
      <c r="VU4" s="1004"/>
      <c r="VV4" s="1004"/>
      <c r="VW4" s="1004"/>
      <c r="VX4" s="1004"/>
      <c r="VY4" s="1004"/>
      <c r="VZ4" s="1004"/>
      <c r="WA4" s="1004"/>
      <c r="WB4" s="1004"/>
      <c r="WC4" s="1004"/>
      <c r="WD4" s="1004"/>
      <c r="WE4" s="1004"/>
      <c r="WF4" s="1004"/>
      <c r="WG4" s="1004"/>
      <c r="WH4" s="1004"/>
      <c r="WI4" s="1004"/>
      <c r="WJ4" s="1004"/>
      <c r="WK4" s="1004"/>
      <c r="WL4" s="1004"/>
      <c r="WM4" s="1004"/>
      <c r="WN4" s="1004"/>
      <c r="WO4" s="1004"/>
      <c r="WP4" s="1004"/>
      <c r="WQ4" s="1004"/>
      <c r="WR4" s="1004"/>
      <c r="WS4" s="1004"/>
      <c r="WT4" s="1004"/>
      <c r="WU4" s="1004"/>
      <c r="WV4" s="1004"/>
      <c r="WW4" s="1004"/>
      <c r="WX4" s="1004"/>
      <c r="WY4" s="1004"/>
      <c r="WZ4" s="1004"/>
      <c r="XA4" s="1004"/>
      <c r="XB4" s="1004"/>
      <c r="XC4" s="1004"/>
      <c r="XD4" s="1004"/>
      <c r="XE4" s="1004"/>
      <c r="XF4" s="1004"/>
      <c r="XG4" s="1004"/>
      <c r="XH4" s="1004"/>
      <c r="XI4" s="1004"/>
      <c r="XJ4" s="1004"/>
      <c r="XK4" s="1004"/>
      <c r="XL4" s="1004"/>
      <c r="XM4" s="1004"/>
      <c r="XN4" s="1004"/>
      <c r="XO4" s="1004"/>
      <c r="XP4" s="1004"/>
      <c r="XQ4" s="1004"/>
      <c r="XR4" s="1004"/>
      <c r="XS4" s="1004"/>
      <c r="XT4" s="1004"/>
      <c r="XU4" s="1004"/>
      <c r="XV4" s="1004"/>
      <c r="XW4" s="1004"/>
      <c r="XX4" s="1004"/>
      <c r="XY4" s="1004"/>
      <c r="XZ4" s="1004"/>
      <c r="YA4" s="1004"/>
      <c r="YB4" s="1004"/>
      <c r="YC4" s="1004"/>
      <c r="YD4" s="1004"/>
      <c r="YE4" s="1004"/>
      <c r="YF4" s="1004"/>
      <c r="YG4" s="1004"/>
      <c r="YH4" s="1004"/>
      <c r="YI4" s="1004"/>
      <c r="YJ4" s="1004"/>
      <c r="YK4" s="1004"/>
      <c r="YL4" s="1004"/>
      <c r="YM4" s="1004"/>
      <c r="YN4" s="1004"/>
      <c r="YO4" s="1004"/>
      <c r="YP4" s="1004"/>
      <c r="YQ4" s="1004"/>
      <c r="YR4" s="1004"/>
      <c r="YS4" s="1004"/>
      <c r="YT4" s="1004"/>
      <c r="YU4" s="1004"/>
      <c r="YV4" s="1004"/>
      <c r="YW4" s="1004"/>
      <c r="YX4" s="1004"/>
      <c r="YY4" s="1004"/>
      <c r="YZ4" s="1004"/>
      <c r="ZA4" s="1004"/>
      <c r="ZB4" s="1004"/>
      <c r="ZC4" s="1004"/>
      <c r="ZD4" s="1004"/>
      <c r="ZE4" s="1004"/>
      <c r="ZF4" s="1004"/>
      <c r="ZG4" s="1004"/>
      <c r="ZH4" s="1004"/>
      <c r="ZI4" s="1004"/>
      <c r="ZJ4" s="1004"/>
      <c r="ZK4" s="1004"/>
      <c r="ZL4" s="1004"/>
      <c r="ZM4" s="1004"/>
      <c r="ZN4" s="1004"/>
      <c r="ZO4" s="1004"/>
      <c r="ZP4" s="1004"/>
      <c r="ZQ4" s="1004"/>
      <c r="ZR4" s="1004"/>
      <c r="ZS4" s="1004"/>
      <c r="ZT4" s="1004"/>
      <c r="ZU4" s="1004"/>
      <c r="ZV4" s="1004"/>
      <c r="ZW4" s="1004"/>
      <c r="ZX4" s="1004"/>
      <c r="ZY4" s="1004"/>
      <c r="ZZ4" s="1004"/>
      <c r="AAA4" s="1004"/>
      <c r="AAB4" s="1004"/>
      <c r="AAC4" s="1004"/>
      <c r="AAD4" s="1004"/>
      <c r="AAE4" s="1004"/>
      <c r="AAF4" s="1004"/>
      <c r="AAG4" s="1004"/>
      <c r="AAH4" s="1004"/>
      <c r="AAI4" s="1004"/>
      <c r="AAJ4" s="1004"/>
      <c r="AAK4" s="1004"/>
      <c r="AAL4" s="1004"/>
      <c r="AAM4" s="1004"/>
      <c r="AAN4" s="1004"/>
      <c r="AAO4" s="1004"/>
      <c r="AAP4" s="1004"/>
      <c r="AAQ4" s="1004"/>
      <c r="AAR4" s="1004"/>
      <c r="AAS4" s="1004"/>
      <c r="AAT4" s="1004"/>
      <c r="AAU4" s="1004"/>
      <c r="AAV4" s="1004"/>
      <c r="AAW4" s="1004"/>
      <c r="AAX4" s="1004"/>
      <c r="AAY4" s="1004"/>
      <c r="AAZ4" s="1004"/>
      <c r="ABA4" s="1004"/>
      <c r="ABB4" s="1004"/>
      <c r="ABC4" s="1004"/>
      <c r="ABD4" s="1004"/>
      <c r="ABE4" s="1004"/>
      <c r="ABF4" s="1004"/>
      <c r="ABG4" s="1004"/>
      <c r="ABH4" s="1004"/>
      <c r="ABI4" s="1004"/>
      <c r="ABJ4" s="1004"/>
      <c r="ABK4" s="1004"/>
      <c r="ABL4" s="1004"/>
      <c r="ABM4" s="1004"/>
      <c r="ABN4" s="1004"/>
      <c r="ABO4" s="1004"/>
      <c r="ABP4" s="1004"/>
      <c r="ABQ4" s="1004"/>
      <c r="ABR4" s="1004"/>
    </row>
    <row r="5" spans="1:746" s="1" customFormat="1" ht="3" customHeight="1" thickBot="1">
      <c r="A5" s="923"/>
      <c r="B5" s="157"/>
      <c r="C5" s="152"/>
      <c r="D5" s="153"/>
      <c r="E5" s="153"/>
      <c r="F5" s="147"/>
      <c r="G5" s="160"/>
      <c r="H5" s="160"/>
      <c r="I5" s="2567"/>
      <c r="J5" s="146"/>
      <c r="K5" s="154"/>
      <c r="L5" s="154"/>
      <c r="M5" s="154"/>
      <c r="N5" s="154"/>
      <c r="O5" s="154"/>
      <c r="P5" s="154"/>
      <c r="Q5" s="154"/>
      <c r="R5" s="154"/>
      <c r="S5" s="154"/>
      <c r="T5" s="973"/>
      <c r="U5" s="974"/>
      <c r="V5" s="155"/>
      <c r="W5" s="154"/>
      <c r="X5" s="154"/>
      <c r="Y5" s="154"/>
      <c r="Z5" s="154"/>
      <c r="AA5" s="154"/>
      <c r="AB5" s="154"/>
      <c r="AC5" s="154"/>
      <c r="AD5" s="154"/>
      <c r="AE5" s="154"/>
      <c r="AF5" s="165"/>
      <c r="AG5" s="94"/>
      <c r="AH5" s="112"/>
      <c r="AI5" s="112"/>
      <c r="AJ5" s="2041" t="s">
        <v>1112</v>
      </c>
      <c r="AK5" s="414"/>
      <c r="AL5" s="2051" t="s">
        <v>1112</v>
      </c>
      <c r="AM5" s="1004"/>
      <c r="AN5" s="1007"/>
      <c r="AO5" s="1927"/>
      <c r="AP5" s="948"/>
      <c r="AQ5" s="948"/>
      <c r="AR5" s="1913"/>
      <c r="AS5" s="1913"/>
      <c r="AT5" s="1913"/>
      <c r="AU5" s="1913"/>
      <c r="AV5" s="1913"/>
      <c r="AW5" s="1913"/>
      <c r="AX5" s="1913"/>
      <c r="AY5" s="1913"/>
      <c r="AZ5" s="1913"/>
      <c r="BA5" s="1913"/>
      <c r="BB5" s="1913"/>
      <c r="BC5" s="1913"/>
      <c r="BD5" s="1913"/>
      <c r="BE5" s="1913"/>
      <c r="BF5" s="1913"/>
      <c r="BG5" s="1913"/>
      <c r="BH5" s="1913"/>
      <c r="BI5" s="1913"/>
      <c r="BJ5" s="1913"/>
      <c r="BK5" s="1913"/>
      <c r="BL5" s="1913"/>
      <c r="BM5" s="1913"/>
      <c r="BN5" s="1913"/>
      <c r="BO5" s="1913"/>
      <c r="BP5" s="1004"/>
      <c r="BQ5" s="1004"/>
      <c r="BR5" s="1004"/>
      <c r="BS5" s="1004"/>
      <c r="BT5" s="1004"/>
      <c r="BU5" s="1004"/>
      <c r="BV5" s="1004"/>
      <c r="BW5" s="1004"/>
      <c r="BX5" s="1004"/>
      <c r="BY5" s="1004"/>
      <c r="BZ5" s="1004"/>
      <c r="CA5" s="1004"/>
      <c r="CB5" s="1004"/>
      <c r="CC5" s="1004"/>
      <c r="CD5" s="1004"/>
      <c r="CE5" s="1004"/>
      <c r="CF5" s="1004"/>
      <c r="CG5" s="1004"/>
      <c r="CH5" s="1004"/>
      <c r="CI5" s="1004"/>
      <c r="CJ5" s="1004"/>
      <c r="CK5" s="1004"/>
      <c r="CL5" s="1004"/>
      <c r="CM5" s="1004"/>
      <c r="CN5" s="1004"/>
      <c r="CO5" s="1004"/>
      <c r="CP5" s="1004"/>
      <c r="CQ5" s="1004"/>
      <c r="CR5" s="1004"/>
      <c r="CS5" s="1004"/>
      <c r="CT5" s="1004"/>
      <c r="CU5" s="1004"/>
      <c r="CV5" s="1004"/>
      <c r="CW5" s="1004"/>
      <c r="CX5" s="1004"/>
      <c r="CY5" s="1004"/>
      <c r="CZ5" s="1004"/>
      <c r="DA5" s="1004"/>
      <c r="DB5" s="1004"/>
      <c r="DC5" s="1004"/>
      <c r="DD5" s="1004"/>
      <c r="DE5" s="1004"/>
      <c r="DF5" s="1004"/>
      <c r="DG5" s="1004"/>
      <c r="DH5" s="1004"/>
      <c r="DI5" s="1004"/>
      <c r="DJ5" s="1004"/>
      <c r="DK5" s="1004"/>
      <c r="DL5" s="1004"/>
      <c r="DM5" s="1004"/>
      <c r="DN5" s="1004"/>
      <c r="DO5" s="1004"/>
      <c r="DP5" s="1004"/>
      <c r="DQ5" s="1004"/>
      <c r="DR5" s="1004"/>
      <c r="DS5" s="1004"/>
      <c r="DT5" s="1004"/>
      <c r="DU5" s="1004"/>
      <c r="DV5" s="1004"/>
      <c r="DW5" s="1004"/>
      <c r="DX5" s="1004"/>
      <c r="DY5" s="1004"/>
      <c r="DZ5" s="1004"/>
      <c r="EA5" s="1004"/>
      <c r="EB5" s="1004"/>
      <c r="EC5" s="1004"/>
      <c r="ED5" s="1004"/>
      <c r="EE5" s="1004"/>
      <c r="EF5" s="1004"/>
      <c r="EG5" s="1004"/>
      <c r="EH5" s="1004"/>
      <c r="EI5" s="1004"/>
      <c r="EJ5" s="1004"/>
      <c r="EK5" s="1004"/>
      <c r="EL5" s="1004"/>
      <c r="EM5" s="1004"/>
      <c r="EN5" s="1004"/>
      <c r="EO5" s="1004"/>
      <c r="EP5" s="1004"/>
      <c r="EQ5" s="1004"/>
      <c r="ER5" s="1004"/>
      <c r="ES5" s="1004"/>
      <c r="ET5" s="1004"/>
      <c r="EU5" s="1004"/>
      <c r="EV5" s="1004"/>
      <c r="EW5" s="1004"/>
      <c r="EX5" s="1004"/>
      <c r="EY5" s="1004"/>
      <c r="EZ5" s="1004"/>
      <c r="FA5" s="1004"/>
      <c r="FB5" s="1004"/>
      <c r="FC5" s="1004"/>
      <c r="FD5" s="1004"/>
      <c r="FE5" s="1004"/>
      <c r="FF5" s="1004"/>
      <c r="FG5" s="1004"/>
      <c r="FH5" s="1004"/>
      <c r="FI5" s="1004"/>
      <c r="FJ5" s="1004"/>
      <c r="FK5" s="1004"/>
      <c r="FL5" s="1004"/>
      <c r="FM5" s="1004"/>
      <c r="FN5" s="1004"/>
      <c r="FO5" s="1004"/>
      <c r="FP5" s="1004"/>
      <c r="FQ5" s="1004"/>
      <c r="FR5" s="1004"/>
      <c r="FS5" s="1004"/>
      <c r="FT5" s="1004"/>
      <c r="FU5" s="1004"/>
      <c r="FV5" s="1004"/>
      <c r="FW5" s="1004"/>
      <c r="FX5" s="1004"/>
      <c r="FY5" s="1004"/>
      <c r="FZ5" s="1004"/>
      <c r="GA5" s="1004"/>
      <c r="GB5" s="1004"/>
      <c r="GC5" s="1004"/>
      <c r="GD5" s="1004"/>
      <c r="GE5" s="1004"/>
      <c r="GF5" s="1004"/>
      <c r="GG5" s="1004"/>
      <c r="GH5" s="1004"/>
      <c r="GI5" s="1004"/>
      <c r="GJ5" s="1004"/>
      <c r="GK5" s="1004"/>
      <c r="GL5" s="1004"/>
      <c r="GM5" s="1004"/>
      <c r="GN5" s="1004"/>
      <c r="GO5" s="1004"/>
      <c r="GP5" s="1004"/>
      <c r="GQ5" s="1004"/>
      <c r="GR5" s="1004"/>
      <c r="GS5" s="1004"/>
      <c r="GT5" s="1004"/>
      <c r="GU5" s="1004"/>
      <c r="GV5" s="1004"/>
      <c r="GW5" s="1004"/>
      <c r="GX5" s="1004"/>
      <c r="GY5" s="1004"/>
      <c r="GZ5" s="1004"/>
      <c r="HA5" s="1004"/>
      <c r="HB5" s="1004"/>
      <c r="HC5" s="1004"/>
      <c r="HD5" s="1004"/>
      <c r="HE5" s="1004"/>
      <c r="HF5" s="1004"/>
      <c r="HG5" s="1004"/>
      <c r="HH5" s="1004"/>
      <c r="HI5" s="1004"/>
      <c r="HJ5" s="1004"/>
      <c r="HK5" s="1004"/>
      <c r="HL5" s="1004"/>
      <c r="HM5" s="1004"/>
      <c r="HN5" s="1004"/>
      <c r="HO5" s="1004"/>
      <c r="HP5" s="1004"/>
      <c r="HQ5" s="1004"/>
      <c r="HR5" s="1004"/>
      <c r="HS5" s="1004"/>
      <c r="HT5" s="1004"/>
      <c r="HU5" s="1004"/>
      <c r="HV5" s="1004"/>
      <c r="HW5" s="1004"/>
      <c r="HX5" s="1004"/>
      <c r="HY5" s="1004"/>
      <c r="HZ5" s="1004"/>
      <c r="IA5" s="1004"/>
      <c r="IB5" s="1004"/>
      <c r="IC5" s="1004"/>
      <c r="ID5" s="1004"/>
      <c r="IE5" s="1004"/>
      <c r="IF5" s="1004"/>
      <c r="IG5" s="1004"/>
      <c r="IH5" s="1004"/>
      <c r="II5" s="1004"/>
      <c r="IJ5" s="1004"/>
      <c r="IK5" s="1004"/>
      <c r="IL5" s="1004"/>
      <c r="IM5" s="1004"/>
      <c r="IN5" s="1004"/>
      <c r="IO5" s="1004"/>
      <c r="IP5" s="1004"/>
      <c r="IQ5" s="1004"/>
      <c r="IR5" s="1004"/>
      <c r="IS5" s="1004"/>
      <c r="IT5" s="1004"/>
      <c r="IU5" s="1004"/>
      <c r="IV5" s="1004"/>
      <c r="IW5" s="1004"/>
      <c r="IX5" s="1004"/>
      <c r="IY5" s="1004"/>
      <c r="IZ5" s="1004"/>
      <c r="JA5" s="1004"/>
      <c r="JB5" s="1004"/>
      <c r="JC5" s="1004"/>
      <c r="JD5" s="1004"/>
      <c r="JE5" s="1004"/>
      <c r="JF5" s="1004"/>
      <c r="JG5" s="1004"/>
      <c r="JH5" s="1004"/>
      <c r="JI5" s="1004"/>
      <c r="JJ5" s="1004"/>
      <c r="JK5" s="1004"/>
      <c r="JL5" s="1004"/>
      <c r="JM5" s="1004"/>
      <c r="JN5" s="1004"/>
      <c r="JO5" s="1004"/>
      <c r="JP5" s="1004"/>
      <c r="JQ5" s="1004"/>
      <c r="JR5" s="1004"/>
      <c r="JS5" s="1004"/>
      <c r="JT5" s="1004"/>
      <c r="JU5" s="1004"/>
      <c r="JV5" s="1004"/>
      <c r="JW5" s="1004"/>
      <c r="JX5" s="1004"/>
      <c r="JY5" s="1004"/>
      <c r="JZ5" s="1004"/>
      <c r="KA5" s="1004"/>
      <c r="KB5" s="1004"/>
      <c r="KC5" s="1004"/>
      <c r="KD5" s="1004"/>
      <c r="KE5" s="1004"/>
      <c r="KF5" s="1004"/>
      <c r="KG5" s="1004"/>
      <c r="KH5" s="1004"/>
      <c r="KI5" s="1004"/>
      <c r="KJ5" s="1004"/>
      <c r="KK5" s="1004"/>
      <c r="KL5" s="1004"/>
      <c r="KM5" s="1004"/>
      <c r="KN5" s="1004"/>
      <c r="KO5" s="1004"/>
      <c r="KP5" s="1004"/>
      <c r="KQ5" s="1004"/>
      <c r="KR5" s="1004"/>
      <c r="KS5" s="1004"/>
      <c r="KT5" s="1004"/>
      <c r="KU5" s="1004"/>
      <c r="KV5" s="1004"/>
      <c r="KW5" s="1004"/>
      <c r="KX5" s="1004"/>
      <c r="KY5" s="1004"/>
      <c r="KZ5" s="1004"/>
      <c r="LA5" s="1004"/>
      <c r="LB5" s="1004"/>
      <c r="LC5" s="1004"/>
      <c r="LD5" s="1004"/>
      <c r="LE5" s="1004"/>
      <c r="LF5" s="1004"/>
      <c r="LG5" s="1004"/>
      <c r="LH5" s="1004"/>
      <c r="LI5" s="1004"/>
      <c r="LJ5" s="1004"/>
      <c r="LK5" s="1004"/>
      <c r="LL5" s="1004"/>
      <c r="LM5" s="1004"/>
      <c r="LN5" s="1004"/>
      <c r="LO5" s="1004"/>
      <c r="LP5" s="1004"/>
      <c r="LQ5" s="1004"/>
      <c r="LR5" s="1004"/>
      <c r="LS5" s="1004"/>
      <c r="LT5" s="1004"/>
      <c r="LU5" s="1004"/>
      <c r="LV5" s="1004"/>
      <c r="LW5" s="1004"/>
      <c r="LX5" s="1004"/>
      <c r="LY5" s="1004"/>
      <c r="LZ5" s="1004"/>
      <c r="MA5" s="1004"/>
      <c r="MB5" s="1004"/>
      <c r="MC5" s="1004"/>
      <c r="MD5" s="1004"/>
      <c r="ME5" s="1004"/>
      <c r="MF5" s="1004"/>
      <c r="MG5" s="1004"/>
      <c r="MH5" s="1004"/>
      <c r="MI5" s="1004"/>
      <c r="MJ5" s="1004"/>
      <c r="MK5" s="1004"/>
      <c r="ML5" s="1004"/>
      <c r="MM5" s="1004"/>
      <c r="MN5" s="1004"/>
      <c r="MO5" s="1004"/>
      <c r="MP5" s="1004"/>
      <c r="MQ5" s="1004"/>
      <c r="MR5" s="1004"/>
      <c r="MS5" s="1004"/>
      <c r="MT5" s="1004"/>
      <c r="MU5" s="1004"/>
      <c r="MV5" s="1004"/>
      <c r="MW5" s="1004"/>
      <c r="MX5" s="1004"/>
      <c r="MY5" s="1004"/>
      <c r="MZ5" s="1004"/>
      <c r="NA5" s="1004"/>
      <c r="NB5" s="1004"/>
      <c r="NC5" s="1004"/>
      <c r="ND5" s="1004"/>
      <c r="NE5" s="1004"/>
      <c r="NF5" s="1004"/>
      <c r="NG5" s="1004"/>
      <c r="NH5" s="1004"/>
      <c r="NI5" s="1004"/>
      <c r="NJ5" s="1004"/>
      <c r="NK5" s="1004"/>
      <c r="NL5" s="1004"/>
      <c r="NM5" s="1004"/>
      <c r="NN5" s="1004"/>
      <c r="NO5" s="1004"/>
      <c r="NP5" s="1004"/>
      <c r="NQ5" s="1004"/>
      <c r="NR5" s="1004"/>
      <c r="NS5" s="1004"/>
      <c r="NT5" s="1004"/>
      <c r="NU5" s="1004"/>
      <c r="NV5" s="1004"/>
      <c r="NW5" s="1004"/>
      <c r="NX5" s="1004"/>
      <c r="NY5" s="1004"/>
      <c r="NZ5" s="1004"/>
      <c r="OA5" s="1004"/>
      <c r="OB5" s="1004"/>
      <c r="OC5" s="1004"/>
      <c r="OD5" s="1004"/>
      <c r="OE5" s="1004"/>
      <c r="OF5" s="1004"/>
      <c r="OG5" s="1004"/>
      <c r="OH5" s="1004"/>
      <c r="OI5" s="1004"/>
      <c r="OJ5" s="1004"/>
      <c r="OK5" s="1004"/>
      <c r="OL5" s="1004"/>
      <c r="OM5" s="1004"/>
      <c r="ON5" s="1004"/>
      <c r="OO5" s="1004"/>
      <c r="OP5" s="1004"/>
      <c r="OQ5" s="1004"/>
      <c r="OR5" s="1004"/>
      <c r="OS5" s="1004"/>
      <c r="OT5" s="1004"/>
      <c r="OU5" s="1004"/>
      <c r="OV5" s="1004"/>
      <c r="OW5" s="1004"/>
      <c r="OX5" s="1004"/>
      <c r="OY5" s="1004"/>
      <c r="OZ5" s="1004"/>
      <c r="PA5" s="1004"/>
      <c r="PB5" s="1004"/>
      <c r="PC5" s="1004"/>
      <c r="PD5" s="1004"/>
      <c r="PE5" s="1004"/>
      <c r="PF5" s="1004"/>
      <c r="PG5" s="1004"/>
      <c r="PH5" s="1004"/>
      <c r="PI5" s="1004"/>
      <c r="PJ5" s="1004"/>
      <c r="PK5" s="1004"/>
      <c r="PL5" s="1004"/>
      <c r="PM5" s="1004"/>
      <c r="PN5" s="1004"/>
      <c r="PO5" s="1004"/>
      <c r="PP5" s="1004"/>
      <c r="PQ5" s="1004"/>
      <c r="PR5" s="1004"/>
      <c r="PS5" s="1004"/>
      <c r="PT5" s="1004"/>
      <c r="PU5" s="1004"/>
      <c r="PV5" s="1004"/>
      <c r="PW5" s="1004"/>
      <c r="PX5" s="1004"/>
      <c r="PY5" s="1004"/>
      <c r="PZ5" s="1004"/>
      <c r="QA5" s="1004"/>
      <c r="QB5" s="1004"/>
      <c r="QC5" s="1004"/>
      <c r="QD5" s="1004"/>
      <c r="QE5" s="1004"/>
      <c r="QF5" s="1004"/>
      <c r="QG5" s="1004"/>
      <c r="QH5" s="1004"/>
      <c r="QI5" s="1004"/>
      <c r="QJ5" s="1004"/>
      <c r="QK5" s="1004"/>
      <c r="QL5" s="1004"/>
      <c r="QM5" s="1004"/>
      <c r="QN5" s="1004"/>
      <c r="QO5" s="1004"/>
      <c r="QP5" s="1004"/>
      <c r="QQ5" s="1004"/>
      <c r="QR5" s="1004"/>
      <c r="QS5" s="1004"/>
      <c r="QT5" s="1004"/>
      <c r="QU5" s="1004"/>
      <c r="QV5" s="1004"/>
      <c r="QW5" s="1004"/>
      <c r="QX5" s="1004"/>
      <c r="QY5" s="1004"/>
      <c r="QZ5" s="1004"/>
      <c r="RA5" s="1004"/>
      <c r="RB5" s="1004"/>
      <c r="RC5" s="1004"/>
      <c r="RD5" s="1004"/>
      <c r="RE5" s="1004"/>
      <c r="RF5" s="1004"/>
      <c r="RG5" s="1004"/>
      <c r="RH5" s="1004"/>
      <c r="RI5" s="1004"/>
      <c r="RJ5" s="1004"/>
      <c r="RK5" s="1004"/>
      <c r="RL5" s="1004"/>
      <c r="RM5" s="1004"/>
      <c r="RN5" s="1004"/>
      <c r="RO5" s="1004"/>
      <c r="RP5" s="1004"/>
      <c r="RQ5" s="1004"/>
      <c r="RR5" s="1004"/>
      <c r="RS5" s="1004"/>
      <c r="RT5" s="1004"/>
      <c r="RU5" s="1004"/>
      <c r="RV5" s="1004"/>
      <c r="RW5" s="1004"/>
      <c r="RX5" s="1004"/>
      <c r="RY5" s="1004"/>
      <c r="RZ5" s="1004"/>
      <c r="SA5" s="1004"/>
      <c r="SB5" s="1004"/>
      <c r="SC5" s="1004"/>
      <c r="SD5" s="1004"/>
      <c r="SE5" s="1004"/>
      <c r="SF5" s="1004"/>
      <c r="SG5" s="1004"/>
      <c r="SH5" s="1004"/>
      <c r="SI5" s="1004"/>
      <c r="SJ5" s="1004"/>
      <c r="SK5" s="1004"/>
      <c r="SL5" s="1004"/>
      <c r="SM5" s="1004"/>
      <c r="SN5" s="1004"/>
      <c r="SO5" s="1004"/>
      <c r="SP5" s="1004"/>
      <c r="SQ5" s="1004"/>
      <c r="SR5" s="1004"/>
      <c r="SS5" s="1004"/>
      <c r="ST5" s="1004"/>
      <c r="SU5" s="1004"/>
      <c r="SV5" s="1004"/>
      <c r="SW5" s="1004"/>
      <c r="SX5" s="1004"/>
      <c r="SY5" s="1004"/>
      <c r="SZ5" s="1004"/>
      <c r="TA5" s="1004"/>
      <c r="TB5" s="1004"/>
      <c r="TC5" s="1004"/>
      <c r="TD5" s="1004"/>
      <c r="TE5" s="1004"/>
      <c r="TF5" s="1004"/>
      <c r="TG5" s="1004"/>
      <c r="TH5" s="1004"/>
      <c r="TI5" s="1004"/>
      <c r="TJ5" s="1004"/>
      <c r="TK5" s="1004"/>
      <c r="TL5" s="1004"/>
      <c r="TM5" s="1004"/>
      <c r="TN5" s="1004"/>
      <c r="TO5" s="1004"/>
      <c r="TP5" s="1004"/>
      <c r="TQ5" s="1004"/>
      <c r="TR5" s="1004"/>
      <c r="TS5" s="1004"/>
      <c r="TT5" s="1004"/>
      <c r="TU5" s="1004"/>
      <c r="TV5" s="1004"/>
      <c r="TW5" s="1004"/>
      <c r="TX5" s="1004"/>
      <c r="TY5" s="1004"/>
      <c r="TZ5" s="1004"/>
      <c r="UA5" s="1004"/>
      <c r="UB5" s="1004"/>
      <c r="UC5" s="1004"/>
      <c r="UD5" s="1004"/>
      <c r="UE5" s="1004"/>
      <c r="UF5" s="1004"/>
      <c r="UG5" s="1004"/>
      <c r="UH5" s="1004"/>
      <c r="UI5" s="1004"/>
      <c r="UJ5" s="1004"/>
      <c r="UK5" s="1004"/>
      <c r="UL5" s="1004"/>
      <c r="UM5" s="1004"/>
      <c r="UN5" s="1004"/>
      <c r="UO5" s="1004"/>
      <c r="UP5" s="1004"/>
      <c r="UQ5" s="1004"/>
      <c r="UR5" s="1004"/>
      <c r="US5" s="1004"/>
      <c r="UT5" s="1004"/>
      <c r="UU5" s="1004"/>
      <c r="UV5" s="1004"/>
      <c r="UW5" s="1004"/>
      <c r="UX5" s="1004"/>
      <c r="UY5" s="1004"/>
      <c r="UZ5" s="1004"/>
      <c r="VA5" s="1004"/>
      <c r="VB5" s="1004"/>
      <c r="VC5" s="1004"/>
      <c r="VD5" s="1004"/>
      <c r="VE5" s="1004"/>
      <c r="VF5" s="1004"/>
      <c r="VG5" s="1004"/>
      <c r="VH5" s="1004"/>
      <c r="VI5" s="1004"/>
      <c r="VJ5" s="1004"/>
      <c r="VK5" s="1004"/>
      <c r="VL5" s="1004"/>
      <c r="VM5" s="1004"/>
      <c r="VN5" s="1004"/>
      <c r="VO5" s="1004"/>
      <c r="VP5" s="1004"/>
      <c r="VQ5" s="1004"/>
      <c r="VR5" s="1004"/>
      <c r="VS5" s="1004"/>
      <c r="VT5" s="1004"/>
      <c r="VU5" s="1004"/>
      <c r="VV5" s="1004"/>
      <c r="VW5" s="1004"/>
      <c r="VX5" s="1004"/>
      <c r="VY5" s="1004"/>
      <c r="VZ5" s="1004"/>
      <c r="WA5" s="1004"/>
      <c r="WB5" s="1004"/>
      <c r="WC5" s="1004"/>
      <c r="WD5" s="1004"/>
      <c r="WE5" s="1004"/>
      <c r="WF5" s="1004"/>
      <c r="WG5" s="1004"/>
      <c r="WH5" s="1004"/>
      <c r="WI5" s="1004"/>
      <c r="WJ5" s="1004"/>
      <c r="WK5" s="1004"/>
      <c r="WL5" s="1004"/>
      <c r="WM5" s="1004"/>
      <c r="WN5" s="1004"/>
      <c r="WO5" s="1004"/>
      <c r="WP5" s="1004"/>
      <c r="WQ5" s="1004"/>
      <c r="WR5" s="1004"/>
      <c r="WS5" s="1004"/>
      <c r="WT5" s="1004"/>
      <c r="WU5" s="1004"/>
      <c r="WV5" s="1004"/>
      <c r="WW5" s="1004"/>
      <c r="WX5" s="1004"/>
      <c r="WY5" s="1004"/>
      <c r="WZ5" s="1004"/>
      <c r="XA5" s="1004"/>
      <c r="XB5" s="1004"/>
      <c r="XC5" s="1004"/>
      <c r="XD5" s="1004"/>
      <c r="XE5" s="1004"/>
      <c r="XF5" s="1004"/>
      <c r="XG5" s="1004"/>
      <c r="XH5" s="1004"/>
      <c r="XI5" s="1004"/>
      <c r="XJ5" s="1004"/>
      <c r="XK5" s="1004"/>
      <c r="XL5" s="1004"/>
      <c r="XM5" s="1004"/>
      <c r="XN5" s="1004"/>
      <c r="XO5" s="1004"/>
      <c r="XP5" s="1004"/>
      <c r="XQ5" s="1004"/>
      <c r="XR5" s="1004"/>
      <c r="XS5" s="1004"/>
      <c r="XT5" s="1004"/>
      <c r="XU5" s="1004"/>
      <c r="XV5" s="1004"/>
      <c r="XW5" s="1004"/>
      <c r="XX5" s="1004"/>
      <c r="XY5" s="1004"/>
      <c r="XZ5" s="1004"/>
      <c r="YA5" s="1004"/>
      <c r="YB5" s="1004"/>
      <c r="YC5" s="1004"/>
      <c r="YD5" s="1004"/>
      <c r="YE5" s="1004"/>
      <c r="YF5" s="1004"/>
      <c r="YG5" s="1004"/>
      <c r="YH5" s="1004"/>
      <c r="YI5" s="1004"/>
      <c r="YJ5" s="1004"/>
      <c r="YK5" s="1004"/>
      <c r="YL5" s="1004"/>
      <c r="YM5" s="1004"/>
      <c r="YN5" s="1004"/>
      <c r="YO5" s="1004"/>
      <c r="YP5" s="1004"/>
      <c r="YQ5" s="1004"/>
      <c r="YR5" s="1004"/>
      <c r="YS5" s="1004"/>
      <c r="YT5" s="1004"/>
      <c r="YU5" s="1004"/>
      <c r="YV5" s="1004"/>
      <c r="YW5" s="1004"/>
      <c r="YX5" s="1004"/>
      <c r="YY5" s="1004"/>
      <c r="YZ5" s="1004"/>
      <c r="ZA5" s="1004"/>
      <c r="ZB5" s="1004"/>
      <c r="ZC5" s="1004"/>
      <c r="ZD5" s="1004"/>
      <c r="ZE5" s="1004"/>
      <c r="ZF5" s="1004"/>
      <c r="ZG5" s="1004"/>
      <c r="ZH5" s="1004"/>
      <c r="ZI5" s="1004"/>
      <c r="ZJ5" s="1004"/>
      <c r="ZK5" s="1004"/>
      <c r="ZL5" s="1004"/>
      <c r="ZM5" s="1004"/>
      <c r="ZN5" s="1004"/>
      <c r="ZO5" s="1004"/>
      <c r="ZP5" s="1004"/>
      <c r="ZQ5" s="1004"/>
      <c r="ZR5" s="1004"/>
      <c r="ZS5" s="1004"/>
      <c r="ZT5" s="1004"/>
      <c r="ZU5" s="1004"/>
      <c r="ZV5" s="1004"/>
      <c r="ZW5" s="1004"/>
      <c r="ZX5" s="1004"/>
      <c r="ZY5" s="1004"/>
      <c r="ZZ5" s="1004"/>
      <c r="AAA5" s="1004"/>
      <c r="AAB5" s="1004"/>
      <c r="AAC5" s="1004"/>
      <c r="AAD5" s="1004"/>
      <c r="AAE5" s="1004"/>
      <c r="AAF5" s="1004"/>
      <c r="AAG5" s="1004"/>
      <c r="AAH5" s="1004"/>
      <c r="AAI5" s="1004"/>
      <c r="AAJ5" s="1004"/>
      <c r="AAK5" s="1004"/>
      <c r="AAL5" s="1004"/>
      <c r="AAM5" s="1004"/>
      <c r="AAN5" s="1004"/>
      <c r="AAO5" s="1004"/>
      <c r="AAP5" s="1004"/>
      <c r="AAQ5" s="1004"/>
      <c r="AAR5" s="1004"/>
      <c r="AAS5" s="1004"/>
      <c r="AAT5" s="1004"/>
      <c r="AAU5" s="1004"/>
      <c r="AAV5" s="1004"/>
      <c r="AAW5" s="1004"/>
      <c r="AAX5" s="1004"/>
      <c r="AAY5" s="1004"/>
      <c r="AAZ5" s="1004"/>
      <c r="ABA5" s="1004"/>
      <c r="ABB5" s="1004"/>
      <c r="ABC5" s="1004"/>
      <c r="ABD5" s="1004"/>
      <c r="ABE5" s="1004"/>
      <c r="ABF5" s="1004"/>
      <c r="ABG5" s="1004"/>
      <c r="ABH5" s="1004"/>
      <c r="ABI5" s="1004"/>
      <c r="ABJ5" s="1004"/>
      <c r="ABK5" s="1004"/>
      <c r="ABL5" s="1004"/>
      <c r="ABM5" s="1004"/>
      <c r="ABN5" s="1004"/>
      <c r="ABO5" s="1004"/>
      <c r="ABP5" s="1004"/>
      <c r="ABQ5" s="1004"/>
      <c r="ABR5" s="1004"/>
    </row>
    <row r="6" spans="1:746" s="1" customFormat="1" ht="12.9" customHeight="1" thickBot="1">
      <c r="A6" s="923"/>
      <c r="B6" s="157" t="s">
        <v>838</v>
      </c>
      <c r="C6" s="3042" t="s">
        <v>26</v>
      </c>
      <c r="D6" s="3043"/>
      <c r="E6" s="3043"/>
      <c r="F6" s="3044"/>
      <c r="G6" s="154"/>
      <c r="H6" s="2157"/>
      <c r="I6" s="2568">
        <v>1</v>
      </c>
      <c r="J6" s="1131">
        <v>2</v>
      </c>
      <c r="K6" s="1131">
        <v>3</v>
      </c>
      <c r="L6" s="1131">
        <v>4</v>
      </c>
      <c r="M6" s="1131">
        <v>5</v>
      </c>
      <c r="N6" s="1131">
        <v>6</v>
      </c>
      <c r="O6" s="258">
        <v>7</v>
      </c>
      <c r="P6" s="258">
        <v>8</v>
      </c>
      <c r="Q6" s="258">
        <v>9</v>
      </c>
      <c r="R6" s="258">
        <v>10</v>
      </c>
      <c r="S6" s="258">
        <v>11</v>
      </c>
      <c r="T6" s="258">
        <v>12</v>
      </c>
      <c r="U6" s="259">
        <v>13</v>
      </c>
      <c r="V6" s="259">
        <v>14</v>
      </c>
      <c r="W6" s="259">
        <v>15</v>
      </c>
      <c r="X6" s="259">
        <v>16</v>
      </c>
      <c r="Y6" s="259">
        <v>17</v>
      </c>
      <c r="Z6" s="259">
        <v>18</v>
      </c>
      <c r="AA6" s="259">
        <v>19</v>
      </c>
      <c r="AB6" s="259">
        <v>20</v>
      </c>
      <c r="AC6" s="259">
        <v>21</v>
      </c>
      <c r="AD6" s="259">
        <v>22</v>
      </c>
      <c r="AE6" s="259">
        <v>23</v>
      </c>
      <c r="AF6" s="259">
        <v>24</v>
      </c>
      <c r="AG6" s="2205"/>
      <c r="AH6" s="2"/>
      <c r="AI6" s="2"/>
      <c r="AJ6" s="2040" t="s">
        <v>1112</v>
      </c>
      <c r="AK6" s="415"/>
      <c r="AL6" s="2051" t="s">
        <v>1112</v>
      </c>
      <c r="AM6" s="1004"/>
      <c r="AN6" s="1008"/>
      <c r="AO6" s="2974" t="s">
        <v>1096</v>
      </c>
      <c r="AP6" s="2975"/>
      <c r="AQ6" s="2976"/>
      <c r="AR6" s="2287">
        <f t="shared" ref="AR6:BO8" si="0">I6</f>
        <v>1</v>
      </c>
      <c r="AS6" s="2287">
        <f t="shared" si="0"/>
        <v>2</v>
      </c>
      <c r="AT6" s="2287">
        <f t="shared" si="0"/>
        <v>3</v>
      </c>
      <c r="AU6" s="2287">
        <f t="shared" si="0"/>
        <v>4</v>
      </c>
      <c r="AV6" s="2287">
        <f t="shared" si="0"/>
        <v>5</v>
      </c>
      <c r="AW6" s="2287">
        <f t="shared" si="0"/>
        <v>6</v>
      </c>
      <c r="AX6" s="2287">
        <f t="shared" si="0"/>
        <v>7</v>
      </c>
      <c r="AY6" s="2287">
        <f t="shared" si="0"/>
        <v>8</v>
      </c>
      <c r="AZ6" s="2287">
        <f t="shared" si="0"/>
        <v>9</v>
      </c>
      <c r="BA6" s="2287">
        <f t="shared" si="0"/>
        <v>10</v>
      </c>
      <c r="BB6" s="2287">
        <f t="shared" si="0"/>
        <v>11</v>
      </c>
      <c r="BC6" s="2287">
        <f t="shared" si="0"/>
        <v>12</v>
      </c>
      <c r="BD6" s="2287">
        <f t="shared" si="0"/>
        <v>13</v>
      </c>
      <c r="BE6" s="2287">
        <f t="shared" si="0"/>
        <v>14</v>
      </c>
      <c r="BF6" s="2287">
        <f t="shared" si="0"/>
        <v>15</v>
      </c>
      <c r="BG6" s="2287">
        <f t="shared" si="0"/>
        <v>16</v>
      </c>
      <c r="BH6" s="2287">
        <f t="shared" si="0"/>
        <v>17</v>
      </c>
      <c r="BI6" s="2287">
        <f t="shared" si="0"/>
        <v>18</v>
      </c>
      <c r="BJ6" s="2287">
        <f t="shared" si="0"/>
        <v>19</v>
      </c>
      <c r="BK6" s="2287">
        <f t="shared" si="0"/>
        <v>20</v>
      </c>
      <c r="BL6" s="2287">
        <f t="shared" si="0"/>
        <v>21</v>
      </c>
      <c r="BM6" s="2287">
        <f t="shared" si="0"/>
        <v>22</v>
      </c>
      <c r="BN6" s="2287">
        <f t="shared" si="0"/>
        <v>23</v>
      </c>
      <c r="BO6" s="2287">
        <f t="shared" si="0"/>
        <v>24</v>
      </c>
      <c r="BP6" s="1004"/>
      <c r="BQ6" s="1004"/>
      <c r="BR6" s="1004"/>
      <c r="BS6" s="1004"/>
      <c r="BT6" s="1004"/>
      <c r="BU6" s="1004"/>
      <c r="BV6" s="1004"/>
      <c r="BW6" s="1004"/>
      <c r="BX6" s="1004"/>
      <c r="BY6" s="1004"/>
      <c r="BZ6" s="1004"/>
      <c r="CA6" s="1004"/>
      <c r="CB6" s="1004"/>
      <c r="CC6" s="1004"/>
      <c r="CD6" s="1004"/>
      <c r="CE6" s="1004"/>
      <c r="CF6" s="1004"/>
      <c r="CG6" s="1004"/>
      <c r="CH6" s="1004"/>
      <c r="CI6" s="1004"/>
      <c r="CJ6" s="1004"/>
      <c r="CK6" s="1004"/>
      <c r="CL6" s="1004"/>
      <c r="CM6" s="1004"/>
      <c r="CN6" s="1004"/>
      <c r="CO6" s="1004"/>
      <c r="CP6" s="1004"/>
      <c r="CQ6" s="1004"/>
      <c r="CR6" s="1004"/>
      <c r="CS6" s="1004"/>
      <c r="CT6" s="1004"/>
      <c r="CU6" s="1004"/>
      <c r="CV6" s="1004"/>
      <c r="CW6" s="1004"/>
      <c r="CX6" s="1004"/>
      <c r="CY6" s="1004"/>
      <c r="CZ6" s="1004"/>
      <c r="DA6" s="1004"/>
      <c r="DB6" s="1004"/>
      <c r="DC6" s="1004"/>
      <c r="DD6" s="1004"/>
      <c r="DE6" s="1004"/>
      <c r="DF6" s="1004"/>
      <c r="DG6" s="1004"/>
      <c r="DH6" s="1004"/>
      <c r="DI6" s="1004"/>
      <c r="DJ6" s="1004"/>
      <c r="DK6" s="1004"/>
      <c r="DL6" s="1004"/>
      <c r="DM6" s="1004"/>
      <c r="DN6" s="1004"/>
      <c r="DO6" s="1004"/>
      <c r="DP6" s="1004"/>
      <c r="DQ6" s="1004"/>
      <c r="DR6" s="1004"/>
      <c r="DS6" s="1004"/>
      <c r="DT6" s="1004"/>
      <c r="DU6" s="1004"/>
      <c r="DV6" s="1004"/>
      <c r="DW6" s="1004"/>
      <c r="DX6" s="1004"/>
      <c r="DY6" s="1004"/>
      <c r="DZ6" s="1004"/>
      <c r="EA6" s="1004"/>
      <c r="EB6" s="1004"/>
      <c r="EC6" s="1004"/>
      <c r="ED6" s="1004"/>
      <c r="EE6" s="1004"/>
      <c r="EF6" s="1004"/>
      <c r="EG6" s="1004"/>
      <c r="EH6" s="1004"/>
      <c r="EI6" s="1004"/>
      <c r="EJ6" s="1004"/>
      <c r="EK6" s="1004"/>
      <c r="EL6" s="1004"/>
      <c r="EM6" s="1004"/>
      <c r="EN6" s="1004"/>
      <c r="EO6" s="1004"/>
      <c r="EP6" s="1004"/>
      <c r="EQ6" s="1004"/>
      <c r="ER6" s="1004"/>
      <c r="ES6" s="1004"/>
      <c r="ET6" s="1004"/>
      <c r="EU6" s="1004"/>
      <c r="EV6" s="1004"/>
      <c r="EW6" s="1004"/>
      <c r="EX6" s="1004"/>
      <c r="EY6" s="1004"/>
      <c r="EZ6" s="1004"/>
      <c r="FA6" s="1004"/>
      <c r="FB6" s="1004"/>
      <c r="FC6" s="1004"/>
      <c r="FD6" s="1004"/>
      <c r="FE6" s="1004"/>
      <c r="FF6" s="1004"/>
      <c r="FG6" s="1004"/>
      <c r="FH6" s="1004"/>
      <c r="FI6" s="1004"/>
      <c r="FJ6" s="1004"/>
      <c r="FK6" s="1004"/>
      <c r="FL6" s="1004"/>
      <c r="FM6" s="1004"/>
      <c r="FN6" s="1004"/>
      <c r="FO6" s="1004"/>
      <c r="FP6" s="1004"/>
      <c r="FQ6" s="1004"/>
      <c r="FR6" s="1004"/>
      <c r="FS6" s="1004"/>
      <c r="FT6" s="1004"/>
      <c r="FU6" s="1004"/>
      <c r="FV6" s="1004"/>
      <c r="FW6" s="1004"/>
      <c r="FX6" s="1004"/>
      <c r="FY6" s="1004"/>
      <c r="FZ6" s="1004"/>
      <c r="GA6" s="1004"/>
      <c r="GB6" s="1004"/>
      <c r="GC6" s="1004"/>
      <c r="GD6" s="1004"/>
      <c r="GE6" s="1004"/>
      <c r="GF6" s="1004"/>
      <c r="GG6" s="1004"/>
      <c r="GH6" s="1004"/>
      <c r="GI6" s="1004"/>
      <c r="GJ6" s="1004"/>
      <c r="GK6" s="1004"/>
      <c r="GL6" s="1004"/>
      <c r="GM6" s="1004"/>
      <c r="GN6" s="1004"/>
      <c r="GO6" s="1004"/>
      <c r="GP6" s="1004"/>
      <c r="GQ6" s="1004"/>
      <c r="GR6" s="1004"/>
      <c r="GS6" s="1004"/>
      <c r="GT6" s="1004"/>
      <c r="GU6" s="1004"/>
      <c r="GV6" s="1004"/>
      <c r="GW6" s="1004"/>
      <c r="GX6" s="1004"/>
      <c r="GY6" s="1004"/>
      <c r="GZ6" s="1004"/>
      <c r="HA6" s="1004"/>
      <c r="HB6" s="1004"/>
      <c r="HC6" s="1004"/>
      <c r="HD6" s="1004"/>
      <c r="HE6" s="1004"/>
      <c r="HF6" s="1004"/>
      <c r="HG6" s="1004"/>
      <c r="HH6" s="1004"/>
      <c r="HI6" s="1004"/>
      <c r="HJ6" s="1004"/>
      <c r="HK6" s="1004"/>
      <c r="HL6" s="1004"/>
      <c r="HM6" s="1004"/>
      <c r="HN6" s="1004"/>
      <c r="HO6" s="1004"/>
      <c r="HP6" s="1004"/>
      <c r="HQ6" s="1004"/>
      <c r="HR6" s="1004"/>
      <c r="HS6" s="1004"/>
      <c r="HT6" s="1004"/>
      <c r="HU6" s="1004"/>
      <c r="HV6" s="1004"/>
      <c r="HW6" s="1004"/>
      <c r="HX6" s="1004"/>
      <c r="HY6" s="1004"/>
      <c r="HZ6" s="1004"/>
      <c r="IA6" s="1004"/>
      <c r="IB6" s="1004"/>
      <c r="IC6" s="1004"/>
      <c r="ID6" s="1004"/>
      <c r="IE6" s="1004"/>
      <c r="IF6" s="1004"/>
      <c r="IG6" s="1004"/>
      <c r="IH6" s="1004"/>
      <c r="II6" s="1004"/>
      <c r="IJ6" s="1004"/>
      <c r="IK6" s="1004"/>
      <c r="IL6" s="1004"/>
      <c r="IM6" s="1004"/>
      <c r="IN6" s="1004"/>
      <c r="IO6" s="1004"/>
      <c r="IP6" s="1004"/>
      <c r="IQ6" s="1004"/>
      <c r="IR6" s="1004"/>
      <c r="IS6" s="1004"/>
      <c r="IT6" s="1004"/>
      <c r="IU6" s="1004"/>
      <c r="IV6" s="1004"/>
      <c r="IW6" s="1004"/>
      <c r="IX6" s="1004"/>
      <c r="IY6" s="1004"/>
      <c r="IZ6" s="1004"/>
      <c r="JA6" s="1004"/>
      <c r="JB6" s="1004"/>
      <c r="JC6" s="1004"/>
      <c r="JD6" s="1004"/>
      <c r="JE6" s="1004"/>
      <c r="JF6" s="1004"/>
      <c r="JG6" s="1004"/>
      <c r="JH6" s="1004"/>
      <c r="JI6" s="1004"/>
      <c r="JJ6" s="1004"/>
      <c r="JK6" s="1004"/>
      <c r="JL6" s="1004"/>
      <c r="JM6" s="1004"/>
      <c r="JN6" s="1004"/>
      <c r="JO6" s="1004"/>
      <c r="JP6" s="1004"/>
      <c r="JQ6" s="1004"/>
      <c r="JR6" s="1004"/>
      <c r="JS6" s="1004"/>
      <c r="JT6" s="1004"/>
      <c r="JU6" s="1004"/>
      <c r="JV6" s="1004"/>
      <c r="JW6" s="1004"/>
      <c r="JX6" s="1004"/>
      <c r="JY6" s="1004"/>
      <c r="JZ6" s="1004"/>
      <c r="KA6" s="1004"/>
      <c r="KB6" s="1004"/>
      <c r="KC6" s="1004"/>
      <c r="KD6" s="1004"/>
      <c r="KE6" s="1004"/>
      <c r="KF6" s="1004"/>
      <c r="KG6" s="1004"/>
      <c r="KH6" s="1004"/>
      <c r="KI6" s="1004"/>
      <c r="KJ6" s="1004"/>
      <c r="KK6" s="1004"/>
      <c r="KL6" s="1004"/>
      <c r="KM6" s="1004"/>
      <c r="KN6" s="1004"/>
      <c r="KO6" s="1004"/>
      <c r="KP6" s="1004"/>
      <c r="KQ6" s="1004"/>
      <c r="KR6" s="1004"/>
      <c r="KS6" s="1004"/>
      <c r="KT6" s="1004"/>
      <c r="KU6" s="1004"/>
      <c r="KV6" s="1004"/>
      <c r="KW6" s="1004"/>
      <c r="KX6" s="1004"/>
      <c r="KY6" s="1004"/>
      <c r="KZ6" s="1004"/>
      <c r="LA6" s="1004"/>
      <c r="LB6" s="1004"/>
      <c r="LC6" s="1004"/>
      <c r="LD6" s="1004"/>
      <c r="LE6" s="1004"/>
      <c r="LF6" s="1004"/>
      <c r="LG6" s="1004"/>
      <c r="LH6" s="1004"/>
      <c r="LI6" s="1004"/>
      <c r="LJ6" s="1004"/>
      <c r="LK6" s="1004"/>
      <c r="LL6" s="1004"/>
      <c r="LM6" s="1004"/>
      <c r="LN6" s="1004"/>
      <c r="LO6" s="1004"/>
      <c r="LP6" s="1004"/>
      <c r="LQ6" s="1004"/>
      <c r="LR6" s="1004"/>
      <c r="LS6" s="1004"/>
      <c r="LT6" s="1004"/>
      <c r="LU6" s="1004"/>
      <c r="LV6" s="1004"/>
      <c r="LW6" s="1004"/>
      <c r="LX6" s="1004"/>
      <c r="LY6" s="1004"/>
      <c r="LZ6" s="1004"/>
      <c r="MA6" s="1004"/>
      <c r="MB6" s="1004"/>
      <c r="MC6" s="1004"/>
      <c r="MD6" s="1004"/>
      <c r="ME6" s="1004"/>
      <c r="MF6" s="1004"/>
      <c r="MG6" s="1004"/>
      <c r="MH6" s="1004"/>
      <c r="MI6" s="1004"/>
      <c r="MJ6" s="1004"/>
      <c r="MK6" s="1004"/>
      <c r="ML6" s="1004"/>
      <c r="MM6" s="1004"/>
      <c r="MN6" s="1004"/>
      <c r="MO6" s="1004"/>
      <c r="MP6" s="1004"/>
      <c r="MQ6" s="1004"/>
      <c r="MR6" s="1004"/>
      <c r="MS6" s="1004"/>
      <c r="MT6" s="1004"/>
      <c r="MU6" s="1004"/>
      <c r="MV6" s="1004"/>
      <c r="MW6" s="1004"/>
      <c r="MX6" s="1004"/>
      <c r="MY6" s="1004"/>
      <c r="MZ6" s="1004"/>
      <c r="NA6" s="1004"/>
      <c r="NB6" s="1004"/>
      <c r="NC6" s="1004"/>
      <c r="ND6" s="1004"/>
      <c r="NE6" s="1004"/>
      <c r="NF6" s="1004"/>
      <c r="NG6" s="1004"/>
      <c r="NH6" s="1004"/>
      <c r="NI6" s="1004"/>
      <c r="NJ6" s="1004"/>
      <c r="NK6" s="1004"/>
      <c r="NL6" s="1004"/>
      <c r="NM6" s="1004"/>
      <c r="NN6" s="1004"/>
      <c r="NO6" s="1004"/>
      <c r="NP6" s="1004"/>
      <c r="NQ6" s="1004"/>
      <c r="NR6" s="1004"/>
      <c r="NS6" s="1004"/>
      <c r="NT6" s="1004"/>
      <c r="NU6" s="1004"/>
      <c r="NV6" s="1004"/>
      <c r="NW6" s="1004"/>
      <c r="NX6" s="1004"/>
      <c r="NY6" s="1004"/>
      <c r="NZ6" s="1004"/>
      <c r="OA6" s="1004"/>
      <c r="OB6" s="1004"/>
      <c r="OC6" s="1004"/>
      <c r="OD6" s="1004"/>
      <c r="OE6" s="1004"/>
      <c r="OF6" s="1004"/>
      <c r="OG6" s="1004"/>
      <c r="OH6" s="1004"/>
      <c r="OI6" s="1004"/>
      <c r="OJ6" s="1004"/>
      <c r="OK6" s="1004"/>
      <c r="OL6" s="1004"/>
      <c r="OM6" s="1004"/>
      <c r="ON6" s="1004"/>
      <c r="OO6" s="1004"/>
      <c r="OP6" s="1004"/>
      <c r="OQ6" s="1004"/>
      <c r="OR6" s="1004"/>
      <c r="OS6" s="1004"/>
      <c r="OT6" s="1004"/>
      <c r="OU6" s="1004"/>
      <c r="OV6" s="1004"/>
      <c r="OW6" s="1004"/>
      <c r="OX6" s="1004"/>
      <c r="OY6" s="1004"/>
      <c r="OZ6" s="1004"/>
      <c r="PA6" s="1004"/>
      <c r="PB6" s="1004"/>
      <c r="PC6" s="1004"/>
      <c r="PD6" s="1004"/>
      <c r="PE6" s="1004"/>
      <c r="PF6" s="1004"/>
      <c r="PG6" s="1004"/>
      <c r="PH6" s="1004"/>
      <c r="PI6" s="1004"/>
      <c r="PJ6" s="1004"/>
      <c r="PK6" s="1004"/>
      <c r="PL6" s="1004"/>
      <c r="PM6" s="1004"/>
      <c r="PN6" s="1004"/>
      <c r="PO6" s="1004"/>
      <c r="PP6" s="1004"/>
      <c r="PQ6" s="1004"/>
      <c r="PR6" s="1004"/>
      <c r="PS6" s="1004"/>
      <c r="PT6" s="1004"/>
      <c r="PU6" s="1004"/>
      <c r="PV6" s="1004"/>
      <c r="PW6" s="1004"/>
      <c r="PX6" s="1004"/>
      <c r="PY6" s="1004"/>
      <c r="PZ6" s="1004"/>
      <c r="QA6" s="1004"/>
      <c r="QB6" s="1004"/>
      <c r="QC6" s="1004"/>
      <c r="QD6" s="1004"/>
      <c r="QE6" s="1004"/>
      <c r="QF6" s="1004"/>
      <c r="QG6" s="1004"/>
      <c r="QH6" s="1004"/>
      <c r="QI6" s="1004"/>
      <c r="QJ6" s="1004"/>
      <c r="QK6" s="1004"/>
      <c r="QL6" s="1004"/>
      <c r="QM6" s="1004"/>
      <c r="QN6" s="1004"/>
      <c r="QO6" s="1004"/>
      <c r="QP6" s="1004"/>
      <c r="QQ6" s="1004"/>
      <c r="QR6" s="1004"/>
      <c r="QS6" s="1004"/>
      <c r="QT6" s="1004"/>
      <c r="QU6" s="1004"/>
      <c r="QV6" s="1004"/>
      <c r="QW6" s="1004"/>
      <c r="QX6" s="1004"/>
      <c r="QY6" s="1004"/>
      <c r="QZ6" s="1004"/>
      <c r="RA6" s="1004"/>
      <c r="RB6" s="1004"/>
      <c r="RC6" s="1004"/>
      <c r="RD6" s="1004"/>
      <c r="RE6" s="1004"/>
      <c r="RF6" s="1004"/>
      <c r="RG6" s="1004"/>
      <c r="RH6" s="1004"/>
      <c r="RI6" s="1004"/>
      <c r="RJ6" s="1004"/>
      <c r="RK6" s="1004"/>
      <c r="RL6" s="1004"/>
      <c r="RM6" s="1004"/>
      <c r="RN6" s="1004"/>
      <c r="RO6" s="1004"/>
      <c r="RP6" s="1004"/>
      <c r="RQ6" s="1004"/>
      <c r="RR6" s="1004"/>
      <c r="RS6" s="1004"/>
      <c r="RT6" s="1004"/>
      <c r="RU6" s="1004"/>
      <c r="RV6" s="1004"/>
      <c r="RW6" s="1004"/>
      <c r="RX6" s="1004"/>
      <c r="RY6" s="1004"/>
      <c r="RZ6" s="1004"/>
      <c r="SA6" s="1004"/>
      <c r="SB6" s="1004"/>
      <c r="SC6" s="1004"/>
      <c r="SD6" s="1004"/>
      <c r="SE6" s="1004"/>
      <c r="SF6" s="1004"/>
      <c r="SG6" s="1004"/>
      <c r="SH6" s="1004"/>
      <c r="SI6" s="1004"/>
      <c r="SJ6" s="1004"/>
      <c r="SK6" s="1004"/>
      <c r="SL6" s="1004"/>
      <c r="SM6" s="1004"/>
      <c r="SN6" s="1004"/>
      <c r="SO6" s="1004"/>
      <c r="SP6" s="1004"/>
      <c r="SQ6" s="1004"/>
      <c r="SR6" s="1004"/>
      <c r="SS6" s="1004"/>
      <c r="ST6" s="1004"/>
      <c r="SU6" s="1004"/>
      <c r="SV6" s="1004"/>
      <c r="SW6" s="1004"/>
      <c r="SX6" s="1004"/>
      <c r="SY6" s="1004"/>
      <c r="SZ6" s="1004"/>
      <c r="TA6" s="1004"/>
      <c r="TB6" s="1004"/>
      <c r="TC6" s="1004"/>
      <c r="TD6" s="1004"/>
      <c r="TE6" s="1004"/>
      <c r="TF6" s="1004"/>
      <c r="TG6" s="1004"/>
      <c r="TH6" s="1004"/>
      <c r="TI6" s="1004"/>
      <c r="TJ6" s="1004"/>
      <c r="TK6" s="1004"/>
      <c r="TL6" s="1004"/>
      <c r="TM6" s="1004"/>
      <c r="TN6" s="1004"/>
      <c r="TO6" s="1004"/>
      <c r="TP6" s="1004"/>
      <c r="TQ6" s="1004"/>
      <c r="TR6" s="1004"/>
      <c r="TS6" s="1004"/>
      <c r="TT6" s="1004"/>
      <c r="TU6" s="1004"/>
      <c r="TV6" s="1004"/>
      <c r="TW6" s="1004"/>
      <c r="TX6" s="1004"/>
      <c r="TY6" s="1004"/>
      <c r="TZ6" s="1004"/>
      <c r="UA6" s="1004"/>
      <c r="UB6" s="1004"/>
      <c r="UC6" s="1004"/>
      <c r="UD6" s="1004"/>
      <c r="UE6" s="1004"/>
      <c r="UF6" s="1004"/>
      <c r="UG6" s="1004"/>
      <c r="UH6" s="1004"/>
      <c r="UI6" s="1004"/>
      <c r="UJ6" s="1004"/>
      <c r="UK6" s="1004"/>
      <c r="UL6" s="1004"/>
      <c r="UM6" s="1004"/>
      <c r="UN6" s="1004"/>
      <c r="UO6" s="1004"/>
      <c r="UP6" s="1004"/>
      <c r="UQ6" s="1004"/>
      <c r="UR6" s="1004"/>
      <c r="US6" s="1004"/>
      <c r="UT6" s="1004"/>
      <c r="UU6" s="1004"/>
      <c r="UV6" s="1004"/>
      <c r="UW6" s="1004"/>
      <c r="UX6" s="1004"/>
      <c r="UY6" s="1004"/>
      <c r="UZ6" s="1004"/>
      <c r="VA6" s="1004"/>
      <c r="VB6" s="1004"/>
      <c r="VC6" s="1004"/>
      <c r="VD6" s="1004"/>
      <c r="VE6" s="1004"/>
      <c r="VF6" s="1004"/>
      <c r="VG6" s="1004"/>
      <c r="VH6" s="1004"/>
      <c r="VI6" s="1004"/>
      <c r="VJ6" s="1004"/>
      <c r="VK6" s="1004"/>
      <c r="VL6" s="1004"/>
      <c r="VM6" s="1004"/>
      <c r="VN6" s="1004"/>
      <c r="VO6" s="1004"/>
      <c r="VP6" s="1004"/>
      <c r="VQ6" s="1004"/>
      <c r="VR6" s="1004"/>
      <c r="VS6" s="1004"/>
      <c r="VT6" s="1004"/>
      <c r="VU6" s="1004"/>
      <c r="VV6" s="1004"/>
      <c r="VW6" s="1004"/>
      <c r="VX6" s="1004"/>
      <c r="VY6" s="1004"/>
      <c r="VZ6" s="1004"/>
      <c r="WA6" s="1004"/>
      <c r="WB6" s="1004"/>
      <c r="WC6" s="1004"/>
      <c r="WD6" s="1004"/>
      <c r="WE6" s="1004"/>
      <c r="WF6" s="1004"/>
      <c r="WG6" s="1004"/>
      <c r="WH6" s="1004"/>
      <c r="WI6" s="1004"/>
      <c r="WJ6" s="1004"/>
      <c r="WK6" s="1004"/>
      <c r="WL6" s="1004"/>
      <c r="WM6" s="1004"/>
      <c r="WN6" s="1004"/>
      <c r="WO6" s="1004"/>
      <c r="WP6" s="1004"/>
      <c r="WQ6" s="1004"/>
      <c r="WR6" s="1004"/>
      <c r="WS6" s="1004"/>
      <c r="WT6" s="1004"/>
      <c r="WU6" s="1004"/>
      <c r="WV6" s="1004"/>
      <c r="WW6" s="1004"/>
      <c r="WX6" s="1004"/>
      <c r="WY6" s="1004"/>
      <c r="WZ6" s="1004"/>
      <c r="XA6" s="1004"/>
      <c r="XB6" s="1004"/>
      <c r="XC6" s="1004"/>
      <c r="XD6" s="1004"/>
      <c r="XE6" s="1004"/>
      <c r="XF6" s="1004"/>
      <c r="XG6" s="1004"/>
      <c r="XH6" s="1004"/>
      <c r="XI6" s="1004"/>
      <c r="XJ6" s="1004"/>
      <c r="XK6" s="1004"/>
      <c r="XL6" s="1004"/>
      <c r="XM6" s="1004"/>
      <c r="XN6" s="1004"/>
      <c r="XO6" s="1004"/>
      <c r="XP6" s="1004"/>
      <c r="XQ6" s="1004"/>
      <c r="XR6" s="1004"/>
      <c r="XS6" s="1004"/>
      <c r="XT6" s="1004"/>
      <c r="XU6" s="1004"/>
      <c r="XV6" s="1004"/>
      <c r="XW6" s="1004"/>
      <c r="XX6" s="1004"/>
      <c r="XY6" s="1004"/>
      <c r="XZ6" s="1004"/>
      <c r="YA6" s="1004"/>
      <c r="YB6" s="1004"/>
      <c r="YC6" s="1004"/>
      <c r="YD6" s="1004"/>
      <c r="YE6" s="1004"/>
      <c r="YF6" s="1004"/>
      <c r="YG6" s="1004"/>
      <c r="YH6" s="1004"/>
      <c r="YI6" s="1004"/>
      <c r="YJ6" s="1004"/>
      <c r="YK6" s="1004"/>
      <c r="YL6" s="1004"/>
      <c r="YM6" s="1004"/>
      <c r="YN6" s="1004"/>
      <c r="YO6" s="1004"/>
      <c r="YP6" s="1004"/>
      <c r="YQ6" s="1004"/>
      <c r="YR6" s="1004"/>
      <c r="YS6" s="1004"/>
      <c r="YT6" s="1004"/>
      <c r="YU6" s="1004"/>
      <c r="YV6" s="1004"/>
      <c r="YW6" s="1004"/>
      <c r="YX6" s="1004"/>
      <c r="YY6" s="1004"/>
      <c r="YZ6" s="1004"/>
      <c r="ZA6" s="1004"/>
      <c r="ZB6" s="1004"/>
      <c r="ZC6" s="1004"/>
      <c r="ZD6" s="1004"/>
      <c r="ZE6" s="1004"/>
      <c r="ZF6" s="1004"/>
      <c r="ZG6" s="1004"/>
      <c r="ZH6" s="1004"/>
      <c r="ZI6" s="1004"/>
      <c r="ZJ6" s="1004"/>
      <c r="ZK6" s="1004"/>
      <c r="ZL6" s="1004"/>
      <c r="ZM6" s="1004"/>
      <c r="ZN6" s="1004"/>
      <c r="ZO6" s="1004"/>
      <c r="ZP6" s="1004"/>
      <c r="ZQ6" s="1004"/>
      <c r="ZR6" s="1004"/>
      <c r="ZS6" s="1004"/>
      <c r="ZT6" s="1004"/>
      <c r="ZU6" s="1004"/>
      <c r="ZV6" s="1004"/>
      <c r="ZW6" s="1004"/>
      <c r="ZX6" s="1004"/>
      <c r="ZY6" s="1004"/>
      <c r="ZZ6" s="1004"/>
      <c r="AAA6" s="1004"/>
      <c r="AAB6" s="1004"/>
      <c r="AAC6" s="1004"/>
      <c r="AAD6" s="1004"/>
      <c r="AAE6" s="1004"/>
      <c r="AAF6" s="1004"/>
      <c r="AAG6" s="1004"/>
      <c r="AAH6" s="1004"/>
      <c r="AAI6" s="1004"/>
      <c r="AAJ6" s="1004"/>
      <c r="AAK6" s="1004"/>
      <c r="AAL6" s="1004"/>
      <c r="AAM6" s="1004"/>
      <c r="AAN6" s="1004"/>
      <c r="AAO6" s="1004"/>
      <c r="AAP6" s="1004"/>
      <c r="AAQ6" s="1004"/>
      <c r="AAR6" s="1004"/>
      <c r="AAS6" s="1004"/>
      <c r="AAT6" s="1004"/>
      <c r="AAU6" s="1004"/>
      <c r="AAV6" s="1004"/>
      <c r="AAW6" s="1004"/>
      <c r="AAX6" s="1004"/>
      <c r="AAY6" s="1004"/>
      <c r="AAZ6" s="1004"/>
      <c r="ABA6" s="1004"/>
      <c r="ABB6" s="1004"/>
      <c r="ABC6" s="1004"/>
      <c r="ABD6" s="1004"/>
      <c r="ABE6" s="1004"/>
      <c r="ABF6" s="1004"/>
      <c r="ABG6" s="1004"/>
      <c r="ABH6" s="1004"/>
      <c r="ABI6" s="1004"/>
      <c r="ABJ6" s="1004"/>
      <c r="ABK6" s="1004"/>
      <c r="ABL6" s="1004"/>
      <c r="ABM6" s="1004"/>
      <c r="ABN6" s="1004"/>
      <c r="ABO6" s="1004"/>
      <c r="ABP6" s="1004"/>
      <c r="ABQ6" s="1004"/>
      <c r="ABR6" s="1004"/>
    </row>
    <row r="7" spans="1:746" s="1" customFormat="1" ht="9.75" customHeight="1">
      <c r="A7" s="923"/>
      <c r="B7" s="3050" t="s">
        <v>1224</v>
      </c>
      <c r="C7" s="3051"/>
      <c r="D7" s="2313"/>
      <c r="E7" s="2985" t="s">
        <v>1222</v>
      </c>
      <c r="F7" s="2985"/>
      <c r="G7" s="2985"/>
      <c r="H7" s="2985"/>
      <c r="I7" s="2035" t="str">
        <f>IF(fx!I57=1,fx!I427,"")</f>
        <v>Januari</v>
      </c>
      <c r="J7" s="2035" t="str">
        <f>IF(fx!J57=1,fx!J427,"")</f>
        <v>Februari</v>
      </c>
      <c r="K7" s="2035" t="str">
        <f>IF(fx!K57=1,fx!K427,"")</f>
        <v>Mars</v>
      </c>
      <c r="L7" s="2035" t="str">
        <f>IF(fx!L57=1,fx!L427,"")</f>
        <v>April</v>
      </c>
      <c r="M7" s="2035" t="str">
        <f>IF(fx!M57=1,fx!M427,"")</f>
        <v>Maj</v>
      </c>
      <c r="N7" s="2035" t="str">
        <f>IF(fx!N57=1,fx!N427,"")</f>
        <v>Juni</v>
      </c>
      <c r="O7" s="2035" t="str">
        <f>IF(fx!O57=1,fx!O427,"")</f>
        <v>Juli</v>
      </c>
      <c r="P7" s="2035" t="str">
        <f>IF(fx!P57=1,fx!P427,"")</f>
        <v>Augusti</v>
      </c>
      <c r="Q7" s="2036" t="str">
        <f>IF(fx!Q57=1,fx!Q427,"")</f>
        <v>September</v>
      </c>
      <c r="R7" s="2035" t="str">
        <f>IF(fx!R57=1,fx!R427,"")</f>
        <v>Oktober</v>
      </c>
      <c r="S7" s="2046" t="str">
        <f>IF(fx!S57=1,fx!S427,"")</f>
        <v>November</v>
      </c>
      <c r="T7" s="2035" t="str">
        <f>IF(fx!T57=1,fx!T427,"")</f>
        <v>December</v>
      </c>
      <c r="U7" s="2047" t="str">
        <f>fx!U427</f>
        <v>Januari</v>
      </c>
      <c r="V7" s="2038" t="str">
        <f>fx!V427</f>
        <v>Februari</v>
      </c>
      <c r="W7" s="2037" t="str">
        <f>fx!W427</f>
        <v>Mars</v>
      </c>
      <c r="X7" s="2039" t="str">
        <f>fx!X427</f>
        <v>April</v>
      </c>
      <c r="Y7" s="2038" t="str">
        <f>fx!Y427</f>
        <v>Maj</v>
      </c>
      <c r="Z7" s="2037" t="str">
        <f>fx!Z427</f>
        <v>Juni</v>
      </c>
      <c r="AA7" s="2037" t="str">
        <f>fx!AA427</f>
        <v>Juli</v>
      </c>
      <c r="AB7" s="2038" t="str">
        <f>fx!AB427</f>
        <v>Augusti</v>
      </c>
      <c r="AC7" s="2037" t="str">
        <f>fx!AC427</f>
        <v>September</v>
      </c>
      <c r="AD7" s="2037" t="str">
        <f>fx!AD427</f>
        <v>Oktober</v>
      </c>
      <c r="AE7" s="2038" t="str">
        <f>fx!AE427</f>
        <v>November</v>
      </c>
      <c r="AF7" s="2037" t="str">
        <f>fx!AF427</f>
        <v>December</v>
      </c>
      <c r="AG7" s="2206"/>
      <c r="AH7" s="2"/>
      <c r="AI7" s="2"/>
      <c r="AJ7" s="2040" t="str">
        <f>IF(fx!C57=1,T7,IF(fx!C57=2,AF7))</f>
        <v>December</v>
      </c>
      <c r="AK7" s="415"/>
      <c r="AL7" s="2052" t="str">
        <f>IF(fx!C57=1,AF7,IF(fx!C57=2,""))</f>
        <v>December</v>
      </c>
      <c r="AM7" s="1004"/>
      <c r="AN7" s="1005"/>
      <c r="AO7" s="2974"/>
      <c r="AP7" s="2975"/>
      <c r="AQ7" s="2976"/>
      <c r="AR7" s="2288" t="str">
        <f>I7</f>
        <v>Januari</v>
      </c>
      <c r="AS7" s="2289" t="str">
        <f t="shared" si="0"/>
        <v>Februari</v>
      </c>
      <c r="AT7" s="2290" t="str">
        <f t="shared" si="0"/>
        <v>Mars</v>
      </c>
      <c r="AU7" s="2289" t="str">
        <f t="shared" si="0"/>
        <v>April</v>
      </c>
      <c r="AV7" s="2289" t="str">
        <f t="shared" si="0"/>
        <v>Maj</v>
      </c>
      <c r="AW7" s="2289" t="str">
        <f t="shared" si="0"/>
        <v>Juni</v>
      </c>
      <c r="AX7" s="2289" t="str">
        <f t="shared" si="0"/>
        <v>Juli</v>
      </c>
      <c r="AY7" s="2289" t="str">
        <f t="shared" si="0"/>
        <v>Augusti</v>
      </c>
      <c r="AZ7" s="2290" t="str">
        <f t="shared" si="0"/>
        <v>September</v>
      </c>
      <c r="BA7" s="2289" t="str">
        <f t="shared" si="0"/>
        <v>Oktober</v>
      </c>
      <c r="BB7" s="2289" t="str">
        <f t="shared" si="0"/>
        <v>November</v>
      </c>
      <c r="BC7" s="2289" t="str">
        <f t="shared" si="0"/>
        <v>December</v>
      </c>
      <c r="BD7" s="2291" t="str">
        <f t="shared" si="0"/>
        <v>Januari</v>
      </c>
      <c r="BE7" s="2292" t="str">
        <f t="shared" si="0"/>
        <v>Februari</v>
      </c>
      <c r="BF7" s="2291" t="str">
        <f t="shared" si="0"/>
        <v>Mars</v>
      </c>
      <c r="BG7" s="2293" t="str">
        <f t="shared" si="0"/>
        <v>April</v>
      </c>
      <c r="BH7" s="2292" t="str">
        <f t="shared" si="0"/>
        <v>Maj</v>
      </c>
      <c r="BI7" s="2291" t="str">
        <f t="shared" si="0"/>
        <v>Juni</v>
      </c>
      <c r="BJ7" s="2291" t="str">
        <f t="shared" si="0"/>
        <v>Juli</v>
      </c>
      <c r="BK7" s="2292" t="str">
        <f t="shared" si="0"/>
        <v>Augusti</v>
      </c>
      <c r="BL7" s="2291" t="str">
        <f t="shared" si="0"/>
        <v>September</v>
      </c>
      <c r="BM7" s="2291" t="str">
        <f t="shared" si="0"/>
        <v>Oktober</v>
      </c>
      <c r="BN7" s="2292" t="str">
        <f t="shared" si="0"/>
        <v>November</v>
      </c>
      <c r="BO7" s="2291" t="str">
        <f t="shared" si="0"/>
        <v>December</v>
      </c>
      <c r="BP7" s="1004"/>
      <c r="BQ7" s="1004"/>
      <c r="BR7" s="1004"/>
      <c r="BS7" s="1004"/>
      <c r="BT7" s="1004"/>
      <c r="BU7" s="1004"/>
      <c r="BV7" s="1004"/>
      <c r="BW7" s="1004"/>
      <c r="BX7" s="1004"/>
      <c r="BY7" s="1004"/>
      <c r="BZ7" s="1004"/>
      <c r="CA7" s="1004"/>
      <c r="CB7" s="1004"/>
      <c r="CC7" s="1004"/>
      <c r="CD7" s="1004"/>
      <c r="CE7" s="1004"/>
      <c r="CF7" s="1004"/>
      <c r="CG7" s="1004"/>
      <c r="CH7" s="1004"/>
      <c r="CI7" s="1004"/>
      <c r="CJ7" s="1004"/>
      <c r="CK7" s="1004"/>
      <c r="CL7" s="1004"/>
      <c r="CM7" s="1004"/>
      <c r="CN7" s="1004"/>
      <c r="CO7" s="1004"/>
      <c r="CP7" s="1004"/>
      <c r="CQ7" s="1004"/>
      <c r="CR7" s="1004"/>
      <c r="CS7" s="1004"/>
      <c r="CT7" s="1004"/>
      <c r="CU7" s="1004"/>
      <c r="CV7" s="1004"/>
      <c r="CW7" s="1004"/>
      <c r="CX7" s="1004"/>
      <c r="CY7" s="1004"/>
      <c r="CZ7" s="1004"/>
      <c r="DA7" s="1004"/>
      <c r="DB7" s="1004"/>
      <c r="DC7" s="1004"/>
      <c r="DD7" s="1004"/>
      <c r="DE7" s="1004"/>
      <c r="DF7" s="1004"/>
      <c r="DG7" s="1004"/>
      <c r="DH7" s="1004"/>
      <c r="DI7" s="1004"/>
      <c r="DJ7" s="1004"/>
      <c r="DK7" s="1004"/>
      <c r="DL7" s="1004"/>
      <c r="DM7" s="1004"/>
      <c r="DN7" s="1004"/>
      <c r="DO7" s="1004"/>
      <c r="DP7" s="1004"/>
      <c r="DQ7" s="1004"/>
      <c r="DR7" s="1004"/>
      <c r="DS7" s="1004"/>
      <c r="DT7" s="1004"/>
      <c r="DU7" s="1004"/>
      <c r="DV7" s="1004"/>
      <c r="DW7" s="1004"/>
      <c r="DX7" s="1004"/>
      <c r="DY7" s="1004"/>
      <c r="DZ7" s="1004"/>
      <c r="EA7" s="1004"/>
      <c r="EB7" s="1004"/>
      <c r="EC7" s="1004"/>
      <c r="ED7" s="1004"/>
      <c r="EE7" s="1004"/>
      <c r="EF7" s="1004"/>
      <c r="EG7" s="1004"/>
      <c r="EH7" s="1004"/>
      <c r="EI7" s="1004"/>
      <c r="EJ7" s="1004"/>
      <c r="EK7" s="1004"/>
      <c r="EL7" s="1004"/>
      <c r="EM7" s="1004"/>
      <c r="EN7" s="1004"/>
      <c r="EO7" s="1004"/>
      <c r="EP7" s="1004"/>
      <c r="EQ7" s="1004"/>
      <c r="ER7" s="1004"/>
      <c r="ES7" s="1004"/>
      <c r="ET7" s="1004"/>
      <c r="EU7" s="1004"/>
      <c r="EV7" s="1004"/>
      <c r="EW7" s="1004"/>
      <c r="EX7" s="1004"/>
      <c r="EY7" s="1004"/>
      <c r="EZ7" s="1004"/>
      <c r="FA7" s="1004"/>
      <c r="FB7" s="1004"/>
      <c r="FC7" s="1004"/>
      <c r="FD7" s="1004"/>
      <c r="FE7" s="1004"/>
      <c r="FF7" s="1004"/>
      <c r="FG7" s="1004"/>
      <c r="FH7" s="1004"/>
      <c r="FI7" s="1004"/>
      <c r="FJ7" s="1004"/>
      <c r="FK7" s="1004"/>
      <c r="FL7" s="1004"/>
      <c r="FM7" s="1004"/>
      <c r="FN7" s="1004"/>
      <c r="FO7" s="1004"/>
      <c r="FP7" s="1004"/>
      <c r="FQ7" s="1004"/>
      <c r="FR7" s="1004"/>
      <c r="FS7" s="1004"/>
      <c r="FT7" s="1004"/>
      <c r="FU7" s="1004"/>
      <c r="FV7" s="1004"/>
      <c r="FW7" s="1004"/>
      <c r="FX7" s="1004"/>
      <c r="FY7" s="1004"/>
      <c r="FZ7" s="1004"/>
      <c r="GA7" s="1004"/>
      <c r="GB7" s="1004"/>
      <c r="GC7" s="1004"/>
      <c r="GD7" s="1004"/>
      <c r="GE7" s="1004"/>
      <c r="GF7" s="1004"/>
      <c r="GG7" s="1004"/>
      <c r="GH7" s="1004"/>
      <c r="GI7" s="1004"/>
      <c r="GJ7" s="1004"/>
      <c r="GK7" s="1004"/>
      <c r="GL7" s="1004"/>
      <c r="GM7" s="1004"/>
      <c r="GN7" s="1004"/>
      <c r="GO7" s="1004"/>
      <c r="GP7" s="1004"/>
      <c r="GQ7" s="1004"/>
      <c r="GR7" s="1004"/>
      <c r="GS7" s="1004"/>
      <c r="GT7" s="1004"/>
      <c r="GU7" s="1004"/>
      <c r="GV7" s="1004"/>
      <c r="GW7" s="1004"/>
      <c r="GX7" s="1004"/>
      <c r="GY7" s="1004"/>
      <c r="GZ7" s="1004"/>
      <c r="HA7" s="1004"/>
      <c r="HB7" s="1004"/>
      <c r="HC7" s="1004"/>
      <c r="HD7" s="1004"/>
      <c r="HE7" s="1004"/>
      <c r="HF7" s="1004"/>
      <c r="HG7" s="1004"/>
      <c r="HH7" s="1004"/>
      <c r="HI7" s="1004"/>
      <c r="HJ7" s="1004"/>
      <c r="HK7" s="1004"/>
      <c r="HL7" s="1004"/>
      <c r="HM7" s="1004"/>
      <c r="HN7" s="1004"/>
      <c r="HO7" s="1004"/>
      <c r="HP7" s="1004"/>
      <c r="HQ7" s="1004"/>
      <c r="HR7" s="1004"/>
      <c r="HS7" s="1004"/>
      <c r="HT7" s="1004"/>
      <c r="HU7" s="1004"/>
      <c r="HV7" s="1004"/>
      <c r="HW7" s="1004"/>
      <c r="HX7" s="1004"/>
      <c r="HY7" s="1004"/>
      <c r="HZ7" s="1004"/>
      <c r="IA7" s="1004"/>
      <c r="IB7" s="1004"/>
      <c r="IC7" s="1004"/>
      <c r="ID7" s="1004"/>
      <c r="IE7" s="1004"/>
      <c r="IF7" s="1004"/>
      <c r="IG7" s="1004"/>
      <c r="IH7" s="1004"/>
      <c r="II7" s="1004"/>
      <c r="IJ7" s="1004"/>
      <c r="IK7" s="1004"/>
      <c r="IL7" s="1004"/>
      <c r="IM7" s="1004"/>
      <c r="IN7" s="1004"/>
      <c r="IO7" s="1004"/>
      <c r="IP7" s="1004"/>
      <c r="IQ7" s="1004"/>
      <c r="IR7" s="1004"/>
      <c r="IS7" s="1004"/>
      <c r="IT7" s="1004"/>
      <c r="IU7" s="1004"/>
      <c r="IV7" s="1004"/>
      <c r="IW7" s="1004"/>
      <c r="IX7" s="1004"/>
      <c r="IY7" s="1004"/>
      <c r="IZ7" s="1004"/>
      <c r="JA7" s="1004"/>
      <c r="JB7" s="1004"/>
      <c r="JC7" s="1004"/>
      <c r="JD7" s="1004"/>
      <c r="JE7" s="1004"/>
      <c r="JF7" s="1004"/>
      <c r="JG7" s="1004"/>
      <c r="JH7" s="1004"/>
      <c r="JI7" s="1004"/>
      <c r="JJ7" s="1004"/>
      <c r="JK7" s="1004"/>
      <c r="JL7" s="1004"/>
      <c r="JM7" s="1004"/>
      <c r="JN7" s="1004"/>
      <c r="JO7" s="1004"/>
      <c r="JP7" s="1004"/>
      <c r="JQ7" s="1004"/>
      <c r="JR7" s="1004"/>
      <c r="JS7" s="1004"/>
      <c r="JT7" s="1004"/>
      <c r="JU7" s="1004"/>
      <c r="JV7" s="1004"/>
      <c r="JW7" s="1004"/>
      <c r="JX7" s="1004"/>
      <c r="JY7" s="1004"/>
      <c r="JZ7" s="1004"/>
      <c r="KA7" s="1004"/>
      <c r="KB7" s="1004"/>
      <c r="KC7" s="1004"/>
      <c r="KD7" s="1004"/>
      <c r="KE7" s="1004"/>
      <c r="KF7" s="1004"/>
      <c r="KG7" s="1004"/>
      <c r="KH7" s="1004"/>
      <c r="KI7" s="1004"/>
      <c r="KJ7" s="1004"/>
      <c r="KK7" s="1004"/>
      <c r="KL7" s="1004"/>
      <c r="KM7" s="1004"/>
      <c r="KN7" s="1004"/>
      <c r="KO7" s="1004"/>
      <c r="KP7" s="1004"/>
      <c r="KQ7" s="1004"/>
      <c r="KR7" s="1004"/>
      <c r="KS7" s="1004"/>
      <c r="KT7" s="1004"/>
      <c r="KU7" s="1004"/>
      <c r="KV7" s="1004"/>
      <c r="KW7" s="1004"/>
      <c r="KX7" s="1004"/>
      <c r="KY7" s="1004"/>
      <c r="KZ7" s="1004"/>
      <c r="LA7" s="1004"/>
      <c r="LB7" s="1004"/>
      <c r="LC7" s="1004"/>
      <c r="LD7" s="1004"/>
      <c r="LE7" s="1004"/>
      <c r="LF7" s="1004"/>
      <c r="LG7" s="1004"/>
      <c r="LH7" s="1004"/>
      <c r="LI7" s="1004"/>
      <c r="LJ7" s="1004"/>
      <c r="LK7" s="1004"/>
      <c r="LL7" s="1004"/>
      <c r="LM7" s="1004"/>
      <c r="LN7" s="1004"/>
      <c r="LO7" s="1004"/>
      <c r="LP7" s="1004"/>
      <c r="LQ7" s="1004"/>
      <c r="LR7" s="1004"/>
      <c r="LS7" s="1004"/>
      <c r="LT7" s="1004"/>
      <c r="LU7" s="1004"/>
      <c r="LV7" s="1004"/>
      <c r="LW7" s="1004"/>
      <c r="LX7" s="1004"/>
      <c r="LY7" s="1004"/>
      <c r="LZ7" s="1004"/>
      <c r="MA7" s="1004"/>
      <c r="MB7" s="1004"/>
      <c r="MC7" s="1004"/>
      <c r="MD7" s="1004"/>
      <c r="ME7" s="1004"/>
      <c r="MF7" s="1004"/>
      <c r="MG7" s="1004"/>
      <c r="MH7" s="1004"/>
      <c r="MI7" s="1004"/>
      <c r="MJ7" s="1004"/>
      <c r="MK7" s="1004"/>
      <c r="ML7" s="1004"/>
      <c r="MM7" s="1004"/>
      <c r="MN7" s="1004"/>
      <c r="MO7" s="1004"/>
      <c r="MP7" s="1004"/>
      <c r="MQ7" s="1004"/>
      <c r="MR7" s="1004"/>
      <c r="MS7" s="1004"/>
      <c r="MT7" s="1004"/>
      <c r="MU7" s="1004"/>
      <c r="MV7" s="1004"/>
      <c r="MW7" s="1004"/>
      <c r="MX7" s="1004"/>
      <c r="MY7" s="1004"/>
      <c r="MZ7" s="1004"/>
      <c r="NA7" s="1004"/>
      <c r="NB7" s="1004"/>
      <c r="NC7" s="1004"/>
      <c r="ND7" s="1004"/>
      <c r="NE7" s="1004"/>
      <c r="NF7" s="1004"/>
      <c r="NG7" s="1004"/>
      <c r="NH7" s="1004"/>
      <c r="NI7" s="1004"/>
      <c r="NJ7" s="1004"/>
      <c r="NK7" s="1004"/>
      <c r="NL7" s="1004"/>
      <c r="NM7" s="1004"/>
      <c r="NN7" s="1004"/>
      <c r="NO7" s="1004"/>
      <c r="NP7" s="1004"/>
      <c r="NQ7" s="1004"/>
      <c r="NR7" s="1004"/>
      <c r="NS7" s="1004"/>
      <c r="NT7" s="1004"/>
      <c r="NU7" s="1004"/>
      <c r="NV7" s="1004"/>
      <c r="NW7" s="1004"/>
      <c r="NX7" s="1004"/>
      <c r="NY7" s="1004"/>
      <c r="NZ7" s="1004"/>
      <c r="OA7" s="1004"/>
      <c r="OB7" s="1004"/>
      <c r="OC7" s="1004"/>
      <c r="OD7" s="1004"/>
      <c r="OE7" s="1004"/>
      <c r="OF7" s="1004"/>
      <c r="OG7" s="1004"/>
      <c r="OH7" s="1004"/>
      <c r="OI7" s="1004"/>
      <c r="OJ7" s="1004"/>
      <c r="OK7" s="1004"/>
      <c r="OL7" s="1004"/>
      <c r="OM7" s="1004"/>
      <c r="ON7" s="1004"/>
      <c r="OO7" s="1004"/>
      <c r="OP7" s="1004"/>
      <c r="OQ7" s="1004"/>
      <c r="OR7" s="1004"/>
      <c r="OS7" s="1004"/>
      <c r="OT7" s="1004"/>
      <c r="OU7" s="1004"/>
      <c r="OV7" s="1004"/>
      <c r="OW7" s="1004"/>
      <c r="OX7" s="1004"/>
      <c r="OY7" s="1004"/>
      <c r="OZ7" s="1004"/>
      <c r="PA7" s="1004"/>
      <c r="PB7" s="1004"/>
      <c r="PC7" s="1004"/>
      <c r="PD7" s="1004"/>
      <c r="PE7" s="1004"/>
      <c r="PF7" s="1004"/>
      <c r="PG7" s="1004"/>
      <c r="PH7" s="1004"/>
      <c r="PI7" s="1004"/>
      <c r="PJ7" s="1004"/>
      <c r="PK7" s="1004"/>
      <c r="PL7" s="1004"/>
      <c r="PM7" s="1004"/>
      <c r="PN7" s="1004"/>
      <c r="PO7" s="1004"/>
      <c r="PP7" s="1004"/>
      <c r="PQ7" s="1004"/>
      <c r="PR7" s="1004"/>
      <c r="PS7" s="1004"/>
      <c r="PT7" s="1004"/>
      <c r="PU7" s="1004"/>
      <c r="PV7" s="1004"/>
      <c r="PW7" s="1004"/>
      <c r="PX7" s="1004"/>
      <c r="PY7" s="1004"/>
      <c r="PZ7" s="1004"/>
      <c r="QA7" s="1004"/>
      <c r="QB7" s="1004"/>
      <c r="QC7" s="1004"/>
      <c r="QD7" s="1004"/>
      <c r="QE7" s="1004"/>
      <c r="QF7" s="1004"/>
      <c r="QG7" s="1004"/>
      <c r="QH7" s="1004"/>
      <c r="QI7" s="1004"/>
      <c r="QJ7" s="1004"/>
      <c r="QK7" s="1004"/>
      <c r="QL7" s="1004"/>
      <c r="QM7" s="1004"/>
      <c r="QN7" s="1004"/>
      <c r="QO7" s="1004"/>
      <c r="QP7" s="1004"/>
      <c r="QQ7" s="1004"/>
      <c r="QR7" s="1004"/>
      <c r="QS7" s="1004"/>
      <c r="QT7" s="1004"/>
      <c r="QU7" s="1004"/>
      <c r="QV7" s="1004"/>
      <c r="QW7" s="1004"/>
      <c r="QX7" s="1004"/>
      <c r="QY7" s="1004"/>
      <c r="QZ7" s="1004"/>
      <c r="RA7" s="1004"/>
      <c r="RB7" s="1004"/>
      <c r="RC7" s="1004"/>
      <c r="RD7" s="1004"/>
      <c r="RE7" s="1004"/>
      <c r="RF7" s="1004"/>
      <c r="RG7" s="1004"/>
      <c r="RH7" s="1004"/>
      <c r="RI7" s="1004"/>
      <c r="RJ7" s="1004"/>
      <c r="RK7" s="1004"/>
      <c r="RL7" s="1004"/>
      <c r="RM7" s="1004"/>
      <c r="RN7" s="1004"/>
      <c r="RO7" s="1004"/>
      <c r="RP7" s="1004"/>
      <c r="RQ7" s="1004"/>
      <c r="RR7" s="1004"/>
      <c r="RS7" s="1004"/>
      <c r="RT7" s="1004"/>
      <c r="RU7" s="1004"/>
      <c r="RV7" s="1004"/>
      <c r="RW7" s="1004"/>
      <c r="RX7" s="1004"/>
      <c r="RY7" s="1004"/>
      <c r="RZ7" s="1004"/>
      <c r="SA7" s="1004"/>
      <c r="SB7" s="1004"/>
      <c r="SC7" s="1004"/>
      <c r="SD7" s="1004"/>
      <c r="SE7" s="1004"/>
      <c r="SF7" s="1004"/>
      <c r="SG7" s="1004"/>
      <c r="SH7" s="1004"/>
      <c r="SI7" s="1004"/>
      <c r="SJ7" s="1004"/>
      <c r="SK7" s="1004"/>
      <c r="SL7" s="1004"/>
      <c r="SM7" s="1004"/>
      <c r="SN7" s="1004"/>
      <c r="SO7" s="1004"/>
      <c r="SP7" s="1004"/>
      <c r="SQ7" s="1004"/>
      <c r="SR7" s="1004"/>
      <c r="SS7" s="1004"/>
      <c r="ST7" s="1004"/>
      <c r="SU7" s="1004"/>
      <c r="SV7" s="1004"/>
      <c r="SW7" s="1004"/>
      <c r="SX7" s="1004"/>
      <c r="SY7" s="1004"/>
      <c r="SZ7" s="1004"/>
      <c r="TA7" s="1004"/>
      <c r="TB7" s="1004"/>
      <c r="TC7" s="1004"/>
      <c r="TD7" s="1004"/>
      <c r="TE7" s="1004"/>
      <c r="TF7" s="1004"/>
      <c r="TG7" s="1004"/>
      <c r="TH7" s="1004"/>
      <c r="TI7" s="1004"/>
      <c r="TJ7" s="1004"/>
      <c r="TK7" s="1004"/>
      <c r="TL7" s="1004"/>
      <c r="TM7" s="1004"/>
      <c r="TN7" s="1004"/>
      <c r="TO7" s="1004"/>
      <c r="TP7" s="1004"/>
      <c r="TQ7" s="1004"/>
      <c r="TR7" s="1004"/>
      <c r="TS7" s="1004"/>
      <c r="TT7" s="1004"/>
      <c r="TU7" s="1004"/>
      <c r="TV7" s="1004"/>
      <c r="TW7" s="1004"/>
      <c r="TX7" s="1004"/>
      <c r="TY7" s="1004"/>
      <c r="TZ7" s="1004"/>
      <c r="UA7" s="1004"/>
      <c r="UB7" s="1004"/>
      <c r="UC7" s="1004"/>
      <c r="UD7" s="1004"/>
      <c r="UE7" s="1004"/>
      <c r="UF7" s="1004"/>
      <c r="UG7" s="1004"/>
      <c r="UH7" s="1004"/>
      <c r="UI7" s="1004"/>
      <c r="UJ7" s="1004"/>
      <c r="UK7" s="1004"/>
      <c r="UL7" s="1004"/>
      <c r="UM7" s="1004"/>
      <c r="UN7" s="1004"/>
      <c r="UO7" s="1004"/>
      <c r="UP7" s="1004"/>
      <c r="UQ7" s="1004"/>
      <c r="UR7" s="1004"/>
      <c r="US7" s="1004"/>
      <c r="UT7" s="1004"/>
      <c r="UU7" s="1004"/>
      <c r="UV7" s="1004"/>
      <c r="UW7" s="1004"/>
      <c r="UX7" s="1004"/>
      <c r="UY7" s="1004"/>
      <c r="UZ7" s="1004"/>
      <c r="VA7" s="1004"/>
      <c r="VB7" s="1004"/>
      <c r="VC7" s="1004"/>
      <c r="VD7" s="1004"/>
      <c r="VE7" s="1004"/>
      <c r="VF7" s="1004"/>
      <c r="VG7" s="1004"/>
      <c r="VH7" s="1004"/>
      <c r="VI7" s="1004"/>
      <c r="VJ7" s="1004"/>
      <c r="VK7" s="1004"/>
      <c r="VL7" s="1004"/>
      <c r="VM7" s="1004"/>
      <c r="VN7" s="1004"/>
      <c r="VO7" s="1004"/>
      <c r="VP7" s="1004"/>
      <c r="VQ7" s="1004"/>
      <c r="VR7" s="1004"/>
      <c r="VS7" s="1004"/>
      <c r="VT7" s="1004"/>
      <c r="VU7" s="1004"/>
      <c r="VV7" s="1004"/>
      <c r="VW7" s="1004"/>
      <c r="VX7" s="1004"/>
      <c r="VY7" s="1004"/>
      <c r="VZ7" s="1004"/>
      <c r="WA7" s="1004"/>
      <c r="WB7" s="1004"/>
      <c r="WC7" s="1004"/>
      <c r="WD7" s="1004"/>
      <c r="WE7" s="1004"/>
      <c r="WF7" s="1004"/>
      <c r="WG7" s="1004"/>
      <c r="WH7" s="1004"/>
      <c r="WI7" s="1004"/>
      <c r="WJ7" s="1004"/>
      <c r="WK7" s="1004"/>
      <c r="WL7" s="1004"/>
      <c r="WM7" s="1004"/>
      <c r="WN7" s="1004"/>
      <c r="WO7" s="1004"/>
      <c r="WP7" s="1004"/>
      <c r="WQ7" s="1004"/>
      <c r="WR7" s="1004"/>
      <c r="WS7" s="1004"/>
      <c r="WT7" s="1004"/>
      <c r="WU7" s="1004"/>
      <c r="WV7" s="1004"/>
      <c r="WW7" s="1004"/>
      <c r="WX7" s="1004"/>
      <c r="WY7" s="1004"/>
      <c r="WZ7" s="1004"/>
      <c r="XA7" s="1004"/>
      <c r="XB7" s="1004"/>
      <c r="XC7" s="1004"/>
      <c r="XD7" s="1004"/>
      <c r="XE7" s="1004"/>
      <c r="XF7" s="1004"/>
      <c r="XG7" s="1004"/>
      <c r="XH7" s="1004"/>
      <c r="XI7" s="1004"/>
      <c r="XJ7" s="1004"/>
      <c r="XK7" s="1004"/>
      <c r="XL7" s="1004"/>
      <c r="XM7" s="1004"/>
      <c r="XN7" s="1004"/>
      <c r="XO7" s="1004"/>
      <c r="XP7" s="1004"/>
      <c r="XQ7" s="1004"/>
      <c r="XR7" s="1004"/>
      <c r="XS7" s="1004"/>
      <c r="XT7" s="1004"/>
      <c r="XU7" s="1004"/>
      <c r="XV7" s="1004"/>
      <c r="XW7" s="1004"/>
      <c r="XX7" s="1004"/>
      <c r="XY7" s="1004"/>
      <c r="XZ7" s="1004"/>
      <c r="YA7" s="1004"/>
      <c r="YB7" s="1004"/>
      <c r="YC7" s="1004"/>
      <c r="YD7" s="1004"/>
      <c r="YE7" s="1004"/>
      <c r="YF7" s="1004"/>
      <c r="YG7" s="1004"/>
      <c r="YH7" s="1004"/>
      <c r="YI7" s="1004"/>
      <c r="YJ7" s="1004"/>
      <c r="YK7" s="1004"/>
      <c r="YL7" s="1004"/>
      <c r="YM7" s="1004"/>
      <c r="YN7" s="1004"/>
      <c r="YO7" s="1004"/>
      <c r="YP7" s="1004"/>
      <c r="YQ7" s="1004"/>
      <c r="YR7" s="1004"/>
      <c r="YS7" s="1004"/>
      <c r="YT7" s="1004"/>
      <c r="YU7" s="1004"/>
      <c r="YV7" s="1004"/>
      <c r="YW7" s="1004"/>
      <c r="YX7" s="1004"/>
      <c r="YY7" s="1004"/>
      <c r="YZ7" s="1004"/>
      <c r="ZA7" s="1004"/>
      <c r="ZB7" s="1004"/>
      <c r="ZC7" s="1004"/>
      <c r="ZD7" s="1004"/>
      <c r="ZE7" s="1004"/>
      <c r="ZF7" s="1004"/>
      <c r="ZG7" s="1004"/>
      <c r="ZH7" s="1004"/>
      <c r="ZI7" s="1004"/>
      <c r="ZJ7" s="1004"/>
      <c r="ZK7" s="1004"/>
      <c r="ZL7" s="1004"/>
      <c r="ZM7" s="1004"/>
      <c r="ZN7" s="1004"/>
      <c r="ZO7" s="1004"/>
      <c r="ZP7" s="1004"/>
      <c r="ZQ7" s="1004"/>
      <c r="ZR7" s="1004"/>
      <c r="ZS7" s="1004"/>
      <c r="ZT7" s="1004"/>
      <c r="ZU7" s="1004"/>
      <c r="ZV7" s="1004"/>
      <c r="ZW7" s="1004"/>
      <c r="ZX7" s="1004"/>
      <c r="ZY7" s="1004"/>
      <c r="ZZ7" s="1004"/>
      <c r="AAA7" s="1004"/>
      <c r="AAB7" s="1004"/>
      <c r="AAC7" s="1004"/>
      <c r="AAD7" s="1004"/>
      <c r="AAE7" s="1004"/>
      <c r="AAF7" s="1004"/>
      <c r="AAG7" s="1004"/>
      <c r="AAH7" s="1004"/>
      <c r="AAI7" s="1004"/>
      <c r="AAJ7" s="1004"/>
      <c r="AAK7" s="1004"/>
      <c r="AAL7" s="1004"/>
      <c r="AAM7" s="1004"/>
      <c r="AAN7" s="1004"/>
      <c r="AAO7" s="1004"/>
      <c r="AAP7" s="1004"/>
      <c r="AAQ7" s="1004"/>
      <c r="AAR7" s="1004"/>
      <c r="AAS7" s="1004"/>
      <c r="AAT7" s="1004"/>
      <c r="AAU7" s="1004"/>
      <c r="AAV7" s="1004"/>
      <c r="AAW7" s="1004"/>
      <c r="AAX7" s="1004"/>
      <c r="AAY7" s="1004"/>
      <c r="AAZ7" s="1004"/>
      <c r="ABA7" s="1004"/>
      <c r="ABB7" s="1004"/>
      <c r="ABC7" s="1004"/>
      <c r="ABD7" s="1004"/>
      <c r="ABE7" s="1004"/>
      <c r="ABF7" s="1004"/>
      <c r="ABG7" s="1004"/>
      <c r="ABH7" s="1004"/>
      <c r="ABI7" s="1004"/>
      <c r="ABJ7" s="1004"/>
      <c r="ABK7" s="1004"/>
      <c r="ABL7" s="1004"/>
      <c r="ABM7" s="1004"/>
      <c r="ABN7" s="1004"/>
      <c r="ABO7" s="1004"/>
      <c r="ABP7" s="1004"/>
      <c r="ABQ7" s="1004"/>
      <c r="ABR7" s="1004"/>
    </row>
    <row r="8" spans="1:746" s="1" customFormat="1" ht="9.75" customHeight="1">
      <c r="A8" s="923"/>
      <c r="B8" s="3052"/>
      <c r="C8" s="3053"/>
      <c r="D8" s="2314"/>
      <c r="E8" s="2986" t="s">
        <v>1223</v>
      </c>
      <c r="F8" s="2986"/>
      <c r="G8" s="2986"/>
      <c r="H8" s="2986"/>
      <c r="I8" s="2042">
        <f>fx!I9</f>
        <v>2016</v>
      </c>
      <c r="J8" s="2042">
        <f>fx!J9</f>
        <v>2016</v>
      </c>
      <c r="K8" s="2042">
        <f>fx!K9</f>
        <v>2016</v>
      </c>
      <c r="L8" s="2042">
        <f>fx!L9</f>
        <v>2016</v>
      </c>
      <c r="M8" s="2042">
        <f>fx!M9</f>
        <v>2016</v>
      </c>
      <c r="N8" s="2042">
        <f>fx!N9</f>
        <v>2016</v>
      </c>
      <c r="O8" s="2042">
        <f>fx!O9</f>
        <v>2016</v>
      </c>
      <c r="P8" s="2042">
        <f>fx!P9</f>
        <v>2016</v>
      </c>
      <c r="Q8" s="2043">
        <f>fx!Q9</f>
        <v>2016</v>
      </c>
      <c r="R8" s="2042">
        <f>fx!R9</f>
        <v>2016</v>
      </c>
      <c r="S8" s="2042">
        <f>fx!S9</f>
        <v>2016</v>
      </c>
      <c r="T8" s="2714">
        <f>fx!T9</f>
        <v>2016</v>
      </c>
      <c r="U8" s="2044">
        <f>fx!U9</f>
        <v>2017</v>
      </c>
      <c r="V8" s="2044">
        <f>fx!V9</f>
        <v>2017</v>
      </c>
      <c r="W8" s="2044">
        <f>fx!W9</f>
        <v>2017</v>
      </c>
      <c r="X8" s="2045">
        <f>fx!X9</f>
        <v>2017</v>
      </c>
      <c r="Y8" s="2044">
        <f>fx!Y9</f>
        <v>2017</v>
      </c>
      <c r="Z8" s="2044">
        <f>fx!Z9</f>
        <v>2017</v>
      </c>
      <c r="AA8" s="2044">
        <f>fx!AA9</f>
        <v>2017</v>
      </c>
      <c r="AB8" s="2044">
        <f>fx!AB9</f>
        <v>2017</v>
      </c>
      <c r="AC8" s="2044">
        <f>fx!AC9</f>
        <v>2017</v>
      </c>
      <c r="AD8" s="2044">
        <f>fx!AD9</f>
        <v>2017</v>
      </c>
      <c r="AE8" s="2044">
        <f>fx!AE9</f>
        <v>2017</v>
      </c>
      <c r="AF8" s="2044">
        <f>fx!AF9</f>
        <v>2017</v>
      </c>
      <c r="AG8" s="2207"/>
      <c r="AH8" s="2"/>
      <c r="AI8" s="2"/>
      <c r="AJ8" s="2048">
        <f>IF(fx!C57=1,T8,IF(fx!C57=2,AF8))</f>
        <v>2016</v>
      </c>
      <c r="AK8" s="433"/>
      <c r="AL8" s="2049">
        <f>IF(fx!C57=1,AF8,"← År 1")</f>
        <v>2017</v>
      </c>
      <c r="AM8" s="1004"/>
      <c r="AN8" s="1005"/>
      <c r="AO8" s="2974"/>
      <c r="AP8" s="2975"/>
      <c r="AQ8" s="2976"/>
      <c r="AR8" s="2294">
        <f>I8</f>
        <v>2016</v>
      </c>
      <c r="AS8" s="2294">
        <f t="shared" si="0"/>
        <v>2016</v>
      </c>
      <c r="AT8" s="2294">
        <f t="shared" si="0"/>
        <v>2016</v>
      </c>
      <c r="AU8" s="2294">
        <f t="shared" si="0"/>
        <v>2016</v>
      </c>
      <c r="AV8" s="2294">
        <f t="shared" si="0"/>
        <v>2016</v>
      </c>
      <c r="AW8" s="2294">
        <f t="shared" si="0"/>
        <v>2016</v>
      </c>
      <c r="AX8" s="2294">
        <f t="shared" si="0"/>
        <v>2016</v>
      </c>
      <c r="AY8" s="2294">
        <f t="shared" si="0"/>
        <v>2016</v>
      </c>
      <c r="AZ8" s="2294">
        <f t="shared" si="0"/>
        <v>2016</v>
      </c>
      <c r="BA8" s="2294">
        <f t="shared" si="0"/>
        <v>2016</v>
      </c>
      <c r="BB8" s="2294">
        <f t="shared" si="0"/>
        <v>2016</v>
      </c>
      <c r="BC8" s="2294">
        <f t="shared" si="0"/>
        <v>2016</v>
      </c>
      <c r="BD8" s="2295">
        <f t="shared" ref="BD8:BO8" si="1">U8</f>
        <v>2017</v>
      </c>
      <c r="BE8" s="2296">
        <f t="shared" si="1"/>
        <v>2017</v>
      </c>
      <c r="BF8" s="2297">
        <f t="shared" si="1"/>
        <v>2017</v>
      </c>
      <c r="BG8" s="2298">
        <f t="shared" si="1"/>
        <v>2017</v>
      </c>
      <c r="BH8" s="2296">
        <f t="shared" si="1"/>
        <v>2017</v>
      </c>
      <c r="BI8" s="2297">
        <f t="shared" si="1"/>
        <v>2017</v>
      </c>
      <c r="BJ8" s="2297">
        <f t="shared" si="1"/>
        <v>2017</v>
      </c>
      <c r="BK8" s="2296">
        <f t="shared" si="1"/>
        <v>2017</v>
      </c>
      <c r="BL8" s="2297">
        <f t="shared" si="1"/>
        <v>2017</v>
      </c>
      <c r="BM8" s="2297">
        <f t="shared" si="1"/>
        <v>2017</v>
      </c>
      <c r="BN8" s="2296">
        <f t="shared" si="1"/>
        <v>2017</v>
      </c>
      <c r="BO8" s="2297">
        <f t="shared" si="1"/>
        <v>2017</v>
      </c>
      <c r="BP8" s="1004"/>
      <c r="BQ8" s="1004"/>
      <c r="BR8" s="1004"/>
      <c r="BS8" s="1004"/>
      <c r="BT8" s="1004"/>
      <c r="BU8" s="1004"/>
      <c r="BV8" s="1004"/>
      <c r="BW8" s="1004"/>
      <c r="BX8" s="1004"/>
      <c r="BY8" s="1004"/>
      <c r="BZ8" s="1004"/>
      <c r="CA8" s="1004"/>
      <c r="CB8" s="1004"/>
      <c r="CC8" s="1004"/>
      <c r="CD8" s="1004"/>
      <c r="CE8" s="1004"/>
      <c r="CF8" s="1004"/>
      <c r="CG8" s="1004"/>
      <c r="CH8" s="1004"/>
      <c r="CI8" s="1004"/>
      <c r="CJ8" s="1004"/>
      <c r="CK8" s="1004"/>
      <c r="CL8" s="1004"/>
      <c r="CM8" s="1004"/>
      <c r="CN8" s="1004"/>
      <c r="CO8" s="1004"/>
      <c r="CP8" s="1004"/>
      <c r="CQ8" s="1004"/>
      <c r="CR8" s="1004"/>
      <c r="CS8" s="1004"/>
      <c r="CT8" s="1004"/>
      <c r="CU8" s="1004"/>
      <c r="CV8" s="1004"/>
      <c r="CW8" s="1004"/>
      <c r="CX8" s="1004"/>
      <c r="CY8" s="1004"/>
      <c r="CZ8" s="1004"/>
      <c r="DA8" s="1004"/>
      <c r="DB8" s="1004"/>
      <c r="DC8" s="1004"/>
      <c r="DD8" s="1004"/>
      <c r="DE8" s="1004"/>
      <c r="DF8" s="1004"/>
      <c r="DG8" s="1004"/>
      <c r="DH8" s="1004"/>
      <c r="DI8" s="1004"/>
      <c r="DJ8" s="1004"/>
      <c r="DK8" s="1004"/>
      <c r="DL8" s="1004"/>
      <c r="DM8" s="1004"/>
      <c r="DN8" s="1004"/>
      <c r="DO8" s="1004"/>
      <c r="DP8" s="1004"/>
      <c r="DQ8" s="1004"/>
      <c r="DR8" s="1004"/>
      <c r="DS8" s="1004"/>
      <c r="DT8" s="1004"/>
      <c r="DU8" s="1004"/>
      <c r="DV8" s="1004"/>
      <c r="DW8" s="1004"/>
      <c r="DX8" s="1004"/>
      <c r="DY8" s="1004"/>
      <c r="DZ8" s="1004"/>
      <c r="EA8" s="1004"/>
      <c r="EB8" s="1004"/>
      <c r="EC8" s="1004"/>
      <c r="ED8" s="1004"/>
      <c r="EE8" s="1004"/>
      <c r="EF8" s="1004"/>
      <c r="EG8" s="1004"/>
      <c r="EH8" s="1004"/>
      <c r="EI8" s="1004"/>
      <c r="EJ8" s="1004"/>
      <c r="EK8" s="1004"/>
      <c r="EL8" s="1004"/>
      <c r="EM8" s="1004"/>
      <c r="EN8" s="1004"/>
      <c r="EO8" s="1004"/>
      <c r="EP8" s="1004"/>
      <c r="EQ8" s="1004"/>
      <c r="ER8" s="1004"/>
      <c r="ES8" s="1004"/>
      <c r="ET8" s="1004"/>
      <c r="EU8" s="1004"/>
      <c r="EV8" s="1004"/>
      <c r="EW8" s="1004"/>
      <c r="EX8" s="1004"/>
      <c r="EY8" s="1004"/>
      <c r="EZ8" s="1004"/>
      <c r="FA8" s="1004"/>
      <c r="FB8" s="1004"/>
      <c r="FC8" s="1004"/>
      <c r="FD8" s="1004"/>
      <c r="FE8" s="1004"/>
      <c r="FF8" s="1004"/>
      <c r="FG8" s="1004"/>
      <c r="FH8" s="1004"/>
      <c r="FI8" s="1004"/>
      <c r="FJ8" s="1004"/>
      <c r="FK8" s="1004"/>
      <c r="FL8" s="1004"/>
      <c r="FM8" s="1004"/>
      <c r="FN8" s="1004"/>
      <c r="FO8" s="1004"/>
      <c r="FP8" s="1004"/>
      <c r="FQ8" s="1004"/>
      <c r="FR8" s="1004"/>
      <c r="FS8" s="1004"/>
      <c r="FT8" s="1004"/>
      <c r="FU8" s="1004"/>
      <c r="FV8" s="1004"/>
      <c r="FW8" s="1004"/>
      <c r="FX8" s="1004"/>
      <c r="FY8" s="1004"/>
      <c r="FZ8" s="1004"/>
      <c r="GA8" s="1004"/>
      <c r="GB8" s="1004"/>
      <c r="GC8" s="1004"/>
      <c r="GD8" s="1004"/>
      <c r="GE8" s="1004"/>
      <c r="GF8" s="1004"/>
      <c r="GG8" s="1004"/>
      <c r="GH8" s="1004"/>
      <c r="GI8" s="1004"/>
      <c r="GJ8" s="1004"/>
      <c r="GK8" s="1004"/>
      <c r="GL8" s="1004"/>
      <c r="GM8" s="1004"/>
      <c r="GN8" s="1004"/>
      <c r="GO8" s="1004"/>
      <c r="GP8" s="1004"/>
      <c r="GQ8" s="1004"/>
      <c r="GR8" s="1004"/>
      <c r="GS8" s="1004"/>
      <c r="GT8" s="1004"/>
      <c r="GU8" s="1004"/>
      <c r="GV8" s="1004"/>
      <c r="GW8" s="1004"/>
      <c r="GX8" s="1004"/>
      <c r="GY8" s="1004"/>
      <c r="GZ8" s="1004"/>
      <c r="HA8" s="1004"/>
      <c r="HB8" s="1004"/>
      <c r="HC8" s="1004"/>
      <c r="HD8" s="1004"/>
      <c r="HE8" s="1004"/>
      <c r="HF8" s="1004"/>
      <c r="HG8" s="1004"/>
      <c r="HH8" s="1004"/>
      <c r="HI8" s="1004"/>
      <c r="HJ8" s="1004"/>
      <c r="HK8" s="1004"/>
      <c r="HL8" s="1004"/>
      <c r="HM8" s="1004"/>
      <c r="HN8" s="1004"/>
      <c r="HO8" s="1004"/>
      <c r="HP8" s="1004"/>
      <c r="HQ8" s="1004"/>
      <c r="HR8" s="1004"/>
      <c r="HS8" s="1004"/>
      <c r="HT8" s="1004"/>
      <c r="HU8" s="1004"/>
      <c r="HV8" s="1004"/>
      <c r="HW8" s="1004"/>
      <c r="HX8" s="1004"/>
      <c r="HY8" s="1004"/>
      <c r="HZ8" s="1004"/>
      <c r="IA8" s="1004"/>
      <c r="IB8" s="1004"/>
      <c r="IC8" s="1004"/>
      <c r="ID8" s="1004"/>
      <c r="IE8" s="1004"/>
      <c r="IF8" s="1004"/>
      <c r="IG8" s="1004"/>
      <c r="IH8" s="1004"/>
      <c r="II8" s="1004"/>
      <c r="IJ8" s="1004"/>
      <c r="IK8" s="1004"/>
      <c r="IL8" s="1004"/>
      <c r="IM8" s="1004"/>
      <c r="IN8" s="1004"/>
      <c r="IO8" s="1004"/>
      <c r="IP8" s="1004"/>
      <c r="IQ8" s="1004"/>
      <c r="IR8" s="1004"/>
      <c r="IS8" s="1004"/>
      <c r="IT8" s="1004"/>
      <c r="IU8" s="1004"/>
      <c r="IV8" s="1004"/>
      <c r="IW8" s="1004"/>
      <c r="IX8" s="1004"/>
      <c r="IY8" s="1004"/>
      <c r="IZ8" s="1004"/>
      <c r="JA8" s="1004"/>
      <c r="JB8" s="1004"/>
      <c r="JC8" s="1004"/>
      <c r="JD8" s="1004"/>
      <c r="JE8" s="1004"/>
      <c r="JF8" s="1004"/>
      <c r="JG8" s="1004"/>
      <c r="JH8" s="1004"/>
      <c r="JI8" s="1004"/>
      <c r="JJ8" s="1004"/>
      <c r="JK8" s="1004"/>
      <c r="JL8" s="1004"/>
      <c r="JM8" s="1004"/>
      <c r="JN8" s="1004"/>
      <c r="JO8" s="1004"/>
      <c r="JP8" s="1004"/>
      <c r="JQ8" s="1004"/>
      <c r="JR8" s="1004"/>
      <c r="JS8" s="1004"/>
      <c r="JT8" s="1004"/>
      <c r="JU8" s="1004"/>
      <c r="JV8" s="1004"/>
      <c r="JW8" s="1004"/>
      <c r="JX8" s="1004"/>
      <c r="JY8" s="1004"/>
      <c r="JZ8" s="1004"/>
      <c r="KA8" s="1004"/>
      <c r="KB8" s="1004"/>
      <c r="KC8" s="1004"/>
      <c r="KD8" s="1004"/>
      <c r="KE8" s="1004"/>
      <c r="KF8" s="1004"/>
      <c r="KG8" s="1004"/>
      <c r="KH8" s="1004"/>
      <c r="KI8" s="1004"/>
      <c r="KJ8" s="1004"/>
      <c r="KK8" s="1004"/>
      <c r="KL8" s="1004"/>
      <c r="KM8" s="1004"/>
      <c r="KN8" s="1004"/>
      <c r="KO8" s="1004"/>
      <c r="KP8" s="1004"/>
      <c r="KQ8" s="1004"/>
      <c r="KR8" s="1004"/>
      <c r="KS8" s="1004"/>
      <c r="KT8" s="1004"/>
      <c r="KU8" s="1004"/>
      <c r="KV8" s="1004"/>
      <c r="KW8" s="1004"/>
      <c r="KX8" s="1004"/>
      <c r="KY8" s="1004"/>
      <c r="KZ8" s="1004"/>
      <c r="LA8" s="1004"/>
      <c r="LB8" s="1004"/>
      <c r="LC8" s="1004"/>
      <c r="LD8" s="1004"/>
      <c r="LE8" s="1004"/>
      <c r="LF8" s="1004"/>
      <c r="LG8" s="1004"/>
      <c r="LH8" s="1004"/>
      <c r="LI8" s="1004"/>
      <c r="LJ8" s="1004"/>
      <c r="LK8" s="1004"/>
      <c r="LL8" s="1004"/>
      <c r="LM8" s="1004"/>
      <c r="LN8" s="1004"/>
      <c r="LO8" s="1004"/>
      <c r="LP8" s="1004"/>
      <c r="LQ8" s="1004"/>
      <c r="LR8" s="1004"/>
      <c r="LS8" s="1004"/>
      <c r="LT8" s="1004"/>
      <c r="LU8" s="1004"/>
      <c r="LV8" s="1004"/>
      <c r="LW8" s="1004"/>
      <c r="LX8" s="1004"/>
      <c r="LY8" s="1004"/>
      <c r="LZ8" s="1004"/>
      <c r="MA8" s="1004"/>
      <c r="MB8" s="1004"/>
      <c r="MC8" s="1004"/>
      <c r="MD8" s="1004"/>
      <c r="ME8" s="1004"/>
      <c r="MF8" s="1004"/>
      <c r="MG8" s="1004"/>
      <c r="MH8" s="1004"/>
      <c r="MI8" s="1004"/>
      <c r="MJ8" s="1004"/>
      <c r="MK8" s="1004"/>
      <c r="ML8" s="1004"/>
      <c r="MM8" s="1004"/>
      <c r="MN8" s="1004"/>
      <c r="MO8" s="1004"/>
      <c r="MP8" s="1004"/>
      <c r="MQ8" s="1004"/>
      <c r="MR8" s="1004"/>
      <c r="MS8" s="1004"/>
      <c r="MT8" s="1004"/>
      <c r="MU8" s="1004"/>
      <c r="MV8" s="1004"/>
      <c r="MW8" s="1004"/>
      <c r="MX8" s="1004"/>
      <c r="MY8" s="1004"/>
      <c r="MZ8" s="1004"/>
      <c r="NA8" s="1004"/>
      <c r="NB8" s="1004"/>
      <c r="NC8" s="1004"/>
      <c r="ND8" s="1004"/>
      <c r="NE8" s="1004"/>
      <c r="NF8" s="1004"/>
      <c r="NG8" s="1004"/>
      <c r="NH8" s="1004"/>
      <c r="NI8" s="1004"/>
      <c r="NJ8" s="1004"/>
      <c r="NK8" s="1004"/>
      <c r="NL8" s="1004"/>
      <c r="NM8" s="1004"/>
      <c r="NN8" s="1004"/>
      <c r="NO8" s="1004"/>
      <c r="NP8" s="1004"/>
      <c r="NQ8" s="1004"/>
      <c r="NR8" s="1004"/>
      <c r="NS8" s="1004"/>
      <c r="NT8" s="1004"/>
      <c r="NU8" s="1004"/>
      <c r="NV8" s="1004"/>
      <c r="NW8" s="1004"/>
      <c r="NX8" s="1004"/>
      <c r="NY8" s="1004"/>
      <c r="NZ8" s="1004"/>
      <c r="OA8" s="1004"/>
      <c r="OB8" s="1004"/>
      <c r="OC8" s="1004"/>
      <c r="OD8" s="1004"/>
      <c r="OE8" s="1004"/>
      <c r="OF8" s="1004"/>
      <c r="OG8" s="1004"/>
      <c r="OH8" s="1004"/>
      <c r="OI8" s="1004"/>
      <c r="OJ8" s="1004"/>
      <c r="OK8" s="1004"/>
      <c r="OL8" s="1004"/>
      <c r="OM8" s="1004"/>
      <c r="ON8" s="1004"/>
      <c r="OO8" s="1004"/>
      <c r="OP8" s="1004"/>
      <c r="OQ8" s="1004"/>
      <c r="OR8" s="1004"/>
      <c r="OS8" s="1004"/>
      <c r="OT8" s="1004"/>
      <c r="OU8" s="1004"/>
      <c r="OV8" s="1004"/>
      <c r="OW8" s="1004"/>
      <c r="OX8" s="1004"/>
      <c r="OY8" s="1004"/>
      <c r="OZ8" s="1004"/>
      <c r="PA8" s="1004"/>
      <c r="PB8" s="1004"/>
      <c r="PC8" s="1004"/>
      <c r="PD8" s="1004"/>
      <c r="PE8" s="1004"/>
      <c r="PF8" s="1004"/>
      <c r="PG8" s="1004"/>
      <c r="PH8" s="1004"/>
      <c r="PI8" s="1004"/>
      <c r="PJ8" s="1004"/>
      <c r="PK8" s="1004"/>
      <c r="PL8" s="1004"/>
      <c r="PM8" s="1004"/>
      <c r="PN8" s="1004"/>
      <c r="PO8" s="1004"/>
      <c r="PP8" s="1004"/>
      <c r="PQ8" s="1004"/>
      <c r="PR8" s="1004"/>
      <c r="PS8" s="1004"/>
      <c r="PT8" s="1004"/>
      <c r="PU8" s="1004"/>
      <c r="PV8" s="1004"/>
      <c r="PW8" s="1004"/>
      <c r="PX8" s="1004"/>
      <c r="PY8" s="1004"/>
      <c r="PZ8" s="1004"/>
      <c r="QA8" s="1004"/>
      <c r="QB8" s="1004"/>
      <c r="QC8" s="1004"/>
      <c r="QD8" s="1004"/>
      <c r="QE8" s="1004"/>
      <c r="QF8" s="1004"/>
      <c r="QG8" s="1004"/>
      <c r="QH8" s="1004"/>
      <c r="QI8" s="1004"/>
      <c r="QJ8" s="1004"/>
      <c r="QK8" s="1004"/>
      <c r="QL8" s="1004"/>
      <c r="QM8" s="1004"/>
      <c r="QN8" s="1004"/>
      <c r="QO8" s="1004"/>
      <c r="QP8" s="1004"/>
      <c r="QQ8" s="1004"/>
      <c r="QR8" s="1004"/>
      <c r="QS8" s="1004"/>
      <c r="QT8" s="1004"/>
      <c r="QU8" s="1004"/>
      <c r="QV8" s="1004"/>
      <c r="QW8" s="1004"/>
      <c r="QX8" s="1004"/>
      <c r="QY8" s="1004"/>
      <c r="QZ8" s="1004"/>
      <c r="RA8" s="1004"/>
      <c r="RB8" s="1004"/>
      <c r="RC8" s="1004"/>
      <c r="RD8" s="1004"/>
      <c r="RE8" s="1004"/>
      <c r="RF8" s="1004"/>
      <c r="RG8" s="1004"/>
      <c r="RH8" s="1004"/>
      <c r="RI8" s="1004"/>
      <c r="RJ8" s="1004"/>
      <c r="RK8" s="1004"/>
      <c r="RL8" s="1004"/>
      <c r="RM8" s="1004"/>
      <c r="RN8" s="1004"/>
      <c r="RO8" s="1004"/>
      <c r="RP8" s="1004"/>
      <c r="RQ8" s="1004"/>
      <c r="RR8" s="1004"/>
      <c r="RS8" s="1004"/>
      <c r="RT8" s="1004"/>
      <c r="RU8" s="1004"/>
      <c r="RV8" s="1004"/>
      <c r="RW8" s="1004"/>
      <c r="RX8" s="1004"/>
      <c r="RY8" s="1004"/>
      <c r="RZ8" s="1004"/>
      <c r="SA8" s="1004"/>
      <c r="SB8" s="1004"/>
      <c r="SC8" s="1004"/>
      <c r="SD8" s="1004"/>
      <c r="SE8" s="1004"/>
      <c r="SF8" s="1004"/>
      <c r="SG8" s="1004"/>
      <c r="SH8" s="1004"/>
      <c r="SI8" s="1004"/>
      <c r="SJ8" s="1004"/>
      <c r="SK8" s="1004"/>
      <c r="SL8" s="1004"/>
      <c r="SM8" s="1004"/>
      <c r="SN8" s="1004"/>
      <c r="SO8" s="1004"/>
      <c r="SP8" s="1004"/>
      <c r="SQ8" s="1004"/>
      <c r="SR8" s="1004"/>
      <c r="SS8" s="1004"/>
      <c r="ST8" s="1004"/>
      <c r="SU8" s="1004"/>
      <c r="SV8" s="1004"/>
      <c r="SW8" s="1004"/>
      <c r="SX8" s="1004"/>
      <c r="SY8" s="1004"/>
      <c r="SZ8" s="1004"/>
      <c r="TA8" s="1004"/>
      <c r="TB8" s="1004"/>
      <c r="TC8" s="1004"/>
      <c r="TD8" s="1004"/>
      <c r="TE8" s="1004"/>
      <c r="TF8" s="1004"/>
      <c r="TG8" s="1004"/>
      <c r="TH8" s="1004"/>
      <c r="TI8" s="1004"/>
      <c r="TJ8" s="1004"/>
      <c r="TK8" s="1004"/>
      <c r="TL8" s="1004"/>
      <c r="TM8" s="1004"/>
      <c r="TN8" s="1004"/>
      <c r="TO8" s="1004"/>
      <c r="TP8" s="1004"/>
      <c r="TQ8" s="1004"/>
      <c r="TR8" s="1004"/>
      <c r="TS8" s="1004"/>
      <c r="TT8" s="1004"/>
      <c r="TU8" s="1004"/>
      <c r="TV8" s="1004"/>
      <c r="TW8" s="1004"/>
      <c r="TX8" s="1004"/>
      <c r="TY8" s="1004"/>
      <c r="TZ8" s="1004"/>
      <c r="UA8" s="1004"/>
      <c r="UB8" s="1004"/>
      <c r="UC8" s="1004"/>
      <c r="UD8" s="1004"/>
      <c r="UE8" s="1004"/>
      <c r="UF8" s="1004"/>
      <c r="UG8" s="1004"/>
      <c r="UH8" s="1004"/>
      <c r="UI8" s="1004"/>
      <c r="UJ8" s="1004"/>
      <c r="UK8" s="1004"/>
      <c r="UL8" s="1004"/>
      <c r="UM8" s="1004"/>
      <c r="UN8" s="1004"/>
      <c r="UO8" s="1004"/>
      <c r="UP8" s="1004"/>
      <c r="UQ8" s="1004"/>
      <c r="UR8" s="1004"/>
      <c r="US8" s="1004"/>
      <c r="UT8" s="1004"/>
      <c r="UU8" s="1004"/>
      <c r="UV8" s="1004"/>
      <c r="UW8" s="1004"/>
      <c r="UX8" s="1004"/>
      <c r="UY8" s="1004"/>
      <c r="UZ8" s="1004"/>
      <c r="VA8" s="1004"/>
      <c r="VB8" s="1004"/>
      <c r="VC8" s="1004"/>
      <c r="VD8" s="1004"/>
      <c r="VE8" s="1004"/>
      <c r="VF8" s="1004"/>
      <c r="VG8" s="1004"/>
      <c r="VH8" s="1004"/>
      <c r="VI8" s="1004"/>
      <c r="VJ8" s="1004"/>
      <c r="VK8" s="1004"/>
      <c r="VL8" s="1004"/>
      <c r="VM8" s="1004"/>
      <c r="VN8" s="1004"/>
      <c r="VO8" s="1004"/>
      <c r="VP8" s="1004"/>
      <c r="VQ8" s="1004"/>
      <c r="VR8" s="1004"/>
      <c r="VS8" s="1004"/>
      <c r="VT8" s="1004"/>
      <c r="VU8" s="1004"/>
      <c r="VV8" s="1004"/>
      <c r="VW8" s="1004"/>
      <c r="VX8" s="1004"/>
      <c r="VY8" s="1004"/>
      <c r="VZ8" s="1004"/>
      <c r="WA8" s="1004"/>
      <c r="WB8" s="1004"/>
      <c r="WC8" s="1004"/>
      <c r="WD8" s="1004"/>
      <c r="WE8" s="1004"/>
      <c r="WF8" s="1004"/>
      <c r="WG8" s="1004"/>
      <c r="WH8" s="1004"/>
      <c r="WI8" s="1004"/>
      <c r="WJ8" s="1004"/>
      <c r="WK8" s="1004"/>
      <c r="WL8" s="1004"/>
      <c r="WM8" s="1004"/>
      <c r="WN8" s="1004"/>
      <c r="WO8" s="1004"/>
      <c r="WP8" s="1004"/>
      <c r="WQ8" s="1004"/>
      <c r="WR8" s="1004"/>
      <c r="WS8" s="1004"/>
      <c r="WT8" s="1004"/>
      <c r="WU8" s="1004"/>
      <c r="WV8" s="1004"/>
      <c r="WW8" s="1004"/>
      <c r="WX8" s="1004"/>
      <c r="WY8" s="1004"/>
      <c r="WZ8" s="1004"/>
      <c r="XA8" s="1004"/>
      <c r="XB8" s="1004"/>
      <c r="XC8" s="1004"/>
      <c r="XD8" s="1004"/>
      <c r="XE8" s="1004"/>
      <c r="XF8" s="1004"/>
      <c r="XG8" s="1004"/>
      <c r="XH8" s="1004"/>
      <c r="XI8" s="1004"/>
      <c r="XJ8" s="1004"/>
      <c r="XK8" s="1004"/>
      <c r="XL8" s="1004"/>
      <c r="XM8" s="1004"/>
      <c r="XN8" s="1004"/>
      <c r="XO8" s="1004"/>
      <c r="XP8" s="1004"/>
      <c r="XQ8" s="1004"/>
      <c r="XR8" s="1004"/>
      <c r="XS8" s="1004"/>
      <c r="XT8" s="1004"/>
      <c r="XU8" s="1004"/>
      <c r="XV8" s="1004"/>
      <c r="XW8" s="1004"/>
      <c r="XX8" s="1004"/>
      <c r="XY8" s="1004"/>
      <c r="XZ8" s="1004"/>
      <c r="YA8" s="1004"/>
      <c r="YB8" s="1004"/>
      <c r="YC8" s="1004"/>
      <c r="YD8" s="1004"/>
      <c r="YE8" s="1004"/>
      <c r="YF8" s="1004"/>
      <c r="YG8" s="1004"/>
      <c r="YH8" s="1004"/>
      <c r="YI8" s="1004"/>
      <c r="YJ8" s="1004"/>
      <c r="YK8" s="1004"/>
      <c r="YL8" s="1004"/>
      <c r="YM8" s="1004"/>
      <c r="YN8" s="1004"/>
      <c r="YO8" s="1004"/>
      <c r="YP8" s="1004"/>
      <c r="YQ8" s="1004"/>
      <c r="YR8" s="1004"/>
      <c r="YS8" s="1004"/>
      <c r="YT8" s="1004"/>
      <c r="YU8" s="1004"/>
      <c r="YV8" s="1004"/>
      <c r="YW8" s="1004"/>
      <c r="YX8" s="1004"/>
      <c r="YY8" s="1004"/>
      <c r="YZ8" s="1004"/>
      <c r="ZA8" s="1004"/>
      <c r="ZB8" s="1004"/>
      <c r="ZC8" s="1004"/>
      <c r="ZD8" s="1004"/>
      <c r="ZE8" s="1004"/>
      <c r="ZF8" s="1004"/>
      <c r="ZG8" s="1004"/>
      <c r="ZH8" s="1004"/>
      <c r="ZI8" s="1004"/>
      <c r="ZJ8" s="1004"/>
      <c r="ZK8" s="1004"/>
      <c r="ZL8" s="1004"/>
      <c r="ZM8" s="1004"/>
      <c r="ZN8" s="1004"/>
      <c r="ZO8" s="1004"/>
      <c r="ZP8" s="1004"/>
      <c r="ZQ8" s="1004"/>
      <c r="ZR8" s="1004"/>
      <c r="ZS8" s="1004"/>
      <c r="ZT8" s="1004"/>
      <c r="ZU8" s="1004"/>
      <c r="ZV8" s="1004"/>
      <c r="ZW8" s="1004"/>
      <c r="ZX8" s="1004"/>
      <c r="ZY8" s="1004"/>
      <c r="ZZ8" s="1004"/>
      <c r="AAA8" s="1004"/>
      <c r="AAB8" s="1004"/>
      <c r="AAC8" s="1004"/>
      <c r="AAD8" s="1004"/>
      <c r="AAE8" s="1004"/>
      <c r="AAF8" s="1004"/>
      <c r="AAG8" s="1004"/>
      <c r="AAH8" s="1004"/>
      <c r="AAI8" s="1004"/>
      <c r="AAJ8" s="1004"/>
      <c r="AAK8" s="1004"/>
      <c r="AAL8" s="1004"/>
      <c r="AAM8" s="1004"/>
      <c r="AAN8" s="1004"/>
      <c r="AAO8" s="1004"/>
      <c r="AAP8" s="1004"/>
      <c r="AAQ8" s="1004"/>
      <c r="AAR8" s="1004"/>
      <c r="AAS8" s="1004"/>
      <c r="AAT8" s="1004"/>
      <c r="AAU8" s="1004"/>
      <c r="AAV8" s="1004"/>
      <c r="AAW8" s="1004"/>
      <c r="AAX8" s="1004"/>
      <c r="AAY8" s="1004"/>
      <c r="AAZ8" s="1004"/>
      <c r="ABA8" s="1004"/>
      <c r="ABB8" s="1004"/>
      <c r="ABC8" s="1004"/>
      <c r="ABD8" s="1004"/>
      <c r="ABE8" s="1004"/>
      <c r="ABF8" s="1004"/>
      <c r="ABG8" s="1004"/>
      <c r="ABH8" s="1004"/>
      <c r="ABI8" s="1004"/>
      <c r="ABJ8" s="1004"/>
      <c r="ABK8" s="1004"/>
      <c r="ABL8" s="1004"/>
      <c r="ABM8" s="1004"/>
      <c r="ABN8" s="1004"/>
      <c r="ABO8" s="1004"/>
      <c r="ABP8" s="1004"/>
      <c r="ABQ8" s="1004"/>
      <c r="ABR8" s="1004"/>
    </row>
    <row r="9" spans="1:746" s="111" customFormat="1" ht="12.75" customHeight="1">
      <c r="A9" s="924"/>
      <c r="B9" s="3045" t="s">
        <v>807</v>
      </c>
      <c r="C9" s="931"/>
      <c r="D9" s="176"/>
      <c r="E9" s="803" t="s">
        <v>176</v>
      </c>
      <c r="F9" s="804"/>
      <c r="G9" s="803" t="s">
        <v>436</v>
      </c>
      <c r="H9" s="2158"/>
      <c r="I9" s="2569" t="str">
        <f>IF(AND(SUM(I11:T14)=0,SUM(I37:T40)=0),"Budgetera på detta ARBETSBLAD! Granska och skriv ut på flikarna högerut, Resultatbudget_Helår osv.",0)</f>
        <v>Budgetera på detta ARBETSBLAD! Granska och skriv ut på flikarna högerut, Resultatbudget_Helår osv.</v>
      </c>
      <c r="J9" s="806"/>
      <c r="K9" s="806"/>
      <c r="L9" s="806"/>
      <c r="M9" s="806"/>
      <c r="N9" s="806"/>
      <c r="O9" s="806"/>
      <c r="P9" s="806"/>
      <c r="Q9" s="806"/>
      <c r="R9" s="806"/>
      <c r="S9" s="806"/>
      <c r="T9" s="978"/>
      <c r="U9" s="806"/>
      <c r="V9" s="805"/>
      <c r="W9" s="806"/>
      <c r="X9" s="806"/>
      <c r="Y9" s="805"/>
      <c r="Z9" s="806"/>
      <c r="AA9" s="806"/>
      <c r="AB9" s="805"/>
      <c r="AC9" s="806"/>
      <c r="AD9" s="806"/>
      <c r="AE9" s="805"/>
      <c r="AF9" s="807"/>
      <c r="AG9" s="2208"/>
      <c r="AH9" s="2"/>
      <c r="AI9" s="2"/>
      <c r="AJ9" s="1045"/>
      <c r="AK9" s="1045"/>
      <c r="AL9" s="1045"/>
      <c r="AM9" s="1009"/>
      <c r="AN9" s="1010"/>
      <c r="AO9" s="1925"/>
      <c r="AP9" s="1928"/>
      <c r="AQ9" s="1929"/>
      <c r="AR9" s="2299" t="str">
        <f>IF(fx!I$57=0,"&gt;&gt;",IF($L$4=I$6,"","Välj 1-12 i P4"))</f>
        <v/>
      </c>
      <c r="AS9" s="2300" t="str">
        <f>IF(fx!J$57=0,"&gt;&gt;",IF($L$4=J$6,"Startmånad",""))</f>
        <v/>
      </c>
      <c r="AT9" s="2300" t="str">
        <f>IF(fx!K$57=0,"&gt;&gt;",IF($L$4=K$6,"Startmånad",""))</f>
        <v/>
      </c>
      <c r="AU9" s="2300" t="str">
        <f>IF(fx!L$57=0,"&gt;&gt;",IF($L$4=L$6,"Startmånad",""))</f>
        <v/>
      </c>
      <c r="AV9" s="2300" t="str">
        <f>IF(fx!M$57=0,"&gt;&gt;",IF($L$4=M$6,"Startmånad",""))</f>
        <v/>
      </c>
      <c r="AW9" s="2300" t="str">
        <f>IF(fx!N$57=0,"&gt;&gt;",IF($L$4=N$6,"Startmånad",""))</f>
        <v/>
      </c>
      <c r="AX9" s="2300" t="str">
        <f>IF(AND(fx!$C$57=1,fx!O$57=0),"&gt;&gt;",IF(AND(fx!$C$57=1,$L$4=$O$6),"Startmånad",IF(AND(fx!$C$57=2,$L$4&lt;7),"Välj 7-12 i P4",IF(AND(fx!$C$57=2,$L$4=$O$6),"Startmånad",IF(AND(fx!$C$57=2,$L$4&gt;$O$6),"&gt;&gt;","")))))</f>
        <v/>
      </c>
      <c r="AY9" s="2300" t="str">
        <f>IF(fx!P$57=0,"&gt;&gt;",IF($L$4=P$6,"Startmånad",""))</f>
        <v/>
      </c>
      <c r="AZ9" s="2300" t="str">
        <f>IF(fx!Q$57=0,"&gt;&gt;",IF($L$4=Q$6,"Startmånad",""))</f>
        <v/>
      </c>
      <c r="BA9" s="2300" t="str">
        <f>IF(fx!R$57=0,"&gt;&gt;",IF($L$4=R$6,"Startmånad",""))</f>
        <v/>
      </c>
      <c r="BB9" s="2300" t="str">
        <f>IF(fx!S$57=0,"&gt;&gt;",IF($L$4=S$6,"Startmånad",""))</f>
        <v/>
      </c>
      <c r="BC9" s="2300" t="str">
        <f>IF(fx!T$57=0,"&gt;&gt;",IF($L$4=T$6,"Startmånad",""))</f>
        <v/>
      </c>
      <c r="BD9" s="1645"/>
      <c r="BE9" s="1645"/>
      <c r="BF9" s="1645"/>
      <c r="BG9" s="1645"/>
      <c r="BH9" s="1645"/>
      <c r="BI9" s="1645"/>
      <c r="BJ9" s="1645"/>
      <c r="BK9" s="1645"/>
      <c r="BL9" s="1645"/>
      <c r="BM9" s="1645"/>
      <c r="BN9" s="1645"/>
      <c r="BO9" s="2301"/>
      <c r="BP9" s="1009"/>
      <c r="BQ9" s="1009"/>
      <c r="BR9" s="1009"/>
      <c r="BS9" s="1009"/>
      <c r="BT9" s="1009"/>
      <c r="BU9" s="1009"/>
      <c r="BV9" s="1009"/>
      <c r="BW9" s="1009"/>
      <c r="BX9" s="1009"/>
      <c r="BY9" s="1009"/>
      <c r="BZ9" s="1009"/>
      <c r="CA9" s="1009"/>
      <c r="CB9" s="1009"/>
      <c r="CC9" s="1009"/>
      <c r="CD9" s="1009"/>
      <c r="CE9" s="1009"/>
      <c r="CF9" s="1009"/>
      <c r="CG9" s="1009"/>
      <c r="CH9" s="1009"/>
      <c r="CI9" s="1009"/>
      <c r="CJ9" s="1009"/>
      <c r="CK9" s="1009"/>
      <c r="CL9" s="1009"/>
      <c r="CM9" s="1009"/>
      <c r="CN9" s="1009"/>
      <c r="CO9" s="1009"/>
      <c r="CP9" s="1009"/>
      <c r="CQ9" s="1009"/>
      <c r="CR9" s="1009"/>
      <c r="CS9" s="1009"/>
      <c r="CT9" s="1009"/>
      <c r="CU9" s="1009"/>
      <c r="CV9" s="1009"/>
      <c r="CW9" s="1009"/>
      <c r="CX9" s="1009"/>
      <c r="CY9" s="1009"/>
      <c r="CZ9" s="1009"/>
      <c r="DA9" s="1009"/>
      <c r="DB9" s="1009"/>
      <c r="DC9" s="1009"/>
      <c r="DD9" s="1009"/>
      <c r="DE9" s="1009"/>
      <c r="DF9" s="1009"/>
      <c r="DG9" s="1009"/>
      <c r="DH9" s="1009"/>
      <c r="DI9" s="1009"/>
      <c r="DJ9" s="1009"/>
      <c r="DK9" s="1009"/>
      <c r="DL9" s="1009"/>
      <c r="DM9" s="1009"/>
      <c r="DN9" s="1009"/>
      <c r="DO9" s="1009"/>
      <c r="DP9" s="1009"/>
      <c r="DQ9" s="1009"/>
      <c r="DR9" s="1009"/>
      <c r="DS9" s="1009"/>
      <c r="DT9" s="1009"/>
      <c r="DU9" s="1009"/>
      <c r="DV9" s="1009"/>
      <c r="DW9" s="1009"/>
      <c r="DX9" s="1009"/>
      <c r="DY9" s="1009"/>
      <c r="DZ9" s="1009"/>
      <c r="EA9" s="1009"/>
      <c r="EB9" s="1009"/>
      <c r="EC9" s="1009"/>
      <c r="ED9" s="1009"/>
      <c r="EE9" s="1009"/>
      <c r="EF9" s="1009"/>
      <c r="EG9" s="1009"/>
      <c r="EH9" s="1009"/>
      <c r="EI9" s="1009"/>
      <c r="EJ9" s="1009"/>
      <c r="EK9" s="1009"/>
      <c r="EL9" s="1009"/>
      <c r="EM9" s="1009"/>
      <c r="EN9" s="1009"/>
      <c r="EO9" s="1009"/>
      <c r="EP9" s="1009"/>
      <c r="EQ9" s="1009"/>
      <c r="ER9" s="1009"/>
      <c r="ES9" s="1009"/>
      <c r="ET9" s="1009"/>
      <c r="EU9" s="1009"/>
      <c r="EV9" s="1009"/>
      <c r="EW9" s="1009"/>
      <c r="EX9" s="1009"/>
      <c r="EY9" s="1009"/>
      <c r="EZ9" s="1009"/>
      <c r="FA9" s="1009"/>
      <c r="FB9" s="1009"/>
      <c r="FC9" s="1009"/>
      <c r="FD9" s="1009"/>
      <c r="FE9" s="1009"/>
      <c r="FF9" s="1009"/>
      <c r="FG9" s="1009"/>
      <c r="FH9" s="1009"/>
      <c r="FI9" s="1009"/>
      <c r="FJ9" s="1009"/>
      <c r="FK9" s="1009"/>
      <c r="FL9" s="1009"/>
      <c r="FM9" s="1009"/>
      <c r="FN9" s="1009"/>
      <c r="FO9" s="1009"/>
      <c r="FP9" s="1009"/>
      <c r="FQ9" s="1009"/>
      <c r="FR9" s="1009"/>
      <c r="FS9" s="1009"/>
      <c r="FT9" s="1009"/>
      <c r="FU9" s="1009"/>
      <c r="FV9" s="1009"/>
      <c r="FW9" s="1009"/>
      <c r="FX9" s="1009"/>
      <c r="FY9" s="1009"/>
      <c r="FZ9" s="1009"/>
      <c r="GA9" s="1009"/>
      <c r="GB9" s="1009"/>
      <c r="GC9" s="1009"/>
      <c r="GD9" s="1009"/>
      <c r="GE9" s="1009"/>
      <c r="GF9" s="1009"/>
      <c r="GG9" s="1009"/>
      <c r="GH9" s="1009"/>
      <c r="GI9" s="1009"/>
      <c r="GJ9" s="1009"/>
      <c r="GK9" s="1009"/>
      <c r="GL9" s="1009"/>
      <c r="GM9" s="1009"/>
      <c r="GN9" s="1009"/>
      <c r="GO9" s="1009"/>
      <c r="GP9" s="1009"/>
      <c r="GQ9" s="1009"/>
      <c r="GR9" s="1009"/>
      <c r="GS9" s="1009"/>
      <c r="GT9" s="1009"/>
      <c r="GU9" s="1009"/>
      <c r="GV9" s="1009"/>
      <c r="GW9" s="1009"/>
      <c r="GX9" s="1009"/>
      <c r="GY9" s="1009"/>
      <c r="GZ9" s="1009"/>
      <c r="HA9" s="1009"/>
      <c r="HB9" s="1009"/>
      <c r="HC9" s="1009"/>
      <c r="HD9" s="1009"/>
      <c r="HE9" s="1009"/>
      <c r="HF9" s="1009"/>
      <c r="HG9" s="1009"/>
      <c r="HH9" s="1009"/>
      <c r="HI9" s="1009"/>
      <c r="HJ9" s="1009"/>
      <c r="HK9" s="1009"/>
      <c r="HL9" s="1009"/>
      <c r="HM9" s="1009"/>
      <c r="HN9" s="1009"/>
      <c r="HO9" s="1009"/>
      <c r="HP9" s="1009"/>
      <c r="HQ9" s="1009"/>
      <c r="HR9" s="1009"/>
      <c r="HS9" s="1009"/>
      <c r="HT9" s="1009"/>
      <c r="HU9" s="1009"/>
      <c r="HV9" s="1009"/>
      <c r="HW9" s="1009"/>
      <c r="HX9" s="1009"/>
      <c r="HY9" s="1009"/>
      <c r="HZ9" s="1009"/>
      <c r="IA9" s="1009"/>
      <c r="IB9" s="1009"/>
      <c r="IC9" s="1009"/>
      <c r="ID9" s="1009"/>
      <c r="IE9" s="1009"/>
      <c r="IF9" s="1009"/>
      <c r="IG9" s="1009"/>
      <c r="IH9" s="1009"/>
      <c r="II9" s="1009"/>
      <c r="IJ9" s="1009"/>
      <c r="IK9" s="1009"/>
      <c r="IL9" s="1009"/>
      <c r="IM9" s="1009"/>
      <c r="IN9" s="1009"/>
      <c r="IO9" s="1009"/>
      <c r="IP9" s="1009"/>
      <c r="IQ9" s="1009"/>
      <c r="IR9" s="1009"/>
      <c r="IS9" s="1009"/>
      <c r="IT9" s="1009"/>
      <c r="IU9" s="1009"/>
      <c r="IV9" s="1009"/>
      <c r="IW9" s="1009"/>
      <c r="IX9" s="1009"/>
      <c r="IY9" s="1009"/>
      <c r="IZ9" s="1009"/>
      <c r="JA9" s="1009"/>
      <c r="JB9" s="1009"/>
      <c r="JC9" s="1009"/>
      <c r="JD9" s="1009"/>
      <c r="JE9" s="1009"/>
      <c r="JF9" s="1009"/>
      <c r="JG9" s="1009"/>
      <c r="JH9" s="1009"/>
      <c r="JI9" s="1009"/>
      <c r="JJ9" s="1009"/>
      <c r="JK9" s="1009"/>
      <c r="JL9" s="1009"/>
      <c r="JM9" s="1009"/>
      <c r="JN9" s="1009"/>
      <c r="JO9" s="1009"/>
      <c r="JP9" s="1009"/>
      <c r="JQ9" s="1009"/>
      <c r="JR9" s="1009"/>
      <c r="JS9" s="1009"/>
      <c r="JT9" s="1009"/>
      <c r="JU9" s="1009"/>
      <c r="JV9" s="1009"/>
      <c r="JW9" s="1009"/>
      <c r="JX9" s="1009"/>
      <c r="JY9" s="1009"/>
      <c r="JZ9" s="1009"/>
      <c r="KA9" s="1009"/>
      <c r="KB9" s="1009"/>
      <c r="KC9" s="1009"/>
      <c r="KD9" s="1009"/>
      <c r="KE9" s="1009"/>
      <c r="KF9" s="1009"/>
      <c r="KG9" s="1009"/>
      <c r="KH9" s="1009"/>
      <c r="KI9" s="1009"/>
      <c r="KJ9" s="1009"/>
      <c r="KK9" s="1009"/>
      <c r="KL9" s="1009"/>
      <c r="KM9" s="1009"/>
      <c r="KN9" s="1009"/>
      <c r="KO9" s="1009"/>
      <c r="KP9" s="1009"/>
      <c r="KQ9" s="1009"/>
      <c r="KR9" s="1009"/>
      <c r="KS9" s="1009"/>
      <c r="KT9" s="1009"/>
      <c r="KU9" s="1009"/>
      <c r="KV9" s="1009"/>
      <c r="KW9" s="1009"/>
      <c r="KX9" s="1009"/>
      <c r="KY9" s="1009"/>
      <c r="KZ9" s="1009"/>
      <c r="LA9" s="1009"/>
      <c r="LB9" s="1009"/>
      <c r="LC9" s="1009"/>
      <c r="LD9" s="1009"/>
      <c r="LE9" s="1009"/>
      <c r="LF9" s="1009"/>
      <c r="LG9" s="1009"/>
      <c r="LH9" s="1009"/>
      <c r="LI9" s="1009"/>
      <c r="LJ9" s="1009"/>
      <c r="LK9" s="1009"/>
      <c r="LL9" s="1009"/>
      <c r="LM9" s="1009"/>
      <c r="LN9" s="1009"/>
      <c r="LO9" s="1009"/>
      <c r="LP9" s="1009"/>
      <c r="LQ9" s="1009"/>
      <c r="LR9" s="1009"/>
      <c r="LS9" s="1009"/>
      <c r="LT9" s="1009"/>
      <c r="LU9" s="1009"/>
      <c r="LV9" s="1009"/>
      <c r="LW9" s="1009"/>
      <c r="LX9" s="1009"/>
      <c r="LY9" s="1009"/>
      <c r="LZ9" s="1009"/>
      <c r="MA9" s="1009"/>
      <c r="MB9" s="1009"/>
      <c r="MC9" s="1009"/>
      <c r="MD9" s="1009"/>
      <c r="ME9" s="1009"/>
      <c r="MF9" s="1009"/>
      <c r="MG9" s="1009"/>
      <c r="MH9" s="1009"/>
      <c r="MI9" s="1009"/>
      <c r="MJ9" s="1009"/>
      <c r="MK9" s="1009"/>
      <c r="ML9" s="1009"/>
      <c r="MM9" s="1009"/>
      <c r="MN9" s="1009"/>
      <c r="MO9" s="1009"/>
      <c r="MP9" s="1009"/>
      <c r="MQ9" s="1009"/>
      <c r="MR9" s="1009"/>
      <c r="MS9" s="1009"/>
      <c r="MT9" s="1009"/>
      <c r="MU9" s="1009"/>
      <c r="MV9" s="1009"/>
      <c r="MW9" s="1009"/>
      <c r="MX9" s="1009"/>
      <c r="MY9" s="1009"/>
      <c r="MZ9" s="1009"/>
      <c r="NA9" s="1009"/>
      <c r="NB9" s="1009"/>
      <c r="NC9" s="1009"/>
      <c r="ND9" s="1009"/>
      <c r="NE9" s="1009"/>
      <c r="NF9" s="1009"/>
      <c r="NG9" s="1009"/>
      <c r="NH9" s="1009"/>
      <c r="NI9" s="1009"/>
      <c r="NJ9" s="1009"/>
      <c r="NK9" s="1009"/>
      <c r="NL9" s="1009"/>
      <c r="NM9" s="1009"/>
      <c r="NN9" s="1009"/>
      <c r="NO9" s="1009"/>
      <c r="NP9" s="1009"/>
      <c r="NQ9" s="1009"/>
      <c r="NR9" s="1009"/>
      <c r="NS9" s="1009"/>
      <c r="NT9" s="1009"/>
      <c r="NU9" s="1009"/>
      <c r="NV9" s="1009"/>
      <c r="NW9" s="1009"/>
      <c r="NX9" s="1009"/>
      <c r="NY9" s="1009"/>
      <c r="NZ9" s="1009"/>
      <c r="OA9" s="1009"/>
      <c r="OB9" s="1009"/>
      <c r="OC9" s="1009"/>
      <c r="OD9" s="1009"/>
      <c r="OE9" s="1009"/>
      <c r="OF9" s="1009"/>
      <c r="OG9" s="1009"/>
      <c r="OH9" s="1009"/>
      <c r="OI9" s="1009"/>
      <c r="OJ9" s="1009"/>
      <c r="OK9" s="1009"/>
      <c r="OL9" s="1009"/>
      <c r="OM9" s="1009"/>
      <c r="ON9" s="1009"/>
      <c r="OO9" s="1009"/>
      <c r="OP9" s="1009"/>
      <c r="OQ9" s="1009"/>
      <c r="OR9" s="1009"/>
      <c r="OS9" s="1009"/>
      <c r="OT9" s="1009"/>
      <c r="OU9" s="1009"/>
      <c r="OV9" s="1009"/>
      <c r="OW9" s="1009"/>
      <c r="OX9" s="1009"/>
      <c r="OY9" s="1009"/>
      <c r="OZ9" s="1009"/>
      <c r="PA9" s="1009"/>
      <c r="PB9" s="1009"/>
      <c r="PC9" s="1009"/>
      <c r="PD9" s="1009"/>
      <c r="PE9" s="1009"/>
      <c r="PF9" s="1009"/>
      <c r="PG9" s="1009"/>
      <c r="PH9" s="1009"/>
      <c r="PI9" s="1009"/>
      <c r="PJ9" s="1009"/>
      <c r="PK9" s="1009"/>
      <c r="PL9" s="1009"/>
      <c r="PM9" s="1009"/>
      <c r="PN9" s="1009"/>
      <c r="PO9" s="1009"/>
      <c r="PP9" s="1009"/>
      <c r="PQ9" s="1009"/>
      <c r="PR9" s="1009"/>
      <c r="PS9" s="1009"/>
      <c r="PT9" s="1009"/>
      <c r="PU9" s="1009"/>
      <c r="PV9" s="1009"/>
      <c r="PW9" s="1009"/>
      <c r="PX9" s="1009"/>
      <c r="PY9" s="1009"/>
      <c r="PZ9" s="1009"/>
      <c r="QA9" s="1009"/>
      <c r="QB9" s="1009"/>
      <c r="QC9" s="1009"/>
      <c r="QD9" s="1009"/>
      <c r="QE9" s="1009"/>
      <c r="QF9" s="1009"/>
      <c r="QG9" s="1009"/>
      <c r="QH9" s="1009"/>
      <c r="QI9" s="1009"/>
      <c r="QJ9" s="1009"/>
      <c r="QK9" s="1009"/>
      <c r="QL9" s="1009"/>
      <c r="QM9" s="1009"/>
      <c r="QN9" s="1009"/>
      <c r="QO9" s="1009"/>
      <c r="QP9" s="1009"/>
      <c r="QQ9" s="1009"/>
      <c r="QR9" s="1009"/>
      <c r="QS9" s="1009"/>
      <c r="QT9" s="1009"/>
      <c r="QU9" s="1009"/>
      <c r="QV9" s="1009"/>
      <c r="QW9" s="1009"/>
      <c r="QX9" s="1009"/>
      <c r="QY9" s="1009"/>
      <c r="QZ9" s="1009"/>
      <c r="RA9" s="1009"/>
      <c r="RB9" s="1009"/>
      <c r="RC9" s="1009"/>
      <c r="RD9" s="1009"/>
      <c r="RE9" s="1009"/>
      <c r="RF9" s="1009"/>
      <c r="RG9" s="1009"/>
      <c r="RH9" s="1009"/>
      <c r="RI9" s="1009"/>
      <c r="RJ9" s="1009"/>
      <c r="RK9" s="1009"/>
      <c r="RL9" s="1009"/>
      <c r="RM9" s="1009"/>
      <c r="RN9" s="1009"/>
      <c r="RO9" s="1009"/>
      <c r="RP9" s="1009"/>
      <c r="RQ9" s="1009"/>
      <c r="RR9" s="1009"/>
      <c r="RS9" s="1009"/>
      <c r="RT9" s="1009"/>
      <c r="RU9" s="1009"/>
      <c r="RV9" s="1009"/>
      <c r="RW9" s="1009"/>
      <c r="RX9" s="1009"/>
      <c r="RY9" s="1009"/>
      <c r="RZ9" s="1009"/>
      <c r="SA9" s="1009"/>
      <c r="SB9" s="1009"/>
      <c r="SC9" s="1009"/>
      <c r="SD9" s="1009"/>
      <c r="SE9" s="1009"/>
      <c r="SF9" s="1009"/>
      <c r="SG9" s="1009"/>
      <c r="SH9" s="1009"/>
      <c r="SI9" s="1009"/>
      <c r="SJ9" s="1009"/>
      <c r="SK9" s="1009"/>
      <c r="SL9" s="1009"/>
      <c r="SM9" s="1009"/>
      <c r="SN9" s="1009"/>
      <c r="SO9" s="1009"/>
      <c r="SP9" s="1009"/>
      <c r="SQ9" s="1009"/>
      <c r="SR9" s="1009"/>
      <c r="SS9" s="1009"/>
      <c r="ST9" s="1009"/>
      <c r="SU9" s="1009"/>
      <c r="SV9" s="1009"/>
      <c r="SW9" s="1009"/>
      <c r="SX9" s="1009"/>
      <c r="SY9" s="1009"/>
      <c r="SZ9" s="1009"/>
      <c r="TA9" s="1009"/>
      <c r="TB9" s="1009"/>
      <c r="TC9" s="1009"/>
      <c r="TD9" s="1009"/>
      <c r="TE9" s="1009"/>
      <c r="TF9" s="1009"/>
      <c r="TG9" s="1009"/>
      <c r="TH9" s="1009"/>
      <c r="TI9" s="1009"/>
      <c r="TJ9" s="1009"/>
      <c r="TK9" s="1009"/>
      <c r="TL9" s="1009"/>
      <c r="TM9" s="1009"/>
      <c r="TN9" s="1009"/>
      <c r="TO9" s="1009"/>
      <c r="TP9" s="1009"/>
      <c r="TQ9" s="1009"/>
      <c r="TR9" s="1009"/>
      <c r="TS9" s="1009"/>
      <c r="TT9" s="1009"/>
      <c r="TU9" s="1009"/>
      <c r="TV9" s="1009"/>
      <c r="TW9" s="1009"/>
      <c r="TX9" s="1009"/>
      <c r="TY9" s="1009"/>
      <c r="TZ9" s="1009"/>
      <c r="UA9" s="1009"/>
      <c r="UB9" s="1009"/>
      <c r="UC9" s="1009"/>
      <c r="UD9" s="1009"/>
      <c r="UE9" s="1009"/>
      <c r="UF9" s="1009"/>
      <c r="UG9" s="1009"/>
      <c r="UH9" s="1009"/>
      <c r="UI9" s="1009"/>
      <c r="UJ9" s="1009"/>
      <c r="UK9" s="1009"/>
      <c r="UL9" s="1009"/>
      <c r="UM9" s="1009"/>
      <c r="UN9" s="1009"/>
      <c r="UO9" s="1009"/>
      <c r="UP9" s="1009"/>
      <c r="UQ9" s="1009"/>
      <c r="UR9" s="1009"/>
      <c r="US9" s="1009"/>
      <c r="UT9" s="1009"/>
      <c r="UU9" s="1009"/>
      <c r="UV9" s="1009"/>
      <c r="UW9" s="1009"/>
      <c r="UX9" s="1009"/>
      <c r="UY9" s="1009"/>
      <c r="UZ9" s="1009"/>
      <c r="VA9" s="1009"/>
      <c r="VB9" s="1009"/>
      <c r="VC9" s="1009"/>
      <c r="VD9" s="1009"/>
      <c r="VE9" s="1009"/>
      <c r="VF9" s="1009"/>
      <c r="VG9" s="1009"/>
      <c r="VH9" s="1009"/>
      <c r="VI9" s="1009"/>
      <c r="VJ9" s="1009"/>
      <c r="VK9" s="1009"/>
      <c r="VL9" s="1009"/>
      <c r="VM9" s="1009"/>
      <c r="VN9" s="1009"/>
      <c r="VO9" s="1009"/>
      <c r="VP9" s="1009"/>
      <c r="VQ9" s="1009"/>
      <c r="VR9" s="1009"/>
      <c r="VS9" s="1009"/>
      <c r="VT9" s="1009"/>
      <c r="VU9" s="1009"/>
      <c r="VV9" s="1009"/>
      <c r="VW9" s="1009"/>
      <c r="VX9" s="1009"/>
      <c r="VY9" s="1009"/>
      <c r="VZ9" s="1009"/>
      <c r="WA9" s="1009"/>
      <c r="WB9" s="1009"/>
      <c r="WC9" s="1009"/>
      <c r="WD9" s="1009"/>
      <c r="WE9" s="1009"/>
      <c r="WF9" s="1009"/>
      <c r="WG9" s="1009"/>
      <c r="WH9" s="1009"/>
      <c r="WI9" s="1009"/>
      <c r="WJ9" s="1009"/>
      <c r="WK9" s="1009"/>
      <c r="WL9" s="1009"/>
      <c r="WM9" s="1009"/>
      <c r="WN9" s="1009"/>
      <c r="WO9" s="1009"/>
      <c r="WP9" s="1009"/>
      <c r="WQ9" s="1009"/>
      <c r="WR9" s="1009"/>
      <c r="WS9" s="1009"/>
      <c r="WT9" s="1009"/>
      <c r="WU9" s="1009"/>
      <c r="WV9" s="1009"/>
      <c r="WW9" s="1009"/>
      <c r="WX9" s="1009"/>
      <c r="WY9" s="1009"/>
      <c r="WZ9" s="1009"/>
      <c r="XA9" s="1009"/>
      <c r="XB9" s="1009"/>
      <c r="XC9" s="1009"/>
      <c r="XD9" s="1009"/>
      <c r="XE9" s="1009"/>
      <c r="XF9" s="1009"/>
      <c r="XG9" s="1009"/>
      <c r="XH9" s="1009"/>
      <c r="XI9" s="1009"/>
      <c r="XJ9" s="1009"/>
      <c r="XK9" s="1009"/>
      <c r="XL9" s="1009"/>
      <c r="XM9" s="1009"/>
      <c r="XN9" s="1009"/>
      <c r="XO9" s="1009"/>
      <c r="XP9" s="1009"/>
      <c r="XQ9" s="1009"/>
      <c r="XR9" s="1009"/>
      <c r="XS9" s="1009"/>
      <c r="XT9" s="1009"/>
      <c r="XU9" s="1009"/>
      <c r="XV9" s="1009"/>
      <c r="XW9" s="1009"/>
      <c r="XX9" s="1009"/>
      <c r="XY9" s="1009"/>
      <c r="XZ9" s="1009"/>
      <c r="YA9" s="1009"/>
      <c r="YB9" s="1009"/>
      <c r="YC9" s="1009"/>
      <c r="YD9" s="1009"/>
      <c r="YE9" s="1009"/>
      <c r="YF9" s="1009"/>
      <c r="YG9" s="1009"/>
      <c r="YH9" s="1009"/>
      <c r="YI9" s="1009"/>
      <c r="YJ9" s="1009"/>
      <c r="YK9" s="1009"/>
      <c r="YL9" s="1009"/>
      <c r="YM9" s="1009"/>
      <c r="YN9" s="1009"/>
      <c r="YO9" s="1009"/>
      <c r="YP9" s="1009"/>
      <c r="YQ9" s="1009"/>
      <c r="YR9" s="1009"/>
      <c r="YS9" s="1009"/>
      <c r="YT9" s="1009"/>
      <c r="YU9" s="1009"/>
      <c r="YV9" s="1009"/>
      <c r="YW9" s="1009"/>
      <c r="YX9" s="1009"/>
      <c r="YY9" s="1009"/>
      <c r="YZ9" s="1009"/>
      <c r="ZA9" s="1009"/>
      <c r="ZB9" s="1009"/>
      <c r="ZC9" s="1009"/>
      <c r="ZD9" s="1009"/>
      <c r="ZE9" s="1009"/>
      <c r="ZF9" s="1009"/>
      <c r="ZG9" s="1009"/>
      <c r="ZH9" s="1009"/>
      <c r="ZI9" s="1009"/>
      <c r="ZJ9" s="1009"/>
      <c r="ZK9" s="1009"/>
      <c r="ZL9" s="1009"/>
      <c r="ZM9" s="1009"/>
      <c r="ZN9" s="1009"/>
      <c r="ZO9" s="1009"/>
      <c r="ZP9" s="1009"/>
      <c r="ZQ9" s="1009"/>
      <c r="ZR9" s="1009"/>
      <c r="ZS9" s="1009"/>
      <c r="ZT9" s="1009"/>
      <c r="ZU9" s="1009"/>
      <c r="ZV9" s="1009"/>
      <c r="ZW9" s="1009"/>
      <c r="ZX9" s="1009"/>
      <c r="ZY9" s="1009"/>
      <c r="ZZ9" s="1009"/>
      <c r="AAA9" s="1009"/>
      <c r="AAB9" s="1009"/>
      <c r="AAC9" s="1009"/>
      <c r="AAD9" s="1009"/>
      <c r="AAE9" s="1009"/>
      <c r="AAF9" s="1009"/>
      <c r="AAG9" s="1009"/>
      <c r="AAH9" s="1009"/>
      <c r="AAI9" s="1009"/>
      <c r="AAJ9" s="1009"/>
      <c r="AAK9" s="1009"/>
      <c r="AAL9" s="1009"/>
      <c r="AAM9" s="1009"/>
      <c r="AAN9" s="1009"/>
      <c r="AAO9" s="1009"/>
      <c r="AAP9" s="1009"/>
      <c r="AAQ9" s="1009"/>
      <c r="AAR9" s="1009"/>
      <c r="AAS9" s="1009"/>
      <c r="AAT9" s="1009"/>
      <c r="AAU9" s="1009"/>
      <c r="AAV9" s="1009"/>
      <c r="AAW9" s="1009"/>
      <c r="AAX9" s="1009"/>
      <c r="AAY9" s="1009"/>
      <c r="AAZ9" s="1009"/>
      <c r="ABA9" s="1009"/>
      <c r="ABB9" s="1009"/>
      <c r="ABC9" s="1009"/>
      <c r="ABD9" s="1009"/>
      <c r="ABE9" s="1009"/>
      <c r="ABF9" s="1009"/>
      <c r="ABG9" s="1009"/>
      <c r="ABH9" s="1009"/>
      <c r="ABI9" s="1009"/>
      <c r="ABJ9" s="1009"/>
      <c r="ABK9" s="1009"/>
      <c r="ABL9" s="1009"/>
      <c r="ABM9" s="1009"/>
      <c r="ABN9" s="1009"/>
      <c r="ABO9" s="1009"/>
      <c r="ABP9" s="1009"/>
      <c r="ABQ9" s="1009"/>
      <c r="ABR9" s="1009"/>
    </row>
    <row r="10" spans="1:746" s="112" customFormat="1" ht="12.75" customHeight="1" thickBot="1">
      <c r="A10" s="924"/>
      <c r="B10" s="3046"/>
      <c r="C10" s="932"/>
      <c r="D10" s="596"/>
      <c r="E10" s="2987" t="s">
        <v>848</v>
      </c>
      <c r="F10" s="2987"/>
      <c r="G10" s="2987"/>
      <c r="H10" s="2987"/>
      <c r="I10" s="2322" t="s">
        <v>1143</v>
      </c>
      <c r="J10" s="779"/>
      <c r="K10" s="800"/>
      <c r="L10" s="800"/>
      <c r="M10" s="800"/>
      <c r="N10" s="800"/>
      <c r="O10" s="800"/>
      <c r="P10" s="800"/>
      <c r="Q10" s="800"/>
      <c r="R10" s="800"/>
      <c r="S10" s="800"/>
      <c r="T10" s="979"/>
      <c r="U10" s="800"/>
      <c r="V10" s="802"/>
      <c r="W10" s="800"/>
      <c r="X10" s="800"/>
      <c r="Y10" s="802"/>
      <c r="Z10" s="800"/>
      <c r="AA10" s="800"/>
      <c r="AB10" s="802"/>
      <c r="AC10" s="800"/>
      <c r="AD10" s="800"/>
      <c r="AE10" s="802"/>
      <c r="AF10" s="801"/>
      <c r="AG10" s="2208"/>
      <c r="AH10" s="2"/>
      <c r="AI10" s="2"/>
      <c r="AJ10" s="1045"/>
      <c r="AK10" s="1045"/>
      <c r="AL10" s="1041"/>
      <c r="AM10" s="1004"/>
      <c r="AN10" s="1008"/>
      <c r="AO10" s="1930" t="s">
        <v>1082</v>
      </c>
      <c r="AP10" s="1931"/>
      <c r="AQ10" s="1932"/>
      <c r="AR10" s="1940">
        <v>101</v>
      </c>
      <c r="AS10" s="1940">
        <v>102</v>
      </c>
      <c r="AT10" s="1940">
        <v>103</v>
      </c>
      <c r="AU10" s="1940">
        <v>104</v>
      </c>
      <c r="AV10" s="1940">
        <v>105</v>
      </c>
      <c r="AW10" s="1940">
        <v>106</v>
      </c>
      <c r="AX10" s="1940">
        <v>107</v>
      </c>
      <c r="AY10" s="1940">
        <v>108</v>
      </c>
      <c r="AZ10" s="1940">
        <v>109</v>
      </c>
      <c r="BA10" s="1940">
        <v>110</v>
      </c>
      <c r="BB10" s="1940">
        <v>111</v>
      </c>
      <c r="BC10" s="1940">
        <v>112</v>
      </c>
      <c r="BD10" s="1940">
        <v>113</v>
      </c>
      <c r="BE10" s="1940">
        <v>114</v>
      </c>
      <c r="BF10" s="1940">
        <v>115</v>
      </c>
      <c r="BG10" s="1940">
        <v>116</v>
      </c>
      <c r="BH10" s="1940">
        <v>117</v>
      </c>
      <c r="BI10" s="1940">
        <v>118</v>
      </c>
      <c r="BJ10" s="1940">
        <v>119</v>
      </c>
      <c r="BK10" s="1940">
        <v>120</v>
      </c>
      <c r="BL10" s="1940">
        <v>121</v>
      </c>
      <c r="BM10" s="1940">
        <v>122</v>
      </c>
      <c r="BN10" s="1940">
        <v>123</v>
      </c>
      <c r="BO10" s="1940">
        <v>124</v>
      </c>
      <c r="BP10" s="1009"/>
      <c r="BQ10" s="1004"/>
      <c r="BR10" s="1004"/>
      <c r="BS10" s="1004"/>
      <c r="BT10" s="1004"/>
      <c r="BU10" s="1004"/>
      <c r="BV10" s="1004"/>
      <c r="BW10" s="1004"/>
      <c r="BX10" s="1004"/>
      <c r="BY10" s="1004"/>
      <c r="BZ10" s="1004"/>
      <c r="CA10" s="1004"/>
      <c r="CB10" s="1004"/>
      <c r="CC10" s="1004"/>
      <c r="CD10" s="1004"/>
      <c r="CE10" s="1004"/>
      <c r="CF10" s="1004"/>
      <c r="CG10" s="1004"/>
      <c r="CH10" s="1004"/>
      <c r="CI10" s="1004"/>
      <c r="CJ10" s="1004"/>
      <c r="CK10" s="1004"/>
      <c r="CL10" s="1004"/>
      <c r="CM10" s="1004"/>
      <c r="CN10" s="1004"/>
      <c r="CO10" s="1004"/>
      <c r="CP10" s="1004"/>
      <c r="CQ10" s="1004"/>
      <c r="CR10" s="1004"/>
      <c r="CS10" s="1004"/>
      <c r="CT10" s="1004"/>
      <c r="CU10" s="1004"/>
      <c r="CV10" s="1004"/>
      <c r="CW10" s="1004"/>
      <c r="CX10" s="1004"/>
      <c r="CY10" s="1004"/>
      <c r="CZ10" s="1004"/>
      <c r="DA10" s="1004"/>
      <c r="DB10" s="1004"/>
      <c r="DC10" s="1004"/>
      <c r="DD10" s="1004"/>
      <c r="DE10" s="1004"/>
      <c r="DF10" s="1004"/>
      <c r="DG10" s="1004"/>
      <c r="DH10" s="1004"/>
      <c r="DI10" s="1004"/>
      <c r="DJ10" s="1004"/>
      <c r="DK10" s="1004"/>
      <c r="DL10" s="1004"/>
      <c r="DM10" s="1004"/>
      <c r="DN10" s="1004"/>
      <c r="DO10" s="1004"/>
      <c r="DP10" s="1004"/>
      <c r="DQ10" s="1004"/>
      <c r="DR10" s="1004"/>
      <c r="DS10" s="1004"/>
      <c r="DT10" s="1004"/>
      <c r="DU10" s="1004"/>
      <c r="DV10" s="1004"/>
      <c r="DW10" s="1004"/>
      <c r="DX10" s="1004"/>
      <c r="DY10" s="1004"/>
      <c r="DZ10" s="1004"/>
      <c r="EA10" s="1004"/>
      <c r="EB10" s="1004"/>
      <c r="EC10" s="1004"/>
      <c r="ED10" s="1004"/>
      <c r="EE10" s="1004"/>
      <c r="EF10" s="1004"/>
      <c r="EG10" s="1004"/>
      <c r="EH10" s="1004"/>
      <c r="EI10" s="1004"/>
      <c r="EJ10" s="1004"/>
      <c r="EK10" s="1004"/>
      <c r="EL10" s="1004"/>
      <c r="EM10" s="1004"/>
      <c r="EN10" s="1004"/>
      <c r="EO10" s="1004"/>
      <c r="EP10" s="1004"/>
      <c r="EQ10" s="1004"/>
      <c r="ER10" s="1004"/>
      <c r="ES10" s="1004"/>
      <c r="ET10" s="1004"/>
      <c r="EU10" s="1004"/>
      <c r="EV10" s="1004"/>
      <c r="EW10" s="1004"/>
      <c r="EX10" s="1004"/>
      <c r="EY10" s="1004"/>
      <c r="EZ10" s="1004"/>
      <c r="FA10" s="1004"/>
      <c r="FB10" s="1004"/>
      <c r="FC10" s="1004"/>
      <c r="FD10" s="1004"/>
      <c r="FE10" s="1004"/>
      <c r="FF10" s="1004"/>
      <c r="FG10" s="1004"/>
      <c r="FH10" s="1004"/>
      <c r="FI10" s="1004"/>
      <c r="FJ10" s="1004"/>
      <c r="FK10" s="1004"/>
      <c r="FL10" s="1004"/>
      <c r="FM10" s="1004"/>
      <c r="FN10" s="1004"/>
      <c r="FO10" s="1004"/>
      <c r="FP10" s="1004"/>
      <c r="FQ10" s="1004"/>
      <c r="FR10" s="1004"/>
      <c r="FS10" s="1004"/>
      <c r="FT10" s="1004"/>
      <c r="FU10" s="1004"/>
      <c r="FV10" s="1004"/>
      <c r="FW10" s="1004"/>
      <c r="FX10" s="1004"/>
      <c r="FY10" s="1004"/>
      <c r="FZ10" s="1004"/>
      <c r="GA10" s="1004"/>
      <c r="GB10" s="1004"/>
      <c r="GC10" s="1004"/>
      <c r="GD10" s="1004"/>
      <c r="GE10" s="1004"/>
      <c r="GF10" s="1004"/>
      <c r="GG10" s="1004"/>
      <c r="GH10" s="1004"/>
      <c r="GI10" s="1004"/>
      <c r="GJ10" s="1004"/>
      <c r="GK10" s="1004"/>
      <c r="GL10" s="1004"/>
      <c r="GM10" s="1004"/>
      <c r="GN10" s="1004"/>
      <c r="GO10" s="1004"/>
      <c r="GP10" s="1004"/>
      <c r="GQ10" s="1004"/>
      <c r="GR10" s="1004"/>
      <c r="GS10" s="1004"/>
      <c r="GT10" s="1004"/>
      <c r="GU10" s="1004"/>
      <c r="GV10" s="1004"/>
      <c r="GW10" s="1004"/>
      <c r="GX10" s="1004"/>
      <c r="GY10" s="1004"/>
      <c r="GZ10" s="1004"/>
      <c r="HA10" s="1004"/>
      <c r="HB10" s="1004"/>
      <c r="HC10" s="1004"/>
      <c r="HD10" s="1004"/>
      <c r="HE10" s="1004"/>
      <c r="HF10" s="1004"/>
      <c r="HG10" s="1004"/>
      <c r="HH10" s="1004"/>
      <c r="HI10" s="1004"/>
      <c r="HJ10" s="1004"/>
      <c r="HK10" s="1004"/>
      <c r="HL10" s="1004"/>
      <c r="HM10" s="1004"/>
      <c r="HN10" s="1004"/>
      <c r="HO10" s="1004"/>
      <c r="HP10" s="1004"/>
      <c r="HQ10" s="1004"/>
      <c r="HR10" s="1004"/>
      <c r="HS10" s="1004"/>
      <c r="HT10" s="1004"/>
      <c r="HU10" s="1004"/>
      <c r="HV10" s="1004"/>
      <c r="HW10" s="1004"/>
      <c r="HX10" s="1004"/>
      <c r="HY10" s="1004"/>
      <c r="HZ10" s="1004"/>
      <c r="IA10" s="1004"/>
      <c r="IB10" s="1004"/>
      <c r="IC10" s="1004"/>
      <c r="ID10" s="1004"/>
      <c r="IE10" s="1004"/>
      <c r="IF10" s="1004"/>
      <c r="IG10" s="1004"/>
      <c r="IH10" s="1004"/>
      <c r="II10" s="1004"/>
      <c r="IJ10" s="1004"/>
      <c r="IK10" s="1004"/>
      <c r="IL10" s="1004"/>
      <c r="IM10" s="1004"/>
      <c r="IN10" s="1004"/>
      <c r="IO10" s="1004"/>
      <c r="IP10" s="1004"/>
      <c r="IQ10" s="1004"/>
      <c r="IR10" s="1004"/>
      <c r="IS10" s="1004"/>
      <c r="IT10" s="1004"/>
      <c r="IU10" s="1004"/>
      <c r="IV10" s="1004"/>
      <c r="IW10" s="1004"/>
      <c r="IX10" s="1004"/>
      <c r="IY10" s="1004"/>
      <c r="IZ10" s="1004"/>
      <c r="JA10" s="1004"/>
      <c r="JB10" s="1004"/>
      <c r="JC10" s="1004"/>
      <c r="JD10" s="1004"/>
      <c r="JE10" s="1004"/>
      <c r="JF10" s="1004"/>
      <c r="JG10" s="1004"/>
      <c r="JH10" s="1004"/>
      <c r="JI10" s="1004"/>
      <c r="JJ10" s="1004"/>
      <c r="JK10" s="1004"/>
      <c r="JL10" s="1004"/>
      <c r="JM10" s="1004"/>
      <c r="JN10" s="1004"/>
      <c r="JO10" s="1004"/>
      <c r="JP10" s="1004"/>
      <c r="JQ10" s="1004"/>
      <c r="JR10" s="1004"/>
      <c r="JS10" s="1004"/>
      <c r="JT10" s="1004"/>
      <c r="JU10" s="1004"/>
      <c r="JV10" s="1004"/>
      <c r="JW10" s="1004"/>
      <c r="JX10" s="1004"/>
      <c r="JY10" s="1004"/>
      <c r="JZ10" s="1004"/>
      <c r="KA10" s="1004"/>
      <c r="KB10" s="1004"/>
      <c r="KC10" s="1004"/>
      <c r="KD10" s="1004"/>
      <c r="KE10" s="1004"/>
      <c r="KF10" s="1004"/>
      <c r="KG10" s="1004"/>
      <c r="KH10" s="1004"/>
      <c r="KI10" s="1004"/>
      <c r="KJ10" s="1004"/>
      <c r="KK10" s="1004"/>
      <c r="KL10" s="1004"/>
      <c r="KM10" s="1004"/>
      <c r="KN10" s="1004"/>
      <c r="KO10" s="1004"/>
      <c r="KP10" s="1004"/>
      <c r="KQ10" s="1004"/>
      <c r="KR10" s="1004"/>
      <c r="KS10" s="1004"/>
      <c r="KT10" s="1004"/>
      <c r="KU10" s="1004"/>
      <c r="KV10" s="1004"/>
      <c r="KW10" s="1004"/>
      <c r="KX10" s="1004"/>
      <c r="KY10" s="1004"/>
      <c r="KZ10" s="1004"/>
      <c r="LA10" s="1004"/>
      <c r="LB10" s="1004"/>
      <c r="LC10" s="1004"/>
      <c r="LD10" s="1004"/>
      <c r="LE10" s="1004"/>
      <c r="LF10" s="1004"/>
      <c r="LG10" s="1004"/>
      <c r="LH10" s="1004"/>
      <c r="LI10" s="1004"/>
      <c r="LJ10" s="1004"/>
      <c r="LK10" s="1004"/>
      <c r="LL10" s="1004"/>
      <c r="LM10" s="1004"/>
      <c r="LN10" s="1004"/>
      <c r="LO10" s="1004"/>
      <c r="LP10" s="1004"/>
      <c r="LQ10" s="1004"/>
      <c r="LR10" s="1004"/>
      <c r="LS10" s="1004"/>
      <c r="LT10" s="1004"/>
      <c r="LU10" s="1004"/>
      <c r="LV10" s="1004"/>
      <c r="LW10" s="1004"/>
      <c r="LX10" s="1004"/>
      <c r="LY10" s="1004"/>
      <c r="LZ10" s="1004"/>
      <c r="MA10" s="1004"/>
      <c r="MB10" s="1004"/>
      <c r="MC10" s="1004"/>
      <c r="MD10" s="1004"/>
      <c r="ME10" s="1004"/>
      <c r="MF10" s="1004"/>
      <c r="MG10" s="1004"/>
      <c r="MH10" s="1004"/>
      <c r="MI10" s="1004"/>
      <c r="MJ10" s="1004"/>
      <c r="MK10" s="1004"/>
      <c r="ML10" s="1004"/>
      <c r="MM10" s="1004"/>
      <c r="MN10" s="1004"/>
      <c r="MO10" s="1004"/>
      <c r="MP10" s="1004"/>
      <c r="MQ10" s="1004"/>
      <c r="MR10" s="1004"/>
      <c r="MS10" s="1004"/>
      <c r="MT10" s="1004"/>
      <c r="MU10" s="1004"/>
      <c r="MV10" s="1004"/>
      <c r="MW10" s="1004"/>
      <c r="MX10" s="1004"/>
      <c r="MY10" s="1004"/>
      <c r="MZ10" s="1004"/>
      <c r="NA10" s="1004"/>
      <c r="NB10" s="1004"/>
      <c r="NC10" s="1004"/>
      <c r="ND10" s="1004"/>
      <c r="NE10" s="1004"/>
      <c r="NF10" s="1004"/>
      <c r="NG10" s="1004"/>
      <c r="NH10" s="1004"/>
      <c r="NI10" s="1004"/>
      <c r="NJ10" s="1004"/>
      <c r="NK10" s="1004"/>
      <c r="NL10" s="1004"/>
      <c r="NM10" s="1004"/>
      <c r="NN10" s="1004"/>
      <c r="NO10" s="1004"/>
      <c r="NP10" s="1004"/>
      <c r="NQ10" s="1004"/>
      <c r="NR10" s="1004"/>
      <c r="NS10" s="1004"/>
      <c r="NT10" s="1004"/>
      <c r="NU10" s="1004"/>
      <c r="NV10" s="1004"/>
      <c r="NW10" s="1004"/>
      <c r="NX10" s="1004"/>
      <c r="NY10" s="1004"/>
      <c r="NZ10" s="1004"/>
      <c r="OA10" s="1004"/>
      <c r="OB10" s="1004"/>
      <c r="OC10" s="1004"/>
      <c r="OD10" s="1004"/>
      <c r="OE10" s="1004"/>
      <c r="OF10" s="1004"/>
      <c r="OG10" s="1004"/>
      <c r="OH10" s="1004"/>
      <c r="OI10" s="1004"/>
      <c r="OJ10" s="1004"/>
      <c r="OK10" s="1004"/>
      <c r="OL10" s="1004"/>
      <c r="OM10" s="1004"/>
      <c r="ON10" s="1004"/>
      <c r="OO10" s="1004"/>
      <c r="OP10" s="1004"/>
      <c r="OQ10" s="1004"/>
      <c r="OR10" s="1004"/>
      <c r="OS10" s="1004"/>
      <c r="OT10" s="1004"/>
      <c r="OU10" s="1004"/>
      <c r="OV10" s="1004"/>
      <c r="OW10" s="1004"/>
      <c r="OX10" s="1004"/>
      <c r="OY10" s="1004"/>
      <c r="OZ10" s="1004"/>
      <c r="PA10" s="1004"/>
      <c r="PB10" s="1004"/>
      <c r="PC10" s="1004"/>
      <c r="PD10" s="1004"/>
      <c r="PE10" s="1004"/>
      <c r="PF10" s="1004"/>
      <c r="PG10" s="1004"/>
      <c r="PH10" s="1004"/>
      <c r="PI10" s="1004"/>
      <c r="PJ10" s="1004"/>
      <c r="PK10" s="1004"/>
      <c r="PL10" s="1004"/>
      <c r="PM10" s="1004"/>
      <c r="PN10" s="1004"/>
      <c r="PO10" s="1004"/>
      <c r="PP10" s="1004"/>
      <c r="PQ10" s="1004"/>
      <c r="PR10" s="1004"/>
      <c r="PS10" s="1004"/>
      <c r="PT10" s="1004"/>
      <c r="PU10" s="1004"/>
      <c r="PV10" s="1004"/>
      <c r="PW10" s="1004"/>
      <c r="PX10" s="1004"/>
      <c r="PY10" s="1004"/>
      <c r="PZ10" s="1004"/>
      <c r="QA10" s="1004"/>
      <c r="QB10" s="1004"/>
      <c r="QC10" s="1004"/>
      <c r="QD10" s="1004"/>
      <c r="QE10" s="1004"/>
      <c r="QF10" s="1004"/>
      <c r="QG10" s="1004"/>
      <c r="QH10" s="1004"/>
      <c r="QI10" s="1004"/>
      <c r="QJ10" s="1004"/>
      <c r="QK10" s="1004"/>
      <c r="QL10" s="1004"/>
      <c r="QM10" s="1004"/>
      <c r="QN10" s="1004"/>
      <c r="QO10" s="1004"/>
      <c r="QP10" s="1004"/>
      <c r="QQ10" s="1004"/>
      <c r="QR10" s="1004"/>
      <c r="QS10" s="1004"/>
      <c r="QT10" s="1004"/>
      <c r="QU10" s="1004"/>
      <c r="QV10" s="1004"/>
      <c r="QW10" s="1004"/>
      <c r="QX10" s="1004"/>
      <c r="QY10" s="1004"/>
      <c r="QZ10" s="1004"/>
      <c r="RA10" s="1004"/>
      <c r="RB10" s="1004"/>
      <c r="RC10" s="1004"/>
      <c r="RD10" s="1004"/>
      <c r="RE10" s="1004"/>
      <c r="RF10" s="1004"/>
      <c r="RG10" s="1004"/>
      <c r="RH10" s="1004"/>
      <c r="RI10" s="1004"/>
      <c r="RJ10" s="1004"/>
      <c r="RK10" s="1004"/>
      <c r="RL10" s="1004"/>
      <c r="RM10" s="1004"/>
      <c r="RN10" s="1004"/>
      <c r="RO10" s="1004"/>
      <c r="RP10" s="1004"/>
      <c r="RQ10" s="1004"/>
      <c r="RR10" s="1004"/>
      <c r="RS10" s="1004"/>
      <c r="RT10" s="1004"/>
      <c r="RU10" s="1004"/>
      <c r="RV10" s="1004"/>
      <c r="RW10" s="1004"/>
      <c r="RX10" s="1004"/>
      <c r="RY10" s="1004"/>
      <c r="RZ10" s="1004"/>
      <c r="SA10" s="1004"/>
      <c r="SB10" s="1004"/>
      <c r="SC10" s="1004"/>
      <c r="SD10" s="1004"/>
      <c r="SE10" s="1004"/>
      <c r="SF10" s="1004"/>
      <c r="SG10" s="1004"/>
      <c r="SH10" s="1004"/>
      <c r="SI10" s="1004"/>
      <c r="SJ10" s="1004"/>
      <c r="SK10" s="1004"/>
      <c r="SL10" s="1004"/>
      <c r="SM10" s="1004"/>
      <c r="SN10" s="1004"/>
      <c r="SO10" s="1004"/>
      <c r="SP10" s="1004"/>
      <c r="SQ10" s="1004"/>
      <c r="SR10" s="1004"/>
      <c r="SS10" s="1004"/>
      <c r="ST10" s="1004"/>
      <c r="SU10" s="1004"/>
      <c r="SV10" s="1004"/>
      <c r="SW10" s="1004"/>
      <c r="SX10" s="1004"/>
      <c r="SY10" s="1004"/>
      <c r="SZ10" s="1004"/>
      <c r="TA10" s="1004"/>
      <c r="TB10" s="1004"/>
      <c r="TC10" s="1004"/>
      <c r="TD10" s="1004"/>
      <c r="TE10" s="1004"/>
      <c r="TF10" s="1004"/>
      <c r="TG10" s="1004"/>
      <c r="TH10" s="1004"/>
      <c r="TI10" s="1004"/>
      <c r="TJ10" s="1004"/>
      <c r="TK10" s="1004"/>
      <c r="TL10" s="1004"/>
      <c r="TM10" s="1004"/>
      <c r="TN10" s="1004"/>
      <c r="TO10" s="1004"/>
      <c r="TP10" s="1004"/>
      <c r="TQ10" s="1004"/>
      <c r="TR10" s="1004"/>
      <c r="TS10" s="1004"/>
      <c r="TT10" s="1004"/>
      <c r="TU10" s="1004"/>
      <c r="TV10" s="1004"/>
      <c r="TW10" s="1004"/>
      <c r="TX10" s="1004"/>
      <c r="TY10" s="1004"/>
      <c r="TZ10" s="1004"/>
      <c r="UA10" s="1004"/>
      <c r="UB10" s="1004"/>
      <c r="UC10" s="1004"/>
      <c r="UD10" s="1004"/>
      <c r="UE10" s="1004"/>
      <c r="UF10" s="1004"/>
      <c r="UG10" s="1004"/>
      <c r="UH10" s="1004"/>
      <c r="UI10" s="1004"/>
      <c r="UJ10" s="1004"/>
      <c r="UK10" s="1004"/>
      <c r="UL10" s="1004"/>
      <c r="UM10" s="1004"/>
      <c r="UN10" s="1004"/>
      <c r="UO10" s="1004"/>
      <c r="UP10" s="1004"/>
      <c r="UQ10" s="1004"/>
      <c r="UR10" s="1004"/>
      <c r="US10" s="1004"/>
      <c r="UT10" s="1004"/>
      <c r="UU10" s="1004"/>
      <c r="UV10" s="1004"/>
      <c r="UW10" s="1004"/>
      <c r="UX10" s="1004"/>
      <c r="UY10" s="1004"/>
      <c r="UZ10" s="1004"/>
      <c r="VA10" s="1004"/>
      <c r="VB10" s="1004"/>
      <c r="VC10" s="1004"/>
      <c r="VD10" s="1004"/>
      <c r="VE10" s="1004"/>
      <c r="VF10" s="1004"/>
      <c r="VG10" s="1004"/>
      <c r="VH10" s="1004"/>
      <c r="VI10" s="1004"/>
      <c r="VJ10" s="1004"/>
      <c r="VK10" s="1004"/>
      <c r="VL10" s="1004"/>
      <c r="VM10" s="1004"/>
      <c r="VN10" s="1004"/>
      <c r="VO10" s="1004"/>
      <c r="VP10" s="1004"/>
      <c r="VQ10" s="1004"/>
      <c r="VR10" s="1004"/>
      <c r="VS10" s="1004"/>
      <c r="VT10" s="1004"/>
      <c r="VU10" s="1004"/>
      <c r="VV10" s="1004"/>
      <c r="VW10" s="1004"/>
      <c r="VX10" s="1004"/>
      <c r="VY10" s="1004"/>
      <c r="VZ10" s="1004"/>
      <c r="WA10" s="1004"/>
      <c r="WB10" s="1004"/>
      <c r="WC10" s="1004"/>
      <c r="WD10" s="1004"/>
      <c r="WE10" s="1004"/>
      <c r="WF10" s="1004"/>
      <c r="WG10" s="1004"/>
      <c r="WH10" s="1004"/>
      <c r="WI10" s="1004"/>
      <c r="WJ10" s="1004"/>
      <c r="WK10" s="1004"/>
      <c r="WL10" s="1004"/>
      <c r="WM10" s="1004"/>
      <c r="WN10" s="1004"/>
      <c r="WO10" s="1004"/>
      <c r="WP10" s="1004"/>
      <c r="WQ10" s="1004"/>
      <c r="WR10" s="1004"/>
      <c r="WS10" s="1004"/>
      <c r="WT10" s="1004"/>
      <c r="WU10" s="1004"/>
      <c r="WV10" s="1004"/>
      <c r="WW10" s="1004"/>
      <c r="WX10" s="1004"/>
      <c r="WY10" s="1004"/>
      <c r="WZ10" s="1004"/>
      <c r="XA10" s="1004"/>
      <c r="XB10" s="1004"/>
      <c r="XC10" s="1004"/>
      <c r="XD10" s="1004"/>
      <c r="XE10" s="1004"/>
      <c r="XF10" s="1004"/>
      <c r="XG10" s="1004"/>
      <c r="XH10" s="1004"/>
      <c r="XI10" s="1004"/>
      <c r="XJ10" s="1004"/>
      <c r="XK10" s="1004"/>
      <c r="XL10" s="1004"/>
      <c r="XM10" s="1004"/>
      <c r="XN10" s="1004"/>
      <c r="XO10" s="1004"/>
      <c r="XP10" s="1004"/>
      <c r="XQ10" s="1004"/>
      <c r="XR10" s="1004"/>
      <c r="XS10" s="1004"/>
      <c r="XT10" s="1004"/>
      <c r="XU10" s="1004"/>
      <c r="XV10" s="1004"/>
      <c r="XW10" s="1004"/>
      <c r="XX10" s="1004"/>
      <c r="XY10" s="1004"/>
      <c r="XZ10" s="1004"/>
      <c r="YA10" s="1004"/>
      <c r="YB10" s="1004"/>
      <c r="YC10" s="1004"/>
      <c r="YD10" s="1004"/>
      <c r="YE10" s="1004"/>
      <c r="YF10" s="1004"/>
      <c r="YG10" s="1004"/>
      <c r="YH10" s="1004"/>
      <c r="YI10" s="1004"/>
      <c r="YJ10" s="1004"/>
      <c r="YK10" s="1004"/>
      <c r="YL10" s="1004"/>
      <c r="YM10" s="1004"/>
      <c r="YN10" s="1004"/>
      <c r="YO10" s="1004"/>
      <c r="YP10" s="1004"/>
      <c r="YQ10" s="1004"/>
      <c r="YR10" s="1004"/>
      <c r="YS10" s="1004"/>
      <c r="YT10" s="1004"/>
      <c r="YU10" s="1004"/>
      <c r="YV10" s="1004"/>
      <c r="YW10" s="1004"/>
      <c r="YX10" s="1004"/>
      <c r="YY10" s="1004"/>
      <c r="YZ10" s="1004"/>
      <c r="ZA10" s="1004"/>
      <c r="ZB10" s="1004"/>
      <c r="ZC10" s="1004"/>
      <c r="ZD10" s="1004"/>
      <c r="ZE10" s="1004"/>
      <c r="ZF10" s="1004"/>
      <c r="ZG10" s="1004"/>
      <c r="ZH10" s="1004"/>
      <c r="ZI10" s="1004"/>
      <c r="ZJ10" s="1004"/>
      <c r="ZK10" s="1004"/>
      <c r="ZL10" s="1004"/>
      <c r="ZM10" s="1004"/>
      <c r="ZN10" s="1004"/>
      <c r="ZO10" s="1004"/>
      <c r="ZP10" s="1004"/>
      <c r="ZQ10" s="1004"/>
      <c r="ZR10" s="1004"/>
      <c r="ZS10" s="1004"/>
      <c r="ZT10" s="1004"/>
      <c r="ZU10" s="1004"/>
      <c r="ZV10" s="1004"/>
      <c r="ZW10" s="1004"/>
      <c r="ZX10" s="1004"/>
      <c r="ZY10" s="1004"/>
      <c r="ZZ10" s="1004"/>
      <c r="AAA10" s="1004"/>
      <c r="AAB10" s="1004"/>
      <c r="AAC10" s="1004"/>
      <c r="AAD10" s="1004"/>
      <c r="AAE10" s="1004"/>
      <c r="AAF10" s="1004"/>
      <c r="AAG10" s="1004"/>
      <c r="AAH10" s="1004"/>
      <c r="AAI10" s="1004"/>
      <c r="AAJ10" s="1004"/>
      <c r="AAK10" s="1004"/>
      <c r="AAL10" s="1004"/>
      <c r="AAM10" s="1004"/>
      <c r="AAN10" s="1004"/>
      <c r="AAO10" s="1004"/>
      <c r="AAP10" s="1004"/>
      <c r="AAQ10" s="1004"/>
      <c r="AAR10" s="1004"/>
      <c r="AAS10" s="1004"/>
      <c r="AAT10" s="1004"/>
      <c r="AAU10" s="1004"/>
      <c r="AAV10" s="1004"/>
      <c r="AAW10" s="1004"/>
      <c r="AAX10" s="1004"/>
      <c r="AAY10" s="1004"/>
      <c r="AAZ10" s="1004"/>
      <c r="ABA10" s="1004"/>
      <c r="ABB10" s="1004"/>
      <c r="ABC10" s="1004"/>
      <c r="ABD10" s="1004"/>
      <c r="ABE10" s="1004"/>
      <c r="ABF10" s="1004"/>
      <c r="ABG10" s="1004"/>
      <c r="ABH10" s="1004"/>
      <c r="ABI10" s="1004"/>
      <c r="ABJ10" s="1004"/>
      <c r="ABK10" s="1004"/>
      <c r="ABL10" s="1004"/>
      <c r="ABM10" s="1004"/>
      <c r="ABN10" s="1004"/>
      <c r="ABO10" s="1004"/>
      <c r="ABP10" s="1004"/>
      <c r="ABQ10" s="1004"/>
      <c r="ABR10" s="1004"/>
    </row>
    <row r="11" spans="1:746" s="1" customFormat="1" ht="12.9" customHeight="1" thickBot="1">
      <c r="A11" s="923"/>
      <c r="B11" s="2957" t="s">
        <v>188</v>
      </c>
      <c r="C11" s="2958"/>
      <c r="D11" s="346"/>
      <c r="E11" s="347" t="s">
        <v>1</v>
      </c>
      <c r="F11" s="1240"/>
      <c r="G11" s="347">
        <v>0.25</v>
      </c>
      <c r="H11" s="2349"/>
      <c r="I11" s="1966"/>
      <c r="J11" s="368"/>
      <c r="K11" s="368"/>
      <c r="L11" s="368"/>
      <c r="M11" s="368"/>
      <c r="N11" s="368"/>
      <c r="O11" s="368"/>
      <c r="P11" s="368"/>
      <c r="Q11" s="368"/>
      <c r="R11" s="368"/>
      <c r="S11" s="368"/>
      <c r="T11" s="368"/>
      <c r="U11" s="368"/>
      <c r="V11" s="368"/>
      <c r="W11" s="368"/>
      <c r="X11" s="368"/>
      <c r="Y11" s="368"/>
      <c r="Z11" s="368"/>
      <c r="AA11" s="368"/>
      <c r="AB11" s="368"/>
      <c r="AC11" s="368"/>
      <c r="AD11" s="368"/>
      <c r="AE11" s="368"/>
      <c r="AF11" s="368"/>
      <c r="AG11" s="1042"/>
      <c r="AH11" s="330"/>
      <c r="AI11" s="330"/>
      <c r="AJ11" s="416">
        <f>IF(fx!$C$57=1,SUMIF(fx!I$57:T$57,1,I11:T11),IF(fx!$C$57=2,SUMIF(fx!O$57:AF$57,1,O11:AF11)))</f>
        <v>0</v>
      </c>
      <c r="AK11" s="328"/>
      <c r="AL11" s="417">
        <f>IF(fx!$C$57=1,SUM(U11:AF11),0)</f>
        <v>0</v>
      </c>
      <c r="AM11" s="1004"/>
      <c r="AN11" s="1011"/>
      <c r="AO11" s="1930" t="s">
        <v>1083</v>
      </c>
      <c r="AP11" s="1933"/>
      <c r="AQ11" s="1934"/>
      <c r="AR11" s="1941">
        <v>102</v>
      </c>
      <c r="AS11" s="1941">
        <v>103</v>
      </c>
      <c r="AT11" s="1941">
        <v>104</v>
      </c>
      <c r="AU11" s="1941">
        <v>105</v>
      </c>
      <c r="AV11" s="1941">
        <v>106</v>
      </c>
      <c r="AW11" s="1941">
        <v>107</v>
      </c>
      <c r="AX11" s="1941">
        <v>108</v>
      </c>
      <c r="AY11" s="1941">
        <v>109</v>
      </c>
      <c r="AZ11" s="1941">
        <v>110</v>
      </c>
      <c r="BA11" s="1941">
        <v>111</v>
      </c>
      <c r="BB11" s="1941">
        <v>112</v>
      </c>
      <c r="BC11" s="1941">
        <v>113</v>
      </c>
      <c r="BD11" s="1941">
        <v>114</v>
      </c>
      <c r="BE11" s="1941">
        <v>115</v>
      </c>
      <c r="BF11" s="1941">
        <v>116</v>
      </c>
      <c r="BG11" s="1941">
        <v>117</v>
      </c>
      <c r="BH11" s="1941">
        <v>118</v>
      </c>
      <c r="BI11" s="1941">
        <v>119</v>
      </c>
      <c r="BJ11" s="1941">
        <v>120</v>
      </c>
      <c r="BK11" s="1941">
        <v>121</v>
      </c>
      <c r="BL11" s="1941">
        <v>122</v>
      </c>
      <c r="BM11" s="1941">
        <v>123</v>
      </c>
      <c r="BN11" s="1941">
        <v>124</v>
      </c>
      <c r="BO11" s="1941">
        <v>125</v>
      </c>
      <c r="BP11" s="1009"/>
      <c r="BQ11" s="1004"/>
      <c r="BR11" s="1004"/>
      <c r="BS11" s="1004"/>
      <c r="BT11" s="1004"/>
      <c r="BU11" s="1004"/>
      <c r="BV11" s="1004"/>
      <c r="BW11" s="1004"/>
      <c r="BX11" s="1004"/>
      <c r="BY11" s="1004"/>
      <c r="BZ11" s="1004"/>
      <c r="CA11" s="1004"/>
      <c r="CB11" s="1004"/>
      <c r="CC11" s="1004"/>
      <c r="CD11" s="1004"/>
      <c r="CE11" s="1004"/>
      <c r="CF11" s="1004"/>
      <c r="CG11" s="1004"/>
      <c r="CH11" s="1004"/>
      <c r="CI11" s="1004"/>
      <c r="CJ11" s="1004"/>
      <c r="CK11" s="1004"/>
      <c r="CL11" s="1004"/>
      <c r="CM11" s="1004"/>
      <c r="CN11" s="1004"/>
      <c r="CO11" s="1004"/>
      <c r="CP11" s="1004"/>
      <c r="CQ11" s="1004"/>
      <c r="CR11" s="1004"/>
      <c r="CS11" s="1004"/>
      <c r="CT11" s="1004"/>
      <c r="CU11" s="1004"/>
      <c r="CV11" s="1004"/>
      <c r="CW11" s="1004"/>
      <c r="CX11" s="1004"/>
      <c r="CY11" s="1004"/>
      <c r="CZ11" s="1004"/>
      <c r="DA11" s="1004"/>
      <c r="DB11" s="1004"/>
      <c r="DC11" s="1004"/>
      <c r="DD11" s="1004"/>
      <c r="DE11" s="1004"/>
      <c r="DF11" s="1004"/>
      <c r="DG11" s="1004"/>
      <c r="DH11" s="1004"/>
      <c r="DI11" s="1004"/>
      <c r="DJ11" s="1004"/>
      <c r="DK11" s="1004"/>
      <c r="DL11" s="1004"/>
      <c r="DM11" s="1004"/>
      <c r="DN11" s="1004"/>
      <c r="DO11" s="1004"/>
      <c r="DP11" s="1004"/>
      <c r="DQ11" s="1004"/>
      <c r="DR11" s="1004"/>
      <c r="DS11" s="1004"/>
      <c r="DT11" s="1004"/>
      <c r="DU11" s="1004"/>
      <c r="DV11" s="1004"/>
      <c r="DW11" s="1004"/>
      <c r="DX11" s="1004"/>
      <c r="DY11" s="1004"/>
      <c r="DZ11" s="1004"/>
      <c r="EA11" s="1004"/>
      <c r="EB11" s="1004"/>
      <c r="EC11" s="1004"/>
      <c r="ED11" s="1004"/>
      <c r="EE11" s="1004"/>
      <c r="EF11" s="1004"/>
      <c r="EG11" s="1004"/>
      <c r="EH11" s="1004"/>
      <c r="EI11" s="1004"/>
      <c r="EJ11" s="1004"/>
      <c r="EK11" s="1004"/>
      <c r="EL11" s="1004"/>
      <c r="EM11" s="1004"/>
      <c r="EN11" s="1004"/>
      <c r="EO11" s="1004"/>
      <c r="EP11" s="1004"/>
      <c r="EQ11" s="1004"/>
      <c r="ER11" s="1004"/>
      <c r="ES11" s="1004"/>
      <c r="ET11" s="1004"/>
      <c r="EU11" s="1004"/>
      <c r="EV11" s="1004"/>
      <c r="EW11" s="1004"/>
      <c r="EX11" s="1004"/>
      <c r="EY11" s="1004"/>
      <c r="EZ11" s="1004"/>
      <c r="FA11" s="1004"/>
      <c r="FB11" s="1004"/>
      <c r="FC11" s="1004"/>
      <c r="FD11" s="1004"/>
      <c r="FE11" s="1004"/>
      <c r="FF11" s="1004"/>
      <c r="FG11" s="1004"/>
      <c r="FH11" s="1004"/>
      <c r="FI11" s="1004"/>
      <c r="FJ11" s="1004"/>
      <c r="FK11" s="1004"/>
      <c r="FL11" s="1004"/>
      <c r="FM11" s="1004"/>
      <c r="FN11" s="1004"/>
      <c r="FO11" s="1004"/>
      <c r="FP11" s="1004"/>
      <c r="FQ11" s="1004"/>
      <c r="FR11" s="1004"/>
      <c r="FS11" s="1004"/>
      <c r="FT11" s="1004"/>
      <c r="FU11" s="1004"/>
      <c r="FV11" s="1004"/>
      <c r="FW11" s="1004"/>
      <c r="FX11" s="1004"/>
      <c r="FY11" s="1004"/>
      <c r="FZ11" s="1004"/>
      <c r="GA11" s="1004"/>
      <c r="GB11" s="1004"/>
      <c r="GC11" s="1004"/>
      <c r="GD11" s="1004"/>
      <c r="GE11" s="1004"/>
      <c r="GF11" s="1004"/>
      <c r="GG11" s="1004"/>
      <c r="GH11" s="1004"/>
      <c r="GI11" s="1004"/>
      <c r="GJ11" s="1004"/>
      <c r="GK11" s="1004"/>
      <c r="GL11" s="1004"/>
      <c r="GM11" s="1004"/>
      <c r="GN11" s="1004"/>
      <c r="GO11" s="1004"/>
      <c r="GP11" s="1004"/>
      <c r="GQ11" s="1004"/>
      <c r="GR11" s="1004"/>
      <c r="GS11" s="1004"/>
      <c r="GT11" s="1004"/>
      <c r="GU11" s="1004"/>
      <c r="GV11" s="1004"/>
      <c r="GW11" s="1004"/>
      <c r="GX11" s="1004"/>
      <c r="GY11" s="1004"/>
      <c r="GZ11" s="1004"/>
      <c r="HA11" s="1004"/>
      <c r="HB11" s="1004"/>
      <c r="HC11" s="1004"/>
      <c r="HD11" s="1004"/>
      <c r="HE11" s="1004"/>
      <c r="HF11" s="1004"/>
      <c r="HG11" s="1004"/>
      <c r="HH11" s="1004"/>
      <c r="HI11" s="1004"/>
      <c r="HJ11" s="1004"/>
      <c r="HK11" s="1004"/>
      <c r="HL11" s="1004"/>
      <c r="HM11" s="1004"/>
      <c r="HN11" s="1004"/>
      <c r="HO11" s="1004"/>
      <c r="HP11" s="1004"/>
      <c r="HQ11" s="1004"/>
      <c r="HR11" s="1004"/>
      <c r="HS11" s="1004"/>
      <c r="HT11" s="1004"/>
      <c r="HU11" s="1004"/>
      <c r="HV11" s="1004"/>
      <c r="HW11" s="1004"/>
      <c r="HX11" s="1004"/>
      <c r="HY11" s="1004"/>
      <c r="HZ11" s="1004"/>
      <c r="IA11" s="1004"/>
      <c r="IB11" s="1004"/>
      <c r="IC11" s="1004"/>
      <c r="ID11" s="1004"/>
      <c r="IE11" s="1004"/>
      <c r="IF11" s="1004"/>
      <c r="IG11" s="1004"/>
      <c r="IH11" s="1004"/>
      <c r="II11" s="1004"/>
      <c r="IJ11" s="1004"/>
      <c r="IK11" s="1004"/>
      <c r="IL11" s="1004"/>
      <c r="IM11" s="1004"/>
      <c r="IN11" s="1004"/>
      <c r="IO11" s="1004"/>
      <c r="IP11" s="1004"/>
      <c r="IQ11" s="1004"/>
      <c r="IR11" s="1004"/>
      <c r="IS11" s="1004"/>
      <c r="IT11" s="1004"/>
      <c r="IU11" s="1004"/>
      <c r="IV11" s="1004"/>
      <c r="IW11" s="1004"/>
      <c r="IX11" s="1004"/>
      <c r="IY11" s="1004"/>
      <c r="IZ11" s="1004"/>
      <c r="JA11" s="1004"/>
      <c r="JB11" s="1004"/>
      <c r="JC11" s="1004"/>
      <c r="JD11" s="1004"/>
      <c r="JE11" s="1004"/>
      <c r="JF11" s="1004"/>
      <c r="JG11" s="1004"/>
      <c r="JH11" s="1004"/>
      <c r="JI11" s="1004"/>
      <c r="JJ11" s="1004"/>
      <c r="JK11" s="1004"/>
      <c r="JL11" s="1004"/>
      <c r="JM11" s="1004"/>
      <c r="JN11" s="1004"/>
      <c r="JO11" s="1004"/>
      <c r="JP11" s="1004"/>
      <c r="JQ11" s="1004"/>
      <c r="JR11" s="1004"/>
      <c r="JS11" s="1004"/>
      <c r="JT11" s="1004"/>
      <c r="JU11" s="1004"/>
      <c r="JV11" s="1004"/>
      <c r="JW11" s="1004"/>
      <c r="JX11" s="1004"/>
      <c r="JY11" s="1004"/>
      <c r="JZ11" s="1004"/>
      <c r="KA11" s="1004"/>
      <c r="KB11" s="1004"/>
      <c r="KC11" s="1004"/>
      <c r="KD11" s="1004"/>
      <c r="KE11" s="1004"/>
      <c r="KF11" s="1004"/>
      <c r="KG11" s="1004"/>
      <c r="KH11" s="1004"/>
      <c r="KI11" s="1004"/>
      <c r="KJ11" s="1004"/>
      <c r="KK11" s="1004"/>
      <c r="KL11" s="1004"/>
      <c r="KM11" s="1004"/>
      <c r="KN11" s="1004"/>
      <c r="KO11" s="1004"/>
      <c r="KP11" s="1004"/>
      <c r="KQ11" s="1004"/>
      <c r="KR11" s="1004"/>
      <c r="KS11" s="1004"/>
      <c r="KT11" s="1004"/>
      <c r="KU11" s="1004"/>
      <c r="KV11" s="1004"/>
      <c r="KW11" s="1004"/>
      <c r="KX11" s="1004"/>
      <c r="KY11" s="1004"/>
      <c r="KZ11" s="1004"/>
      <c r="LA11" s="1004"/>
      <c r="LB11" s="1004"/>
      <c r="LC11" s="1004"/>
      <c r="LD11" s="1004"/>
      <c r="LE11" s="1004"/>
      <c r="LF11" s="1004"/>
      <c r="LG11" s="1004"/>
      <c r="LH11" s="1004"/>
      <c r="LI11" s="1004"/>
      <c r="LJ11" s="1004"/>
      <c r="LK11" s="1004"/>
      <c r="LL11" s="1004"/>
      <c r="LM11" s="1004"/>
      <c r="LN11" s="1004"/>
      <c r="LO11" s="1004"/>
      <c r="LP11" s="1004"/>
      <c r="LQ11" s="1004"/>
      <c r="LR11" s="1004"/>
      <c r="LS11" s="1004"/>
      <c r="LT11" s="1004"/>
      <c r="LU11" s="1004"/>
      <c r="LV11" s="1004"/>
      <c r="LW11" s="1004"/>
      <c r="LX11" s="1004"/>
      <c r="LY11" s="1004"/>
      <c r="LZ11" s="1004"/>
      <c r="MA11" s="1004"/>
      <c r="MB11" s="1004"/>
      <c r="MC11" s="1004"/>
      <c r="MD11" s="1004"/>
      <c r="ME11" s="1004"/>
      <c r="MF11" s="1004"/>
      <c r="MG11" s="1004"/>
      <c r="MH11" s="1004"/>
      <c r="MI11" s="1004"/>
      <c r="MJ11" s="1004"/>
      <c r="MK11" s="1004"/>
      <c r="ML11" s="1004"/>
      <c r="MM11" s="1004"/>
      <c r="MN11" s="1004"/>
      <c r="MO11" s="1004"/>
      <c r="MP11" s="1004"/>
      <c r="MQ11" s="1004"/>
      <c r="MR11" s="1004"/>
      <c r="MS11" s="1004"/>
      <c r="MT11" s="1004"/>
      <c r="MU11" s="1004"/>
      <c r="MV11" s="1004"/>
      <c r="MW11" s="1004"/>
      <c r="MX11" s="1004"/>
      <c r="MY11" s="1004"/>
      <c r="MZ11" s="1004"/>
      <c r="NA11" s="1004"/>
      <c r="NB11" s="1004"/>
      <c r="NC11" s="1004"/>
      <c r="ND11" s="1004"/>
      <c r="NE11" s="1004"/>
      <c r="NF11" s="1004"/>
      <c r="NG11" s="1004"/>
      <c r="NH11" s="1004"/>
      <c r="NI11" s="1004"/>
      <c r="NJ11" s="1004"/>
      <c r="NK11" s="1004"/>
      <c r="NL11" s="1004"/>
      <c r="NM11" s="1004"/>
      <c r="NN11" s="1004"/>
      <c r="NO11" s="1004"/>
      <c r="NP11" s="1004"/>
      <c r="NQ11" s="1004"/>
      <c r="NR11" s="1004"/>
      <c r="NS11" s="1004"/>
      <c r="NT11" s="1004"/>
      <c r="NU11" s="1004"/>
      <c r="NV11" s="1004"/>
      <c r="NW11" s="1004"/>
      <c r="NX11" s="1004"/>
      <c r="NY11" s="1004"/>
      <c r="NZ11" s="1004"/>
      <c r="OA11" s="1004"/>
      <c r="OB11" s="1004"/>
      <c r="OC11" s="1004"/>
      <c r="OD11" s="1004"/>
      <c r="OE11" s="1004"/>
      <c r="OF11" s="1004"/>
      <c r="OG11" s="1004"/>
      <c r="OH11" s="1004"/>
      <c r="OI11" s="1004"/>
      <c r="OJ11" s="1004"/>
      <c r="OK11" s="1004"/>
      <c r="OL11" s="1004"/>
      <c r="OM11" s="1004"/>
      <c r="ON11" s="1004"/>
      <c r="OO11" s="1004"/>
      <c r="OP11" s="1004"/>
      <c r="OQ11" s="1004"/>
      <c r="OR11" s="1004"/>
      <c r="OS11" s="1004"/>
      <c r="OT11" s="1004"/>
      <c r="OU11" s="1004"/>
      <c r="OV11" s="1004"/>
      <c r="OW11" s="1004"/>
      <c r="OX11" s="1004"/>
      <c r="OY11" s="1004"/>
      <c r="OZ11" s="1004"/>
      <c r="PA11" s="1004"/>
      <c r="PB11" s="1004"/>
      <c r="PC11" s="1004"/>
      <c r="PD11" s="1004"/>
      <c r="PE11" s="1004"/>
      <c r="PF11" s="1004"/>
      <c r="PG11" s="1004"/>
      <c r="PH11" s="1004"/>
      <c r="PI11" s="1004"/>
      <c r="PJ11" s="1004"/>
      <c r="PK11" s="1004"/>
      <c r="PL11" s="1004"/>
      <c r="PM11" s="1004"/>
      <c r="PN11" s="1004"/>
      <c r="PO11" s="1004"/>
      <c r="PP11" s="1004"/>
      <c r="PQ11" s="1004"/>
      <c r="PR11" s="1004"/>
      <c r="PS11" s="1004"/>
      <c r="PT11" s="1004"/>
      <c r="PU11" s="1004"/>
      <c r="PV11" s="1004"/>
      <c r="PW11" s="1004"/>
      <c r="PX11" s="1004"/>
      <c r="PY11" s="1004"/>
      <c r="PZ11" s="1004"/>
      <c r="QA11" s="1004"/>
      <c r="QB11" s="1004"/>
      <c r="QC11" s="1004"/>
      <c r="QD11" s="1004"/>
      <c r="QE11" s="1004"/>
      <c r="QF11" s="1004"/>
      <c r="QG11" s="1004"/>
      <c r="QH11" s="1004"/>
      <c r="QI11" s="1004"/>
      <c r="QJ11" s="1004"/>
      <c r="QK11" s="1004"/>
      <c r="QL11" s="1004"/>
      <c r="QM11" s="1004"/>
      <c r="QN11" s="1004"/>
      <c r="QO11" s="1004"/>
      <c r="QP11" s="1004"/>
      <c r="QQ11" s="1004"/>
      <c r="QR11" s="1004"/>
      <c r="QS11" s="1004"/>
      <c r="QT11" s="1004"/>
      <c r="QU11" s="1004"/>
      <c r="QV11" s="1004"/>
      <c r="QW11" s="1004"/>
      <c r="QX11" s="1004"/>
      <c r="QY11" s="1004"/>
      <c r="QZ11" s="1004"/>
      <c r="RA11" s="1004"/>
      <c r="RB11" s="1004"/>
      <c r="RC11" s="1004"/>
      <c r="RD11" s="1004"/>
      <c r="RE11" s="1004"/>
      <c r="RF11" s="1004"/>
      <c r="RG11" s="1004"/>
      <c r="RH11" s="1004"/>
      <c r="RI11" s="1004"/>
      <c r="RJ11" s="1004"/>
      <c r="RK11" s="1004"/>
      <c r="RL11" s="1004"/>
      <c r="RM11" s="1004"/>
      <c r="RN11" s="1004"/>
      <c r="RO11" s="1004"/>
      <c r="RP11" s="1004"/>
      <c r="RQ11" s="1004"/>
      <c r="RR11" s="1004"/>
      <c r="RS11" s="1004"/>
      <c r="RT11" s="1004"/>
      <c r="RU11" s="1004"/>
      <c r="RV11" s="1004"/>
      <c r="RW11" s="1004"/>
      <c r="RX11" s="1004"/>
      <c r="RY11" s="1004"/>
      <c r="RZ11" s="1004"/>
      <c r="SA11" s="1004"/>
      <c r="SB11" s="1004"/>
      <c r="SC11" s="1004"/>
      <c r="SD11" s="1004"/>
      <c r="SE11" s="1004"/>
      <c r="SF11" s="1004"/>
      <c r="SG11" s="1004"/>
      <c r="SH11" s="1004"/>
      <c r="SI11" s="1004"/>
      <c r="SJ11" s="1004"/>
      <c r="SK11" s="1004"/>
      <c r="SL11" s="1004"/>
      <c r="SM11" s="1004"/>
      <c r="SN11" s="1004"/>
      <c r="SO11" s="1004"/>
      <c r="SP11" s="1004"/>
      <c r="SQ11" s="1004"/>
      <c r="SR11" s="1004"/>
      <c r="SS11" s="1004"/>
      <c r="ST11" s="1004"/>
      <c r="SU11" s="1004"/>
      <c r="SV11" s="1004"/>
      <c r="SW11" s="1004"/>
      <c r="SX11" s="1004"/>
      <c r="SY11" s="1004"/>
      <c r="SZ11" s="1004"/>
      <c r="TA11" s="1004"/>
      <c r="TB11" s="1004"/>
      <c r="TC11" s="1004"/>
      <c r="TD11" s="1004"/>
      <c r="TE11" s="1004"/>
      <c r="TF11" s="1004"/>
      <c r="TG11" s="1004"/>
      <c r="TH11" s="1004"/>
      <c r="TI11" s="1004"/>
      <c r="TJ11" s="1004"/>
      <c r="TK11" s="1004"/>
      <c r="TL11" s="1004"/>
      <c r="TM11" s="1004"/>
      <c r="TN11" s="1004"/>
      <c r="TO11" s="1004"/>
      <c r="TP11" s="1004"/>
      <c r="TQ11" s="1004"/>
      <c r="TR11" s="1004"/>
      <c r="TS11" s="1004"/>
      <c r="TT11" s="1004"/>
      <c r="TU11" s="1004"/>
      <c r="TV11" s="1004"/>
      <c r="TW11" s="1004"/>
      <c r="TX11" s="1004"/>
      <c r="TY11" s="1004"/>
      <c r="TZ11" s="1004"/>
      <c r="UA11" s="1004"/>
      <c r="UB11" s="1004"/>
      <c r="UC11" s="1004"/>
      <c r="UD11" s="1004"/>
      <c r="UE11" s="1004"/>
      <c r="UF11" s="1004"/>
      <c r="UG11" s="1004"/>
      <c r="UH11" s="1004"/>
      <c r="UI11" s="1004"/>
      <c r="UJ11" s="1004"/>
      <c r="UK11" s="1004"/>
      <c r="UL11" s="1004"/>
      <c r="UM11" s="1004"/>
      <c r="UN11" s="1004"/>
      <c r="UO11" s="1004"/>
      <c r="UP11" s="1004"/>
      <c r="UQ11" s="1004"/>
      <c r="UR11" s="1004"/>
      <c r="US11" s="1004"/>
      <c r="UT11" s="1004"/>
      <c r="UU11" s="1004"/>
      <c r="UV11" s="1004"/>
      <c r="UW11" s="1004"/>
      <c r="UX11" s="1004"/>
      <c r="UY11" s="1004"/>
      <c r="UZ11" s="1004"/>
      <c r="VA11" s="1004"/>
      <c r="VB11" s="1004"/>
      <c r="VC11" s="1004"/>
      <c r="VD11" s="1004"/>
      <c r="VE11" s="1004"/>
      <c r="VF11" s="1004"/>
      <c r="VG11" s="1004"/>
      <c r="VH11" s="1004"/>
      <c r="VI11" s="1004"/>
      <c r="VJ11" s="1004"/>
      <c r="VK11" s="1004"/>
      <c r="VL11" s="1004"/>
      <c r="VM11" s="1004"/>
      <c r="VN11" s="1004"/>
      <c r="VO11" s="1004"/>
      <c r="VP11" s="1004"/>
      <c r="VQ11" s="1004"/>
      <c r="VR11" s="1004"/>
      <c r="VS11" s="1004"/>
      <c r="VT11" s="1004"/>
      <c r="VU11" s="1004"/>
      <c r="VV11" s="1004"/>
      <c r="VW11" s="1004"/>
      <c r="VX11" s="1004"/>
      <c r="VY11" s="1004"/>
      <c r="VZ11" s="1004"/>
      <c r="WA11" s="1004"/>
      <c r="WB11" s="1004"/>
      <c r="WC11" s="1004"/>
      <c r="WD11" s="1004"/>
      <c r="WE11" s="1004"/>
      <c r="WF11" s="1004"/>
      <c r="WG11" s="1004"/>
      <c r="WH11" s="1004"/>
      <c r="WI11" s="1004"/>
      <c r="WJ11" s="1004"/>
      <c r="WK11" s="1004"/>
      <c r="WL11" s="1004"/>
      <c r="WM11" s="1004"/>
      <c r="WN11" s="1004"/>
      <c r="WO11" s="1004"/>
      <c r="WP11" s="1004"/>
      <c r="WQ11" s="1004"/>
      <c r="WR11" s="1004"/>
      <c r="WS11" s="1004"/>
      <c r="WT11" s="1004"/>
      <c r="WU11" s="1004"/>
      <c r="WV11" s="1004"/>
      <c r="WW11" s="1004"/>
      <c r="WX11" s="1004"/>
      <c r="WY11" s="1004"/>
      <c r="WZ11" s="1004"/>
      <c r="XA11" s="1004"/>
      <c r="XB11" s="1004"/>
      <c r="XC11" s="1004"/>
      <c r="XD11" s="1004"/>
      <c r="XE11" s="1004"/>
      <c r="XF11" s="1004"/>
      <c r="XG11" s="1004"/>
      <c r="XH11" s="1004"/>
      <c r="XI11" s="1004"/>
      <c r="XJ11" s="1004"/>
      <c r="XK11" s="1004"/>
      <c r="XL11" s="1004"/>
      <c r="XM11" s="1004"/>
      <c r="XN11" s="1004"/>
      <c r="XO11" s="1004"/>
      <c r="XP11" s="1004"/>
      <c r="XQ11" s="1004"/>
      <c r="XR11" s="1004"/>
      <c r="XS11" s="1004"/>
      <c r="XT11" s="1004"/>
      <c r="XU11" s="1004"/>
      <c r="XV11" s="1004"/>
      <c r="XW11" s="1004"/>
      <c r="XX11" s="1004"/>
      <c r="XY11" s="1004"/>
      <c r="XZ11" s="1004"/>
      <c r="YA11" s="1004"/>
      <c r="YB11" s="1004"/>
      <c r="YC11" s="1004"/>
      <c r="YD11" s="1004"/>
      <c r="YE11" s="1004"/>
      <c r="YF11" s="1004"/>
      <c r="YG11" s="1004"/>
      <c r="YH11" s="1004"/>
      <c r="YI11" s="1004"/>
      <c r="YJ11" s="1004"/>
      <c r="YK11" s="1004"/>
      <c r="YL11" s="1004"/>
      <c r="YM11" s="1004"/>
      <c r="YN11" s="1004"/>
      <c r="YO11" s="1004"/>
      <c r="YP11" s="1004"/>
      <c r="YQ11" s="1004"/>
      <c r="YR11" s="1004"/>
      <c r="YS11" s="1004"/>
      <c r="YT11" s="1004"/>
      <c r="YU11" s="1004"/>
      <c r="YV11" s="1004"/>
      <c r="YW11" s="1004"/>
      <c r="YX11" s="1004"/>
      <c r="YY11" s="1004"/>
      <c r="YZ11" s="1004"/>
      <c r="ZA11" s="1004"/>
      <c r="ZB11" s="1004"/>
      <c r="ZC11" s="1004"/>
      <c r="ZD11" s="1004"/>
      <c r="ZE11" s="1004"/>
      <c r="ZF11" s="1004"/>
      <c r="ZG11" s="1004"/>
      <c r="ZH11" s="1004"/>
      <c r="ZI11" s="1004"/>
      <c r="ZJ11" s="1004"/>
      <c r="ZK11" s="1004"/>
      <c r="ZL11" s="1004"/>
      <c r="ZM11" s="1004"/>
      <c r="ZN11" s="1004"/>
      <c r="ZO11" s="1004"/>
      <c r="ZP11" s="1004"/>
      <c r="ZQ11" s="1004"/>
      <c r="ZR11" s="1004"/>
      <c r="ZS11" s="1004"/>
      <c r="ZT11" s="1004"/>
      <c r="ZU11" s="1004"/>
      <c r="ZV11" s="1004"/>
      <c r="ZW11" s="1004"/>
      <c r="ZX11" s="1004"/>
      <c r="ZY11" s="1004"/>
      <c r="ZZ11" s="1004"/>
      <c r="AAA11" s="1004"/>
      <c r="AAB11" s="1004"/>
      <c r="AAC11" s="1004"/>
      <c r="AAD11" s="1004"/>
      <c r="AAE11" s="1004"/>
      <c r="AAF11" s="1004"/>
      <c r="AAG11" s="1004"/>
      <c r="AAH11" s="1004"/>
      <c r="AAI11" s="1004"/>
      <c r="AAJ11" s="1004"/>
      <c r="AAK11" s="1004"/>
      <c r="AAL11" s="1004"/>
      <c r="AAM11" s="1004"/>
      <c r="AAN11" s="1004"/>
      <c r="AAO11" s="1004"/>
      <c r="AAP11" s="1004"/>
      <c r="AAQ11" s="1004"/>
      <c r="AAR11" s="1004"/>
      <c r="AAS11" s="1004"/>
      <c r="AAT11" s="1004"/>
      <c r="AAU11" s="1004"/>
      <c r="AAV11" s="1004"/>
      <c r="AAW11" s="1004"/>
      <c r="AAX11" s="1004"/>
      <c r="AAY11" s="1004"/>
      <c r="AAZ11" s="1004"/>
      <c r="ABA11" s="1004"/>
      <c r="ABB11" s="1004"/>
      <c r="ABC11" s="1004"/>
      <c r="ABD11" s="1004"/>
      <c r="ABE11" s="1004"/>
      <c r="ABF11" s="1004"/>
      <c r="ABG11" s="1004"/>
      <c r="ABH11" s="1004"/>
      <c r="ABI11" s="1004"/>
      <c r="ABJ11" s="1004"/>
      <c r="ABK11" s="1004"/>
      <c r="ABL11" s="1004"/>
      <c r="ABM11" s="1004"/>
      <c r="ABN11" s="1004"/>
      <c r="ABO11" s="1004"/>
      <c r="ABP11" s="1004"/>
      <c r="ABQ11" s="1004"/>
      <c r="ABR11" s="1004"/>
    </row>
    <row r="12" spans="1:746" s="94" customFormat="1" ht="12.9" customHeight="1" thickBot="1">
      <c r="A12" s="925"/>
      <c r="B12" s="2957" t="s">
        <v>189</v>
      </c>
      <c r="C12" s="2958"/>
      <c r="D12" s="346"/>
      <c r="E12" s="347" t="s">
        <v>1</v>
      </c>
      <c r="F12" s="1240"/>
      <c r="G12" s="347">
        <v>0.25</v>
      </c>
      <c r="H12" s="2349"/>
      <c r="I12" s="1966"/>
      <c r="J12" s="368"/>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1042"/>
      <c r="AH12" s="331"/>
      <c r="AI12" s="331"/>
      <c r="AJ12" s="418">
        <f>IF(fx!$C$57=1,SUMIF(fx!I$57:T$57,1,I12:T12),IF(fx!$C$57=2,SUMIF(fx!O$57:AF$57,1,O12:AF12)))</f>
        <v>0</v>
      </c>
      <c r="AK12" s="328"/>
      <c r="AL12" s="417">
        <f>IF(fx!$C$57=1,SUM(U12:AF12),0)</f>
        <v>0</v>
      </c>
      <c r="AM12" s="1005"/>
      <c r="AN12" s="1011"/>
      <c r="AO12" s="1930" t="s">
        <v>1084</v>
      </c>
      <c r="AP12" s="1935"/>
      <c r="AQ12" s="1936"/>
      <c r="AR12" s="1941">
        <v>103</v>
      </c>
      <c r="AS12" s="1941">
        <v>104</v>
      </c>
      <c r="AT12" s="1941">
        <v>105</v>
      </c>
      <c r="AU12" s="1941">
        <v>106</v>
      </c>
      <c r="AV12" s="1941">
        <v>107</v>
      </c>
      <c r="AW12" s="1941">
        <v>108</v>
      </c>
      <c r="AX12" s="1941">
        <v>109</v>
      </c>
      <c r="AY12" s="1941">
        <v>110</v>
      </c>
      <c r="AZ12" s="1941">
        <v>111</v>
      </c>
      <c r="BA12" s="1941">
        <v>112</v>
      </c>
      <c r="BB12" s="1941">
        <v>113</v>
      </c>
      <c r="BC12" s="1941">
        <v>114</v>
      </c>
      <c r="BD12" s="1941">
        <v>115</v>
      </c>
      <c r="BE12" s="1941">
        <v>116</v>
      </c>
      <c r="BF12" s="1941">
        <v>117</v>
      </c>
      <c r="BG12" s="1941">
        <v>118</v>
      </c>
      <c r="BH12" s="1941">
        <v>119</v>
      </c>
      <c r="BI12" s="1941">
        <v>120</v>
      </c>
      <c r="BJ12" s="1941">
        <v>121</v>
      </c>
      <c r="BK12" s="1941">
        <v>122</v>
      </c>
      <c r="BL12" s="1941">
        <v>123</v>
      </c>
      <c r="BM12" s="1941">
        <v>124</v>
      </c>
      <c r="BN12" s="1941">
        <v>125</v>
      </c>
      <c r="BO12" s="1941">
        <v>126</v>
      </c>
      <c r="BP12" s="1009"/>
      <c r="BQ12" s="1005"/>
      <c r="BR12" s="1005"/>
      <c r="BS12" s="1005"/>
      <c r="BT12" s="1005"/>
      <c r="BU12" s="1005"/>
      <c r="BV12" s="1005"/>
      <c r="BW12" s="1005"/>
      <c r="BX12" s="1005"/>
      <c r="BY12" s="1005"/>
      <c r="BZ12" s="1005"/>
      <c r="CA12" s="1005"/>
      <c r="CB12" s="1005"/>
      <c r="CC12" s="1005"/>
      <c r="CD12" s="1005"/>
      <c r="CE12" s="1005"/>
      <c r="CF12" s="1005"/>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c r="EC12" s="1005"/>
      <c r="ED12" s="1005"/>
      <c r="EE12" s="1005"/>
      <c r="EF12" s="1005"/>
      <c r="EG12" s="1005"/>
      <c r="EH12" s="1005"/>
      <c r="EI12" s="1005"/>
      <c r="EJ12" s="1005"/>
      <c r="EK12" s="1005"/>
      <c r="EL12" s="1005"/>
      <c r="EM12" s="1005"/>
      <c r="EN12" s="1005"/>
      <c r="EO12" s="1005"/>
      <c r="EP12" s="1005"/>
      <c r="EQ12" s="1005"/>
      <c r="ER12" s="1005"/>
      <c r="ES12" s="1005"/>
      <c r="ET12" s="1005"/>
      <c r="EU12" s="1005"/>
      <c r="EV12" s="1005"/>
      <c r="EW12" s="1005"/>
      <c r="EX12" s="1005"/>
      <c r="EY12" s="1005"/>
      <c r="EZ12" s="1005"/>
      <c r="FA12" s="1005"/>
      <c r="FB12" s="1005"/>
      <c r="FC12" s="1005"/>
      <c r="FD12" s="1005"/>
      <c r="FE12" s="1005"/>
      <c r="FF12" s="1005"/>
      <c r="FG12" s="1005"/>
      <c r="FH12" s="1005"/>
      <c r="FI12" s="1005"/>
      <c r="FJ12" s="1005"/>
      <c r="FK12" s="1005"/>
      <c r="FL12" s="1005"/>
      <c r="FM12" s="1005"/>
      <c r="FN12" s="1005"/>
      <c r="FO12" s="1005"/>
      <c r="FP12" s="1005"/>
      <c r="FQ12" s="1005"/>
      <c r="FR12" s="1005"/>
      <c r="FS12" s="1005"/>
      <c r="FT12" s="1005"/>
      <c r="FU12" s="1005"/>
      <c r="FV12" s="1005"/>
      <c r="FW12" s="1005"/>
      <c r="FX12" s="1005"/>
      <c r="FY12" s="1005"/>
      <c r="FZ12" s="1005"/>
      <c r="GA12" s="1005"/>
      <c r="GB12" s="1005"/>
      <c r="GC12" s="1005"/>
      <c r="GD12" s="1005"/>
      <c r="GE12" s="1005"/>
      <c r="GF12" s="1005"/>
      <c r="GG12" s="1005"/>
      <c r="GH12" s="1005"/>
      <c r="GI12" s="1005"/>
      <c r="GJ12" s="1005"/>
      <c r="GK12" s="1005"/>
      <c r="GL12" s="1005"/>
      <c r="GM12" s="1005"/>
      <c r="GN12" s="1005"/>
      <c r="GO12" s="1005"/>
      <c r="GP12" s="1005"/>
      <c r="GQ12" s="1005"/>
      <c r="GR12" s="1005"/>
      <c r="GS12" s="1005"/>
      <c r="GT12" s="1005"/>
      <c r="GU12" s="1005"/>
      <c r="GV12" s="1005"/>
      <c r="GW12" s="1005"/>
      <c r="GX12" s="1005"/>
      <c r="GY12" s="1005"/>
      <c r="GZ12" s="1005"/>
      <c r="HA12" s="1005"/>
      <c r="HB12" s="1005"/>
      <c r="HC12" s="1005"/>
      <c r="HD12" s="1005"/>
      <c r="HE12" s="1005"/>
      <c r="HF12" s="1005"/>
      <c r="HG12" s="1005"/>
      <c r="HH12" s="1005"/>
      <c r="HI12" s="1005"/>
      <c r="HJ12" s="1005"/>
      <c r="HK12" s="1005"/>
      <c r="HL12" s="1005"/>
      <c r="HM12" s="1005"/>
      <c r="HN12" s="1005"/>
      <c r="HO12" s="1005"/>
      <c r="HP12" s="1005"/>
      <c r="HQ12" s="1005"/>
      <c r="HR12" s="1005"/>
      <c r="HS12" s="1005"/>
      <c r="HT12" s="1005"/>
      <c r="HU12" s="1005"/>
      <c r="HV12" s="1005"/>
      <c r="HW12" s="1005"/>
      <c r="HX12" s="1005"/>
      <c r="HY12" s="1005"/>
      <c r="HZ12" s="1005"/>
      <c r="IA12" s="1005"/>
      <c r="IB12" s="1005"/>
      <c r="IC12" s="1005"/>
      <c r="ID12" s="1005"/>
      <c r="IE12" s="1005"/>
      <c r="IF12" s="1005"/>
      <c r="IG12" s="1005"/>
      <c r="IH12" s="1005"/>
      <c r="II12" s="1005"/>
      <c r="IJ12" s="1005"/>
      <c r="IK12" s="1005"/>
      <c r="IL12" s="1005"/>
      <c r="IM12" s="1005"/>
      <c r="IN12" s="1005"/>
      <c r="IO12" s="1005"/>
      <c r="IP12" s="1005"/>
      <c r="IQ12" s="1005"/>
      <c r="IR12" s="1005"/>
      <c r="IS12" s="1005"/>
      <c r="IT12" s="1005"/>
      <c r="IU12" s="1005"/>
      <c r="IV12" s="1005"/>
      <c r="IW12" s="1005"/>
      <c r="IX12" s="1005"/>
      <c r="IY12" s="1005"/>
      <c r="IZ12" s="1005"/>
      <c r="JA12" s="1005"/>
      <c r="JB12" s="1005"/>
      <c r="JC12" s="1005"/>
      <c r="JD12" s="1005"/>
      <c r="JE12" s="1005"/>
      <c r="JF12" s="1005"/>
      <c r="JG12" s="1005"/>
      <c r="JH12" s="1005"/>
      <c r="JI12" s="1005"/>
      <c r="JJ12" s="1005"/>
      <c r="JK12" s="1005"/>
      <c r="JL12" s="1005"/>
      <c r="JM12" s="1005"/>
      <c r="JN12" s="1005"/>
      <c r="JO12" s="1005"/>
      <c r="JP12" s="1005"/>
      <c r="JQ12" s="1005"/>
      <c r="JR12" s="1005"/>
      <c r="JS12" s="1005"/>
      <c r="JT12" s="1005"/>
      <c r="JU12" s="1005"/>
      <c r="JV12" s="1005"/>
      <c r="JW12" s="1005"/>
      <c r="JX12" s="1005"/>
      <c r="JY12" s="1005"/>
      <c r="JZ12" s="1005"/>
      <c r="KA12" s="1005"/>
      <c r="KB12" s="1005"/>
      <c r="KC12" s="1005"/>
      <c r="KD12" s="1005"/>
      <c r="KE12" s="1005"/>
      <c r="KF12" s="1005"/>
      <c r="KG12" s="1005"/>
      <c r="KH12" s="1005"/>
      <c r="KI12" s="1005"/>
      <c r="KJ12" s="1005"/>
      <c r="KK12" s="1005"/>
      <c r="KL12" s="1005"/>
      <c r="KM12" s="1005"/>
      <c r="KN12" s="1005"/>
      <c r="KO12" s="1005"/>
      <c r="KP12" s="1005"/>
      <c r="KQ12" s="1005"/>
      <c r="KR12" s="1005"/>
      <c r="KS12" s="1005"/>
      <c r="KT12" s="1005"/>
      <c r="KU12" s="1005"/>
      <c r="KV12" s="1005"/>
      <c r="KW12" s="1005"/>
      <c r="KX12" s="1005"/>
      <c r="KY12" s="1005"/>
      <c r="KZ12" s="1005"/>
      <c r="LA12" s="1005"/>
      <c r="LB12" s="1005"/>
      <c r="LC12" s="1005"/>
      <c r="LD12" s="1005"/>
      <c r="LE12" s="1005"/>
      <c r="LF12" s="1005"/>
      <c r="LG12" s="1005"/>
      <c r="LH12" s="1005"/>
      <c r="LI12" s="1005"/>
      <c r="LJ12" s="1005"/>
      <c r="LK12" s="1005"/>
      <c r="LL12" s="1005"/>
      <c r="LM12" s="1005"/>
      <c r="LN12" s="1005"/>
      <c r="LO12" s="1005"/>
      <c r="LP12" s="1005"/>
      <c r="LQ12" s="1005"/>
      <c r="LR12" s="1005"/>
      <c r="LS12" s="1005"/>
      <c r="LT12" s="1005"/>
      <c r="LU12" s="1005"/>
      <c r="LV12" s="1005"/>
      <c r="LW12" s="1005"/>
      <c r="LX12" s="1005"/>
      <c r="LY12" s="1005"/>
      <c r="LZ12" s="1005"/>
      <c r="MA12" s="1005"/>
      <c r="MB12" s="1005"/>
      <c r="MC12" s="1005"/>
      <c r="MD12" s="1005"/>
      <c r="ME12" s="1005"/>
      <c r="MF12" s="1005"/>
      <c r="MG12" s="1005"/>
      <c r="MH12" s="1005"/>
      <c r="MI12" s="1005"/>
      <c r="MJ12" s="1005"/>
      <c r="MK12" s="1005"/>
      <c r="ML12" s="1005"/>
      <c r="MM12" s="1005"/>
      <c r="MN12" s="1005"/>
      <c r="MO12" s="1005"/>
      <c r="MP12" s="1005"/>
      <c r="MQ12" s="1005"/>
      <c r="MR12" s="1005"/>
      <c r="MS12" s="1005"/>
      <c r="MT12" s="1005"/>
      <c r="MU12" s="1005"/>
      <c r="MV12" s="1005"/>
      <c r="MW12" s="1005"/>
      <c r="MX12" s="1005"/>
      <c r="MY12" s="1005"/>
      <c r="MZ12" s="1005"/>
      <c r="NA12" s="1005"/>
      <c r="NB12" s="1005"/>
      <c r="NC12" s="1005"/>
      <c r="ND12" s="1005"/>
      <c r="NE12" s="1005"/>
      <c r="NF12" s="1005"/>
      <c r="NG12" s="1005"/>
      <c r="NH12" s="1005"/>
      <c r="NI12" s="1005"/>
      <c r="NJ12" s="1005"/>
      <c r="NK12" s="1005"/>
      <c r="NL12" s="1005"/>
      <c r="NM12" s="1005"/>
      <c r="NN12" s="1005"/>
      <c r="NO12" s="1005"/>
      <c r="NP12" s="1005"/>
      <c r="NQ12" s="1005"/>
      <c r="NR12" s="1005"/>
      <c r="NS12" s="1005"/>
      <c r="NT12" s="1005"/>
      <c r="NU12" s="1005"/>
      <c r="NV12" s="1005"/>
      <c r="NW12" s="1005"/>
      <c r="NX12" s="1005"/>
      <c r="NY12" s="1005"/>
      <c r="NZ12" s="1005"/>
      <c r="OA12" s="1005"/>
      <c r="OB12" s="1005"/>
      <c r="OC12" s="1005"/>
      <c r="OD12" s="1005"/>
      <c r="OE12" s="1005"/>
      <c r="OF12" s="1005"/>
      <c r="OG12" s="1005"/>
      <c r="OH12" s="1005"/>
      <c r="OI12" s="1005"/>
      <c r="OJ12" s="1005"/>
      <c r="OK12" s="1005"/>
      <c r="OL12" s="1005"/>
      <c r="OM12" s="1005"/>
      <c r="ON12" s="1005"/>
      <c r="OO12" s="1005"/>
      <c r="OP12" s="1005"/>
      <c r="OQ12" s="1005"/>
      <c r="OR12" s="1005"/>
      <c r="OS12" s="1005"/>
      <c r="OT12" s="1005"/>
      <c r="OU12" s="1005"/>
      <c r="OV12" s="1005"/>
      <c r="OW12" s="1005"/>
      <c r="OX12" s="1005"/>
      <c r="OY12" s="1005"/>
      <c r="OZ12" s="1005"/>
      <c r="PA12" s="1005"/>
      <c r="PB12" s="1005"/>
      <c r="PC12" s="1005"/>
      <c r="PD12" s="1005"/>
      <c r="PE12" s="1005"/>
      <c r="PF12" s="1005"/>
      <c r="PG12" s="1005"/>
      <c r="PH12" s="1005"/>
      <c r="PI12" s="1005"/>
      <c r="PJ12" s="1005"/>
      <c r="PK12" s="1005"/>
      <c r="PL12" s="1005"/>
      <c r="PM12" s="1005"/>
      <c r="PN12" s="1005"/>
      <c r="PO12" s="1005"/>
      <c r="PP12" s="1005"/>
      <c r="PQ12" s="1005"/>
      <c r="PR12" s="1005"/>
      <c r="PS12" s="1005"/>
      <c r="PT12" s="1005"/>
      <c r="PU12" s="1005"/>
      <c r="PV12" s="1005"/>
      <c r="PW12" s="1005"/>
      <c r="PX12" s="1005"/>
      <c r="PY12" s="1005"/>
      <c r="PZ12" s="1005"/>
      <c r="QA12" s="1005"/>
      <c r="QB12" s="1005"/>
      <c r="QC12" s="1005"/>
      <c r="QD12" s="1005"/>
      <c r="QE12" s="1005"/>
      <c r="QF12" s="1005"/>
      <c r="QG12" s="1005"/>
      <c r="QH12" s="1005"/>
      <c r="QI12" s="1005"/>
      <c r="QJ12" s="1005"/>
      <c r="QK12" s="1005"/>
      <c r="QL12" s="1005"/>
      <c r="QM12" s="1005"/>
      <c r="QN12" s="1005"/>
      <c r="QO12" s="1005"/>
      <c r="QP12" s="1005"/>
      <c r="QQ12" s="1005"/>
      <c r="QR12" s="1005"/>
      <c r="QS12" s="1005"/>
      <c r="QT12" s="1005"/>
      <c r="QU12" s="1005"/>
      <c r="QV12" s="1005"/>
      <c r="QW12" s="1005"/>
      <c r="QX12" s="1005"/>
      <c r="QY12" s="1005"/>
      <c r="QZ12" s="1005"/>
      <c r="RA12" s="1005"/>
      <c r="RB12" s="1005"/>
      <c r="RC12" s="1005"/>
      <c r="RD12" s="1005"/>
      <c r="RE12" s="1005"/>
      <c r="RF12" s="1005"/>
      <c r="RG12" s="1005"/>
      <c r="RH12" s="1005"/>
      <c r="RI12" s="1005"/>
      <c r="RJ12" s="1005"/>
      <c r="RK12" s="1005"/>
      <c r="RL12" s="1005"/>
      <c r="RM12" s="1005"/>
      <c r="RN12" s="1005"/>
      <c r="RO12" s="1005"/>
      <c r="RP12" s="1005"/>
      <c r="RQ12" s="1005"/>
      <c r="RR12" s="1005"/>
      <c r="RS12" s="1005"/>
      <c r="RT12" s="1005"/>
      <c r="RU12" s="1005"/>
      <c r="RV12" s="1005"/>
      <c r="RW12" s="1005"/>
      <c r="RX12" s="1005"/>
      <c r="RY12" s="1005"/>
      <c r="RZ12" s="1005"/>
      <c r="SA12" s="1005"/>
      <c r="SB12" s="1005"/>
      <c r="SC12" s="1005"/>
      <c r="SD12" s="1005"/>
      <c r="SE12" s="1005"/>
      <c r="SF12" s="1005"/>
      <c r="SG12" s="1005"/>
      <c r="SH12" s="1005"/>
      <c r="SI12" s="1005"/>
      <c r="SJ12" s="1005"/>
      <c r="SK12" s="1005"/>
      <c r="SL12" s="1005"/>
      <c r="SM12" s="1005"/>
      <c r="SN12" s="1005"/>
      <c r="SO12" s="1005"/>
      <c r="SP12" s="1005"/>
      <c r="SQ12" s="1005"/>
      <c r="SR12" s="1005"/>
      <c r="SS12" s="1005"/>
      <c r="ST12" s="1005"/>
      <c r="SU12" s="1005"/>
      <c r="SV12" s="1005"/>
      <c r="SW12" s="1005"/>
      <c r="SX12" s="1005"/>
      <c r="SY12" s="1005"/>
      <c r="SZ12" s="1005"/>
      <c r="TA12" s="1005"/>
      <c r="TB12" s="1005"/>
      <c r="TC12" s="1005"/>
      <c r="TD12" s="1005"/>
      <c r="TE12" s="1005"/>
      <c r="TF12" s="1005"/>
      <c r="TG12" s="1005"/>
      <c r="TH12" s="1005"/>
      <c r="TI12" s="1005"/>
      <c r="TJ12" s="1005"/>
      <c r="TK12" s="1005"/>
      <c r="TL12" s="1005"/>
      <c r="TM12" s="1005"/>
      <c r="TN12" s="1005"/>
      <c r="TO12" s="1005"/>
      <c r="TP12" s="1005"/>
      <c r="TQ12" s="1005"/>
      <c r="TR12" s="1005"/>
      <c r="TS12" s="1005"/>
      <c r="TT12" s="1005"/>
      <c r="TU12" s="1005"/>
      <c r="TV12" s="1005"/>
      <c r="TW12" s="1005"/>
      <c r="TX12" s="1005"/>
      <c r="TY12" s="1005"/>
      <c r="TZ12" s="1005"/>
      <c r="UA12" s="1005"/>
      <c r="UB12" s="1005"/>
      <c r="UC12" s="1005"/>
      <c r="UD12" s="1005"/>
      <c r="UE12" s="1005"/>
      <c r="UF12" s="1005"/>
      <c r="UG12" s="1005"/>
      <c r="UH12" s="1005"/>
      <c r="UI12" s="1005"/>
      <c r="UJ12" s="1005"/>
      <c r="UK12" s="1005"/>
      <c r="UL12" s="1005"/>
      <c r="UM12" s="1005"/>
      <c r="UN12" s="1005"/>
      <c r="UO12" s="1005"/>
      <c r="UP12" s="1005"/>
      <c r="UQ12" s="1005"/>
      <c r="UR12" s="1005"/>
      <c r="US12" s="1005"/>
      <c r="UT12" s="1005"/>
      <c r="UU12" s="1005"/>
      <c r="UV12" s="1005"/>
      <c r="UW12" s="1005"/>
      <c r="UX12" s="1005"/>
      <c r="UY12" s="1005"/>
      <c r="UZ12" s="1005"/>
      <c r="VA12" s="1005"/>
      <c r="VB12" s="1005"/>
      <c r="VC12" s="1005"/>
      <c r="VD12" s="1005"/>
      <c r="VE12" s="1005"/>
      <c r="VF12" s="1005"/>
      <c r="VG12" s="1005"/>
      <c r="VH12" s="1005"/>
      <c r="VI12" s="1005"/>
      <c r="VJ12" s="1005"/>
      <c r="VK12" s="1005"/>
      <c r="VL12" s="1005"/>
      <c r="VM12" s="1005"/>
      <c r="VN12" s="1005"/>
      <c r="VO12" s="1005"/>
      <c r="VP12" s="1005"/>
      <c r="VQ12" s="1005"/>
      <c r="VR12" s="1005"/>
      <c r="VS12" s="1005"/>
      <c r="VT12" s="1005"/>
      <c r="VU12" s="1005"/>
      <c r="VV12" s="1005"/>
      <c r="VW12" s="1005"/>
      <c r="VX12" s="1005"/>
      <c r="VY12" s="1005"/>
      <c r="VZ12" s="1005"/>
      <c r="WA12" s="1005"/>
      <c r="WB12" s="1005"/>
      <c r="WC12" s="1005"/>
      <c r="WD12" s="1005"/>
      <c r="WE12" s="1005"/>
      <c r="WF12" s="1005"/>
      <c r="WG12" s="1005"/>
      <c r="WH12" s="1005"/>
      <c r="WI12" s="1005"/>
      <c r="WJ12" s="1005"/>
      <c r="WK12" s="1005"/>
      <c r="WL12" s="1005"/>
      <c r="WM12" s="1005"/>
      <c r="WN12" s="1005"/>
      <c r="WO12" s="1005"/>
      <c r="WP12" s="1005"/>
      <c r="WQ12" s="1005"/>
      <c r="WR12" s="1005"/>
      <c r="WS12" s="1005"/>
      <c r="WT12" s="1005"/>
      <c r="WU12" s="1005"/>
      <c r="WV12" s="1005"/>
      <c r="WW12" s="1005"/>
      <c r="WX12" s="1005"/>
      <c r="WY12" s="1005"/>
      <c r="WZ12" s="1005"/>
      <c r="XA12" s="1005"/>
      <c r="XB12" s="1005"/>
      <c r="XC12" s="1005"/>
      <c r="XD12" s="1005"/>
      <c r="XE12" s="1005"/>
      <c r="XF12" s="1005"/>
      <c r="XG12" s="1005"/>
      <c r="XH12" s="1005"/>
      <c r="XI12" s="1005"/>
      <c r="XJ12" s="1005"/>
      <c r="XK12" s="1005"/>
      <c r="XL12" s="1005"/>
      <c r="XM12" s="1005"/>
      <c r="XN12" s="1005"/>
      <c r="XO12" s="1005"/>
      <c r="XP12" s="1005"/>
      <c r="XQ12" s="1005"/>
      <c r="XR12" s="1005"/>
      <c r="XS12" s="1005"/>
      <c r="XT12" s="1005"/>
      <c r="XU12" s="1005"/>
      <c r="XV12" s="1005"/>
      <c r="XW12" s="1005"/>
      <c r="XX12" s="1005"/>
      <c r="XY12" s="1005"/>
      <c r="XZ12" s="1005"/>
      <c r="YA12" s="1005"/>
      <c r="YB12" s="1005"/>
      <c r="YC12" s="1005"/>
      <c r="YD12" s="1005"/>
      <c r="YE12" s="1005"/>
      <c r="YF12" s="1005"/>
      <c r="YG12" s="1005"/>
      <c r="YH12" s="1005"/>
      <c r="YI12" s="1005"/>
      <c r="YJ12" s="1005"/>
      <c r="YK12" s="1005"/>
      <c r="YL12" s="1005"/>
      <c r="YM12" s="1005"/>
      <c r="YN12" s="1005"/>
      <c r="YO12" s="1005"/>
      <c r="YP12" s="1005"/>
      <c r="YQ12" s="1005"/>
      <c r="YR12" s="1005"/>
      <c r="YS12" s="1005"/>
      <c r="YT12" s="1005"/>
      <c r="YU12" s="1005"/>
      <c r="YV12" s="1005"/>
      <c r="YW12" s="1005"/>
      <c r="YX12" s="1005"/>
      <c r="YY12" s="1005"/>
      <c r="YZ12" s="1005"/>
      <c r="ZA12" s="1005"/>
      <c r="ZB12" s="1005"/>
      <c r="ZC12" s="1005"/>
      <c r="ZD12" s="1005"/>
      <c r="ZE12" s="1005"/>
      <c r="ZF12" s="1005"/>
      <c r="ZG12" s="1005"/>
      <c r="ZH12" s="1005"/>
      <c r="ZI12" s="1005"/>
      <c r="ZJ12" s="1005"/>
      <c r="ZK12" s="1005"/>
      <c r="ZL12" s="1005"/>
      <c r="ZM12" s="1005"/>
      <c r="ZN12" s="1005"/>
      <c r="ZO12" s="1005"/>
      <c r="ZP12" s="1005"/>
      <c r="ZQ12" s="1005"/>
      <c r="ZR12" s="1005"/>
      <c r="ZS12" s="1005"/>
      <c r="ZT12" s="1005"/>
      <c r="ZU12" s="1005"/>
      <c r="ZV12" s="1005"/>
      <c r="ZW12" s="1005"/>
      <c r="ZX12" s="1005"/>
      <c r="ZY12" s="1005"/>
      <c r="ZZ12" s="1005"/>
      <c r="AAA12" s="1005"/>
      <c r="AAB12" s="1005"/>
      <c r="AAC12" s="1005"/>
      <c r="AAD12" s="1005"/>
      <c r="AAE12" s="1005"/>
      <c r="AAF12" s="1005"/>
      <c r="AAG12" s="1005"/>
      <c r="AAH12" s="1005"/>
      <c r="AAI12" s="1005"/>
      <c r="AAJ12" s="1005"/>
      <c r="AAK12" s="1005"/>
      <c r="AAL12" s="1005"/>
      <c r="AAM12" s="1005"/>
      <c r="AAN12" s="1005"/>
      <c r="AAO12" s="1005"/>
      <c r="AAP12" s="1005"/>
      <c r="AAQ12" s="1005"/>
      <c r="AAR12" s="1005"/>
      <c r="AAS12" s="1005"/>
      <c r="AAT12" s="1005"/>
      <c r="AAU12" s="1005"/>
      <c r="AAV12" s="1005"/>
      <c r="AAW12" s="1005"/>
      <c r="AAX12" s="1005"/>
      <c r="AAY12" s="1005"/>
      <c r="AAZ12" s="1005"/>
      <c r="ABA12" s="1005"/>
      <c r="ABB12" s="1005"/>
      <c r="ABC12" s="1005"/>
      <c r="ABD12" s="1005"/>
      <c r="ABE12" s="1005"/>
      <c r="ABF12" s="1005"/>
      <c r="ABG12" s="1005"/>
      <c r="ABH12" s="1005"/>
      <c r="ABI12" s="1005"/>
      <c r="ABJ12" s="1005"/>
      <c r="ABK12" s="1005"/>
      <c r="ABL12" s="1005"/>
      <c r="ABM12" s="1005"/>
      <c r="ABN12" s="1005"/>
      <c r="ABO12" s="1005"/>
      <c r="ABP12" s="1005"/>
      <c r="ABQ12" s="1005"/>
      <c r="ABR12" s="1005"/>
    </row>
    <row r="13" spans="1:746" s="1" customFormat="1" ht="12.9" customHeight="1" thickBot="1">
      <c r="A13" s="923"/>
      <c r="B13" s="2957" t="s">
        <v>190</v>
      </c>
      <c r="C13" s="2958"/>
      <c r="D13" s="348"/>
      <c r="E13" s="347" t="s">
        <v>1</v>
      </c>
      <c r="F13" s="1240"/>
      <c r="G13" s="347">
        <v>0.25</v>
      </c>
      <c r="H13" s="2349"/>
      <c r="I13" s="1966"/>
      <c r="J13" s="368"/>
      <c r="K13" s="368"/>
      <c r="L13" s="368"/>
      <c r="M13" s="368"/>
      <c r="N13" s="368"/>
      <c r="O13" s="368"/>
      <c r="P13" s="368"/>
      <c r="Q13" s="368"/>
      <c r="R13" s="368"/>
      <c r="S13" s="368"/>
      <c r="T13" s="368"/>
      <c r="U13" s="368"/>
      <c r="V13" s="368"/>
      <c r="W13" s="368"/>
      <c r="X13" s="368"/>
      <c r="Y13" s="368"/>
      <c r="Z13" s="368"/>
      <c r="AA13" s="368"/>
      <c r="AB13" s="368"/>
      <c r="AC13" s="368"/>
      <c r="AD13" s="368"/>
      <c r="AE13" s="368"/>
      <c r="AF13" s="368"/>
      <c r="AG13" s="1042"/>
      <c r="AH13" s="332"/>
      <c r="AI13" s="332"/>
      <c r="AJ13" s="418">
        <f>IF(fx!$C$57=1,SUMIF(fx!I$57:T$57,1,I13:T13),IF(fx!$C$57=2,SUMIF(fx!O$57:AF$57,1,O13:AF13)))</f>
        <v>0</v>
      </c>
      <c r="AK13" s="419"/>
      <c r="AL13" s="417">
        <f>IF(fx!$C$57=1,SUM(U13:AF13),0)</f>
        <v>0</v>
      </c>
      <c r="AM13" s="1004"/>
      <c r="AN13" s="1011"/>
      <c r="AO13" s="1930" t="s">
        <v>1085</v>
      </c>
      <c r="AP13" s="1933"/>
      <c r="AQ13" s="1934"/>
      <c r="AR13" s="1941">
        <v>104</v>
      </c>
      <c r="AS13" s="1941">
        <v>105</v>
      </c>
      <c r="AT13" s="1941">
        <v>106</v>
      </c>
      <c r="AU13" s="1941">
        <v>107</v>
      </c>
      <c r="AV13" s="1941">
        <v>108</v>
      </c>
      <c r="AW13" s="1941">
        <v>109</v>
      </c>
      <c r="AX13" s="1941">
        <v>110</v>
      </c>
      <c r="AY13" s="1941">
        <v>111</v>
      </c>
      <c r="AZ13" s="1941">
        <v>112</v>
      </c>
      <c r="BA13" s="1941">
        <v>113</v>
      </c>
      <c r="BB13" s="1941">
        <v>114</v>
      </c>
      <c r="BC13" s="1941">
        <v>115</v>
      </c>
      <c r="BD13" s="1941">
        <v>116</v>
      </c>
      <c r="BE13" s="1941">
        <v>117</v>
      </c>
      <c r="BF13" s="1941">
        <v>118</v>
      </c>
      <c r="BG13" s="1941">
        <v>119</v>
      </c>
      <c r="BH13" s="1941">
        <v>120</v>
      </c>
      <c r="BI13" s="1941">
        <v>121</v>
      </c>
      <c r="BJ13" s="1941">
        <v>122</v>
      </c>
      <c r="BK13" s="1941">
        <v>123</v>
      </c>
      <c r="BL13" s="1941">
        <v>124</v>
      </c>
      <c r="BM13" s="1941">
        <v>125</v>
      </c>
      <c r="BN13" s="1941">
        <v>126</v>
      </c>
      <c r="BO13" s="1941">
        <v>127</v>
      </c>
      <c r="BP13" s="1009"/>
      <c r="BQ13" s="1004"/>
      <c r="BR13" s="1004"/>
      <c r="BS13" s="1004"/>
      <c r="BT13" s="1004"/>
      <c r="BU13" s="1004"/>
      <c r="BV13" s="1004"/>
      <c r="BW13" s="1004"/>
      <c r="BX13" s="1004"/>
      <c r="BY13" s="1004"/>
      <c r="BZ13" s="1004"/>
      <c r="CA13" s="1004"/>
      <c r="CB13" s="1004"/>
      <c r="CC13" s="1004"/>
      <c r="CD13" s="1004"/>
      <c r="CE13" s="1004"/>
      <c r="CF13" s="1004"/>
      <c r="CG13" s="1004"/>
      <c r="CH13" s="1004"/>
      <c r="CI13" s="1004"/>
      <c r="CJ13" s="1004"/>
      <c r="CK13" s="1004"/>
      <c r="CL13" s="1004"/>
      <c r="CM13" s="1004"/>
      <c r="CN13" s="1004"/>
      <c r="CO13" s="1004"/>
      <c r="CP13" s="1004"/>
      <c r="CQ13" s="1004"/>
      <c r="CR13" s="1004"/>
      <c r="CS13" s="1004"/>
      <c r="CT13" s="1004"/>
      <c r="CU13" s="1004"/>
      <c r="CV13" s="1004"/>
      <c r="CW13" s="1004"/>
      <c r="CX13" s="1004"/>
      <c r="CY13" s="1004"/>
      <c r="CZ13" s="1004"/>
      <c r="DA13" s="1004"/>
      <c r="DB13" s="1004"/>
      <c r="DC13" s="1004"/>
      <c r="DD13" s="1004"/>
      <c r="DE13" s="1004"/>
      <c r="DF13" s="1004"/>
      <c r="DG13" s="1004"/>
      <c r="DH13" s="1004"/>
      <c r="DI13" s="1004"/>
      <c r="DJ13" s="1004"/>
      <c r="DK13" s="1004"/>
      <c r="DL13" s="1004"/>
      <c r="DM13" s="1004"/>
      <c r="DN13" s="1004"/>
      <c r="DO13" s="1004"/>
      <c r="DP13" s="1004"/>
      <c r="DQ13" s="1004"/>
      <c r="DR13" s="1004"/>
      <c r="DS13" s="1004"/>
      <c r="DT13" s="1004"/>
      <c r="DU13" s="1004"/>
      <c r="DV13" s="1004"/>
      <c r="DW13" s="1004"/>
      <c r="DX13" s="1004"/>
      <c r="DY13" s="1004"/>
      <c r="DZ13" s="1004"/>
      <c r="EA13" s="1004"/>
      <c r="EB13" s="1004"/>
      <c r="EC13" s="1004"/>
      <c r="ED13" s="1004"/>
      <c r="EE13" s="1004"/>
      <c r="EF13" s="1004"/>
      <c r="EG13" s="1004"/>
      <c r="EH13" s="1004"/>
      <c r="EI13" s="1004"/>
      <c r="EJ13" s="1004"/>
      <c r="EK13" s="1004"/>
      <c r="EL13" s="1004"/>
      <c r="EM13" s="1004"/>
      <c r="EN13" s="1004"/>
      <c r="EO13" s="1004"/>
      <c r="EP13" s="1004"/>
      <c r="EQ13" s="1004"/>
      <c r="ER13" s="1004"/>
      <c r="ES13" s="1004"/>
      <c r="ET13" s="1004"/>
      <c r="EU13" s="1004"/>
      <c r="EV13" s="1004"/>
      <c r="EW13" s="1004"/>
      <c r="EX13" s="1004"/>
      <c r="EY13" s="1004"/>
      <c r="EZ13" s="1004"/>
      <c r="FA13" s="1004"/>
      <c r="FB13" s="1004"/>
      <c r="FC13" s="1004"/>
      <c r="FD13" s="1004"/>
      <c r="FE13" s="1004"/>
      <c r="FF13" s="1004"/>
      <c r="FG13" s="1004"/>
      <c r="FH13" s="1004"/>
      <c r="FI13" s="1004"/>
      <c r="FJ13" s="1004"/>
      <c r="FK13" s="1004"/>
      <c r="FL13" s="1004"/>
      <c r="FM13" s="1004"/>
      <c r="FN13" s="1004"/>
      <c r="FO13" s="1004"/>
      <c r="FP13" s="1004"/>
      <c r="FQ13" s="1004"/>
      <c r="FR13" s="1004"/>
      <c r="FS13" s="1004"/>
      <c r="FT13" s="1004"/>
      <c r="FU13" s="1004"/>
      <c r="FV13" s="1004"/>
      <c r="FW13" s="1004"/>
      <c r="FX13" s="1004"/>
      <c r="FY13" s="1004"/>
      <c r="FZ13" s="1004"/>
      <c r="GA13" s="1004"/>
      <c r="GB13" s="1004"/>
      <c r="GC13" s="1004"/>
      <c r="GD13" s="1004"/>
      <c r="GE13" s="1004"/>
      <c r="GF13" s="1004"/>
      <c r="GG13" s="1004"/>
      <c r="GH13" s="1004"/>
      <c r="GI13" s="1004"/>
      <c r="GJ13" s="1004"/>
      <c r="GK13" s="1004"/>
      <c r="GL13" s="1004"/>
      <c r="GM13" s="1004"/>
      <c r="GN13" s="1004"/>
      <c r="GO13" s="1004"/>
      <c r="GP13" s="1004"/>
      <c r="GQ13" s="1004"/>
      <c r="GR13" s="1004"/>
      <c r="GS13" s="1004"/>
      <c r="GT13" s="1004"/>
      <c r="GU13" s="1004"/>
      <c r="GV13" s="1004"/>
      <c r="GW13" s="1004"/>
      <c r="GX13" s="1004"/>
      <c r="GY13" s="1004"/>
      <c r="GZ13" s="1004"/>
      <c r="HA13" s="1004"/>
      <c r="HB13" s="1004"/>
      <c r="HC13" s="1004"/>
      <c r="HD13" s="1004"/>
      <c r="HE13" s="1004"/>
      <c r="HF13" s="1004"/>
      <c r="HG13" s="1004"/>
      <c r="HH13" s="1004"/>
      <c r="HI13" s="1004"/>
      <c r="HJ13" s="1004"/>
      <c r="HK13" s="1004"/>
      <c r="HL13" s="1004"/>
      <c r="HM13" s="1004"/>
      <c r="HN13" s="1004"/>
      <c r="HO13" s="1004"/>
      <c r="HP13" s="1004"/>
      <c r="HQ13" s="1004"/>
      <c r="HR13" s="1004"/>
      <c r="HS13" s="1004"/>
      <c r="HT13" s="1004"/>
      <c r="HU13" s="1004"/>
      <c r="HV13" s="1004"/>
      <c r="HW13" s="1004"/>
      <c r="HX13" s="1004"/>
      <c r="HY13" s="1004"/>
      <c r="HZ13" s="1004"/>
      <c r="IA13" s="1004"/>
      <c r="IB13" s="1004"/>
      <c r="IC13" s="1004"/>
      <c r="ID13" s="1004"/>
      <c r="IE13" s="1004"/>
      <c r="IF13" s="1004"/>
      <c r="IG13" s="1004"/>
      <c r="IH13" s="1004"/>
      <c r="II13" s="1004"/>
      <c r="IJ13" s="1004"/>
      <c r="IK13" s="1004"/>
      <c r="IL13" s="1004"/>
      <c r="IM13" s="1004"/>
      <c r="IN13" s="1004"/>
      <c r="IO13" s="1004"/>
      <c r="IP13" s="1004"/>
      <c r="IQ13" s="1004"/>
      <c r="IR13" s="1004"/>
      <c r="IS13" s="1004"/>
      <c r="IT13" s="1004"/>
      <c r="IU13" s="1004"/>
      <c r="IV13" s="1004"/>
      <c r="IW13" s="1004"/>
      <c r="IX13" s="1004"/>
      <c r="IY13" s="1004"/>
      <c r="IZ13" s="1004"/>
      <c r="JA13" s="1004"/>
      <c r="JB13" s="1004"/>
      <c r="JC13" s="1004"/>
      <c r="JD13" s="1004"/>
      <c r="JE13" s="1004"/>
      <c r="JF13" s="1004"/>
      <c r="JG13" s="1004"/>
      <c r="JH13" s="1004"/>
      <c r="JI13" s="1004"/>
      <c r="JJ13" s="1004"/>
      <c r="JK13" s="1004"/>
      <c r="JL13" s="1004"/>
      <c r="JM13" s="1004"/>
      <c r="JN13" s="1004"/>
      <c r="JO13" s="1004"/>
      <c r="JP13" s="1004"/>
      <c r="JQ13" s="1004"/>
      <c r="JR13" s="1004"/>
      <c r="JS13" s="1004"/>
      <c r="JT13" s="1004"/>
      <c r="JU13" s="1004"/>
      <c r="JV13" s="1004"/>
      <c r="JW13" s="1004"/>
      <c r="JX13" s="1004"/>
      <c r="JY13" s="1004"/>
      <c r="JZ13" s="1004"/>
      <c r="KA13" s="1004"/>
      <c r="KB13" s="1004"/>
      <c r="KC13" s="1004"/>
      <c r="KD13" s="1004"/>
      <c r="KE13" s="1004"/>
      <c r="KF13" s="1004"/>
      <c r="KG13" s="1004"/>
      <c r="KH13" s="1004"/>
      <c r="KI13" s="1004"/>
      <c r="KJ13" s="1004"/>
      <c r="KK13" s="1004"/>
      <c r="KL13" s="1004"/>
      <c r="KM13" s="1004"/>
      <c r="KN13" s="1004"/>
      <c r="KO13" s="1004"/>
      <c r="KP13" s="1004"/>
      <c r="KQ13" s="1004"/>
      <c r="KR13" s="1004"/>
      <c r="KS13" s="1004"/>
      <c r="KT13" s="1004"/>
      <c r="KU13" s="1004"/>
      <c r="KV13" s="1004"/>
      <c r="KW13" s="1004"/>
      <c r="KX13" s="1004"/>
      <c r="KY13" s="1004"/>
      <c r="KZ13" s="1004"/>
      <c r="LA13" s="1004"/>
      <c r="LB13" s="1004"/>
      <c r="LC13" s="1004"/>
      <c r="LD13" s="1004"/>
      <c r="LE13" s="1004"/>
      <c r="LF13" s="1004"/>
      <c r="LG13" s="1004"/>
      <c r="LH13" s="1004"/>
      <c r="LI13" s="1004"/>
      <c r="LJ13" s="1004"/>
      <c r="LK13" s="1004"/>
      <c r="LL13" s="1004"/>
      <c r="LM13" s="1004"/>
      <c r="LN13" s="1004"/>
      <c r="LO13" s="1004"/>
      <c r="LP13" s="1004"/>
      <c r="LQ13" s="1004"/>
      <c r="LR13" s="1004"/>
      <c r="LS13" s="1004"/>
      <c r="LT13" s="1004"/>
      <c r="LU13" s="1004"/>
      <c r="LV13" s="1004"/>
      <c r="LW13" s="1004"/>
      <c r="LX13" s="1004"/>
      <c r="LY13" s="1004"/>
      <c r="LZ13" s="1004"/>
      <c r="MA13" s="1004"/>
      <c r="MB13" s="1004"/>
      <c r="MC13" s="1004"/>
      <c r="MD13" s="1004"/>
      <c r="ME13" s="1004"/>
      <c r="MF13" s="1004"/>
      <c r="MG13" s="1004"/>
      <c r="MH13" s="1004"/>
      <c r="MI13" s="1004"/>
      <c r="MJ13" s="1004"/>
      <c r="MK13" s="1004"/>
      <c r="ML13" s="1004"/>
      <c r="MM13" s="1004"/>
      <c r="MN13" s="1004"/>
      <c r="MO13" s="1004"/>
      <c r="MP13" s="1004"/>
      <c r="MQ13" s="1004"/>
      <c r="MR13" s="1004"/>
      <c r="MS13" s="1004"/>
      <c r="MT13" s="1004"/>
      <c r="MU13" s="1004"/>
      <c r="MV13" s="1004"/>
      <c r="MW13" s="1004"/>
      <c r="MX13" s="1004"/>
      <c r="MY13" s="1004"/>
      <c r="MZ13" s="1004"/>
      <c r="NA13" s="1004"/>
      <c r="NB13" s="1004"/>
      <c r="NC13" s="1004"/>
      <c r="ND13" s="1004"/>
      <c r="NE13" s="1004"/>
      <c r="NF13" s="1004"/>
      <c r="NG13" s="1004"/>
      <c r="NH13" s="1004"/>
      <c r="NI13" s="1004"/>
      <c r="NJ13" s="1004"/>
      <c r="NK13" s="1004"/>
      <c r="NL13" s="1004"/>
      <c r="NM13" s="1004"/>
      <c r="NN13" s="1004"/>
      <c r="NO13" s="1004"/>
      <c r="NP13" s="1004"/>
      <c r="NQ13" s="1004"/>
      <c r="NR13" s="1004"/>
      <c r="NS13" s="1004"/>
      <c r="NT13" s="1004"/>
      <c r="NU13" s="1004"/>
      <c r="NV13" s="1004"/>
      <c r="NW13" s="1004"/>
      <c r="NX13" s="1004"/>
      <c r="NY13" s="1004"/>
      <c r="NZ13" s="1004"/>
      <c r="OA13" s="1004"/>
      <c r="OB13" s="1004"/>
      <c r="OC13" s="1004"/>
      <c r="OD13" s="1004"/>
      <c r="OE13" s="1004"/>
      <c r="OF13" s="1004"/>
      <c r="OG13" s="1004"/>
      <c r="OH13" s="1004"/>
      <c r="OI13" s="1004"/>
      <c r="OJ13" s="1004"/>
      <c r="OK13" s="1004"/>
      <c r="OL13" s="1004"/>
      <c r="OM13" s="1004"/>
      <c r="ON13" s="1004"/>
      <c r="OO13" s="1004"/>
      <c r="OP13" s="1004"/>
      <c r="OQ13" s="1004"/>
      <c r="OR13" s="1004"/>
      <c r="OS13" s="1004"/>
      <c r="OT13" s="1004"/>
      <c r="OU13" s="1004"/>
      <c r="OV13" s="1004"/>
      <c r="OW13" s="1004"/>
      <c r="OX13" s="1004"/>
      <c r="OY13" s="1004"/>
      <c r="OZ13" s="1004"/>
      <c r="PA13" s="1004"/>
      <c r="PB13" s="1004"/>
      <c r="PC13" s="1004"/>
      <c r="PD13" s="1004"/>
      <c r="PE13" s="1004"/>
      <c r="PF13" s="1004"/>
      <c r="PG13" s="1004"/>
      <c r="PH13" s="1004"/>
      <c r="PI13" s="1004"/>
      <c r="PJ13" s="1004"/>
      <c r="PK13" s="1004"/>
      <c r="PL13" s="1004"/>
      <c r="PM13" s="1004"/>
      <c r="PN13" s="1004"/>
      <c r="PO13" s="1004"/>
      <c r="PP13" s="1004"/>
      <c r="PQ13" s="1004"/>
      <c r="PR13" s="1004"/>
      <c r="PS13" s="1004"/>
      <c r="PT13" s="1004"/>
      <c r="PU13" s="1004"/>
      <c r="PV13" s="1004"/>
      <c r="PW13" s="1004"/>
      <c r="PX13" s="1004"/>
      <c r="PY13" s="1004"/>
      <c r="PZ13" s="1004"/>
      <c r="QA13" s="1004"/>
      <c r="QB13" s="1004"/>
      <c r="QC13" s="1004"/>
      <c r="QD13" s="1004"/>
      <c r="QE13" s="1004"/>
      <c r="QF13" s="1004"/>
      <c r="QG13" s="1004"/>
      <c r="QH13" s="1004"/>
      <c r="QI13" s="1004"/>
      <c r="QJ13" s="1004"/>
      <c r="QK13" s="1004"/>
      <c r="QL13" s="1004"/>
      <c r="QM13" s="1004"/>
      <c r="QN13" s="1004"/>
      <c r="QO13" s="1004"/>
      <c r="QP13" s="1004"/>
      <c r="QQ13" s="1004"/>
      <c r="QR13" s="1004"/>
      <c r="QS13" s="1004"/>
      <c r="QT13" s="1004"/>
      <c r="QU13" s="1004"/>
      <c r="QV13" s="1004"/>
      <c r="QW13" s="1004"/>
      <c r="QX13" s="1004"/>
      <c r="QY13" s="1004"/>
      <c r="QZ13" s="1004"/>
      <c r="RA13" s="1004"/>
      <c r="RB13" s="1004"/>
      <c r="RC13" s="1004"/>
      <c r="RD13" s="1004"/>
      <c r="RE13" s="1004"/>
      <c r="RF13" s="1004"/>
      <c r="RG13" s="1004"/>
      <c r="RH13" s="1004"/>
      <c r="RI13" s="1004"/>
      <c r="RJ13" s="1004"/>
      <c r="RK13" s="1004"/>
      <c r="RL13" s="1004"/>
      <c r="RM13" s="1004"/>
      <c r="RN13" s="1004"/>
      <c r="RO13" s="1004"/>
      <c r="RP13" s="1004"/>
      <c r="RQ13" s="1004"/>
      <c r="RR13" s="1004"/>
      <c r="RS13" s="1004"/>
      <c r="RT13" s="1004"/>
      <c r="RU13" s="1004"/>
      <c r="RV13" s="1004"/>
      <c r="RW13" s="1004"/>
      <c r="RX13" s="1004"/>
      <c r="RY13" s="1004"/>
      <c r="RZ13" s="1004"/>
      <c r="SA13" s="1004"/>
      <c r="SB13" s="1004"/>
      <c r="SC13" s="1004"/>
      <c r="SD13" s="1004"/>
      <c r="SE13" s="1004"/>
      <c r="SF13" s="1004"/>
      <c r="SG13" s="1004"/>
      <c r="SH13" s="1004"/>
      <c r="SI13" s="1004"/>
      <c r="SJ13" s="1004"/>
      <c r="SK13" s="1004"/>
      <c r="SL13" s="1004"/>
      <c r="SM13" s="1004"/>
      <c r="SN13" s="1004"/>
      <c r="SO13" s="1004"/>
      <c r="SP13" s="1004"/>
      <c r="SQ13" s="1004"/>
      <c r="SR13" s="1004"/>
      <c r="SS13" s="1004"/>
      <c r="ST13" s="1004"/>
      <c r="SU13" s="1004"/>
      <c r="SV13" s="1004"/>
      <c r="SW13" s="1004"/>
      <c r="SX13" s="1004"/>
      <c r="SY13" s="1004"/>
      <c r="SZ13" s="1004"/>
      <c r="TA13" s="1004"/>
      <c r="TB13" s="1004"/>
      <c r="TC13" s="1004"/>
      <c r="TD13" s="1004"/>
      <c r="TE13" s="1004"/>
      <c r="TF13" s="1004"/>
      <c r="TG13" s="1004"/>
      <c r="TH13" s="1004"/>
      <c r="TI13" s="1004"/>
      <c r="TJ13" s="1004"/>
      <c r="TK13" s="1004"/>
      <c r="TL13" s="1004"/>
      <c r="TM13" s="1004"/>
      <c r="TN13" s="1004"/>
      <c r="TO13" s="1004"/>
      <c r="TP13" s="1004"/>
      <c r="TQ13" s="1004"/>
      <c r="TR13" s="1004"/>
      <c r="TS13" s="1004"/>
      <c r="TT13" s="1004"/>
      <c r="TU13" s="1004"/>
      <c r="TV13" s="1004"/>
      <c r="TW13" s="1004"/>
      <c r="TX13" s="1004"/>
      <c r="TY13" s="1004"/>
      <c r="TZ13" s="1004"/>
      <c r="UA13" s="1004"/>
      <c r="UB13" s="1004"/>
      <c r="UC13" s="1004"/>
      <c r="UD13" s="1004"/>
      <c r="UE13" s="1004"/>
      <c r="UF13" s="1004"/>
      <c r="UG13" s="1004"/>
      <c r="UH13" s="1004"/>
      <c r="UI13" s="1004"/>
      <c r="UJ13" s="1004"/>
      <c r="UK13" s="1004"/>
      <c r="UL13" s="1004"/>
      <c r="UM13" s="1004"/>
      <c r="UN13" s="1004"/>
      <c r="UO13" s="1004"/>
      <c r="UP13" s="1004"/>
      <c r="UQ13" s="1004"/>
      <c r="UR13" s="1004"/>
      <c r="US13" s="1004"/>
      <c r="UT13" s="1004"/>
      <c r="UU13" s="1004"/>
      <c r="UV13" s="1004"/>
      <c r="UW13" s="1004"/>
      <c r="UX13" s="1004"/>
      <c r="UY13" s="1004"/>
      <c r="UZ13" s="1004"/>
      <c r="VA13" s="1004"/>
      <c r="VB13" s="1004"/>
      <c r="VC13" s="1004"/>
      <c r="VD13" s="1004"/>
      <c r="VE13" s="1004"/>
      <c r="VF13" s="1004"/>
      <c r="VG13" s="1004"/>
      <c r="VH13" s="1004"/>
      <c r="VI13" s="1004"/>
      <c r="VJ13" s="1004"/>
      <c r="VK13" s="1004"/>
      <c r="VL13" s="1004"/>
      <c r="VM13" s="1004"/>
      <c r="VN13" s="1004"/>
      <c r="VO13" s="1004"/>
      <c r="VP13" s="1004"/>
      <c r="VQ13" s="1004"/>
      <c r="VR13" s="1004"/>
      <c r="VS13" s="1004"/>
      <c r="VT13" s="1004"/>
      <c r="VU13" s="1004"/>
      <c r="VV13" s="1004"/>
      <c r="VW13" s="1004"/>
      <c r="VX13" s="1004"/>
      <c r="VY13" s="1004"/>
      <c r="VZ13" s="1004"/>
      <c r="WA13" s="1004"/>
      <c r="WB13" s="1004"/>
      <c r="WC13" s="1004"/>
      <c r="WD13" s="1004"/>
      <c r="WE13" s="1004"/>
      <c r="WF13" s="1004"/>
      <c r="WG13" s="1004"/>
      <c r="WH13" s="1004"/>
      <c r="WI13" s="1004"/>
      <c r="WJ13" s="1004"/>
      <c r="WK13" s="1004"/>
      <c r="WL13" s="1004"/>
      <c r="WM13" s="1004"/>
      <c r="WN13" s="1004"/>
      <c r="WO13" s="1004"/>
      <c r="WP13" s="1004"/>
      <c r="WQ13" s="1004"/>
      <c r="WR13" s="1004"/>
      <c r="WS13" s="1004"/>
      <c r="WT13" s="1004"/>
      <c r="WU13" s="1004"/>
      <c r="WV13" s="1004"/>
      <c r="WW13" s="1004"/>
      <c r="WX13" s="1004"/>
      <c r="WY13" s="1004"/>
      <c r="WZ13" s="1004"/>
      <c r="XA13" s="1004"/>
      <c r="XB13" s="1004"/>
      <c r="XC13" s="1004"/>
      <c r="XD13" s="1004"/>
      <c r="XE13" s="1004"/>
      <c r="XF13" s="1004"/>
      <c r="XG13" s="1004"/>
      <c r="XH13" s="1004"/>
      <c r="XI13" s="1004"/>
      <c r="XJ13" s="1004"/>
      <c r="XK13" s="1004"/>
      <c r="XL13" s="1004"/>
      <c r="XM13" s="1004"/>
      <c r="XN13" s="1004"/>
      <c r="XO13" s="1004"/>
      <c r="XP13" s="1004"/>
      <c r="XQ13" s="1004"/>
      <c r="XR13" s="1004"/>
      <c r="XS13" s="1004"/>
      <c r="XT13" s="1004"/>
      <c r="XU13" s="1004"/>
      <c r="XV13" s="1004"/>
      <c r="XW13" s="1004"/>
      <c r="XX13" s="1004"/>
      <c r="XY13" s="1004"/>
      <c r="XZ13" s="1004"/>
      <c r="YA13" s="1004"/>
      <c r="YB13" s="1004"/>
      <c r="YC13" s="1004"/>
      <c r="YD13" s="1004"/>
      <c r="YE13" s="1004"/>
      <c r="YF13" s="1004"/>
      <c r="YG13" s="1004"/>
      <c r="YH13" s="1004"/>
      <c r="YI13" s="1004"/>
      <c r="YJ13" s="1004"/>
      <c r="YK13" s="1004"/>
      <c r="YL13" s="1004"/>
      <c r="YM13" s="1004"/>
      <c r="YN13" s="1004"/>
      <c r="YO13" s="1004"/>
      <c r="YP13" s="1004"/>
      <c r="YQ13" s="1004"/>
      <c r="YR13" s="1004"/>
      <c r="YS13" s="1004"/>
      <c r="YT13" s="1004"/>
      <c r="YU13" s="1004"/>
      <c r="YV13" s="1004"/>
      <c r="YW13" s="1004"/>
      <c r="YX13" s="1004"/>
      <c r="YY13" s="1004"/>
      <c r="YZ13" s="1004"/>
      <c r="ZA13" s="1004"/>
      <c r="ZB13" s="1004"/>
      <c r="ZC13" s="1004"/>
      <c r="ZD13" s="1004"/>
      <c r="ZE13" s="1004"/>
      <c r="ZF13" s="1004"/>
      <c r="ZG13" s="1004"/>
      <c r="ZH13" s="1004"/>
      <c r="ZI13" s="1004"/>
      <c r="ZJ13" s="1004"/>
      <c r="ZK13" s="1004"/>
      <c r="ZL13" s="1004"/>
      <c r="ZM13" s="1004"/>
      <c r="ZN13" s="1004"/>
      <c r="ZO13" s="1004"/>
      <c r="ZP13" s="1004"/>
      <c r="ZQ13" s="1004"/>
      <c r="ZR13" s="1004"/>
      <c r="ZS13" s="1004"/>
      <c r="ZT13" s="1004"/>
      <c r="ZU13" s="1004"/>
      <c r="ZV13" s="1004"/>
      <c r="ZW13" s="1004"/>
      <c r="ZX13" s="1004"/>
      <c r="ZY13" s="1004"/>
      <c r="ZZ13" s="1004"/>
      <c r="AAA13" s="1004"/>
      <c r="AAB13" s="1004"/>
      <c r="AAC13" s="1004"/>
      <c r="AAD13" s="1004"/>
      <c r="AAE13" s="1004"/>
      <c r="AAF13" s="1004"/>
      <c r="AAG13" s="1004"/>
      <c r="AAH13" s="1004"/>
      <c r="AAI13" s="1004"/>
      <c r="AAJ13" s="1004"/>
      <c r="AAK13" s="1004"/>
      <c r="AAL13" s="1004"/>
      <c r="AAM13" s="1004"/>
      <c r="AAN13" s="1004"/>
      <c r="AAO13" s="1004"/>
      <c r="AAP13" s="1004"/>
      <c r="AAQ13" s="1004"/>
      <c r="AAR13" s="1004"/>
      <c r="AAS13" s="1004"/>
      <c r="AAT13" s="1004"/>
      <c r="AAU13" s="1004"/>
      <c r="AAV13" s="1004"/>
      <c r="AAW13" s="1004"/>
      <c r="AAX13" s="1004"/>
      <c r="AAY13" s="1004"/>
      <c r="AAZ13" s="1004"/>
      <c r="ABA13" s="1004"/>
      <c r="ABB13" s="1004"/>
      <c r="ABC13" s="1004"/>
      <c r="ABD13" s="1004"/>
      <c r="ABE13" s="1004"/>
      <c r="ABF13" s="1004"/>
      <c r="ABG13" s="1004"/>
      <c r="ABH13" s="1004"/>
      <c r="ABI13" s="1004"/>
      <c r="ABJ13" s="1004"/>
      <c r="ABK13" s="1004"/>
      <c r="ABL13" s="1004"/>
      <c r="ABM13" s="1004"/>
      <c r="ABN13" s="1004"/>
      <c r="ABO13" s="1004"/>
      <c r="ABP13" s="1004"/>
      <c r="ABQ13" s="1004"/>
      <c r="ABR13" s="1004"/>
    </row>
    <row r="14" spans="1:746" s="24" customFormat="1" ht="12.9" customHeight="1" thickBot="1">
      <c r="A14" s="1252"/>
      <c r="B14" s="2957" t="s">
        <v>191</v>
      </c>
      <c r="C14" s="2958"/>
      <c r="D14" s="348"/>
      <c r="E14" s="347" t="s">
        <v>1</v>
      </c>
      <c r="F14" s="1240"/>
      <c r="G14" s="347">
        <v>0.25</v>
      </c>
      <c r="H14" s="2349"/>
      <c r="I14" s="1966"/>
      <c r="J14" s="368"/>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1042"/>
      <c r="AH14" s="333"/>
      <c r="AI14" s="333"/>
      <c r="AJ14" s="418">
        <f>IF(fx!$C$57=1,SUMIF(fx!I$57:T$57,1,I14:T14),IF(fx!$C$57=2,SUMIF(fx!O$57:AF$57,1,O14:AF14)))</f>
        <v>0</v>
      </c>
      <c r="AK14" s="419"/>
      <c r="AL14" s="417">
        <f>IF(fx!$C$57=1,SUM(U14:AF14),0)</f>
        <v>0</v>
      </c>
      <c r="AM14" s="1012"/>
      <c r="AN14" s="1011"/>
      <c r="AO14" s="1944" t="s">
        <v>1086</v>
      </c>
      <c r="AP14" s="1933"/>
      <c r="AQ14" s="1934"/>
      <c r="AR14" s="1942">
        <f>IF(fx!I$57=0,"        &gt;&gt;",SUM(AR10:AR13))</f>
        <v>410</v>
      </c>
      <c r="AS14" s="1942">
        <f>IF(fx!J$57=0,"        &gt;&gt;",SUM(AS10:AS13))</f>
        <v>414</v>
      </c>
      <c r="AT14" s="1942">
        <f>IF(fx!K$57=0,"        &gt;&gt;",SUM(AT10:AT13))</f>
        <v>418</v>
      </c>
      <c r="AU14" s="1942">
        <f>IF(fx!L$57=0,"        &gt;&gt;",SUM(AU10:AU13))</f>
        <v>422</v>
      </c>
      <c r="AV14" s="1942">
        <f>IF(fx!M$57=0,"        &gt;&gt;",SUM(AV10:AV13))</f>
        <v>426</v>
      </c>
      <c r="AW14" s="1942">
        <f>IF(fx!N$57=0,"        &gt;&gt;",SUM(AW10:AW13))</f>
        <v>430</v>
      </c>
      <c r="AX14" s="1942">
        <f>IF(fx!O$57=0,"        &gt;&gt;",SUM(AX10:AX13))</f>
        <v>434</v>
      </c>
      <c r="AY14" s="1942">
        <f>IF(fx!P$57=0,"        &gt;&gt;",SUM(AY10:AY13))</f>
        <v>438</v>
      </c>
      <c r="AZ14" s="1942">
        <f>IF(fx!Q$57=0,"        &gt;&gt;",SUM(AZ10:AZ13))</f>
        <v>442</v>
      </c>
      <c r="BA14" s="1942">
        <f>IF(fx!R$57=0,"        &gt;&gt;",SUM(BA10:BA13))</f>
        <v>446</v>
      </c>
      <c r="BB14" s="1942">
        <f>IF(fx!S$57=0,"        &gt;&gt;",SUM(BB10:BB13))</f>
        <v>450</v>
      </c>
      <c r="BC14" s="1942">
        <f>SUM(BC10:BC13)</f>
        <v>454</v>
      </c>
      <c r="BD14" s="1943">
        <f t="shared" ref="BD14:BO14" si="2">SUM(BD10:BD13)</f>
        <v>458</v>
      </c>
      <c r="BE14" s="1943">
        <f t="shared" si="2"/>
        <v>462</v>
      </c>
      <c r="BF14" s="1943">
        <f t="shared" si="2"/>
        <v>466</v>
      </c>
      <c r="BG14" s="1943">
        <f t="shared" si="2"/>
        <v>470</v>
      </c>
      <c r="BH14" s="1943">
        <f t="shared" si="2"/>
        <v>474</v>
      </c>
      <c r="BI14" s="1943">
        <f t="shared" si="2"/>
        <v>478</v>
      </c>
      <c r="BJ14" s="1943">
        <f t="shared" si="2"/>
        <v>482</v>
      </c>
      <c r="BK14" s="1943">
        <f t="shared" si="2"/>
        <v>486</v>
      </c>
      <c r="BL14" s="1943">
        <f t="shared" si="2"/>
        <v>490</v>
      </c>
      <c r="BM14" s="1943">
        <f t="shared" si="2"/>
        <v>494</v>
      </c>
      <c r="BN14" s="1943">
        <f t="shared" si="2"/>
        <v>498</v>
      </c>
      <c r="BO14" s="1943">
        <f t="shared" si="2"/>
        <v>502</v>
      </c>
      <c r="BP14" s="1009"/>
      <c r="BQ14" s="1012"/>
      <c r="BR14" s="1012"/>
      <c r="BS14" s="1012"/>
      <c r="BT14" s="1012"/>
      <c r="BU14" s="1012"/>
      <c r="BV14" s="1012"/>
      <c r="BW14" s="1012"/>
      <c r="BX14" s="1012"/>
      <c r="BY14" s="1012"/>
      <c r="BZ14" s="1012"/>
      <c r="CA14" s="1012"/>
      <c r="CB14" s="1012"/>
      <c r="CC14" s="1012"/>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c r="EC14" s="1012"/>
      <c r="ED14" s="1012"/>
      <c r="EE14" s="1012"/>
      <c r="EF14" s="1012"/>
      <c r="EG14" s="1012"/>
      <c r="EH14" s="1012"/>
      <c r="EI14" s="1012"/>
      <c r="EJ14" s="1012"/>
      <c r="EK14" s="1012"/>
      <c r="EL14" s="1012"/>
      <c r="EM14" s="1012"/>
      <c r="EN14" s="1012"/>
      <c r="EO14" s="1012"/>
      <c r="EP14" s="1012"/>
      <c r="EQ14" s="1012"/>
      <c r="ER14" s="1012"/>
      <c r="ES14" s="1012"/>
      <c r="ET14" s="1012"/>
      <c r="EU14" s="1012"/>
      <c r="EV14" s="1012"/>
      <c r="EW14" s="1012"/>
      <c r="EX14" s="1012"/>
      <c r="EY14" s="1012"/>
      <c r="EZ14" s="1012"/>
      <c r="FA14" s="1012"/>
      <c r="FB14" s="1012"/>
      <c r="FC14" s="1012"/>
      <c r="FD14" s="1012"/>
      <c r="FE14" s="1012"/>
      <c r="FF14" s="1012"/>
      <c r="FG14" s="1012"/>
      <c r="FH14" s="1012"/>
      <c r="FI14" s="1012"/>
      <c r="FJ14" s="1012"/>
      <c r="FK14" s="1012"/>
      <c r="FL14" s="1012"/>
      <c r="FM14" s="1012"/>
      <c r="FN14" s="1012"/>
      <c r="FO14" s="1012"/>
      <c r="FP14" s="1012"/>
      <c r="FQ14" s="1012"/>
      <c r="FR14" s="1012"/>
      <c r="FS14" s="1012"/>
      <c r="FT14" s="1012"/>
      <c r="FU14" s="1012"/>
      <c r="FV14" s="1012"/>
      <c r="FW14" s="1012"/>
      <c r="FX14" s="1012"/>
      <c r="FY14" s="1012"/>
      <c r="FZ14" s="1012"/>
      <c r="GA14" s="1012"/>
      <c r="GB14" s="1012"/>
      <c r="GC14" s="1012"/>
      <c r="GD14" s="1012"/>
      <c r="GE14" s="1012"/>
      <c r="GF14" s="1012"/>
      <c r="GG14" s="1012"/>
      <c r="GH14" s="1012"/>
      <c r="GI14" s="1012"/>
      <c r="GJ14" s="1012"/>
      <c r="GK14" s="1012"/>
      <c r="GL14" s="1012"/>
      <c r="GM14" s="1012"/>
      <c r="GN14" s="1012"/>
      <c r="GO14" s="1012"/>
      <c r="GP14" s="1012"/>
      <c r="GQ14" s="1012"/>
      <c r="GR14" s="1012"/>
      <c r="GS14" s="1012"/>
      <c r="GT14" s="1012"/>
      <c r="GU14" s="1012"/>
      <c r="GV14" s="1012"/>
      <c r="GW14" s="1012"/>
      <c r="GX14" s="1012"/>
      <c r="GY14" s="1012"/>
      <c r="GZ14" s="1012"/>
      <c r="HA14" s="1012"/>
      <c r="HB14" s="1012"/>
      <c r="HC14" s="1012"/>
      <c r="HD14" s="1012"/>
      <c r="HE14" s="1012"/>
      <c r="HF14" s="1012"/>
      <c r="HG14" s="1012"/>
      <c r="HH14" s="1012"/>
      <c r="HI14" s="1012"/>
      <c r="HJ14" s="1012"/>
      <c r="HK14" s="1012"/>
      <c r="HL14" s="1012"/>
      <c r="HM14" s="1012"/>
      <c r="HN14" s="1012"/>
      <c r="HO14" s="1012"/>
      <c r="HP14" s="1012"/>
      <c r="HQ14" s="1012"/>
      <c r="HR14" s="1012"/>
      <c r="HS14" s="1012"/>
      <c r="HT14" s="1012"/>
      <c r="HU14" s="1012"/>
      <c r="HV14" s="1012"/>
      <c r="HW14" s="1012"/>
      <c r="HX14" s="1012"/>
      <c r="HY14" s="1012"/>
      <c r="HZ14" s="1012"/>
      <c r="IA14" s="1012"/>
      <c r="IB14" s="1012"/>
      <c r="IC14" s="1012"/>
      <c r="ID14" s="1012"/>
      <c r="IE14" s="1012"/>
      <c r="IF14" s="1012"/>
      <c r="IG14" s="1012"/>
      <c r="IH14" s="1012"/>
      <c r="II14" s="1012"/>
      <c r="IJ14" s="1012"/>
      <c r="IK14" s="1012"/>
      <c r="IL14" s="1012"/>
      <c r="IM14" s="1012"/>
      <c r="IN14" s="1012"/>
      <c r="IO14" s="1012"/>
      <c r="IP14" s="1012"/>
      <c r="IQ14" s="1012"/>
      <c r="IR14" s="1012"/>
      <c r="IS14" s="1012"/>
      <c r="IT14" s="1012"/>
      <c r="IU14" s="1012"/>
      <c r="IV14" s="1012"/>
      <c r="IW14" s="1012"/>
      <c r="IX14" s="1012"/>
      <c r="IY14" s="1012"/>
      <c r="IZ14" s="1012"/>
      <c r="JA14" s="1012"/>
      <c r="JB14" s="1012"/>
      <c r="JC14" s="1012"/>
      <c r="JD14" s="1012"/>
      <c r="JE14" s="1012"/>
      <c r="JF14" s="1012"/>
      <c r="JG14" s="1012"/>
      <c r="JH14" s="1012"/>
      <c r="JI14" s="1012"/>
      <c r="JJ14" s="1012"/>
      <c r="JK14" s="1012"/>
      <c r="JL14" s="1012"/>
      <c r="JM14" s="1012"/>
      <c r="JN14" s="1012"/>
      <c r="JO14" s="1012"/>
      <c r="JP14" s="1012"/>
      <c r="JQ14" s="1012"/>
      <c r="JR14" s="1012"/>
      <c r="JS14" s="1012"/>
      <c r="JT14" s="1012"/>
      <c r="JU14" s="1012"/>
      <c r="JV14" s="1012"/>
      <c r="JW14" s="1012"/>
      <c r="JX14" s="1012"/>
      <c r="JY14" s="1012"/>
      <c r="JZ14" s="1012"/>
      <c r="KA14" s="1012"/>
      <c r="KB14" s="1012"/>
      <c r="KC14" s="1012"/>
      <c r="KD14" s="1012"/>
      <c r="KE14" s="1012"/>
      <c r="KF14" s="1012"/>
      <c r="KG14" s="1012"/>
      <c r="KH14" s="1012"/>
      <c r="KI14" s="1012"/>
      <c r="KJ14" s="1012"/>
      <c r="KK14" s="1012"/>
      <c r="KL14" s="1012"/>
      <c r="KM14" s="1012"/>
      <c r="KN14" s="1012"/>
      <c r="KO14" s="1012"/>
      <c r="KP14" s="1012"/>
      <c r="KQ14" s="1012"/>
      <c r="KR14" s="1012"/>
      <c r="KS14" s="1012"/>
      <c r="KT14" s="1012"/>
      <c r="KU14" s="1012"/>
      <c r="KV14" s="1012"/>
      <c r="KW14" s="1012"/>
      <c r="KX14" s="1012"/>
      <c r="KY14" s="1012"/>
      <c r="KZ14" s="1012"/>
      <c r="LA14" s="1012"/>
      <c r="LB14" s="1012"/>
      <c r="LC14" s="1012"/>
      <c r="LD14" s="1012"/>
      <c r="LE14" s="1012"/>
      <c r="LF14" s="1012"/>
      <c r="LG14" s="1012"/>
      <c r="LH14" s="1012"/>
      <c r="LI14" s="1012"/>
      <c r="LJ14" s="1012"/>
      <c r="LK14" s="1012"/>
      <c r="LL14" s="1012"/>
      <c r="LM14" s="1012"/>
      <c r="LN14" s="1012"/>
      <c r="LO14" s="1012"/>
      <c r="LP14" s="1012"/>
      <c r="LQ14" s="1012"/>
      <c r="LR14" s="1012"/>
      <c r="LS14" s="1012"/>
      <c r="LT14" s="1012"/>
      <c r="LU14" s="1012"/>
      <c r="LV14" s="1012"/>
      <c r="LW14" s="1012"/>
      <c r="LX14" s="1012"/>
      <c r="LY14" s="1012"/>
      <c r="LZ14" s="1012"/>
      <c r="MA14" s="1012"/>
      <c r="MB14" s="1012"/>
      <c r="MC14" s="1012"/>
      <c r="MD14" s="1012"/>
      <c r="ME14" s="1012"/>
      <c r="MF14" s="1012"/>
      <c r="MG14" s="1012"/>
      <c r="MH14" s="1012"/>
      <c r="MI14" s="1012"/>
      <c r="MJ14" s="1012"/>
      <c r="MK14" s="1012"/>
      <c r="ML14" s="1012"/>
      <c r="MM14" s="1012"/>
      <c r="MN14" s="1012"/>
      <c r="MO14" s="1012"/>
      <c r="MP14" s="1012"/>
      <c r="MQ14" s="1012"/>
      <c r="MR14" s="1012"/>
      <c r="MS14" s="1012"/>
      <c r="MT14" s="1012"/>
      <c r="MU14" s="1012"/>
      <c r="MV14" s="1012"/>
      <c r="MW14" s="1012"/>
      <c r="MX14" s="1012"/>
      <c r="MY14" s="1012"/>
      <c r="MZ14" s="1012"/>
      <c r="NA14" s="1012"/>
      <c r="NB14" s="1012"/>
      <c r="NC14" s="1012"/>
      <c r="ND14" s="1012"/>
      <c r="NE14" s="1012"/>
      <c r="NF14" s="1012"/>
      <c r="NG14" s="1012"/>
      <c r="NH14" s="1012"/>
      <c r="NI14" s="1012"/>
      <c r="NJ14" s="1012"/>
      <c r="NK14" s="1012"/>
      <c r="NL14" s="1012"/>
      <c r="NM14" s="1012"/>
      <c r="NN14" s="1012"/>
      <c r="NO14" s="1012"/>
      <c r="NP14" s="1012"/>
      <c r="NQ14" s="1012"/>
      <c r="NR14" s="1012"/>
      <c r="NS14" s="1012"/>
      <c r="NT14" s="1012"/>
      <c r="NU14" s="1012"/>
      <c r="NV14" s="1012"/>
      <c r="NW14" s="1012"/>
      <c r="NX14" s="1012"/>
      <c r="NY14" s="1012"/>
      <c r="NZ14" s="1012"/>
      <c r="OA14" s="1012"/>
      <c r="OB14" s="1012"/>
      <c r="OC14" s="1012"/>
      <c r="OD14" s="1012"/>
      <c r="OE14" s="1012"/>
      <c r="OF14" s="1012"/>
      <c r="OG14" s="1012"/>
      <c r="OH14" s="1012"/>
      <c r="OI14" s="1012"/>
      <c r="OJ14" s="1012"/>
      <c r="OK14" s="1012"/>
      <c r="OL14" s="1012"/>
      <c r="OM14" s="1012"/>
      <c r="ON14" s="1012"/>
      <c r="OO14" s="1012"/>
      <c r="OP14" s="1012"/>
      <c r="OQ14" s="1012"/>
      <c r="OR14" s="1012"/>
      <c r="OS14" s="1012"/>
      <c r="OT14" s="1012"/>
      <c r="OU14" s="1012"/>
      <c r="OV14" s="1012"/>
      <c r="OW14" s="1012"/>
      <c r="OX14" s="1012"/>
      <c r="OY14" s="1012"/>
      <c r="OZ14" s="1012"/>
      <c r="PA14" s="1012"/>
      <c r="PB14" s="1012"/>
      <c r="PC14" s="1012"/>
      <c r="PD14" s="1012"/>
      <c r="PE14" s="1012"/>
      <c r="PF14" s="1012"/>
      <c r="PG14" s="1012"/>
      <c r="PH14" s="1012"/>
      <c r="PI14" s="1012"/>
      <c r="PJ14" s="1012"/>
      <c r="PK14" s="1012"/>
      <c r="PL14" s="1012"/>
      <c r="PM14" s="1012"/>
      <c r="PN14" s="1012"/>
      <c r="PO14" s="1012"/>
      <c r="PP14" s="1012"/>
      <c r="PQ14" s="1012"/>
      <c r="PR14" s="1012"/>
      <c r="PS14" s="1012"/>
      <c r="PT14" s="1012"/>
      <c r="PU14" s="1012"/>
      <c r="PV14" s="1012"/>
      <c r="PW14" s="1012"/>
      <c r="PX14" s="1012"/>
      <c r="PY14" s="1012"/>
      <c r="PZ14" s="1012"/>
      <c r="QA14" s="1012"/>
      <c r="QB14" s="1012"/>
      <c r="QC14" s="1012"/>
      <c r="QD14" s="1012"/>
      <c r="QE14" s="1012"/>
      <c r="QF14" s="1012"/>
      <c r="QG14" s="1012"/>
      <c r="QH14" s="1012"/>
      <c r="QI14" s="1012"/>
      <c r="QJ14" s="1012"/>
      <c r="QK14" s="1012"/>
      <c r="QL14" s="1012"/>
      <c r="QM14" s="1012"/>
      <c r="QN14" s="1012"/>
      <c r="QO14" s="1012"/>
      <c r="QP14" s="1012"/>
      <c r="QQ14" s="1012"/>
      <c r="QR14" s="1012"/>
      <c r="QS14" s="1012"/>
      <c r="QT14" s="1012"/>
      <c r="QU14" s="1012"/>
      <c r="QV14" s="1012"/>
      <c r="QW14" s="1012"/>
      <c r="QX14" s="1012"/>
      <c r="QY14" s="1012"/>
      <c r="QZ14" s="1012"/>
      <c r="RA14" s="1012"/>
      <c r="RB14" s="1012"/>
      <c r="RC14" s="1012"/>
      <c r="RD14" s="1012"/>
      <c r="RE14" s="1012"/>
      <c r="RF14" s="1012"/>
      <c r="RG14" s="1012"/>
      <c r="RH14" s="1012"/>
      <c r="RI14" s="1012"/>
      <c r="RJ14" s="1012"/>
      <c r="RK14" s="1012"/>
      <c r="RL14" s="1012"/>
      <c r="RM14" s="1012"/>
      <c r="RN14" s="1012"/>
      <c r="RO14" s="1012"/>
      <c r="RP14" s="1012"/>
      <c r="RQ14" s="1012"/>
      <c r="RR14" s="1012"/>
      <c r="RS14" s="1012"/>
      <c r="RT14" s="1012"/>
      <c r="RU14" s="1012"/>
      <c r="RV14" s="1012"/>
      <c r="RW14" s="1012"/>
      <c r="RX14" s="1012"/>
      <c r="RY14" s="1012"/>
      <c r="RZ14" s="1012"/>
      <c r="SA14" s="1012"/>
      <c r="SB14" s="1012"/>
      <c r="SC14" s="1012"/>
      <c r="SD14" s="1012"/>
      <c r="SE14" s="1012"/>
      <c r="SF14" s="1012"/>
      <c r="SG14" s="1012"/>
      <c r="SH14" s="1012"/>
      <c r="SI14" s="1012"/>
      <c r="SJ14" s="1012"/>
      <c r="SK14" s="1012"/>
      <c r="SL14" s="1012"/>
      <c r="SM14" s="1012"/>
      <c r="SN14" s="1012"/>
      <c r="SO14" s="1012"/>
      <c r="SP14" s="1012"/>
      <c r="SQ14" s="1012"/>
      <c r="SR14" s="1012"/>
      <c r="SS14" s="1012"/>
      <c r="ST14" s="1012"/>
      <c r="SU14" s="1012"/>
      <c r="SV14" s="1012"/>
      <c r="SW14" s="1012"/>
      <c r="SX14" s="1012"/>
      <c r="SY14" s="1012"/>
      <c r="SZ14" s="1012"/>
      <c r="TA14" s="1012"/>
      <c r="TB14" s="1012"/>
      <c r="TC14" s="1012"/>
      <c r="TD14" s="1012"/>
      <c r="TE14" s="1012"/>
      <c r="TF14" s="1012"/>
      <c r="TG14" s="1012"/>
      <c r="TH14" s="1012"/>
      <c r="TI14" s="1012"/>
      <c r="TJ14" s="1012"/>
      <c r="TK14" s="1012"/>
      <c r="TL14" s="1012"/>
      <c r="TM14" s="1012"/>
      <c r="TN14" s="1012"/>
      <c r="TO14" s="1012"/>
      <c r="TP14" s="1012"/>
      <c r="TQ14" s="1012"/>
      <c r="TR14" s="1012"/>
      <c r="TS14" s="1012"/>
      <c r="TT14" s="1012"/>
      <c r="TU14" s="1012"/>
      <c r="TV14" s="1012"/>
      <c r="TW14" s="1012"/>
      <c r="TX14" s="1012"/>
      <c r="TY14" s="1012"/>
      <c r="TZ14" s="1012"/>
      <c r="UA14" s="1012"/>
      <c r="UB14" s="1012"/>
      <c r="UC14" s="1012"/>
      <c r="UD14" s="1012"/>
      <c r="UE14" s="1012"/>
      <c r="UF14" s="1012"/>
      <c r="UG14" s="1012"/>
      <c r="UH14" s="1012"/>
      <c r="UI14" s="1012"/>
      <c r="UJ14" s="1012"/>
      <c r="UK14" s="1012"/>
      <c r="UL14" s="1012"/>
      <c r="UM14" s="1012"/>
      <c r="UN14" s="1012"/>
      <c r="UO14" s="1012"/>
      <c r="UP14" s="1012"/>
      <c r="UQ14" s="1012"/>
      <c r="UR14" s="1012"/>
      <c r="US14" s="1012"/>
      <c r="UT14" s="1012"/>
      <c r="UU14" s="1012"/>
      <c r="UV14" s="1012"/>
      <c r="UW14" s="1012"/>
      <c r="UX14" s="1012"/>
      <c r="UY14" s="1012"/>
      <c r="UZ14" s="1012"/>
      <c r="VA14" s="1012"/>
      <c r="VB14" s="1012"/>
      <c r="VC14" s="1012"/>
      <c r="VD14" s="1012"/>
      <c r="VE14" s="1012"/>
      <c r="VF14" s="1012"/>
      <c r="VG14" s="1012"/>
      <c r="VH14" s="1012"/>
      <c r="VI14" s="1012"/>
      <c r="VJ14" s="1012"/>
      <c r="VK14" s="1012"/>
      <c r="VL14" s="1012"/>
      <c r="VM14" s="1012"/>
      <c r="VN14" s="1012"/>
      <c r="VO14" s="1012"/>
      <c r="VP14" s="1012"/>
      <c r="VQ14" s="1012"/>
      <c r="VR14" s="1012"/>
      <c r="VS14" s="1012"/>
      <c r="VT14" s="1012"/>
      <c r="VU14" s="1012"/>
      <c r="VV14" s="1012"/>
      <c r="VW14" s="1012"/>
      <c r="VX14" s="1012"/>
      <c r="VY14" s="1012"/>
      <c r="VZ14" s="1012"/>
      <c r="WA14" s="1012"/>
      <c r="WB14" s="1012"/>
      <c r="WC14" s="1012"/>
      <c r="WD14" s="1012"/>
      <c r="WE14" s="1012"/>
      <c r="WF14" s="1012"/>
      <c r="WG14" s="1012"/>
      <c r="WH14" s="1012"/>
      <c r="WI14" s="1012"/>
      <c r="WJ14" s="1012"/>
      <c r="WK14" s="1012"/>
      <c r="WL14" s="1012"/>
      <c r="WM14" s="1012"/>
      <c r="WN14" s="1012"/>
      <c r="WO14" s="1012"/>
      <c r="WP14" s="1012"/>
      <c r="WQ14" s="1012"/>
      <c r="WR14" s="1012"/>
      <c r="WS14" s="1012"/>
      <c r="WT14" s="1012"/>
      <c r="WU14" s="1012"/>
      <c r="WV14" s="1012"/>
      <c r="WW14" s="1012"/>
      <c r="WX14" s="1012"/>
      <c r="WY14" s="1012"/>
      <c r="WZ14" s="1012"/>
      <c r="XA14" s="1012"/>
      <c r="XB14" s="1012"/>
      <c r="XC14" s="1012"/>
      <c r="XD14" s="1012"/>
      <c r="XE14" s="1012"/>
      <c r="XF14" s="1012"/>
      <c r="XG14" s="1012"/>
      <c r="XH14" s="1012"/>
      <c r="XI14" s="1012"/>
      <c r="XJ14" s="1012"/>
      <c r="XK14" s="1012"/>
      <c r="XL14" s="1012"/>
      <c r="XM14" s="1012"/>
      <c r="XN14" s="1012"/>
      <c r="XO14" s="1012"/>
      <c r="XP14" s="1012"/>
      <c r="XQ14" s="1012"/>
      <c r="XR14" s="1012"/>
      <c r="XS14" s="1012"/>
      <c r="XT14" s="1012"/>
      <c r="XU14" s="1012"/>
      <c r="XV14" s="1012"/>
      <c r="XW14" s="1012"/>
      <c r="XX14" s="1012"/>
      <c r="XY14" s="1012"/>
      <c r="XZ14" s="1012"/>
      <c r="YA14" s="1012"/>
      <c r="YB14" s="1012"/>
      <c r="YC14" s="1012"/>
      <c r="YD14" s="1012"/>
      <c r="YE14" s="1012"/>
      <c r="YF14" s="1012"/>
      <c r="YG14" s="1012"/>
      <c r="YH14" s="1012"/>
      <c r="YI14" s="1012"/>
      <c r="YJ14" s="1012"/>
      <c r="YK14" s="1012"/>
      <c r="YL14" s="1012"/>
      <c r="YM14" s="1012"/>
      <c r="YN14" s="1012"/>
      <c r="YO14" s="1012"/>
      <c r="YP14" s="1012"/>
      <c r="YQ14" s="1012"/>
      <c r="YR14" s="1012"/>
      <c r="YS14" s="1012"/>
      <c r="YT14" s="1012"/>
      <c r="YU14" s="1012"/>
      <c r="YV14" s="1012"/>
      <c r="YW14" s="1012"/>
      <c r="YX14" s="1012"/>
      <c r="YY14" s="1012"/>
      <c r="YZ14" s="1012"/>
      <c r="ZA14" s="1012"/>
      <c r="ZB14" s="1012"/>
      <c r="ZC14" s="1012"/>
      <c r="ZD14" s="1012"/>
      <c r="ZE14" s="1012"/>
      <c r="ZF14" s="1012"/>
      <c r="ZG14" s="1012"/>
      <c r="ZH14" s="1012"/>
      <c r="ZI14" s="1012"/>
      <c r="ZJ14" s="1012"/>
      <c r="ZK14" s="1012"/>
      <c r="ZL14" s="1012"/>
      <c r="ZM14" s="1012"/>
      <c r="ZN14" s="1012"/>
      <c r="ZO14" s="1012"/>
      <c r="ZP14" s="1012"/>
      <c r="ZQ14" s="1012"/>
      <c r="ZR14" s="1012"/>
      <c r="ZS14" s="1012"/>
      <c r="ZT14" s="1012"/>
      <c r="ZU14" s="1012"/>
      <c r="ZV14" s="1012"/>
      <c r="ZW14" s="1012"/>
      <c r="ZX14" s="1012"/>
      <c r="ZY14" s="1012"/>
      <c r="ZZ14" s="1012"/>
      <c r="AAA14" s="1012"/>
      <c r="AAB14" s="1012"/>
      <c r="AAC14" s="1012"/>
      <c r="AAD14" s="1012"/>
      <c r="AAE14" s="1012"/>
      <c r="AAF14" s="1012"/>
      <c r="AAG14" s="1012"/>
      <c r="AAH14" s="1012"/>
      <c r="AAI14" s="1012"/>
      <c r="AAJ14" s="1012"/>
      <c r="AAK14" s="1012"/>
      <c r="AAL14" s="1012"/>
      <c r="AAM14" s="1012"/>
      <c r="AAN14" s="1012"/>
      <c r="AAO14" s="1012"/>
      <c r="AAP14" s="1012"/>
      <c r="AAQ14" s="1012"/>
      <c r="AAR14" s="1012"/>
      <c r="AAS14" s="1012"/>
      <c r="AAT14" s="1012"/>
      <c r="AAU14" s="1012"/>
      <c r="AAV14" s="1012"/>
      <c r="AAW14" s="1012"/>
      <c r="AAX14" s="1012"/>
      <c r="AAY14" s="1012"/>
      <c r="AAZ14" s="1012"/>
      <c r="ABA14" s="1012"/>
      <c r="ABB14" s="1012"/>
      <c r="ABC14" s="1012"/>
      <c r="ABD14" s="1012"/>
      <c r="ABE14" s="1012"/>
      <c r="ABF14" s="1012"/>
      <c r="ABG14" s="1012"/>
      <c r="ABH14" s="1012"/>
      <c r="ABI14" s="1012"/>
      <c r="ABJ14" s="1012"/>
      <c r="ABK14" s="1012"/>
      <c r="ABL14" s="1012"/>
      <c r="ABM14" s="1012"/>
      <c r="ABN14" s="1012"/>
      <c r="ABO14" s="1012"/>
      <c r="ABP14" s="1012"/>
      <c r="ABQ14" s="1012"/>
      <c r="ABR14" s="1012"/>
    </row>
    <row r="15" spans="1:746" s="24" customFormat="1" ht="12.9" hidden="1" customHeight="1" thickBot="1">
      <c r="A15" s="1252"/>
      <c r="B15" s="2957" t="s">
        <v>285</v>
      </c>
      <c r="C15" s="2958"/>
      <c r="D15" s="348"/>
      <c r="E15" s="347" t="s">
        <v>1</v>
      </c>
      <c r="F15" s="1240"/>
      <c r="G15" s="347">
        <v>0.25</v>
      </c>
      <c r="H15" s="2349"/>
      <c r="I15" s="1966"/>
      <c r="J15" s="809"/>
      <c r="K15" s="809"/>
      <c r="L15" s="809"/>
      <c r="M15" s="329"/>
      <c r="N15" s="329"/>
      <c r="O15" s="329"/>
      <c r="P15" s="329"/>
      <c r="Q15" s="329"/>
      <c r="R15" s="329"/>
      <c r="S15" s="329"/>
      <c r="T15" s="809"/>
      <c r="U15" s="809"/>
      <c r="V15" s="329"/>
      <c r="W15" s="329"/>
      <c r="X15" s="329"/>
      <c r="Y15" s="329"/>
      <c r="Z15" s="329"/>
      <c r="AA15" s="329"/>
      <c r="AB15" s="329"/>
      <c r="AC15" s="329"/>
      <c r="AD15" s="329"/>
      <c r="AE15" s="329"/>
      <c r="AF15" s="329"/>
      <c r="AG15" s="1042"/>
      <c r="AH15" s="333"/>
      <c r="AI15" s="333"/>
      <c r="AJ15" s="418">
        <f>IF(fx!$C$57=1,SUMIF(fx!I$57:T$57,1,I15:T15),IF(fx!$C$57=2,SUMIF(fx!O$57:AF$57,1,O15:AF15)))</f>
        <v>0</v>
      </c>
      <c r="AK15" s="419"/>
      <c r="AL15" s="417">
        <f>IF(fx!$C$57=1,SUM(U15:AF15),0)</f>
        <v>0</v>
      </c>
      <c r="AM15" s="1012"/>
      <c r="AN15" s="1011"/>
      <c r="AO15" s="1916"/>
      <c r="AP15" s="1933"/>
      <c r="AQ15" s="1934"/>
      <c r="AR15" s="1941"/>
      <c r="AS15" s="1941"/>
      <c r="AT15" s="1941"/>
      <c r="AU15" s="1941"/>
      <c r="AV15" s="1941"/>
      <c r="AW15" s="1941"/>
      <c r="AX15" s="1941"/>
      <c r="AY15" s="1941"/>
      <c r="AZ15" s="1941"/>
      <c r="BA15" s="1941"/>
      <c r="BB15" s="1941"/>
      <c r="BC15" s="1941"/>
      <c r="BD15" s="1941"/>
      <c r="BE15" s="1941"/>
      <c r="BF15" s="1941"/>
      <c r="BG15" s="1941"/>
      <c r="BH15" s="1941"/>
      <c r="BI15" s="1941"/>
      <c r="BJ15" s="1941"/>
      <c r="BK15" s="1941"/>
      <c r="BL15" s="1941"/>
      <c r="BM15" s="1941"/>
      <c r="BN15" s="1941"/>
      <c r="BO15" s="1941"/>
      <c r="BP15" s="1009"/>
      <c r="BQ15" s="1012"/>
      <c r="BR15" s="1012"/>
      <c r="BS15" s="1012"/>
      <c r="BT15" s="1012"/>
      <c r="BU15" s="1012"/>
      <c r="BV15" s="1012"/>
      <c r="BW15" s="1012"/>
      <c r="BX15" s="1012"/>
      <c r="BY15" s="1012"/>
      <c r="BZ15" s="1012"/>
      <c r="CA15" s="1012"/>
      <c r="CB15" s="1012"/>
      <c r="CC15" s="1012"/>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c r="EC15" s="1012"/>
      <c r="ED15" s="1012"/>
      <c r="EE15" s="1012"/>
      <c r="EF15" s="1012"/>
      <c r="EG15" s="1012"/>
      <c r="EH15" s="1012"/>
      <c r="EI15" s="1012"/>
      <c r="EJ15" s="1012"/>
      <c r="EK15" s="1012"/>
      <c r="EL15" s="1012"/>
      <c r="EM15" s="1012"/>
      <c r="EN15" s="1012"/>
      <c r="EO15" s="1012"/>
      <c r="EP15" s="1012"/>
      <c r="EQ15" s="1012"/>
      <c r="ER15" s="1012"/>
      <c r="ES15" s="1012"/>
      <c r="ET15" s="1012"/>
      <c r="EU15" s="1012"/>
      <c r="EV15" s="1012"/>
      <c r="EW15" s="1012"/>
      <c r="EX15" s="1012"/>
      <c r="EY15" s="1012"/>
      <c r="EZ15" s="1012"/>
      <c r="FA15" s="1012"/>
      <c r="FB15" s="1012"/>
      <c r="FC15" s="1012"/>
      <c r="FD15" s="1012"/>
      <c r="FE15" s="1012"/>
      <c r="FF15" s="1012"/>
      <c r="FG15" s="1012"/>
      <c r="FH15" s="1012"/>
      <c r="FI15" s="1012"/>
      <c r="FJ15" s="1012"/>
      <c r="FK15" s="1012"/>
      <c r="FL15" s="1012"/>
      <c r="FM15" s="1012"/>
      <c r="FN15" s="1012"/>
      <c r="FO15" s="1012"/>
      <c r="FP15" s="1012"/>
      <c r="FQ15" s="1012"/>
      <c r="FR15" s="1012"/>
      <c r="FS15" s="1012"/>
      <c r="FT15" s="1012"/>
      <c r="FU15" s="1012"/>
      <c r="FV15" s="1012"/>
      <c r="FW15" s="1012"/>
      <c r="FX15" s="1012"/>
      <c r="FY15" s="1012"/>
      <c r="FZ15" s="1012"/>
      <c r="GA15" s="1012"/>
      <c r="GB15" s="1012"/>
      <c r="GC15" s="1012"/>
      <c r="GD15" s="1012"/>
      <c r="GE15" s="1012"/>
      <c r="GF15" s="1012"/>
      <c r="GG15" s="1012"/>
      <c r="GH15" s="1012"/>
      <c r="GI15" s="1012"/>
      <c r="GJ15" s="1012"/>
      <c r="GK15" s="1012"/>
      <c r="GL15" s="1012"/>
      <c r="GM15" s="1012"/>
      <c r="GN15" s="1012"/>
      <c r="GO15" s="1012"/>
      <c r="GP15" s="1012"/>
      <c r="GQ15" s="1012"/>
      <c r="GR15" s="1012"/>
      <c r="GS15" s="1012"/>
      <c r="GT15" s="1012"/>
      <c r="GU15" s="1012"/>
      <c r="GV15" s="1012"/>
      <c r="GW15" s="1012"/>
      <c r="GX15" s="1012"/>
      <c r="GY15" s="1012"/>
      <c r="GZ15" s="1012"/>
      <c r="HA15" s="1012"/>
      <c r="HB15" s="1012"/>
      <c r="HC15" s="1012"/>
      <c r="HD15" s="1012"/>
      <c r="HE15" s="1012"/>
      <c r="HF15" s="1012"/>
      <c r="HG15" s="1012"/>
      <c r="HH15" s="1012"/>
      <c r="HI15" s="1012"/>
      <c r="HJ15" s="1012"/>
      <c r="HK15" s="1012"/>
      <c r="HL15" s="1012"/>
      <c r="HM15" s="1012"/>
      <c r="HN15" s="1012"/>
      <c r="HO15" s="1012"/>
      <c r="HP15" s="1012"/>
      <c r="HQ15" s="1012"/>
      <c r="HR15" s="1012"/>
      <c r="HS15" s="1012"/>
      <c r="HT15" s="1012"/>
      <c r="HU15" s="1012"/>
      <c r="HV15" s="1012"/>
      <c r="HW15" s="1012"/>
      <c r="HX15" s="1012"/>
      <c r="HY15" s="1012"/>
      <c r="HZ15" s="1012"/>
      <c r="IA15" s="1012"/>
      <c r="IB15" s="1012"/>
      <c r="IC15" s="1012"/>
      <c r="ID15" s="1012"/>
      <c r="IE15" s="1012"/>
      <c r="IF15" s="1012"/>
      <c r="IG15" s="1012"/>
      <c r="IH15" s="1012"/>
      <c r="II15" s="1012"/>
      <c r="IJ15" s="1012"/>
      <c r="IK15" s="1012"/>
      <c r="IL15" s="1012"/>
      <c r="IM15" s="1012"/>
      <c r="IN15" s="1012"/>
      <c r="IO15" s="1012"/>
      <c r="IP15" s="1012"/>
      <c r="IQ15" s="1012"/>
      <c r="IR15" s="1012"/>
      <c r="IS15" s="1012"/>
      <c r="IT15" s="1012"/>
      <c r="IU15" s="1012"/>
      <c r="IV15" s="1012"/>
      <c r="IW15" s="1012"/>
      <c r="IX15" s="1012"/>
      <c r="IY15" s="1012"/>
      <c r="IZ15" s="1012"/>
      <c r="JA15" s="1012"/>
      <c r="JB15" s="1012"/>
      <c r="JC15" s="1012"/>
      <c r="JD15" s="1012"/>
      <c r="JE15" s="1012"/>
      <c r="JF15" s="1012"/>
      <c r="JG15" s="1012"/>
      <c r="JH15" s="1012"/>
      <c r="JI15" s="1012"/>
      <c r="JJ15" s="1012"/>
      <c r="JK15" s="1012"/>
      <c r="JL15" s="1012"/>
      <c r="JM15" s="1012"/>
      <c r="JN15" s="1012"/>
      <c r="JO15" s="1012"/>
      <c r="JP15" s="1012"/>
      <c r="JQ15" s="1012"/>
      <c r="JR15" s="1012"/>
      <c r="JS15" s="1012"/>
      <c r="JT15" s="1012"/>
      <c r="JU15" s="1012"/>
      <c r="JV15" s="1012"/>
      <c r="JW15" s="1012"/>
      <c r="JX15" s="1012"/>
      <c r="JY15" s="1012"/>
      <c r="JZ15" s="1012"/>
      <c r="KA15" s="1012"/>
      <c r="KB15" s="1012"/>
      <c r="KC15" s="1012"/>
      <c r="KD15" s="1012"/>
      <c r="KE15" s="1012"/>
      <c r="KF15" s="1012"/>
      <c r="KG15" s="1012"/>
      <c r="KH15" s="1012"/>
      <c r="KI15" s="1012"/>
      <c r="KJ15" s="1012"/>
      <c r="KK15" s="1012"/>
      <c r="KL15" s="1012"/>
      <c r="KM15" s="1012"/>
      <c r="KN15" s="1012"/>
      <c r="KO15" s="1012"/>
      <c r="KP15" s="1012"/>
      <c r="KQ15" s="1012"/>
      <c r="KR15" s="1012"/>
      <c r="KS15" s="1012"/>
      <c r="KT15" s="1012"/>
      <c r="KU15" s="1012"/>
      <c r="KV15" s="1012"/>
      <c r="KW15" s="1012"/>
      <c r="KX15" s="1012"/>
      <c r="KY15" s="1012"/>
      <c r="KZ15" s="1012"/>
      <c r="LA15" s="1012"/>
      <c r="LB15" s="1012"/>
      <c r="LC15" s="1012"/>
      <c r="LD15" s="1012"/>
      <c r="LE15" s="1012"/>
      <c r="LF15" s="1012"/>
      <c r="LG15" s="1012"/>
      <c r="LH15" s="1012"/>
      <c r="LI15" s="1012"/>
      <c r="LJ15" s="1012"/>
      <c r="LK15" s="1012"/>
      <c r="LL15" s="1012"/>
      <c r="LM15" s="1012"/>
      <c r="LN15" s="1012"/>
      <c r="LO15" s="1012"/>
      <c r="LP15" s="1012"/>
      <c r="LQ15" s="1012"/>
      <c r="LR15" s="1012"/>
      <c r="LS15" s="1012"/>
      <c r="LT15" s="1012"/>
      <c r="LU15" s="1012"/>
      <c r="LV15" s="1012"/>
      <c r="LW15" s="1012"/>
      <c r="LX15" s="1012"/>
      <c r="LY15" s="1012"/>
      <c r="LZ15" s="1012"/>
      <c r="MA15" s="1012"/>
      <c r="MB15" s="1012"/>
      <c r="MC15" s="1012"/>
      <c r="MD15" s="1012"/>
      <c r="ME15" s="1012"/>
      <c r="MF15" s="1012"/>
      <c r="MG15" s="1012"/>
      <c r="MH15" s="1012"/>
      <c r="MI15" s="1012"/>
      <c r="MJ15" s="1012"/>
      <c r="MK15" s="1012"/>
      <c r="ML15" s="1012"/>
      <c r="MM15" s="1012"/>
      <c r="MN15" s="1012"/>
      <c r="MO15" s="1012"/>
      <c r="MP15" s="1012"/>
      <c r="MQ15" s="1012"/>
      <c r="MR15" s="1012"/>
      <c r="MS15" s="1012"/>
      <c r="MT15" s="1012"/>
      <c r="MU15" s="1012"/>
      <c r="MV15" s="1012"/>
      <c r="MW15" s="1012"/>
      <c r="MX15" s="1012"/>
      <c r="MY15" s="1012"/>
      <c r="MZ15" s="1012"/>
      <c r="NA15" s="1012"/>
      <c r="NB15" s="1012"/>
      <c r="NC15" s="1012"/>
      <c r="ND15" s="1012"/>
      <c r="NE15" s="1012"/>
      <c r="NF15" s="1012"/>
      <c r="NG15" s="1012"/>
      <c r="NH15" s="1012"/>
      <c r="NI15" s="1012"/>
      <c r="NJ15" s="1012"/>
      <c r="NK15" s="1012"/>
      <c r="NL15" s="1012"/>
      <c r="NM15" s="1012"/>
      <c r="NN15" s="1012"/>
      <c r="NO15" s="1012"/>
      <c r="NP15" s="1012"/>
      <c r="NQ15" s="1012"/>
      <c r="NR15" s="1012"/>
      <c r="NS15" s="1012"/>
      <c r="NT15" s="1012"/>
      <c r="NU15" s="1012"/>
      <c r="NV15" s="1012"/>
      <c r="NW15" s="1012"/>
      <c r="NX15" s="1012"/>
      <c r="NY15" s="1012"/>
      <c r="NZ15" s="1012"/>
      <c r="OA15" s="1012"/>
      <c r="OB15" s="1012"/>
      <c r="OC15" s="1012"/>
      <c r="OD15" s="1012"/>
      <c r="OE15" s="1012"/>
      <c r="OF15" s="1012"/>
      <c r="OG15" s="1012"/>
      <c r="OH15" s="1012"/>
      <c r="OI15" s="1012"/>
      <c r="OJ15" s="1012"/>
      <c r="OK15" s="1012"/>
      <c r="OL15" s="1012"/>
      <c r="OM15" s="1012"/>
      <c r="ON15" s="1012"/>
      <c r="OO15" s="1012"/>
      <c r="OP15" s="1012"/>
      <c r="OQ15" s="1012"/>
      <c r="OR15" s="1012"/>
      <c r="OS15" s="1012"/>
      <c r="OT15" s="1012"/>
      <c r="OU15" s="1012"/>
      <c r="OV15" s="1012"/>
      <c r="OW15" s="1012"/>
      <c r="OX15" s="1012"/>
      <c r="OY15" s="1012"/>
      <c r="OZ15" s="1012"/>
      <c r="PA15" s="1012"/>
      <c r="PB15" s="1012"/>
      <c r="PC15" s="1012"/>
      <c r="PD15" s="1012"/>
      <c r="PE15" s="1012"/>
      <c r="PF15" s="1012"/>
      <c r="PG15" s="1012"/>
      <c r="PH15" s="1012"/>
      <c r="PI15" s="1012"/>
      <c r="PJ15" s="1012"/>
      <c r="PK15" s="1012"/>
      <c r="PL15" s="1012"/>
      <c r="PM15" s="1012"/>
      <c r="PN15" s="1012"/>
      <c r="PO15" s="1012"/>
      <c r="PP15" s="1012"/>
      <c r="PQ15" s="1012"/>
      <c r="PR15" s="1012"/>
      <c r="PS15" s="1012"/>
      <c r="PT15" s="1012"/>
      <c r="PU15" s="1012"/>
      <c r="PV15" s="1012"/>
      <c r="PW15" s="1012"/>
      <c r="PX15" s="1012"/>
      <c r="PY15" s="1012"/>
      <c r="PZ15" s="1012"/>
      <c r="QA15" s="1012"/>
      <c r="QB15" s="1012"/>
      <c r="QC15" s="1012"/>
      <c r="QD15" s="1012"/>
      <c r="QE15" s="1012"/>
      <c r="QF15" s="1012"/>
      <c r="QG15" s="1012"/>
      <c r="QH15" s="1012"/>
      <c r="QI15" s="1012"/>
      <c r="QJ15" s="1012"/>
      <c r="QK15" s="1012"/>
      <c r="QL15" s="1012"/>
      <c r="QM15" s="1012"/>
      <c r="QN15" s="1012"/>
      <c r="QO15" s="1012"/>
      <c r="QP15" s="1012"/>
      <c r="QQ15" s="1012"/>
      <c r="QR15" s="1012"/>
      <c r="QS15" s="1012"/>
      <c r="QT15" s="1012"/>
      <c r="QU15" s="1012"/>
      <c r="QV15" s="1012"/>
      <c r="QW15" s="1012"/>
      <c r="QX15" s="1012"/>
      <c r="QY15" s="1012"/>
      <c r="QZ15" s="1012"/>
      <c r="RA15" s="1012"/>
      <c r="RB15" s="1012"/>
      <c r="RC15" s="1012"/>
      <c r="RD15" s="1012"/>
      <c r="RE15" s="1012"/>
      <c r="RF15" s="1012"/>
      <c r="RG15" s="1012"/>
      <c r="RH15" s="1012"/>
      <c r="RI15" s="1012"/>
      <c r="RJ15" s="1012"/>
      <c r="RK15" s="1012"/>
      <c r="RL15" s="1012"/>
      <c r="RM15" s="1012"/>
      <c r="RN15" s="1012"/>
      <c r="RO15" s="1012"/>
      <c r="RP15" s="1012"/>
      <c r="RQ15" s="1012"/>
      <c r="RR15" s="1012"/>
      <c r="RS15" s="1012"/>
      <c r="RT15" s="1012"/>
      <c r="RU15" s="1012"/>
      <c r="RV15" s="1012"/>
      <c r="RW15" s="1012"/>
      <c r="RX15" s="1012"/>
      <c r="RY15" s="1012"/>
      <c r="RZ15" s="1012"/>
      <c r="SA15" s="1012"/>
      <c r="SB15" s="1012"/>
      <c r="SC15" s="1012"/>
      <c r="SD15" s="1012"/>
      <c r="SE15" s="1012"/>
      <c r="SF15" s="1012"/>
      <c r="SG15" s="1012"/>
      <c r="SH15" s="1012"/>
      <c r="SI15" s="1012"/>
      <c r="SJ15" s="1012"/>
      <c r="SK15" s="1012"/>
      <c r="SL15" s="1012"/>
      <c r="SM15" s="1012"/>
      <c r="SN15" s="1012"/>
      <c r="SO15" s="1012"/>
      <c r="SP15" s="1012"/>
      <c r="SQ15" s="1012"/>
      <c r="SR15" s="1012"/>
      <c r="SS15" s="1012"/>
      <c r="ST15" s="1012"/>
      <c r="SU15" s="1012"/>
      <c r="SV15" s="1012"/>
      <c r="SW15" s="1012"/>
      <c r="SX15" s="1012"/>
      <c r="SY15" s="1012"/>
      <c r="SZ15" s="1012"/>
      <c r="TA15" s="1012"/>
      <c r="TB15" s="1012"/>
      <c r="TC15" s="1012"/>
      <c r="TD15" s="1012"/>
      <c r="TE15" s="1012"/>
      <c r="TF15" s="1012"/>
      <c r="TG15" s="1012"/>
      <c r="TH15" s="1012"/>
      <c r="TI15" s="1012"/>
      <c r="TJ15" s="1012"/>
      <c r="TK15" s="1012"/>
      <c r="TL15" s="1012"/>
      <c r="TM15" s="1012"/>
      <c r="TN15" s="1012"/>
      <c r="TO15" s="1012"/>
      <c r="TP15" s="1012"/>
      <c r="TQ15" s="1012"/>
      <c r="TR15" s="1012"/>
      <c r="TS15" s="1012"/>
      <c r="TT15" s="1012"/>
      <c r="TU15" s="1012"/>
      <c r="TV15" s="1012"/>
      <c r="TW15" s="1012"/>
      <c r="TX15" s="1012"/>
      <c r="TY15" s="1012"/>
      <c r="TZ15" s="1012"/>
      <c r="UA15" s="1012"/>
      <c r="UB15" s="1012"/>
      <c r="UC15" s="1012"/>
      <c r="UD15" s="1012"/>
      <c r="UE15" s="1012"/>
      <c r="UF15" s="1012"/>
      <c r="UG15" s="1012"/>
      <c r="UH15" s="1012"/>
      <c r="UI15" s="1012"/>
      <c r="UJ15" s="1012"/>
      <c r="UK15" s="1012"/>
      <c r="UL15" s="1012"/>
      <c r="UM15" s="1012"/>
      <c r="UN15" s="1012"/>
      <c r="UO15" s="1012"/>
      <c r="UP15" s="1012"/>
      <c r="UQ15" s="1012"/>
      <c r="UR15" s="1012"/>
      <c r="US15" s="1012"/>
      <c r="UT15" s="1012"/>
      <c r="UU15" s="1012"/>
      <c r="UV15" s="1012"/>
      <c r="UW15" s="1012"/>
      <c r="UX15" s="1012"/>
      <c r="UY15" s="1012"/>
      <c r="UZ15" s="1012"/>
      <c r="VA15" s="1012"/>
      <c r="VB15" s="1012"/>
      <c r="VC15" s="1012"/>
      <c r="VD15" s="1012"/>
      <c r="VE15" s="1012"/>
      <c r="VF15" s="1012"/>
      <c r="VG15" s="1012"/>
      <c r="VH15" s="1012"/>
      <c r="VI15" s="1012"/>
      <c r="VJ15" s="1012"/>
      <c r="VK15" s="1012"/>
      <c r="VL15" s="1012"/>
      <c r="VM15" s="1012"/>
      <c r="VN15" s="1012"/>
      <c r="VO15" s="1012"/>
      <c r="VP15" s="1012"/>
      <c r="VQ15" s="1012"/>
      <c r="VR15" s="1012"/>
      <c r="VS15" s="1012"/>
      <c r="VT15" s="1012"/>
      <c r="VU15" s="1012"/>
      <c r="VV15" s="1012"/>
      <c r="VW15" s="1012"/>
      <c r="VX15" s="1012"/>
      <c r="VY15" s="1012"/>
      <c r="VZ15" s="1012"/>
      <c r="WA15" s="1012"/>
      <c r="WB15" s="1012"/>
      <c r="WC15" s="1012"/>
      <c r="WD15" s="1012"/>
      <c r="WE15" s="1012"/>
      <c r="WF15" s="1012"/>
      <c r="WG15" s="1012"/>
      <c r="WH15" s="1012"/>
      <c r="WI15" s="1012"/>
      <c r="WJ15" s="1012"/>
      <c r="WK15" s="1012"/>
      <c r="WL15" s="1012"/>
      <c r="WM15" s="1012"/>
      <c r="WN15" s="1012"/>
      <c r="WO15" s="1012"/>
      <c r="WP15" s="1012"/>
      <c r="WQ15" s="1012"/>
      <c r="WR15" s="1012"/>
      <c r="WS15" s="1012"/>
      <c r="WT15" s="1012"/>
      <c r="WU15" s="1012"/>
      <c r="WV15" s="1012"/>
      <c r="WW15" s="1012"/>
      <c r="WX15" s="1012"/>
      <c r="WY15" s="1012"/>
      <c r="WZ15" s="1012"/>
      <c r="XA15" s="1012"/>
      <c r="XB15" s="1012"/>
      <c r="XC15" s="1012"/>
      <c r="XD15" s="1012"/>
      <c r="XE15" s="1012"/>
      <c r="XF15" s="1012"/>
      <c r="XG15" s="1012"/>
      <c r="XH15" s="1012"/>
      <c r="XI15" s="1012"/>
      <c r="XJ15" s="1012"/>
      <c r="XK15" s="1012"/>
      <c r="XL15" s="1012"/>
      <c r="XM15" s="1012"/>
      <c r="XN15" s="1012"/>
      <c r="XO15" s="1012"/>
      <c r="XP15" s="1012"/>
      <c r="XQ15" s="1012"/>
      <c r="XR15" s="1012"/>
      <c r="XS15" s="1012"/>
      <c r="XT15" s="1012"/>
      <c r="XU15" s="1012"/>
      <c r="XV15" s="1012"/>
      <c r="XW15" s="1012"/>
      <c r="XX15" s="1012"/>
      <c r="XY15" s="1012"/>
      <c r="XZ15" s="1012"/>
      <c r="YA15" s="1012"/>
      <c r="YB15" s="1012"/>
      <c r="YC15" s="1012"/>
      <c r="YD15" s="1012"/>
      <c r="YE15" s="1012"/>
      <c r="YF15" s="1012"/>
      <c r="YG15" s="1012"/>
      <c r="YH15" s="1012"/>
      <c r="YI15" s="1012"/>
      <c r="YJ15" s="1012"/>
      <c r="YK15" s="1012"/>
      <c r="YL15" s="1012"/>
      <c r="YM15" s="1012"/>
      <c r="YN15" s="1012"/>
      <c r="YO15" s="1012"/>
      <c r="YP15" s="1012"/>
      <c r="YQ15" s="1012"/>
      <c r="YR15" s="1012"/>
      <c r="YS15" s="1012"/>
      <c r="YT15" s="1012"/>
      <c r="YU15" s="1012"/>
      <c r="YV15" s="1012"/>
      <c r="YW15" s="1012"/>
      <c r="YX15" s="1012"/>
      <c r="YY15" s="1012"/>
      <c r="YZ15" s="1012"/>
      <c r="ZA15" s="1012"/>
      <c r="ZB15" s="1012"/>
      <c r="ZC15" s="1012"/>
      <c r="ZD15" s="1012"/>
      <c r="ZE15" s="1012"/>
      <c r="ZF15" s="1012"/>
      <c r="ZG15" s="1012"/>
      <c r="ZH15" s="1012"/>
      <c r="ZI15" s="1012"/>
      <c r="ZJ15" s="1012"/>
      <c r="ZK15" s="1012"/>
      <c r="ZL15" s="1012"/>
      <c r="ZM15" s="1012"/>
      <c r="ZN15" s="1012"/>
      <c r="ZO15" s="1012"/>
      <c r="ZP15" s="1012"/>
      <c r="ZQ15" s="1012"/>
      <c r="ZR15" s="1012"/>
      <c r="ZS15" s="1012"/>
      <c r="ZT15" s="1012"/>
      <c r="ZU15" s="1012"/>
      <c r="ZV15" s="1012"/>
      <c r="ZW15" s="1012"/>
      <c r="ZX15" s="1012"/>
      <c r="ZY15" s="1012"/>
      <c r="ZZ15" s="1012"/>
      <c r="AAA15" s="1012"/>
      <c r="AAB15" s="1012"/>
      <c r="AAC15" s="1012"/>
      <c r="AAD15" s="1012"/>
      <c r="AAE15" s="1012"/>
      <c r="AAF15" s="1012"/>
      <c r="AAG15" s="1012"/>
      <c r="AAH15" s="1012"/>
      <c r="AAI15" s="1012"/>
      <c r="AAJ15" s="1012"/>
      <c r="AAK15" s="1012"/>
      <c r="AAL15" s="1012"/>
      <c r="AAM15" s="1012"/>
      <c r="AAN15" s="1012"/>
      <c r="AAO15" s="1012"/>
      <c r="AAP15" s="1012"/>
      <c r="AAQ15" s="1012"/>
      <c r="AAR15" s="1012"/>
      <c r="AAS15" s="1012"/>
      <c r="AAT15" s="1012"/>
      <c r="AAU15" s="1012"/>
      <c r="AAV15" s="1012"/>
      <c r="AAW15" s="1012"/>
      <c r="AAX15" s="1012"/>
      <c r="AAY15" s="1012"/>
      <c r="AAZ15" s="1012"/>
      <c r="ABA15" s="1012"/>
      <c r="ABB15" s="1012"/>
      <c r="ABC15" s="1012"/>
      <c r="ABD15" s="1012"/>
      <c r="ABE15" s="1012"/>
      <c r="ABF15" s="1012"/>
      <c r="ABG15" s="1012"/>
      <c r="ABH15" s="1012"/>
      <c r="ABI15" s="1012"/>
      <c r="ABJ15" s="1012"/>
      <c r="ABK15" s="1012"/>
      <c r="ABL15" s="1012"/>
      <c r="ABM15" s="1012"/>
      <c r="ABN15" s="1012"/>
      <c r="ABO15" s="1012"/>
      <c r="ABP15" s="1012"/>
      <c r="ABQ15" s="1012"/>
      <c r="ABR15" s="1012"/>
    </row>
    <row r="16" spans="1:746" s="24" customFormat="1" ht="12.9" hidden="1" customHeight="1" thickBot="1">
      <c r="A16" s="1252"/>
      <c r="B16" s="2957" t="s">
        <v>286</v>
      </c>
      <c r="C16" s="2958"/>
      <c r="D16" s="348"/>
      <c r="E16" s="347" t="s">
        <v>1</v>
      </c>
      <c r="F16" s="1240"/>
      <c r="G16" s="347">
        <v>0.25</v>
      </c>
      <c r="H16" s="2349"/>
      <c r="I16" s="1966"/>
      <c r="J16" s="809"/>
      <c r="K16" s="809"/>
      <c r="L16" s="809"/>
      <c r="M16" s="809"/>
      <c r="N16" s="809"/>
      <c r="O16" s="809"/>
      <c r="P16" s="809"/>
      <c r="Q16" s="809"/>
      <c r="R16" s="809"/>
      <c r="S16" s="809"/>
      <c r="T16" s="809"/>
      <c r="U16" s="809"/>
      <c r="V16" s="809"/>
      <c r="W16" s="809"/>
      <c r="X16" s="809"/>
      <c r="Y16" s="809"/>
      <c r="Z16" s="809"/>
      <c r="AA16" s="809"/>
      <c r="AB16" s="809"/>
      <c r="AC16" s="809"/>
      <c r="AD16" s="809"/>
      <c r="AE16" s="809"/>
      <c r="AF16" s="809"/>
      <c r="AG16" s="1042"/>
      <c r="AH16" s="333"/>
      <c r="AI16" s="333"/>
      <c r="AJ16" s="418">
        <f>IF(fx!$C$57=1,SUMIF(fx!I$57:T$57,1,I16:T16),IF(fx!$C$57=2,SUMIF(fx!O$57:AF$57,1,O16:AF16)))</f>
        <v>0</v>
      </c>
      <c r="AK16" s="419"/>
      <c r="AL16" s="417">
        <f>IF(fx!$C$57=1,SUM(U16:AF16),0)</f>
        <v>0</v>
      </c>
      <c r="AM16" s="1012"/>
      <c r="AN16" s="1011"/>
      <c r="AO16" s="1916"/>
      <c r="AP16" s="1933"/>
      <c r="AQ16" s="1934"/>
      <c r="AR16" s="1941"/>
      <c r="AS16" s="1941"/>
      <c r="AT16" s="1941"/>
      <c r="AU16" s="1941"/>
      <c r="AV16" s="1941"/>
      <c r="AW16" s="1941"/>
      <c r="AX16" s="1941"/>
      <c r="AY16" s="1941"/>
      <c r="AZ16" s="1941"/>
      <c r="BA16" s="1941"/>
      <c r="BB16" s="1941"/>
      <c r="BC16" s="1941"/>
      <c r="BD16" s="1941"/>
      <c r="BE16" s="1941"/>
      <c r="BF16" s="1941"/>
      <c r="BG16" s="1941"/>
      <c r="BH16" s="1941"/>
      <c r="BI16" s="1941"/>
      <c r="BJ16" s="1941"/>
      <c r="BK16" s="1941"/>
      <c r="BL16" s="1941"/>
      <c r="BM16" s="1941"/>
      <c r="BN16" s="1941"/>
      <c r="BO16" s="1941"/>
      <c r="BP16" s="1009"/>
      <c r="BQ16" s="1012"/>
      <c r="BR16" s="1012"/>
      <c r="BS16" s="1012"/>
      <c r="BT16" s="1012"/>
      <c r="BU16" s="1012"/>
      <c r="BV16" s="1012"/>
      <c r="BW16" s="1012"/>
      <c r="BX16" s="1012"/>
      <c r="BY16" s="1012"/>
      <c r="BZ16" s="1012"/>
      <c r="CA16" s="1012"/>
      <c r="CB16" s="1012"/>
      <c r="CC16" s="1012"/>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c r="EC16" s="1012"/>
      <c r="ED16" s="1012"/>
      <c r="EE16" s="1012"/>
      <c r="EF16" s="1012"/>
      <c r="EG16" s="1012"/>
      <c r="EH16" s="1012"/>
      <c r="EI16" s="1012"/>
      <c r="EJ16" s="1012"/>
      <c r="EK16" s="1012"/>
      <c r="EL16" s="1012"/>
      <c r="EM16" s="1012"/>
      <c r="EN16" s="1012"/>
      <c r="EO16" s="1012"/>
      <c r="EP16" s="1012"/>
      <c r="EQ16" s="1012"/>
      <c r="ER16" s="1012"/>
      <c r="ES16" s="1012"/>
      <c r="ET16" s="1012"/>
      <c r="EU16" s="1012"/>
      <c r="EV16" s="1012"/>
      <c r="EW16" s="1012"/>
      <c r="EX16" s="1012"/>
      <c r="EY16" s="1012"/>
      <c r="EZ16" s="1012"/>
      <c r="FA16" s="1012"/>
      <c r="FB16" s="1012"/>
      <c r="FC16" s="1012"/>
      <c r="FD16" s="1012"/>
      <c r="FE16" s="1012"/>
      <c r="FF16" s="1012"/>
      <c r="FG16" s="1012"/>
      <c r="FH16" s="1012"/>
      <c r="FI16" s="1012"/>
      <c r="FJ16" s="1012"/>
      <c r="FK16" s="1012"/>
      <c r="FL16" s="1012"/>
      <c r="FM16" s="1012"/>
      <c r="FN16" s="1012"/>
      <c r="FO16" s="1012"/>
      <c r="FP16" s="1012"/>
      <c r="FQ16" s="1012"/>
      <c r="FR16" s="1012"/>
      <c r="FS16" s="1012"/>
      <c r="FT16" s="1012"/>
      <c r="FU16" s="1012"/>
      <c r="FV16" s="1012"/>
      <c r="FW16" s="1012"/>
      <c r="FX16" s="1012"/>
      <c r="FY16" s="1012"/>
      <c r="FZ16" s="1012"/>
      <c r="GA16" s="1012"/>
      <c r="GB16" s="1012"/>
      <c r="GC16" s="1012"/>
      <c r="GD16" s="1012"/>
      <c r="GE16" s="1012"/>
      <c r="GF16" s="1012"/>
      <c r="GG16" s="1012"/>
      <c r="GH16" s="1012"/>
      <c r="GI16" s="1012"/>
      <c r="GJ16" s="1012"/>
      <c r="GK16" s="1012"/>
      <c r="GL16" s="1012"/>
      <c r="GM16" s="1012"/>
      <c r="GN16" s="1012"/>
      <c r="GO16" s="1012"/>
      <c r="GP16" s="1012"/>
      <c r="GQ16" s="1012"/>
      <c r="GR16" s="1012"/>
      <c r="GS16" s="1012"/>
      <c r="GT16" s="1012"/>
      <c r="GU16" s="1012"/>
      <c r="GV16" s="1012"/>
      <c r="GW16" s="1012"/>
      <c r="GX16" s="1012"/>
      <c r="GY16" s="1012"/>
      <c r="GZ16" s="1012"/>
      <c r="HA16" s="1012"/>
      <c r="HB16" s="1012"/>
      <c r="HC16" s="1012"/>
      <c r="HD16" s="1012"/>
      <c r="HE16" s="1012"/>
      <c r="HF16" s="1012"/>
      <c r="HG16" s="1012"/>
      <c r="HH16" s="1012"/>
      <c r="HI16" s="1012"/>
      <c r="HJ16" s="1012"/>
      <c r="HK16" s="1012"/>
      <c r="HL16" s="1012"/>
      <c r="HM16" s="1012"/>
      <c r="HN16" s="1012"/>
      <c r="HO16" s="1012"/>
      <c r="HP16" s="1012"/>
      <c r="HQ16" s="1012"/>
      <c r="HR16" s="1012"/>
      <c r="HS16" s="1012"/>
      <c r="HT16" s="1012"/>
      <c r="HU16" s="1012"/>
      <c r="HV16" s="1012"/>
      <c r="HW16" s="1012"/>
      <c r="HX16" s="1012"/>
      <c r="HY16" s="1012"/>
      <c r="HZ16" s="1012"/>
      <c r="IA16" s="1012"/>
      <c r="IB16" s="1012"/>
      <c r="IC16" s="1012"/>
      <c r="ID16" s="1012"/>
      <c r="IE16" s="1012"/>
      <c r="IF16" s="1012"/>
      <c r="IG16" s="1012"/>
      <c r="IH16" s="1012"/>
      <c r="II16" s="1012"/>
      <c r="IJ16" s="1012"/>
      <c r="IK16" s="1012"/>
      <c r="IL16" s="1012"/>
      <c r="IM16" s="1012"/>
      <c r="IN16" s="1012"/>
      <c r="IO16" s="1012"/>
      <c r="IP16" s="1012"/>
      <c r="IQ16" s="1012"/>
      <c r="IR16" s="1012"/>
      <c r="IS16" s="1012"/>
      <c r="IT16" s="1012"/>
      <c r="IU16" s="1012"/>
      <c r="IV16" s="1012"/>
      <c r="IW16" s="1012"/>
      <c r="IX16" s="1012"/>
      <c r="IY16" s="1012"/>
      <c r="IZ16" s="1012"/>
      <c r="JA16" s="1012"/>
      <c r="JB16" s="1012"/>
      <c r="JC16" s="1012"/>
      <c r="JD16" s="1012"/>
      <c r="JE16" s="1012"/>
      <c r="JF16" s="1012"/>
      <c r="JG16" s="1012"/>
      <c r="JH16" s="1012"/>
      <c r="JI16" s="1012"/>
      <c r="JJ16" s="1012"/>
      <c r="JK16" s="1012"/>
      <c r="JL16" s="1012"/>
      <c r="JM16" s="1012"/>
      <c r="JN16" s="1012"/>
      <c r="JO16" s="1012"/>
      <c r="JP16" s="1012"/>
      <c r="JQ16" s="1012"/>
      <c r="JR16" s="1012"/>
      <c r="JS16" s="1012"/>
      <c r="JT16" s="1012"/>
      <c r="JU16" s="1012"/>
      <c r="JV16" s="1012"/>
      <c r="JW16" s="1012"/>
      <c r="JX16" s="1012"/>
      <c r="JY16" s="1012"/>
      <c r="JZ16" s="1012"/>
      <c r="KA16" s="1012"/>
      <c r="KB16" s="1012"/>
      <c r="KC16" s="1012"/>
      <c r="KD16" s="1012"/>
      <c r="KE16" s="1012"/>
      <c r="KF16" s="1012"/>
      <c r="KG16" s="1012"/>
      <c r="KH16" s="1012"/>
      <c r="KI16" s="1012"/>
      <c r="KJ16" s="1012"/>
      <c r="KK16" s="1012"/>
      <c r="KL16" s="1012"/>
      <c r="KM16" s="1012"/>
      <c r="KN16" s="1012"/>
      <c r="KO16" s="1012"/>
      <c r="KP16" s="1012"/>
      <c r="KQ16" s="1012"/>
      <c r="KR16" s="1012"/>
      <c r="KS16" s="1012"/>
      <c r="KT16" s="1012"/>
      <c r="KU16" s="1012"/>
      <c r="KV16" s="1012"/>
      <c r="KW16" s="1012"/>
      <c r="KX16" s="1012"/>
      <c r="KY16" s="1012"/>
      <c r="KZ16" s="1012"/>
      <c r="LA16" s="1012"/>
      <c r="LB16" s="1012"/>
      <c r="LC16" s="1012"/>
      <c r="LD16" s="1012"/>
      <c r="LE16" s="1012"/>
      <c r="LF16" s="1012"/>
      <c r="LG16" s="1012"/>
      <c r="LH16" s="1012"/>
      <c r="LI16" s="1012"/>
      <c r="LJ16" s="1012"/>
      <c r="LK16" s="1012"/>
      <c r="LL16" s="1012"/>
      <c r="LM16" s="1012"/>
      <c r="LN16" s="1012"/>
      <c r="LO16" s="1012"/>
      <c r="LP16" s="1012"/>
      <c r="LQ16" s="1012"/>
      <c r="LR16" s="1012"/>
      <c r="LS16" s="1012"/>
      <c r="LT16" s="1012"/>
      <c r="LU16" s="1012"/>
      <c r="LV16" s="1012"/>
      <c r="LW16" s="1012"/>
      <c r="LX16" s="1012"/>
      <c r="LY16" s="1012"/>
      <c r="LZ16" s="1012"/>
      <c r="MA16" s="1012"/>
      <c r="MB16" s="1012"/>
      <c r="MC16" s="1012"/>
      <c r="MD16" s="1012"/>
      <c r="ME16" s="1012"/>
      <c r="MF16" s="1012"/>
      <c r="MG16" s="1012"/>
      <c r="MH16" s="1012"/>
      <c r="MI16" s="1012"/>
      <c r="MJ16" s="1012"/>
      <c r="MK16" s="1012"/>
      <c r="ML16" s="1012"/>
      <c r="MM16" s="1012"/>
      <c r="MN16" s="1012"/>
      <c r="MO16" s="1012"/>
      <c r="MP16" s="1012"/>
      <c r="MQ16" s="1012"/>
      <c r="MR16" s="1012"/>
      <c r="MS16" s="1012"/>
      <c r="MT16" s="1012"/>
      <c r="MU16" s="1012"/>
      <c r="MV16" s="1012"/>
      <c r="MW16" s="1012"/>
      <c r="MX16" s="1012"/>
      <c r="MY16" s="1012"/>
      <c r="MZ16" s="1012"/>
      <c r="NA16" s="1012"/>
      <c r="NB16" s="1012"/>
      <c r="NC16" s="1012"/>
      <c r="ND16" s="1012"/>
      <c r="NE16" s="1012"/>
      <c r="NF16" s="1012"/>
      <c r="NG16" s="1012"/>
      <c r="NH16" s="1012"/>
      <c r="NI16" s="1012"/>
      <c r="NJ16" s="1012"/>
      <c r="NK16" s="1012"/>
      <c r="NL16" s="1012"/>
      <c r="NM16" s="1012"/>
      <c r="NN16" s="1012"/>
      <c r="NO16" s="1012"/>
      <c r="NP16" s="1012"/>
      <c r="NQ16" s="1012"/>
      <c r="NR16" s="1012"/>
      <c r="NS16" s="1012"/>
      <c r="NT16" s="1012"/>
      <c r="NU16" s="1012"/>
      <c r="NV16" s="1012"/>
      <c r="NW16" s="1012"/>
      <c r="NX16" s="1012"/>
      <c r="NY16" s="1012"/>
      <c r="NZ16" s="1012"/>
      <c r="OA16" s="1012"/>
      <c r="OB16" s="1012"/>
      <c r="OC16" s="1012"/>
      <c r="OD16" s="1012"/>
      <c r="OE16" s="1012"/>
      <c r="OF16" s="1012"/>
      <c r="OG16" s="1012"/>
      <c r="OH16" s="1012"/>
      <c r="OI16" s="1012"/>
      <c r="OJ16" s="1012"/>
      <c r="OK16" s="1012"/>
      <c r="OL16" s="1012"/>
      <c r="OM16" s="1012"/>
      <c r="ON16" s="1012"/>
      <c r="OO16" s="1012"/>
      <c r="OP16" s="1012"/>
      <c r="OQ16" s="1012"/>
      <c r="OR16" s="1012"/>
      <c r="OS16" s="1012"/>
      <c r="OT16" s="1012"/>
      <c r="OU16" s="1012"/>
      <c r="OV16" s="1012"/>
      <c r="OW16" s="1012"/>
      <c r="OX16" s="1012"/>
      <c r="OY16" s="1012"/>
      <c r="OZ16" s="1012"/>
      <c r="PA16" s="1012"/>
      <c r="PB16" s="1012"/>
      <c r="PC16" s="1012"/>
      <c r="PD16" s="1012"/>
      <c r="PE16" s="1012"/>
      <c r="PF16" s="1012"/>
      <c r="PG16" s="1012"/>
      <c r="PH16" s="1012"/>
      <c r="PI16" s="1012"/>
      <c r="PJ16" s="1012"/>
      <c r="PK16" s="1012"/>
      <c r="PL16" s="1012"/>
      <c r="PM16" s="1012"/>
      <c r="PN16" s="1012"/>
      <c r="PO16" s="1012"/>
      <c r="PP16" s="1012"/>
      <c r="PQ16" s="1012"/>
      <c r="PR16" s="1012"/>
      <c r="PS16" s="1012"/>
      <c r="PT16" s="1012"/>
      <c r="PU16" s="1012"/>
      <c r="PV16" s="1012"/>
      <c r="PW16" s="1012"/>
      <c r="PX16" s="1012"/>
      <c r="PY16" s="1012"/>
      <c r="PZ16" s="1012"/>
      <c r="QA16" s="1012"/>
      <c r="QB16" s="1012"/>
      <c r="QC16" s="1012"/>
      <c r="QD16" s="1012"/>
      <c r="QE16" s="1012"/>
      <c r="QF16" s="1012"/>
      <c r="QG16" s="1012"/>
      <c r="QH16" s="1012"/>
      <c r="QI16" s="1012"/>
      <c r="QJ16" s="1012"/>
      <c r="QK16" s="1012"/>
      <c r="QL16" s="1012"/>
      <c r="QM16" s="1012"/>
      <c r="QN16" s="1012"/>
      <c r="QO16" s="1012"/>
      <c r="QP16" s="1012"/>
      <c r="QQ16" s="1012"/>
      <c r="QR16" s="1012"/>
      <c r="QS16" s="1012"/>
      <c r="QT16" s="1012"/>
      <c r="QU16" s="1012"/>
      <c r="QV16" s="1012"/>
      <c r="QW16" s="1012"/>
      <c r="QX16" s="1012"/>
      <c r="QY16" s="1012"/>
      <c r="QZ16" s="1012"/>
      <c r="RA16" s="1012"/>
      <c r="RB16" s="1012"/>
      <c r="RC16" s="1012"/>
      <c r="RD16" s="1012"/>
      <c r="RE16" s="1012"/>
      <c r="RF16" s="1012"/>
      <c r="RG16" s="1012"/>
      <c r="RH16" s="1012"/>
      <c r="RI16" s="1012"/>
      <c r="RJ16" s="1012"/>
      <c r="RK16" s="1012"/>
      <c r="RL16" s="1012"/>
      <c r="RM16" s="1012"/>
      <c r="RN16" s="1012"/>
      <c r="RO16" s="1012"/>
      <c r="RP16" s="1012"/>
      <c r="RQ16" s="1012"/>
      <c r="RR16" s="1012"/>
      <c r="RS16" s="1012"/>
      <c r="RT16" s="1012"/>
      <c r="RU16" s="1012"/>
      <c r="RV16" s="1012"/>
      <c r="RW16" s="1012"/>
      <c r="RX16" s="1012"/>
      <c r="RY16" s="1012"/>
      <c r="RZ16" s="1012"/>
      <c r="SA16" s="1012"/>
      <c r="SB16" s="1012"/>
      <c r="SC16" s="1012"/>
      <c r="SD16" s="1012"/>
      <c r="SE16" s="1012"/>
      <c r="SF16" s="1012"/>
      <c r="SG16" s="1012"/>
      <c r="SH16" s="1012"/>
      <c r="SI16" s="1012"/>
      <c r="SJ16" s="1012"/>
      <c r="SK16" s="1012"/>
      <c r="SL16" s="1012"/>
      <c r="SM16" s="1012"/>
      <c r="SN16" s="1012"/>
      <c r="SO16" s="1012"/>
      <c r="SP16" s="1012"/>
      <c r="SQ16" s="1012"/>
      <c r="SR16" s="1012"/>
      <c r="SS16" s="1012"/>
      <c r="ST16" s="1012"/>
      <c r="SU16" s="1012"/>
      <c r="SV16" s="1012"/>
      <c r="SW16" s="1012"/>
      <c r="SX16" s="1012"/>
      <c r="SY16" s="1012"/>
      <c r="SZ16" s="1012"/>
      <c r="TA16" s="1012"/>
      <c r="TB16" s="1012"/>
      <c r="TC16" s="1012"/>
      <c r="TD16" s="1012"/>
      <c r="TE16" s="1012"/>
      <c r="TF16" s="1012"/>
      <c r="TG16" s="1012"/>
      <c r="TH16" s="1012"/>
      <c r="TI16" s="1012"/>
      <c r="TJ16" s="1012"/>
      <c r="TK16" s="1012"/>
      <c r="TL16" s="1012"/>
      <c r="TM16" s="1012"/>
      <c r="TN16" s="1012"/>
      <c r="TO16" s="1012"/>
      <c r="TP16" s="1012"/>
      <c r="TQ16" s="1012"/>
      <c r="TR16" s="1012"/>
      <c r="TS16" s="1012"/>
      <c r="TT16" s="1012"/>
      <c r="TU16" s="1012"/>
      <c r="TV16" s="1012"/>
      <c r="TW16" s="1012"/>
      <c r="TX16" s="1012"/>
      <c r="TY16" s="1012"/>
      <c r="TZ16" s="1012"/>
      <c r="UA16" s="1012"/>
      <c r="UB16" s="1012"/>
      <c r="UC16" s="1012"/>
      <c r="UD16" s="1012"/>
      <c r="UE16" s="1012"/>
      <c r="UF16" s="1012"/>
      <c r="UG16" s="1012"/>
      <c r="UH16" s="1012"/>
      <c r="UI16" s="1012"/>
      <c r="UJ16" s="1012"/>
      <c r="UK16" s="1012"/>
      <c r="UL16" s="1012"/>
      <c r="UM16" s="1012"/>
      <c r="UN16" s="1012"/>
      <c r="UO16" s="1012"/>
      <c r="UP16" s="1012"/>
      <c r="UQ16" s="1012"/>
      <c r="UR16" s="1012"/>
      <c r="US16" s="1012"/>
      <c r="UT16" s="1012"/>
      <c r="UU16" s="1012"/>
      <c r="UV16" s="1012"/>
      <c r="UW16" s="1012"/>
      <c r="UX16" s="1012"/>
      <c r="UY16" s="1012"/>
      <c r="UZ16" s="1012"/>
      <c r="VA16" s="1012"/>
      <c r="VB16" s="1012"/>
      <c r="VC16" s="1012"/>
      <c r="VD16" s="1012"/>
      <c r="VE16" s="1012"/>
      <c r="VF16" s="1012"/>
      <c r="VG16" s="1012"/>
      <c r="VH16" s="1012"/>
      <c r="VI16" s="1012"/>
      <c r="VJ16" s="1012"/>
      <c r="VK16" s="1012"/>
      <c r="VL16" s="1012"/>
      <c r="VM16" s="1012"/>
      <c r="VN16" s="1012"/>
      <c r="VO16" s="1012"/>
      <c r="VP16" s="1012"/>
      <c r="VQ16" s="1012"/>
      <c r="VR16" s="1012"/>
      <c r="VS16" s="1012"/>
      <c r="VT16" s="1012"/>
      <c r="VU16" s="1012"/>
      <c r="VV16" s="1012"/>
      <c r="VW16" s="1012"/>
      <c r="VX16" s="1012"/>
      <c r="VY16" s="1012"/>
      <c r="VZ16" s="1012"/>
      <c r="WA16" s="1012"/>
      <c r="WB16" s="1012"/>
      <c r="WC16" s="1012"/>
      <c r="WD16" s="1012"/>
      <c r="WE16" s="1012"/>
      <c r="WF16" s="1012"/>
      <c r="WG16" s="1012"/>
      <c r="WH16" s="1012"/>
      <c r="WI16" s="1012"/>
      <c r="WJ16" s="1012"/>
      <c r="WK16" s="1012"/>
      <c r="WL16" s="1012"/>
      <c r="WM16" s="1012"/>
      <c r="WN16" s="1012"/>
      <c r="WO16" s="1012"/>
      <c r="WP16" s="1012"/>
      <c r="WQ16" s="1012"/>
      <c r="WR16" s="1012"/>
      <c r="WS16" s="1012"/>
      <c r="WT16" s="1012"/>
      <c r="WU16" s="1012"/>
      <c r="WV16" s="1012"/>
      <c r="WW16" s="1012"/>
      <c r="WX16" s="1012"/>
      <c r="WY16" s="1012"/>
      <c r="WZ16" s="1012"/>
      <c r="XA16" s="1012"/>
      <c r="XB16" s="1012"/>
      <c r="XC16" s="1012"/>
      <c r="XD16" s="1012"/>
      <c r="XE16" s="1012"/>
      <c r="XF16" s="1012"/>
      <c r="XG16" s="1012"/>
      <c r="XH16" s="1012"/>
      <c r="XI16" s="1012"/>
      <c r="XJ16" s="1012"/>
      <c r="XK16" s="1012"/>
      <c r="XL16" s="1012"/>
      <c r="XM16" s="1012"/>
      <c r="XN16" s="1012"/>
      <c r="XO16" s="1012"/>
      <c r="XP16" s="1012"/>
      <c r="XQ16" s="1012"/>
      <c r="XR16" s="1012"/>
      <c r="XS16" s="1012"/>
      <c r="XT16" s="1012"/>
      <c r="XU16" s="1012"/>
      <c r="XV16" s="1012"/>
      <c r="XW16" s="1012"/>
      <c r="XX16" s="1012"/>
      <c r="XY16" s="1012"/>
      <c r="XZ16" s="1012"/>
      <c r="YA16" s="1012"/>
      <c r="YB16" s="1012"/>
      <c r="YC16" s="1012"/>
      <c r="YD16" s="1012"/>
      <c r="YE16" s="1012"/>
      <c r="YF16" s="1012"/>
      <c r="YG16" s="1012"/>
      <c r="YH16" s="1012"/>
      <c r="YI16" s="1012"/>
      <c r="YJ16" s="1012"/>
      <c r="YK16" s="1012"/>
      <c r="YL16" s="1012"/>
      <c r="YM16" s="1012"/>
      <c r="YN16" s="1012"/>
      <c r="YO16" s="1012"/>
      <c r="YP16" s="1012"/>
      <c r="YQ16" s="1012"/>
      <c r="YR16" s="1012"/>
      <c r="YS16" s="1012"/>
      <c r="YT16" s="1012"/>
      <c r="YU16" s="1012"/>
      <c r="YV16" s="1012"/>
      <c r="YW16" s="1012"/>
      <c r="YX16" s="1012"/>
      <c r="YY16" s="1012"/>
      <c r="YZ16" s="1012"/>
      <c r="ZA16" s="1012"/>
      <c r="ZB16" s="1012"/>
      <c r="ZC16" s="1012"/>
      <c r="ZD16" s="1012"/>
      <c r="ZE16" s="1012"/>
      <c r="ZF16" s="1012"/>
      <c r="ZG16" s="1012"/>
      <c r="ZH16" s="1012"/>
      <c r="ZI16" s="1012"/>
      <c r="ZJ16" s="1012"/>
      <c r="ZK16" s="1012"/>
      <c r="ZL16" s="1012"/>
      <c r="ZM16" s="1012"/>
      <c r="ZN16" s="1012"/>
      <c r="ZO16" s="1012"/>
      <c r="ZP16" s="1012"/>
      <c r="ZQ16" s="1012"/>
      <c r="ZR16" s="1012"/>
      <c r="ZS16" s="1012"/>
      <c r="ZT16" s="1012"/>
      <c r="ZU16" s="1012"/>
      <c r="ZV16" s="1012"/>
      <c r="ZW16" s="1012"/>
      <c r="ZX16" s="1012"/>
      <c r="ZY16" s="1012"/>
      <c r="ZZ16" s="1012"/>
      <c r="AAA16" s="1012"/>
      <c r="AAB16" s="1012"/>
      <c r="AAC16" s="1012"/>
      <c r="AAD16" s="1012"/>
      <c r="AAE16" s="1012"/>
      <c r="AAF16" s="1012"/>
      <c r="AAG16" s="1012"/>
      <c r="AAH16" s="1012"/>
      <c r="AAI16" s="1012"/>
      <c r="AAJ16" s="1012"/>
      <c r="AAK16" s="1012"/>
      <c r="AAL16" s="1012"/>
      <c r="AAM16" s="1012"/>
      <c r="AAN16" s="1012"/>
      <c r="AAO16" s="1012"/>
      <c r="AAP16" s="1012"/>
      <c r="AAQ16" s="1012"/>
      <c r="AAR16" s="1012"/>
      <c r="AAS16" s="1012"/>
      <c r="AAT16" s="1012"/>
      <c r="AAU16" s="1012"/>
      <c r="AAV16" s="1012"/>
      <c r="AAW16" s="1012"/>
      <c r="AAX16" s="1012"/>
      <c r="AAY16" s="1012"/>
      <c r="AAZ16" s="1012"/>
      <c r="ABA16" s="1012"/>
      <c r="ABB16" s="1012"/>
      <c r="ABC16" s="1012"/>
      <c r="ABD16" s="1012"/>
      <c r="ABE16" s="1012"/>
      <c r="ABF16" s="1012"/>
      <c r="ABG16" s="1012"/>
      <c r="ABH16" s="1012"/>
      <c r="ABI16" s="1012"/>
      <c r="ABJ16" s="1012"/>
      <c r="ABK16" s="1012"/>
      <c r="ABL16" s="1012"/>
      <c r="ABM16" s="1012"/>
      <c r="ABN16" s="1012"/>
      <c r="ABO16" s="1012"/>
      <c r="ABP16" s="1012"/>
      <c r="ABQ16" s="1012"/>
      <c r="ABR16" s="1012"/>
    </row>
    <row r="17" spans="1:746" s="24" customFormat="1" ht="12.9" hidden="1" customHeight="1" thickBot="1">
      <c r="A17" s="1252"/>
      <c r="B17" s="2957" t="s">
        <v>287</v>
      </c>
      <c r="C17" s="2958"/>
      <c r="D17" s="348"/>
      <c r="E17" s="347" t="s">
        <v>1</v>
      </c>
      <c r="F17" s="1240"/>
      <c r="G17" s="347">
        <v>0.25</v>
      </c>
      <c r="H17" s="2349"/>
      <c r="I17" s="1966"/>
      <c r="J17" s="809"/>
      <c r="K17" s="809"/>
      <c r="L17" s="809"/>
      <c r="M17" s="329"/>
      <c r="N17" s="329"/>
      <c r="O17" s="329"/>
      <c r="P17" s="329"/>
      <c r="Q17" s="329"/>
      <c r="R17" s="329"/>
      <c r="S17" s="329"/>
      <c r="T17" s="809"/>
      <c r="U17" s="809"/>
      <c r="V17" s="329"/>
      <c r="W17" s="329"/>
      <c r="X17" s="329"/>
      <c r="Y17" s="329"/>
      <c r="Z17" s="329"/>
      <c r="AA17" s="329"/>
      <c r="AB17" s="329"/>
      <c r="AC17" s="329"/>
      <c r="AD17" s="329"/>
      <c r="AE17" s="329"/>
      <c r="AF17" s="329"/>
      <c r="AG17" s="1042"/>
      <c r="AH17" s="333"/>
      <c r="AI17" s="333"/>
      <c r="AJ17" s="418">
        <f>IF(fx!$C$57=1,SUMIF(fx!I$57:T$57,1,I17:T17),IF(fx!$C$57=2,SUMIF(fx!O$57:AF$57,1,O17:AF17)))</f>
        <v>0</v>
      </c>
      <c r="AK17" s="419"/>
      <c r="AL17" s="417">
        <f>IF(fx!$C$57=1,SUM(U17:AF17),0)</f>
        <v>0</v>
      </c>
      <c r="AM17" s="1012"/>
      <c r="AN17" s="1011"/>
      <c r="AO17" s="1916"/>
      <c r="AP17" s="1933"/>
      <c r="AQ17" s="1934"/>
      <c r="AR17" s="1941"/>
      <c r="AS17" s="1941"/>
      <c r="AT17" s="1941"/>
      <c r="AU17" s="1941"/>
      <c r="AV17" s="1941"/>
      <c r="AW17" s="1941"/>
      <c r="AX17" s="1941"/>
      <c r="AY17" s="1941"/>
      <c r="AZ17" s="1941"/>
      <c r="BA17" s="1941"/>
      <c r="BB17" s="1941"/>
      <c r="BC17" s="1941"/>
      <c r="BD17" s="1941"/>
      <c r="BE17" s="1941"/>
      <c r="BF17" s="1941"/>
      <c r="BG17" s="1941"/>
      <c r="BH17" s="1941"/>
      <c r="BI17" s="1941"/>
      <c r="BJ17" s="1941"/>
      <c r="BK17" s="1941"/>
      <c r="BL17" s="1941"/>
      <c r="BM17" s="1941"/>
      <c r="BN17" s="1941"/>
      <c r="BO17" s="1941"/>
      <c r="BP17" s="1009"/>
      <c r="BQ17" s="1012"/>
      <c r="BR17" s="1012"/>
      <c r="BS17" s="1012"/>
      <c r="BT17" s="1012"/>
      <c r="BU17" s="1012"/>
      <c r="BV17" s="1012"/>
      <c r="BW17" s="1012"/>
      <c r="BX17" s="1012"/>
      <c r="BY17" s="1012"/>
      <c r="BZ17" s="1012"/>
      <c r="CA17" s="1012"/>
      <c r="CB17" s="1012"/>
      <c r="CC17" s="1012"/>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c r="EC17" s="1012"/>
      <c r="ED17" s="1012"/>
      <c r="EE17" s="1012"/>
      <c r="EF17" s="1012"/>
      <c r="EG17" s="1012"/>
      <c r="EH17" s="1012"/>
      <c r="EI17" s="1012"/>
      <c r="EJ17" s="1012"/>
      <c r="EK17" s="1012"/>
      <c r="EL17" s="1012"/>
      <c r="EM17" s="1012"/>
      <c r="EN17" s="1012"/>
      <c r="EO17" s="1012"/>
      <c r="EP17" s="1012"/>
      <c r="EQ17" s="1012"/>
      <c r="ER17" s="1012"/>
      <c r="ES17" s="1012"/>
      <c r="ET17" s="1012"/>
      <c r="EU17" s="1012"/>
      <c r="EV17" s="1012"/>
      <c r="EW17" s="1012"/>
      <c r="EX17" s="1012"/>
      <c r="EY17" s="1012"/>
      <c r="EZ17" s="1012"/>
      <c r="FA17" s="1012"/>
      <c r="FB17" s="1012"/>
      <c r="FC17" s="1012"/>
      <c r="FD17" s="1012"/>
      <c r="FE17" s="1012"/>
      <c r="FF17" s="1012"/>
      <c r="FG17" s="1012"/>
      <c r="FH17" s="1012"/>
      <c r="FI17" s="1012"/>
      <c r="FJ17" s="1012"/>
      <c r="FK17" s="1012"/>
      <c r="FL17" s="1012"/>
      <c r="FM17" s="1012"/>
      <c r="FN17" s="1012"/>
      <c r="FO17" s="1012"/>
      <c r="FP17" s="1012"/>
      <c r="FQ17" s="1012"/>
      <c r="FR17" s="1012"/>
      <c r="FS17" s="1012"/>
      <c r="FT17" s="1012"/>
      <c r="FU17" s="1012"/>
      <c r="FV17" s="1012"/>
      <c r="FW17" s="1012"/>
      <c r="FX17" s="1012"/>
      <c r="FY17" s="1012"/>
      <c r="FZ17" s="1012"/>
      <c r="GA17" s="1012"/>
      <c r="GB17" s="1012"/>
      <c r="GC17" s="1012"/>
      <c r="GD17" s="1012"/>
      <c r="GE17" s="1012"/>
      <c r="GF17" s="1012"/>
      <c r="GG17" s="1012"/>
      <c r="GH17" s="1012"/>
      <c r="GI17" s="1012"/>
      <c r="GJ17" s="1012"/>
      <c r="GK17" s="1012"/>
      <c r="GL17" s="1012"/>
      <c r="GM17" s="1012"/>
      <c r="GN17" s="1012"/>
      <c r="GO17" s="1012"/>
      <c r="GP17" s="1012"/>
      <c r="GQ17" s="1012"/>
      <c r="GR17" s="1012"/>
      <c r="GS17" s="1012"/>
      <c r="GT17" s="1012"/>
      <c r="GU17" s="1012"/>
      <c r="GV17" s="1012"/>
      <c r="GW17" s="1012"/>
      <c r="GX17" s="1012"/>
      <c r="GY17" s="1012"/>
      <c r="GZ17" s="1012"/>
      <c r="HA17" s="1012"/>
      <c r="HB17" s="1012"/>
      <c r="HC17" s="1012"/>
      <c r="HD17" s="1012"/>
      <c r="HE17" s="1012"/>
      <c r="HF17" s="1012"/>
      <c r="HG17" s="1012"/>
      <c r="HH17" s="1012"/>
      <c r="HI17" s="1012"/>
      <c r="HJ17" s="1012"/>
      <c r="HK17" s="1012"/>
      <c r="HL17" s="1012"/>
      <c r="HM17" s="1012"/>
      <c r="HN17" s="1012"/>
      <c r="HO17" s="1012"/>
      <c r="HP17" s="1012"/>
      <c r="HQ17" s="1012"/>
      <c r="HR17" s="1012"/>
      <c r="HS17" s="1012"/>
      <c r="HT17" s="1012"/>
      <c r="HU17" s="1012"/>
      <c r="HV17" s="1012"/>
      <c r="HW17" s="1012"/>
      <c r="HX17" s="1012"/>
      <c r="HY17" s="1012"/>
      <c r="HZ17" s="1012"/>
      <c r="IA17" s="1012"/>
      <c r="IB17" s="1012"/>
      <c r="IC17" s="1012"/>
      <c r="ID17" s="1012"/>
      <c r="IE17" s="1012"/>
      <c r="IF17" s="1012"/>
      <c r="IG17" s="1012"/>
      <c r="IH17" s="1012"/>
      <c r="II17" s="1012"/>
      <c r="IJ17" s="1012"/>
      <c r="IK17" s="1012"/>
      <c r="IL17" s="1012"/>
      <c r="IM17" s="1012"/>
      <c r="IN17" s="1012"/>
      <c r="IO17" s="1012"/>
      <c r="IP17" s="1012"/>
      <c r="IQ17" s="1012"/>
      <c r="IR17" s="1012"/>
      <c r="IS17" s="1012"/>
      <c r="IT17" s="1012"/>
      <c r="IU17" s="1012"/>
      <c r="IV17" s="1012"/>
      <c r="IW17" s="1012"/>
      <c r="IX17" s="1012"/>
      <c r="IY17" s="1012"/>
      <c r="IZ17" s="1012"/>
      <c r="JA17" s="1012"/>
      <c r="JB17" s="1012"/>
      <c r="JC17" s="1012"/>
      <c r="JD17" s="1012"/>
      <c r="JE17" s="1012"/>
      <c r="JF17" s="1012"/>
      <c r="JG17" s="1012"/>
      <c r="JH17" s="1012"/>
      <c r="JI17" s="1012"/>
      <c r="JJ17" s="1012"/>
      <c r="JK17" s="1012"/>
      <c r="JL17" s="1012"/>
      <c r="JM17" s="1012"/>
      <c r="JN17" s="1012"/>
      <c r="JO17" s="1012"/>
      <c r="JP17" s="1012"/>
      <c r="JQ17" s="1012"/>
      <c r="JR17" s="1012"/>
      <c r="JS17" s="1012"/>
      <c r="JT17" s="1012"/>
      <c r="JU17" s="1012"/>
      <c r="JV17" s="1012"/>
      <c r="JW17" s="1012"/>
      <c r="JX17" s="1012"/>
      <c r="JY17" s="1012"/>
      <c r="JZ17" s="1012"/>
      <c r="KA17" s="1012"/>
      <c r="KB17" s="1012"/>
      <c r="KC17" s="1012"/>
      <c r="KD17" s="1012"/>
      <c r="KE17" s="1012"/>
      <c r="KF17" s="1012"/>
      <c r="KG17" s="1012"/>
      <c r="KH17" s="1012"/>
      <c r="KI17" s="1012"/>
      <c r="KJ17" s="1012"/>
      <c r="KK17" s="1012"/>
      <c r="KL17" s="1012"/>
      <c r="KM17" s="1012"/>
      <c r="KN17" s="1012"/>
      <c r="KO17" s="1012"/>
      <c r="KP17" s="1012"/>
      <c r="KQ17" s="1012"/>
      <c r="KR17" s="1012"/>
      <c r="KS17" s="1012"/>
      <c r="KT17" s="1012"/>
      <c r="KU17" s="1012"/>
      <c r="KV17" s="1012"/>
      <c r="KW17" s="1012"/>
      <c r="KX17" s="1012"/>
      <c r="KY17" s="1012"/>
      <c r="KZ17" s="1012"/>
      <c r="LA17" s="1012"/>
      <c r="LB17" s="1012"/>
      <c r="LC17" s="1012"/>
      <c r="LD17" s="1012"/>
      <c r="LE17" s="1012"/>
      <c r="LF17" s="1012"/>
      <c r="LG17" s="1012"/>
      <c r="LH17" s="1012"/>
      <c r="LI17" s="1012"/>
      <c r="LJ17" s="1012"/>
      <c r="LK17" s="1012"/>
      <c r="LL17" s="1012"/>
      <c r="LM17" s="1012"/>
      <c r="LN17" s="1012"/>
      <c r="LO17" s="1012"/>
      <c r="LP17" s="1012"/>
      <c r="LQ17" s="1012"/>
      <c r="LR17" s="1012"/>
      <c r="LS17" s="1012"/>
      <c r="LT17" s="1012"/>
      <c r="LU17" s="1012"/>
      <c r="LV17" s="1012"/>
      <c r="LW17" s="1012"/>
      <c r="LX17" s="1012"/>
      <c r="LY17" s="1012"/>
      <c r="LZ17" s="1012"/>
      <c r="MA17" s="1012"/>
      <c r="MB17" s="1012"/>
      <c r="MC17" s="1012"/>
      <c r="MD17" s="1012"/>
      <c r="ME17" s="1012"/>
      <c r="MF17" s="1012"/>
      <c r="MG17" s="1012"/>
      <c r="MH17" s="1012"/>
      <c r="MI17" s="1012"/>
      <c r="MJ17" s="1012"/>
      <c r="MK17" s="1012"/>
      <c r="ML17" s="1012"/>
      <c r="MM17" s="1012"/>
      <c r="MN17" s="1012"/>
      <c r="MO17" s="1012"/>
      <c r="MP17" s="1012"/>
      <c r="MQ17" s="1012"/>
      <c r="MR17" s="1012"/>
      <c r="MS17" s="1012"/>
      <c r="MT17" s="1012"/>
      <c r="MU17" s="1012"/>
      <c r="MV17" s="1012"/>
      <c r="MW17" s="1012"/>
      <c r="MX17" s="1012"/>
      <c r="MY17" s="1012"/>
      <c r="MZ17" s="1012"/>
      <c r="NA17" s="1012"/>
      <c r="NB17" s="1012"/>
      <c r="NC17" s="1012"/>
      <c r="ND17" s="1012"/>
      <c r="NE17" s="1012"/>
      <c r="NF17" s="1012"/>
      <c r="NG17" s="1012"/>
      <c r="NH17" s="1012"/>
      <c r="NI17" s="1012"/>
      <c r="NJ17" s="1012"/>
      <c r="NK17" s="1012"/>
      <c r="NL17" s="1012"/>
      <c r="NM17" s="1012"/>
      <c r="NN17" s="1012"/>
      <c r="NO17" s="1012"/>
      <c r="NP17" s="1012"/>
      <c r="NQ17" s="1012"/>
      <c r="NR17" s="1012"/>
      <c r="NS17" s="1012"/>
      <c r="NT17" s="1012"/>
      <c r="NU17" s="1012"/>
      <c r="NV17" s="1012"/>
      <c r="NW17" s="1012"/>
      <c r="NX17" s="1012"/>
      <c r="NY17" s="1012"/>
      <c r="NZ17" s="1012"/>
      <c r="OA17" s="1012"/>
      <c r="OB17" s="1012"/>
      <c r="OC17" s="1012"/>
      <c r="OD17" s="1012"/>
      <c r="OE17" s="1012"/>
      <c r="OF17" s="1012"/>
      <c r="OG17" s="1012"/>
      <c r="OH17" s="1012"/>
      <c r="OI17" s="1012"/>
      <c r="OJ17" s="1012"/>
      <c r="OK17" s="1012"/>
      <c r="OL17" s="1012"/>
      <c r="OM17" s="1012"/>
      <c r="ON17" s="1012"/>
      <c r="OO17" s="1012"/>
      <c r="OP17" s="1012"/>
      <c r="OQ17" s="1012"/>
      <c r="OR17" s="1012"/>
      <c r="OS17" s="1012"/>
      <c r="OT17" s="1012"/>
      <c r="OU17" s="1012"/>
      <c r="OV17" s="1012"/>
      <c r="OW17" s="1012"/>
      <c r="OX17" s="1012"/>
      <c r="OY17" s="1012"/>
      <c r="OZ17" s="1012"/>
      <c r="PA17" s="1012"/>
      <c r="PB17" s="1012"/>
      <c r="PC17" s="1012"/>
      <c r="PD17" s="1012"/>
      <c r="PE17" s="1012"/>
      <c r="PF17" s="1012"/>
      <c r="PG17" s="1012"/>
      <c r="PH17" s="1012"/>
      <c r="PI17" s="1012"/>
      <c r="PJ17" s="1012"/>
      <c r="PK17" s="1012"/>
      <c r="PL17" s="1012"/>
      <c r="PM17" s="1012"/>
      <c r="PN17" s="1012"/>
      <c r="PO17" s="1012"/>
      <c r="PP17" s="1012"/>
      <c r="PQ17" s="1012"/>
      <c r="PR17" s="1012"/>
      <c r="PS17" s="1012"/>
      <c r="PT17" s="1012"/>
      <c r="PU17" s="1012"/>
      <c r="PV17" s="1012"/>
      <c r="PW17" s="1012"/>
      <c r="PX17" s="1012"/>
      <c r="PY17" s="1012"/>
      <c r="PZ17" s="1012"/>
      <c r="QA17" s="1012"/>
      <c r="QB17" s="1012"/>
      <c r="QC17" s="1012"/>
      <c r="QD17" s="1012"/>
      <c r="QE17" s="1012"/>
      <c r="QF17" s="1012"/>
      <c r="QG17" s="1012"/>
      <c r="QH17" s="1012"/>
      <c r="QI17" s="1012"/>
      <c r="QJ17" s="1012"/>
      <c r="QK17" s="1012"/>
      <c r="QL17" s="1012"/>
      <c r="QM17" s="1012"/>
      <c r="QN17" s="1012"/>
      <c r="QO17" s="1012"/>
      <c r="QP17" s="1012"/>
      <c r="QQ17" s="1012"/>
      <c r="QR17" s="1012"/>
      <c r="QS17" s="1012"/>
      <c r="QT17" s="1012"/>
      <c r="QU17" s="1012"/>
      <c r="QV17" s="1012"/>
      <c r="QW17" s="1012"/>
      <c r="QX17" s="1012"/>
      <c r="QY17" s="1012"/>
      <c r="QZ17" s="1012"/>
      <c r="RA17" s="1012"/>
      <c r="RB17" s="1012"/>
      <c r="RC17" s="1012"/>
      <c r="RD17" s="1012"/>
      <c r="RE17" s="1012"/>
      <c r="RF17" s="1012"/>
      <c r="RG17" s="1012"/>
      <c r="RH17" s="1012"/>
      <c r="RI17" s="1012"/>
      <c r="RJ17" s="1012"/>
      <c r="RK17" s="1012"/>
      <c r="RL17" s="1012"/>
      <c r="RM17" s="1012"/>
      <c r="RN17" s="1012"/>
      <c r="RO17" s="1012"/>
      <c r="RP17" s="1012"/>
      <c r="RQ17" s="1012"/>
      <c r="RR17" s="1012"/>
      <c r="RS17" s="1012"/>
      <c r="RT17" s="1012"/>
      <c r="RU17" s="1012"/>
      <c r="RV17" s="1012"/>
      <c r="RW17" s="1012"/>
      <c r="RX17" s="1012"/>
      <c r="RY17" s="1012"/>
      <c r="RZ17" s="1012"/>
      <c r="SA17" s="1012"/>
      <c r="SB17" s="1012"/>
      <c r="SC17" s="1012"/>
      <c r="SD17" s="1012"/>
      <c r="SE17" s="1012"/>
      <c r="SF17" s="1012"/>
      <c r="SG17" s="1012"/>
      <c r="SH17" s="1012"/>
      <c r="SI17" s="1012"/>
      <c r="SJ17" s="1012"/>
      <c r="SK17" s="1012"/>
      <c r="SL17" s="1012"/>
      <c r="SM17" s="1012"/>
      <c r="SN17" s="1012"/>
      <c r="SO17" s="1012"/>
      <c r="SP17" s="1012"/>
      <c r="SQ17" s="1012"/>
      <c r="SR17" s="1012"/>
      <c r="SS17" s="1012"/>
      <c r="ST17" s="1012"/>
      <c r="SU17" s="1012"/>
      <c r="SV17" s="1012"/>
      <c r="SW17" s="1012"/>
      <c r="SX17" s="1012"/>
      <c r="SY17" s="1012"/>
      <c r="SZ17" s="1012"/>
      <c r="TA17" s="1012"/>
      <c r="TB17" s="1012"/>
      <c r="TC17" s="1012"/>
      <c r="TD17" s="1012"/>
      <c r="TE17" s="1012"/>
      <c r="TF17" s="1012"/>
      <c r="TG17" s="1012"/>
      <c r="TH17" s="1012"/>
      <c r="TI17" s="1012"/>
      <c r="TJ17" s="1012"/>
      <c r="TK17" s="1012"/>
      <c r="TL17" s="1012"/>
      <c r="TM17" s="1012"/>
      <c r="TN17" s="1012"/>
      <c r="TO17" s="1012"/>
      <c r="TP17" s="1012"/>
      <c r="TQ17" s="1012"/>
      <c r="TR17" s="1012"/>
      <c r="TS17" s="1012"/>
      <c r="TT17" s="1012"/>
      <c r="TU17" s="1012"/>
      <c r="TV17" s="1012"/>
      <c r="TW17" s="1012"/>
      <c r="TX17" s="1012"/>
      <c r="TY17" s="1012"/>
      <c r="TZ17" s="1012"/>
      <c r="UA17" s="1012"/>
      <c r="UB17" s="1012"/>
      <c r="UC17" s="1012"/>
      <c r="UD17" s="1012"/>
      <c r="UE17" s="1012"/>
      <c r="UF17" s="1012"/>
      <c r="UG17" s="1012"/>
      <c r="UH17" s="1012"/>
      <c r="UI17" s="1012"/>
      <c r="UJ17" s="1012"/>
      <c r="UK17" s="1012"/>
      <c r="UL17" s="1012"/>
      <c r="UM17" s="1012"/>
      <c r="UN17" s="1012"/>
      <c r="UO17" s="1012"/>
      <c r="UP17" s="1012"/>
      <c r="UQ17" s="1012"/>
      <c r="UR17" s="1012"/>
      <c r="US17" s="1012"/>
      <c r="UT17" s="1012"/>
      <c r="UU17" s="1012"/>
      <c r="UV17" s="1012"/>
      <c r="UW17" s="1012"/>
      <c r="UX17" s="1012"/>
      <c r="UY17" s="1012"/>
      <c r="UZ17" s="1012"/>
      <c r="VA17" s="1012"/>
      <c r="VB17" s="1012"/>
      <c r="VC17" s="1012"/>
      <c r="VD17" s="1012"/>
      <c r="VE17" s="1012"/>
      <c r="VF17" s="1012"/>
      <c r="VG17" s="1012"/>
      <c r="VH17" s="1012"/>
      <c r="VI17" s="1012"/>
      <c r="VJ17" s="1012"/>
      <c r="VK17" s="1012"/>
      <c r="VL17" s="1012"/>
      <c r="VM17" s="1012"/>
      <c r="VN17" s="1012"/>
      <c r="VO17" s="1012"/>
      <c r="VP17" s="1012"/>
      <c r="VQ17" s="1012"/>
      <c r="VR17" s="1012"/>
      <c r="VS17" s="1012"/>
      <c r="VT17" s="1012"/>
      <c r="VU17" s="1012"/>
      <c r="VV17" s="1012"/>
      <c r="VW17" s="1012"/>
      <c r="VX17" s="1012"/>
      <c r="VY17" s="1012"/>
      <c r="VZ17" s="1012"/>
      <c r="WA17" s="1012"/>
      <c r="WB17" s="1012"/>
      <c r="WC17" s="1012"/>
      <c r="WD17" s="1012"/>
      <c r="WE17" s="1012"/>
      <c r="WF17" s="1012"/>
      <c r="WG17" s="1012"/>
      <c r="WH17" s="1012"/>
      <c r="WI17" s="1012"/>
      <c r="WJ17" s="1012"/>
      <c r="WK17" s="1012"/>
      <c r="WL17" s="1012"/>
      <c r="WM17" s="1012"/>
      <c r="WN17" s="1012"/>
      <c r="WO17" s="1012"/>
      <c r="WP17" s="1012"/>
      <c r="WQ17" s="1012"/>
      <c r="WR17" s="1012"/>
      <c r="WS17" s="1012"/>
      <c r="WT17" s="1012"/>
      <c r="WU17" s="1012"/>
      <c r="WV17" s="1012"/>
      <c r="WW17" s="1012"/>
      <c r="WX17" s="1012"/>
      <c r="WY17" s="1012"/>
      <c r="WZ17" s="1012"/>
      <c r="XA17" s="1012"/>
      <c r="XB17" s="1012"/>
      <c r="XC17" s="1012"/>
      <c r="XD17" s="1012"/>
      <c r="XE17" s="1012"/>
      <c r="XF17" s="1012"/>
      <c r="XG17" s="1012"/>
      <c r="XH17" s="1012"/>
      <c r="XI17" s="1012"/>
      <c r="XJ17" s="1012"/>
      <c r="XK17" s="1012"/>
      <c r="XL17" s="1012"/>
      <c r="XM17" s="1012"/>
      <c r="XN17" s="1012"/>
      <c r="XO17" s="1012"/>
      <c r="XP17" s="1012"/>
      <c r="XQ17" s="1012"/>
      <c r="XR17" s="1012"/>
      <c r="XS17" s="1012"/>
      <c r="XT17" s="1012"/>
      <c r="XU17" s="1012"/>
      <c r="XV17" s="1012"/>
      <c r="XW17" s="1012"/>
      <c r="XX17" s="1012"/>
      <c r="XY17" s="1012"/>
      <c r="XZ17" s="1012"/>
      <c r="YA17" s="1012"/>
      <c r="YB17" s="1012"/>
      <c r="YC17" s="1012"/>
      <c r="YD17" s="1012"/>
      <c r="YE17" s="1012"/>
      <c r="YF17" s="1012"/>
      <c r="YG17" s="1012"/>
      <c r="YH17" s="1012"/>
      <c r="YI17" s="1012"/>
      <c r="YJ17" s="1012"/>
      <c r="YK17" s="1012"/>
      <c r="YL17" s="1012"/>
      <c r="YM17" s="1012"/>
      <c r="YN17" s="1012"/>
      <c r="YO17" s="1012"/>
      <c r="YP17" s="1012"/>
      <c r="YQ17" s="1012"/>
      <c r="YR17" s="1012"/>
      <c r="YS17" s="1012"/>
      <c r="YT17" s="1012"/>
      <c r="YU17" s="1012"/>
      <c r="YV17" s="1012"/>
      <c r="YW17" s="1012"/>
      <c r="YX17" s="1012"/>
      <c r="YY17" s="1012"/>
      <c r="YZ17" s="1012"/>
      <c r="ZA17" s="1012"/>
      <c r="ZB17" s="1012"/>
      <c r="ZC17" s="1012"/>
      <c r="ZD17" s="1012"/>
      <c r="ZE17" s="1012"/>
      <c r="ZF17" s="1012"/>
      <c r="ZG17" s="1012"/>
      <c r="ZH17" s="1012"/>
      <c r="ZI17" s="1012"/>
      <c r="ZJ17" s="1012"/>
      <c r="ZK17" s="1012"/>
      <c r="ZL17" s="1012"/>
      <c r="ZM17" s="1012"/>
      <c r="ZN17" s="1012"/>
      <c r="ZO17" s="1012"/>
      <c r="ZP17" s="1012"/>
      <c r="ZQ17" s="1012"/>
      <c r="ZR17" s="1012"/>
      <c r="ZS17" s="1012"/>
      <c r="ZT17" s="1012"/>
      <c r="ZU17" s="1012"/>
      <c r="ZV17" s="1012"/>
      <c r="ZW17" s="1012"/>
      <c r="ZX17" s="1012"/>
      <c r="ZY17" s="1012"/>
      <c r="ZZ17" s="1012"/>
      <c r="AAA17" s="1012"/>
      <c r="AAB17" s="1012"/>
      <c r="AAC17" s="1012"/>
      <c r="AAD17" s="1012"/>
      <c r="AAE17" s="1012"/>
      <c r="AAF17" s="1012"/>
      <c r="AAG17" s="1012"/>
      <c r="AAH17" s="1012"/>
      <c r="AAI17" s="1012"/>
      <c r="AAJ17" s="1012"/>
      <c r="AAK17" s="1012"/>
      <c r="AAL17" s="1012"/>
      <c r="AAM17" s="1012"/>
      <c r="AAN17" s="1012"/>
      <c r="AAO17" s="1012"/>
      <c r="AAP17" s="1012"/>
      <c r="AAQ17" s="1012"/>
      <c r="AAR17" s="1012"/>
      <c r="AAS17" s="1012"/>
      <c r="AAT17" s="1012"/>
      <c r="AAU17" s="1012"/>
      <c r="AAV17" s="1012"/>
      <c r="AAW17" s="1012"/>
      <c r="AAX17" s="1012"/>
      <c r="AAY17" s="1012"/>
      <c r="AAZ17" s="1012"/>
      <c r="ABA17" s="1012"/>
      <c r="ABB17" s="1012"/>
      <c r="ABC17" s="1012"/>
      <c r="ABD17" s="1012"/>
      <c r="ABE17" s="1012"/>
      <c r="ABF17" s="1012"/>
      <c r="ABG17" s="1012"/>
      <c r="ABH17" s="1012"/>
      <c r="ABI17" s="1012"/>
      <c r="ABJ17" s="1012"/>
      <c r="ABK17" s="1012"/>
      <c r="ABL17" s="1012"/>
      <c r="ABM17" s="1012"/>
      <c r="ABN17" s="1012"/>
      <c r="ABO17" s="1012"/>
      <c r="ABP17" s="1012"/>
      <c r="ABQ17" s="1012"/>
      <c r="ABR17" s="1012"/>
    </row>
    <row r="18" spans="1:746" s="24" customFormat="1" ht="12.9" hidden="1" customHeight="1" thickBot="1">
      <c r="A18" s="1252"/>
      <c r="B18" s="2957" t="s">
        <v>288</v>
      </c>
      <c r="C18" s="2958"/>
      <c r="D18" s="348"/>
      <c r="E18" s="347" t="s">
        <v>1</v>
      </c>
      <c r="F18" s="1240"/>
      <c r="G18" s="347">
        <v>0.25</v>
      </c>
      <c r="H18" s="2349"/>
      <c r="I18" s="2364"/>
      <c r="J18" s="809"/>
      <c r="K18" s="809"/>
      <c r="L18" s="809"/>
      <c r="M18" s="329"/>
      <c r="N18" s="329"/>
      <c r="O18" s="329"/>
      <c r="P18" s="329"/>
      <c r="Q18" s="329"/>
      <c r="R18" s="329"/>
      <c r="S18" s="329"/>
      <c r="T18" s="809"/>
      <c r="U18" s="809"/>
      <c r="V18" s="329"/>
      <c r="W18" s="329"/>
      <c r="X18" s="329"/>
      <c r="Y18" s="329"/>
      <c r="Z18" s="329"/>
      <c r="AA18" s="329"/>
      <c r="AB18" s="329"/>
      <c r="AC18" s="329"/>
      <c r="AD18" s="329"/>
      <c r="AE18" s="329"/>
      <c r="AF18" s="329"/>
      <c r="AG18" s="1042"/>
      <c r="AH18" s="333"/>
      <c r="AI18" s="333"/>
      <c r="AJ18" s="418">
        <f>IF(fx!$C$57=1,SUMIF(fx!I$57:T$57,1,I18:T18),IF(fx!$C$57=2,SUMIF(fx!O$57:AF$57,1,O18:AF18)))</f>
        <v>0</v>
      </c>
      <c r="AK18" s="419"/>
      <c r="AL18" s="417">
        <f>IF(fx!$C$57=1,SUM(U18:AF18),0)</f>
        <v>0</v>
      </c>
      <c r="AM18" s="1012"/>
      <c r="AN18" s="1011"/>
      <c r="AO18" s="1916"/>
      <c r="AP18" s="1933"/>
      <c r="AQ18" s="1934"/>
      <c r="AR18" s="1941"/>
      <c r="AS18" s="1941"/>
      <c r="AT18" s="1941"/>
      <c r="AU18" s="1941"/>
      <c r="AV18" s="1941"/>
      <c r="AW18" s="1941"/>
      <c r="AX18" s="1941"/>
      <c r="AY18" s="1941"/>
      <c r="AZ18" s="1941"/>
      <c r="BA18" s="1941"/>
      <c r="BB18" s="1941"/>
      <c r="BC18" s="1941"/>
      <c r="BD18" s="1941"/>
      <c r="BE18" s="1941"/>
      <c r="BF18" s="1941"/>
      <c r="BG18" s="1941"/>
      <c r="BH18" s="1941"/>
      <c r="BI18" s="1941"/>
      <c r="BJ18" s="1941"/>
      <c r="BK18" s="1941"/>
      <c r="BL18" s="1941"/>
      <c r="BM18" s="1941"/>
      <c r="BN18" s="1941"/>
      <c r="BO18" s="1941"/>
      <c r="BP18" s="1009"/>
      <c r="BQ18" s="1012"/>
      <c r="BR18" s="1012"/>
      <c r="BS18" s="1012"/>
      <c r="BT18" s="1012"/>
      <c r="BU18" s="1012"/>
      <c r="BV18" s="1012"/>
      <c r="BW18" s="1012"/>
      <c r="BX18" s="1012"/>
      <c r="BY18" s="1012"/>
      <c r="BZ18" s="1012"/>
      <c r="CA18" s="1012"/>
      <c r="CB18" s="1012"/>
      <c r="CC18" s="1012"/>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c r="EC18" s="1012"/>
      <c r="ED18" s="1012"/>
      <c r="EE18" s="1012"/>
      <c r="EF18" s="1012"/>
      <c r="EG18" s="1012"/>
      <c r="EH18" s="1012"/>
      <c r="EI18" s="1012"/>
      <c r="EJ18" s="1012"/>
      <c r="EK18" s="1012"/>
      <c r="EL18" s="1012"/>
      <c r="EM18" s="1012"/>
      <c r="EN18" s="1012"/>
      <c r="EO18" s="1012"/>
      <c r="EP18" s="1012"/>
      <c r="EQ18" s="1012"/>
      <c r="ER18" s="1012"/>
      <c r="ES18" s="1012"/>
      <c r="ET18" s="1012"/>
      <c r="EU18" s="1012"/>
      <c r="EV18" s="1012"/>
      <c r="EW18" s="1012"/>
      <c r="EX18" s="1012"/>
      <c r="EY18" s="1012"/>
      <c r="EZ18" s="1012"/>
      <c r="FA18" s="1012"/>
      <c r="FB18" s="1012"/>
      <c r="FC18" s="1012"/>
      <c r="FD18" s="1012"/>
      <c r="FE18" s="1012"/>
      <c r="FF18" s="1012"/>
      <c r="FG18" s="1012"/>
      <c r="FH18" s="1012"/>
      <c r="FI18" s="1012"/>
      <c r="FJ18" s="1012"/>
      <c r="FK18" s="1012"/>
      <c r="FL18" s="1012"/>
      <c r="FM18" s="1012"/>
      <c r="FN18" s="1012"/>
      <c r="FO18" s="1012"/>
      <c r="FP18" s="1012"/>
      <c r="FQ18" s="1012"/>
      <c r="FR18" s="1012"/>
      <c r="FS18" s="1012"/>
      <c r="FT18" s="1012"/>
      <c r="FU18" s="1012"/>
      <c r="FV18" s="1012"/>
      <c r="FW18" s="1012"/>
      <c r="FX18" s="1012"/>
      <c r="FY18" s="1012"/>
      <c r="FZ18" s="1012"/>
      <c r="GA18" s="1012"/>
      <c r="GB18" s="1012"/>
      <c r="GC18" s="1012"/>
      <c r="GD18" s="1012"/>
      <c r="GE18" s="1012"/>
      <c r="GF18" s="1012"/>
      <c r="GG18" s="1012"/>
      <c r="GH18" s="1012"/>
      <c r="GI18" s="1012"/>
      <c r="GJ18" s="1012"/>
      <c r="GK18" s="1012"/>
      <c r="GL18" s="1012"/>
      <c r="GM18" s="1012"/>
      <c r="GN18" s="1012"/>
      <c r="GO18" s="1012"/>
      <c r="GP18" s="1012"/>
      <c r="GQ18" s="1012"/>
      <c r="GR18" s="1012"/>
      <c r="GS18" s="1012"/>
      <c r="GT18" s="1012"/>
      <c r="GU18" s="1012"/>
      <c r="GV18" s="1012"/>
      <c r="GW18" s="1012"/>
      <c r="GX18" s="1012"/>
      <c r="GY18" s="1012"/>
      <c r="GZ18" s="1012"/>
      <c r="HA18" s="1012"/>
      <c r="HB18" s="1012"/>
      <c r="HC18" s="1012"/>
      <c r="HD18" s="1012"/>
      <c r="HE18" s="1012"/>
      <c r="HF18" s="1012"/>
      <c r="HG18" s="1012"/>
      <c r="HH18" s="1012"/>
      <c r="HI18" s="1012"/>
      <c r="HJ18" s="1012"/>
      <c r="HK18" s="1012"/>
      <c r="HL18" s="1012"/>
      <c r="HM18" s="1012"/>
      <c r="HN18" s="1012"/>
      <c r="HO18" s="1012"/>
      <c r="HP18" s="1012"/>
      <c r="HQ18" s="1012"/>
      <c r="HR18" s="1012"/>
      <c r="HS18" s="1012"/>
      <c r="HT18" s="1012"/>
      <c r="HU18" s="1012"/>
      <c r="HV18" s="1012"/>
      <c r="HW18" s="1012"/>
      <c r="HX18" s="1012"/>
      <c r="HY18" s="1012"/>
      <c r="HZ18" s="1012"/>
      <c r="IA18" s="1012"/>
      <c r="IB18" s="1012"/>
      <c r="IC18" s="1012"/>
      <c r="ID18" s="1012"/>
      <c r="IE18" s="1012"/>
      <c r="IF18" s="1012"/>
      <c r="IG18" s="1012"/>
      <c r="IH18" s="1012"/>
      <c r="II18" s="1012"/>
      <c r="IJ18" s="1012"/>
      <c r="IK18" s="1012"/>
      <c r="IL18" s="1012"/>
      <c r="IM18" s="1012"/>
      <c r="IN18" s="1012"/>
      <c r="IO18" s="1012"/>
      <c r="IP18" s="1012"/>
      <c r="IQ18" s="1012"/>
      <c r="IR18" s="1012"/>
      <c r="IS18" s="1012"/>
      <c r="IT18" s="1012"/>
      <c r="IU18" s="1012"/>
      <c r="IV18" s="1012"/>
      <c r="IW18" s="1012"/>
      <c r="IX18" s="1012"/>
      <c r="IY18" s="1012"/>
      <c r="IZ18" s="1012"/>
      <c r="JA18" s="1012"/>
      <c r="JB18" s="1012"/>
      <c r="JC18" s="1012"/>
      <c r="JD18" s="1012"/>
      <c r="JE18" s="1012"/>
      <c r="JF18" s="1012"/>
      <c r="JG18" s="1012"/>
      <c r="JH18" s="1012"/>
      <c r="JI18" s="1012"/>
      <c r="JJ18" s="1012"/>
      <c r="JK18" s="1012"/>
      <c r="JL18" s="1012"/>
      <c r="JM18" s="1012"/>
      <c r="JN18" s="1012"/>
      <c r="JO18" s="1012"/>
      <c r="JP18" s="1012"/>
      <c r="JQ18" s="1012"/>
      <c r="JR18" s="1012"/>
      <c r="JS18" s="1012"/>
      <c r="JT18" s="1012"/>
      <c r="JU18" s="1012"/>
      <c r="JV18" s="1012"/>
      <c r="JW18" s="1012"/>
      <c r="JX18" s="1012"/>
      <c r="JY18" s="1012"/>
      <c r="JZ18" s="1012"/>
      <c r="KA18" s="1012"/>
      <c r="KB18" s="1012"/>
      <c r="KC18" s="1012"/>
      <c r="KD18" s="1012"/>
      <c r="KE18" s="1012"/>
      <c r="KF18" s="1012"/>
      <c r="KG18" s="1012"/>
      <c r="KH18" s="1012"/>
      <c r="KI18" s="1012"/>
      <c r="KJ18" s="1012"/>
      <c r="KK18" s="1012"/>
      <c r="KL18" s="1012"/>
      <c r="KM18" s="1012"/>
      <c r="KN18" s="1012"/>
      <c r="KO18" s="1012"/>
      <c r="KP18" s="1012"/>
      <c r="KQ18" s="1012"/>
      <c r="KR18" s="1012"/>
      <c r="KS18" s="1012"/>
      <c r="KT18" s="1012"/>
      <c r="KU18" s="1012"/>
      <c r="KV18" s="1012"/>
      <c r="KW18" s="1012"/>
      <c r="KX18" s="1012"/>
      <c r="KY18" s="1012"/>
      <c r="KZ18" s="1012"/>
      <c r="LA18" s="1012"/>
      <c r="LB18" s="1012"/>
      <c r="LC18" s="1012"/>
      <c r="LD18" s="1012"/>
      <c r="LE18" s="1012"/>
      <c r="LF18" s="1012"/>
      <c r="LG18" s="1012"/>
      <c r="LH18" s="1012"/>
      <c r="LI18" s="1012"/>
      <c r="LJ18" s="1012"/>
      <c r="LK18" s="1012"/>
      <c r="LL18" s="1012"/>
      <c r="LM18" s="1012"/>
      <c r="LN18" s="1012"/>
      <c r="LO18" s="1012"/>
      <c r="LP18" s="1012"/>
      <c r="LQ18" s="1012"/>
      <c r="LR18" s="1012"/>
      <c r="LS18" s="1012"/>
      <c r="LT18" s="1012"/>
      <c r="LU18" s="1012"/>
      <c r="LV18" s="1012"/>
      <c r="LW18" s="1012"/>
      <c r="LX18" s="1012"/>
      <c r="LY18" s="1012"/>
      <c r="LZ18" s="1012"/>
      <c r="MA18" s="1012"/>
      <c r="MB18" s="1012"/>
      <c r="MC18" s="1012"/>
      <c r="MD18" s="1012"/>
      <c r="ME18" s="1012"/>
      <c r="MF18" s="1012"/>
      <c r="MG18" s="1012"/>
      <c r="MH18" s="1012"/>
      <c r="MI18" s="1012"/>
      <c r="MJ18" s="1012"/>
      <c r="MK18" s="1012"/>
      <c r="ML18" s="1012"/>
      <c r="MM18" s="1012"/>
      <c r="MN18" s="1012"/>
      <c r="MO18" s="1012"/>
      <c r="MP18" s="1012"/>
      <c r="MQ18" s="1012"/>
      <c r="MR18" s="1012"/>
      <c r="MS18" s="1012"/>
      <c r="MT18" s="1012"/>
      <c r="MU18" s="1012"/>
      <c r="MV18" s="1012"/>
      <c r="MW18" s="1012"/>
      <c r="MX18" s="1012"/>
      <c r="MY18" s="1012"/>
      <c r="MZ18" s="1012"/>
      <c r="NA18" s="1012"/>
      <c r="NB18" s="1012"/>
      <c r="NC18" s="1012"/>
      <c r="ND18" s="1012"/>
      <c r="NE18" s="1012"/>
      <c r="NF18" s="1012"/>
      <c r="NG18" s="1012"/>
      <c r="NH18" s="1012"/>
      <c r="NI18" s="1012"/>
      <c r="NJ18" s="1012"/>
      <c r="NK18" s="1012"/>
      <c r="NL18" s="1012"/>
      <c r="NM18" s="1012"/>
      <c r="NN18" s="1012"/>
      <c r="NO18" s="1012"/>
      <c r="NP18" s="1012"/>
      <c r="NQ18" s="1012"/>
      <c r="NR18" s="1012"/>
      <c r="NS18" s="1012"/>
      <c r="NT18" s="1012"/>
      <c r="NU18" s="1012"/>
      <c r="NV18" s="1012"/>
      <c r="NW18" s="1012"/>
      <c r="NX18" s="1012"/>
      <c r="NY18" s="1012"/>
      <c r="NZ18" s="1012"/>
      <c r="OA18" s="1012"/>
      <c r="OB18" s="1012"/>
      <c r="OC18" s="1012"/>
      <c r="OD18" s="1012"/>
      <c r="OE18" s="1012"/>
      <c r="OF18" s="1012"/>
      <c r="OG18" s="1012"/>
      <c r="OH18" s="1012"/>
      <c r="OI18" s="1012"/>
      <c r="OJ18" s="1012"/>
      <c r="OK18" s="1012"/>
      <c r="OL18" s="1012"/>
      <c r="OM18" s="1012"/>
      <c r="ON18" s="1012"/>
      <c r="OO18" s="1012"/>
      <c r="OP18" s="1012"/>
      <c r="OQ18" s="1012"/>
      <c r="OR18" s="1012"/>
      <c r="OS18" s="1012"/>
      <c r="OT18" s="1012"/>
      <c r="OU18" s="1012"/>
      <c r="OV18" s="1012"/>
      <c r="OW18" s="1012"/>
      <c r="OX18" s="1012"/>
      <c r="OY18" s="1012"/>
      <c r="OZ18" s="1012"/>
      <c r="PA18" s="1012"/>
      <c r="PB18" s="1012"/>
      <c r="PC18" s="1012"/>
      <c r="PD18" s="1012"/>
      <c r="PE18" s="1012"/>
      <c r="PF18" s="1012"/>
      <c r="PG18" s="1012"/>
      <c r="PH18" s="1012"/>
      <c r="PI18" s="1012"/>
      <c r="PJ18" s="1012"/>
      <c r="PK18" s="1012"/>
      <c r="PL18" s="1012"/>
      <c r="PM18" s="1012"/>
      <c r="PN18" s="1012"/>
      <c r="PO18" s="1012"/>
      <c r="PP18" s="1012"/>
      <c r="PQ18" s="1012"/>
      <c r="PR18" s="1012"/>
      <c r="PS18" s="1012"/>
      <c r="PT18" s="1012"/>
      <c r="PU18" s="1012"/>
      <c r="PV18" s="1012"/>
      <c r="PW18" s="1012"/>
      <c r="PX18" s="1012"/>
      <c r="PY18" s="1012"/>
      <c r="PZ18" s="1012"/>
      <c r="QA18" s="1012"/>
      <c r="QB18" s="1012"/>
      <c r="QC18" s="1012"/>
      <c r="QD18" s="1012"/>
      <c r="QE18" s="1012"/>
      <c r="QF18" s="1012"/>
      <c r="QG18" s="1012"/>
      <c r="QH18" s="1012"/>
      <c r="QI18" s="1012"/>
      <c r="QJ18" s="1012"/>
      <c r="QK18" s="1012"/>
      <c r="QL18" s="1012"/>
      <c r="QM18" s="1012"/>
      <c r="QN18" s="1012"/>
      <c r="QO18" s="1012"/>
      <c r="QP18" s="1012"/>
      <c r="QQ18" s="1012"/>
      <c r="QR18" s="1012"/>
      <c r="QS18" s="1012"/>
      <c r="QT18" s="1012"/>
      <c r="QU18" s="1012"/>
      <c r="QV18" s="1012"/>
      <c r="QW18" s="1012"/>
      <c r="QX18" s="1012"/>
      <c r="QY18" s="1012"/>
      <c r="QZ18" s="1012"/>
      <c r="RA18" s="1012"/>
      <c r="RB18" s="1012"/>
      <c r="RC18" s="1012"/>
      <c r="RD18" s="1012"/>
      <c r="RE18" s="1012"/>
      <c r="RF18" s="1012"/>
      <c r="RG18" s="1012"/>
      <c r="RH18" s="1012"/>
      <c r="RI18" s="1012"/>
      <c r="RJ18" s="1012"/>
      <c r="RK18" s="1012"/>
      <c r="RL18" s="1012"/>
      <c r="RM18" s="1012"/>
      <c r="RN18" s="1012"/>
      <c r="RO18" s="1012"/>
      <c r="RP18" s="1012"/>
      <c r="RQ18" s="1012"/>
      <c r="RR18" s="1012"/>
      <c r="RS18" s="1012"/>
      <c r="RT18" s="1012"/>
      <c r="RU18" s="1012"/>
      <c r="RV18" s="1012"/>
      <c r="RW18" s="1012"/>
      <c r="RX18" s="1012"/>
      <c r="RY18" s="1012"/>
      <c r="RZ18" s="1012"/>
      <c r="SA18" s="1012"/>
      <c r="SB18" s="1012"/>
      <c r="SC18" s="1012"/>
      <c r="SD18" s="1012"/>
      <c r="SE18" s="1012"/>
      <c r="SF18" s="1012"/>
      <c r="SG18" s="1012"/>
      <c r="SH18" s="1012"/>
      <c r="SI18" s="1012"/>
      <c r="SJ18" s="1012"/>
      <c r="SK18" s="1012"/>
      <c r="SL18" s="1012"/>
      <c r="SM18" s="1012"/>
      <c r="SN18" s="1012"/>
      <c r="SO18" s="1012"/>
      <c r="SP18" s="1012"/>
      <c r="SQ18" s="1012"/>
      <c r="SR18" s="1012"/>
      <c r="SS18" s="1012"/>
      <c r="ST18" s="1012"/>
      <c r="SU18" s="1012"/>
      <c r="SV18" s="1012"/>
      <c r="SW18" s="1012"/>
      <c r="SX18" s="1012"/>
      <c r="SY18" s="1012"/>
      <c r="SZ18" s="1012"/>
      <c r="TA18" s="1012"/>
      <c r="TB18" s="1012"/>
      <c r="TC18" s="1012"/>
      <c r="TD18" s="1012"/>
      <c r="TE18" s="1012"/>
      <c r="TF18" s="1012"/>
      <c r="TG18" s="1012"/>
      <c r="TH18" s="1012"/>
      <c r="TI18" s="1012"/>
      <c r="TJ18" s="1012"/>
      <c r="TK18" s="1012"/>
      <c r="TL18" s="1012"/>
      <c r="TM18" s="1012"/>
      <c r="TN18" s="1012"/>
      <c r="TO18" s="1012"/>
      <c r="TP18" s="1012"/>
      <c r="TQ18" s="1012"/>
      <c r="TR18" s="1012"/>
      <c r="TS18" s="1012"/>
      <c r="TT18" s="1012"/>
      <c r="TU18" s="1012"/>
      <c r="TV18" s="1012"/>
      <c r="TW18" s="1012"/>
      <c r="TX18" s="1012"/>
      <c r="TY18" s="1012"/>
      <c r="TZ18" s="1012"/>
      <c r="UA18" s="1012"/>
      <c r="UB18" s="1012"/>
      <c r="UC18" s="1012"/>
      <c r="UD18" s="1012"/>
      <c r="UE18" s="1012"/>
      <c r="UF18" s="1012"/>
      <c r="UG18" s="1012"/>
      <c r="UH18" s="1012"/>
      <c r="UI18" s="1012"/>
      <c r="UJ18" s="1012"/>
      <c r="UK18" s="1012"/>
      <c r="UL18" s="1012"/>
      <c r="UM18" s="1012"/>
      <c r="UN18" s="1012"/>
      <c r="UO18" s="1012"/>
      <c r="UP18" s="1012"/>
      <c r="UQ18" s="1012"/>
      <c r="UR18" s="1012"/>
      <c r="US18" s="1012"/>
      <c r="UT18" s="1012"/>
      <c r="UU18" s="1012"/>
      <c r="UV18" s="1012"/>
      <c r="UW18" s="1012"/>
      <c r="UX18" s="1012"/>
      <c r="UY18" s="1012"/>
      <c r="UZ18" s="1012"/>
      <c r="VA18" s="1012"/>
      <c r="VB18" s="1012"/>
      <c r="VC18" s="1012"/>
      <c r="VD18" s="1012"/>
      <c r="VE18" s="1012"/>
      <c r="VF18" s="1012"/>
      <c r="VG18" s="1012"/>
      <c r="VH18" s="1012"/>
      <c r="VI18" s="1012"/>
      <c r="VJ18" s="1012"/>
      <c r="VK18" s="1012"/>
      <c r="VL18" s="1012"/>
      <c r="VM18" s="1012"/>
      <c r="VN18" s="1012"/>
      <c r="VO18" s="1012"/>
      <c r="VP18" s="1012"/>
      <c r="VQ18" s="1012"/>
      <c r="VR18" s="1012"/>
      <c r="VS18" s="1012"/>
      <c r="VT18" s="1012"/>
      <c r="VU18" s="1012"/>
      <c r="VV18" s="1012"/>
      <c r="VW18" s="1012"/>
      <c r="VX18" s="1012"/>
      <c r="VY18" s="1012"/>
      <c r="VZ18" s="1012"/>
      <c r="WA18" s="1012"/>
      <c r="WB18" s="1012"/>
      <c r="WC18" s="1012"/>
      <c r="WD18" s="1012"/>
      <c r="WE18" s="1012"/>
      <c r="WF18" s="1012"/>
      <c r="WG18" s="1012"/>
      <c r="WH18" s="1012"/>
      <c r="WI18" s="1012"/>
      <c r="WJ18" s="1012"/>
      <c r="WK18" s="1012"/>
      <c r="WL18" s="1012"/>
      <c r="WM18" s="1012"/>
      <c r="WN18" s="1012"/>
      <c r="WO18" s="1012"/>
      <c r="WP18" s="1012"/>
      <c r="WQ18" s="1012"/>
      <c r="WR18" s="1012"/>
      <c r="WS18" s="1012"/>
      <c r="WT18" s="1012"/>
      <c r="WU18" s="1012"/>
      <c r="WV18" s="1012"/>
      <c r="WW18" s="1012"/>
      <c r="WX18" s="1012"/>
      <c r="WY18" s="1012"/>
      <c r="WZ18" s="1012"/>
      <c r="XA18" s="1012"/>
      <c r="XB18" s="1012"/>
      <c r="XC18" s="1012"/>
      <c r="XD18" s="1012"/>
      <c r="XE18" s="1012"/>
      <c r="XF18" s="1012"/>
      <c r="XG18" s="1012"/>
      <c r="XH18" s="1012"/>
      <c r="XI18" s="1012"/>
      <c r="XJ18" s="1012"/>
      <c r="XK18" s="1012"/>
      <c r="XL18" s="1012"/>
      <c r="XM18" s="1012"/>
      <c r="XN18" s="1012"/>
      <c r="XO18" s="1012"/>
      <c r="XP18" s="1012"/>
      <c r="XQ18" s="1012"/>
      <c r="XR18" s="1012"/>
      <c r="XS18" s="1012"/>
      <c r="XT18" s="1012"/>
      <c r="XU18" s="1012"/>
      <c r="XV18" s="1012"/>
      <c r="XW18" s="1012"/>
      <c r="XX18" s="1012"/>
      <c r="XY18" s="1012"/>
      <c r="XZ18" s="1012"/>
      <c r="YA18" s="1012"/>
      <c r="YB18" s="1012"/>
      <c r="YC18" s="1012"/>
      <c r="YD18" s="1012"/>
      <c r="YE18" s="1012"/>
      <c r="YF18" s="1012"/>
      <c r="YG18" s="1012"/>
      <c r="YH18" s="1012"/>
      <c r="YI18" s="1012"/>
      <c r="YJ18" s="1012"/>
      <c r="YK18" s="1012"/>
      <c r="YL18" s="1012"/>
      <c r="YM18" s="1012"/>
      <c r="YN18" s="1012"/>
      <c r="YO18" s="1012"/>
      <c r="YP18" s="1012"/>
      <c r="YQ18" s="1012"/>
      <c r="YR18" s="1012"/>
      <c r="YS18" s="1012"/>
      <c r="YT18" s="1012"/>
      <c r="YU18" s="1012"/>
      <c r="YV18" s="1012"/>
      <c r="YW18" s="1012"/>
      <c r="YX18" s="1012"/>
      <c r="YY18" s="1012"/>
      <c r="YZ18" s="1012"/>
      <c r="ZA18" s="1012"/>
      <c r="ZB18" s="1012"/>
      <c r="ZC18" s="1012"/>
      <c r="ZD18" s="1012"/>
      <c r="ZE18" s="1012"/>
      <c r="ZF18" s="1012"/>
      <c r="ZG18" s="1012"/>
      <c r="ZH18" s="1012"/>
      <c r="ZI18" s="1012"/>
      <c r="ZJ18" s="1012"/>
      <c r="ZK18" s="1012"/>
      <c r="ZL18" s="1012"/>
      <c r="ZM18" s="1012"/>
      <c r="ZN18" s="1012"/>
      <c r="ZO18" s="1012"/>
      <c r="ZP18" s="1012"/>
      <c r="ZQ18" s="1012"/>
      <c r="ZR18" s="1012"/>
      <c r="ZS18" s="1012"/>
      <c r="ZT18" s="1012"/>
      <c r="ZU18" s="1012"/>
      <c r="ZV18" s="1012"/>
      <c r="ZW18" s="1012"/>
      <c r="ZX18" s="1012"/>
      <c r="ZY18" s="1012"/>
      <c r="ZZ18" s="1012"/>
      <c r="AAA18" s="1012"/>
      <c r="AAB18" s="1012"/>
      <c r="AAC18" s="1012"/>
      <c r="AAD18" s="1012"/>
      <c r="AAE18" s="1012"/>
      <c r="AAF18" s="1012"/>
      <c r="AAG18" s="1012"/>
      <c r="AAH18" s="1012"/>
      <c r="AAI18" s="1012"/>
      <c r="AAJ18" s="1012"/>
      <c r="AAK18" s="1012"/>
      <c r="AAL18" s="1012"/>
      <c r="AAM18" s="1012"/>
      <c r="AAN18" s="1012"/>
      <c r="AAO18" s="1012"/>
      <c r="AAP18" s="1012"/>
      <c r="AAQ18" s="1012"/>
      <c r="AAR18" s="1012"/>
      <c r="AAS18" s="1012"/>
      <c r="AAT18" s="1012"/>
      <c r="AAU18" s="1012"/>
      <c r="AAV18" s="1012"/>
      <c r="AAW18" s="1012"/>
      <c r="AAX18" s="1012"/>
      <c r="AAY18" s="1012"/>
      <c r="AAZ18" s="1012"/>
      <c r="ABA18" s="1012"/>
      <c r="ABB18" s="1012"/>
      <c r="ABC18" s="1012"/>
      <c r="ABD18" s="1012"/>
      <c r="ABE18" s="1012"/>
      <c r="ABF18" s="1012"/>
      <c r="ABG18" s="1012"/>
      <c r="ABH18" s="1012"/>
      <c r="ABI18" s="1012"/>
      <c r="ABJ18" s="1012"/>
      <c r="ABK18" s="1012"/>
      <c r="ABL18" s="1012"/>
      <c r="ABM18" s="1012"/>
      <c r="ABN18" s="1012"/>
      <c r="ABO18" s="1012"/>
      <c r="ABP18" s="1012"/>
      <c r="ABQ18" s="1012"/>
      <c r="ABR18" s="1012"/>
    </row>
    <row r="19" spans="1:746" s="24" customFormat="1" ht="12.9" hidden="1" customHeight="1" thickBot="1">
      <c r="A19" s="1252"/>
      <c r="B19" s="2957" t="s">
        <v>289</v>
      </c>
      <c r="C19" s="2958"/>
      <c r="D19" s="348"/>
      <c r="E19" s="347" t="s">
        <v>1</v>
      </c>
      <c r="F19" s="1240"/>
      <c r="G19" s="347">
        <v>0.25</v>
      </c>
      <c r="H19" s="2349"/>
      <c r="I19" s="2364"/>
      <c r="J19" s="809"/>
      <c r="K19" s="809"/>
      <c r="L19" s="809"/>
      <c r="M19" s="329"/>
      <c r="N19" s="329"/>
      <c r="O19" s="329"/>
      <c r="P19" s="329"/>
      <c r="Q19" s="329"/>
      <c r="R19" s="329"/>
      <c r="S19" s="329"/>
      <c r="T19" s="809"/>
      <c r="U19" s="809"/>
      <c r="V19" s="329"/>
      <c r="W19" s="329"/>
      <c r="X19" s="329"/>
      <c r="Y19" s="329"/>
      <c r="Z19" s="329"/>
      <c r="AA19" s="329"/>
      <c r="AB19" s="329"/>
      <c r="AC19" s="329"/>
      <c r="AD19" s="329"/>
      <c r="AE19" s="329"/>
      <c r="AF19" s="329"/>
      <c r="AG19" s="1042"/>
      <c r="AH19" s="333"/>
      <c r="AI19" s="333"/>
      <c r="AJ19" s="418">
        <f>IF(fx!$C$57=1,SUMIF(fx!I$57:T$57,1,I19:T19),IF(fx!$C$57=2,SUMIF(fx!O$57:AF$57,1,O19:AF19)))</f>
        <v>0</v>
      </c>
      <c r="AK19" s="419"/>
      <c r="AL19" s="417">
        <f>IF(fx!$C$57=1,SUM(U19:AF19),0)</f>
        <v>0</v>
      </c>
      <c r="AM19" s="1012"/>
      <c r="AN19" s="1011"/>
      <c r="AO19" s="1916"/>
      <c r="AP19" s="1933"/>
      <c r="AQ19" s="1934"/>
      <c r="AR19" s="1941"/>
      <c r="AS19" s="1941"/>
      <c r="AT19" s="1941"/>
      <c r="AU19" s="1941"/>
      <c r="AV19" s="1941"/>
      <c r="AW19" s="1941"/>
      <c r="AX19" s="1941"/>
      <c r="AY19" s="1941"/>
      <c r="AZ19" s="1941"/>
      <c r="BA19" s="1941"/>
      <c r="BB19" s="1941"/>
      <c r="BC19" s="1941"/>
      <c r="BD19" s="1941"/>
      <c r="BE19" s="1941"/>
      <c r="BF19" s="1941"/>
      <c r="BG19" s="1941"/>
      <c r="BH19" s="1941"/>
      <c r="BI19" s="1941"/>
      <c r="BJ19" s="1941"/>
      <c r="BK19" s="1941"/>
      <c r="BL19" s="1941"/>
      <c r="BM19" s="1941"/>
      <c r="BN19" s="1941"/>
      <c r="BO19" s="1941"/>
      <c r="BP19" s="1009"/>
      <c r="BQ19" s="1012"/>
      <c r="BR19" s="1012"/>
      <c r="BS19" s="1012"/>
      <c r="BT19" s="1012"/>
      <c r="BU19" s="1012"/>
      <c r="BV19" s="1012"/>
      <c r="BW19" s="1012"/>
      <c r="BX19" s="1012"/>
      <c r="BY19" s="1012"/>
      <c r="BZ19" s="1012"/>
      <c r="CA19" s="1012"/>
      <c r="CB19" s="1012"/>
      <c r="CC19" s="1012"/>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c r="EC19" s="1012"/>
      <c r="ED19" s="1012"/>
      <c r="EE19" s="1012"/>
      <c r="EF19" s="1012"/>
      <c r="EG19" s="1012"/>
      <c r="EH19" s="1012"/>
      <c r="EI19" s="1012"/>
      <c r="EJ19" s="1012"/>
      <c r="EK19" s="1012"/>
      <c r="EL19" s="1012"/>
      <c r="EM19" s="1012"/>
      <c r="EN19" s="1012"/>
      <c r="EO19" s="1012"/>
      <c r="EP19" s="1012"/>
      <c r="EQ19" s="1012"/>
      <c r="ER19" s="1012"/>
      <c r="ES19" s="1012"/>
      <c r="ET19" s="1012"/>
      <c r="EU19" s="1012"/>
      <c r="EV19" s="1012"/>
      <c r="EW19" s="1012"/>
      <c r="EX19" s="1012"/>
      <c r="EY19" s="1012"/>
      <c r="EZ19" s="1012"/>
      <c r="FA19" s="1012"/>
      <c r="FB19" s="1012"/>
      <c r="FC19" s="1012"/>
      <c r="FD19" s="1012"/>
      <c r="FE19" s="1012"/>
      <c r="FF19" s="1012"/>
      <c r="FG19" s="1012"/>
      <c r="FH19" s="1012"/>
      <c r="FI19" s="1012"/>
      <c r="FJ19" s="1012"/>
      <c r="FK19" s="1012"/>
      <c r="FL19" s="1012"/>
      <c r="FM19" s="1012"/>
      <c r="FN19" s="1012"/>
      <c r="FO19" s="1012"/>
      <c r="FP19" s="1012"/>
      <c r="FQ19" s="1012"/>
      <c r="FR19" s="1012"/>
      <c r="FS19" s="1012"/>
      <c r="FT19" s="1012"/>
      <c r="FU19" s="1012"/>
      <c r="FV19" s="1012"/>
      <c r="FW19" s="1012"/>
      <c r="FX19" s="1012"/>
      <c r="FY19" s="1012"/>
      <c r="FZ19" s="1012"/>
      <c r="GA19" s="1012"/>
      <c r="GB19" s="1012"/>
      <c r="GC19" s="1012"/>
      <c r="GD19" s="1012"/>
      <c r="GE19" s="1012"/>
      <c r="GF19" s="1012"/>
      <c r="GG19" s="1012"/>
      <c r="GH19" s="1012"/>
      <c r="GI19" s="1012"/>
      <c r="GJ19" s="1012"/>
      <c r="GK19" s="1012"/>
      <c r="GL19" s="1012"/>
      <c r="GM19" s="1012"/>
      <c r="GN19" s="1012"/>
      <c r="GO19" s="1012"/>
      <c r="GP19" s="1012"/>
      <c r="GQ19" s="1012"/>
      <c r="GR19" s="1012"/>
      <c r="GS19" s="1012"/>
      <c r="GT19" s="1012"/>
      <c r="GU19" s="1012"/>
      <c r="GV19" s="1012"/>
      <c r="GW19" s="1012"/>
      <c r="GX19" s="1012"/>
      <c r="GY19" s="1012"/>
      <c r="GZ19" s="1012"/>
      <c r="HA19" s="1012"/>
      <c r="HB19" s="1012"/>
      <c r="HC19" s="1012"/>
      <c r="HD19" s="1012"/>
      <c r="HE19" s="1012"/>
      <c r="HF19" s="1012"/>
      <c r="HG19" s="1012"/>
      <c r="HH19" s="1012"/>
      <c r="HI19" s="1012"/>
      <c r="HJ19" s="1012"/>
      <c r="HK19" s="1012"/>
      <c r="HL19" s="1012"/>
      <c r="HM19" s="1012"/>
      <c r="HN19" s="1012"/>
      <c r="HO19" s="1012"/>
      <c r="HP19" s="1012"/>
      <c r="HQ19" s="1012"/>
      <c r="HR19" s="1012"/>
      <c r="HS19" s="1012"/>
      <c r="HT19" s="1012"/>
      <c r="HU19" s="1012"/>
      <c r="HV19" s="1012"/>
      <c r="HW19" s="1012"/>
      <c r="HX19" s="1012"/>
      <c r="HY19" s="1012"/>
      <c r="HZ19" s="1012"/>
      <c r="IA19" s="1012"/>
      <c r="IB19" s="1012"/>
      <c r="IC19" s="1012"/>
      <c r="ID19" s="1012"/>
      <c r="IE19" s="1012"/>
      <c r="IF19" s="1012"/>
      <c r="IG19" s="1012"/>
      <c r="IH19" s="1012"/>
      <c r="II19" s="1012"/>
      <c r="IJ19" s="1012"/>
      <c r="IK19" s="1012"/>
      <c r="IL19" s="1012"/>
      <c r="IM19" s="1012"/>
      <c r="IN19" s="1012"/>
      <c r="IO19" s="1012"/>
      <c r="IP19" s="1012"/>
      <c r="IQ19" s="1012"/>
      <c r="IR19" s="1012"/>
      <c r="IS19" s="1012"/>
      <c r="IT19" s="1012"/>
      <c r="IU19" s="1012"/>
      <c r="IV19" s="1012"/>
      <c r="IW19" s="1012"/>
      <c r="IX19" s="1012"/>
      <c r="IY19" s="1012"/>
      <c r="IZ19" s="1012"/>
      <c r="JA19" s="1012"/>
      <c r="JB19" s="1012"/>
      <c r="JC19" s="1012"/>
      <c r="JD19" s="1012"/>
      <c r="JE19" s="1012"/>
      <c r="JF19" s="1012"/>
      <c r="JG19" s="1012"/>
      <c r="JH19" s="1012"/>
      <c r="JI19" s="1012"/>
      <c r="JJ19" s="1012"/>
      <c r="JK19" s="1012"/>
      <c r="JL19" s="1012"/>
      <c r="JM19" s="1012"/>
      <c r="JN19" s="1012"/>
      <c r="JO19" s="1012"/>
      <c r="JP19" s="1012"/>
      <c r="JQ19" s="1012"/>
      <c r="JR19" s="1012"/>
      <c r="JS19" s="1012"/>
      <c r="JT19" s="1012"/>
      <c r="JU19" s="1012"/>
      <c r="JV19" s="1012"/>
      <c r="JW19" s="1012"/>
      <c r="JX19" s="1012"/>
      <c r="JY19" s="1012"/>
      <c r="JZ19" s="1012"/>
      <c r="KA19" s="1012"/>
      <c r="KB19" s="1012"/>
      <c r="KC19" s="1012"/>
      <c r="KD19" s="1012"/>
      <c r="KE19" s="1012"/>
      <c r="KF19" s="1012"/>
      <c r="KG19" s="1012"/>
      <c r="KH19" s="1012"/>
      <c r="KI19" s="1012"/>
      <c r="KJ19" s="1012"/>
      <c r="KK19" s="1012"/>
      <c r="KL19" s="1012"/>
      <c r="KM19" s="1012"/>
      <c r="KN19" s="1012"/>
      <c r="KO19" s="1012"/>
      <c r="KP19" s="1012"/>
      <c r="KQ19" s="1012"/>
      <c r="KR19" s="1012"/>
      <c r="KS19" s="1012"/>
      <c r="KT19" s="1012"/>
      <c r="KU19" s="1012"/>
      <c r="KV19" s="1012"/>
      <c r="KW19" s="1012"/>
      <c r="KX19" s="1012"/>
      <c r="KY19" s="1012"/>
      <c r="KZ19" s="1012"/>
      <c r="LA19" s="1012"/>
      <c r="LB19" s="1012"/>
      <c r="LC19" s="1012"/>
      <c r="LD19" s="1012"/>
      <c r="LE19" s="1012"/>
      <c r="LF19" s="1012"/>
      <c r="LG19" s="1012"/>
      <c r="LH19" s="1012"/>
      <c r="LI19" s="1012"/>
      <c r="LJ19" s="1012"/>
      <c r="LK19" s="1012"/>
      <c r="LL19" s="1012"/>
      <c r="LM19" s="1012"/>
      <c r="LN19" s="1012"/>
      <c r="LO19" s="1012"/>
      <c r="LP19" s="1012"/>
      <c r="LQ19" s="1012"/>
      <c r="LR19" s="1012"/>
      <c r="LS19" s="1012"/>
      <c r="LT19" s="1012"/>
      <c r="LU19" s="1012"/>
      <c r="LV19" s="1012"/>
      <c r="LW19" s="1012"/>
      <c r="LX19" s="1012"/>
      <c r="LY19" s="1012"/>
      <c r="LZ19" s="1012"/>
      <c r="MA19" s="1012"/>
      <c r="MB19" s="1012"/>
      <c r="MC19" s="1012"/>
      <c r="MD19" s="1012"/>
      <c r="ME19" s="1012"/>
      <c r="MF19" s="1012"/>
      <c r="MG19" s="1012"/>
      <c r="MH19" s="1012"/>
      <c r="MI19" s="1012"/>
      <c r="MJ19" s="1012"/>
      <c r="MK19" s="1012"/>
      <c r="ML19" s="1012"/>
      <c r="MM19" s="1012"/>
      <c r="MN19" s="1012"/>
      <c r="MO19" s="1012"/>
      <c r="MP19" s="1012"/>
      <c r="MQ19" s="1012"/>
      <c r="MR19" s="1012"/>
      <c r="MS19" s="1012"/>
      <c r="MT19" s="1012"/>
      <c r="MU19" s="1012"/>
      <c r="MV19" s="1012"/>
      <c r="MW19" s="1012"/>
      <c r="MX19" s="1012"/>
      <c r="MY19" s="1012"/>
      <c r="MZ19" s="1012"/>
      <c r="NA19" s="1012"/>
      <c r="NB19" s="1012"/>
      <c r="NC19" s="1012"/>
      <c r="ND19" s="1012"/>
      <c r="NE19" s="1012"/>
      <c r="NF19" s="1012"/>
      <c r="NG19" s="1012"/>
      <c r="NH19" s="1012"/>
      <c r="NI19" s="1012"/>
      <c r="NJ19" s="1012"/>
      <c r="NK19" s="1012"/>
      <c r="NL19" s="1012"/>
      <c r="NM19" s="1012"/>
      <c r="NN19" s="1012"/>
      <c r="NO19" s="1012"/>
      <c r="NP19" s="1012"/>
      <c r="NQ19" s="1012"/>
      <c r="NR19" s="1012"/>
      <c r="NS19" s="1012"/>
      <c r="NT19" s="1012"/>
      <c r="NU19" s="1012"/>
      <c r="NV19" s="1012"/>
      <c r="NW19" s="1012"/>
      <c r="NX19" s="1012"/>
      <c r="NY19" s="1012"/>
      <c r="NZ19" s="1012"/>
      <c r="OA19" s="1012"/>
      <c r="OB19" s="1012"/>
      <c r="OC19" s="1012"/>
      <c r="OD19" s="1012"/>
      <c r="OE19" s="1012"/>
      <c r="OF19" s="1012"/>
      <c r="OG19" s="1012"/>
      <c r="OH19" s="1012"/>
      <c r="OI19" s="1012"/>
      <c r="OJ19" s="1012"/>
      <c r="OK19" s="1012"/>
      <c r="OL19" s="1012"/>
      <c r="OM19" s="1012"/>
      <c r="ON19" s="1012"/>
      <c r="OO19" s="1012"/>
      <c r="OP19" s="1012"/>
      <c r="OQ19" s="1012"/>
      <c r="OR19" s="1012"/>
      <c r="OS19" s="1012"/>
      <c r="OT19" s="1012"/>
      <c r="OU19" s="1012"/>
      <c r="OV19" s="1012"/>
      <c r="OW19" s="1012"/>
      <c r="OX19" s="1012"/>
      <c r="OY19" s="1012"/>
      <c r="OZ19" s="1012"/>
      <c r="PA19" s="1012"/>
      <c r="PB19" s="1012"/>
      <c r="PC19" s="1012"/>
      <c r="PD19" s="1012"/>
      <c r="PE19" s="1012"/>
      <c r="PF19" s="1012"/>
      <c r="PG19" s="1012"/>
      <c r="PH19" s="1012"/>
      <c r="PI19" s="1012"/>
      <c r="PJ19" s="1012"/>
      <c r="PK19" s="1012"/>
      <c r="PL19" s="1012"/>
      <c r="PM19" s="1012"/>
      <c r="PN19" s="1012"/>
      <c r="PO19" s="1012"/>
      <c r="PP19" s="1012"/>
      <c r="PQ19" s="1012"/>
      <c r="PR19" s="1012"/>
      <c r="PS19" s="1012"/>
      <c r="PT19" s="1012"/>
      <c r="PU19" s="1012"/>
      <c r="PV19" s="1012"/>
      <c r="PW19" s="1012"/>
      <c r="PX19" s="1012"/>
      <c r="PY19" s="1012"/>
      <c r="PZ19" s="1012"/>
      <c r="QA19" s="1012"/>
      <c r="QB19" s="1012"/>
      <c r="QC19" s="1012"/>
      <c r="QD19" s="1012"/>
      <c r="QE19" s="1012"/>
      <c r="QF19" s="1012"/>
      <c r="QG19" s="1012"/>
      <c r="QH19" s="1012"/>
      <c r="QI19" s="1012"/>
      <c r="QJ19" s="1012"/>
      <c r="QK19" s="1012"/>
      <c r="QL19" s="1012"/>
      <c r="QM19" s="1012"/>
      <c r="QN19" s="1012"/>
      <c r="QO19" s="1012"/>
      <c r="QP19" s="1012"/>
      <c r="QQ19" s="1012"/>
      <c r="QR19" s="1012"/>
      <c r="QS19" s="1012"/>
      <c r="QT19" s="1012"/>
      <c r="QU19" s="1012"/>
      <c r="QV19" s="1012"/>
      <c r="QW19" s="1012"/>
      <c r="QX19" s="1012"/>
      <c r="QY19" s="1012"/>
      <c r="QZ19" s="1012"/>
      <c r="RA19" s="1012"/>
      <c r="RB19" s="1012"/>
      <c r="RC19" s="1012"/>
      <c r="RD19" s="1012"/>
      <c r="RE19" s="1012"/>
      <c r="RF19" s="1012"/>
      <c r="RG19" s="1012"/>
      <c r="RH19" s="1012"/>
      <c r="RI19" s="1012"/>
      <c r="RJ19" s="1012"/>
      <c r="RK19" s="1012"/>
      <c r="RL19" s="1012"/>
      <c r="RM19" s="1012"/>
      <c r="RN19" s="1012"/>
      <c r="RO19" s="1012"/>
      <c r="RP19" s="1012"/>
      <c r="RQ19" s="1012"/>
      <c r="RR19" s="1012"/>
      <c r="RS19" s="1012"/>
      <c r="RT19" s="1012"/>
      <c r="RU19" s="1012"/>
      <c r="RV19" s="1012"/>
      <c r="RW19" s="1012"/>
      <c r="RX19" s="1012"/>
      <c r="RY19" s="1012"/>
      <c r="RZ19" s="1012"/>
      <c r="SA19" s="1012"/>
      <c r="SB19" s="1012"/>
      <c r="SC19" s="1012"/>
      <c r="SD19" s="1012"/>
      <c r="SE19" s="1012"/>
      <c r="SF19" s="1012"/>
      <c r="SG19" s="1012"/>
      <c r="SH19" s="1012"/>
      <c r="SI19" s="1012"/>
      <c r="SJ19" s="1012"/>
      <c r="SK19" s="1012"/>
      <c r="SL19" s="1012"/>
      <c r="SM19" s="1012"/>
      <c r="SN19" s="1012"/>
      <c r="SO19" s="1012"/>
      <c r="SP19" s="1012"/>
      <c r="SQ19" s="1012"/>
      <c r="SR19" s="1012"/>
      <c r="SS19" s="1012"/>
      <c r="ST19" s="1012"/>
      <c r="SU19" s="1012"/>
      <c r="SV19" s="1012"/>
      <c r="SW19" s="1012"/>
      <c r="SX19" s="1012"/>
      <c r="SY19" s="1012"/>
      <c r="SZ19" s="1012"/>
      <c r="TA19" s="1012"/>
      <c r="TB19" s="1012"/>
      <c r="TC19" s="1012"/>
      <c r="TD19" s="1012"/>
      <c r="TE19" s="1012"/>
      <c r="TF19" s="1012"/>
      <c r="TG19" s="1012"/>
      <c r="TH19" s="1012"/>
      <c r="TI19" s="1012"/>
      <c r="TJ19" s="1012"/>
      <c r="TK19" s="1012"/>
      <c r="TL19" s="1012"/>
      <c r="TM19" s="1012"/>
      <c r="TN19" s="1012"/>
      <c r="TO19" s="1012"/>
      <c r="TP19" s="1012"/>
      <c r="TQ19" s="1012"/>
      <c r="TR19" s="1012"/>
      <c r="TS19" s="1012"/>
      <c r="TT19" s="1012"/>
      <c r="TU19" s="1012"/>
      <c r="TV19" s="1012"/>
      <c r="TW19" s="1012"/>
      <c r="TX19" s="1012"/>
      <c r="TY19" s="1012"/>
      <c r="TZ19" s="1012"/>
      <c r="UA19" s="1012"/>
      <c r="UB19" s="1012"/>
      <c r="UC19" s="1012"/>
      <c r="UD19" s="1012"/>
      <c r="UE19" s="1012"/>
      <c r="UF19" s="1012"/>
      <c r="UG19" s="1012"/>
      <c r="UH19" s="1012"/>
      <c r="UI19" s="1012"/>
      <c r="UJ19" s="1012"/>
      <c r="UK19" s="1012"/>
      <c r="UL19" s="1012"/>
      <c r="UM19" s="1012"/>
      <c r="UN19" s="1012"/>
      <c r="UO19" s="1012"/>
      <c r="UP19" s="1012"/>
      <c r="UQ19" s="1012"/>
      <c r="UR19" s="1012"/>
      <c r="US19" s="1012"/>
      <c r="UT19" s="1012"/>
      <c r="UU19" s="1012"/>
      <c r="UV19" s="1012"/>
      <c r="UW19" s="1012"/>
      <c r="UX19" s="1012"/>
      <c r="UY19" s="1012"/>
      <c r="UZ19" s="1012"/>
      <c r="VA19" s="1012"/>
      <c r="VB19" s="1012"/>
      <c r="VC19" s="1012"/>
      <c r="VD19" s="1012"/>
      <c r="VE19" s="1012"/>
      <c r="VF19" s="1012"/>
      <c r="VG19" s="1012"/>
      <c r="VH19" s="1012"/>
      <c r="VI19" s="1012"/>
      <c r="VJ19" s="1012"/>
      <c r="VK19" s="1012"/>
      <c r="VL19" s="1012"/>
      <c r="VM19" s="1012"/>
      <c r="VN19" s="1012"/>
      <c r="VO19" s="1012"/>
      <c r="VP19" s="1012"/>
      <c r="VQ19" s="1012"/>
      <c r="VR19" s="1012"/>
      <c r="VS19" s="1012"/>
      <c r="VT19" s="1012"/>
      <c r="VU19" s="1012"/>
      <c r="VV19" s="1012"/>
      <c r="VW19" s="1012"/>
      <c r="VX19" s="1012"/>
      <c r="VY19" s="1012"/>
      <c r="VZ19" s="1012"/>
      <c r="WA19" s="1012"/>
      <c r="WB19" s="1012"/>
      <c r="WC19" s="1012"/>
      <c r="WD19" s="1012"/>
      <c r="WE19" s="1012"/>
      <c r="WF19" s="1012"/>
      <c r="WG19" s="1012"/>
      <c r="WH19" s="1012"/>
      <c r="WI19" s="1012"/>
      <c r="WJ19" s="1012"/>
      <c r="WK19" s="1012"/>
      <c r="WL19" s="1012"/>
      <c r="WM19" s="1012"/>
      <c r="WN19" s="1012"/>
      <c r="WO19" s="1012"/>
      <c r="WP19" s="1012"/>
      <c r="WQ19" s="1012"/>
      <c r="WR19" s="1012"/>
      <c r="WS19" s="1012"/>
      <c r="WT19" s="1012"/>
      <c r="WU19" s="1012"/>
      <c r="WV19" s="1012"/>
      <c r="WW19" s="1012"/>
      <c r="WX19" s="1012"/>
      <c r="WY19" s="1012"/>
      <c r="WZ19" s="1012"/>
      <c r="XA19" s="1012"/>
      <c r="XB19" s="1012"/>
      <c r="XC19" s="1012"/>
      <c r="XD19" s="1012"/>
      <c r="XE19" s="1012"/>
      <c r="XF19" s="1012"/>
      <c r="XG19" s="1012"/>
      <c r="XH19" s="1012"/>
      <c r="XI19" s="1012"/>
      <c r="XJ19" s="1012"/>
      <c r="XK19" s="1012"/>
      <c r="XL19" s="1012"/>
      <c r="XM19" s="1012"/>
      <c r="XN19" s="1012"/>
      <c r="XO19" s="1012"/>
      <c r="XP19" s="1012"/>
      <c r="XQ19" s="1012"/>
      <c r="XR19" s="1012"/>
      <c r="XS19" s="1012"/>
      <c r="XT19" s="1012"/>
      <c r="XU19" s="1012"/>
      <c r="XV19" s="1012"/>
      <c r="XW19" s="1012"/>
      <c r="XX19" s="1012"/>
      <c r="XY19" s="1012"/>
      <c r="XZ19" s="1012"/>
      <c r="YA19" s="1012"/>
      <c r="YB19" s="1012"/>
      <c r="YC19" s="1012"/>
      <c r="YD19" s="1012"/>
      <c r="YE19" s="1012"/>
      <c r="YF19" s="1012"/>
      <c r="YG19" s="1012"/>
      <c r="YH19" s="1012"/>
      <c r="YI19" s="1012"/>
      <c r="YJ19" s="1012"/>
      <c r="YK19" s="1012"/>
      <c r="YL19" s="1012"/>
      <c r="YM19" s="1012"/>
      <c r="YN19" s="1012"/>
      <c r="YO19" s="1012"/>
      <c r="YP19" s="1012"/>
      <c r="YQ19" s="1012"/>
      <c r="YR19" s="1012"/>
      <c r="YS19" s="1012"/>
      <c r="YT19" s="1012"/>
      <c r="YU19" s="1012"/>
      <c r="YV19" s="1012"/>
      <c r="YW19" s="1012"/>
      <c r="YX19" s="1012"/>
      <c r="YY19" s="1012"/>
      <c r="YZ19" s="1012"/>
      <c r="ZA19" s="1012"/>
      <c r="ZB19" s="1012"/>
      <c r="ZC19" s="1012"/>
      <c r="ZD19" s="1012"/>
      <c r="ZE19" s="1012"/>
      <c r="ZF19" s="1012"/>
      <c r="ZG19" s="1012"/>
      <c r="ZH19" s="1012"/>
      <c r="ZI19" s="1012"/>
      <c r="ZJ19" s="1012"/>
      <c r="ZK19" s="1012"/>
      <c r="ZL19" s="1012"/>
      <c r="ZM19" s="1012"/>
      <c r="ZN19" s="1012"/>
      <c r="ZO19" s="1012"/>
      <c r="ZP19" s="1012"/>
      <c r="ZQ19" s="1012"/>
      <c r="ZR19" s="1012"/>
      <c r="ZS19" s="1012"/>
      <c r="ZT19" s="1012"/>
      <c r="ZU19" s="1012"/>
      <c r="ZV19" s="1012"/>
      <c r="ZW19" s="1012"/>
      <c r="ZX19" s="1012"/>
      <c r="ZY19" s="1012"/>
      <c r="ZZ19" s="1012"/>
      <c r="AAA19" s="1012"/>
      <c r="AAB19" s="1012"/>
      <c r="AAC19" s="1012"/>
      <c r="AAD19" s="1012"/>
      <c r="AAE19" s="1012"/>
      <c r="AAF19" s="1012"/>
      <c r="AAG19" s="1012"/>
      <c r="AAH19" s="1012"/>
      <c r="AAI19" s="1012"/>
      <c r="AAJ19" s="1012"/>
      <c r="AAK19" s="1012"/>
      <c r="AAL19" s="1012"/>
      <c r="AAM19" s="1012"/>
      <c r="AAN19" s="1012"/>
      <c r="AAO19" s="1012"/>
      <c r="AAP19" s="1012"/>
      <c r="AAQ19" s="1012"/>
      <c r="AAR19" s="1012"/>
      <c r="AAS19" s="1012"/>
      <c r="AAT19" s="1012"/>
      <c r="AAU19" s="1012"/>
      <c r="AAV19" s="1012"/>
      <c r="AAW19" s="1012"/>
      <c r="AAX19" s="1012"/>
      <c r="AAY19" s="1012"/>
      <c r="AAZ19" s="1012"/>
      <c r="ABA19" s="1012"/>
      <c r="ABB19" s="1012"/>
      <c r="ABC19" s="1012"/>
      <c r="ABD19" s="1012"/>
      <c r="ABE19" s="1012"/>
      <c r="ABF19" s="1012"/>
      <c r="ABG19" s="1012"/>
      <c r="ABH19" s="1012"/>
      <c r="ABI19" s="1012"/>
      <c r="ABJ19" s="1012"/>
      <c r="ABK19" s="1012"/>
      <c r="ABL19" s="1012"/>
      <c r="ABM19" s="1012"/>
      <c r="ABN19" s="1012"/>
      <c r="ABO19" s="1012"/>
      <c r="ABP19" s="1012"/>
      <c r="ABQ19" s="1012"/>
      <c r="ABR19" s="1012"/>
    </row>
    <row r="20" spans="1:746" s="24" customFormat="1" ht="12.9" hidden="1" customHeight="1" thickBot="1">
      <c r="A20" s="1252"/>
      <c r="B20" s="2957" t="s">
        <v>290</v>
      </c>
      <c r="C20" s="2958"/>
      <c r="D20" s="348"/>
      <c r="E20" s="347" t="s">
        <v>1</v>
      </c>
      <c r="F20" s="1240"/>
      <c r="G20" s="347">
        <v>0.25</v>
      </c>
      <c r="H20" s="2349"/>
      <c r="I20" s="2364"/>
      <c r="J20" s="809"/>
      <c r="K20" s="809"/>
      <c r="L20" s="809"/>
      <c r="M20" s="809"/>
      <c r="N20" s="809"/>
      <c r="O20" s="809"/>
      <c r="P20" s="809"/>
      <c r="Q20" s="809"/>
      <c r="R20" s="809"/>
      <c r="S20" s="809"/>
      <c r="T20" s="809"/>
      <c r="U20" s="809"/>
      <c r="V20" s="809"/>
      <c r="W20" s="809"/>
      <c r="X20" s="809"/>
      <c r="Y20" s="809"/>
      <c r="Z20" s="809"/>
      <c r="AA20" s="809"/>
      <c r="AB20" s="809"/>
      <c r="AC20" s="809"/>
      <c r="AD20" s="809"/>
      <c r="AE20" s="809"/>
      <c r="AF20" s="809"/>
      <c r="AG20" s="1042"/>
      <c r="AH20" s="333"/>
      <c r="AI20" s="333"/>
      <c r="AJ20" s="418">
        <f>IF(fx!$C$57=1,SUMIF(fx!I$57:T$57,1,I20:T20),IF(fx!$C$57=2,SUMIF(fx!O$57:AF$57,1,O20:AF20)))</f>
        <v>0</v>
      </c>
      <c r="AK20" s="419"/>
      <c r="AL20" s="417">
        <f>IF(fx!$C$57=1,SUM(U20:AF20),0)</f>
        <v>0</v>
      </c>
      <c r="AM20" s="1012"/>
      <c r="AN20" s="1011"/>
      <c r="AO20" s="1916"/>
      <c r="AP20" s="1933"/>
      <c r="AQ20" s="1934"/>
      <c r="AR20" s="1941"/>
      <c r="AS20" s="1941"/>
      <c r="AT20" s="1941"/>
      <c r="AU20" s="1941"/>
      <c r="AV20" s="1941"/>
      <c r="AW20" s="1941"/>
      <c r="AX20" s="1941"/>
      <c r="AY20" s="1941"/>
      <c r="AZ20" s="1941"/>
      <c r="BA20" s="1941"/>
      <c r="BB20" s="1941"/>
      <c r="BC20" s="1941"/>
      <c r="BD20" s="1941"/>
      <c r="BE20" s="1941"/>
      <c r="BF20" s="1941"/>
      <c r="BG20" s="1941"/>
      <c r="BH20" s="1941"/>
      <c r="BI20" s="1941"/>
      <c r="BJ20" s="1941"/>
      <c r="BK20" s="1941"/>
      <c r="BL20" s="1941"/>
      <c r="BM20" s="1941"/>
      <c r="BN20" s="1941"/>
      <c r="BO20" s="1941"/>
      <c r="BP20" s="1009"/>
      <c r="BQ20" s="1012"/>
      <c r="BR20" s="1012"/>
      <c r="BS20" s="1012"/>
      <c r="BT20" s="1012"/>
      <c r="BU20" s="1012"/>
      <c r="BV20" s="1012"/>
      <c r="BW20" s="1012"/>
      <c r="BX20" s="1012"/>
      <c r="BY20" s="1012"/>
      <c r="BZ20" s="1012"/>
      <c r="CA20" s="1012"/>
      <c r="CB20" s="1012"/>
      <c r="CC20" s="1012"/>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c r="EC20" s="1012"/>
      <c r="ED20" s="1012"/>
      <c r="EE20" s="1012"/>
      <c r="EF20" s="1012"/>
      <c r="EG20" s="1012"/>
      <c r="EH20" s="1012"/>
      <c r="EI20" s="1012"/>
      <c r="EJ20" s="1012"/>
      <c r="EK20" s="1012"/>
      <c r="EL20" s="1012"/>
      <c r="EM20" s="1012"/>
      <c r="EN20" s="1012"/>
      <c r="EO20" s="1012"/>
      <c r="EP20" s="1012"/>
      <c r="EQ20" s="1012"/>
      <c r="ER20" s="1012"/>
      <c r="ES20" s="1012"/>
      <c r="ET20" s="1012"/>
      <c r="EU20" s="1012"/>
      <c r="EV20" s="1012"/>
      <c r="EW20" s="1012"/>
      <c r="EX20" s="1012"/>
      <c r="EY20" s="1012"/>
      <c r="EZ20" s="1012"/>
      <c r="FA20" s="1012"/>
      <c r="FB20" s="1012"/>
      <c r="FC20" s="1012"/>
      <c r="FD20" s="1012"/>
      <c r="FE20" s="1012"/>
      <c r="FF20" s="1012"/>
      <c r="FG20" s="1012"/>
      <c r="FH20" s="1012"/>
      <c r="FI20" s="1012"/>
      <c r="FJ20" s="1012"/>
      <c r="FK20" s="1012"/>
      <c r="FL20" s="1012"/>
      <c r="FM20" s="1012"/>
      <c r="FN20" s="1012"/>
      <c r="FO20" s="1012"/>
      <c r="FP20" s="1012"/>
      <c r="FQ20" s="1012"/>
      <c r="FR20" s="1012"/>
      <c r="FS20" s="1012"/>
      <c r="FT20" s="1012"/>
      <c r="FU20" s="1012"/>
      <c r="FV20" s="1012"/>
      <c r="FW20" s="1012"/>
      <c r="FX20" s="1012"/>
      <c r="FY20" s="1012"/>
      <c r="FZ20" s="1012"/>
      <c r="GA20" s="1012"/>
      <c r="GB20" s="1012"/>
      <c r="GC20" s="1012"/>
      <c r="GD20" s="1012"/>
      <c r="GE20" s="1012"/>
      <c r="GF20" s="1012"/>
      <c r="GG20" s="1012"/>
      <c r="GH20" s="1012"/>
      <c r="GI20" s="1012"/>
      <c r="GJ20" s="1012"/>
      <c r="GK20" s="1012"/>
      <c r="GL20" s="1012"/>
      <c r="GM20" s="1012"/>
      <c r="GN20" s="1012"/>
      <c r="GO20" s="1012"/>
      <c r="GP20" s="1012"/>
      <c r="GQ20" s="1012"/>
      <c r="GR20" s="1012"/>
      <c r="GS20" s="1012"/>
      <c r="GT20" s="1012"/>
      <c r="GU20" s="1012"/>
      <c r="GV20" s="1012"/>
      <c r="GW20" s="1012"/>
      <c r="GX20" s="1012"/>
      <c r="GY20" s="1012"/>
      <c r="GZ20" s="1012"/>
      <c r="HA20" s="1012"/>
      <c r="HB20" s="1012"/>
      <c r="HC20" s="1012"/>
      <c r="HD20" s="1012"/>
      <c r="HE20" s="1012"/>
      <c r="HF20" s="1012"/>
      <c r="HG20" s="1012"/>
      <c r="HH20" s="1012"/>
      <c r="HI20" s="1012"/>
      <c r="HJ20" s="1012"/>
      <c r="HK20" s="1012"/>
      <c r="HL20" s="1012"/>
      <c r="HM20" s="1012"/>
      <c r="HN20" s="1012"/>
      <c r="HO20" s="1012"/>
      <c r="HP20" s="1012"/>
      <c r="HQ20" s="1012"/>
      <c r="HR20" s="1012"/>
      <c r="HS20" s="1012"/>
      <c r="HT20" s="1012"/>
      <c r="HU20" s="1012"/>
      <c r="HV20" s="1012"/>
      <c r="HW20" s="1012"/>
      <c r="HX20" s="1012"/>
      <c r="HY20" s="1012"/>
      <c r="HZ20" s="1012"/>
      <c r="IA20" s="1012"/>
      <c r="IB20" s="1012"/>
      <c r="IC20" s="1012"/>
      <c r="ID20" s="1012"/>
      <c r="IE20" s="1012"/>
      <c r="IF20" s="1012"/>
      <c r="IG20" s="1012"/>
      <c r="IH20" s="1012"/>
      <c r="II20" s="1012"/>
      <c r="IJ20" s="1012"/>
      <c r="IK20" s="1012"/>
      <c r="IL20" s="1012"/>
      <c r="IM20" s="1012"/>
      <c r="IN20" s="1012"/>
      <c r="IO20" s="1012"/>
      <c r="IP20" s="1012"/>
      <c r="IQ20" s="1012"/>
      <c r="IR20" s="1012"/>
      <c r="IS20" s="1012"/>
      <c r="IT20" s="1012"/>
      <c r="IU20" s="1012"/>
      <c r="IV20" s="1012"/>
      <c r="IW20" s="1012"/>
      <c r="IX20" s="1012"/>
      <c r="IY20" s="1012"/>
      <c r="IZ20" s="1012"/>
      <c r="JA20" s="1012"/>
      <c r="JB20" s="1012"/>
      <c r="JC20" s="1012"/>
      <c r="JD20" s="1012"/>
      <c r="JE20" s="1012"/>
      <c r="JF20" s="1012"/>
      <c r="JG20" s="1012"/>
      <c r="JH20" s="1012"/>
      <c r="JI20" s="1012"/>
      <c r="JJ20" s="1012"/>
      <c r="JK20" s="1012"/>
      <c r="JL20" s="1012"/>
      <c r="JM20" s="1012"/>
      <c r="JN20" s="1012"/>
      <c r="JO20" s="1012"/>
      <c r="JP20" s="1012"/>
      <c r="JQ20" s="1012"/>
      <c r="JR20" s="1012"/>
      <c r="JS20" s="1012"/>
      <c r="JT20" s="1012"/>
      <c r="JU20" s="1012"/>
      <c r="JV20" s="1012"/>
      <c r="JW20" s="1012"/>
      <c r="JX20" s="1012"/>
      <c r="JY20" s="1012"/>
      <c r="JZ20" s="1012"/>
      <c r="KA20" s="1012"/>
      <c r="KB20" s="1012"/>
      <c r="KC20" s="1012"/>
      <c r="KD20" s="1012"/>
      <c r="KE20" s="1012"/>
      <c r="KF20" s="1012"/>
      <c r="KG20" s="1012"/>
      <c r="KH20" s="1012"/>
      <c r="KI20" s="1012"/>
      <c r="KJ20" s="1012"/>
      <c r="KK20" s="1012"/>
      <c r="KL20" s="1012"/>
      <c r="KM20" s="1012"/>
      <c r="KN20" s="1012"/>
      <c r="KO20" s="1012"/>
      <c r="KP20" s="1012"/>
      <c r="KQ20" s="1012"/>
      <c r="KR20" s="1012"/>
      <c r="KS20" s="1012"/>
      <c r="KT20" s="1012"/>
      <c r="KU20" s="1012"/>
      <c r="KV20" s="1012"/>
      <c r="KW20" s="1012"/>
      <c r="KX20" s="1012"/>
      <c r="KY20" s="1012"/>
      <c r="KZ20" s="1012"/>
      <c r="LA20" s="1012"/>
      <c r="LB20" s="1012"/>
      <c r="LC20" s="1012"/>
      <c r="LD20" s="1012"/>
      <c r="LE20" s="1012"/>
      <c r="LF20" s="1012"/>
      <c r="LG20" s="1012"/>
      <c r="LH20" s="1012"/>
      <c r="LI20" s="1012"/>
      <c r="LJ20" s="1012"/>
      <c r="LK20" s="1012"/>
      <c r="LL20" s="1012"/>
      <c r="LM20" s="1012"/>
      <c r="LN20" s="1012"/>
      <c r="LO20" s="1012"/>
      <c r="LP20" s="1012"/>
      <c r="LQ20" s="1012"/>
      <c r="LR20" s="1012"/>
      <c r="LS20" s="1012"/>
      <c r="LT20" s="1012"/>
      <c r="LU20" s="1012"/>
      <c r="LV20" s="1012"/>
      <c r="LW20" s="1012"/>
      <c r="LX20" s="1012"/>
      <c r="LY20" s="1012"/>
      <c r="LZ20" s="1012"/>
      <c r="MA20" s="1012"/>
      <c r="MB20" s="1012"/>
      <c r="MC20" s="1012"/>
      <c r="MD20" s="1012"/>
      <c r="ME20" s="1012"/>
      <c r="MF20" s="1012"/>
      <c r="MG20" s="1012"/>
      <c r="MH20" s="1012"/>
      <c r="MI20" s="1012"/>
      <c r="MJ20" s="1012"/>
      <c r="MK20" s="1012"/>
      <c r="ML20" s="1012"/>
      <c r="MM20" s="1012"/>
      <c r="MN20" s="1012"/>
      <c r="MO20" s="1012"/>
      <c r="MP20" s="1012"/>
      <c r="MQ20" s="1012"/>
      <c r="MR20" s="1012"/>
      <c r="MS20" s="1012"/>
      <c r="MT20" s="1012"/>
      <c r="MU20" s="1012"/>
      <c r="MV20" s="1012"/>
      <c r="MW20" s="1012"/>
      <c r="MX20" s="1012"/>
      <c r="MY20" s="1012"/>
      <c r="MZ20" s="1012"/>
      <c r="NA20" s="1012"/>
      <c r="NB20" s="1012"/>
      <c r="NC20" s="1012"/>
      <c r="ND20" s="1012"/>
      <c r="NE20" s="1012"/>
      <c r="NF20" s="1012"/>
      <c r="NG20" s="1012"/>
      <c r="NH20" s="1012"/>
      <c r="NI20" s="1012"/>
      <c r="NJ20" s="1012"/>
      <c r="NK20" s="1012"/>
      <c r="NL20" s="1012"/>
      <c r="NM20" s="1012"/>
      <c r="NN20" s="1012"/>
      <c r="NO20" s="1012"/>
      <c r="NP20" s="1012"/>
      <c r="NQ20" s="1012"/>
      <c r="NR20" s="1012"/>
      <c r="NS20" s="1012"/>
      <c r="NT20" s="1012"/>
      <c r="NU20" s="1012"/>
      <c r="NV20" s="1012"/>
      <c r="NW20" s="1012"/>
      <c r="NX20" s="1012"/>
      <c r="NY20" s="1012"/>
      <c r="NZ20" s="1012"/>
      <c r="OA20" s="1012"/>
      <c r="OB20" s="1012"/>
      <c r="OC20" s="1012"/>
      <c r="OD20" s="1012"/>
      <c r="OE20" s="1012"/>
      <c r="OF20" s="1012"/>
      <c r="OG20" s="1012"/>
      <c r="OH20" s="1012"/>
      <c r="OI20" s="1012"/>
      <c r="OJ20" s="1012"/>
      <c r="OK20" s="1012"/>
      <c r="OL20" s="1012"/>
      <c r="OM20" s="1012"/>
      <c r="ON20" s="1012"/>
      <c r="OO20" s="1012"/>
      <c r="OP20" s="1012"/>
      <c r="OQ20" s="1012"/>
      <c r="OR20" s="1012"/>
      <c r="OS20" s="1012"/>
      <c r="OT20" s="1012"/>
      <c r="OU20" s="1012"/>
      <c r="OV20" s="1012"/>
      <c r="OW20" s="1012"/>
      <c r="OX20" s="1012"/>
      <c r="OY20" s="1012"/>
      <c r="OZ20" s="1012"/>
      <c r="PA20" s="1012"/>
      <c r="PB20" s="1012"/>
      <c r="PC20" s="1012"/>
      <c r="PD20" s="1012"/>
      <c r="PE20" s="1012"/>
      <c r="PF20" s="1012"/>
      <c r="PG20" s="1012"/>
      <c r="PH20" s="1012"/>
      <c r="PI20" s="1012"/>
      <c r="PJ20" s="1012"/>
      <c r="PK20" s="1012"/>
      <c r="PL20" s="1012"/>
      <c r="PM20" s="1012"/>
      <c r="PN20" s="1012"/>
      <c r="PO20" s="1012"/>
      <c r="PP20" s="1012"/>
      <c r="PQ20" s="1012"/>
      <c r="PR20" s="1012"/>
      <c r="PS20" s="1012"/>
      <c r="PT20" s="1012"/>
      <c r="PU20" s="1012"/>
      <c r="PV20" s="1012"/>
      <c r="PW20" s="1012"/>
      <c r="PX20" s="1012"/>
      <c r="PY20" s="1012"/>
      <c r="PZ20" s="1012"/>
      <c r="QA20" s="1012"/>
      <c r="QB20" s="1012"/>
      <c r="QC20" s="1012"/>
      <c r="QD20" s="1012"/>
      <c r="QE20" s="1012"/>
      <c r="QF20" s="1012"/>
      <c r="QG20" s="1012"/>
      <c r="QH20" s="1012"/>
      <c r="QI20" s="1012"/>
      <c r="QJ20" s="1012"/>
      <c r="QK20" s="1012"/>
      <c r="QL20" s="1012"/>
      <c r="QM20" s="1012"/>
      <c r="QN20" s="1012"/>
      <c r="QO20" s="1012"/>
      <c r="QP20" s="1012"/>
      <c r="QQ20" s="1012"/>
      <c r="QR20" s="1012"/>
      <c r="QS20" s="1012"/>
      <c r="QT20" s="1012"/>
      <c r="QU20" s="1012"/>
      <c r="QV20" s="1012"/>
      <c r="QW20" s="1012"/>
      <c r="QX20" s="1012"/>
      <c r="QY20" s="1012"/>
      <c r="QZ20" s="1012"/>
      <c r="RA20" s="1012"/>
      <c r="RB20" s="1012"/>
      <c r="RC20" s="1012"/>
      <c r="RD20" s="1012"/>
      <c r="RE20" s="1012"/>
      <c r="RF20" s="1012"/>
      <c r="RG20" s="1012"/>
      <c r="RH20" s="1012"/>
      <c r="RI20" s="1012"/>
      <c r="RJ20" s="1012"/>
      <c r="RK20" s="1012"/>
      <c r="RL20" s="1012"/>
      <c r="RM20" s="1012"/>
      <c r="RN20" s="1012"/>
      <c r="RO20" s="1012"/>
      <c r="RP20" s="1012"/>
      <c r="RQ20" s="1012"/>
      <c r="RR20" s="1012"/>
      <c r="RS20" s="1012"/>
      <c r="RT20" s="1012"/>
      <c r="RU20" s="1012"/>
      <c r="RV20" s="1012"/>
      <c r="RW20" s="1012"/>
      <c r="RX20" s="1012"/>
      <c r="RY20" s="1012"/>
      <c r="RZ20" s="1012"/>
      <c r="SA20" s="1012"/>
      <c r="SB20" s="1012"/>
      <c r="SC20" s="1012"/>
      <c r="SD20" s="1012"/>
      <c r="SE20" s="1012"/>
      <c r="SF20" s="1012"/>
      <c r="SG20" s="1012"/>
      <c r="SH20" s="1012"/>
      <c r="SI20" s="1012"/>
      <c r="SJ20" s="1012"/>
      <c r="SK20" s="1012"/>
      <c r="SL20" s="1012"/>
      <c r="SM20" s="1012"/>
      <c r="SN20" s="1012"/>
      <c r="SO20" s="1012"/>
      <c r="SP20" s="1012"/>
      <c r="SQ20" s="1012"/>
      <c r="SR20" s="1012"/>
      <c r="SS20" s="1012"/>
      <c r="ST20" s="1012"/>
      <c r="SU20" s="1012"/>
      <c r="SV20" s="1012"/>
      <c r="SW20" s="1012"/>
      <c r="SX20" s="1012"/>
      <c r="SY20" s="1012"/>
      <c r="SZ20" s="1012"/>
      <c r="TA20" s="1012"/>
      <c r="TB20" s="1012"/>
      <c r="TC20" s="1012"/>
      <c r="TD20" s="1012"/>
      <c r="TE20" s="1012"/>
      <c r="TF20" s="1012"/>
      <c r="TG20" s="1012"/>
      <c r="TH20" s="1012"/>
      <c r="TI20" s="1012"/>
      <c r="TJ20" s="1012"/>
      <c r="TK20" s="1012"/>
      <c r="TL20" s="1012"/>
      <c r="TM20" s="1012"/>
      <c r="TN20" s="1012"/>
      <c r="TO20" s="1012"/>
      <c r="TP20" s="1012"/>
      <c r="TQ20" s="1012"/>
      <c r="TR20" s="1012"/>
      <c r="TS20" s="1012"/>
      <c r="TT20" s="1012"/>
      <c r="TU20" s="1012"/>
      <c r="TV20" s="1012"/>
      <c r="TW20" s="1012"/>
      <c r="TX20" s="1012"/>
      <c r="TY20" s="1012"/>
      <c r="TZ20" s="1012"/>
      <c r="UA20" s="1012"/>
      <c r="UB20" s="1012"/>
      <c r="UC20" s="1012"/>
      <c r="UD20" s="1012"/>
      <c r="UE20" s="1012"/>
      <c r="UF20" s="1012"/>
      <c r="UG20" s="1012"/>
      <c r="UH20" s="1012"/>
      <c r="UI20" s="1012"/>
      <c r="UJ20" s="1012"/>
      <c r="UK20" s="1012"/>
      <c r="UL20" s="1012"/>
      <c r="UM20" s="1012"/>
      <c r="UN20" s="1012"/>
      <c r="UO20" s="1012"/>
      <c r="UP20" s="1012"/>
      <c r="UQ20" s="1012"/>
      <c r="UR20" s="1012"/>
      <c r="US20" s="1012"/>
      <c r="UT20" s="1012"/>
      <c r="UU20" s="1012"/>
      <c r="UV20" s="1012"/>
      <c r="UW20" s="1012"/>
      <c r="UX20" s="1012"/>
      <c r="UY20" s="1012"/>
      <c r="UZ20" s="1012"/>
      <c r="VA20" s="1012"/>
      <c r="VB20" s="1012"/>
      <c r="VC20" s="1012"/>
      <c r="VD20" s="1012"/>
      <c r="VE20" s="1012"/>
      <c r="VF20" s="1012"/>
      <c r="VG20" s="1012"/>
      <c r="VH20" s="1012"/>
      <c r="VI20" s="1012"/>
      <c r="VJ20" s="1012"/>
      <c r="VK20" s="1012"/>
      <c r="VL20" s="1012"/>
      <c r="VM20" s="1012"/>
      <c r="VN20" s="1012"/>
      <c r="VO20" s="1012"/>
      <c r="VP20" s="1012"/>
      <c r="VQ20" s="1012"/>
      <c r="VR20" s="1012"/>
      <c r="VS20" s="1012"/>
      <c r="VT20" s="1012"/>
      <c r="VU20" s="1012"/>
      <c r="VV20" s="1012"/>
      <c r="VW20" s="1012"/>
      <c r="VX20" s="1012"/>
      <c r="VY20" s="1012"/>
      <c r="VZ20" s="1012"/>
      <c r="WA20" s="1012"/>
      <c r="WB20" s="1012"/>
      <c r="WC20" s="1012"/>
      <c r="WD20" s="1012"/>
      <c r="WE20" s="1012"/>
      <c r="WF20" s="1012"/>
      <c r="WG20" s="1012"/>
      <c r="WH20" s="1012"/>
      <c r="WI20" s="1012"/>
      <c r="WJ20" s="1012"/>
      <c r="WK20" s="1012"/>
      <c r="WL20" s="1012"/>
      <c r="WM20" s="1012"/>
      <c r="WN20" s="1012"/>
      <c r="WO20" s="1012"/>
      <c r="WP20" s="1012"/>
      <c r="WQ20" s="1012"/>
      <c r="WR20" s="1012"/>
      <c r="WS20" s="1012"/>
      <c r="WT20" s="1012"/>
      <c r="WU20" s="1012"/>
      <c r="WV20" s="1012"/>
      <c r="WW20" s="1012"/>
      <c r="WX20" s="1012"/>
      <c r="WY20" s="1012"/>
      <c r="WZ20" s="1012"/>
      <c r="XA20" s="1012"/>
      <c r="XB20" s="1012"/>
      <c r="XC20" s="1012"/>
      <c r="XD20" s="1012"/>
      <c r="XE20" s="1012"/>
      <c r="XF20" s="1012"/>
      <c r="XG20" s="1012"/>
      <c r="XH20" s="1012"/>
      <c r="XI20" s="1012"/>
      <c r="XJ20" s="1012"/>
      <c r="XK20" s="1012"/>
      <c r="XL20" s="1012"/>
      <c r="XM20" s="1012"/>
      <c r="XN20" s="1012"/>
      <c r="XO20" s="1012"/>
      <c r="XP20" s="1012"/>
      <c r="XQ20" s="1012"/>
      <c r="XR20" s="1012"/>
      <c r="XS20" s="1012"/>
      <c r="XT20" s="1012"/>
      <c r="XU20" s="1012"/>
      <c r="XV20" s="1012"/>
      <c r="XW20" s="1012"/>
      <c r="XX20" s="1012"/>
      <c r="XY20" s="1012"/>
      <c r="XZ20" s="1012"/>
      <c r="YA20" s="1012"/>
      <c r="YB20" s="1012"/>
      <c r="YC20" s="1012"/>
      <c r="YD20" s="1012"/>
      <c r="YE20" s="1012"/>
      <c r="YF20" s="1012"/>
      <c r="YG20" s="1012"/>
      <c r="YH20" s="1012"/>
      <c r="YI20" s="1012"/>
      <c r="YJ20" s="1012"/>
      <c r="YK20" s="1012"/>
      <c r="YL20" s="1012"/>
      <c r="YM20" s="1012"/>
      <c r="YN20" s="1012"/>
      <c r="YO20" s="1012"/>
      <c r="YP20" s="1012"/>
      <c r="YQ20" s="1012"/>
      <c r="YR20" s="1012"/>
      <c r="YS20" s="1012"/>
      <c r="YT20" s="1012"/>
      <c r="YU20" s="1012"/>
      <c r="YV20" s="1012"/>
      <c r="YW20" s="1012"/>
      <c r="YX20" s="1012"/>
      <c r="YY20" s="1012"/>
      <c r="YZ20" s="1012"/>
      <c r="ZA20" s="1012"/>
      <c r="ZB20" s="1012"/>
      <c r="ZC20" s="1012"/>
      <c r="ZD20" s="1012"/>
      <c r="ZE20" s="1012"/>
      <c r="ZF20" s="1012"/>
      <c r="ZG20" s="1012"/>
      <c r="ZH20" s="1012"/>
      <c r="ZI20" s="1012"/>
      <c r="ZJ20" s="1012"/>
      <c r="ZK20" s="1012"/>
      <c r="ZL20" s="1012"/>
      <c r="ZM20" s="1012"/>
      <c r="ZN20" s="1012"/>
      <c r="ZO20" s="1012"/>
      <c r="ZP20" s="1012"/>
      <c r="ZQ20" s="1012"/>
      <c r="ZR20" s="1012"/>
      <c r="ZS20" s="1012"/>
      <c r="ZT20" s="1012"/>
      <c r="ZU20" s="1012"/>
      <c r="ZV20" s="1012"/>
      <c r="ZW20" s="1012"/>
      <c r="ZX20" s="1012"/>
      <c r="ZY20" s="1012"/>
      <c r="ZZ20" s="1012"/>
      <c r="AAA20" s="1012"/>
      <c r="AAB20" s="1012"/>
      <c r="AAC20" s="1012"/>
      <c r="AAD20" s="1012"/>
      <c r="AAE20" s="1012"/>
      <c r="AAF20" s="1012"/>
      <c r="AAG20" s="1012"/>
      <c r="AAH20" s="1012"/>
      <c r="AAI20" s="1012"/>
      <c r="AAJ20" s="1012"/>
      <c r="AAK20" s="1012"/>
      <c r="AAL20" s="1012"/>
      <c r="AAM20" s="1012"/>
      <c r="AAN20" s="1012"/>
      <c r="AAO20" s="1012"/>
      <c r="AAP20" s="1012"/>
      <c r="AAQ20" s="1012"/>
      <c r="AAR20" s="1012"/>
      <c r="AAS20" s="1012"/>
      <c r="AAT20" s="1012"/>
      <c r="AAU20" s="1012"/>
      <c r="AAV20" s="1012"/>
      <c r="AAW20" s="1012"/>
      <c r="AAX20" s="1012"/>
      <c r="AAY20" s="1012"/>
      <c r="AAZ20" s="1012"/>
      <c r="ABA20" s="1012"/>
      <c r="ABB20" s="1012"/>
      <c r="ABC20" s="1012"/>
      <c r="ABD20" s="1012"/>
      <c r="ABE20" s="1012"/>
      <c r="ABF20" s="1012"/>
      <c r="ABG20" s="1012"/>
      <c r="ABH20" s="1012"/>
      <c r="ABI20" s="1012"/>
      <c r="ABJ20" s="1012"/>
      <c r="ABK20" s="1012"/>
      <c r="ABL20" s="1012"/>
      <c r="ABM20" s="1012"/>
      <c r="ABN20" s="1012"/>
      <c r="ABO20" s="1012"/>
      <c r="ABP20" s="1012"/>
      <c r="ABQ20" s="1012"/>
      <c r="ABR20" s="1012"/>
    </row>
    <row r="21" spans="1:746" s="24" customFormat="1" ht="12.9" hidden="1" customHeight="1" thickBot="1">
      <c r="A21" s="1252"/>
      <c r="B21" s="2957" t="s">
        <v>1256</v>
      </c>
      <c r="C21" s="2958"/>
      <c r="D21" s="348"/>
      <c r="E21" s="347" t="s">
        <v>1</v>
      </c>
      <c r="F21" s="1240"/>
      <c r="G21" s="347">
        <v>0.25</v>
      </c>
      <c r="H21" s="2349"/>
      <c r="I21" s="2364"/>
      <c r="J21" s="809"/>
      <c r="K21" s="809"/>
      <c r="L21" s="809"/>
      <c r="M21" s="809"/>
      <c r="N21" s="809"/>
      <c r="O21" s="809"/>
      <c r="P21" s="809"/>
      <c r="Q21" s="809"/>
      <c r="R21" s="809"/>
      <c r="S21" s="809"/>
      <c r="T21" s="809"/>
      <c r="U21" s="809"/>
      <c r="V21" s="809"/>
      <c r="W21" s="809"/>
      <c r="X21" s="809"/>
      <c r="Y21" s="809"/>
      <c r="Z21" s="809"/>
      <c r="AA21" s="809"/>
      <c r="AB21" s="809"/>
      <c r="AC21" s="809"/>
      <c r="AD21" s="809"/>
      <c r="AE21" s="809"/>
      <c r="AF21" s="809"/>
      <c r="AG21" s="1042"/>
      <c r="AH21" s="333"/>
      <c r="AI21" s="333"/>
      <c r="AJ21" s="418">
        <f>IF(fx!$C$57=1,SUMIF(fx!I$57:T$57,1,I21:T21),IF(fx!$C$57=2,SUMIF(fx!O$57:AF$57,1,O21:AF21)))</f>
        <v>0</v>
      </c>
      <c r="AK21" s="419"/>
      <c r="AL21" s="417">
        <f>IF(fx!$C$57=1,SUM(U21:AF21),0)</f>
        <v>0</v>
      </c>
      <c r="AM21" s="1012"/>
      <c r="AN21" s="1011"/>
      <c r="AO21" s="1916"/>
      <c r="AP21" s="1933"/>
      <c r="AQ21" s="1934"/>
      <c r="AR21" s="1941"/>
      <c r="AS21" s="1941"/>
      <c r="AT21" s="1941"/>
      <c r="AU21" s="1941"/>
      <c r="AV21" s="1941"/>
      <c r="AW21" s="1941"/>
      <c r="AX21" s="1941"/>
      <c r="AY21" s="1941"/>
      <c r="AZ21" s="1941"/>
      <c r="BA21" s="1941"/>
      <c r="BB21" s="1941"/>
      <c r="BC21" s="1941"/>
      <c r="BD21" s="1941"/>
      <c r="BE21" s="1941"/>
      <c r="BF21" s="1941"/>
      <c r="BG21" s="1941"/>
      <c r="BH21" s="1941"/>
      <c r="BI21" s="1941"/>
      <c r="BJ21" s="1941"/>
      <c r="BK21" s="1941"/>
      <c r="BL21" s="1941"/>
      <c r="BM21" s="1941"/>
      <c r="BN21" s="1941"/>
      <c r="BO21" s="1941"/>
      <c r="BP21" s="1009"/>
      <c r="BQ21" s="1012"/>
      <c r="BR21" s="1012"/>
      <c r="BS21" s="1012"/>
      <c r="BT21" s="1012"/>
      <c r="BU21" s="1012"/>
      <c r="BV21" s="1012"/>
      <c r="BW21" s="1012"/>
      <c r="BX21" s="1012"/>
      <c r="BY21" s="1012"/>
      <c r="BZ21" s="1012"/>
      <c r="CA21" s="1012"/>
      <c r="CB21" s="1012"/>
      <c r="CC21" s="1012"/>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c r="EC21" s="1012"/>
      <c r="ED21" s="1012"/>
      <c r="EE21" s="1012"/>
      <c r="EF21" s="1012"/>
      <c r="EG21" s="1012"/>
      <c r="EH21" s="1012"/>
      <c r="EI21" s="1012"/>
      <c r="EJ21" s="1012"/>
      <c r="EK21" s="1012"/>
      <c r="EL21" s="1012"/>
      <c r="EM21" s="1012"/>
      <c r="EN21" s="1012"/>
      <c r="EO21" s="1012"/>
      <c r="EP21" s="1012"/>
      <c r="EQ21" s="1012"/>
      <c r="ER21" s="1012"/>
      <c r="ES21" s="1012"/>
      <c r="ET21" s="1012"/>
      <c r="EU21" s="1012"/>
      <c r="EV21" s="1012"/>
      <c r="EW21" s="1012"/>
      <c r="EX21" s="1012"/>
      <c r="EY21" s="1012"/>
      <c r="EZ21" s="1012"/>
      <c r="FA21" s="1012"/>
      <c r="FB21" s="1012"/>
      <c r="FC21" s="1012"/>
      <c r="FD21" s="1012"/>
      <c r="FE21" s="1012"/>
      <c r="FF21" s="1012"/>
      <c r="FG21" s="1012"/>
      <c r="FH21" s="1012"/>
      <c r="FI21" s="1012"/>
      <c r="FJ21" s="1012"/>
      <c r="FK21" s="1012"/>
      <c r="FL21" s="1012"/>
      <c r="FM21" s="1012"/>
      <c r="FN21" s="1012"/>
      <c r="FO21" s="1012"/>
      <c r="FP21" s="1012"/>
      <c r="FQ21" s="1012"/>
      <c r="FR21" s="1012"/>
      <c r="FS21" s="1012"/>
      <c r="FT21" s="1012"/>
      <c r="FU21" s="1012"/>
      <c r="FV21" s="1012"/>
      <c r="FW21" s="1012"/>
      <c r="FX21" s="1012"/>
      <c r="FY21" s="1012"/>
      <c r="FZ21" s="1012"/>
      <c r="GA21" s="1012"/>
      <c r="GB21" s="1012"/>
      <c r="GC21" s="1012"/>
      <c r="GD21" s="1012"/>
      <c r="GE21" s="1012"/>
      <c r="GF21" s="1012"/>
      <c r="GG21" s="1012"/>
      <c r="GH21" s="1012"/>
      <c r="GI21" s="1012"/>
      <c r="GJ21" s="1012"/>
      <c r="GK21" s="1012"/>
      <c r="GL21" s="1012"/>
      <c r="GM21" s="1012"/>
      <c r="GN21" s="1012"/>
      <c r="GO21" s="1012"/>
      <c r="GP21" s="1012"/>
      <c r="GQ21" s="1012"/>
      <c r="GR21" s="1012"/>
      <c r="GS21" s="1012"/>
      <c r="GT21" s="1012"/>
      <c r="GU21" s="1012"/>
      <c r="GV21" s="1012"/>
      <c r="GW21" s="1012"/>
      <c r="GX21" s="1012"/>
      <c r="GY21" s="1012"/>
      <c r="GZ21" s="1012"/>
      <c r="HA21" s="1012"/>
      <c r="HB21" s="1012"/>
      <c r="HC21" s="1012"/>
      <c r="HD21" s="1012"/>
      <c r="HE21" s="1012"/>
      <c r="HF21" s="1012"/>
      <c r="HG21" s="1012"/>
      <c r="HH21" s="1012"/>
      <c r="HI21" s="1012"/>
      <c r="HJ21" s="1012"/>
      <c r="HK21" s="1012"/>
      <c r="HL21" s="1012"/>
      <c r="HM21" s="1012"/>
      <c r="HN21" s="1012"/>
      <c r="HO21" s="1012"/>
      <c r="HP21" s="1012"/>
      <c r="HQ21" s="1012"/>
      <c r="HR21" s="1012"/>
      <c r="HS21" s="1012"/>
      <c r="HT21" s="1012"/>
      <c r="HU21" s="1012"/>
      <c r="HV21" s="1012"/>
      <c r="HW21" s="1012"/>
      <c r="HX21" s="1012"/>
      <c r="HY21" s="1012"/>
      <c r="HZ21" s="1012"/>
      <c r="IA21" s="1012"/>
      <c r="IB21" s="1012"/>
      <c r="IC21" s="1012"/>
      <c r="ID21" s="1012"/>
      <c r="IE21" s="1012"/>
      <c r="IF21" s="1012"/>
      <c r="IG21" s="1012"/>
      <c r="IH21" s="1012"/>
      <c r="II21" s="1012"/>
      <c r="IJ21" s="1012"/>
      <c r="IK21" s="1012"/>
      <c r="IL21" s="1012"/>
      <c r="IM21" s="1012"/>
      <c r="IN21" s="1012"/>
      <c r="IO21" s="1012"/>
      <c r="IP21" s="1012"/>
      <c r="IQ21" s="1012"/>
      <c r="IR21" s="1012"/>
      <c r="IS21" s="1012"/>
      <c r="IT21" s="1012"/>
      <c r="IU21" s="1012"/>
      <c r="IV21" s="1012"/>
      <c r="IW21" s="1012"/>
      <c r="IX21" s="1012"/>
      <c r="IY21" s="1012"/>
      <c r="IZ21" s="1012"/>
      <c r="JA21" s="1012"/>
      <c r="JB21" s="1012"/>
      <c r="JC21" s="1012"/>
      <c r="JD21" s="1012"/>
      <c r="JE21" s="1012"/>
      <c r="JF21" s="1012"/>
      <c r="JG21" s="1012"/>
      <c r="JH21" s="1012"/>
      <c r="JI21" s="1012"/>
      <c r="JJ21" s="1012"/>
      <c r="JK21" s="1012"/>
      <c r="JL21" s="1012"/>
      <c r="JM21" s="1012"/>
      <c r="JN21" s="1012"/>
      <c r="JO21" s="1012"/>
      <c r="JP21" s="1012"/>
      <c r="JQ21" s="1012"/>
      <c r="JR21" s="1012"/>
      <c r="JS21" s="1012"/>
      <c r="JT21" s="1012"/>
      <c r="JU21" s="1012"/>
      <c r="JV21" s="1012"/>
      <c r="JW21" s="1012"/>
      <c r="JX21" s="1012"/>
      <c r="JY21" s="1012"/>
      <c r="JZ21" s="1012"/>
      <c r="KA21" s="1012"/>
      <c r="KB21" s="1012"/>
      <c r="KC21" s="1012"/>
      <c r="KD21" s="1012"/>
      <c r="KE21" s="1012"/>
      <c r="KF21" s="1012"/>
      <c r="KG21" s="1012"/>
      <c r="KH21" s="1012"/>
      <c r="KI21" s="1012"/>
      <c r="KJ21" s="1012"/>
      <c r="KK21" s="1012"/>
      <c r="KL21" s="1012"/>
      <c r="KM21" s="1012"/>
      <c r="KN21" s="1012"/>
      <c r="KO21" s="1012"/>
      <c r="KP21" s="1012"/>
      <c r="KQ21" s="1012"/>
      <c r="KR21" s="1012"/>
      <c r="KS21" s="1012"/>
      <c r="KT21" s="1012"/>
      <c r="KU21" s="1012"/>
      <c r="KV21" s="1012"/>
      <c r="KW21" s="1012"/>
      <c r="KX21" s="1012"/>
      <c r="KY21" s="1012"/>
      <c r="KZ21" s="1012"/>
      <c r="LA21" s="1012"/>
      <c r="LB21" s="1012"/>
      <c r="LC21" s="1012"/>
      <c r="LD21" s="1012"/>
      <c r="LE21" s="1012"/>
      <c r="LF21" s="1012"/>
      <c r="LG21" s="1012"/>
      <c r="LH21" s="1012"/>
      <c r="LI21" s="1012"/>
      <c r="LJ21" s="1012"/>
      <c r="LK21" s="1012"/>
      <c r="LL21" s="1012"/>
      <c r="LM21" s="1012"/>
      <c r="LN21" s="1012"/>
      <c r="LO21" s="1012"/>
      <c r="LP21" s="1012"/>
      <c r="LQ21" s="1012"/>
      <c r="LR21" s="1012"/>
      <c r="LS21" s="1012"/>
      <c r="LT21" s="1012"/>
      <c r="LU21" s="1012"/>
      <c r="LV21" s="1012"/>
      <c r="LW21" s="1012"/>
      <c r="LX21" s="1012"/>
      <c r="LY21" s="1012"/>
      <c r="LZ21" s="1012"/>
      <c r="MA21" s="1012"/>
      <c r="MB21" s="1012"/>
      <c r="MC21" s="1012"/>
      <c r="MD21" s="1012"/>
      <c r="ME21" s="1012"/>
      <c r="MF21" s="1012"/>
      <c r="MG21" s="1012"/>
      <c r="MH21" s="1012"/>
      <c r="MI21" s="1012"/>
      <c r="MJ21" s="1012"/>
      <c r="MK21" s="1012"/>
      <c r="ML21" s="1012"/>
      <c r="MM21" s="1012"/>
      <c r="MN21" s="1012"/>
      <c r="MO21" s="1012"/>
      <c r="MP21" s="1012"/>
      <c r="MQ21" s="1012"/>
      <c r="MR21" s="1012"/>
      <c r="MS21" s="1012"/>
      <c r="MT21" s="1012"/>
      <c r="MU21" s="1012"/>
      <c r="MV21" s="1012"/>
      <c r="MW21" s="1012"/>
      <c r="MX21" s="1012"/>
      <c r="MY21" s="1012"/>
      <c r="MZ21" s="1012"/>
      <c r="NA21" s="1012"/>
      <c r="NB21" s="1012"/>
      <c r="NC21" s="1012"/>
      <c r="ND21" s="1012"/>
      <c r="NE21" s="1012"/>
      <c r="NF21" s="1012"/>
      <c r="NG21" s="1012"/>
      <c r="NH21" s="1012"/>
      <c r="NI21" s="1012"/>
      <c r="NJ21" s="1012"/>
      <c r="NK21" s="1012"/>
      <c r="NL21" s="1012"/>
      <c r="NM21" s="1012"/>
      <c r="NN21" s="1012"/>
      <c r="NO21" s="1012"/>
      <c r="NP21" s="1012"/>
      <c r="NQ21" s="1012"/>
      <c r="NR21" s="1012"/>
      <c r="NS21" s="1012"/>
      <c r="NT21" s="1012"/>
      <c r="NU21" s="1012"/>
      <c r="NV21" s="1012"/>
      <c r="NW21" s="1012"/>
      <c r="NX21" s="1012"/>
      <c r="NY21" s="1012"/>
      <c r="NZ21" s="1012"/>
      <c r="OA21" s="1012"/>
      <c r="OB21" s="1012"/>
      <c r="OC21" s="1012"/>
      <c r="OD21" s="1012"/>
      <c r="OE21" s="1012"/>
      <c r="OF21" s="1012"/>
      <c r="OG21" s="1012"/>
      <c r="OH21" s="1012"/>
      <c r="OI21" s="1012"/>
      <c r="OJ21" s="1012"/>
      <c r="OK21" s="1012"/>
      <c r="OL21" s="1012"/>
      <c r="OM21" s="1012"/>
      <c r="ON21" s="1012"/>
      <c r="OO21" s="1012"/>
      <c r="OP21" s="1012"/>
      <c r="OQ21" s="1012"/>
      <c r="OR21" s="1012"/>
      <c r="OS21" s="1012"/>
      <c r="OT21" s="1012"/>
      <c r="OU21" s="1012"/>
      <c r="OV21" s="1012"/>
      <c r="OW21" s="1012"/>
      <c r="OX21" s="1012"/>
      <c r="OY21" s="1012"/>
      <c r="OZ21" s="1012"/>
      <c r="PA21" s="1012"/>
      <c r="PB21" s="1012"/>
      <c r="PC21" s="1012"/>
      <c r="PD21" s="1012"/>
      <c r="PE21" s="1012"/>
      <c r="PF21" s="1012"/>
      <c r="PG21" s="1012"/>
      <c r="PH21" s="1012"/>
      <c r="PI21" s="1012"/>
      <c r="PJ21" s="1012"/>
      <c r="PK21" s="1012"/>
      <c r="PL21" s="1012"/>
      <c r="PM21" s="1012"/>
      <c r="PN21" s="1012"/>
      <c r="PO21" s="1012"/>
      <c r="PP21" s="1012"/>
      <c r="PQ21" s="1012"/>
      <c r="PR21" s="1012"/>
      <c r="PS21" s="1012"/>
      <c r="PT21" s="1012"/>
      <c r="PU21" s="1012"/>
      <c r="PV21" s="1012"/>
      <c r="PW21" s="1012"/>
      <c r="PX21" s="1012"/>
      <c r="PY21" s="1012"/>
      <c r="PZ21" s="1012"/>
      <c r="QA21" s="1012"/>
      <c r="QB21" s="1012"/>
      <c r="QC21" s="1012"/>
      <c r="QD21" s="1012"/>
      <c r="QE21" s="1012"/>
      <c r="QF21" s="1012"/>
      <c r="QG21" s="1012"/>
      <c r="QH21" s="1012"/>
      <c r="QI21" s="1012"/>
      <c r="QJ21" s="1012"/>
      <c r="QK21" s="1012"/>
      <c r="QL21" s="1012"/>
      <c r="QM21" s="1012"/>
      <c r="QN21" s="1012"/>
      <c r="QO21" s="1012"/>
      <c r="QP21" s="1012"/>
      <c r="QQ21" s="1012"/>
      <c r="QR21" s="1012"/>
      <c r="QS21" s="1012"/>
      <c r="QT21" s="1012"/>
      <c r="QU21" s="1012"/>
      <c r="QV21" s="1012"/>
      <c r="QW21" s="1012"/>
      <c r="QX21" s="1012"/>
      <c r="QY21" s="1012"/>
      <c r="QZ21" s="1012"/>
      <c r="RA21" s="1012"/>
      <c r="RB21" s="1012"/>
      <c r="RC21" s="1012"/>
      <c r="RD21" s="1012"/>
      <c r="RE21" s="1012"/>
      <c r="RF21" s="1012"/>
      <c r="RG21" s="1012"/>
      <c r="RH21" s="1012"/>
      <c r="RI21" s="1012"/>
      <c r="RJ21" s="1012"/>
      <c r="RK21" s="1012"/>
      <c r="RL21" s="1012"/>
      <c r="RM21" s="1012"/>
      <c r="RN21" s="1012"/>
      <c r="RO21" s="1012"/>
      <c r="RP21" s="1012"/>
      <c r="RQ21" s="1012"/>
      <c r="RR21" s="1012"/>
      <c r="RS21" s="1012"/>
      <c r="RT21" s="1012"/>
      <c r="RU21" s="1012"/>
      <c r="RV21" s="1012"/>
      <c r="RW21" s="1012"/>
      <c r="RX21" s="1012"/>
      <c r="RY21" s="1012"/>
      <c r="RZ21" s="1012"/>
      <c r="SA21" s="1012"/>
      <c r="SB21" s="1012"/>
      <c r="SC21" s="1012"/>
      <c r="SD21" s="1012"/>
      <c r="SE21" s="1012"/>
      <c r="SF21" s="1012"/>
      <c r="SG21" s="1012"/>
      <c r="SH21" s="1012"/>
      <c r="SI21" s="1012"/>
      <c r="SJ21" s="1012"/>
      <c r="SK21" s="1012"/>
      <c r="SL21" s="1012"/>
      <c r="SM21" s="1012"/>
      <c r="SN21" s="1012"/>
      <c r="SO21" s="1012"/>
      <c r="SP21" s="1012"/>
      <c r="SQ21" s="1012"/>
      <c r="SR21" s="1012"/>
      <c r="SS21" s="1012"/>
      <c r="ST21" s="1012"/>
      <c r="SU21" s="1012"/>
      <c r="SV21" s="1012"/>
      <c r="SW21" s="1012"/>
      <c r="SX21" s="1012"/>
      <c r="SY21" s="1012"/>
      <c r="SZ21" s="1012"/>
      <c r="TA21" s="1012"/>
      <c r="TB21" s="1012"/>
      <c r="TC21" s="1012"/>
      <c r="TD21" s="1012"/>
      <c r="TE21" s="1012"/>
      <c r="TF21" s="1012"/>
      <c r="TG21" s="1012"/>
      <c r="TH21" s="1012"/>
      <c r="TI21" s="1012"/>
      <c r="TJ21" s="1012"/>
      <c r="TK21" s="1012"/>
      <c r="TL21" s="1012"/>
      <c r="TM21" s="1012"/>
      <c r="TN21" s="1012"/>
      <c r="TO21" s="1012"/>
      <c r="TP21" s="1012"/>
      <c r="TQ21" s="1012"/>
      <c r="TR21" s="1012"/>
      <c r="TS21" s="1012"/>
      <c r="TT21" s="1012"/>
      <c r="TU21" s="1012"/>
      <c r="TV21" s="1012"/>
      <c r="TW21" s="1012"/>
      <c r="TX21" s="1012"/>
      <c r="TY21" s="1012"/>
      <c r="TZ21" s="1012"/>
      <c r="UA21" s="1012"/>
      <c r="UB21" s="1012"/>
      <c r="UC21" s="1012"/>
      <c r="UD21" s="1012"/>
      <c r="UE21" s="1012"/>
      <c r="UF21" s="1012"/>
      <c r="UG21" s="1012"/>
      <c r="UH21" s="1012"/>
      <c r="UI21" s="1012"/>
      <c r="UJ21" s="1012"/>
      <c r="UK21" s="1012"/>
      <c r="UL21" s="1012"/>
      <c r="UM21" s="1012"/>
      <c r="UN21" s="1012"/>
      <c r="UO21" s="1012"/>
      <c r="UP21" s="1012"/>
      <c r="UQ21" s="1012"/>
      <c r="UR21" s="1012"/>
      <c r="US21" s="1012"/>
      <c r="UT21" s="1012"/>
      <c r="UU21" s="1012"/>
      <c r="UV21" s="1012"/>
      <c r="UW21" s="1012"/>
      <c r="UX21" s="1012"/>
      <c r="UY21" s="1012"/>
      <c r="UZ21" s="1012"/>
      <c r="VA21" s="1012"/>
      <c r="VB21" s="1012"/>
      <c r="VC21" s="1012"/>
      <c r="VD21" s="1012"/>
      <c r="VE21" s="1012"/>
      <c r="VF21" s="1012"/>
      <c r="VG21" s="1012"/>
      <c r="VH21" s="1012"/>
      <c r="VI21" s="1012"/>
      <c r="VJ21" s="1012"/>
      <c r="VK21" s="1012"/>
      <c r="VL21" s="1012"/>
      <c r="VM21" s="1012"/>
      <c r="VN21" s="1012"/>
      <c r="VO21" s="1012"/>
      <c r="VP21" s="1012"/>
      <c r="VQ21" s="1012"/>
      <c r="VR21" s="1012"/>
      <c r="VS21" s="1012"/>
      <c r="VT21" s="1012"/>
      <c r="VU21" s="1012"/>
      <c r="VV21" s="1012"/>
      <c r="VW21" s="1012"/>
      <c r="VX21" s="1012"/>
      <c r="VY21" s="1012"/>
      <c r="VZ21" s="1012"/>
      <c r="WA21" s="1012"/>
      <c r="WB21" s="1012"/>
      <c r="WC21" s="1012"/>
      <c r="WD21" s="1012"/>
      <c r="WE21" s="1012"/>
      <c r="WF21" s="1012"/>
      <c r="WG21" s="1012"/>
      <c r="WH21" s="1012"/>
      <c r="WI21" s="1012"/>
      <c r="WJ21" s="1012"/>
      <c r="WK21" s="1012"/>
      <c r="WL21" s="1012"/>
      <c r="WM21" s="1012"/>
      <c r="WN21" s="1012"/>
      <c r="WO21" s="1012"/>
      <c r="WP21" s="1012"/>
      <c r="WQ21" s="1012"/>
      <c r="WR21" s="1012"/>
      <c r="WS21" s="1012"/>
      <c r="WT21" s="1012"/>
      <c r="WU21" s="1012"/>
      <c r="WV21" s="1012"/>
      <c r="WW21" s="1012"/>
      <c r="WX21" s="1012"/>
      <c r="WY21" s="1012"/>
      <c r="WZ21" s="1012"/>
      <c r="XA21" s="1012"/>
      <c r="XB21" s="1012"/>
      <c r="XC21" s="1012"/>
      <c r="XD21" s="1012"/>
      <c r="XE21" s="1012"/>
      <c r="XF21" s="1012"/>
      <c r="XG21" s="1012"/>
      <c r="XH21" s="1012"/>
      <c r="XI21" s="1012"/>
      <c r="XJ21" s="1012"/>
      <c r="XK21" s="1012"/>
      <c r="XL21" s="1012"/>
      <c r="XM21" s="1012"/>
      <c r="XN21" s="1012"/>
      <c r="XO21" s="1012"/>
      <c r="XP21" s="1012"/>
      <c r="XQ21" s="1012"/>
      <c r="XR21" s="1012"/>
      <c r="XS21" s="1012"/>
      <c r="XT21" s="1012"/>
      <c r="XU21" s="1012"/>
      <c r="XV21" s="1012"/>
      <c r="XW21" s="1012"/>
      <c r="XX21" s="1012"/>
      <c r="XY21" s="1012"/>
      <c r="XZ21" s="1012"/>
      <c r="YA21" s="1012"/>
      <c r="YB21" s="1012"/>
      <c r="YC21" s="1012"/>
      <c r="YD21" s="1012"/>
      <c r="YE21" s="1012"/>
      <c r="YF21" s="1012"/>
      <c r="YG21" s="1012"/>
      <c r="YH21" s="1012"/>
      <c r="YI21" s="1012"/>
      <c r="YJ21" s="1012"/>
      <c r="YK21" s="1012"/>
      <c r="YL21" s="1012"/>
      <c r="YM21" s="1012"/>
      <c r="YN21" s="1012"/>
      <c r="YO21" s="1012"/>
      <c r="YP21" s="1012"/>
      <c r="YQ21" s="1012"/>
      <c r="YR21" s="1012"/>
      <c r="YS21" s="1012"/>
      <c r="YT21" s="1012"/>
      <c r="YU21" s="1012"/>
      <c r="YV21" s="1012"/>
      <c r="YW21" s="1012"/>
      <c r="YX21" s="1012"/>
      <c r="YY21" s="1012"/>
      <c r="YZ21" s="1012"/>
      <c r="ZA21" s="1012"/>
      <c r="ZB21" s="1012"/>
      <c r="ZC21" s="1012"/>
      <c r="ZD21" s="1012"/>
      <c r="ZE21" s="1012"/>
      <c r="ZF21" s="1012"/>
      <c r="ZG21" s="1012"/>
      <c r="ZH21" s="1012"/>
      <c r="ZI21" s="1012"/>
      <c r="ZJ21" s="1012"/>
      <c r="ZK21" s="1012"/>
      <c r="ZL21" s="1012"/>
      <c r="ZM21" s="1012"/>
      <c r="ZN21" s="1012"/>
      <c r="ZO21" s="1012"/>
      <c r="ZP21" s="1012"/>
      <c r="ZQ21" s="1012"/>
      <c r="ZR21" s="1012"/>
      <c r="ZS21" s="1012"/>
      <c r="ZT21" s="1012"/>
      <c r="ZU21" s="1012"/>
      <c r="ZV21" s="1012"/>
      <c r="ZW21" s="1012"/>
      <c r="ZX21" s="1012"/>
      <c r="ZY21" s="1012"/>
      <c r="ZZ21" s="1012"/>
      <c r="AAA21" s="1012"/>
      <c r="AAB21" s="1012"/>
      <c r="AAC21" s="1012"/>
      <c r="AAD21" s="1012"/>
      <c r="AAE21" s="1012"/>
      <c r="AAF21" s="1012"/>
      <c r="AAG21" s="1012"/>
      <c r="AAH21" s="1012"/>
      <c r="AAI21" s="1012"/>
      <c r="AAJ21" s="1012"/>
      <c r="AAK21" s="1012"/>
      <c r="AAL21" s="1012"/>
      <c r="AAM21" s="1012"/>
      <c r="AAN21" s="1012"/>
      <c r="AAO21" s="1012"/>
      <c r="AAP21" s="1012"/>
      <c r="AAQ21" s="1012"/>
      <c r="AAR21" s="1012"/>
      <c r="AAS21" s="1012"/>
      <c r="AAT21" s="1012"/>
      <c r="AAU21" s="1012"/>
      <c r="AAV21" s="1012"/>
      <c r="AAW21" s="1012"/>
      <c r="AAX21" s="1012"/>
      <c r="AAY21" s="1012"/>
      <c r="AAZ21" s="1012"/>
      <c r="ABA21" s="1012"/>
      <c r="ABB21" s="1012"/>
      <c r="ABC21" s="1012"/>
      <c r="ABD21" s="1012"/>
      <c r="ABE21" s="1012"/>
      <c r="ABF21" s="1012"/>
      <c r="ABG21" s="1012"/>
      <c r="ABH21" s="1012"/>
      <c r="ABI21" s="1012"/>
      <c r="ABJ21" s="1012"/>
      <c r="ABK21" s="1012"/>
      <c r="ABL21" s="1012"/>
      <c r="ABM21" s="1012"/>
      <c r="ABN21" s="1012"/>
      <c r="ABO21" s="1012"/>
      <c r="ABP21" s="1012"/>
      <c r="ABQ21" s="1012"/>
      <c r="ABR21" s="1012"/>
    </row>
    <row r="22" spans="1:746" s="24" customFormat="1" ht="12.9" hidden="1" customHeight="1" thickBot="1">
      <c r="A22" s="1252"/>
      <c r="B22" s="2957" t="s">
        <v>1257</v>
      </c>
      <c r="C22" s="2958"/>
      <c r="D22" s="348"/>
      <c r="E22" s="347" t="s">
        <v>1</v>
      </c>
      <c r="F22" s="1240"/>
      <c r="G22" s="347">
        <v>0.25</v>
      </c>
      <c r="H22" s="2349"/>
      <c r="I22" s="2364"/>
      <c r="J22" s="809"/>
      <c r="K22" s="809"/>
      <c r="L22" s="809"/>
      <c r="M22" s="809"/>
      <c r="N22" s="809"/>
      <c r="O22" s="809"/>
      <c r="P22" s="809"/>
      <c r="Q22" s="809"/>
      <c r="R22" s="809"/>
      <c r="S22" s="809"/>
      <c r="T22" s="809"/>
      <c r="U22" s="809"/>
      <c r="V22" s="809"/>
      <c r="W22" s="809"/>
      <c r="X22" s="809"/>
      <c r="Y22" s="809"/>
      <c r="Z22" s="809"/>
      <c r="AA22" s="809"/>
      <c r="AB22" s="809"/>
      <c r="AC22" s="809"/>
      <c r="AD22" s="809"/>
      <c r="AE22" s="809"/>
      <c r="AF22" s="809"/>
      <c r="AG22" s="1042"/>
      <c r="AH22" s="333"/>
      <c r="AI22" s="333"/>
      <c r="AJ22" s="418">
        <f>IF(fx!$C$57=1,SUMIF(fx!I$57:T$57,1,I22:T22),IF(fx!$C$57=2,SUMIF(fx!O$57:AF$57,1,O22:AF22)))</f>
        <v>0</v>
      </c>
      <c r="AK22" s="419"/>
      <c r="AL22" s="417">
        <f>IF(fx!$C$57=1,SUM(U22:AF22),0)</f>
        <v>0</v>
      </c>
      <c r="AM22" s="1012"/>
      <c r="AN22" s="1011"/>
      <c r="AO22" s="1916"/>
      <c r="AP22" s="1933"/>
      <c r="AQ22" s="1934"/>
      <c r="AR22" s="1941"/>
      <c r="AS22" s="1941"/>
      <c r="AT22" s="1941"/>
      <c r="AU22" s="1941"/>
      <c r="AV22" s="1941"/>
      <c r="AW22" s="1941"/>
      <c r="AX22" s="1941"/>
      <c r="AY22" s="1941"/>
      <c r="AZ22" s="1941"/>
      <c r="BA22" s="1941"/>
      <c r="BB22" s="1941"/>
      <c r="BC22" s="1941"/>
      <c r="BD22" s="1941"/>
      <c r="BE22" s="1941"/>
      <c r="BF22" s="1941"/>
      <c r="BG22" s="1941"/>
      <c r="BH22" s="1941"/>
      <c r="BI22" s="1941"/>
      <c r="BJ22" s="1941"/>
      <c r="BK22" s="1941"/>
      <c r="BL22" s="1941"/>
      <c r="BM22" s="1941"/>
      <c r="BN22" s="1941"/>
      <c r="BO22" s="1941"/>
      <c r="BP22" s="1009"/>
      <c r="BQ22" s="1012"/>
      <c r="BR22" s="1012"/>
      <c r="BS22" s="1012"/>
      <c r="BT22" s="1012"/>
      <c r="BU22" s="1012"/>
      <c r="BV22" s="1012"/>
      <c r="BW22" s="1012"/>
      <c r="BX22" s="1012"/>
      <c r="BY22" s="1012"/>
      <c r="BZ22" s="1012"/>
      <c r="CA22" s="1012"/>
      <c r="CB22" s="1012"/>
      <c r="CC22" s="1012"/>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c r="EC22" s="1012"/>
      <c r="ED22" s="1012"/>
      <c r="EE22" s="1012"/>
      <c r="EF22" s="1012"/>
      <c r="EG22" s="1012"/>
      <c r="EH22" s="1012"/>
      <c r="EI22" s="1012"/>
      <c r="EJ22" s="1012"/>
      <c r="EK22" s="1012"/>
      <c r="EL22" s="1012"/>
      <c r="EM22" s="1012"/>
      <c r="EN22" s="1012"/>
      <c r="EO22" s="1012"/>
      <c r="EP22" s="1012"/>
      <c r="EQ22" s="1012"/>
      <c r="ER22" s="1012"/>
      <c r="ES22" s="1012"/>
      <c r="ET22" s="1012"/>
      <c r="EU22" s="1012"/>
      <c r="EV22" s="1012"/>
      <c r="EW22" s="1012"/>
      <c r="EX22" s="1012"/>
      <c r="EY22" s="1012"/>
      <c r="EZ22" s="1012"/>
      <c r="FA22" s="1012"/>
      <c r="FB22" s="1012"/>
      <c r="FC22" s="1012"/>
      <c r="FD22" s="1012"/>
      <c r="FE22" s="1012"/>
      <c r="FF22" s="1012"/>
      <c r="FG22" s="1012"/>
      <c r="FH22" s="1012"/>
      <c r="FI22" s="1012"/>
      <c r="FJ22" s="1012"/>
      <c r="FK22" s="1012"/>
      <c r="FL22" s="1012"/>
      <c r="FM22" s="1012"/>
      <c r="FN22" s="1012"/>
      <c r="FO22" s="1012"/>
      <c r="FP22" s="1012"/>
      <c r="FQ22" s="1012"/>
      <c r="FR22" s="1012"/>
      <c r="FS22" s="1012"/>
      <c r="FT22" s="1012"/>
      <c r="FU22" s="1012"/>
      <c r="FV22" s="1012"/>
      <c r="FW22" s="1012"/>
      <c r="FX22" s="1012"/>
      <c r="FY22" s="1012"/>
      <c r="FZ22" s="1012"/>
      <c r="GA22" s="1012"/>
      <c r="GB22" s="1012"/>
      <c r="GC22" s="1012"/>
      <c r="GD22" s="1012"/>
      <c r="GE22" s="1012"/>
      <c r="GF22" s="1012"/>
      <c r="GG22" s="1012"/>
      <c r="GH22" s="1012"/>
      <c r="GI22" s="1012"/>
      <c r="GJ22" s="1012"/>
      <c r="GK22" s="1012"/>
      <c r="GL22" s="1012"/>
      <c r="GM22" s="1012"/>
      <c r="GN22" s="1012"/>
      <c r="GO22" s="1012"/>
      <c r="GP22" s="1012"/>
      <c r="GQ22" s="1012"/>
      <c r="GR22" s="1012"/>
      <c r="GS22" s="1012"/>
      <c r="GT22" s="1012"/>
      <c r="GU22" s="1012"/>
      <c r="GV22" s="1012"/>
      <c r="GW22" s="1012"/>
      <c r="GX22" s="1012"/>
      <c r="GY22" s="1012"/>
      <c r="GZ22" s="1012"/>
      <c r="HA22" s="1012"/>
      <c r="HB22" s="1012"/>
      <c r="HC22" s="1012"/>
      <c r="HD22" s="1012"/>
      <c r="HE22" s="1012"/>
      <c r="HF22" s="1012"/>
      <c r="HG22" s="1012"/>
      <c r="HH22" s="1012"/>
      <c r="HI22" s="1012"/>
      <c r="HJ22" s="1012"/>
      <c r="HK22" s="1012"/>
      <c r="HL22" s="1012"/>
      <c r="HM22" s="1012"/>
      <c r="HN22" s="1012"/>
      <c r="HO22" s="1012"/>
      <c r="HP22" s="1012"/>
      <c r="HQ22" s="1012"/>
      <c r="HR22" s="1012"/>
      <c r="HS22" s="1012"/>
      <c r="HT22" s="1012"/>
      <c r="HU22" s="1012"/>
      <c r="HV22" s="1012"/>
      <c r="HW22" s="1012"/>
      <c r="HX22" s="1012"/>
      <c r="HY22" s="1012"/>
      <c r="HZ22" s="1012"/>
      <c r="IA22" s="1012"/>
      <c r="IB22" s="1012"/>
      <c r="IC22" s="1012"/>
      <c r="ID22" s="1012"/>
      <c r="IE22" s="1012"/>
      <c r="IF22" s="1012"/>
      <c r="IG22" s="1012"/>
      <c r="IH22" s="1012"/>
      <c r="II22" s="1012"/>
      <c r="IJ22" s="1012"/>
      <c r="IK22" s="1012"/>
      <c r="IL22" s="1012"/>
      <c r="IM22" s="1012"/>
      <c r="IN22" s="1012"/>
      <c r="IO22" s="1012"/>
      <c r="IP22" s="1012"/>
      <c r="IQ22" s="1012"/>
      <c r="IR22" s="1012"/>
      <c r="IS22" s="1012"/>
      <c r="IT22" s="1012"/>
      <c r="IU22" s="1012"/>
      <c r="IV22" s="1012"/>
      <c r="IW22" s="1012"/>
      <c r="IX22" s="1012"/>
      <c r="IY22" s="1012"/>
      <c r="IZ22" s="1012"/>
      <c r="JA22" s="1012"/>
      <c r="JB22" s="1012"/>
      <c r="JC22" s="1012"/>
      <c r="JD22" s="1012"/>
      <c r="JE22" s="1012"/>
      <c r="JF22" s="1012"/>
      <c r="JG22" s="1012"/>
      <c r="JH22" s="1012"/>
      <c r="JI22" s="1012"/>
      <c r="JJ22" s="1012"/>
      <c r="JK22" s="1012"/>
      <c r="JL22" s="1012"/>
      <c r="JM22" s="1012"/>
      <c r="JN22" s="1012"/>
      <c r="JO22" s="1012"/>
      <c r="JP22" s="1012"/>
      <c r="JQ22" s="1012"/>
      <c r="JR22" s="1012"/>
      <c r="JS22" s="1012"/>
      <c r="JT22" s="1012"/>
      <c r="JU22" s="1012"/>
      <c r="JV22" s="1012"/>
      <c r="JW22" s="1012"/>
      <c r="JX22" s="1012"/>
      <c r="JY22" s="1012"/>
      <c r="JZ22" s="1012"/>
      <c r="KA22" s="1012"/>
      <c r="KB22" s="1012"/>
      <c r="KC22" s="1012"/>
      <c r="KD22" s="1012"/>
      <c r="KE22" s="1012"/>
      <c r="KF22" s="1012"/>
      <c r="KG22" s="1012"/>
      <c r="KH22" s="1012"/>
      <c r="KI22" s="1012"/>
      <c r="KJ22" s="1012"/>
      <c r="KK22" s="1012"/>
      <c r="KL22" s="1012"/>
      <c r="KM22" s="1012"/>
      <c r="KN22" s="1012"/>
      <c r="KO22" s="1012"/>
      <c r="KP22" s="1012"/>
      <c r="KQ22" s="1012"/>
      <c r="KR22" s="1012"/>
      <c r="KS22" s="1012"/>
      <c r="KT22" s="1012"/>
      <c r="KU22" s="1012"/>
      <c r="KV22" s="1012"/>
      <c r="KW22" s="1012"/>
      <c r="KX22" s="1012"/>
      <c r="KY22" s="1012"/>
      <c r="KZ22" s="1012"/>
      <c r="LA22" s="1012"/>
      <c r="LB22" s="1012"/>
      <c r="LC22" s="1012"/>
      <c r="LD22" s="1012"/>
      <c r="LE22" s="1012"/>
      <c r="LF22" s="1012"/>
      <c r="LG22" s="1012"/>
      <c r="LH22" s="1012"/>
      <c r="LI22" s="1012"/>
      <c r="LJ22" s="1012"/>
      <c r="LK22" s="1012"/>
      <c r="LL22" s="1012"/>
      <c r="LM22" s="1012"/>
      <c r="LN22" s="1012"/>
      <c r="LO22" s="1012"/>
      <c r="LP22" s="1012"/>
      <c r="LQ22" s="1012"/>
      <c r="LR22" s="1012"/>
      <c r="LS22" s="1012"/>
      <c r="LT22" s="1012"/>
      <c r="LU22" s="1012"/>
      <c r="LV22" s="1012"/>
      <c r="LW22" s="1012"/>
      <c r="LX22" s="1012"/>
      <c r="LY22" s="1012"/>
      <c r="LZ22" s="1012"/>
      <c r="MA22" s="1012"/>
      <c r="MB22" s="1012"/>
      <c r="MC22" s="1012"/>
      <c r="MD22" s="1012"/>
      <c r="ME22" s="1012"/>
      <c r="MF22" s="1012"/>
      <c r="MG22" s="1012"/>
      <c r="MH22" s="1012"/>
      <c r="MI22" s="1012"/>
      <c r="MJ22" s="1012"/>
      <c r="MK22" s="1012"/>
      <c r="ML22" s="1012"/>
      <c r="MM22" s="1012"/>
      <c r="MN22" s="1012"/>
      <c r="MO22" s="1012"/>
      <c r="MP22" s="1012"/>
      <c r="MQ22" s="1012"/>
      <c r="MR22" s="1012"/>
      <c r="MS22" s="1012"/>
      <c r="MT22" s="1012"/>
      <c r="MU22" s="1012"/>
      <c r="MV22" s="1012"/>
      <c r="MW22" s="1012"/>
      <c r="MX22" s="1012"/>
      <c r="MY22" s="1012"/>
      <c r="MZ22" s="1012"/>
      <c r="NA22" s="1012"/>
      <c r="NB22" s="1012"/>
      <c r="NC22" s="1012"/>
      <c r="ND22" s="1012"/>
      <c r="NE22" s="1012"/>
      <c r="NF22" s="1012"/>
      <c r="NG22" s="1012"/>
      <c r="NH22" s="1012"/>
      <c r="NI22" s="1012"/>
      <c r="NJ22" s="1012"/>
      <c r="NK22" s="1012"/>
      <c r="NL22" s="1012"/>
      <c r="NM22" s="1012"/>
      <c r="NN22" s="1012"/>
      <c r="NO22" s="1012"/>
      <c r="NP22" s="1012"/>
      <c r="NQ22" s="1012"/>
      <c r="NR22" s="1012"/>
      <c r="NS22" s="1012"/>
      <c r="NT22" s="1012"/>
      <c r="NU22" s="1012"/>
      <c r="NV22" s="1012"/>
      <c r="NW22" s="1012"/>
      <c r="NX22" s="1012"/>
      <c r="NY22" s="1012"/>
      <c r="NZ22" s="1012"/>
      <c r="OA22" s="1012"/>
      <c r="OB22" s="1012"/>
      <c r="OC22" s="1012"/>
      <c r="OD22" s="1012"/>
      <c r="OE22" s="1012"/>
      <c r="OF22" s="1012"/>
      <c r="OG22" s="1012"/>
      <c r="OH22" s="1012"/>
      <c r="OI22" s="1012"/>
      <c r="OJ22" s="1012"/>
      <c r="OK22" s="1012"/>
      <c r="OL22" s="1012"/>
      <c r="OM22" s="1012"/>
      <c r="ON22" s="1012"/>
      <c r="OO22" s="1012"/>
      <c r="OP22" s="1012"/>
      <c r="OQ22" s="1012"/>
      <c r="OR22" s="1012"/>
      <c r="OS22" s="1012"/>
      <c r="OT22" s="1012"/>
      <c r="OU22" s="1012"/>
      <c r="OV22" s="1012"/>
      <c r="OW22" s="1012"/>
      <c r="OX22" s="1012"/>
      <c r="OY22" s="1012"/>
      <c r="OZ22" s="1012"/>
      <c r="PA22" s="1012"/>
      <c r="PB22" s="1012"/>
      <c r="PC22" s="1012"/>
      <c r="PD22" s="1012"/>
      <c r="PE22" s="1012"/>
      <c r="PF22" s="1012"/>
      <c r="PG22" s="1012"/>
      <c r="PH22" s="1012"/>
      <c r="PI22" s="1012"/>
      <c r="PJ22" s="1012"/>
      <c r="PK22" s="1012"/>
      <c r="PL22" s="1012"/>
      <c r="PM22" s="1012"/>
      <c r="PN22" s="1012"/>
      <c r="PO22" s="1012"/>
      <c r="PP22" s="1012"/>
      <c r="PQ22" s="1012"/>
      <c r="PR22" s="1012"/>
      <c r="PS22" s="1012"/>
      <c r="PT22" s="1012"/>
      <c r="PU22" s="1012"/>
      <c r="PV22" s="1012"/>
      <c r="PW22" s="1012"/>
      <c r="PX22" s="1012"/>
      <c r="PY22" s="1012"/>
      <c r="PZ22" s="1012"/>
      <c r="QA22" s="1012"/>
      <c r="QB22" s="1012"/>
      <c r="QC22" s="1012"/>
      <c r="QD22" s="1012"/>
      <c r="QE22" s="1012"/>
      <c r="QF22" s="1012"/>
      <c r="QG22" s="1012"/>
      <c r="QH22" s="1012"/>
      <c r="QI22" s="1012"/>
      <c r="QJ22" s="1012"/>
      <c r="QK22" s="1012"/>
      <c r="QL22" s="1012"/>
      <c r="QM22" s="1012"/>
      <c r="QN22" s="1012"/>
      <c r="QO22" s="1012"/>
      <c r="QP22" s="1012"/>
      <c r="QQ22" s="1012"/>
      <c r="QR22" s="1012"/>
      <c r="QS22" s="1012"/>
      <c r="QT22" s="1012"/>
      <c r="QU22" s="1012"/>
      <c r="QV22" s="1012"/>
      <c r="QW22" s="1012"/>
      <c r="QX22" s="1012"/>
      <c r="QY22" s="1012"/>
      <c r="QZ22" s="1012"/>
      <c r="RA22" s="1012"/>
      <c r="RB22" s="1012"/>
      <c r="RC22" s="1012"/>
      <c r="RD22" s="1012"/>
      <c r="RE22" s="1012"/>
      <c r="RF22" s="1012"/>
      <c r="RG22" s="1012"/>
      <c r="RH22" s="1012"/>
      <c r="RI22" s="1012"/>
      <c r="RJ22" s="1012"/>
      <c r="RK22" s="1012"/>
      <c r="RL22" s="1012"/>
      <c r="RM22" s="1012"/>
      <c r="RN22" s="1012"/>
      <c r="RO22" s="1012"/>
      <c r="RP22" s="1012"/>
      <c r="RQ22" s="1012"/>
      <c r="RR22" s="1012"/>
      <c r="RS22" s="1012"/>
      <c r="RT22" s="1012"/>
      <c r="RU22" s="1012"/>
      <c r="RV22" s="1012"/>
      <c r="RW22" s="1012"/>
      <c r="RX22" s="1012"/>
      <c r="RY22" s="1012"/>
      <c r="RZ22" s="1012"/>
      <c r="SA22" s="1012"/>
      <c r="SB22" s="1012"/>
      <c r="SC22" s="1012"/>
      <c r="SD22" s="1012"/>
      <c r="SE22" s="1012"/>
      <c r="SF22" s="1012"/>
      <c r="SG22" s="1012"/>
      <c r="SH22" s="1012"/>
      <c r="SI22" s="1012"/>
      <c r="SJ22" s="1012"/>
      <c r="SK22" s="1012"/>
      <c r="SL22" s="1012"/>
      <c r="SM22" s="1012"/>
      <c r="SN22" s="1012"/>
      <c r="SO22" s="1012"/>
      <c r="SP22" s="1012"/>
      <c r="SQ22" s="1012"/>
      <c r="SR22" s="1012"/>
      <c r="SS22" s="1012"/>
      <c r="ST22" s="1012"/>
      <c r="SU22" s="1012"/>
      <c r="SV22" s="1012"/>
      <c r="SW22" s="1012"/>
      <c r="SX22" s="1012"/>
      <c r="SY22" s="1012"/>
      <c r="SZ22" s="1012"/>
      <c r="TA22" s="1012"/>
      <c r="TB22" s="1012"/>
      <c r="TC22" s="1012"/>
      <c r="TD22" s="1012"/>
      <c r="TE22" s="1012"/>
      <c r="TF22" s="1012"/>
      <c r="TG22" s="1012"/>
      <c r="TH22" s="1012"/>
      <c r="TI22" s="1012"/>
      <c r="TJ22" s="1012"/>
      <c r="TK22" s="1012"/>
      <c r="TL22" s="1012"/>
      <c r="TM22" s="1012"/>
      <c r="TN22" s="1012"/>
      <c r="TO22" s="1012"/>
      <c r="TP22" s="1012"/>
      <c r="TQ22" s="1012"/>
      <c r="TR22" s="1012"/>
      <c r="TS22" s="1012"/>
      <c r="TT22" s="1012"/>
      <c r="TU22" s="1012"/>
      <c r="TV22" s="1012"/>
      <c r="TW22" s="1012"/>
      <c r="TX22" s="1012"/>
      <c r="TY22" s="1012"/>
      <c r="TZ22" s="1012"/>
      <c r="UA22" s="1012"/>
      <c r="UB22" s="1012"/>
      <c r="UC22" s="1012"/>
      <c r="UD22" s="1012"/>
      <c r="UE22" s="1012"/>
      <c r="UF22" s="1012"/>
      <c r="UG22" s="1012"/>
      <c r="UH22" s="1012"/>
      <c r="UI22" s="1012"/>
      <c r="UJ22" s="1012"/>
      <c r="UK22" s="1012"/>
      <c r="UL22" s="1012"/>
      <c r="UM22" s="1012"/>
      <c r="UN22" s="1012"/>
      <c r="UO22" s="1012"/>
      <c r="UP22" s="1012"/>
      <c r="UQ22" s="1012"/>
      <c r="UR22" s="1012"/>
      <c r="US22" s="1012"/>
      <c r="UT22" s="1012"/>
      <c r="UU22" s="1012"/>
      <c r="UV22" s="1012"/>
      <c r="UW22" s="1012"/>
      <c r="UX22" s="1012"/>
      <c r="UY22" s="1012"/>
      <c r="UZ22" s="1012"/>
      <c r="VA22" s="1012"/>
      <c r="VB22" s="1012"/>
      <c r="VC22" s="1012"/>
      <c r="VD22" s="1012"/>
      <c r="VE22" s="1012"/>
      <c r="VF22" s="1012"/>
      <c r="VG22" s="1012"/>
      <c r="VH22" s="1012"/>
      <c r="VI22" s="1012"/>
      <c r="VJ22" s="1012"/>
      <c r="VK22" s="1012"/>
      <c r="VL22" s="1012"/>
      <c r="VM22" s="1012"/>
      <c r="VN22" s="1012"/>
      <c r="VO22" s="1012"/>
      <c r="VP22" s="1012"/>
      <c r="VQ22" s="1012"/>
      <c r="VR22" s="1012"/>
      <c r="VS22" s="1012"/>
      <c r="VT22" s="1012"/>
      <c r="VU22" s="1012"/>
      <c r="VV22" s="1012"/>
      <c r="VW22" s="1012"/>
      <c r="VX22" s="1012"/>
      <c r="VY22" s="1012"/>
      <c r="VZ22" s="1012"/>
      <c r="WA22" s="1012"/>
      <c r="WB22" s="1012"/>
      <c r="WC22" s="1012"/>
      <c r="WD22" s="1012"/>
      <c r="WE22" s="1012"/>
      <c r="WF22" s="1012"/>
      <c r="WG22" s="1012"/>
      <c r="WH22" s="1012"/>
      <c r="WI22" s="1012"/>
      <c r="WJ22" s="1012"/>
      <c r="WK22" s="1012"/>
      <c r="WL22" s="1012"/>
      <c r="WM22" s="1012"/>
      <c r="WN22" s="1012"/>
      <c r="WO22" s="1012"/>
      <c r="WP22" s="1012"/>
      <c r="WQ22" s="1012"/>
      <c r="WR22" s="1012"/>
      <c r="WS22" s="1012"/>
      <c r="WT22" s="1012"/>
      <c r="WU22" s="1012"/>
      <c r="WV22" s="1012"/>
      <c r="WW22" s="1012"/>
      <c r="WX22" s="1012"/>
      <c r="WY22" s="1012"/>
      <c r="WZ22" s="1012"/>
      <c r="XA22" s="1012"/>
      <c r="XB22" s="1012"/>
      <c r="XC22" s="1012"/>
      <c r="XD22" s="1012"/>
      <c r="XE22" s="1012"/>
      <c r="XF22" s="1012"/>
      <c r="XG22" s="1012"/>
      <c r="XH22" s="1012"/>
      <c r="XI22" s="1012"/>
      <c r="XJ22" s="1012"/>
      <c r="XK22" s="1012"/>
      <c r="XL22" s="1012"/>
      <c r="XM22" s="1012"/>
      <c r="XN22" s="1012"/>
      <c r="XO22" s="1012"/>
      <c r="XP22" s="1012"/>
      <c r="XQ22" s="1012"/>
      <c r="XR22" s="1012"/>
      <c r="XS22" s="1012"/>
      <c r="XT22" s="1012"/>
      <c r="XU22" s="1012"/>
      <c r="XV22" s="1012"/>
      <c r="XW22" s="1012"/>
      <c r="XX22" s="1012"/>
      <c r="XY22" s="1012"/>
      <c r="XZ22" s="1012"/>
      <c r="YA22" s="1012"/>
      <c r="YB22" s="1012"/>
      <c r="YC22" s="1012"/>
      <c r="YD22" s="1012"/>
      <c r="YE22" s="1012"/>
      <c r="YF22" s="1012"/>
      <c r="YG22" s="1012"/>
      <c r="YH22" s="1012"/>
      <c r="YI22" s="1012"/>
      <c r="YJ22" s="1012"/>
      <c r="YK22" s="1012"/>
      <c r="YL22" s="1012"/>
      <c r="YM22" s="1012"/>
      <c r="YN22" s="1012"/>
      <c r="YO22" s="1012"/>
      <c r="YP22" s="1012"/>
      <c r="YQ22" s="1012"/>
      <c r="YR22" s="1012"/>
      <c r="YS22" s="1012"/>
      <c r="YT22" s="1012"/>
      <c r="YU22" s="1012"/>
      <c r="YV22" s="1012"/>
      <c r="YW22" s="1012"/>
      <c r="YX22" s="1012"/>
      <c r="YY22" s="1012"/>
      <c r="YZ22" s="1012"/>
      <c r="ZA22" s="1012"/>
      <c r="ZB22" s="1012"/>
      <c r="ZC22" s="1012"/>
      <c r="ZD22" s="1012"/>
      <c r="ZE22" s="1012"/>
      <c r="ZF22" s="1012"/>
      <c r="ZG22" s="1012"/>
      <c r="ZH22" s="1012"/>
      <c r="ZI22" s="1012"/>
      <c r="ZJ22" s="1012"/>
      <c r="ZK22" s="1012"/>
      <c r="ZL22" s="1012"/>
      <c r="ZM22" s="1012"/>
      <c r="ZN22" s="1012"/>
      <c r="ZO22" s="1012"/>
      <c r="ZP22" s="1012"/>
      <c r="ZQ22" s="1012"/>
      <c r="ZR22" s="1012"/>
      <c r="ZS22" s="1012"/>
      <c r="ZT22" s="1012"/>
      <c r="ZU22" s="1012"/>
      <c r="ZV22" s="1012"/>
      <c r="ZW22" s="1012"/>
      <c r="ZX22" s="1012"/>
      <c r="ZY22" s="1012"/>
      <c r="ZZ22" s="1012"/>
      <c r="AAA22" s="1012"/>
      <c r="AAB22" s="1012"/>
      <c r="AAC22" s="1012"/>
      <c r="AAD22" s="1012"/>
      <c r="AAE22" s="1012"/>
      <c r="AAF22" s="1012"/>
      <c r="AAG22" s="1012"/>
      <c r="AAH22" s="1012"/>
      <c r="AAI22" s="1012"/>
      <c r="AAJ22" s="1012"/>
      <c r="AAK22" s="1012"/>
      <c r="AAL22" s="1012"/>
      <c r="AAM22" s="1012"/>
      <c r="AAN22" s="1012"/>
      <c r="AAO22" s="1012"/>
      <c r="AAP22" s="1012"/>
      <c r="AAQ22" s="1012"/>
      <c r="AAR22" s="1012"/>
      <c r="AAS22" s="1012"/>
      <c r="AAT22" s="1012"/>
      <c r="AAU22" s="1012"/>
      <c r="AAV22" s="1012"/>
      <c r="AAW22" s="1012"/>
      <c r="AAX22" s="1012"/>
      <c r="AAY22" s="1012"/>
      <c r="AAZ22" s="1012"/>
      <c r="ABA22" s="1012"/>
      <c r="ABB22" s="1012"/>
      <c r="ABC22" s="1012"/>
      <c r="ABD22" s="1012"/>
      <c r="ABE22" s="1012"/>
      <c r="ABF22" s="1012"/>
      <c r="ABG22" s="1012"/>
      <c r="ABH22" s="1012"/>
      <c r="ABI22" s="1012"/>
      <c r="ABJ22" s="1012"/>
      <c r="ABK22" s="1012"/>
      <c r="ABL22" s="1012"/>
      <c r="ABM22" s="1012"/>
      <c r="ABN22" s="1012"/>
      <c r="ABO22" s="1012"/>
      <c r="ABP22" s="1012"/>
      <c r="ABQ22" s="1012"/>
      <c r="ABR22" s="1012"/>
    </row>
    <row r="23" spans="1:746" s="115" customFormat="1" ht="12" hidden="1" customHeight="1" thickBot="1">
      <c r="A23" s="1252"/>
      <c r="B23" s="2957" t="s">
        <v>1258</v>
      </c>
      <c r="C23" s="2958"/>
      <c r="D23" s="348"/>
      <c r="E23" s="347" t="s">
        <v>1</v>
      </c>
      <c r="F23" s="1240"/>
      <c r="G23" s="347">
        <v>0.25</v>
      </c>
      <c r="H23" s="2349"/>
      <c r="I23" s="2364"/>
      <c r="J23" s="809"/>
      <c r="K23" s="809"/>
      <c r="L23" s="809"/>
      <c r="M23" s="809"/>
      <c r="N23" s="809"/>
      <c r="O23" s="809"/>
      <c r="P23" s="809"/>
      <c r="Q23" s="809"/>
      <c r="R23" s="809"/>
      <c r="S23" s="809"/>
      <c r="T23" s="809"/>
      <c r="U23" s="809"/>
      <c r="V23" s="809"/>
      <c r="W23" s="809"/>
      <c r="X23" s="809"/>
      <c r="Y23" s="809"/>
      <c r="Z23" s="809"/>
      <c r="AA23" s="809"/>
      <c r="AB23" s="809"/>
      <c r="AC23" s="809"/>
      <c r="AD23" s="809"/>
      <c r="AE23" s="809"/>
      <c r="AF23" s="809"/>
      <c r="AG23" s="1042"/>
      <c r="AH23" s="333"/>
      <c r="AI23" s="333"/>
      <c r="AJ23" s="418">
        <f>IF(fx!$C$57=1,SUMIF(fx!I$57:T$57,1,I23:T23),IF(fx!$C$57=2,SUMIF(fx!O$57:AF$57,1,O23:AF23)))</f>
        <v>0</v>
      </c>
      <c r="AK23" s="419"/>
      <c r="AL23" s="417">
        <f>IF(fx!$C$57=1,SUM(U23:AF23),0)</f>
        <v>0</v>
      </c>
      <c r="AM23" s="1012"/>
      <c r="AN23" s="1011"/>
      <c r="AO23" s="1945" t="s">
        <v>1076</v>
      </c>
      <c r="AP23" s="1933"/>
      <c r="AQ23" s="1934"/>
      <c r="AR23" s="1941"/>
      <c r="AS23" s="1941"/>
      <c r="AT23" s="1941"/>
      <c r="AU23" s="1941"/>
      <c r="AV23" s="1941"/>
      <c r="AW23" s="1941"/>
      <c r="AX23" s="1941"/>
      <c r="AY23" s="1941"/>
      <c r="AZ23" s="1941"/>
      <c r="BA23" s="1941"/>
      <c r="BB23" s="1941"/>
      <c r="BC23" s="1941"/>
      <c r="BD23" s="1941"/>
      <c r="BE23" s="1941"/>
      <c r="BF23" s="1941"/>
      <c r="BG23" s="1941"/>
      <c r="BH23" s="1941"/>
      <c r="BI23" s="1941"/>
      <c r="BJ23" s="1941"/>
      <c r="BK23" s="1941"/>
      <c r="BL23" s="1941"/>
      <c r="BM23" s="1941"/>
      <c r="BN23" s="1941"/>
      <c r="BO23" s="1941"/>
      <c r="BP23" s="1009"/>
      <c r="BQ23" s="1004"/>
      <c r="BR23" s="1004"/>
      <c r="BS23" s="1004"/>
      <c r="BT23" s="1004"/>
      <c r="BU23" s="1004"/>
      <c r="BV23" s="1004"/>
      <c r="BW23" s="1004"/>
      <c r="BX23" s="1004"/>
      <c r="BY23" s="1004"/>
      <c r="BZ23" s="1004"/>
      <c r="CA23" s="1004"/>
      <c r="CB23" s="1004"/>
      <c r="CC23" s="1004"/>
      <c r="CD23" s="1004"/>
      <c r="CE23" s="1004"/>
      <c r="CF23" s="1004"/>
      <c r="CG23" s="1004"/>
      <c r="CH23" s="1004"/>
      <c r="CI23" s="1004"/>
      <c r="CJ23" s="1004"/>
      <c r="CK23" s="1004"/>
      <c r="CL23" s="1004"/>
      <c r="CM23" s="1004"/>
      <c r="CN23" s="1004"/>
      <c r="CO23" s="1004"/>
      <c r="CP23" s="1004"/>
      <c r="CQ23" s="1004"/>
      <c r="CR23" s="1004"/>
      <c r="CS23" s="1004"/>
      <c r="CT23" s="1004"/>
      <c r="CU23" s="1004"/>
      <c r="CV23" s="1004"/>
      <c r="CW23" s="1004"/>
      <c r="CX23" s="1004"/>
      <c r="CY23" s="1004"/>
      <c r="CZ23" s="1004"/>
      <c r="DA23" s="1004"/>
      <c r="DB23" s="1004"/>
      <c r="DC23" s="1004"/>
      <c r="DD23" s="1004"/>
      <c r="DE23" s="1004"/>
      <c r="DF23" s="1004"/>
      <c r="DG23" s="1004"/>
      <c r="DH23" s="1004"/>
      <c r="DI23" s="1004"/>
      <c r="DJ23" s="1004"/>
      <c r="DK23" s="1004"/>
      <c r="DL23" s="1004"/>
      <c r="DM23" s="1004"/>
      <c r="DN23" s="1004"/>
      <c r="DO23" s="1004"/>
      <c r="DP23" s="1004"/>
      <c r="DQ23" s="1004"/>
      <c r="DR23" s="1004"/>
      <c r="DS23" s="1004"/>
      <c r="DT23" s="1004"/>
      <c r="DU23" s="1004"/>
      <c r="DV23" s="1004"/>
      <c r="DW23" s="1004"/>
      <c r="DX23" s="1004"/>
      <c r="DY23" s="1004"/>
      <c r="DZ23" s="1004"/>
      <c r="EA23" s="1004"/>
      <c r="EB23" s="1004"/>
      <c r="EC23" s="1004"/>
      <c r="ED23" s="1004"/>
      <c r="EE23" s="1004"/>
      <c r="EF23" s="1004"/>
      <c r="EG23" s="1004"/>
      <c r="EH23" s="1004"/>
      <c r="EI23" s="1004"/>
      <c r="EJ23" s="1004"/>
      <c r="EK23" s="1004"/>
      <c r="EL23" s="1004"/>
      <c r="EM23" s="1004"/>
      <c r="EN23" s="1004"/>
      <c r="EO23" s="1004"/>
      <c r="EP23" s="1004"/>
      <c r="EQ23" s="1004"/>
      <c r="ER23" s="1004"/>
      <c r="ES23" s="1004"/>
      <c r="ET23" s="1004"/>
      <c r="EU23" s="1004"/>
      <c r="EV23" s="1004"/>
      <c r="EW23" s="1004"/>
      <c r="EX23" s="1004"/>
      <c r="EY23" s="1004"/>
      <c r="EZ23" s="1004"/>
      <c r="FA23" s="1004"/>
      <c r="FB23" s="1004"/>
      <c r="FC23" s="1004"/>
      <c r="FD23" s="1004"/>
      <c r="FE23" s="1004"/>
      <c r="FF23" s="1004"/>
      <c r="FG23" s="1004"/>
      <c r="FH23" s="1004"/>
      <c r="FI23" s="1004"/>
      <c r="FJ23" s="1004"/>
      <c r="FK23" s="1004"/>
      <c r="FL23" s="1004"/>
      <c r="FM23" s="1004"/>
      <c r="FN23" s="1004"/>
      <c r="FO23" s="1004"/>
      <c r="FP23" s="1004"/>
      <c r="FQ23" s="1004"/>
      <c r="FR23" s="1004"/>
      <c r="FS23" s="1004"/>
      <c r="FT23" s="1004"/>
      <c r="FU23" s="1004"/>
      <c r="FV23" s="1004"/>
      <c r="FW23" s="1004"/>
      <c r="FX23" s="1004"/>
      <c r="FY23" s="1004"/>
      <c r="FZ23" s="1004"/>
      <c r="GA23" s="1004"/>
      <c r="GB23" s="1004"/>
      <c r="GC23" s="1004"/>
      <c r="GD23" s="1004"/>
      <c r="GE23" s="1004"/>
      <c r="GF23" s="1004"/>
      <c r="GG23" s="1004"/>
      <c r="GH23" s="1004"/>
      <c r="GI23" s="1004"/>
      <c r="GJ23" s="1004"/>
      <c r="GK23" s="1004"/>
      <c r="GL23" s="1004"/>
      <c r="GM23" s="1004"/>
      <c r="GN23" s="1004"/>
      <c r="GO23" s="1004"/>
      <c r="GP23" s="1004"/>
      <c r="GQ23" s="1004"/>
      <c r="GR23" s="1004"/>
      <c r="GS23" s="1004"/>
      <c r="GT23" s="1004"/>
      <c r="GU23" s="1004"/>
      <c r="GV23" s="1004"/>
      <c r="GW23" s="1004"/>
      <c r="GX23" s="1004"/>
      <c r="GY23" s="1004"/>
      <c r="GZ23" s="1004"/>
      <c r="HA23" s="1004"/>
      <c r="HB23" s="1004"/>
      <c r="HC23" s="1004"/>
      <c r="HD23" s="1004"/>
      <c r="HE23" s="1004"/>
      <c r="HF23" s="1004"/>
      <c r="HG23" s="1004"/>
      <c r="HH23" s="1004"/>
      <c r="HI23" s="1004"/>
      <c r="HJ23" s="1004"/>
      <c r="HK23" s="1004"/>
      <c r="HL23" s="1004"/>
      <c r="HM23" s="1004"/>
      <c r="HN23" s="1004"/>
      <c r="HO23" s="1004"/>
      <c r="HP23" s="1004"/>
      <c r="HQ23" s="1004"/>
      <c r="HR23" s="1004"/>
      <c r="HS23" s="1004"/>
      <c r="HT23" s="1004"/>
      <c r="HU23" s="1004"/>
      <c r="HV23" s="1004"/>
      <c r="HW23" s="1004"/>
      <c r="HX23" s="1004"/>
      <c r="HY23" s="1004"/>
      <c r="HZ23" s="1004"/>
      <c r="IA23" s="1004"/>
      <c r="IB23" s="1004"/>
      <c r="IC23" s="1004"/>
      <c r="ID23" s="1004"/>
      <c r="IE23" s="1004"/>
      <c r="IF23" s="1004"/>
      <c r="IG23" s="1004"/>
      <c r="IH23" s="1004"/>
      <c r="II23" s="1004"/>
      <c r="IJ23" s="1004"/>
      <c r="IK23" s="1004"/>
      <c r="IL23" s="1004"/>
      <c r="IM23" s="1004"/>
      <c r="IN23" s="1004"/>
      <c r="IO23" s="1004"/>
      <c r="IP23" s="1004"/>
      <c r="IQ23" s="1004"/>
      <c r="IR23" s="1004"/>
      <c r="IS23" s="1004"/>
      <c r="IT23" s="1004"/>
      <c r="IU23" s="1004"/>
      <c r="IV23" s="1004"/>
      <c r="IW23" s="1004"/>
      <c r="IX23" s="1004"/>
      <c r="IY23" s="1004"/>
      <c r="IZ23" s="1004"/>
      <c r="JA23" s="1004"/>
      <c r="JB23" s="1004"/>
      <c r="JC23" s="1004"/>
      <c r="JD23" s="1004"/>
      <c r="JE23" s="1004"/>
      <c r="JF23" s="1004"/>
      <c r="JG23" s="1004"/>
      <c r="JH23" s="1004"/>
      <c r="JI23" s="1004"/>
      <c r="JJ23" s="1004"/>
      <c r="JK23" s="1004"/>
      <c r="JL23" s="1004"/>
      <c r="JM23" s="1004"/>
      <c r="JN23" s="1004"/>
      <c r="JO23" s="1004"/>
      <c r="JP23" s="1004"/>
      <c r="JQ23" s="1004"/>
      <c r="JR23" s="1004"/>
      <c r="JS23" s="1004"/>
      <c r="JT23" s="1004"/>
      <c r="JU23" s="1004"/>
      <c r="JV23" s="1004"/>
      <c r="JW23" s="1004"/>
      <c r="JX23" s="1004"/>
      <c r="JY23" s="1004"/>
      <c r="JZ23" s="1004"/>
      <c r="KA23" s="1004"/>
      <c r="KB23" s="1004"/>
      <c r="KC23" s="1004"/>
      <c r="KD23" s="1004"/>
      <c r="KE23" s="1004"/>
      <c r="KF23" s="1004"/>
      <c r="KG23" s="1004"/>
      <c r="KH23" s="1004"/>
      <c r="KI23" s="1004"/>
      <c r="KJ23" s="1004"/>
      <c r="KK23" s="1004"/>
      <c r="KL23" s="1004"/>
      <c r="KM23" s="1004"/>
      <c r="KN23" s="1004"/>
      <c r="KO23" s="1004"/>
      <c r="KP23" s="1004"/>
      <c r="KQ23" s="1004"/>
      <c r="KR23" s="1004"/>
      <c r="KS23" s="1004"/>
      <c r="KT23" s="1004"/>
      <c r="KU23" s="1004"/>
      <c r="KV23" s="1004"/>
      <c r="KW23" s="1004"/>
      <c r="KX23" s="1004"/>
      <c r="KY23" s="1004"/>
      <c r="KZ23" s="1004"/>
      <c r="LA23" s="1004"/>
      <c r="LB23" s="1004"/>
      <c r="LC23" s="1004"/>
      <c r="LD23" s="1004"/>
      <c r="LE23" s="1004"/>
      <c r="LF23" s="1004"/>
      <c r="LG23" s="1004"/>
      <c r="LH23" s="1004"/>
      <c r="LI23" s="1004"/>
      <c r="LJ23" s="1004"/>
      <c r="LK23" s="1004"/>
      <c r="LL23" s="1004"/>
      <c r="LM23" s="1004"/>
      <c r="LN23" s="1004"/>
      <c r="LO23" s="1004"/>
      <c r="LP23" s="1004"/>
      <c r="LQ23" s="1004"/>
      <c r="LR23" s="1004"/>
      <c r="LS23" s="1004"/>
      <c r="LT23" s="1004"/>
      <c r="LU23" s="1004"/>
      <c r="LV23" s="1004"/>
      <c r="LW23" s="1004"/>
      <c r="LX23" s="1004"/>
      <c r="LY23" s="1004"/>
      <c r="LZ23" s="1004"/>
      <c r="MA23" s="1004"/>
      <c r="MB23" s="1004"/>
      <c r="MC23" s="1004"/>
      <c r="MD23" s="1004"/>
      <c r="ME23" s="1004"/>
      <c r="MF23" s="1004"/>
      <c r="MG23" s="1004"/>
      <c r="MH23" s="1004"/>
      <c r="MI23" s="1004"/>
      <c r="MJ23" s="1004"/>
      <c r="MK23" s="1004"/>
      <c r="ML23" s="1004"/>
      <c r="MM23" s="1004"/>
      <c r="MN23" s="1004"/>
      <c r="MO23" s="1004"/>
      <c r="MP23" s="1004"/>
      <c r="MQ23" s="1004"/>
      <c r="MR23" s="1004"/>
      <c r="MS23" s="1004"/>
      <c r="MT23" s="1004"/>
      <c r="MU23" s="1004"/>
      <c r="MV23" s="1004"/>
      <c r="MW23" s="1004"/>
      <c r="MX23" s="1004"/>
      <c r="MY23" s="1004"/>
      <c r="MZ23" s="1004"/>
      <c r="NA23" s="1004"/>
      <c r="NB23" s="1004"/>
      <c r="NC23" s="1004"/>
      <c r="ND23" s="1004"/>
      <c r="NE23" s="1004"/>
      <c r="NF23" s="1004"/>
      <c r="NG23" s="1004"/>
      <c r="NH23" s="1004"/>
      <c r="NI23" s="1004"/>
      <c r="NJ23" s="1004"/>
      <c r="NK23" s="1004"/>
      <c r="NL23" s="1004"/>
      <c r="NM23" s="1004"/>
      <c r="NN23" s="1004"/>
      <c r="NO23" s="1004"/>
      <c r="NP23" s="1004"/>
      <c r="NQ23" s="1004"/>
      <c r="NR23" s="1004"/>
      <c r="NS23" s="1004"/>
      <c r="NT23" s="1004"/>
      <c r="NU23" s="1004"/>
      <c r="NV23" s="1004"/>
      <c r="NW23" s="1004"/>
      <c r="NX23" s="1004"/>
      <c r="NY23" s="1004"/>
      <c r="NZ23" s="1004"/>
      <c r="OA23" s="1004"/>
      <c r="OB23" s="1004"/>
      <c r="OC23" s="1004"/>
      <c r="OD23" s="1004"/>
      <c r="OE23" s="1004"/>
      <c r="OF23" s="1004"/>
      <c r="OG23" s="1004"/>
      <c r="OH23" s="1004"/>
      <c r="OI23" s="1004"/>
      <c r="OJ23" s="1004"/>
      <c r="OK23" s="1004"/>
      <c r="OL23" s="1004"/>
      <c r="OM23" s="1004"/>
      <c r="ON23" s="1004"/>
      <c r="OO23" s="1004"/>
      <c r="OP23" s="1004"/>
      <c r="OQ23" s="1004"/>
      <c r="OR23" s="1004"/>
      <c r="OS23" s="1004"/>
      <c r="OT23" s="1004"/>
      <c r="OU23" s="1004"/>
      <c r="OV23" s="1004"/>
      <c r="OW23" s="1004"/>
      <c r="OX23" s="1004"/>
      <c r="OY23" s="1004"/>
      <c r="OZ23" s="1004"/>
      <c r="PA23" s="1004"/>
      <c r="PB23" s="1004"/>
      <c r="PC23" s="1004"/>
      <c r="PD23" s="1004"/>
      <c r="PE23" s="1004"/>
      <c r="PF23" s="1004"/>
      <c r="PG23" s="1004"/>
      <c r="PH23" s="1004"/>
      <c r="PI23" s="1004"/>
      <c r="PJ23" s="1004"/>
      <c r="PK23" s="1004"/>
      <c r="PL23" s="1004"/>
      <c r="PM23" s="1004"/>
      <c r="PN23" s="1004"/>
      <c r="PO23" s="1004"/>
      <c r="PP23" s="1004"/>
      <c r="PQ23" s="1004"/>
      <c r="PR23" s="1004"/>
      <c r="PS23" s="1004"/>
      <c r="PT23" s="1004"/>
      <c r="PU23" s="1004"/>
      <c r="PV23" s="1004"/>
      <c r="PW23" s="1004"/>
      <c r="PX23" s="1004"/>
      <c r="PY23" s="1004"/>
      <c r="PZ23" s="1004"/>
      <c r="QA23" s="1004"/>
      <c r="QB23" s="1004"/>
      <c r="QC23" s="1004"/>
      <c r="QD23" s="1004"/>
      <c r="QE23" s="1004"/>
      <c r="QF23" s="1004"/>
      <c r="QG23" s="1004"/>
      <c r="QH23" s="1004"/>
      <c r="QI23" s="1004"/>
      <c r="QJ23" s="1004"/>
      <c r="QK23" s="1004"/>
      <c r="QL23" s="1004"/>
      <c r="QM23" s="1004"/>
      <c r="QN23" s="1004"/>
      <c r="QO23" s="1004"/>
      <c r="QP23" s="1004"/>
      <c r="QQ23" s="1004"/>
      <c r="QR23" s="1004"/>
      <c r="QS23" s="1004"/>
      <c r="QT23" s="1004"/>
      <c r="QU23" s="1004"/>
      <c r="QV23" s="1004"/>
      <c r="QW23" s="1004"/>
      <c r="QX23" s="1004"/>
      <c r="QY23" s="1004"/>
      <c r="QZ23" s="1004"/>
      <c r="RA23" s="1004"/>
      <c r="RB23" s="1004"/>
      <c r="RC23" s="1004"/>
      <c r="RD23" s="1004"/>
      <c r="RE23" s="1004"/>
      <c r="RF23" s="1004"/>
      <c r="RG23" s="1004"/>
      <c r="RH23" s="1004"/>
      <c r="RI23" s="1004"/>
      <c r="RJ23" s="1004"/>
      <c r="RK23" s="1004"/>
      <c r="RL23" s="1004"/>
      <c r="RM23" s="1004"/>
      <c r="RN23" s="1004"/>
      <c r="RO23" s="1004"/>
      <c r="RP23" s="1004"/>
      <c r="RQ23" s="1004"/>
      <c r="RR23" s="1004"/>
      <c r="RS23" s="1004"/>
      <c r="RT23" s="1004"/>
      <c r="RU23" s="1004"/>
      <c r="RV23" s="1004"/>
      <c r="RW23" s="1004"/>
      <c r="RX23" s="1004"/>
      <c r="RY23" s="1004"/>
      <c r="RZ23" s="1004"/>
      <c r="SA23" s="1004"/>
      <c r="SB23" s="1004"/>
      <c r="SC23" s="1004"/>
      <c r="SD23" s="1004"/>
      <c r="SE23" s="1004"/>
      <c r="SF23" s="1004"/>
      <c r="SG23" s="1004"/>
      <c r="SH23" s="1004"/>
      <c r="SI23" s="1004"/>
      <c r="SJ23" s="1004"/>
      <c r="SK23" s="1004"/>
      <c r="SL23" s="1004"/>
      <c r="SM23" s="1004"/>
      <c r="SN23" s="1004"/>
      <c r="SO23" s="1004"/>
      <c r="SP23" s="1004"/>
      <c r="SQ23" s="1004"/>
      <c r="SR23" s="1004"/>
      <c r="SS23" s="1004"/>
      <c r="ST23" s="1004"/>
      <c r="SU23" s="1004"/>
      <c r="SV23" s="1004"/>
      <c r="SW23" s="1004"/>
      <c r="SX23" s="1004"/>
      <c r="SY23" s="1004"/>
      <c r="SZ23" s="1004"/>
      <c r="TA23" s="1004"/>
      <c r="TB23" s="1004"/>
      <c r="TC23" s="1004"/>
      <c r="TD23" s="1004"/>
      <c r="TE23" s="1004"/>
      <c r="TF23" s="1004"/>
      <c r="TG23" s="1004"/>
      <c r="TH23" s="1004"/>
      <c r="TI23" s="1004"/>
      <c r="TJ23" s="1004"/>
      <c r="TK23" s="1004"/>
      <c r="TL23" s="1004"/>
      <c r="TM23" s="1004"/>
      <c r="TN23" s="1004"/>
      <c r="TO23" s="1004"/>
      <c r="TP23" s="1004"/>
      <c r="TQ23" s="1004"/>
      <c r="TR23" s="1004"/>
      <c r="TS23" s="1004"/>
      <c r="TT23" s="1004"/>
      <c r="TU23" s="1004"/>
      <c r="TV23" s="1004"/>
      <c r="TW23" s="1004"/>
      <c r="TX23" s="1004"/>
      <c r="TY23" s="1004"/>
      <c r="TZ23" s="1004"/>
      <c r="UA23" s="1004"/>
      <c r="UB23" s="1004"/>
      <c r="UC23" s="1004"/>
      <c r="UD23" s="1004"/>
      <c r="UE23" s="1004"/>
      <c r="UF23" s="1004"/>
      <c r="UG23" s="1004"/>
      <c r="UH23" s="1004"/>
      <c r="UI23" s="1004"/>
      <c r="UJ23" s="1004"/>
      <c r="UK23" s="1004"/>
      <c r="UL23" s="1004"/>
      <c r="UM23" s="1004"/>
      <c r="UN23" s="1004"/>
      <c r="UO23" s="1004"/>
      <c r="UP23" s="1004"/>
      <c r="UQ23" s="1004"/>
      <c r="UR23" s="1004"/>
      <c r="US23" s="1004"/>
      <c r="UT23" s="1004"/>
      <c r="UU23" s="1004"/>
      <c r="UV23" s="1004"/>
      <c r="UW23" s="1004"/>
      <c r="UX23" s="1004"/>
      <c r="UY23" s="1004"/>
      <c r="UZ23" s="1004"/>
      <c r="VA23" s="1004"/>
      <c r="VB23" s="1004"/>
      <c r="VC23" s="1004"/>
      <c r="VD23" s="1004"/>
      <c r="VE23" s="1004"/>
      <c r="VF23" s="1004"/>
      <c r="VG23" s="1004"/>
      <c r="VH23" s="1004"/>
      <c r="VI23" s="1004"/>
      <c r="VJ23" s="1004"/>
      <c r="VK23" s="1004"/>
      <c r="VL23" s="1004"/>
      <c r="VM23" s="1004"/>
      <c r="VN23" s="1004"/>
      <c r="VO23" s="1004"/>
      <c r="VP23" s="1004"/>
      <c r="VQ23" s="1004"/>
      <c r="VR23" s="1004"/>
      <c r="VS23" s="1004"/>
      <c r="VT23" s="1004"/>
      <c r="VU23" s="1004"/>
      <c r="VV23" s="1004"/>
      <c r="VW23" s="1004"/>
      <c r="VX23" s="1004"/>
      <c r="VY23" s="1004"/>
      <c r="VZ23" s="1004"/>
      <c r="WA23" s="1004"/>
      <c r="WB23" s="1004"/>
      <c r="WC23" s="1004"/>
      <c r="WD23" s="1004"/>
      <c r="WE23" s="1004"/>
      <c r="WF23" s="1004"/>
      <c r="WG23" s="1004"/>
      <c r="WH23" s="1004"/>
      <c r="WI23" s="1004"/>
      <c r="WJ23" s="1004"/>
      <c r="WK23" s="1004"/>
      <c r="WL23" s="1004"/>
      <c r="WM23" s="1004"/>
      <c r="WN23" s="1004"/>
      <c r="WO23" s="1004"/>
      <c r="WP23" s="1004"/>
      <c r="WQ23" s="1004"/>
      <c r="WR23" s="1004"/>
      <c r="WS23" s="1004"/>
      <c r="WT23" s="1004"/>
      <c r="WU23" s="1004"/>
      <c r="WV23" s="1004"/>
      <c r="WW23" s="1004"/>
      <c r="WX23" s="1004"/>
      <c r="WY23" s="1004"/>
      <c r="WZ23" s="1004"/>
      <c r="XA23" s="1004"/>
      <c r="XB23" s="1004"/>
      <c r="XC23" s="1004"/>
      <c r="XD23" s="1004"/>
      <c r="XE23" s="1004"/>
      <c r="XF23" s="1004"/>
      <c r="XG23" s="1004"/>
      <c r="XH23" s="1004"/>
      <c r="XI23" s="1004"/>
      <c r="XJ23" s="1004"/>
      <c r="XK23" s="1004"/>
      <c r="XL23" s="1004"/>
      <c r="XM23" s="1004"/>
      <c r="XN23" s="1004"/>
      <c r="XO23" s="1004"/>
      <c r="XP23" s="1004"/>
      <c r="XQ23" s="1004"/>
      <c r="XR23" s="1004"/>
      <c r="XS23" s="1004"/>
      <c r="XT23" s="1004"/>
      <c r="XU23" s="1004"/>
      <c r="XV23" s="1004"/>
      <c r="XW23" s="1004"/>
      <c r="XX23" s="1004"/>
      <c r="XY23" s="1004"/>
      <c r="XZ23" s="1004"/>
      <c r="YA23" s="1004"/>
      <c r="YB23" s="1004"/>
      <c r="YC23" s="1004"/>
      <c r="YD23" s="1004"/>
      <c r="YE23" s="1004"/>
      <c r="YF23" s="1004"/>
      <c r="YG23" s="1004"/>
      <c r="YH23" s="1004"/>
      <c r="YI23" s="1004"/>
      <c r="YJ23" s="1004"/>
      <c r="YK23" s="1004"/>
      <c r="YL23" s="1004"/>
      <c r="YM23" s="1004"/>
      <c r="YN23" s="1004"/>
      <c r="YO23" s="1004"/>
      <c r="YP23" s="1004"/>
      <c r="YQ23" s="1004"/>
      <c r="YR23" s="1004"/>
      <c r="YS23" s="1004"/>
      <c r="YT23" s="1004"/>
      <c r="YU23" s="1004"/>
      <c r="YV23" s="1004"/>
      <c r="YW23" s="1004"/>
      <c r="YX23" s="1004"/>
      <c r="YY23" s="1004"/>
      <c r="YZ23" s="1004"/>
      <c r="ZA23" s="1004"/>
      <c r="ZB23" s="1004"/>
      <c r="ZC23" s="1004"/>
      <c r="ZD23" s="1004"/>
      <c r="ZE23" s="1004"/>
      <c r="ZF23" s="1004"/>
      <c r="ZG23" s="1004"/>
      <c r="ZH23" s="1004"/>
      <c r="ZI23" s="1004"/>
      <c r="ZJ23" s="1004"/>
      <c r="ZK23" s="1004"/>
      <c r="ZL23" s="1004"/>
      <c r="ZM23" s="1004"/>
      <c r="ZN23" s="1004"/>
      <c r="ZO23" s="1004"/>
      <c r="ZP23" s="1004"/>
      <c r="ZQ23" s="1004"/>
      <c r="ZR23" s="1004"/>
      <c r="ZS23" s="1004"/>
      <c r="ZT23" s="1004"/>
      <c r="ZU23" s="1004"/>
      <c r="ZV23" s="1004"/>
      <c r="ZW23" s="1004"/>
      <c r="ZX23" s="1004"/>
      <c r="ZY23" s="1004"/>
      <c r="ZZ23" s="1004"/>
      <c r="AAA23" s="1004"/>
      <c r="AAB23" s="1004"/>
      <c r="AAC23" s="1004"/>
      <c r="AAD23" s="1004"/>
      <c r="AAE23" s="1004"/>
      <c r="AAF23" s="1004"/>
      <c r="AAG23" s="1004"/>
      <c r="AAH23" s="1004"/>
      <c r="AAI23" s="1004"/>
      <c r="AAJ23" s="1004"/>
      <c r="AAK23" s="1004"/>
      <c r="AAL23" s="1004"/>
      <c r="AAM23" s="1004"/>
      <c r="AAN23" s="1004"/>
      <c r="AAO23" s="1004"/>
      <c r="AAP23" s="1004"/>
      <c r="AAQ23" s="1004"/>
      <c r="AAR23" s="1004"/>
      <c r="AAS23" s="1004"/>
      <c r="AAT23" s="1004"/>
      <c r="AAU23" s="1004"/>
      <c r="AAV23" s="1004"/>
      <c r="AAW23" s="1004"/>
      <c r="AAX23" s="1004"/>
      <c r="AAY23" s="1004"/>
      <c r="AAZ23" s="1004"/>
      <c r="ABA23" s="1004"/>
      <c r="ABB23" s="1004"/>
      <c r="ABC23" s="1004"/>
      <c r="ABD23" s="1004"/>
      <c r="ABE23" s="1004"/>
      <c r="ABF23" s="1004"/>
      <c r="ABG23" s="1004"/>
      <c r="ABH23" s="1004"/>
      <c r="ABI23" s="1004"/>
      <c r="ABJ23" s="1004"/>
      <c r="ABK23" s="1004"/>
      <c r="ABL23" s="1004"/>
      <c r="ABM23" s="1004"/>
      <c r="ABN23" s="1004"/>
      <c r="ABO23" s="1004"/>
      <c r="ABP23" s="1004"/>
      <c r="ABQ23" s="1004"/>
      <c r="ABR23" s="1004"/>
    </row>
    <row r="24" spans="1:746" s="111" customFormat="1" ht="12.9" hidden="1" customHeight="1" thickBot="1">
      <c r="A24" s="1252"/>
      <c r="B24" s="2957" t="s">
        <v>1259</v>
      </c>
      <c r="C24" s="2958"/>
      <c r="D24" s="348"/>
      <c r="E24" s="347" t="s">
        <v>1</v>
      </c>
      <c r="F24" s="1240"/>
      <c r="G24" s="347">
        <v>0.25</v>
      </c>
      <c r="H24" s="2349"/>
      <c r="I24" s="2364"/>
      <c r="J24" s="809"/>
      <c r="K24" s="809"/>
      <c r="L24" s="809"/>
      <c r="M24" s="809"/>
      <c r="N24" s="809"/>
      <c r="O24" s="809"/>
      <c r="P24" s="809"/>
      <c r="Q24" s="809"/>
      <c r="R24" s="809"/>
      <c r="S24" s="809"/>
      <c r="T24" s="809"/>
      <c r="U24" s="809"/>
      <c r="V24" s="809"/>
      <c r="W24" s="809"/>
      <c r="X24" s="809"/>
      <c r="Y24" s="809"/>
      <c r="Z24" s="809"/>
      <c r="AA24" s="809"/>
      <c r="AB24" s="809"/>
      <c r="AC24" s="809"/>
      <c r="AD24" s="809"/>
      <c r="AE24" s="809"/>
      <c r="AF24" s="809"/>
      <c r="AG24" s="1042"/>
      <c r="AH24" s="333"/>
      <c r="AI24" s="333"/>
      <c r="AJ24" s="418">
        <f>IF(fx!$C$57=1,SUMIF(fx!I$57:T$57,1,I24:T24),IF(fx!$C$57=2,SUMIF(fx!O$57:AF$57,1,O24:AF24)))</f>
        <v>0</v>
      </c>
      <c r="AK24" s="419"/>
      <c r="AL24" s="417">
        <f>IF(fx!$C$57=1,SUM(U24:AF24),0)</f>
        <v>0</v>
      </c>
      <c r="AM24" s="1012"/>
      <c r="AN24" s="1011"/>
      <c r="AO24" s="1945" t="s">
        <v>1088</v>
      </c>
      <c r="AP24" s="1935"/>
      <c r="AQ24" s="1936"/>
      <c r="AR24" s="1941"/>
      <c r="AS24" s="1941"/>
      <c r="AT24" s="1941"/>
      <c r="AU24" s="1941"/>
      <c r="AV24" s="1941"/>
      <c r="AW24" s="1941"/>
      <c r="AX24" s="1941"/>
      <c r="AY24" s="1941"/>
      <c r="AZ24" s="1941"/>
      <c r="BA24" s="1941"/>
      <c r="BB24" s="1941"/>
      <c r="BC24" s="1941"/>
      <c r="BD24" s="1941"/>
      <c r="BE24" s="1941"/>
      <c r="BF24" s="1941"/>
      <c r="BG24" s="1941"/>
      <c r="BH24" s="1941"/>
      <c r="BI24" s="1941"/>
      <c r="BJ24" s="1941"/>
      <c r="BK24" s="1941"/>
      <c r="BL24" s="1941"/>
      <c r="BM24" s="1941"/>
      <c r="BN24" s="1941"/>
      <c r="BO24" s="1941"/>
      <c r="BP24" s="1009"/>
      <c r="BQ24" s="1009"/>
      <c r="BR24" s="1009"/>
      <c r="BS24" s="1009"/>
      <c r="BT24" s="1009"/>
      <c r="BU24" s="1009"/>
      <c r="BV24" s="1009"/>
      <c r="BW24" s="1009"/>
      <c r="BX24" s="1009"/>
      <c r="BY24" s="1009"/>
      <c r="BZ24" s="1009"/>
      <c r="CA24" s="1009"/>
      <c r="CB24" s="1009"/>
      <c r="CC24" s="1009"/>
      <c r="CD24" s="1009"/>
      <c r="CE24" s="1009"/>
      <c r="CF24" s="1009"/>
      <c r="CG24" s="1009"/>
      <c r="CH24" s="1009"/>
      <c r="CI24" s="1009"/>
      <c r="CJ24" s="1009"/>
      <c r="CK24" s="1009"/>
      <c r="CL24" s="1009"/>
      <c r="CM24" s="1009"/>
      <c r="CN24" s="1009"/>
      <c r="CO24" s="1009"/>
      <c r="CP24" s="1009"/>
      <c r="CQ24" s="1009"/>
      <c r="CR24" s="1009"/>
      <c r="CS24" s="1009"/>
      <c r="CT24" s="1009"/>
      <c r="CU24" s="1009"/>
      <c r="CV24" s="1009"/>
      <c r="CW24" s="1009"/>
      <c r="CX24" s="1009"/>
      <c r="CY24" s="1009"/>
      <c r="CZ24" s="1009"/>
      <c r="DA24" s="1009"/>
      <c r="DB24" s="1009"/>
      <c r="DC24" s="1009"/>
      <c r="DD24" s="1009"/>
      <c r="DE24" s="1009"/>
      <c r="DF24" s="1009"/>
      <c r="DG24" s="1009"/>
      <c r="DH24" s="1009"/>
      <c r="DI24" s="1009"/>
      <c r="DJ24" s="1009"/>
      <c r="DK24" s="1009"/>
      <c r="DL24" s="1009"/>
      <c r="DM24" s="1009"/>
      <c r="DN24" s="1009"/>
      <c r="DO24" s="1009"/>
      <c r="DP24" s="1009"/>
      <c r="DQ24" s="1009"/>
      <c r="DR24" s="1009"/>
      <c r="DS24" s="1009"/>
      <c r="DT24" s="1009"/>
      <c r="DU24" s="1009"/>
      <c r="DV24" s="1009"/>
      <c r="DW24" s="1009"/>
      <c r="DX24" s="1009"/>
      <c r="DY24" s="1009"/>
      <c r="DZ24" s="1009"/>
      <c r="EA24" s="1009"/>
      <c r="EB24" s="1009"/>
      <c r="EC24" s="1009"/>
      <c r="ED24" s="1009"/>
      <c r="EE24" s="1009"/>
      <c r="EF24" s="1009"/>
      <c r="EG24" s="1009"/>
      <c r="EH24" s="1009"/>
      <c r="EI24" s="1009"/>
      <c r="EJ24" s="1009"/>
      <c r="EK24" s="1009"/>
      <c r="EL24" s="1009"/>
      <c r="EM24" s="1009"/>
      <c r="EN24" s="1009"/>
      <c r="EO24" s="1009"/>
      <c r="EP24" s="1009"/>
      <c r="EQ24" s="1009"/>
      <c r="ER24" s="1009"/>
      <c r="ES24" s="1009"/>
      <c r="ET24" s="1009"/>
      <c r="EU24" s="1009"/>
      <c r="EV24" s="1009"/>
      <c r="EW24" s="1009"/>
      <c r="EX24" s="1009"/>
      <c r="EY24" s="1009"/>
      <c r="EZ24" s="1009"/>
      <c r="FA24" s="1009"/>
      <c r="FB24" s="1009"/>
      <c r="FC24" s="1009"/>
      <c r="FD24" s="1009"/>
      <c r="FE24" s="1009"/>
      <c r="FF24" s="1009"/>
      <c r="FG24" s="1009"/>
      <c r="FH24" s="1009"/>
      <c r="FI24" s="1009"/>
      <c r="FJ24" s="1009"/>
      <c r="FK24" s="1009"/>
      <c r="FL24" s="1009"/>
      <c r="FM24" s="1009"/>
      <c r="FN24" s="1009"/>
      <c r="FO24" s="1009"/>
      <c r="FP24" s="1009"/>
      <c r="FQ24" s="1009"/>
      <c r="FR24" s="1009"/>
      <c r="FS24" s="1009"/>
      <c r="FT24" s="1009"/>
      <c r="FU24" s="1009"/>
      <c r="FV24" s="1009"/>
      <c r="FW24" s="1009"/>
      <c r="FX24" s="1009"/>
      <c r="FY24" s="1009"/>
      <c r="FZ24" s="1009"/>
      <c r="GA24" s="1009"/>
      <c r="GB24" s="1009"/>
      <c r="GC24" s="1009"/>
      <c r="GD24" s="1009"/>
      <c r="GE24" s="1009"/>
      <c r="GF24" s="1009"/>
      <c r="GG24" s="1009"/>
      <c r="GH24" s="1009"/>
      <c r="GI24" s="1009"/>
      <c r="GJ24" s="1009"/>
      <c r="GK24" s="1009"/>
      <c r="GL24" s="1009"/>
      <c r="GM24" s="1009"/>
      <c r="GN24" s="1009"/>
      <c r="GO24" s="1009"/>
      <c r="GP24" s="1009"/>
      <c r="GQ24" s="1009"/>
      <c r="GR24" s="1009"/>
      <c r="GS24" s="1009"/>
      <c r="GT24" s="1009"/>
      <c r="GU24" s="1009"/>
      <c r="GV24" s="1009"/>
      <c r="GW24" s="1009"/>
      <c r="GX24" s="1009"/>
      <c r="GY24" s="1009"/>
      <c r="GZ24" s="1009"/>
      <c r="HA24" s="1009"/>
      <c r="HB24" s="1009"/>
      <c r="HC24" s="1009"/>
      <c r="HD24" s="1009"/>
      <c r="HE24" s="1009"/>
      <c r="HF24" s="1009"/>
      <c r="HG24" s="1009"/>
      <c r="HH24" s="1009"/>
      <c r="HI24" s="1009"/>
      <c r="HJ24" s="1009"/>
      <c r="HK24" s="1009"/>
      <c r="HL24" s="1009"/>
      <c r="HM24" s="1009"/>
      <c r="HN24" s="1009"/>
      <c r="HO24" s="1009"/>
      <c r="HP24" s="1009"/>
      <c r="HQ24" s="1009"/>
      <c r="HR24" s="1009"/>
      <c r="HS24" s="1009"/>
      <c r="HT24" s="1009"/>
      <c r="HU24" s="1009"/>
      <c r="HV24" s="1009"/>
      <c r="HW24" s="1009"/>
      <c r="HX24" s="1009"/>
      <c r="HY24" s="1009"/>
      <c r="HZ24" s="1009"/>
      <c r="IA24" s="1009"/>
      <c r="IB24" s="1009"/>
      <c r="IC24" s="1009"/>
      <c r="ID24" s="1009"/>
      <c r="IE24" s="1009"/>
      <c r="IF24" s="1009"/>
      <c r="IG24" s="1009"/>
      <c r="IH24" s="1009"/>
      <c r="II24" s="1009"/>
      <c r="IJ24" s="1009"/>
      <c r="IK24" s="1009"/>
      <c r="IL24" s="1009"/>
      <c r="IM24" s="1009"/>
      <c r="IN24" s="1009"/>
      <c r="IO24" s="1009"/>
      <c r="IP24" s="1009"/>
      <c r="IQ24" s="1009"/>
      <c r="IR24" s="1009"/>
      <c r="IS24" s="1009"/>
      <c r="IT24" s="1009"/>
      <c r="IU24" s="1009"/>
      <c r="IV24" s="1009"/>
      <c r="IW24" s="1009"/>
      <c r="IX24" s="1009"/>
      <c r="IY24" s="1009"/>
      <c r="IZ24" s="1009"/>
      <c r="JA24" s="1009"/>
      <c r="JB24" s="1009"/>
      <c r="JC24" s="1009"/>
      <c r="JD24" s="1009"/>
      <c r="JE24" s="1009"/>
      <c r="JF24" s="1009"/>
      <c r="JG24" s="1009"/>
      <c r="JH24" s="1009"/>
      <c r="JI24" s="1009"/>
      <c r="JJ24" s="1009"/>
      <c r="JK24" s="1009"/>
      <c r="JL24" s="1009"/>
      <c r="JM24" s="1009"/>
      <c r="JN24" s="1009"/>
      <c r="JO24" s="1009"/>
      <c r="JP24" s="1009"/>
      <c r="JQ24" s="1009"/>
      <c r="JR24" s="1009"/>
      <c r="JS24" s="1009"/>
      <c r="JT24" s="1009"/>
      <c r="JU24" s="1009"/>
      <c r="JV24" s="1009"/>
      <c r="JW24" s="1009"/>
      <c r="JX24" s="1009"/>
      <c r="JY24" s="1009"/>
      <c r="JZ24" s="1009"/>
      <c r="KA24" s="1009"/>
      <c r="KB24" s="1009"/>
      <c r="KC24" s="1009"/>
      <c r="KD24" s="1009"/>
      <c r="KE24" s="1009"/>
      <c r="KF24" s="1009"/>
      <c r="KG24" s="1009"/>
      <c r="KH24" s="1009"/>
      <c r="KI24" s="1009"/>
      <c r="KJ24" s="1009"/>
      <c r="KK24" s="1009"/>
      <c r="KL24" s="1009"/>
      <c r="KM24" s="1009"/>
      <c r="KN24" s="1009"/>
      <c r="KO24" s="1009"/>
      <c r="KP24" s="1009"/>
      <c r="KQ24" s="1009"/>
      <c r="KR24" s="1009"/>
      <c r="KS24" s="1009"/>
      <c r="KT24" s="1009"/>
      <c r="KU24" s="1009"/>
      <c r="KV24" s="1009"/>
      <c r="KW24" s="1009"/>
      <c r="KX24" s="1009"/>
      <c r="KY24" s="1009"/>
      <c r="KZ24" s="1009"/>
      <c r="LA24" s="1009"/>
      <c r="LB24" s="1009"/>
      <c r="LC24" s="1009"/>
      <c r="LD24" s="1009"/>
      <c r="LE24" s="1009"/>
      <c r="LF24" s="1009"/>
      <c r="LG24" s="1009"/>
      <c r="LH24" s="1009"/>
      <c r="LI24" s="1009"/>
      <c r="LJ24" s="1009"/>
      <c r="LK24" s="1009"/>
      <c r="LL24" s="1009"/>
      <c r="LM24" s="1009"/>
      <c r="LN24" s="1009"/>
      <c r="LO24" s="1009"/>
      <c r="LP24" s="1009"/>
      <c r="LQ24" s="1009"/>
      <c r="LR24" s="1009"/>
      <c r="LS24" s="1009"/>
      <c r="LT24" s="1009"/>
      <c r="LU24" s="1009"/>
      <c r="LV24" s="1009"/>
      <c r="LW24" s="1009"/>
      <c r="LX24" s="1009"/>
      <c r="LY24" s="1009"/>
      <c r="LZ24" s="1009"/>
      <c r="MA24" s="1009"/>
      <c r="MB24" s="1009"/>
      <c r="MC24" s="1009"/>
      <c r="MD24" s="1009"/>
      <c r="ME24" s="1009"/>
      <c r="MF24" s="1009"/>
      <c r="MG24" s="1009"/>
      <c r="MH24" s="1009"/>
      <c r="MI24" s="1009"/>
      <c r="MJ24" s="1009"/>
      <c r="MK24" s="1009"/>
      <c r="ML24" s="1009"/>
      <c r="MM24" s="1009"/>
      <c r="MN24" s="1009"/>
      <c r="MO24" s="1009"/>
      <c r="MP24" s="1009"/>
      <c r="MQ24" s="1009"/>
      <c r="MR24" s="1009"/>
      <c r="MS24" s="1009"/>
      <c r="MT24" s="1009"/>
      <c r="MU24" s="1009"/>
      <c r="MV24" s="1009"/>
      <c r="MW24" s="1009"/>
      <c r="MX24" s="1009"/>
      <c r="MY24" s="1009"/>
      <c r="MZ24" s="1009"/>
      <c r="NA24" s="1009"/>
      <c r="NB24" s="1009"/>
      <c r="NC24" s="1009"/>
      <c r="ND24" s="1009"/>
      <c r="NE24" s="1009"/>
      <c r="NF24" s="1009"/>
      <c r="NG24" s="1009"/>
      <c r="NH24" s="1009"/>
      <c r="NI24" s="1009"/>
      <c r="NJ24" s="1009"/>
      <c r="NK24" s="1009"/>
      <c r="NL24" s="1009"/>
      <c r="NM24" s="1009"/>
      <c r="NN24" s="1009"/>
      <c r="NO24" s="1009"/>
      <c r="NP24" s="1009"/>
      <c r="NQ24" s="1009"/>
      <c r="NR24" s="1009"/>
      <c r="NS24" s="1009"/>
      <c r="NT24" s="1009"/>
      <c r="NU24" s="1009"/>
      <c r="NV24" s="1009"/>
      <c r="NW24" s="1009"/>
      <c r="NX24" s="1009"/>
      <c r="NY24" s="1009"/>
      <c r="NZ24" s="1009"/>
      <c r="OA24" s="1009"/>
      <c r="OB24" s="1009"/>
      <c r="OC24" s="1009"/>
      <c r="OD24" s="1009"/>
      <c r="OE24" s="1009"/>
      <c r="OF24" s="1009"/>
      <c r="OG24" s="1009"/>
      <c r="OH24" s="1009"/>
      <c r="OI24" s="1009"/>
      <c r="OJ24" s="1009"/>
      <c r="OK24" s="1009"/>
      <c r="OL24" s="1009"/>
      <c r="OM24" s="1009"/>
      <c r="ON24" s="1009"/>
      <c r="OO24" s="1009"/>
      <c r="OP24" s="1009"/>
      <c r="OQ24" s="1009"/>
      <c r="OR24" s="1009"/>
      <c r="OS24" s="1009"/>
      <c r="OT24" s="1009"/>
      <c r="OU24" s="1009"/>
      <c r="OV24" s="1009"/>
      <c r="OW24" s="1009"/>
      <c r="OX24" s="1009"/>
      <c r="OY24" s="1009"/>
      <c r="OZ24" s="1009"/>
      <c r="PA24" s="1009"/>
      <c r="PB24" s="1009"/>
      <c r="PC24" s="1009"/>
      <c r="PD24" s="1009"/>
      <c r="PE24" s="1009"/>
      <c r="PF24" s="1009"/>
      <c r="PG24" s="1009"/>
      <c r="PH24" s="1009"/>
      <c r="PI24" s="1009"/>
      <c r="PJ24" s="1009"/>
      <c r="PK24" s="1009"/>
      <c r="PL24" s="1009"/>
      <c r="PM24" s="1009"/>
      <c r="PN24" s="1009"/>
      <c r="PO24" s="1009"/>
      <c r="PP24" s="1009"/>
      <c r="PQ24" s="1009"/>
      <c r="PR24" s="1009"/>
      <c r="PS24" s="1009"/>
      <c r="PT24" s="1009"/>
      <c r="PU24" s="1009"/>
      <c r="PV24" s="1009"/>
      <c r="PW24" s="1009"/>
      <c r="PX24" s="1009"/>
      <c r="PY24" s="1009"/>
      <c r="PZ24" s="1009"/>
      <c r="QA24" s="1009"/>
      <c r="QB24" s="1009"/>
      <c r="QC24" s="1009"/>
      <c r="QD24" s="1009"/>
      <c r="QE24" s="1009"/>
      <c r="QF24" s="1009"/>
      <c r="QG24" s="1009"/>
      <c r="QH24" s="1009"/>
      <c r="QI24" s="1009"/>
      <c r="QJ24" s="1009"/>
      <c r="QK24" s="1009"/>
      <c r="QL24" s="1009"/>
      <c r="QM24" s="1009"/>
      <c r="QN24" s="1009"/>
      <c r="QO24" s="1009"/>
      <c r="QP24" s="1009"/>
      <c r="QQ24" s="1009"/>
      <c r="QR24" s="1009"/>
      <c r="QS24" s="1009"/>
      <c r="QT24" s="1009"/>
      <c r="QU24" s="1009"/>
      <c r="QV24" s="1009"/>
      <c r="QW24" s="1009"/>
      <c r="QX24" s="1009"/>
      <c r="QY24" s="1009"/>
      <c r="QZ24" s="1009"/>
      <c r="RA24" s="1009"/>
      <c r="RB24" s="1009"/>
      <c r="RC24" s="1009"/>
      <c r="RD24" s="1009"/>
      <c r="RE24" s="1009"/>
      <c r="RF24" s="1009"/>
      <c r="RG24" s="1009"/>
      <c r="RH24" s="1009"/>
      <c r="RI24" s="1009"/>
      <c r="RJ24" s="1009"/>
      <c r="RK24" s="1009"/>
      <c r="RL24" s="1009"/>
      <c r="RM24" s="1009"/>
      <c r="RN24" s="1009"/>
      <c r="RO24" s="1009"/>
      <c r="RP24" s="1009"/>
      <c r="RQ24" s="1009"/>
      <c r="RR24" s="1009"/>
      <c r="RS24" s="1009"/>
      <c r="RT24" s="1009"/>
      <c r="RU24" s="1009"/>
      <c r="RV24" s="1009"/>
      <c r="RW24" s="1009"/>
      <c r="RX24" s="1009"/>
      <c r="RY24" s="1009"/>
      <c r="RZ24" s="1009"/>
      <c r="SA24" s="1009"/>
      <c r="SB24" s="1009"/>
      <c r="SC24" s="1009"/>
      <c r="SD24" s="1009"/>
      <c r="SE24" s="1009"/>
      <c r="SF24" s="1009"/>
      <c r="SG24" s="1009"/>
      <c r="SH24" s="1009"/>
      <c r="SI24" s="1009"/>
      <c r="SJ24" s="1009"/>
      <c r="SK24" s="1009"/>
      <c r="SL24" s="1009"/>
      <c r="SM24" s="1009"/>
      <c r="SN24" s="1009"/>
      <c r="SO24" s="1009"/>
      <c r="SP24" s="1009"/>
      <c r="SQ24" s="1009"/>
      <c r="SR24" s="1009"/>
      <c r="SS24" s="1009"/>
      <c r="ST24" s="1009"/>
      <c r="SU24" s="1009"/>
      <c r="SV24" s="1009"/>
      <c r="SW24" s="1009"/>
      <c r="SX24" s="1009"/>
      <c r="SY24" s="1009"/>
      <c r="SZ24" s="1009"/>
      <c r="TA24" s="1009"/>
      <c r="TB24" s="1009"/>
      <c r="TC24" s="1009"/>
      <c r="TD24" s="1009"/>
      <c r="TE24" s="1009"/>
      <c r="TF24" s="1009"/>
      <c r="TG24" s="1009"/>
      <c r="TH24" s="1009"/>
      <c r="TI24" s="1009"/>
      <c r="TJ24" s="1009"/>
      <c r="TK24" s="1009"/>
      <c r="TL24" s="1009"/>
      <c r="TM24" s="1009"/>
      <c r="TN24" s="1009"/>
      <c r="TO24" s="1009"/>
      <c r="TP24" s="1009"/>
      <c r="TQ24" s="1009"/>
      <c r="TR24" s="1009"/>
      <c r="TS24" s="1009"/>
      <c r="TT24" s="1009"/>
      <c r="TU24" s="1009"/>
      <c r="TV24" s="1009"/>
      <c r="TW24" s="1009"/>
      <c r="TX24" s="1009"/>
      <c r="TY24" s="1009"/>
      <c r="TZ24" s="1009"/>
      <c r="UA24" s="1009"/>
      <c r="UB24" s="1009"/>
      <c r="UC24" s="1009"/>
      <c r="UD24" s="1009"/>
      <c r="UE24" s="1009"/>
      <c r="UF24" s="1009"/>
      <c r="UG24" s="1009"/>
      <c r="UH24" s="1009"/>
      <c r="UI24" s="1009"/>
      <c r="UJ24" s="1009"/>
      <c r="UK24" s="1009"/>
      <c r="UL24" s="1009"/>
      <c r="UM24" s="1009"/>
      <c r="UN24" s="1009"/>
      <c r="UO24" s="1009"/>
      <c r="UP24" s="1009"/>
      <c r="UQ24" s="1009"/>
      <c r="UR24" s="1009"/>
      <c r="US24" s="1009"/>
      <c r="UT24" s="1009"/>
      <c r="UU24" s="1009"/>
      <c r="UV24" s="1009"/>
      <c r="UW24" s="1009"/>
      <c r="UX24" s="1009"/>
      <c r="UY24" s="1009"/>
      <c r="UZ24" s="1009"/>
      <c r="VA24" s="1009"/>
      <c r="VB24" s="1009"/>
      <c r="VC24" s="1009"/>
      <c r="VD24" s="1009"/>
      <c r="VE24" s="1009"/>
      <c r="VF24" s="1009"/>
      <c r="VG24" s="1009"/>
      <c r="VH24" s="1009"/>
      <c r="VI24" s="1009"/>
      <c r="VJ24" s="1009"/>
      <c r="VK24" s="1009"/>
      <c r="VL24" s="1009"/>
      <c r="VM24" s="1009"/>
      <c r="VN24" s="1009"/>
      <c r="VO24" s="1009"/>
      <c r="VP24" s="1009"/>
      <c r="VQ24" s="1009"/>
      <c r="VR24" s="1009"/>
      <c r="VS24" s="1009"/>
      <c r="VT24" s="1009"/>
      <c r="VU24" s="1009"/>
      <c r="VV24" s="1009"/>
      <c r="VW24" s="1009"/>
      <c r="VX24" s="1009"/>
      <c r="VY24" s="1009"/>
      <c r="VZ24" s="1009"/>
      <c r="WA24" s="1009"/>
      <c r="WB24" s="1009"/>
      <c r="WC24" s="1009"/>
      <c r="WD24" s="1009"/>
      <c r="WE24" s="1009"/>
      <c r="WF24" s="1009"/>
      <c r="WG24" s="1009"/>
      <c r="WH24" s="1009"/>
      <c r="WI24" s="1009"/>
      <c r="WJ24" s="1009"/>
      <c r="WK24" s="1009"/>
      <c r="WL24" s="1009"/>
      <c r="WM24" s="1009"/>
      <c r="WN24" s="1009"/>
      <c r="WO24" s="1009"/>
      <c r="WP24" s="1009"/>
      <c r="WQ24" s="1009"/>
      <c r="WR24" s="1009"/>
      <c r="WS24" s="1009"/>
      <c r="WT24" s="1009"/>
      <c r="WU24" s="1009"/>
      <c r="WV24" s="1009"/>
      <c r="WW24" s="1009"/>
      <c r="WX24" s="1009"/>
      <c r="WY24" s="1009"/>
      <c r="WZ24" s="1009"/>
      <c r="XA24" s="1009"/>
      <c r="XB24" s="1009"/>
      <c r="XC24" s="1009"/>
      <c r="XD24" s="1009"/>
      <c r="XE24" s="1009"/>
      <c r="XF24" s="1009"/>
      <c r="XG24" s="1009"/>
      <c r="XH24" s="1009"/>
      <c r="XI24" s="1009"/>
      <c r="XJ24" s="1009"/>
      <c r="XK24" s="1009"/>
      <c r="XL24" s="1009"/>
      <c r="XM24" s="1009"/>
      <c r="XN24" s="1009"/>
      <c r="XO24" s="1009"/>
      <c r="XP24" s="1009"/>
      <c r="XQ24" s="1009"/>
      <c r="XR24" s="1009"/>
      <c r="XS24" s="1009"/>
      <c r="XT24" s="1009"/>
      <c r="XU24" s="1009"/>
      <c r="XV24" s="1009"/>
      <c r="XW24" s="1009"/>
      <c r="XX24" s="1009"/>
      <c r="XY24" s="1009"/>
      <c r="XZ24" s="1009"/>
      <c r="YA24" s="1009"/>
      <c r="YB24" s="1009"/>
      <c r="YC24" s="1009"/>
      <c r="YD24" s="1009"/>
      <c r="YE24" s="1009"/>
      <c r="YF24" s="1009"/>
      <c r="YG24" s="1009"/>
      <c r="YH24" s="1009"/>
      <c r="YI24" s="1009"/>
      <c r="YJ24" s="1009"/>
      <c r="YK24" s="1009"/>
      <c r="YL24" s="1009"/>
      <c r="YM24" s="1009"/>
      <c r="YN24" s="1009"/>
      <c r="YO24" s="1009"/>
      <c r="YP24" s="1009"/>
      <c r="YQ24" s="1009"/>
      <c r="YR24" s="1009"/>
      <c r="YS24" s="1009"/>
      <c r="YT24" s="1009"/>
      <c r="YU24" s="1009"/>
      <c r="YV24" s="1009"/>
      <c r="YW24" s="1009"/>
      <c r="YX24" s="1009"/>
      <c r="YY24" s="1009"/>
      <c r="YZ24" s="1009"/>
      <c r="ZA24" s="1009"/>
      <c r="ZB24" s="1009"/>
      <c r="ZC24" s="1009"/>
      <c r="ZD24" s="1009"/>
      <c r="ZE24" s="1009"/>
      <c r="ZF24" s="1009"/>
      <c r="ZG24" s="1009"/>
      <c r="ZH24" s="1009"/>
      <c r="ZI24" s="1009"/>
      <c r="ZJ24" s="1009"/>
      <c r="ZK24" s="1009"/>
      <c r="ZL24" s="1009"/>
      <c r="ZM24" s="1009"/>
      <c r="ZN24" s="1009"/>
      <c r="ZO24" s="1009"/>
      <c r="ZP24" s="1009"/>
      <c r="ZQ24" s="1009"/>
      <c r="ZR24" s="1009"/>
      <c r="ZS24" s="1009"/>
      <c r="ZT24" s="1009"/>
      <c r="ZU24" s="1009"/>
      <c r="ZV24" s="1009"/>
      <c r="ZW24" s="1009"/>
      <c r="ZX24" s="1009"/>
      <c r="ZY24" s="1009"/>
      <c r="ZZ24" s="1009"/>
      <c r="AAA24" s="1009"/>
      <c r="AAB24" s="1009"/>
      <c r="AAC24" s="1009"/>
      <c r="AAD24" s="1009"/>
      <c r="AAE24" s="1009"/>
      <c r="AAF24" s="1009"/>
      <c r="AAG24" s="1009"/>
      <c r="AAH24" s="1009"/>
      <c r="AAI24" s="1009"/>
      <c r="AAJ24" s="1009"/>
      <c r="AAK24" s="1009"/>
      <c r="AAL24" s="1009"/>
      <c r="AAM24" s="1009"/>
      <c r="AAN24" s="1009"/>
      <c r="AAO24" s="1009"/>
      <c r="AAP24" s="1009"/>
      <c r="AAQ24" s="1009"/>
      <c r="AAR24" s="1009"/>
      <c r="AAS24" s="1009"/>
      <c r="AAT24" s="1009"/>
      <c r="AAU24" s="1009"/>
      <c r="AAV24" s="1009"/>
      <c r="AAW24" s="1009"/>
      <c r="AAX24" s="1009"/>
      <c r="AAY24" s="1009"/>
      <c r="AAZ24" s="1009"/>
      <c r="ABA24" s="1009"/>
      <c r="ABB24" s="1009"/>
      <c r="ABC24" s="1009"/>
      <c r="ABD24" s="1009"/>
      <c r="ABE24" s="1009"/>
      <c r="ABF24" s="1009"/>
      <c r="ABG24" s="1009"/>
      <c r="ABH24" s="1009"/>
      <c r="ABI24" s="1009"/>
      <c r="ABJ24" s="1009"/>
      <c r="ABK24" s="1009"/>
      <c r="ABL24" s="1009"/>
      <c r="ABM24" s="1009"/>
      <c r="ABN24" s="1009"/>
      <c r="ABO24" s="1009"/>
      <c r="ABP24" s="1009"/>
      <c r="ABQ24" s="1009"/>
      <c r="ABR24" s="1009"/>
    </row>
    <row r="25" spans="1:746" s="111" customFormat="1" ht="12.9" hidden="1" customHeight="1" thickBot="1">
      <c r="A25" s="1252"/>
      <c r="B25" s="2957" t="s">
        <v>1260</v>
      </c>
      <c r="C25" s="2958"/>
      <c r="D25" s="348"/>
      <c r="E25" s="347" t="s">
        <v>1</v>
      </c>
      <c r="F25" s="1240"/>
      <c r="G25" s="347">
        <v>0.25</v>
      </c>
      <c r="H25" s="2349"/>
      <c r="I25" s="2364"/>
      <c r="J25" s="809"/>
      <c r="K25" s="809"/>
      <c r="L25" s="809"/>
      <c r="M25" s="809"/>
      <c r="N25" s="809"/>
      <c r="O25" s="809"/>
      <c r="P25" s="809"/>
      <c r="Q25" s="809"/>
      <c r="R25" s="809"/>
      <c r="S25" s="809"/>
      <c r="T25" s="809"/>
      <c r="U25" s="809"/>
      <c r="V25" s="809"/>
      <c r="W25" s="809"/>
      <c r="X25" s="809"/>
      <c r="Y25" s="809"/>
      <c r="Z25" s="809"/>
      <c r="AA25" s="809"/>
      <c r="AB25" s="809"/>
      <c r="AC25" s="809"/>
      <c r="AD25" s="809"/>
      <c r="AE25" s="809"/>
      <c r="AF25" s="809"/>
      <c r="AG25" s="1042"/>
      <c r="AH25" s="333"/>
      <c r="AI25" s="333"/>
      <c r="AJ25" s="418">
        <f>IF(fx!$C$57=1,SUMIF(fx!I$57:T$57,1,I25:T25),IF(fx!$C$57=2,SUMIF(fx!O$57:AF$57,1,O25:AF25)))</f>
        <v>0</v>
      </c>
      <c r="AK25" s="419"/>
      <c r="AL25" s="417">
        <f>IF(fx!$C$57=1,SUM(U25:AF25),0)</f>
        <v>0</v>
      </c>
      <c r="AM25" s="1012"/>
      <c r="AN25" s="1011"/>
      <c r="AO25" s="1945" t="s">
        <v>1167</v>
      </c>
      <c r="AP25" s="1935"/>
      <c r="AQ25" s="1936"/>
      <c r="AR25" s="1941"/>
      <c r="AS25" s="1941"/>
      <c r="AT25" s="1941"/>
      <c r="AU25" s="1941"/>
      <c r="AV25" s="1941"/>
      <c r="AW25" s="1941"/>
      <c r="AX25" s="1941"/>
      <c r="AY25" s="1941"/>
      <c r="AZ25" s="1941"/>
      <c r="BA25" s="1941"/>
      <c r="BB25" s="1941"/>
      <c r="BC25" s="1941"/>
      <c r="BD25" s="1941"/>
      <c r="BE25" s="1941"/>
      <c r="BF25" s="1941"/>
      <c r="BG25" s="1941"/>
      <c r="BH25" s="1941"/>
      <c r="BI25" s="1941"/>
      <c r="BJ25" s="1941"/>
      <c r="BK25" s="1941"/>
      <c r="BL25" s="1941"/>
      <c r="BM25" s="1941"/>
      <c r="BN25" s="1941"/>
      <c r="BO25" s="1941"/>
      <c r="BP25" s="1009"/>
      <c r="BQ25" s="1009"/>
      <c r="BR25" s="1009"/>
      <c r="BS25" s="1009"/>
      <c r="BT25" s="1009"/>
      <c r="BU25" s="1009"/>
      <c r="BV25" s="1009"/>
      <c r="BW25" s="1009"/>
      <c r="BX25" s="1009"/>
      <c r="BY25" s="1009"/>
      <c r="BZ25" s="1009"/>
      <c r="CA25" s="1009"/>
      <c r="CB25" s="1009"/>
      <c r="CC25" s="1009"/>
      <c r="CD25" s="1009"/>
      <c r="CE25" s="1009"/>
      <c r="CF25" s="1009"/>
      <c r="CG25" s="1009"/>
      <c r="CH25" s="1009"/>
      <c r="CI25" s="1009"/>
      <c r="CJ25" s="1009"/>
      <c r="CK25" s="1009"/>
      <c r="CL25" s="1009"/>
      <c r="CM25" s="1009"/>
      <c r="CN25" s="1009"/>
      <c r="CO25" s="1009"/>
      <c r="CP25" s="1009"/>
      <c r="CQ25" s="1009"/>
      <c r="CR25" s="1009"/>
      <c r="CS25" s="1009"/>
      <c r="CT25" s="1009"/>
      <c r="CU25" s="1009"/>
      <c r="CV25" s="1009"/>
      <c r="CW25" s="1009"/>
      <c r="CX25" s="1009"/>
      <c r="CY25" s="1009"/>
      <c r="CZ25" s="1009"/>
      <c r="DA25" s="1009"/>
      <c r="DB25" s="1009"/>
      <c r="DC25" s="1009"/>
      <c r="DD25" s="1009"/>
      <c r="DE25" s="1009"/>
      <c r="DF25" s="1009"/>
      <c r="DG25" s="1009"/>
      <c r="DH25" s="1009"/>
      <c r="DI25" s="1009"/>
      <c r="DJ25" s="1009"/>
      <c r="DK25" s="1009"/>
      <c r="DL25" s="1009"/>
      <c r="DM25" s="1009"/>
      <c r="DN25" s="1009"/>
      <c r="DO25" s="1009"/>
      <c r="DP25" s="1009"/>
      <c r="DQ25" s="1009"/>
      <c r="DR25" s="1009"/>
      <c r="DS25" s="1009"/>
      <c r="DT25" s="1009"/>
      <c r="DU25" s="1009"/>
      <c r="DV25" s="1009"/>
      <c r="DW25" s="1009"/>
      <c r="DX25" s="1009"/>
      <c r="DY25" s="1009"/>
      <c r="DZ25" s="1009"/>
      <c r="EA25" s="1009"/>
      <c r="EB25" s="1009"/>
      <c r="EC25" s="1009"/>
      <c r="ED25" s="1009"/>
      <c r="EE25" s="1009"/>
      <c r="EF25" s="1009"/>
      <c r="EG25" s="1009"/>
      <c r="EH25" s="1009"/>
      <c r="EI25" s="1009"/>
      <c r="EJ25" s="1009"/>
      <c r="EK25" s="1009"/>
      <c r="EL25" s="1009"/>
      <c r="EM25" s="1009"/>
      <c r="EN25" s="1009"/>
      <c r="EO25" s="1009"/>
      <c r="EP25" s="1009"/>
      <c r="EQ25" s="1009"/>
      <c r="ER25" s="1009"/>
      <c r="ES25" s="1009"/>
      <c r="ET25" s="1009"/>
      <c r="EU25" s="1009"/>
      <c r="EV25" s="1009"/>
      <c r="EW25" s="1009"/>
      <c r="EX25" s="1009"/>
      <c r="EY25" s="1009"/>
      <c r="EZ25" s="1009"/>
      <c r="FA25" s="1009"/>
      <c r="FB25" s="1009"/>
      <c r="FC25" s="1009"/>
      <c r="FD25" s="1009"/>
      <c r="FE25" s="1009"/>
      <c r="FF25" s="1009"/>
      <c r="FG25" s="1009"/>
      <c r="FH25" s="1009"/>
      <c r="FI25" s="1009"/>
      <c r="FJ25" s="1009"/>
      <c r="FK25" s="1009"/>
      <c r="FL25" s="1009"/>
      <c r="FM25" s="1009"/>
      <c r="FN25" s="1009"/>
      <c r="FO25" s="1009"/>
      <c r="FP25" s="1009"/>
      <c r="FQ25" s="1009"/>
      <c r="FR25" s="1009"/>
      <c r="FS25" s="1009"/>
      <c r="FT25" s="1009"/>
      <c r="FU25" s="1009"/>
      <c r="FV25" s="1009"/>
      <c r="FW25" s="1009"/>
      <c r="FX25" s="1009"/>
      <c r="FY25" s="1009"/>
      <c r="FZ25" s="1009"/>
      <c r="GA25" s="1009"/>
      <c r="GB25" s="1009"/>
      <c r="GC25" s="1009"/>
      <c r="GD25" s="1009"/>
      <c r="GE25" s="1009"/>
      <c r="GF25" s="1009"/>
      <c r="GG25" s="1009"/>
      <c r="GH25" s="1009"/>
      <c r="GI25" s="1009"/>
      <c r="GJ25" s="1009"/>
      <c r="GK25" s="1009"/>
      <c r="GL25" s="1009"/>
      <c r="GM25" s="1009"/>
      <c r="GN25" s="1009"/>
      <c r="GO25" s="1009"/>
      <c r="GP25" s="1009"/>
      <c r="GQ25" s="1009"/>
      <c r="GR25" s="1009"/>
      <c r="GS25" s="1009"/>
      <c r="GT25" s="1009"/>
      <c r="GU25" s="1009"/>
      <c r="GV25" s="1009"/>
      <c r="GW25" s="1009"/>
      <c r="GX25" s="1009"/>
      <c r="GY25" s="1009"/>
      <c r="GZ25" s="1009"/>
      <c r="HA25" s="1009"/>
      <c r="HB25" s="1009"/>
      <c r="HC25" s="1009"/>
      <c r="HD25" s="1009"/>
      <c r="HE25" s="1009"/>
      <c r="HF25" s="1009"/>
      <c r="HG25" s="1009"/>
      <c r="HH25" s="1009"/>
      <c r="HI25" s="1009"/>
      <c r="HJ25" s="1009"/>
      <c r="HK25" s="1009"/>
      <c r="HL25" s="1009"/>
      <c r="HM25" s="1009"/>
      <c r="HN25" s="1009"/>
      <c r="HO25" s="1009"/>
      <c r="HP25" s="1009"/>
      <c r="HQ25" s="1009"/>
      <c r="HR25" s="1009"/>
      <c r="HS25" s="1009"/>
      <c r="HT25" s="1009"/>
      <c r="HU25" s="1009"/>
      <c r="HV25" s="1009"/>
      <c r="HW25" s="1009"/>
      <c r="HX25" s="1009"/>
      <c r="HY25" s="1009"/>
      <c r="HZ25" s="1009"/>
      <c r="IA25" s="1009"/>
      <c r="IB25" s="1009"/>
      <c r="IC25" s="1009"/>
      <c r="ID25" s="1009"/>
      <c r="IE25" s="1009"/>
      <c r="IF25" s="1009"/>
      <c r="IG25" s="1009"/>
      <c r="IH25" s="1009"/>
      <c r="II25" s="1009"/>
      <c r="IJ25" s="1009"/>
      <c r="IK25" s="1009"/>
      <c r="IL25" s="1009"/>
      <c r="IM25" s="1009"/>
      <c r="IN25" s="1009"/>
      <c r="IO25" s="1009"/>
      <c r="IP25" s="1009"/>
      <c r="IQ25" s="1009"/>
      <c r="IR25" s="1009"/>
      <c r="IS25" s="1009"/>
      <c r="IT25" s="1009"/>
      <c r="IU25" s="1009"/>
      <c r="IV25" s="1009"/>
      <c r="IW25" s="1009"/>
      <c r="IX25" s="1009"/>
      <c r="IY25" s="1009"/>
      <c r="IZ25" s="1009"/>
      <c r="JA25" s="1009"/>
      <c r="JB25" s="1009"/>
      <c r="JC25" s="1009"/>
      <c r="JD25" s="1009"/>
      <c r="JE25" s="1009"/>
      <c r="JF25" s="1009"/>
      <c r="JG25" s="1009"/>
      <c r="JH25" s="1009"/>
      <c r="JI25" s="1009"/>
      <c r="JJ25" s="1009"/>
      <c r="JK25" s="1009"/>
      <c r="JL25" s="1009"/>
      <c r="JM25" s="1009"/>
      <c r="JN25" s="1009"/>
      <c r="JO25" s="1009"/>
      <c r="JP25" s="1009"/>
      <c r="JQ25" s="1009"/>
      <c r="JR25" s="1009"/>
      <c r="JS25" s="1009"/>
      <c r="JT25" s="1009"/>
      <c r="JU25" s="1009"/>
      <c r="JV25" s="1009"/>
      <c r="JW25" s="1009"/>
      <c r="JX25" s="1009"/>
      <c r="JY25" s="1009"/>
      <c r="JZ25" s="1009"/>
      <c r="KA25" s="1009"/>
      <c r="KB25" s="1009"/>
      <c r="KC25" s="1009"/>
      <c r="KD25" s="1009"/>
      <c r="KE25" s="1009"/>
      <c r="KF25" s="1009"/>
      <c r="KG25" s="1009"/>
      <c r="KH25" s="1009"/>
      <c r="KI25" s="1009"/>
      <c r="KJ25" s="1009"/>
      <c r="KK25" s="1009"/>
      <c r="KL25" s="1009"/>
      <c r="KM25" s="1009"/>
      <c r="KN25" s="1009"/>
      <c r="KO25" s="1009"/>
      <c r="KP25" s="1009"/>
      <c r="KQ25" s="1009"/>
      <c r="KR25" s="1009"/>
      <c r="KS25" s="1009"/>
      <c r="KT25" s="1009"/>
      <c r="KU25" s="1009"/>
      <c r="KV25" s="1009"/>
      <c r="KW25" s="1009"/>
      <c r="KX25" s="1009"/>
      <c r="KY25" s="1009"/>
      <c r="KZ25" s="1009"/>
      <c r="LA25" s="1009"/>
      <c r="LB25" s="1009"/>
      <c r="LC25" s="1009"/>
      <c r="LD25" s="1009"/>
      <c r="LE25" s="1009"/>
      <c r="LF25" s="1009"/>
      <c r="LG25" s="1009"/>
      <c r="LH25" s="1009"/>
      <c r="LI25" s="1009"/>
      <c r="LJ25" s="1009"/>
      <c r="LK25" s="1009"/>
      <c r="LL25" s="1009"/>
      <c r="LM25" s="1009"/>
      <c r="LN25" s="1009"/>
      <c r="LO25" s="1009"/>
      <c r="LP25" s="1009"/>
      <c r="LQ25" s="1009"/>
      <c r="LR25" s="1009"/>
      <c r="LS25" s="1009"/>
      <c r="LT25" s="1009"/>
      <c r="LU25" s="1009"/>
      <c r="LV25" s="1009"/>
      <c r="LW25" s="1009"/>
      <c r="LX25" s="1009"/>
      <c r="LY25" s="1009"/>
      <c r="LZ25" s="1009"/>
      <c r="MA25" s="1009"/>
      <c r="MB25" s="1009"/>
      <c r="MC25" s="1009"/>
      <c r="MD25" s="1009"/>
      <c r="ME25" s="1009"/>
      <c r="MF25" s="1009"/>
      <c r="MG25" s="1009"/>
      <c r="MH25" s="1009"/>
      <c r="MI25" s="1009"/>
      <c r="MJ25" s="1009"/>
      <c r="MK25" s="1009"/>
      <c r="ML25" s="1009"/>
      <c r="MM25" s="1009"/>
      <c r="MN25" s="1009"/>
      <c r="MO25" s="1009"/>
      <c r="MP25" s="1009"/>
      <c r="MQ25" s="1009"/>
      <c r="MR25" s="1009"/>
      <c r="MS25" s="1009"/>
      <c r="MT25" s="1009"/>
      <c r="MU25" s="1009"/>
      <c r="MV25" s="1009"/>
      <c r="MW25" s="1009"/>
      <c r="MX25" s="1009"/>
      <c r="MY25" s="1009"/>
      <c r="MZ25" s="1009"/>
      <c r="NA25" s="1009"/>
      <c r="NB25" s="1009"/>
      <c r="NC25" s="1009"/>
      <c r="ND25" s="1009"/>
      <c r="NE25" s="1009"/>
      <c r="NF25" s="1009"/>
      <c r="NG25" s="1009"/>
      <c r="NH25" s="1009"/>
      <c r="NI25" s="1009"/>
      <c r="NJ25" s="1009"/>
      <c r="NK25" s="1009"/>
      <c r="NL25" s="1009"/>
      <c r="NM25" s="1009"/>
      <c r="NN25" s="1009"/>
      <c r="NO25" s="1009"/>
      <c r="NP25" s="1009"/>
      <c r="NQ25" s="1009"/>
      <c r="NR25" s="1009"/>
      <c r="NS25" s="1009"/>
      <c r="NT25" s="1009"/>
      <c r="NU25" s="1009"/>
      <c r="NV25" s="1009"/>
      <c r="NW25" s="1009"/>
      <c r="NX25" s="1009"/>
      <c r="NY25" s="1009"/>
      <c r="NZ25" s="1009"/>
      <c r="OA25" s="1009"/>
      <c r="OB25" s="1009"/>
      <c r="OC25" s="1009"/>
      <c r="OD25" s="1009"/>
      <c r="OE25" s="1009"/>
      <c r="OF25" s="1009"/>
      <c r="OG25" s="1009"/>
      <c r="OH25" s="1009"/>
      <c r="OI25" s="1009"/>
      <c r="OJ25" s="1009"/>
      <c r="OK25" s="1009"/>
      <c r="OL25" s="1009"/>
      <c r="OM25" s="1009"/>
      <c r="ON25" s="1009"/>
      <c r="OO25" s="1009"/>
      <c r="OP25" s="1009"/>
      <c r="OQ25" s="1009"/>
      <c r="OR25" s="1009"/>
      <c r="OS25" s="1009"/>
      <c r="OT25" s="1009"/>
      <c r="OU25" s="1009"/>
      <c r="OV25" s="1009"/>
      <c r="OW25" s="1009"/>
      <c r="OX25" s="1009"/>
      <c r="OY25" s="1009"/>
      <c r="OZ25" s="1009"/>
      <c r="PA25" s="1009"/>
      <c r="PB25" s="1009"/>
      <c r="PC25" s="1009"/>
      <c r="PD25" s="1009"/>
      <c r="PE25" s="1009"/>
      <c r="PF25" s="1009"/>
      <c r="PG25" s="1009"/>
      <c r="PH25" s="1009"/>
      <c r="PI25" s="1009"/>
      <c r="PJ25" s="1009"/>
      <c r="PK25" s="1009"/>
      <c r="PL25" s="1009"/>
      <c r="PM25" s="1009"/>
      <c r="PN25" s="1009"/>
      <c r="PO25" s="1009"/>
      <c r="PP25" s="1009"/>
      <c r="PQ25" s="1009"/>
      <c r="PR25" s="1009"/>
      <c r="PS25" s="1009"/>
      <c r="PT25" s="1009"/>
      <c r="PU25" s="1009"/>
      <c r="PV25" s="1009"/>
      <c r="PW25" s="1009"/>
      <c r="PX25" s="1009"/>
      <c r="PY25" s="1009"/>
      <c r="PZ25" s="1009"/>
      <c r="QA25" s="1009"/>
      <c r="QB25" s="1009"/>
      <c r="QC25" s="1009"/>
      <c r="QD25" s="1009"/>
      <c r="QE25" s="1009"/>
      <c r="QF25" s="1009"/>
      <c r="QG25" s="1009"/>
      <c r="QH25" s="1009"/>
      <c r="QI25" s="1009"/>
      <c r="QJ25" s="1009"/>
      <c r="QK25" s="1009"/>
      <c r="QL25" s="1009"/>
      <c r="QM25" s="1009"/>
      <c r="QN25" s="1009"/>
      <c r="QO25" s="1009"/>
      <c r="QP25" s="1009"/>
      <c r="QQ25" s="1009"/>
      <c r="QR25" s="1009"/>
      <c r="QS25" s="1009"/>
      <c r="QT25" s="1009"/>
      <c r="QU25" s="1009"/>
      <c r="QV25" s="1009"/>
      <c r="QW25" s="1009"/>
      <c r="QX25" s="1009"/>
      <c r="QY25" s="1009"/>
      <c r="QZ25" s="1009"/>
      <c r="RA25" s="1009"/>
      <c r="RB25" s="1009"/>
      <c r="RC25" s="1009"/>
      <c r="RD25" s="1009"/>
      <c r="RE25" s="1009"/>
      <c r="RF25" s="1009"/>
      <c r="RG25" s="1009"/>
      <c r="RH25" s="1009"/>
      <c r="RI25" s="1009"/>
      <c r="RJ25" s="1009"/>
      <c r="RK25" s="1009"/>
      <c r="RL25" s="1009"/>
      <c r="RM25" s="1009"/>
      <c r="RN25" s="1009"/>
      <c r="RO25" s="1009"/>
      <c r="RP25" s="1009"/>
      <c r="RQ25" s="1009"/>
      <c r="RR25" s="1009"/>
      <c r="RS25" s="1009"/>
      <c r="RT25" s="1009"/>
      <c r="RU25" s="1009"/>
      <c r="RV25" s="1009"/>
      <c r="RW25" s="1009"/>
      <c r="RX25" s="1009"/>
      <c r="RY25" s="1009"/>
      <c r="RZ25" s="1009"/>
      <c r="SA25" s="1009"/>
      <c r="SB25" s="1009"/>
      <c r="SC25" s="1009"/>
      <c r="SD25" s="1009"/>
      <c r="SE25" s="1009"/>
      <c r="SF25" s="1009"/>
      <c r="SG25" s="1009"/>
      <c r="SH25" s="1009"/>
      <c r="SI25" s="1009"/>
      <c r="SJ25" s="1009"/>
      <c r="SK25" s="1009"/>
      <c r="SL25" s="1009"/>
      <c r="SM25" s="1009"/>
      <c r="SN25" s="1009"/>
      <c r="SO25" s="1009"/>
      <c r="SP25" s="1009"/>
      <c r="SQ25" s="1009"/>
      <c r="SR25" s="1009"/>
      <c r="SS25" s="1009"/>
      <c r="ST25" s="1009"/>
      <c r="SU25" s="1009"/>
      <c r="SV25" s="1009"/>
      <c r="SW25" s="1009"/>
      <c r="SX25" s="1009"/>
      <c r="SY25" s="1009"/>
      <c r="SZ25" s="1009"/>
      <c r="TA25" s="1009"/>
      <c r="TB25" s="1009"/>
      <c r="TC25" s="1009"/>
      <c r="TD25" s="1009"/>
      <c r="TE25" s="1009"/>
      <c r="TF25" s="1009"/>
      <c r="TG25" s="1009"/>
      <c r="TH25" s="1009"/>
      <c r="TI25" s="1009"/>
      <c r="TJ25" s="1009"/>
      <c r="TK25" s="1009"/>
      <c r="TL25" s="1009"/>
      <c r="TM25" s="1009"/>
      <c r="TN25" s="1009"/>
      <c r="TO25" s="1009"/>
      <c r="TP25" s="1009"/>
      <c r="TQ25" s="1009"/>
      <c r="TR25" s="1009"/>
      <c r="TS25" s="1009"/>
      <c r="TT25" s="1009"/>
      <c r="TU25" s="1009"/>
      <c r="TV25" s="1009"/>
      <c r="TW25" s="1009"/>
      <c r="TX25" s="1009"/>
      <c r="TY25" s="1009"/>
      <c r="TZ25" s="1009"/>
      <c r="UA25" s="1009"/>
      <c r="UB25" s="1009"/>
      <c r="UC25" s="1009"/>
      <c r="UD25" s="1009"/>
      <c r="UE25" s="1009"/>
      <c r="UF25" s="1009"/>
      <c r="UG25" s="1009"/>
      <c r="UH25" s="1009"/>
      <c r="UI25" s="1009"/>
      <c r="UJ25" s="1009"/>
      <c r="UK25" s="1009"/>
      <c r="UL25" s="1009"/>
      <c r="UM25" s="1009"/>
      <c r="UN25" s="1009"/>
      <c r="UO25" s="1009"/>
      <c r="UP25" s="1009"/>
      <c r="UQ25" s="1009"/>
      <c r="UR25" s="1009"/>
      <c r="US25" s="1009"/>
      <c r="UT25" s="1009"/>
      <c r="UU25" s="1009"/>
      <c r="UV25" s="1009"/>
      <c r="UW25" s="1009"/>
      <c r="UX25" s="1009"/>
      <c r="UY25" s="1009"/>
      <c r="UZ25" s="1009"/>
      <c r="VA25" s="1009"/>
      <c r="VB25" s="1009"/>
      <c r="VC25" s="1009"/>
      <c r="VD25" s="1009"/>
      <c r="VE25" s="1009"/>
      <c r="VF25" s="1009"/>
      <c r="VG25" s="1009"/>
      <c r="VH25" s="1009"/>
      <c r="VI25" s="1009"/>
      <c r="VJ25" s="1009"/>
      <c r="VK25" s="1009"/>
      <c r="VL25" s="1009"/>
      <c r="VM25" s="1009"/>
      <c r="VN25" s="1009"/>
      <c r="VO25" s="1009"/>
      <c r="VP25" s="1009"/>
      <c r="VQ25" s="1009"/>
      <c r="VR25" s="1009"/>
      <c r="VS25" s="1009"/>
      <c r="VT25" s="1009"/>
      <c r="VU25" s="1009"/>
      <c r="VV25" s="1009"/>
      <c r="VW25" s="1009"/>
      <c r="VX25" s="1009"/>
      <c r="VY25" s="1009"/>
      <c r="VZ25" s="1009"/>
      <c r="WA25" s="1009"/>
      <c r="WB25" s="1009"/>
      <c r="WC25" s="1009"/>
      <c r="WD25" s="1009"/>
      <c r="WE25" s="1009"/>
      <c r="WF25" s="1009"/>
      <c r="WG25" s="1009"/>
      <c r="WH25" s="1009"/>
      <c r="WI25" s="1009"/>
      <c r="WJ25" s="1009"/>
      <c r="WK25" s="1009"/>
      <c r="WL25" s="1009"/>
      <c r="WM25" s="1009"/>
      <c r="WN25" s="1009"/>
      <c r="WO25" s="1009"/>
      <c r="WP25" s="1009"/>
      <c r="WQ25" s="1009"/>
      <c r="WR25" s="1009"/>
      <c r="WS25" s="1009"/>
      <c r="WT25" s="1009"/>
      <c r="WU25" s="1009"/>
      <c r="WV25" s="1009"/>
      <c r="WW25" s="1009"/>
      <c r="WX25" s="1009"/>
      <c r="WY25" s="1009"/>
      <c r="WZ25" s="1009"/>
      <c r="XA25" s="1009"/>
      <c r="XB25" s="1009"/>
      <c r="XC25" s="1009"/>
      <c r="XD25" s="1009"/>
      <c r="XE25" s="1009"/>
      <c r="XF25" s="1009"/>
      <c r="XG25" s="1009"/>
      <c r="XH25" s="1009"/>
      <c r="XI25" s="1009"/>
      <c r="XJ25" s="1009"/>
      <c r="XK25" s="1009"/>
      <c r="XL25" s="1009"/>
      <c r="XM25" s="1009"/>
      <c r="XN25" s="1009"/>
      <c r="XO25" s="1009"/>
      <c r="XP25" s="1009"/>
      <c r="XQ25" s="1009"/>
      <c r="XR25" s="1009"/>
      <c r="XS25" s="1009"/>
      <c r="XT25" s="1009"/>
      <c r="XU25" s="1009"/>
      <c r="XV25" s="1009"/>
      <c r="XW25" s="1009"/>
      <c r="XX25" s="1009"/>
      <c r="XY25" s="1009"/>
      <c r="XZ25" s="1009"/>
      <c r="YA25" s="1009"/>
      <c r="YB25" s="1009"/>
      <c r="YC25" s="1009"/>
      <c r="YD25" s="1009"/>
      <c r="YE25" s="1009"/>
      <c r="YF25" s="1009"/>
      <c r="YG25" s="1009"/>
      <c r="YH25" s="1009"/>
      <c r="YI25" s="1009"/>
      <c r="YJ25" s="1009"/>
      <c r="YK25" s="1009"/>
      <c r="YL25" s="1009"/>
      <c r="YM25" s="1009"/>
      <c r="YN25" s="1009"/>
      <c r="YO25" s="1009"/>
      <c r="YP25" s="1009"/>
      <c r="YQ25" s="1009"/>
      <c r="YR25" s="1009"/>
      <c r="YS25" s="1009"/>
      <c r="YT25" s="1009"/>
      <c r="YU25" s="1009"/>
      <c r="YV25" s="1009"/>
      <c r="YW25" s="1009"/>
      <c r="YX25" s="1009"/>
      <c r="YY25" s="1009"/>
      <c r="YZ25" s="1009"/>
      <c r="ZA25" s="1009"/>
      <c r="ZB25" s="1009"/>
      <c r="ZC25" s="1009"/>
      <c r="ZD25" s="1009"/>
      <c r="ZE25" s="1009"/>
      <c r="ZF25" s="1009"/>
      <c r="ZG25" s="1009"/>
      <c r="ZH25" s="1009"/>
      <c r="ZI25" s="1009"/>
      <c r="ZJ25" s="1009"/>
      <c r="ZK25" s="1009"/>
      <c r="ZL25" s="1009"/>
      <c r="ZM25" s="1009"/>
      <c r="ZN25" s="1009"/>
      <c r="ZO25" s="1009"/>
      <c r="ZP25" s="1009"/>
      <c r="ZQ25" s="1009"/>
      <c r="ZR25" s="1009"/>
      <c r="ZS25" s="1009"/>
      <c r="ZT25" s="1009"/>
      <c r="ZU25" s="1009"/>
      <c r="ZV25" s="1009"/>
      <c r="ZW25" s="1009"/>
      <c r="ZX25" s="1009"/>
      <c r="ZY25" s="1009"/>
      <c r="ZZ25" s="1009"/>
      <c r="AAA25" s="1009"/>
      <c r="AAB25" s="1009"/>
      <c r="AAC25" s="1009"/>
      <c r="AAD25" s="1009"/>
      <c r="AAE25" s="1009"/>
      <c r="AAF25" s="1009"/>
      <c r="AAG25" s="1009"/>
      <c r="AAH25" s="1009"/>
      <c r="AAI25" s="1009"/>
      <c r="AAJ25" s="1009"/>
      <c r="AAK25" s="1009"/>
      <c r="AAL25" s="1009"/>
      <c r="AAM25" s="1009"/>
      <c r="AAN25" s="1009"/>
      <c r="AAO25" s="1009"/>
      <c r="AAP25" s="1009"/>
      <c r="AAQ25" s="1009"/>
      <c r="AAR25" s="1009"/>
      <c r="AAS25" s="1009"/>
      <c r="AAT25" s="1009"/>
      <c r="AAU25" s="1009"/>
      <c r="AAV25" s="1009"/>
      <c r="AAW25" s="1009"/>
      <c r="AAX25" s="1009"/>
      <c r="AAY25" s="1009"/>
      <c r="AAZ25" s="1009"/>
      <c r="ABA25" s="1009"/>
      <c r="ABB25" s="1009"/>
      <c r="ABC25" s="1009"/>
      <c r="ABD25" s="1009"/>
      <c r="ABE25" s="1009"/>
      <c r="ABF25" s="1009"/>
      <c r="ABG25" s="1009"/>
      <c r="ABH25" s="1009"/>
      <c r="ABI25" s="1009"/>
      <c r="ABJ25" s="1009"/>
      <c r="ABK25" s="1009"/>
      <c r="ABL25" s="1009"/>
      <c r="ABM25" s="1009"/>
      <c r="ABN25" s="1009"/>
      <c r="ABO25" s="1009"/>
      <c r="ABP25" s="1009"/>
      <c r="ABQ25" s="1009"/>
      <c r="ABR25" s="1009"/>
    </row>
    <row r="26" spans="1:746" s="111" customFormat="1" ht="12.9" hidden="1" customHeight="1" thickBot="1">
      <c r="A26" s="1252"/>
      <c r="B26" s="2957" t="s">
        <v>1261</v>
      </c>
      <c r="C26" s="2958"/>
      <c r="D26" s="348"/>
      <c r="E26" s="347" t="s">
        <v>1</v>
      </c>
      <c r="F26" s="1240"/>
      <c r="G26" s="347">
        <v>0.25</v>
      </c>
      <c r="H26" s="2349"/>
      <c r="I26" s="2364"/>
      <c r="J26" s="809"/>
      <c r="K26" s="809"/>
      <c r="L26" s="809"/>
      <c r="M26" s="809"/>
      <c r="N26" s="809"/>
      <c r="O26" s="809"/>
      <c r="P26" s="809"/>
      <c r="Q26" s="809"/>
      <c r="R26" s="809"/>
      <c r="S26" s="809"/>
      <c r="T26" s="809"/>
      <c r="U26" s="809"/>
      <c r="V26" s="809"/>
      <c r="W26" s="809"/>
      <c r="X26" s="809"/>
      <c r="Y26" s="809"/>
      <c r="Z26" s="809"/>
      <c r="AA26" s="809"/>
      <c r="AB26" s="809"/>
      <c r="AC26" s="809"/>
      <c r="AD26" s="809"/>
      <c r="AE26" s="809"/>
      <c r="AF26" s="809"/>
      <c r="AG26" s="1042"/>
      <c r="AH26" s="333"/>
      <c r="AI26" s="333"/>
      <c r="AJ26" s="418">
        <f>IF(fx!$C$57=1,SUMIF(fx!I$57:T$57,1,I26:T26),IF(fx!$C$57=2,SUMIF(fx!O$57:AF$57,1,O26:AF26)))</f>
        <v>0</v>
      </c>
      <c r="AK26" s="419"/>
      <c r="AL26" s="417">
        <f>IF(fx!$C$57=1,SUM(U26:AF26),0)</f>
        <v>0</v>
      </c>
      <c r="AM26" s="1012"/>
      <c r="AN26" s="1011"/>
      <c r="AO26" s="1945" t="s">
        <v>1089</v>
      </c>
      <c r="AP26" s="1935"/>
      <c r="AQ26" s="1936"/>
      <c r="AR26" s="1941"/>
      <c r="AS26" s="1941"/>
      <c r="AT26" s="1941"/>
      <c r="AU26" s="1941"/>
      <c r="AV26" s="1941"/>
      <c r="AW26" s="1941"/>
      <c r="AX26" s="1941"/>
      <c r="AY26" s="1941"/>
      <c r="AZ26" s="1941"/>
      <c r="BA26" s="1941"/>
      <c r="BB26" s="1941"/>
      <c r="BC26" s="1941"/>
      <c r="BD26" s="1941"/>
      <c r="BE26" s="1941"/>
      <c r="BF26" s="1941"/>
      <c r="BG26" s="1941"/>
      <c r="BH26" s="1941"/>
      <c r="BI26" s="1941"/>
      <c r="BJ26" s="1941"/>
      <c r="BK26" s="1941"/>
      <c r="BL26" s="1941"/>
      <c r="BM26" s="1941"/>
      <c r="BN26" s="1941"/>
      <c r="BO26" s="1941"/>
      <c r="BP26" s="1009"/>
      <c r="BQ26" s="1009"/>
      <c r="BR26" s="1009"/>
      <c r="BS26" s="1009"/>
      <c r="BT26" s="1009"/>
      <c r="BU26" s="1009"/>
      <c r="BV26" s="1009"/>
      <c r="BW26" s="1009"/>
      <c r="BX26" s="1009"/>
      <c r="BY26" s="1009"/>
      <c r="BZ26" s="1009"/>
      <c r="CA26" s="1009"/>
      <c r="CB26" s="1009"/>
      <c r="CC26" s="1009"/>
      <c r="CD26" s="1009"/>
      <c r="CE26" s="1009"/>
      <c r="CF26" s="1009"/>
      <c r="CG26" s="1009"/>
      <c r="CH26" s="1009"/>
      <c r="CI26" s="1009"/>
      <c r="CJ26" s="1009"/>
      <c r="CK26" s="1009"/>
      <c r="CL26" s="1009"/>
      <c r="CM26" s="1009"/>
      <c r="CN26" s="1009"/>
      <c r="CO26" s="1009"/>
      <c r="CP26" s="1009"/>
      <c r="CQ26" s="1009"/>
      <c r="CR26" s="1009"/>
      <c r="CS26" s="1009"/>
      <c r="CT26" s="1009"/>
      <c r="CU26" s="1009"/>
      <c r="CV26" s="1009"/>
      <c r="CW26" s="1009"/>
      <c r="CX26" s="1009"/>
      <c r="CY26" s="1009"/>
      <c r="CZ26" s="1009"/>
      <c r="DA26" s="1009"/>
      <c r="DB26" s="1009"/>
      <c r="DC26" s="1009"/>
      <c r="DD26" s="1009"/>
      <c r="DE26" s="1009"/>
      <c r="DF26" s="1009"/>
      <c r="DG26" s="1009"/>
      <c r="DH26" s="1009"/>
      <c r="DI26" s="1009"/>
      <c r="DJ26" s="1009"/>
      <c r="DK26" s="1009"/>
      <c r="DL26" s="1009"/>
      <c r="DM26" s="1009"/>
      <c r="DN26" s="1009"/>
      <c r="DO26" s="1009"/>
      <c r="DP26" s="1009"/>
      <c r="DQ26" s="1009"/>
      <c r="DR26" s="1009"/>
      <c r="DS26" s="1009"/>
      <c r="DT26" s="1009"/>
      <c r="DU26" s="1009"/>
      <c r="DV26" s="1009"/>
      <c r="DW26" s="1009"/>
      <c r="DX26" s="1009"/>
      <c r="DY26" s="1009"/>
      <c r="DZ26" s="1009"/>
      <c r="EA26" s="1009"/>
      <c r="EB26" s="1009"/>
      <c r="EC26" s="1009"/>
      <c r="ED26" s="1009"/>
      <c r="EE26" s="1009"/>
      <c r="EF26" s="1009"/>
      <c r="EG26" s="1009"/>
      <c r="EH26" s="1009"/>
      <c r="EI26" s="1009"/>
      <c r="EJ26" s="1009"/>
      <c r="EK26" s="1009"/>
      <c r="EL26" s="1009"/>
      <c r="EM26" s="1009"/>
      <c r="EN26" s="1009"/>
      <c r="EO26" s="1009"/>
      <c r="EP26" s="1009"/>
      <c r="EQ26" s="1009"/>
      <c r="ER26" s="1009"/>
      <c r="ES26" s="1009"/>
      <c r="ET26" s="1009"/>
      <c r="EU26" s="1009"/>
      <c r="EV26" s="1009"/>
      <c r="EW26" s="1009"/>
      <c r="EX26" s="1009"/>
      <c r="EY26" s="1009"/>
      <c r="EZ26" s="1009"/>
      <c r="FA26" s="1009"/>
      <c r="FB26" s="1009"/>
      <c r="FC26" s="1009"/>
      <c r="FD26" s="1009"/>
      <c r="FE26" s="1009"/>
      <c r="FF26" s="1009"/>
      <c r="FG26" s="1009"/>
      <c r="FH26" s="1009"/>
      <c r="FI26" s="1009"/>
      <c r="FJ26" s="1009"/>
      <c r="FK26" s="1009"/>
      <c r="FL26" s="1009"/>
      <c r="FM26" s="1009"/>
      <c r="FN26" s="1009"/>
      <c r="FO26" s="1009"/>
      <c r="FP26" s="1009"/>
      <c r="FQ26" s="1009"/>
      <c r="FR26" s="1009"/>
      <c r="FS26" s="1009"/>
      <c r="FT26" s="1009"/>
      <c r="FU26" s="1009"/>
      <c r="FV26" s="1009"/>
      <c r="FW26" s="1009"/>
      <c r="FX26" s="1009"/>
      <c r="FY26" s="1009"/>
      <c r="FZ26" s="1009"/>
      <c r="GA26" s="1009"/>
      <c r="GB26" s="1009"/>
      <c r="GC26" s="1009"/>
      <c r="GD26" s="1009"/>
      <c r="GE26" s="1009"/>
      <c r="GF26" s="1009"/>
      <c r="GG26" s="1009"/>
      <c r="GH26" s="1009"/>
      <c r="GI26" s="1009"/>
      <c r="GJ26" s="1009"/>
      <c r="GK26" s="1009"/>
      <c r="GL26" s="1009"/>
      <c r="GM26" s="1009"/>
      <c r="GN26" s="1009"/>
      <c r="GO26" s="1009"/>
      <c r="GP26" s="1009"/>
      <c r="GQ26" s="1009"/>
      <c r="GR26" s="1009"/>
      <c r="GS26" s="1009"/>
      <c r="GT26" s="1009"/>
      <c r="GU26" s="1009"/>
      <c r="GV26" s="1009"/>
      <c r="GW26" s="1009"/>
      <c r="GX26" s="1009"/>
      <c r="GY26" s="1009"/>
      <c r="GZ26" s="1009"/>
      <c r="HA26" s="1009"/>
      <c r="HB26" s="1009"/>
      <c r="HC26" s="1009"/>
      <c r="HD26" s="1009"/>
      <c r="HE26" s="1009"/>
      <c r="HF26" s="1009"/>
      <c r="HG26" s="1009"/>
      <c r="HH26" s="1009"/>
      <c r="HI26" s="1009"/>
      <c r="HJ26" s="1009"/>
      <c r="HK26" s="1009"/>
      <c r="HL26" s="1009"/>
      <c r="HM26" s="1009"/>
      <c r="HN26" s="1009"/>
      <c r="HO26" s="1009"/>
      <c r="HP26" s="1009"/>
      <c r="HQ26" s="1009"/>
      <c r="HR26" s="1009"/>
      <c r="HS26" s="1009"/>
      <c r="HT26" s="1009"/>
      <c r="HU26" s="1009"/>
      <c r="HV26" s="1009"/>
      <c r="HW26" s="1009"/>
      <c r="HX26" s="1009"/>
      <c r="HY26" s="1009"/>
      <c r="HZ26" s="1009"/>
      <c r="IA26" s="1009"/>
      <c r="IB26" s="1009"/>
      <c r="IC26" s="1009"/>
      <c r="ID26" s="1009"/>
      <c r="IE26" s="1009"/>
      <c r="IF26" s="1009"/>
      <c r="IG26" s="1009"/>
      <c r="IH26" s="1009"/>
      <c r="II26" s="1009"/>
      <c r="IJ26" s="1009"/>
      <c r="IK26" s="1009"/>
      <c r="IL26" s="1009"/>
      <c r="IM26" s="1009"/>
      <c r="IN26" s="1009"/>
      <c r="IO26" s="1009"/>
      <c r="IP26" s="1009"/>
      <c r="IQ26" s="1009"/>
      <c r="IR26" s="1009"/>
      <c r="IS26" s="1009"/>
      <c r="IT26" s="1009"/>
      <c r="IU26" s="1009"/>
      <c r="IV26" s="1009"/>
      <c r="IW26" s="1009"/>
      <c r="IX26" s="1009"/>
      <c r="IY26" s="1009"/>
      <c r="IZ26" s="1009"/>
      <c r="JA26" s="1009"/>
      <c r="JB26" s="1009"/>
      <c r="JC26" s="1009"/>
      <c r="JD26" s="1009"/>
      <c r="JE26" s="1009"/>
      <c r="JF26" s="1009"/>
      <c r="JG26" s="1009"/>
      <c r="JH26" s="1009"/>
      <c r="JI26" s="1009"/>
      <c r="JJ26" s="1009"/>
      <c r="JK26" s="1009"/>
      <c r="JL26" s="1009"/>
      <c r="JM26" s="1009"/>
      <c r="JN26" s="1009"/>
      <c r="JO26" s="1009"/>
      <c r="JP26" s="1009"/>
      <c r="JQ26" s="1009"/>
      <c r="JR26" s="1009"/>
      <c r="JS26" s="1009"/>
      <c r="JT26" s="1009"/>
      <c r="JU26" s="1009"/>
      <c r="JV26" s="1009"/>
      <c r="JW26" s="1009"/>
      <c r="JX26" s="1009"/>
      <c r="JY26" s="1009"/>
      <c r="JZ26" s="1009"/>
      <c r="KA26" s="1009"/>
      <c r="KB26" s="1009"/>
      <c r="KC26" s="1009"/>
      <c r="KD26" s="1009"/>
      <c r="KE26" s="1009"/>
      <c r="KF26" s="1009"/>
      <c r="KG26" s="1009"/>
      <c r="KH26" s="1009"/>
      <c r="KI26" s="1009"/>
      <c r="KJ26" s="1009"/>
      <c r="KK26" s="1009"/>
      <c r="KL26" s="1009"/>
      <c r="KM26" s="1009"/>
      <c r="KN26" s="1009"/>
      <c r="KO26" s="1009"/>
      <c r="KP26" s="1009"/>
      <c r="KQ26" s="1009"/>
      <c r="KR26" s="1009"/>
      <c r="KS26" s="1009"/>
      <c r="KT26" s="1009"/>
      <c r="KU26" s="1009"/>
      <c r="KV26" s="1009"/>
      <c r="KW26" s="1009"/>
      <c r="KX26" s="1009"/>
      <c r="KY26" s="1009"/>
      <c r="KZ26" s="1009"/>
      <c r="LA26" s="1009"/>
      <c r="LB26" s="1009"/>
      <c r="LC26" s="1009"/>
      <c r="LD26" s="1009"/>
      <c r="LE26" s="1009"/>
      <c r="LF26" s="1009"/>
      <c r="LG26" s="1009"/>
      <c r="LH26" s="1009"/>
      <c r="LI26" s="1009"/>
      <c r="LJ26" s="1009"/>
      <c r="LK26" s="1009"/>
      <c r="LL26" s="1009"/>
      <c r="LM26" s="1009"/>
      <c r="LN26" s="1009"/>
      <c r="LO26" s="1009"/>
      <c r="LP26" s="1009"/>
      <c r="LQ26" s="1009"/>
      <c r="LR26" s="1009"/>
      <c r="LS26" s="1009"/>
      <c r="LT26" s="1009"/>
      <c r="LU26" s="1009"/>
      <c r="LV26" s="1009"/>
      <c r="LW26" s="1009"/>
      <c r="LX26" s="1009"/>
      <c r="LY26" s="1009"/>
      <c r="LZ26" s="1009"/>
      <c r="MA26" s="1009"/>
      <c r="MB26" s="1009"/>
      <c r="MC26" s="1009"/>
      <c r="MD26" s="1009"/>
      <c r="ME26" s="1009"/>
      <c r="MF26" s="1009"/>
      <c r="MG26" s="1009"/>
      <c r="MH26" s="1009"/>
      <c r="MI26" s="1009"/>
      <c r="MJ26" s="1009"/>
      <c r="MK26" s="1009"/>
      <c r="ML26" s="1009"/>
      <c r="MM26" s="1009"/>
      <c r="MN26" s="1009"/>
      <c r="MO26" s="1009"/>
      <c r="MP26" s="1009"/>
      <c r="MQ26" s="1009"/>
      <c r="MR26" s="1009"/>
      <c r="MS26" s="1009"/>
      <c r="MT26" s="1009"/>
      <c r="MU26" s="1009"/>
      <c r="MV26" s="1009"/>
      <c r="MW26" s="1009"/>
      <c r="MX26" s="1009"/>
      <c r="MY26" s="1009"/>
      <c r="MZ26" s="1009"/>
      <c r="NA26" s="1009"/>
      <c r="NB26" s="1009"/>
      <c r="NC26" s="1009"/>
      <c r="ND26" s="1009"/>
      <c r="NE26" s="1009"/>
      <c r="NF26" s="1009"/>
      <c r="NG26" s="1009"/>
      <c r="NH26" s="1009"/>
      <c r="NI26" s="1009"/>
      <c r="NJ26" s="1009"/>
      <c r="NK26" s="1009"/>
      <c r="NL26" s="1009"/>
      <c r="NM26" s="1009"/>
      <c r="NN26" s="1009"/>
      <c r="NO26" s="1009"/>
      <c r="NP26" s="1009"/>
      <c r="NQ26" s="1009"/>
      <c r="NR26" s="1009"/>
      <c r="NS26" s="1009"/>
      <c r="NT26" s="1009"/>
      <c r="NU26" s="1009"/>
      <c r="NV26" s="1009"/>
      <c r="NW26" s="1009"/>
      <c r="NX26" s="1009"/>
      <c r="NY26" s="1009"/>
      <c r="NZ26" s="1009"/>
      <c r="OA26" s="1009"/>
      <c r="OB26" s="1009"/>
      <c r="OC26" s="1009"/>
      <c r="OD26" s="1009"/>
      <c r="OE26" s="1009"/>
      <c r="OF26" s="1009"/>
      <c r="OG26" s="1009"/>
      <c r="OH26" s="1009"/>
      <c r="OI26" s="1009"/>
      <c r="OJ26" s="1009"/>
      <c r="OK26" s="1009"/>
      <c r="OL26" s="1009"/>
      <c r="OM26" s="1009"/>
      <c r="ON26" s="1009"/>
      <c r="OO26" s="1009"/>
      <c r="OP26" s="1009"/>
      <c r="OQ26" s="1009"/>
      <c r="OR26" s="1009"/>
      <c r="OS26" s="1009"/>
      <c r="OT26" s="1009"/>
      <c r="OU26" s="1009"/>
      <c r="OV26" s="1009"/>
      <c r="OW26" s="1009"/>
      <c r="OX26" s="1009"/>
      <c r="OY26" s="1009"/>
      <c r="OZ26" s="1009"/>
      <c r="PA26" s="1009"/>
      <c r="PB26" s="1009"/>
      <c r="PC26" s="1009"/>
      <c r="PD26" s="1009"/>
      <c r="PE26" s="1009"/>
      <c r="PF26" s="1009"/>
      <c r="PG26" s="1009"/>
      <c r="PH26" s="1009"/>
      <c r="PI26" s="1009"/>
      <c r="PJ26" s="1009"/>
      <c r="PK26" s="1009"/>
      <c r="PL26" s="1009"/>
      <c r="PM26" s="1009"/>
      <c r="PN26" s="1009"/>
      <c r="PO26" s="1009"/>
      <c r="PP26" s="1009"/>
      <c r="PQ26" s="1009"/>
      <c r="PR26" s="1009"/>
      <c r="PS26" s="1009"/>
      <c r="PT26" s="1009"/>
      <c r="PU26" s="1009"/>
      <c r="PV26" s="1009"/>
      <c r="PW26" s="1009"/>
      <c r="PX26" s="1009"/>
      <c r="PY26" s="1009"/>
      <c r="PZ26" s="1009"/>
      <c r="QA26" s="1009"/>
      <c r="QB26" s="1009"/>
      <c r="QC26" s="1009"/>
      <c r="QD26" s="1009"/>
      <c r="QE26" s="1009"/>
      <c r="QF26" s="1009"/>
      <c r="QG26" s="1009"/>
      <c r="QH26" s="1009"/>
      <c r="QI26" s="1009"/>
      <c r="QJ26" s="1009"/>
      <c r="QK26" s="1009"/>
      <c r="QL26" s="1009"/>
      <c r="QM26" s="1009"/>
      <c r="QN26" s="1009"/>
      <c r="QO26" s="1009"/>
      <c r="QP26" s="1009"/>
      <c r="QQ26" s="1009"/>
      <c r="QR26" s="1009"/>
      <c r="QS26" s="1009"/>
      <c r="QT26" s="1009"/>
      <c r="QU26" s="1009"/>
      <c r="QV26" s="1009"/>
      <c r="QW26" s="1009"/>
      <c r="QX26" s="1009"/>
      <c r="QY26" s="1009"/>
      <c r="QZ26" s="1009"/>
      <c r="RA26" s="1009"/>
      <c r="RB26" s="1009"/>
      <c r="RC26" s="1009"/>
      <c r="RD26" s="1009"/>
      <c r="RE26" s="1009"/>
      <c r="RF26" s="1009"/>
      <c r="RG26" s="1009"/>
      <c r="RH26" s="1009"/>
      <c r="RI26" s="1009"/>
      <c r="RJ26" s="1009"/>
      <c r="RK26" s="1009"/>
      <c r="RL26" s="1009"/>
      <c r="RM26" s="1009"/>
      <c r="RN26" s="1009"/>
      <c r="RO26" s="1009"/>
      <c r="RP26" s="1009"/>
      <c r="RQ26" s="1009"/>
      <c r="RR26" s="1009"/>
      <c r="RS26" s="1009"/>
      <c r="RT26" s="1009"/>
      <c r="RU26" s="1009"/>
      <c r="RV26" s="1009"/>
      <c r="RW26" s="1009"/>
      <c r="RX26" s="1009"/>
      <c r="RY26" s="1009"/>
      <c r="RZ26" s="1009"/>
      <c r="SA26" s="1009"/>
      <c r="SB26" s="1009"/>
      <c r="SC26" s="1009"/>
      <c r="SD26" s="1009"/>
      <c r="SE26" s="1009"/>
      <c r="SF26" s="1009"/>
      <c r="SG26" s="1009"/>
      <c r="SH26" s="1009"/>
      <c r="SI26" s="1009"/>
      <c r="SJ26" s="1009"/>
      <c r="SK26" s="1009"/>
      <c r="SL26" s="1009"/>
      <c r="SM26" s="1009"/>
      <c r="SN26" s="1009"/>
      <c r="SO26" s="1009"/>
      <c r="SP26" s="1009"/>
      <c r="SQ26" s="1009"/>
      <c r="SR26" s="1009"/>
      <c r="SS26" s="1009"/>
      <c r="ST26" s="1009"/>
      <c r="SU26" s="1009"/>
      <c r="SV26" s="1009"/>
      <c r="SW26" s="1009"/>
      <c r="SX26" s="1009"/>
      <c r="SY26" s="1009"/>
      <c r="SZ26" s="1009"/>
      <c r="TA26" s="1009"/>
      <c r="TB26" s="1009"/>
      <c r="TC26" s="1009"/>
      <c r="TD26" s="1009"/>
      <c r="TE26" s="1009"/>
      <c r="TF26" s="1009"/>
      <c r="TG26" s="1009"/>
      <c r="TH26" s="1009"/>
      <c r="TI26" s="1009"/>
      <c r="TJ26" s="1009"/>
      <c r="TK26" s="1009"/>
      <c r="TL26" s="1009"/>
      <c r="TM26" s="1009"/>
      <c r="TN26" s="1009"/>
      <c r="TO26" s="1009"/>
      <c r="TP26" s="1009"/>
      <c r="TQ26" s="1009"/>
      <c r="TR26" s="1009"/>
      <c r="TS26" s="1009"/>
      <c r="TT26" s="1009"/>
      <c r="TU26" s="1009"/>
      <c r="TV26" s="1009"/>
      <c r="TW26" s="1009"/>
      <c r="TX26" s="1009"/>
      <c r="TY26" s="1009"/>
      <c r="TZ26" s="1009"/>
      <c r="UA26" s="1009"/>
      <c r="UB26" s="1009"/>
      <c r="UC26" s="1009"/>
      <c r="UD26" s="1009"/>
      <c r="UE26" s="1009"/>
      <c r="UF26" s="1009"/>
      <c r="UG26" s="1009"/>
      <c r="UH26" s="1009"/>
      <c r="UI26" s="1009"/>
      <c r="UJ26" s="1009"/>
      <c r="UK26" s="1009"/>
      <c r="UL26" s="1009"/>
      <c r="UM26" s="1009"/>
      <c r="UN26" s="1009"/>
      <c r="UO26" s="1009"/>
      <c r="UP26" s="1009"/>
      <c r="UQ26" s="1009"/>
      <c r="UR26" s="1009"/>
      <c r="US26" s="1009"/>
      <c r="UT26" s="1009"/>
      <c r="UU26" s="1009"/>
      <c r="UV26" s="1009"/>
      <c r="UW26" s="1009"/>
      <c r="UX26" s="1009"/>
      <c r="UY26" s="1009"/>
      <c r="UZ26" s="1009"/>
      <c r="VA26" s="1009"/>
      <c r="VB26" s="1009"/>
      <c r="VC26" s="1009"/>
      <c r="VD26" s="1009"/>
      <c r="VE26" s="1009"/>
      <c r="VF26" s="1009"/>
      <c r="VG26" s="1009"/>
      <c r="VH26" s="1009"/>
      <c r="VI26" s="1009"/>
      <c r="VJ26" s="1009"/>
      <c r="VK26" s="1009"/>
      <c r="VL26" s="1009"/>
      <c r="VM26" s="1009"/>
      <c r="VN26" s="1009"/>
      <c r="VO26" s="1009"/>
      <c r="VP26" s="1009"/>
      <c r="VQ26" s="1009"/>
      <c r="VR26" s="1009"/>
      <c r="VS26" s="1009"/>
      <c r="VT26" s="1009"/>
      <c r="VU26" s="1009"/>
      <c r="VV26" s="1009"/>
      <c r="VW26" s="1009"/>
      <c r="VX26" s="1009"/>
      <c r="VY26" s="1009"/>
      <c r="VZ26" s="1009"/>
      <c r="WA26" s="1009"/>
      <c r="WB26" s="1009"/>
      <c r="WC26" s="1009"/>
      <c r="WD26" s="1009"/>
      <c r="WE26" s="1009"/>
      <c r="WF26" s="1009"/>
      <c r="WG26" s="1009"/>
      <c r="WH26" s="1009"/>
      <c r="WI26" s="1009"/>
      <c r="WJ26" s="1009"/>
      <c r="WK26" s="1009"/>
      <c r="WL26" s="1009"/>
      <c r="WM26" s="1009"/>
      <c r="WN26" s="1009"/>
      <c r="WO26" s="1009"/>
      <c r="WP26" s="1009"/>
      <c r="WQ26" s="1009"/>
      <c r="WR26" s="1009"/>
      <c r="WS26" s="1009"/>
      <c r="WT26" s="1009"/>
      <c r="WU26" s="1009"/>
      <c r="WV26" s="1009"/>
      <c r="WW26" s="1009"/>
      <c r="WX26" s="1009"/>
      <c r="WY26" s="1009"/>
      <c r="WZ26" s="1009"/>
      <c r="XA26" s="1009"/>
      <c r="XB26" s="1009"/>
      <c r="XC26" s="1009"/>
      <c r="XD26" s="1009"/>
      <c r="XE26" s="1009"/>
      <c r="XF26" s="1009"/>
      <c r="XG26" s="1009"/>
      <c r="XH26" s="1009"/>
      <c r="XI26" s="1009"/>
      <c r="XJ26" s="1009"/>
      <c r="XK26" s="1009"/>
      <c r="XL26" s="1009"/>
      <c r="XM26" s="1009"/>
      <c r="XN26" s="1009"/>
      <c r="XO26" s="1009"/>
      <c r="XP26" s="1009"/>
      <c r="XQ26" s="1009"/>
      <c r="XR26" s="1009"/>
      <c r="XS26" s="1009"/>
      <c r="XT26" s="1009"/>
      <c r="XU26" s="1009"/>
      <c r="XV26" s="1009"/>
      <c r="XW26" s="1009"/>
      <c r="XX26" s="1009"/>
      <c r="XY26" s="1009"/>
      <c r="XZ26" s="1009"/>
      <c r="YA26" s="1009"/>
      <c r="YB26" s="1009"/>
      <c r="YC26" s="1009"/>
      <c r="YD26" s="1009"/>
      <c r="YE26" s="1009"/>
      <c r="YF26" s="1009"/>
      <c r="YG26" s="1009"/>
      <c r="YH26" s="1009"/>
      <c r="YI26" s="1009"/>
      <c r="YJ26" s="1009"/>
      <c r="YK26" s="1009"/>
      <c r="YL26" s="1009"/>
      <c r="YM26" s="1009"/>
      <c r="YN26" s="1009"/>
      <c r="YO26" s="1009"/>
      <c r="YP26" s="1009"/>
      <c r="YQ26" s="1009"/>
      <c r="YR26" s="1009"/>
      <c r="YS26" s="1009"/>
      <c r="YT26" s="1009"/>
      <c r="YU26" s="1009"/>
      <c r="YV26" s="1009"/>
      <c r="YW26" s="1009"/>
      <c r="YX26" s="1009"/>
      <c r="YY26" s="1009"/>
      <c r="YZ26" s="1009"/>
      <c r="ZA26" s="1009"/>
      <c r="ZB26" s="1009"/>
      <c r="ZC26" s="1009"/>
      <c r="ZD26" s="1009"/>
      <c r="ZE26" s="1009"/>
      <c r="ZF26" s="1009"/>
      <c r="ZG26" s="1009"/>
      <c r="ZH26" s="1009"/>
      <c r="ZI26" s="1009"/>
      <c r="ZJ26" s="1009"/>
      <c r="ZK26" s="1009"/>
      <c r="ZL26" s="1009"/>
      <c r="ZM26" s="1009"/>
      <c r="ZN26" s="1009"/>
      <c r="ZO26" s="1009"/>
      <c r="ZP26" s="1009"/>
      <c r="ZQ26" s="1009"/>
      <c r="ZR26" s="1009"/>
      <c r="ZS26" s="1009"/>
      <c r="ZT26" s="1009"/>
      <c r="ZU26" s="1009"/>
      <c r="ZV26" s="1009"/>
      <c r="ZW26" s="1009"/>
      <c r="ZX26" s="1009"/>
      <c r="ZY26" s="1009"/>
      <c r="ZZ26" s="1009"/>
      <c r="AAA26" s="1009"/>
      <c r="AAB26" s="1009"/>
      <c r="AAC26" s="1009"/>
      <c r="AAD26" s="1009"/>
      <c r="AAE26" s="1009"/>
      <c r="AAF26" s="1009"/>
      <c r="AAG26" s="1009"/>
      <c r="AAH26" s="1009"/>
      <c r="AAI26" s="1009"/>
      <c r="AAJ26" s="1009"/>
      <c r="AAK26" s="1009"/>
      <c r="AAL26" s="1009"/>
      <c r="AAM26" s="1009"/>
      <c r="AAN26" s="1009"/>
      <c r="AAO26" s="1009"/>
      <c r="AAP26" s="1009"/>
      <c r="AAQ26" s="1009"/>
      <c r="AAR26" s="1009"/>
      <c r="AAS26" s="1009"/>
      <c r="AAT26" s="1009"/>
      <c r="AAU26" s="1009"/>
      <c r="AAV26" s="1009"/>
      <c r="AAW26" s="1009"/>
      <c r="AAX26" s="1009"/>
      <c r="AAY26" s="1009"/>
      <c r="AAZ26" s="1009"/>
      <c r="ABA26" s="1009"/>
      <c r="ABB26" s="1009"/>
      <c r="ABC26" s="1009"/>
      <c r="ABD26" s="1009"/>
      <c r="ABE26" s="1009"/>
      <c r="ABF26" s="1009"/>
      <c r="ABG26" s="1009"/>
      <c r="ABH26" s="1009"/>
      <c r="ABI26" s="1009"/>
      <c r="ABJ26" s="1009"/>
      <c r="ABK26" s="1009"/>
      <c r="ABL26" s="1009"/>
      <c r="ABM26" s="1009"/>
      <c r="ABN26" s="1009"/>
      <c r="ABO26" s="1009"/>
      <c r="ABP26" s="1009"/>
      <c r="ABQ26" s="1009"/>
      <c r="ABR26" s="1009"/>
    </row>
    <row r="27" spans="1:746" s="94" customFormat="1" ht="12.9" hidden="1" customHeight="1" thickBot="1">
      <c r="A27" s="1252"/>
      <c r="B27" s="2957" t="s">
        <v>1262</v>
      </c>
      <c r="C27" s="2958"/>
      <c r="D27" s="348"/>
      <c r="E27" s="347" t="s">
        <v>1</v>
      </c>
      <c r="F27" s="1240"/>
      <c r="G27" s="347">
        <v>0.25</v>
      </c>
      <c r="H27" s="2349"/>
      <c r="I27" s="2364"/>
      <c r="J27" s="809"/>
      <c r="K27" s="809"/>
      <c r="L27" s="809"/>
      <c r="M27" s="809"/>
      <c r="N27" s="809"/>
      <c r="O27" s="809"/>
      <c r="P27" s="809"/>
      <c r="Q27" s="809"/>
      <c r="R27" s="809"/>
      <c r="S27" s="809"/>
      <c r="T27" s="809"/>
      <c r="U27" s="809"/>
      <c r="V27" s="809"/>
      <c r="W27" s="809"/>
      <c r="X27" s="809"/>
      <c r="Y27" s="809"/>
      <c r="Z27" s="809"/>
      <c r="AA27" s="809"/>
      <c r="AB27" s="809"/>
      <c r="AC27" s="809"/>
      <c r="AD27" s="809"/>
      <c r="AE27" s="809"/>
      <c r="AF27" s="809"/>
      <c r="AG27" s="1042"/>
      <c r="AH27" s="333"/>
      <c r="AI27" s="333"/>
      <c r="AJ27" s="418">
        <f>IF(fx!$C$57=1,SUMIF(fx!I$57:T$57,1,I27:T27),IF(fx!$C$57=2,SUMIF(fx!O$57:AF$57,1,O27:AF27)))</f>
        <v>0</v>
      </c>
      <c r="AK27" s="419"/>
      <c r="AL27" s="417">
        <f>IF(fx!$C$57=1,SUM(U27:AF27),0)</f>
        <v>0</v>
      </c>
      <c r="AM27" s="1012"/>
      <c r="AN27" s="1011"/>
      <c r="AO27" s="1945" t="s">
        <v>1087</v>
      </c>
      <c r="AP27" s="1935"/>
      <c r="AQ27" s="1936"/>
      <c r="AR27" s="1941"/>
      <c r="AS27" s="1941"/>
      <c r="AT27" s="1941"/>
      <c r="AU27" s="1941"/>
      <c r="AV27" s="1941"/>
      <c r="AW27" s="1941"/>
      <c r="AX27" s="1941"/>
      <c r="AY27" s="1941"/>
      <c r="AZ27" s="1941"/>
      <c r="BA27" s="1941"/>
      <c r="BB27" s="1941"/>
      <c r="BC27" s="1941"/>
      <c r="BD27" s="1941"/>
      <c r="BE27" s="1941"/>
      <c r="BF27" s="1941"/>
      <c r="BG27" s="1941"/>
      <c r="BH27" s="1941"/>
      <c r="BI27" s="1941"/>
      <c r="BJ27" s="1941"/>
      <c r="BK27" s="1941"/>
      <c r="BL27" s="1941"/>
      <c r="BM27" s="1941"/>
      <c r="BN27" s="1941"/>
      <c r="BO27" s="1941"/>
      <c r="BP27" s="1005"/>
      <c r="BQ27" s="1005"/>
      <c r="BR27" s="1005"/>
      <c r="BS27" s="1005"/>
      <c r="BT27" s="1005"/>
      <c r="BU27" s="1005"/>
      <c r="BV27" s="1005"/>
      <c r="BW27" s="1005"/>
      <c r="BX27" s="1005"/>
      <c r="BY27" s="1005"/>
      <c r="BZ27" s="1005"/>
      <c r="CA27" s="1005"/>
      <c r="CB27" s="1005"/>
      <c r="CC27" s="1005"/>
      <c r="CD27" s="1005"/>
      <c r="CE27" s="1005"/>
      <c r="CF27" s="1005"/>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c r="EC27" s="1005"/>
      <c r="ED27" s="1005"/>
      <c r="EE27" s="1005"/>
      <c r="EF27" s="1005"/>
      <c r="EG27" s="1005"/>
      <c r="EH27" s="1005"/>
      <c r="EI27" s="1005"/>
      <c r="EJ27" s="1005"/>
      <c r="EK27" s="1005"/>
      <c r="EL27" s="1005"/>
      <c r="EM27" s="1005"/>
      <c r="EN27" s="1005"/>
      <c r="EO27" s="1005"/>
      <c r="EP27" s="1005"/>
      <c r="EQ27" s="1005"/>
      <c r="ER27" s="1005"/>
      <c r="ES27" s="1005"/>
      <c r="ET27" s="1005"/>
      <c r="EU27" s="1005"/>
      <c r="EV27" s="1005"/>
      <c r="EW27" s="1005"/>
      <c r="EX27" s="1005"/>
      <c r="EY27" s="1005"/>
      <c r="EZ27" s="1005"/>
      <c r="FA27" s="1005"/>
      <c r="FB27" s="1005"/>
      <c r="FC27" s="1005"/>
      <c r="FD27" s="1005"/>
      <c r="FE27" s="1005"/>
      <c r="FF27" s="1005"/>
      <c r="FG27" s="1005"/>
      <c r="FH27" s="1005"/>
      <c r="FI27" s="1005"/>
      <c r="FJ27" s="1005"/>
      <c r="FK27" s="1005"/>
      <c r="FL27" s="1005"/>
      <c r="FM27" s="1005"/>
      <c r="FN27" s="1005"/>
      <c r="FO27" s="1005"/>
      <c r="FP27" s="1005"/>
      <c r="FQ27" s="1005"/>
      <c r="FR27" s="1005"/>
      <c r="FS27" s="1005"/>
      <c r="FT27" s="1005"/>
      <c r="FU27" s="1005"/>
      <c r="FV27" s="1005"/>
      <c r="FW27" s="1005"/>
      <c r="FX27" s="1005"/>
      <c r="FY27" s="1005"/>
      <c r="FZ27" s="1005"/>
      <c r="GA27" s="1005"/>
      <c r="GB27" s="1005"/>
      <c r="GC27" s="1005"/>
      <c r="GD27" s="1005"/>
      <c r="GE27" s="1005"/>
      <c r="GF27" s="1005"/>
      <c r="GG27" s="1005"/>
      <c r="GH27" s="1005"/>
      <c r="GI27" s="1005"/>
      <c r="GJ27" s="1005"/>
      <c r="GK27" s="1005"/>
      <c r="GL27" s="1005"/>
      <c r="GM27" s="1005"/>
      <c r="GN27" s="1005"/>
      <c r="GO27" s="1005"/>
      <c r="GP27" s="1005"/>
      <c r="GQ27" s="1005"/>
      <c r="GR27" s="1005"/>
      <c r="GS27" s="1005"/>
      <c r="GT27" s="1005"/>
      <c r="GU27" s="1005"/>
      <c r="GV27" s="1005"/>
      <c r="GW27" s="1005"/>
      <c r="GX27" s="1005"/>
      <c r="GY27" s="1005"/>
      <c r="GZ27" s="1005"/>
      <c r="HA27" s="1005"/>
      <c r="HB27" s="1005"/>
      <c r="HC27" s="1005"/>
      <c r="HD27" s="1005"/>
      <c r="HE27" s="1005"/>
      <c r="HF27" s="1005"/>
      <c r="HG27" s="1005"/>
      <c r="HH27" s="1005"/>
      <c r="HI27" s="1005"/>
      <c r="HJ27" s="1005"/>
      <c r="HK27" s="1005"/>
      <c r="HL27" s="1005"/>
      <c r="HM27" s="1005"/>
      <c r="HN27" s="1005"/>
      <c r="HO27" s="1005"/>
      <c r="HP27" s="1005"/>
      <c r="HQ27" s="1005"/>
      <c r="HR27" s="1005"/>
      <c r="HS27" s="1005"/>
      <c r="HT27" s="1005"/>
      <c r="HU27" s="1005"/>
      <c r="HV27" s="1005"/>
      <c r="HW27" s="1005"/>
      <c r="HX27" s="1005"/>
      <c r="HY27" s="1005"/>
      <c r="HZ27" s="1005"/>
      <c r="IA27" s="1005"/>
      <c r="IB27" s="1005"/>
      <c r="IC27" s="1005"/>
      <c r="ID27" s="1005"/>
      <c r="IE27" s="1005"/>
      <c r="IF27" s="1005"/>
      <c r="IG27" s="1005"/>
      <c r="IH27" s="1005"/>
      <c r="II27" s="1005"/>
      <c r="IJ27" s="1005"/>
      <c r="IK27" s="1005"/>
      <c r="IL27" s="1005"/>
      <c r="IM27" s="1005"/>
      <c r="IN27" s="1005"/>
      <c r="IO27" s="1005"/>
      <c r="IP27" s="1005"/>
      <c r="IQ27" s="1005"/>
      <c r="IR27" s="1005"/>
      <c r="IS27" s="1005"/>
      <c r="IT27" s="1005"/>
      <c r="IU27" s="1005"/>
      <c r="IV27" s="1005"/>
      <c r="IW27" s="1005"/>
      <c r="IX27" s="1005"/>
      <c r="IY27" s="1005"/>
      <c r="IZ27" s="1005"/>
      <c r="JA27" s="1005"/>
      <c r="JB27" s="1005"/>
      <c r="JC27" s="1005"/>
      <c r="JD27" s="1005"/>
      <c r="JE27" s="1005"/>
      <c r="JF27" s="1005"/>
      <c r="JG27" s="1005"/>
      <c r="JH27" s="1005"/>
      <c r="JI27" s="1005"/>
      <c r="JJ27" s="1005"/>
      <c r="JK27" s="1005"/>
      <c r="JL27" s="1005"/>
      <c r="JM27" s="1005"/>
      <c r="JN27" s="1005"/>
      <c r="JO27" s="1005"/>
      <c r="JP27" s="1005"/>
      <c r="JQ27" s="1005"/>
      <c r="JR27" s="1005"/>
      <c r="JS27" s="1005"/>
      <c r="JT27" s="1005"/>
      <c r="JU27" s="1005"/>
      <c r="JV27" s="1005"/>
      <c r="JW27" s="1005"/>
      <c r="JX27" s="1005"/>
      <c r="JY27" s="1005"/>
      <c r="JZ27" s="1005"/>
      <c r="KA27" s="1005"/>
      <c r="KB27" s="1005"/>
      <c r="KC27" s="1005"/>
      <c r="KD27" s="1005"/>
      <c r="KE27" s="1005"/>
      <c r="KF27" s="1005"/>
      <c r="KG27" s="1005"/>
      <c r="KH27" s="1005"/>
      <c r="KI27" s="1005"/>
      <c r="KJ27" s="1005"/>
      <c r="KK27" s="1005"/>
      <c r="KL27" s="1005"/>
      <c r="KM27" s="1005"/>
      <c r="KN27" s="1005"/>
      <c r="KO27" s="1005"/>
      <c r="KP27" s="1005"/>
      <c r="KQ27" s="1005"/>
      <c r="KR27" s="1005"/>
      <c r="KS27" s="1005"/>
      <c r="KT27" s="1005"/>
      <c r="KU27" s="1005"/>
      <c r="KV27" s="1005"/>
      <c r="KW27" s="1005"/>
      <c r="KX27" s="1005"/>
      <c r="KY27" s="1005"/>
      <c r="KZ27" s="1005"/>
      <c r="LA27" s="1005"/>
      <c r="LB27" s="1005"/>
      <c r="LC27" s="1005"/>
      <c r="LD27" s="1005"/>
      <c r="LE27" s="1005"/>
      <c r="LF27" s="1005"/>
      <c r="LG27" s="1005"/>
      <c r="LH27" s="1005"/>
      <c r="LI27" s="1005"/>
      <c r="LJ27" s="1005"/>
      <c r="LK27" s="1005"/>
      <c r="LL27" s="1005"/>
      <c r="LM27" s="1005"/>
      <c r="LN27" s="1005"/>
      <c r="LO27" s="1005"/>
      <c r="LP27" s="1005"/>
      <c r="LQ27" s="1005"/>
      <c r="LR27" s="1005"/>
      <c r="LS27" s="1005"/>
      <c r="LT27" s="1005"/>
      <c r="LU27" s="1005"/>
      <c r="LV27" s="1005"/>
      <c r="LW27" s="1005"/>
      <c r="LX27" s="1005"/>
      <c r="LY27" s="1005"/>
      <c r="LZ27" s="1005"/>
      <c r="MA27" s="1005"/>
      <c r="MB27" s="1005"/>
      <c r="MC27" s="1005"/>
      <c r="MD27" s="1005"/>
      <c r="ME27" s="1005"/>
      <c r="MF27" s="1005"/>
      <c r="MG27" s="1005"/>
      <c r="MH27" s="1005"/>
      <c r="MI27" s="1005"/>
      <c r="MJ27" s="1005"/>
      <c r="MK27" s="1005"/>
      <c r="ML27" s="1005"/>
      <c r="MM27" s="1005"/>
      <c r="MN27" s="1005"/>
      <c r="MO27" s="1005"/>
      <c r="MP27" s="1005"/>
      <c r="MQ27" s="1005"/>
      <c r="MR27" s="1005"/>
      <c r="MS27" s="1005"/>
      <c r="MT27" s="1005"/>
      <c r="MU27" s="1005"/>
      <c r="MV27" s="1005"/>
      <c r="MW27" s="1005"/>
      <c r="MX27" s="1005"/>
      <c r="MY27" s="1005"/>
      <c r="MZ27" s="1005"/>
      <c r="NA27" s="1005"/>
      <c r="NB27" s="1005"/>
      <c r="NC27" s="1005"/>
      <c r="ND27" s="1005"/>
      <c r="NE27" s="1005"/>
      <c r="NF27" s="1005"/>
      <c r="NG27" s="1005"/>
      <c r="NH27" s="1005"/>
      <c r="NI27" s="1005"/>
      <c r="NJ27" s="1005"/>
      <c r="NK27" s="1005"/>
      <c r="NL27" s="1005"/>
      <c r="NM27" s="1005"/>
      <c r="NN27" s="1005"/>
      <c r="NO27" s="1005"/>
      <c r="NP27" s="1005"/>
      <c r="NQ27" s="1005"/>
      <c r="NR27" s="1005"/>
      <c r="NS27" s="1005"/>
      <c r="NT27" s="1005"/>
      <c r="NU27" s="1005"/>
      <c r="NV27" s="1005"/>
      <c r="NW27" s="1005"/>
      <c r="NX27" s="1005"/>
      <c r="NY27" s="1005"/>
      <c r="NZ27" s="1005"/>
      <c r="OA27" s="1005"/>
      <c r="OB27" s="1005"/>
      <c r="OC27" s="1005"/>
      <c r="OD27" s="1005"/>
      <c r="OE27" s="1005"/>
      <c r="OF27" s="1005"/>
      <c r="OG27" s="1005"/>
      <c r="OH27" s="1005"/>
      <c r="OI27" s="1005"/>
      <c r="OJ27" s="1005"/>
      <c r="OK27" s="1005"/>
      <c r="OL27" s="1005"/>
      <c r="OM27" s="1005"/>
      <c r="ON27" s="1005"/>
      <c r="OO27" s="1005"/>
      <c r="OP27" s="1005"/>
      <c r="OQ27" s="1005"/>
      <c r="OR27" s="1005"/>
      <c r="OS27" s="1005"/>
      <c r="OT27" s="1005"/>
      <c r="OU27" s="1005"/>
      <c r="OV27" s="1005"/>
      <c r="OW27" s="1005"/>
      <c r="OX27" s="1005"/>
      <c r="OY27" s="1005"/>
      <c r="OZ27" s="1005"/>
      <c r="PA27" s="1005"/>
      <c r="PB27" s="1005"/>
      <c r="PC27" s="1005"/>
      <c r="PD27" s="1005"/>
      <c r="PE27" s="1005"/>
      <c r="PF27" s="1005"/>
      <c r="PG27" s="1005"/>
      <c r="PH27" s="1005"/>
      <c r="PI27" s="1005"/>
      <c r="PJ27" s="1005"/>
      <c r="PK27" s="1005"/>
      <c r="PL27" s="1005"/>
      <c r="PM27" s="1005"/>
      <c r="PN27" s="1005"/>
      <c r="PO27" s="1005"/>
      <c r="PP27" s="1005"/>
      <c r="PQ27" s="1005"/>
      <c r="PR27" s="1005"/>
      <c r="PS27" s="1005"/>
      <c r="PT27" s="1005"/>
      <c r="PU27" s="1005"/>
      <c r="PV27" s="1005"/>
      <c r="PW27" s="1005"/>
      <c r="PX27" s="1005"/>
      <c r="PY27" s="1005"/>
      <c r="PZ27" s="1005"/>
      <c r="QA27" s="1005"/>
      <c r="QB27" s="1005"/>
      <c r="QC27" s="1005"/>
      <c r="QD27" s="1005"/>
      <c r="QE27" s="1005"/>
      <c r="QF27" s="1005"/>
      <c r="QG27" s="1005"/>
      <c r="QH27" s="1005"/>
      <c r="QI27" s="1005"/>
      <c r="QJ27" s="1005"/>
      <c r="QK27" s="1005"/>
      <c r="QL27" s="1005"/>
      <c r="QM27" s="1005"/>
      <c r="QN27" s="1005"/>
      <c r="QO27" s="1005"/>
      <c r="QP27" s="1005"/>
      <c r="QQ27" s="1005"/>
      <c r="QR27" s="1005"/>
      <c r="QS27" s="1005"/>
      <c r="QT27" s="1005"/>
      <c r="QU27" s="1005"/>
      <c r="QV27" s="1005"/>
      <c r="QW27" s="1005"/>
      <c r="QX27" s="1005"/>
      <c r="QY27" s="1005"/>
      <c r="QZ27" s="1005"/>
      <c r="RA27" s="1005"/>
      <c r="RB27" s="1005"/>
      <c r="RC27" s="1005"/>
      <c r="RD27" s="1005"/>
      <c r="RE27" s="1005"/>
      <c r="RF27" s="1005"/>
      <c r="RG27" s="1005"/>
      <c r="RH27" s="1005"/>
      <c r="RI27" s="1005"/>
      <c r="RJ27" s="1005"/>
      <c r="RK27" s="1005"/>
      <c r="RL27" s="1005"/>
      <c r="RM27" s="1005"/>
      <c r="RN27" s="1005"/>
      <c r="RO27" s="1005"/>
      <c r="RP27" s="1005"/>
      <c r="RQ27" s="1005"/>
      <c r="RR27" s="1005"/>
      <c r="RS27" s="1005"/>
      <c r="RT27" s="1005"/>
      <c r="RU27" s="1005"/>
      <c r="RV27" s="1005"/>
      <c r="RW27" s="1005"/>
      <c r="RX27" s="1005"/>
      <c r="RY27" s="1005"/>
      <c r="RZ27" s="1005"/>
      <c r="SA27" s="1005"/>
      <c r="SB27" s="1005"/>
      <c r="SC27" s="1005"/>
      <c r="SD27" s="1005"/>
      <c r="SE27" s="1005"/>
      <c r="SF27" s="1005"/>
      <c r="SG27" s="1005"/>
      <c r="SH27" s="1005"/>
      <c r="SI27" s="1005"/>
      <c r="SJ27" s="1005"/>
      <c r="SK27" s="1005"/>
      <c r="SL27" s="1005"/>
      <c r="SM27" s="1005"/>
      <c r="SN27" s="1005"/>
      <c r="SO27" s="1005"/>
      <c r="SP27" s="1005"/>
      <c r="SQ27" s="1005"/>
      <c r="SR27" s="1005"/>
      <c r="SS27" s="1005"/>
      <c r="ST27" s="1005"/>
      <c r="SU27" s="1005"/>
      <c r="SV27" s="1005"/>
      <c r="SW27" s="1005"/>
      <c r="SX27" s="1005"/>
      <c r="SY27" s="1005"/>
      <c r="SZ27" s="1005"/>
      <c r="TA27" s="1005"/>
      <c r="TB27" s="1005"/>
      <c r="TC27" s="1005"/>
      <c r="TD27" s="1005"/>
      <c r="TE27" s="1005"/>
      <c r="TF27" s="1005"/>
      <c r="TG27" s="1005"/>
      <c r="TH27" s="1005"/>
      <c r="TI27" s="1005"/>
      <c r="TJ27" s="1005"/>
      <c r="TK27" s="1005"/>
      <c r="TL27" s="1005"/>
      <c r="TM27" s="1005"/>
      <c r="TN27" s="1005"/>
      <c r="TO27" s="1005"/>
      <c r="TP27" s="1005"/>
      <c r="TQ27" s="1005"/>
      <c r="TR27" s="1005"/>
      <c r="TS27" s="1005"/>
      <c r="TT27" s="1005"/>
      <c r="TU27" s="1005"/>
      <c r="TV27" s="1005"/>
      <c r="TW27" s="1005"/>
      <c r="TX27" s="1005"/>
      <c r="TY27" s="1005"/>
      <c r="TZ27" s="1005"/>
      <c r="UA27" s="1005"/>
      <c r="UB27" s="1005"/>
      <c r="UC27" s="1005"/>
      <c r="UD27" s="1005"/>
      <c r="UE27" s="1005"/>
      <c r="UF27" s="1005"/>
      <c r="UG27" s="1005"/>
      <c r="UH27" s="1005"/>
      <c r="UI27" s="1005"/>
      <c r="UJ27" s="1005"/>
      <c r="UK27" s="1005"/>
      <c r="UL27" s="1005"/>
      <c r="UM27" s="1005"/>
      <c r="UN27" s="1005"/>
      <c r="UO27" s="1005"/>
      <c r="UP27" s="1005"/>
      <c r="UQ27" s="1005"/>
      <c r="UR27" s="1005"/>
      <c r="US27" s="1005"/>
      <c r="UT27" s="1005"/>
      <c r="UU27" s="1005"/>
      <c r="UV27" s="1005"/>
      <c r="UW27" s="1005"/>
      <c r="UX27" s="1005"/>
      <c r="UY27" s="1005"/>
      <c r="UZ27" s="1005"/>
      <c r="VA27" s="1005"/>
      <c r="VB27" s="1005"/>
      <c r="VC27" s="1005"/>
      <c r="VD27" s="1005"/>
      <c r="VE27" s="1005"/>
      <c r="VF27" s="1005"/>
      <c r="VG27" s="1005"/>
      <c r="VH27" s="1005"/>
      <c r="VI27" s="1005"/>
      <c r="VJ27" s="1005"/>
      <c r="VK27" s="1005"/>
      <c r="VL27" s="1005"/>
      <c r="VM27" s="1005"/>
      <c r="VN27" s="1005"/>
      <c r="VO27" s="1005"/>
      <c r="VP27" s="1005"/>
      <c r="VQ27" s="1005"/>
      <c r="VR27" s="1005"/>
      <c r="VS27" s="1005"/>
      <c r="VT27" s="1005"/>
      <c r="VU27" s="1005"/>
      <c r="VV27" s="1005"/>
      <c r="VW27" s="1005"/>
      <c r="VX27" s="1005"/>
      <c r="VY27" s="1005"/>
      <c r="VZ27" s="1005"/>
      <c r="WA27" s="1005"/>
      <c r="WB27" s="1005"/>
      <c r="WC27" s="1005"/>
      <c r="WD27" s="1005"/>
      <c r="WE27" s="1005"/>
      <c r="WF27" s="1005"/>
      <c r="WG27" s="1005"/>
      <c r="WH27" s="1005"/>
      <c r="WI27" s="1005"/>
      <c r="WJ27" s="1005"/>
      <c r="WK27" s="1005"/>
      <c r="WL27" s="1005"/>
      <c r="WM27" s="1005"/>
      <c r="WN27" s="1005"/>
      <c r="WO27" s="1005"/>
      <c r="WP27" s="1005"/>
      <c r="WQ27" s="1005"/>
      <c r="WR27" s="1005"/>
      <c r="WS27" s="1005"/>
      <c r="WT27" s="1005"/>
      <c r="WU27" s="1005"/>
      <c r="WV27" s="1005"/>
      <c r="WW27" s="1005"/>
      <c r="WX27" s="1005"/>
      <c r="WY27" s="1005"/>
      <c r="WZ27" s="1005"/>
      <c r="XA27" s="1005"/>
      <c r="XB27" s="1005"/>
      <c r="XC27" s="1005"/>
      <c r="XD27" s="1005"/>
      <c r="XE27" s="1005"/>
      <c r="XF27" s="1005"/>
      <c r="XG27" s="1005"/>
      <c r="XH27" s="1005"/>
      <c r="XI27" s="1005"/>
      <c r="XJ27" s="1005"/>
      <c r="XK27" s="1005"/>
      <c r="XL27" s="1005"/>
      <c r="XM27" s="1005"/>
      <c r="XN27" s="1005"/>
      <c r="XO27" s="1005"/>
      <c r="XP27" s="1005"/>
      <c r="XQ27" s="1005"/>
      <c r="XR27" s="1005"/>
      <c r="XS27" s="1005"/>
      <c r="XT27" s="1005"/>
      <c r="XU27" s="1005"/>
      <c r="XV27" s="1005"/>
      <c r="XW27" s="1005"/>
      <c r="XX27" s="1005"/>
      <c r="XY27" s="1005"/>
      <c r="XZ27" s="1005"/>
      <c r="YA27" s="1005"/>
      <c r="YB27" s="1005"/>
      <c r="YC27" s="1005"/>
      <c r="YD27" s="1005"/>
      <c r="YE27" s="1005"/>
      <c r="YF27" s="1005"/>
      <c r="YG27" s="1005"/>
      <c r="YH27" s="1005"/>
      <c r="YI27" s="1005"/>
      <c r="YJ27" s="1005"/>
      <c r="YK27" s="1005"/>
      <c r="YL27" s="1005"/>
      <c r="YM27" s="1005"/>
      <c r="YN27" s="1005"/>
      <c r="YO27" s="1005"/>
      <c r="YP27" s="1005"/>
      <c r="YQ27" s="1005"/>
      <c r="YR27" s="1005"/>
      <c r="YS27" s="1005"/>
      <c r="YT27" s="1005"/>
      <c r="YU27" s="1005"/>
      <c r="YV27" s="1005"/>
      <c r="YW27" s="1005"/>
      <c r="YX27" s="1005"/>
      <c r="YY27" s="1005"/>
      <c r="YZ27" s="1005"/>
      <c r="ZA27" s="1005"/>
      <c r="ZB27" s="1005"/>
      <c r="ZC27" s="1005"/>
      <c r="ZD27" s="1005"/>
      <c r="ZE27" s="1005"/>
      <c r="ZF27" s="1005"/>
      <c r="ZG27" s="1005"/>
      <c r="ZH27" s="1005"/>
      <c r="ZI27" s="1005"/>
      <c r="ZJ27" s="1005"/>
      <c r="ZK27" s="1005"/>
      <c r="ZL27" s="1005"/>
      <c r="ZM27" s="1005"/>
      <c r="ZN27" s="1005"/>
      <c r="ZO27" s="1005"/>
      <c r="ZP27" s="1005"/>
      <c r="ZQ27" s="1005"/>
      <c r="ZR27" s="1005"/>
      <c r="ZS27" s="1005"/>
      <c r="ZT27" s="1005"/>
      <c r="ZU27" s="1005"/>
      <c r="ZV27" s="1005"/>
      <c r="ZW27" s="1005"/>
      <c r="ZX27" s="1005"/>
      <c r="ZY27" s="1005"/>
      <c r="ZZ27" s="1005"/>
      <c r="AAA27" s="1005"/>
      <c r="AAB27" s="1005"/>
      <c r="AAC27" s="1005"/>
      <c r="AAD27" s="1005"/>
      <c r="AAE27" s="1005"/>
      <c r="AAF27" s="1005"/>
      <c r="AAG27" s="1005"/>
      <c r="AAH27" s="1005"/>
      <c r="AAI27" s="1005"/>
      <c r="AAJ27" s="1005"/>
      <c r="AAK27" s="1005"/>
      <c r="AAL27" s="1005"/>
      <c r="AAM27" s="1005"/>
      <c r="AAN27" s="1005"/>
      <c r="AAO27" s="1005"/>
      <c r="AAP27" s="1005"/>
      <c r="AAQ27" s="1005"/>
      <c r="AAR27" s="1005"/>
      <c r="AAS27" s="1005"/>
      <c r="AAT27" s="1005"/>
      <c r="AAU27" s="1005"/>
      <c r="AAV27" s="1005"/>
      <c r="AAW27" s="1005"/>
      <c r="AAX27" s="1005"/>
      <c r="AAY27" s="1005"/>
      <c r="AAZ27" s="1005"/>
      <c r="ABA27" s="1005"/>
      <c r="ABB27" s="1005"/>
      <c r="ABC27" s="1005"/>
      <c r="ABD27" s="1005"/>
      <c r="ABE27" s="1005"/>
      <c r="ABF27" s="1005"/>
      <c r="ABG27" s="1005"/>
      <c r="ABH27" s="1005"/>
      <c r="ABI27" s="1005"/>
      <c r="ABJ27" s="1005"/>
      <c r="ABK27" s="1005"/>
      <c r="ABL27" s="1005"/>
      <c r="ABM27" s="1005"/>
      <c r="ABN27" s="1005"/>
      <c r="ABO27" s="1005"/>
      <c r="ABP27" s="1005"/>
      <c r="ABQ27" s="1005"/>
      <c r="ABR27" s="1005"/>
    </row>
    <row r="28" spans="1:746" s="94" customFormat="1" ht="12.9" hidden="1" customHeight="1" thickBot="1">
      <c r="A28" s="1252"/>
      <c r="B28" s="2957" t="s">
        <v>1263</v>
      </c>
      <c r="C28" s="2958"/>
      <c r="D28" s="348"/>
      <c r="E28" s="347" t="s">
        <v>1</v>
      </c>
      <c r="F28" s="1240"/>
      <c r="G28" s="347">
        <v>0.25</v>
      </c>
      <c r="H28" s="2349"/>
      <c r="I28" s="2364"/>
      <c r="J28" s="809"/>
      <c r="K28" s="809"/>
      <c r="L28" s="809"/>
      <c r="M28" s="809"/>
      <c r="N28" s="809"/>
      <c r="O28" s="809"/>
      <c r="P28" s="809"/>
      <c r="Q28" s="809"/>
      <c r="R28" s="809"/>
      <c r="S28" s="809"/>
      <c r="T28" s="809"/>
      <c r="U28" s="809"/>
      <c r="V28" s="809"/>
      <c r="W28" s="809"/>
      <c r="X28" s="809"/>
      <c r="Y28" s="809"/>
      <c r="Z28" s="809"/>
      <c r="AA28" s="809"/>
      <c r="AB28" s="809"/>
      <c r="AC28" s="809"/>
      <c r="AD28" s="809"/>
      <c r="AE28" s="809"/>
      <c r="AF28" s="809"/>
      <c r="AG28" s="1042"/>
      <c r="AH28" s="333"/>
      <c r="AI28" s="333"/>
      <c r="AJ28" s="418">
        <f>IF(fx!$C$57=1,SUMIF(fx!I$57:T$57,1,I28:T28),IF(fx!$C$57=2,SUMIF(fx!O$57:AF$57,1,O28:AF28)))</f>
        <v>0</v>
      </c>
      <c r="AK28" s="419"/>
      <c r="AL28" s="417">
        <f>IF(fx!$C$57=1,SUM(U28:AF28),0)</f>
        <v>0</v>
      </c>
      <c r="AM28" s="1012"/>
      <c r="AN28" s="1011"/>
      <c r="AO28" s="1945" t="s">
        <v>1090</v>
      </c>
      <c r="AP28" s="1935"/>
      <c r="AQ28" s="1936"/>
      <c r="AR28" s="1941"/>
      <c r="AS28" s="1941"/>
      <c r="AT28" s="1941"/>
      <c r="AU28" s="1941"/>
      <c r="AV28" s="1941"/>
      <c r="AW28" s="1941"/>
      <c r="AX28" s="1941"/>
      <c r="AY28" s="1941"/>
      <c r="AZ28" s="1941"/>
      <c r="BA28" s="1941"/>
      <c r="BB28" s="1941"/>
      <c r="BC28" s="1941"/>
      <c r="BD28" s="1941"/>
      <c r="BE28" s="1941"/>
      <c r="BF28" s="1941"/>
      <c r="BG28" s="1941"/>
      <c r="BH28" s="1941"/>
      <c r="BI28" s="1941"/>
      <c r="BJ28" s="1941"/>
      <c r="BK28" s="1941"/>
      <c r="BL28" s="1941"/>
      <c r="BM28" s="1941"/>
      <c r="BN28" s="1941"/>
      <c r="BO28" s="1941"/>
      <c r="BP28" s="1005"/>
      <c r="BQ28" s="1005"/>
      <c r="BR28" s="1005"/>
      <c r="BS28" s="1005"/>
      <c r="BT28" s="1005"/>
      <c r="BU28" s="1005"/>
      <c r="BV28" s="1005"/>
      <c r="BW28" s="1005"/>
      <c r="BX28" s="1005"/>
      <c r="BY28" s="1005"/>
      <c r="BZ28" s="1005"/>
      <c r="CA28" s="1005"/>
      <c r="CB28" s="1005"/>
      <c r="CC28" s="1005"/>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c r="EC28" s="1005"/>
      <c r="ED28" s="1005"/>
      <c r="EE28" s="1005"/>
      <c r="EF28" s="1005"/>
      <c r="EG28" s="1005"/>
      <c r="EH28" s="1005"/>
      <c r="EI28" s="1005"/>
      <c r="EJ28" s="1005"/>
      <c r="EK28" s="1005"/>
      <c r="EL28" s="1005"/>
      <c r="EM28" s="1005"/>
      <c r="EN28" s="1005"/>
      <c r="EO28" s="1005"/>
      <c r="EP28" s="1005"/>
      <c r="EQ28" s="1005"/>
      <c r="ER28" s="1005"/>
      <c r="ES28" s="1005"/>
      <c r="ET28" s="1005"/>
      <c r="EU28" s="1005"/>
      <c r="EV28" s="1005"/>
      <c r="EW28" s="1005"/>
      <c r="EX28" s="1005"/>
      <c r="EY28" s="1005"/>
      <c r="EZ28" s="1005"/>
      <c r="FA28" s="1005"/>
      <c r="FB28" s="1005"/>
      <c r="FC28" s="1005"/>
      <c r="FD28" s="1005"/>
      <c r="FE28" s="1005"/>
      <c r="FF28" s="1005"/>
      <c r="FG28" s="1005"/>
      <c r="FH28" s="1005"/>
      <c r="FI28" s="1005"/>
      <c r="FJ28" s="1005"/>
      <c r="FK28" s="1005"/>
      <c r="FL28" s="1005"/>
      <c r="FM28" s="1005"/>
      <c r="FN28" s="1005"/>
      <c r="FO28" s="1005"/>
      <c r="FP28" s="1005"/>
      <c r="FQ28" s="1005"/>
      <c r="FR28" s="1005"/>
      <c r="FS28" s="1005"/>
      <c r="FT28" s="1005"/>
      <c r="FU28" s="1005"/>
      <c r="FV28" s="1005"/>
      <c r="FW28" s="1005"/>
      <c r="FX28" s="1005"/>
      <c r="FY28" s="1005"/>
      <c r="FZ28" s="1005"/>
      <c r="GA28" s="1005"/>
      <c r="GB28" s="1005"/>
      <c r="GC28" s="1005"/>
      <c r="GD28" s="1005"/>
      <c r="GE28" s="1005"/>
      <c r="GF28" s="1005"/>
      <c r="GG28" s="1005"/>
      <c r="GH28" s="1005"/>
      <c r="GI28" s="1005"/>
      <c r="GJ28" s="1005"/>
      <c r="GK28" s="1005"/>
      <c r="GL28" s="1005"/>
      <c r="GM28" s="1005"/>
      <c r="GN28" s="1005"/>
      <c r="GO28" s="1005"/>
      <c r="GP28" s="1005"/>
      <c r="GQ28" s="1005"/>
      <c r="GR28" s="1005"/>
      <c r="GS28" s="1005"/>
      <c r="GT28" s="1005"/>
      <c r="GU28" s="1005"/>
      <c r="GV28" s="1005"/>
      <c r="GW28" s="1005"/>
      <c r="GX28" s="1005"/>
      <c r="GY28" s="1005"/>
      <c r="GZ28" s="1005"/>
      <c r="HA28" s="1005"/>
      <c r="HB28" s="1005"/>
      <c r="HC28" s="1005"/>
      <c r="HD28" s="1005"/>
      <c r="HE28" s="1005"/>
      <c r="HF28" s="1005"/>
      <c r="HG28" s="1005"/>
      <c r="HH28" s="1005"/>
      <c r="HI28" s="1005"/>
      <c r="HJ28" s="1005"/>
      <c r="HK28" s="1005"/>
      <c r="HL28" s="1005"/>
      <c r="HM28" s="1005"/>
      <c r="HN28" s="1005"/>
      <c r="HO28" s="1005"/>
      <c r="HP28" s="1005"/>
      <c r="HQ28" s="1005"/>
      <c r="HR28" s="1005"/>
      <c r="HS28" s="1005"/>
      <c r="HT28" s="1005"/>
      <c r="HU28" s="1005"/>
      <c r="HV28" s="1005"/>
      <c r="HW28" s="1005"/>
      <c r="HX28" s="1005"/>
      <c r="HY28" s="1005"/>
      <c r="HZ28" s="1005"/>
      <c r="IA28" s="1005"/>
      <c r="IB28" s="1005"/>
      <c r="IC28" s="1005"/>
      <c r="ID28" s="1005"/>
      <c r="IE28" s="1005"/>
      <c r="IF28" s="1005"/>
      <c r="IG28" s="1005"/>
      <c r="IH28" s="1005"/>
      <c r="II28" s="1005"/>
      <c r="IJ28" s="1005"/>
      <c r="IK28" s="1005"/>
      <c r="IL28" s="1005"/>
      <c r="IM28" s="1005"/>
      <c r="IN28" s="1005"/>
      <c r="IO28" s="1005"/>
      <c r="IP28" s="1005"/>
      <c r="IQ28" s="1005"/>
      <c r="IR28" s="1005"/>
      <c r="IS28" s="1005"/>
      <c r="IT28" s="1005"/>
      <c r="IU28" s="1005"/>
      <c r="IV28" s="1005"/>
      <c r="IW28" s="1005"/>
      <c r="IX28" s="1005"/>
      <c r="IY28" s="1005"/>
      <c r="IZ28" s="1005"/>
      <c r="JA28" s="1005"/>
      <c r="JB28" s="1005"/>
      <c r="JC28" s="1005"/>
      <c r="JD28" s="1005"/>
      <c r="JE28" s="1005"/>
      <c r="JF28" s="1005"/>
      <c r="JG28" s="1005"/>
      <c r="JH28" s="1005"/>
      <c r="JI28" s="1005"/>
      <c r="JJ28" s="1005"/>
      <c r="JK28" s="1005"/>
      <c r="JL28" s="1005"/>
      <c r="JM28" s="1005"/>
      <c r="JN28" s="1005"/>
      <c r="JO28" s="1005"/>
      <c r="JP28" s="1005"/>
      <c r="JQ28" s="1005"/>
      <c r="JR28" s="1005"/>
      <c r="JS28" s="1005"/>
      <c r="JT28" s="1005"/>
      <c r="JU28" s="1005"/>
      <c r="JV28" s="1005"/>
      <c r="JW28" s="1005"/>
      <c r="JX28" s="1005"/>
      <c r="JY28" s="1005"/>
      <c r="JZ28" s="1005"/>
      <c r="KA28" s="1005"/>
      <c r="KB28" s="1005"/>
      <c r="KC28" s="1005"/>
      <c r="KD28" s="1005"/>
      <c r="KE28" s="1005"/>
      <c r="KF28" s="1005"/>
      <c r="KG28" s="1005"/>
      <c r="KH28" s="1005"/>
      <c r="KI28" s="1005"/>
      <c r="KJ28" s="1005"/>
      <c r="KK28" s="1005"/>
      <c r="KL28" s="1005"/>
      <c r="KM28" s="1005"/>
      <c r="KN28" s="1005"/>
      <c r="KO28" s="1005"/>
      <c r="KP28" s="1005"/>
      <c r="KQ28" s="1005"/>
      <c r="KR28" s="1005"/>
      <c r="KS28" s="1005"/>
      <c r="KT28" s="1005"/>
      <c r="KU28" s="1005"/>
      <c r="KV28" s="1005"/>
      <c r="KW28" s="1005"/>
      <c r="KX28" s="1005"/>
      <c r="KY28" s="1005"/>
      <c r="KZ28" s="1005"/>
      <c r="LA28" s="1005"/>
      <c r="LB28" s="1005"/>
      <c r="LC28" s="1005"/>
      <c r="LD28" s="1005"/>
      <c r="LE28" s="1005"/>
      <c r="LF28" s="1005"/>
      <c r="LG28" s="1005"/>
      <c r="LH28" s="1005"/>
      <c r="LI28" s="1005"/>
      <c r="LJ28" s="1005"/>
      <c r="LK28" s="1005"/>
      <c r="LL28" s="1005"/>
      <c r="LM28" s="1005"/>
      <c r="LN28" s="1005"/>
      <c r="LO28" s="1005"/>
      <c r="LP28" s="1005"/>
      <c r="LQ28" s="1005"/>
      <c r="LR28" s="1005"/>
      <c r="LS28" s="1005"/>
      <c r="LT28" s="1005"/>
      <c r="LU28" s="1005"/>
      <c r="LV28" s="1005"/>
      <c r="LW28" s="1005"/>
      <c r="LX28" s="1005"/>
      <c r="LY28" s="1005"/>
      <c r="LZ28" s="1005"/>
      <c r="MA28" s="1005"/>
      <c r="MB28" s="1005"/>
      <c r="MC28" s="1005"/>
      <c r="MD28" s="1005"/>
      <c r="ME28" s="1005"/>
      <c r="MF28" s="1005"/>
      <c r="MG28" s="1005"/>
      <c r="MH28" s="1005"/>
      <c r="MI28" s="1005"/>
      <c r="MJ28" s="1005"/>
      <c r="MK28" s="1005"/>
      <c r="ML28" s="1005"/>
      <c r="MM28" s="1005"/>
      <c r="MN28" s="1005"/>
      <c r="MO28" s="1005"/>
      <c r="MP28" s="1005"/>
      <c r="MQ28" s="1005"/>
      <c r="MR28" s="1005"/>
      <c r="MS28" s="1005"/>
      <c r="MT28" s="1005"/>
      <c r="MU28" s="1005"/>
      <c r="MV28" s="1005"/>
      <c r="MW28" s="1005"/>
      <c r="MX28" s="1005"/>
      <c r="MY28" s="1005"/>
      <c r="MZ28" s="1005"/>
      <c r="NA28" s="1005"/>
      <c r="NB28" s="1005"/>
      <c r="NC28" s="1005"/>
      <c r="ND28" s="1005"/>
      <c r="NE28" s="1005"/>
      <c r="NF28" s="1005"/>
      <c r="NG28" s="1005"/>
      <c r="NH28" s="1005"/>
      <c r="NI28" s="1005"/>
      <c r="NJ28" s="1005"/>
      <c r="NK28" s="1005"/>
      <c r="NL28" s="1005"/>
      <c r="NM28" s="1005"/>
      <c r="NN28" s="1005"/>
      <c r="NO28" s="1005"/>
      <c r="NP28" s="1005"/>
      <c r="NQ28" s="1005"/>
      <c r="NR28" s="1005"/>
      <c r="NS28" s="1005"/>
      <c r="NT28" s="1005"/>
      <c r="NU28" s="1005"/>
      <c r="NV28" s="1005"/>
      <c r="NW28" s="1005"/>
      <c r="NX28" s="1005"/>
      <c r="NY28" s="1005"/>
      <c r="NZ28" s="1005"/>
      <c r="OA28" s="1005"/>
      <c r="OB28" s="1005"/>
      <c r="OC28" s="1005"/>
      <c r="OD28" s="1005"/>
      <c r="OE28" s="1005"/>
      <c r="OF28" s="1005"/>
      <c r="OG28" s="1005"/>
      <c r="OH28" s="1005"/>
      <c r="OI28" s="1005"/>
      <c r="OJ28" s="1005"/>
      <c r="OK28" s="1005"/>
      <c r="OL28" s="1005"/>
      <c r="OM28" s="1005"/>
      <c r="ON28" s="1005"/>
      <c r="OO28" s="1005"/>
      <c r="OP28" s="1005"/>
      <c r="OQ28" s="1005"/>
      <c r="OR28" s="1005"/>
      <c r="OS28" s="1005"/>
      <c r="OT28" s="1005"/>
      <c r="OU28" s="1005"/>
      <c r="OV28" s="1005"/>
      <c r="OW28" s="1005"/>
      <c r="OX28" s="1005"/>
      <c r="OY28" s="1005"/>
      <c r="OZ28" s="1005"/>
      <c r="PA28" s="1005"/>
      <c r="PB28" s="1005"/>
      <c r="PC28" s="1005"/>
      <c r="PD28" s="1005"/>
      <c r="PE28" s="1005"/>
      <c r="PF28" s="1005"/>
      <c r="PG28" s="1005"/>
      <c r="PH28" s="1005"/>
      <c r="PI28" s="1005"/>
      <c r="PJ28" s="1005"/>
      <c r="PK28" s="1005"/>
      <c r="PL28" s="1005"/>
      <c r="PM28" s="1005"/>
      <c r="PN28" s="1005"/>
      <c r="PO28" s="1005"/>
      <c r="PP28" s="1005"/>
      <c r="PQ28" s="1005"/>
      <c r="PR28" s="1005"/>
      <c r="PS28" s="1005"/>
      <c r="PT28" s="1005"/>
      <c r="PU28" s="1005"/>
      <c r="PV28" s="1005"/>
      <c r="PW28" s="1005"/>
      <c r="PX28" s="1005"/>
      <c r="PY28" s="1005"/>
      <c r="PZ28" s="1005"/>
      <c r="QA28" s="1005"/>
      <c r="QB28" s="1005"/>
      <c r="QC28" s="1005"/>
      <c r="QD28" s="1005"/>
      <c r="QE28" s="1005"/>
      <c r="QF28" s="1005"/>
      <c r="QG28" s="1005"/>
      <c r="QH28" s="1005"/>
      <c r="QI28" s="1005"/>
      <c r="QJ28" s="1005"/>
      <c r="QK28" s="1005"/>
      <c r="QL28" s="1005"/>
      <c r="QM28" s="1005"/>
      <c r="QN28" s="1005"/>
      <c r="QO28" s="1005"/>
      <c r="QP28" s="1005"/>
      <c r="QQ28" s="1005"/>
      <c r="QR28" s="1005"/>
      <c r="QS28" s="1005"/>
      <c r="QT28" s="1005"/>
      <c r="QU28" s="1005"/>
      <c r="QV28" s="1005"/>
      <c r="QW28" s="1005"/>
      <c r="QX28" s="1005"/>
      <c r="QY28" s="1005"/>
      <c r="QZ28" s="1005"/>
      <c r="RA28" s="1005"/>
      <c r="RB28" s="1005"/>
      <c r="RC28" s="1005"/>
      <c r="RD28" s="1005"/>
      <c r="RE28" s="1005"/>
      <c r="RF28" s="1005"/>
      <c r="RG28" s="1005"/>
      <c r="RH28" s="1005"/>
      <c r="RI28" s="1005"/>
      <c r="RJ28" s="1005"/>
      <c r="RK28" s="1005"/>
      <c r="RL28" s="1005"/>
      <c r="RM28" s="1005"/>
      <c r="RN28" s="1005"/>
      <c r="RO28" s="1005"/>
      <c r="RP28" s="1005"/>
      <c r="RQ28" s="1005"/>
      <c r="RR28" s="1005"/>
      <c r="RS28" s="1005"/>
      <c r="RT28" s="1005"/>
      <c r="RU28" s="1005"/>
      <c r="RV28" s="1005"/>
      <c r="RW28" s="1005"/>
      <c r="RX28" s="1005"/>
      <c r="RY28" s="1005"/>
      <c r="RZ28" s="1005"/>
      <c r="SA28" s="1005"/>
      <c r="SB28" s="1005"/>
      <c r="SC28" s="1005"/>
      <c r="SD28" s="1005"/>
      <c r="SE28" s="1005"/>
      <c r="SF28" s="1005"/>
      <c r="SG28" s="1005"/>
      <c r="SH28" s="1005"/>
      <c r="SI28" s="1005"/>
      <c r="SJ28" s="1005"/>
      <c r="SK28" s="1005"/>
      <c r="SL28" s="1005"/>
      <c r="SM28" s="1005"/>
      <c r="SN28" s="1005"/>
      <c r="SO28" s="1005"/>
      <c r="SP28" s="1005"/>
      <c r="SQ28" s="1005"/>
      <c r="SR28" s="1005"/>
      <c r="SS28" s="1005"/>
      <c r="ST28" s="1005"/>
      <c r="SU28" s="1005"/>
      <c r="SV28" s="1005"/>
      <c r="SW28" s="1005"/>
      <c r="SX28" s="1005"/>
      <c r="SY28" s="1005"/>
      <c r="SZ28" s="1005"/>
      <c r="TA28" s="1005"/>
      <c r="TB28" s="1005"/>
      <c r="TC28" s="1005"/>
      <c r="TD28" s="1005"/>
      <c r="TE28" s="1005"/>
      <c r="TF28" s="1005"/>
      <c r="TG28" s="1005"/>
      <c r="TH28" s="1005"/>
      <c r="TI28" s="1005"/>
      <c r="TJ28" s="1005"/>
      <c r="TK28" s="1005"/>
      <c r="TL28" s="1005"/>
      <c r="TM28" s="1005"/>
      <c r="TN28" s="1005"/>
      <c r="TO28" s="1005"/>
      <c r="TP28" s="1005"/>
      <c r="TQ28" s="1005"/>
      <c r="TR28" s="1005"/>
      <c r="TS28" s="1005"/>
      <c r="TT28" s="1005"/>
      <c r="TU28" s="1005"/>
      <c r="TV28" s="1005"/>
      <c r="TW28" s="1005"/>
      <c r="TX28" s="1005"/>
      <c r="TY28" s="1005"/>
      <c r="TZ28" s="1005"/>
      <c r="UA28" s="1005"/>
      <c r="UB28" s="1005"/>
      <c r="UC28" s="1005"/>
      <c r="UD28" s="1005"/>
      <c r="UE28" s="1005"/>
      <c r="UF28" s="1005"/>
      <c r="UG28" s="1005"/>
      <c r="UH28" s="1005"/>
      <c r="UI28" s="1005"/>
      <c r="UJ28" s="1005"/>
      <c r="UK28" s="1005"/>
      <c r="UL28" s="1005"/>
      <c r="UM28" s="1005"/>
      <c r="UN28" s="1005"/>
      <c r="UO28" s="1005"/>
      <c r="UP28" s="1005"/>
      <c r="UQ28" s="1005"/>
      <c r="UR28" s="1005"/>
      <c r="US28" s="1005"/>
      <c r="UT28" s="1005"/>
      <c r="UU28" s="1005"/>
      <c r="UV28" s="1005"/>
      <c r="UW28" s="1005"/>
      <c r="UX28" s="1005"/>
      <c r="UY28" s="1005"/>
      <c r="UZ28" s="1005"/>
      <c r="VA28" s="1005"/>
      <c r="VB28" s="1005"/>
      <c r="VC28" s="1005"/>
      <c r="VD28" s="1005"/>
      <c r="VE28" s="1005"/>
      <c r="VF28" s="1005"/>
      <c r="VG28" s="1005"/>
      <c r="VH28" s="1005"/>
      <c r="VI28" s="1005"/>
      <c r="VJ28" s="1005"/>
      <c r="VK28" s="1005"/>
      <c r="VL28" s="1005"/>
      <c r="VM28" s="1005"/>
      <c r="VN28" s="1005"/>
      <c r="VO28" s="1005"/>
      <c r="VP28" s="1005"/>
      <c r="VQ28" s="1005"/>
      <c r="VR28" s="1005"/>
      <c r="VS28" s="1005"/>
      <c r="VT28" s="1005"/>
      <c r="VU28" s="1005"/>
      <c r="VV28" s="1005"/>
      <c r="VW28" s="1005"/>
      <c r="VX28" s="1005"/>
      <c r="VY28" s="1005"/>
      <c r="VZ28" s="1005"/>
      <c r="WA28" s="1005"/>
      <c r="WB28" s="1005"/>
      <c r="WC28" s="1005"/>
      <c r="WD28" s="1005"/>
      <c r="WE28" s="1005"/>
      <c r="WF28" s="1005"/>
      <c r="WG28" s="1005"/>
      <c r="WH28" s="1005"/>
      <c r="WI28" s="1005"/>
      <c r="WJ28" s="1005"/>
      <c r="WK28" s="1005"/>
      <c r="WL28" s="1005"/>
      <c r="WM28" s="1005"/>
      <c r="WN28" s="1005"/>
      <c r="WO28" s="1005"/>
      <c r="WP28" s="1005"/>
      <c r="WQ28" s="1005"/>
      <c r="WR28" s="1005"/>
      <c r="WS28" s="1005"/>
      <c r="WT28" s="1005"/>
      <c r="WU28" s="1005"/>
      <c r="WV28" s="1005"/>
      <c r="WW28" s="1005"/>
      <c r="WX28" s="1005"/>
      <c r="WY28" s="1005"/>
      <c r="WZ28" s="1005"/>
      <c r="XA28" s="1005"/>
      <c r="XB28" s="1005"/>
      <c r="XC28" s="1005"/>
      <c r="XD28" s="1005"/>
      <c r="XE28" s="1005"/>
      <c r="XF28" s="1005"/>
      <c r="XG28" s="1005"/>
      <c r="XH28" s="1005"/>
      <c r="XI28" s="1005"/>
      <c r="XJ28" s="1005"/>
      <c r="XK28" s="1005"/>
      <c r="XL28" s="1005"/>
      <c r="XM28" s="1005"/>
      <c r="XN28" s="1005"/>
      <c r="XO28" s="1005"/>
      <c r="XP28" s="1005"/>
      <c r="XQ28" s="1005"/>
      <c r="XR28" s="1005"/>
      <c r="XS28" s="1005"/>
      <c r="XT28" s="1005"/>
      <c r="XU28" s="1005"/>
      <c r="XV28" s="1005"/>
      <c r="XW28" s="1005"/>
      <c r="XX28" s="1005"/>
      <c r="XY28" s="1005"/>
      <c r="XZ28" s="1005"/>
      <c r="YA28" s="1005"/>
      <c r="YB28" s="1005"/>
      <c r="YC28" s="1005"/>
      <c r="YD28" s="1005"/>
      <c r="YE28" s="1005"/>
      <c r="YF28" s="1005"/>
      <c r="YG28" s="1005"/>
      <c r="YH28" s="1005"/>
      <c r="YI28" s="1005"/>
      <c r="YJ28" s="1005"/>
      <c r="YK28" s="1005"/>
      <c r="YL28" s="1005"/>
      <c r="YM28" s="1005"/>
      <c r="YN28" s="1005"/>
      <c r="YO28" s="1005"/>
      <c r="YP28" s="1005"/>
      <c r="YQ28" s="1005"/>
      <c r="YR28" s="1005"/>
      <c r="YS28" s="1005"/>
      <c r="YT28" s="1005"/>
      <c r="YU28" s="1005"/>
      <c r="YV28" s="1005"/>
      <c r="YW28" s="1005"/>
      <c r="YX28" s="1005"/>
      <c r="YY28" s="1005"/>
      <c r="YZ28" s="1005"/>
      <c r="ZA28" s="1005"/>
      <c r="ZB28" s="1005"/>
      <c r="ZC28" s="1005"/>
      <c r="ZD28" s="1005"/>
      <c r="ZE28" s="1005"/>
      <c r="ZF28" s="1005"/>
      <c r="ZG28" s="1005"/>
      <c r="ZH28" s="1005"/>
      <c r="ZI28" s="1005"/>
      <c r="ZJ28" s="1005"/>
      <c r="ZK28" s="1005"/>
      <c r="ZL28" s="1005"/>
      <c r="ZM28" s="1005"/>
      <c r="ZN28" s="1005"/>
      <c r="ZO28" s="1005"/>
      <c r="ZP28" s="1005"/>
      <c r="ZQ28" s="1005"/>
      <c r="ZR28" s="1005"/>
      <c r="ZS28" s="1005"/>
      <c r="ZT28" s="1005"/>
      <c r="ZU28" s="1005"/>
      <c r="ZV28" s="1005"/>
      <c r="ZW28" s="1005"/>
      <c r="ZX28" s="1005"/>
      <c r="ZY28" s="1005"/>
      <c r="ZZ28" s="1005"/>
      <c r="AAA28" s="1005"/>
      <c r="AAB28" s="1005"/>
      <c r="AAC28" s="1005"/>
      <c r="AAD28" s="1005"/>
      <c r="AAE28" s="1005"/>
      <c r="AAF28" s="1005"/>
      <c r="AAG28" s="1005"/>
      <c r="AAH28" s="1005"/>
      <c r="AAI28" s="1005"/>
      <c r="AAJ28" s="1005"/>
      <c r="AAK28" s="1005"/>
      <c r="AAL28" s="1005"/>
      <c r="AAM28" s="1005"/>
      <c r="AAN28" s="1005"/>
      <c r="AAO28" s="1005"/>
      <c r="AAP28" s="1005"/>
      <c r="AAQ28" s="1005"/>
      <c r="AAR28" s="1005"/>
      <c r="AAS28" s="1005"/>
      <c r="AAT28" s="1005"/>
      <c r="AAU28" s="1005"/>
      <c r="AAV28" s="1005"/>
      <c r="AAW28" s="1005"/>
      <c r="AAX28" s="1005"/>
      <c r="AAY28" s="1005"/>
      <c r="AAZ28" s="1005"/>
      <c r="ABA28" s="1005"/>
      <c r="ABB28" s="1005"/>
      <c r="ABC28" s="1005"/>
      <c r="ABD28" s="1005"/>
      <c r="ABE28" s="1005"/>
      <c r="ABF28" s="1005"/>
      <c r="ABG28" s="1005"/>
      <c r="ABH28" s="1005"/>
      <c r="ABI28" s="1005"/>
      <c r="ABJ28" s="1005"/>
      <c r="ABK28" s="1005"/>
      <c r="ABL28" s="1005"/>
      <c r="ABM28" s="1005"/>
      <c r="ABN28" s="1005"/>
      <c r="ABO28" s="1005"/>
      <c r="ABP28" s="1005"/>
      <c r="ABQ28" s="1005"/>
      <c r="ABR28" s="1005"/>
    </row>
    <row r="29" spans="1:746" s="94" customFormat="1" ht="12.9" hidden="1" customHeight="1" thickBot="1">
      <c r="A29" s="1252"/>
      <c r="B29" s="2957" t="s">
        <v>1264</v>
      </c>
      <c r="C29" s="2958"/>
      <c r="D29" s="348"/>
      <c r="E29" s="347" t="s">
        <v>1</v>
      </c>
      <c r="F29" s="1240"/>
      <c r="G29" s="347">
        <v>0.25</v>
      </c>
      <c r="H29" s="2349"/>
      <c r="I29" s="2364"/>
      <c r="J29" s="809"/>
      <c r="K29" s="809"/>
      <c r="L29" s="809"/>
      <c r="M29" s="809"/>
      <c r="N29" s="809"/>
      <c r="O29" s="809"/>
      <c r="P29" s="809"/>
      <c r="Q29" s="809"/>
      <c r="R29" s="809"/>
      <c r="S29" s="809"/>
      <c r="T29" s="809"/>
      <c r="U29" s="809"/>
      <c r="V29" s="809"/>
      <c r="W29" s="809"/>
      <c r="X29" s="809"/>
      <c r="Y29" s="809"/>
      <c r="Z29" s="809"/>
      <c r="AA29" s="809"/>
      <c r="AB29" s="809"/>
      <c r="AC29" s="809"/>
      <c r="AD29" s="809"/>
      <c r="AE29" s="809"/>
      <c r="AF29" s="809"/>
      <c r="AG29" s="1042"/>
      <c r="AH29" s="333"/>
      <c r="AI29" s="333"/>
      <c r="AJ29" s="418">
        <f>IF(fx!$C$57=1,SUMIF(fx!I$57:T$57,1,I29:T29),IF(fx!$C$57=2,SUMIF(fx!O$57:AF$57,1,O29:AF29)))</f>
        <v>0</v>
      </c>
      <c r="AK29" s="419"/>
      <c r="AL29" s="417">
        <f>IF(fx!$C$57=1,SUM(U29:AF29),0)</f>
        <v>0</v>
      </c>
      <c r="AM29" s="1012"/>
      <c r="AN29" s="1011"/>
      <c r="AO29" s="1946"/>
      <c r="AP29" s="1935"/>
      <c r="AQ29" s="1936"/>
      <c r="AR29" s="1941"/>
      <c r="AS29" s="1941"/>
      <c r="AT29" s="1941"/>
      <c r="AU29" s="1941"/>
      <c r="AV29" s="1941"/>
      <c r="AW29" s="1941"/>
      <c r="AX29" s="1941"/>
      <c r="AY29" s="1941"/>
      <c r="AZ29" s="1941"/>
      <c r="BA29" s="1941"/>
      <c r="BB29" s="1941"/>
      <c r="BC29" s="1941"/>
      <c r="BD29" s="1941"/>
      <c r="BE29" s="1941"/>
      <c r="BF29" s="1941"/>
      <c r="BG29" s="1941"/>
      <c r="BH29" s="1941"/>
      <c r="BI29" s="1941"/>
      <c r="BJ29" s="1941"/>
      <c r="BK29" s="1941"/>
      <c r="BL29" s="1941"/>
      <c r="BM29" s="1941"/>
      <c r="BN29" s="1941"/>
      <c r="BO29" s="1941"/>
      <c r="BP29" s="1005"/>
      <c r="BQ29" s="1005"/>
      <c r="BR29" s="1005"/>
      <c r="BS29" s="1005"/>
      <c r="BT29" s="1005"/>
      <c r="BU29" s="1005"/>
      <c r="BV29" s="1005"/>
      <c r="BW29" s="1005"/>
      <c r="BX29" s="1005"/>
      <c r="BY29" s="1005"/>
      <c r="BZ29" s="1005"/>
      <c r="CA29" s="1005"/>
      <c r="CB29" s="1005"/>
      <c r="CC29" s="1005"/>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c r="EC29" s="1005"/>
      <c r="ED29" s="1005"/>
      <c r="EE29" s="1005"/>
      <c r="EF29" s="1005"/>
      <c r="EG29" s="1005"/>
      <c r="EH29" s="1005"/>
      <c r="EI29" s="1005"/>
      <c r="EJ29" s="1005"/>
      <c r="EK29" s="1005"/>
      <c r="EL29" s="1005"/>
      <c r="EM29" s="1005"/>
      <c r="EN29" s="1005"/>
      <c r="EO29" s="1005"/>
      <c r="EP29" s="1005"/>
      <c r="EQ29" s="1005"/>
      <c r="ER29" s="1005"/>
      <c r="ES29" s="1005"/>
      <c r="ET29" s="1005"/>
      <c r="EU29" s="1005"/>
      <c r="EV29" s="1005"/>
      <c r="EW29" s="1005"/>
      <c r="EX29" s="1005"/>
      <c r="EY29" s="1005"/>
      <c r="EZ29" s="1005"/>
      <c r="FA29" s="1005"/>
      <c r="FB29" s="1005"/>
      <c r="FC29" s="1005"/>
      <c r="FD29" s="1005"/>
      <c r="FE29" s="1005"/>
      <c r="FF29" s="1005"/>
      <c r="FG29" s="1005"/>
      <c r="FH29" s="1005"/>
      <c r="FI29" s="1005"/>
      <c r="FJ29" s="1005"/>
      <c r="FK29" s="1005"/>
      <c r="FL29" s="1005"/>
      <c r="FM29" s="1005"/>
      <c r="FN29" s="1005"/>
      <c r="FO29" s="1005"/>
      <c r="FP29" s="1005"/>
      <c r="FQ29" s="1005"/>
      <c r="FR29" s="1005"/>
      <c r="FS29" s="1005"/>
      <c r="FT29" s="1005"/>
      <c r="FU29" s="1005"/>
      <c r="FV29" s="1005"/>
      <c r="FW29" s="1005"/>
      <c r="FX29" s="1005"/>
      <c r="FY29" s="1005"/>
      <c r="FZ29" s="1005"/>
      <c r="GA29" s="1005"/>
      <c r="GB29" s="1005"/>
      <c r="GC29" s="1005"/>
      <c r="GD29" s="1005"/>
      <c r="GE29" s="1005"/>
      <c r="GF29" s="1005"/>
      <c r="GG29" s="1005"/>
      <c r="GH29" s="1005"/>
      <c r="GI29" s="1005"/>
      <c r="GJ29" s="1005"/>
      <c r="GK29" s="1005"/>
      <c r="GL29" s="1005"/>
      <c r="GM29" s="1005"/>
      <c r="GN29" s="1005"/>
      <c r="GO29" s="1005"/>
      <c r="GP29" s="1005"/>
      <c r="GQ29" s="1005"/>
      <c r="GR29" s="1005"/>
      <c r="GS29" s="1005"/>
      <c r="GT29" s="1005"/>
      <c r="GU29" s="1005"/>
      <c r="GV29" s="1005"/>
      <c r="GW29" s="1005"/>
      <c r="GX29" s="1005"/>
      <c r="GY29" s="1005"/>
      <c r="GZ29" s="1005"/>
      <c r="HA29" s="1005"/>
      <c r="HB29" s="1005"/>
      <c r="HC29" s="1005"/>
      <c r="HD29" s="1005"/>
      <c r="HE29" s="1005"/>
      <c r="HF29" s="1005"/>
      <c r="HG29" s="1005"/>
      <c r="HH29" s="1005"/>
      <c r="HI29" s="1005"/>
      <c r="HJ29" s="1005"/>
      <c r="HK29" s="1005"/>
      <c r="HL29" s="1005"/>
      <c r="HM29" s="1005"/>
      <c r="HN29" s="1005"/>
      <c r="HO29" s="1005"/>
      <c r="HP29" s="1005"/>
      <c r="HQ29" s="1005"/>
      <c r="HR29" s="1005"/>
      <c r="HS29" s="1005"/>
      <c r="HT29" s="1005"/>
      <c r="HU29" s="1005"/>
      <c r="HV29" s="1005"/>
      <c r="HW29" s="1005"/>
      <c r="HX29" s="1005"/>
      <c r="HY29" s="1005"/>
      <c r="HZ29" s="1005"/>
      <c r="IA29" s="1005"/>
      <c r="IB29" s="1005"/>
      <c r="IC29" s="1005"/>
      <c r="ID29" s="1005"/>
      <c r="IE29" s="1005"/>
      <c r="IF29" s="1005"/>
      <c r="IG29" s="1005"/>
      <c r="IH29" s="1005"/>
      <c r="II29" s="1005"/>
      <c r="IJ29" s="1005"/>
      <c r="IK29" s="1005"/>
      <c r="IL29" s="1005"/>
      <c r="IM29" s="1005"/>
      <c r="IN29" s="1005"/>
      <c r="IO29" s="1005"/>
      <c r="IP29" s="1005"/>
      <c r="IQ29" s="1005"/>
      <c r="IR29" s="1005"/>
      <c r="IS29" s="1005"/>
      <c r="IT29" s="1005"/>
      <c r="IU29" s="1005"/>
      <c r="IV29" s="1005"/>
      <c r="IW29" s="1005"/>
      <c r="IX29" s="1005"/>
      <c r="IY29" s="1005"/>
      <c r="IZ29" s="1005"/>
      <c r="JA29" s="1005"/>
      <c r="JB29" s="1005"/>
      <c r="JC29" s="1005"/>
      <c r="JD29" s="1005"/>
      <c r="JE29" s="1005"/>
      <c r="JF29" s="1005"/>
      <c r="JG29" s="1005"/>
      <c r="JH29" s="1005"/>
      <c r="JI29" s="1005"/>
      <c r="JJ29" s="1005"/>
      <c r="JK29" s="1005"/>
      <c r="JL29" s="1005"/>
      <c r="JM29" s="1005"/>
      <c r="JN29" s="1005"/>
      <c r="JO29" s="1005"/>
      <c r="JP29" s="1005"/>
      <c r="JQ29" s="1005"/>
      <c r="JR29" s="1005"/>
      <c r="JS29" s="1005"/>
      <c r="JT29" s="1005"/>
      <c r="JU29" s="1005"/>
      <c r="JV29" s="1005"/>
      <c r="JW29" s="1005"/>
      <c r="JX29" s="1005"/>
      <c r="JY29" s="1005"/>
      <c r="JZ29" s="1005"/>
      <c r="KA29" s="1005"/>
      <c r="KB29" s="1005"/>
      <c r="KC29" s="1005"/>
      <c r="KD29" s="1005"/>
      <c r="KE29" s="1005"/>
      <c r="KF29" s="1005"/>
      <c r="KG29" s="1005"/>
      <c r="KH29" s="1005"/>
      <c r="KI29" s="1005"/>
      <c r="KJ29" s="1005"/>
      <c r="KK29" s="1005"/>
      <c r="KL29" s="1005"/>
      <c r="KM29" s="1005"/>
      <c r="KN29" s="1005"/>
      <c r="KO29" s="1005"/>
      <c r="KP29" s="1005"/>
      <c r="KQ29" s="1005"/>
      <c r="KR29" s="1005"/>
      <c r="KS29" s="1005"/>
      <c r="KT29" s="1005"/>
      <c r="KU29" s="1005"/>
      <c r="KV29" s="1005"/>
      <c r="KW29" s="1005"/>
      <c r="KX29" s="1005"/>
      <c r="KY29" s="1005"/>
      <c r="KZ29" s="1005"/>
      <c r="LA29" s="1005"/>
      <c r="LB29" s="1005"/>
      <c r="LC29" s="1005"/>
      <c r="LD29" s="1005"/>
      <c r="LE29" s="1005"/>
      <c r="LF29" s="1005"/>
      <c r="LG29" s="1005"/>
      <c r="LH29" s="1005"/>
      <c r="LI29" s="1005"/>
      <c r="LJ29" s="1005"/>
      <c r="LK29" s="1005"/>
      <c r="LL29" s="1005"/>
      <c r="LM29" s="1005"/>
      <c r="LN29" s="1005"/>
      <c r="LO29" s="1005"/>
      <c r="LP29" s="1005"/>
      <c r="LQ29" s="1005"/>
      <c r="LR29" s="1005"/>
      <c r="LS29" s="1005"/>
      <c r="LT29" s="1005"/>
      <c r="LU29" s="1005"/>
      <c r="LV29" s="1005"/>
      <c r="LW29" s="1005"/>
      <c r="LX29" s="1005"/>
      <c r="LY29" s="1005"/>
      <c r="LZ29" s="1005"/>
      <c r="MA29" s="1005"/>
      <c r="MB29" s="1005"/>
      <c r="MC29" s="1005"/>
      <c r="MD29" s="1005"/>
      <c r="ME29" s="1005"/>
      <c r="MF29" s="1005"/>
      <c r="MG29" s="1005"/>
      <c r="MH29" s="1005"/>
      <c r="MI29" s="1005"/>
      <c r="MJ29" s="1005"/>
      <c r="MK29" s="1005"/>
      <c r="ML29" s="1005"/>
      <c r="MM29" s="1005"/>
      <c r="MN29" s="1005"/>
      <c r="MO29" s="1005"/>
      <c r="MP29" s="1005"/>
      <c r="MQ29" s="1005"/>
      <c r="MR29" s="1005"/>
      <c r="MS29" s="1005"/>
      <c r="MT29" s="1005"/>
      <c r="MU29" s="1005"/>
      <c r="MV29" s="1005"/>
      <c r="MW29" s="1005"/>
      <c r="MX29" s="1005"/>
      <c r="MY29" s="1005"/>
      <c r="MZ29" s="1005"/>
      <c r="NA29" s="1005"/>
      <c r="NB29" s="1005"/>
      <c r="NC29" s="1005"/>
      <c r="ND29" s="1005"/>
      <c r="NE29" s="1005"/>
      <c r="NF29" s="1005"/>
      <c r="NG29" s="1005"/>
      <c r="NH29" s="1005"/>
      <c r="NI29" s="1005"/>
      <c r="NJ29" s="1005"/>
      <c r="NK29" s="1005"/>
      <c r="NL29" s="1005"/>
      <c r="NM29" s="1005"/>
      <c r="NN29" s="1005"/>
      <c r="NO29" s="1005"/>
      <c r="NP29" s="1005"/>
      <c r="NQ29" s="1005"/>
      <c r="NR29" s="1005"/>
      <c r="NS29" s="1005"/>
      <c r="NT29" s="1005"/>
      <c r="NU29" s="1005"/>
      <c r="NV29" s="1005"/>
      <c r="NW29" s="1005"/>
      <c r="NX29" s="1005"/>
      <c r="NY29" s="1005"/>
      <c r="NZ29" s="1005"/>
      <c r="OA29" s="1005"/>
      <c r="OB29" s="1005"/>
      <c r="OC29" s="1005"/>
      <c r="OD29" s="1005"/>
      <c r="OE29" s="1005"/>
      <c r="OF29" s="1005"/>
      <c r="OG29" s="1005"/>
      <c r="OH29" s="1005"/>
      <c r="OI29" s="1005"/>
      <c r="OJ29" s="1005"/>
      <c r="OK29" s="1005"/>
      <c r="OL29" s="1005"/>
      <c r="OM29" s="1005"/>
      <c r="ON29" s="1005"/>
      <c r="OO29" s="1005"/>
      <c r="OP29" s="1005"/>
      <c r="OQ29" s="1005"/>
      <c r="OR29" s="1005"/>
      <c r="OS29" s="1005"/>
      <c r="OT29" s="1005"/>
      <c r="OU29" s="1005"/>
      <c r="OV29" s="1005"/>
      <c r="OW29" s="1005"/>
      <c r="OX29" s="1005"/>
      <c r="OY29" s="1005"/>
      <c r="OZ29" s="1005"/>
      <c r="PA29" s="1005"/>
      <c r="PB29" s="1005"/>
      <c r="PC29" s="1005"/>
      <c r="PD29" s="1005"/>
      <c r="PE29" s="1005"/>
      <c r="PF29" s="1005"/>
      <c r="PG29" s="1005"/>
      <c r="PH29" s="1005"/>
      <c r="PI29" s="1005"/>
      <c r="PJ29" s="1005"/>
      <c r="PK29" s="1005"/>
      <c r="PL29" s="1005"/>
      <c r="PM29" s="1005"/>
      <c r="PN29" s="1005"/>
      <c r="PO29" s="1005"/>
      <c r="PP29" s="1005"/>
      <c r="PQ29" s="1005"/>
      <c r="PR29" s="1005"/>
      <c r="PS29" s="1005"/>
      <c r="PT29" s="1005"/>
      <c r="PU29" s="1005"/>
      <c r="PV29" s="1005"/>
      <c r="PW29" s="1005"/>
      <c r="PX29" s="1005"/>
      <c r="PY29" s="1005"/>
      <c r="PZ29" s="1005"/>
      <c r="QA29" s="1005"/>
      <c r="QB29" s="1005"/>
      <c r="QC29" s="1005"/>
      <c r="QD29" s="1005"/>
      <c r="QE29" s="1005"/>
      <c r="QF29" s="1005"/>
      <c r="QG29" s="1005"/>
      <c r="QH29" s="1005"/>
      <c r="QI29" s="1005"/>
      <c r="QJ29" s="1005"/>
      <c r="QK29" s="1005"/>
      <c r="QL29" s="1005"/>
      <c r="QM29" s="1005"/>
      <c r="QN29" s="1005"/>
      <c r="QO29" s="1005"/>
      <c r="QP29" s="1005"/>
      <c r="QQ29" s="1005"/>
      <c r="QR29" s="1005"/>
      <c r="QS29" s="1005"/>
      <c r="QT29" s="1005"/>
      <c r="QU29" s="1005"/>
      <c r="QV29" s="1005"/>
      <c r="QW29" s="1005"/>
      <c r="QX29" s="1005"/>
      <c r="QY29" s="1005"/>
      <c r="QZ29" s="1005"/>
      <c r="RA29" s="1005"/>
      <c r="RB29" s="1005"/>
      <c r="RC29" s="1005"/>
      <c r="RD29" s="1005"/>
      <c r="RE29" s="1005"/>
      <c r="RF29" s="1005"/>
      <c r="RG29" s="1005"/>
      <c r="RH29" s="1005"/>
      <c r="RI29" s="1005"/>
      <c r="RJ29" s="1005"/>
      <c r="RK29" s="1005"/>
      <c r="RL29" s="1005"/>
      <c r="RM29" s="1005"/>
      <c r="RN29" s="1005"/>
      <c r="RO29" s="1005"/>
      <c r="RP29" s="1005"/>
      <c r="RQ29" s="1005"/>
      <c r="RR29" s="1005"/>
      <c r="RS29" s="1005"/>
      <c r="RT29" s="1005"/>
      <c r="RU29" s="1005"/>
      <c r="RV29" s="1005"/>
      <c r="RW29" s="1005"/>
      <c r="RX29" s="1005"/>
      <c r="RY29" s="1005"/>
      <c r="RZ29" s="1005"/>
      <c r="SA29" s="1005"/>
      <c r="SB29" s="1005"/>
      <c r="SC29" s="1005"/>
      <c r="SD29" s="1005"/>
      <c r="SE29" s="1005"/>
      <c r="SF29" s="1005"/>
      <c r="SG29" s="1005"/>
      <c r="SH29" s="1005"/>
      <c r="SI29" s="1005"/>
      <c r="SJ29" s="1005"/>
      <c r="SK29" s="1005"/>
      <c r="SL29" s="1005"/>
      <c r="SM29" s="1005"/>
      <c r="SN29" s="1005"/>
      <c r="SO29" s="1005"/>
      <c r="SP29" s="1005"/>
      <c r="SQ29" s="1005"/>
      <c r="SR29" s="1005"/>
      <c r="SS29" s="1005"/>
      <c r="ST29" s="1005"/>
      <c r="SU29" s="1005"/>
      <c r="SV29" s="1005"/>
      <c r="SW29" s="1005"/>
      <c r="SX29" s="1005"/>
      <c r="SY29" s="1005"/>
      <c r="SZ29" s="1005"/>
      <c r="TA29" s="1005"/>
      <c r="TB29" s="1005"/>
      <c r="TC29" s="1005"/>
      <c r="TD29" s="1005"/>
      <c r="TE29" s="1005"/>
      <c r="TF29" s="1005"/>
      <c r="TG29" s="1005"/>
      <c r="TH29" s="1005"/>
      <c r="TI29" s="1005"/>
      <c r="TJ29" s="1005"/>
      <c r="TK29" s="1005"/>
      <c r="TL29" s="1005"/>
      <c r="TM29" s="1005"/>
      <c r="TN29" s="1005"/>
      <c r="TO29" s="1005"/>
      <c r="TP29" s="1005"/>
      <c r="TQ29" s="1005"/>
      <c r="TR29" s="1005"/>
      <c r="TS29" s="1005"/>
      <c r="TT29" s="1005"/>
      <c r="TU29" s="1005"/>
      <c r="TV29" s="1005"/>
      <c r="TW29" s="1005"/>
      <c r="TX29" s="1005"/>
      <c r="TY29" s="1005"/>
      <c r="TZ29" s="1005"/>
      <c r="UA29" s="1005"/>
      <c r="UB29" s="1005"/>
      <c r="UC29" s="1005"/>
      <c r="UD29" s="1005"/>
      <c r="UE29" s="1005"/>
      <c r="UF29" s="1005"/>
      <c r="UG29" s="1005"/>
      <c r="UH29" s="1005"/>
      <c r="UI29" s="1005"/>
      <c r="UJ29" s="1005"/>
      <c r="UK29" s="1005"/>
      <c r="UL29" s="1005"/>
      <c r="UM29" s="1005"/>
      <c r="UN29" s="1005"/>
      <c r="UO29" s="1005"/>
      <c r="UP29" s="1005"/>
      <c r="UQ29" s="1005"/>
      <c r="UR29" s="1005"/>
      <c r="US29" s="1005"/>
      <c r="UT29" s="1005"/>
      <c r="UU29" s="1005"/>
      <c r="UV29" s="1005"/>
      <c r="UW29" s="1005"/>
      <c r="UX29" s="1005"/>
      <c r="UY29" s="1005"/>
      <c r="UZ29" s="1005"/>
      <c r="VA29" s="1005"/>
      <c r="VB29" s="1005"/>
      <c r="VC29" s="1005"/>
      <c r="VD29" s="1005"/>
      <c r="VE29" s="1005"/>
      <c r="VF29" s="1005"/>
      <c r="VG29" s="1005"/>
      <c r="VH29" s="1005"/>
      <c r="VI29" s="1005"/>
      <c r="VJ29" s="1005"/>
      <c r="VK29" s="1005"/>
      <c r="VL29" s="1005"/>
      <c r="VM29" s="1005"/>
      <c r="VN29" s="1005"/>
      <c r="VO29" s="1005"/>
      <c r="VP29" s="1005"/>
      <c r="VQ29" s="1005"/>
      <c r="VR29" s="1005"/>
      <c r="VS29" s="1005"/>
      <c r="VT29" s="1005"/>
      <c r="VU29" s="1005"/>
      <c r="VV29" s="1005"/>
      <c r="VW29" s="1005"/>
      <c r="VX29" s="1005"/>
      <c r="VY29" s="1005"/>
      <c r="VZ29" s="1005"/>
      <c r="WA29" s="1005"/>
      <c r="WB29" s="1005"/>
      <c r="WC29" s="1005"/>
      <c r="WD29" s="1005"/>
      <c r="WE29" s="1005"/>
      <c r="WF29" s="1005"/>
      <c r="WG29" s="1005"/>
      <c r="WH29" s="1005"/>
      <c r="WI29" s="1005"/>
      <c r="WJ29" s="1005"/>
      <c r="WK29" s="1005"/>
      <c r="WL29" s="1005"/>
      <c r="WM29" s="1005"/>
      <c r="WN29" s="1005"/>
      <c r="WO29" s="1005"/>
      <c r="WP29" s="1005"/>
      <c r="WQ29" s="1005"/>
      <c r="WR29" s="1005"/>
      <c r="WS29" s="1005"/>
      <c r="WT29" s="1005"/>
      <c r="WU29" s="1005"/>
      <c r="WV29" s="1005"/>
      <c r="WW29" s="1005"/>
      <c r="WX29" s="1005"/>
      <c r="WY29" s="1005"/>
      <c r="WZ29" s="1005"/>
      <c r="XA29" s="1005"/>
      <c r="XB29" s="1005"/>
      <c r="XC29" s="1005"/>
      <c r="XD29" s="1005"/>
      <c r="XE29" s="1005"/>
      <c r="XF29" s="1005"/>
      <c r="XG29" s="1005"/>
      <c r="XH29" s="1005"/>
      <c r="XI29" s="1005"/>
      <c r="XJ29" s="1005"/>
      <c r="XK29" s="1005"/>
      <c r="XL29" s="1005"/>
      <c r="XM29" s="1005"/>
      <c r="XN29" s="1005"/>
      <c r="XO29" s="1005"/>
      <c r="XP29" s="1005"/>
      <c r="XQ29" s="1005"/>
      <c r="XR29" s="1005"/>
      <c r="XS29" s="1005"/>
      <c r="XT29" s="1005"/>
      <c r="XU29" s="1005"/>
      <c r="XV29" s="1005"/>
      <c r="XW29" s="1005"/>
      <c r="XX29" s="1005"/>
      <c r="XY29" s="1005"/>
      <c r="XZ29" s="1005"/>
      <c r="YA29" s="1005"/>
      <c r="YB29" s="1005"/>
      <c r="YC29" s="1005"/>
      <c r="YD29" s="1005"/>
      <c r="YE29" s="1005"/>
      <c r="YF29" s="1005"/>
      <c r="YG29" s="1005"/>
      <c r="YH29" s="1005"/>
      <c r="YI29" s="1005"/>
      <c r="YJ29" s="1005"/>
      <c r="YK29" s="1005"/>
      <c r="YL29" s="1005"/>
      <c r="YM29" s="1005"/>
      <c r="YN29" s="1005"/>
      <c r="YO29" s="1005"/>
      <c r="YP29" s="1005"/>
      <c r="YQ29" s="1005"/>
      <c r="YR29" s="1005"/>
      <c r="YS29" s="1005"/>
      <c r="YT29" s="1005"/>
      <c r="YU29" s="1005"/>
      <c r="YV29" s="1005"/>
      <c r="YW29" s="1005"/>
      <c r="YX29" s="1005"/>
      <c r="YY29" s="1005"/>
      <c r="YZ29" s="1005"/>
      <c r="ZA29" s="1005"/>
      <c r="ZB29" s="1005"/>
      <c r="ZC29" s="1005"/>
      <c r="ZD29" s="1005"/>
      <c r="ZE29" s="1005"/>
      <c r="ZF29" s="1005"/>
      <c r="ZG29" s="1005"/>
      <c r="ZH29" s="1005"/>
      <c r="ZI29" s="1005"/>
      <c r="ZJ29" s="1005"/>
      <c r="ZK29" s="1005"/>
      <c r="ZL29" s="1005"/>
      <c r="ZM29" s="1005"/>
      <c r="ZN29" s="1005"/>
      <c r="ZO29" s="1005"/>
      <c r="ZP29" s="1005"/>
      <c r="ZQ29" s="1005"/>
      <c r="ZR29" s="1005"/>
      <c r="ZS29" s="1005"/>
      <c r="ZT29" s="1005"/>
      <c r="ZU29" s="1005"/>
      <c r="ZV29" s="1005"/>
      <c r="ZW29" s="1005"/>
      <c r="ZX29" s="1005"/>
      <c r="ZY29" s="1005"/>
      <c r="ZZ29" s="1005"/>
      <c r="AAA29" s="1005"/>
      <c r="AAB29" s="1005"/>
      <c r="AAC29" s="1005"/>
      <c r="AAD29" s="1005"/>
      <c r="AAE29" s="1005"/>
      <c r="AAF29" s="1005"/>
      <c r="AAG29" s="1005"/>
      <c r="AAH29" s="1005"/>
      <c r="AAI29" s="1005"/>
      <c r="AAJ29" s="1005"/>
      <c r="AAK29" s="1005"/>
      <c r="AAL29" s="1005"/>
      <c r="AAM29" s="1005"/>
      <c r="AAN29" s="1005"/>
      <c r="AAO29" s="1005"/>
      <c r="AAP29" s="1005"/>
      <c r="AAQ29" s="1005"/>
      <c r="AAR29" s="1005"/>
      <c r="AAS29" s="1005"/>
      <c r="AAT29" s="1005"/>
      <c r="AAU29" s="1005"/>
      <c r="AAV29" s="1005"/>
      <c r="AAW29" s="1005"/>
      <c r="AAX29" s="1005"/>
      <c r="AAY29" s="1005"/>
      <c r="AAZ29" s="1005"/>
      <c r="ABA29" s="1005"/>
      <c r="ABB29" s="1005"/>
      <c r="ABC29" s="1005"/>
      <c r="ABD29" s="1005"/>
      <c r="ABE29" s="1005"/>
      <c r="ABF29" s="1005"/>
      <c r="ABG29" s="1005"/>
      <c r="ABH29" s="1005"/>
      <c r="ABI29" s="1005"/>
      <c r="ABJ29" s="1005"/>
      <c r="ABK29" s="1005"/>
      <c r="ABL29" s="1005"/>
      <c r="ABM29" s="1005"/>
      <c r="ABN29" s="1005"/>
      <c r="ABO29" s="1005"/>
      <c r="ABP29" s="1005"/>
      <c r="ABQ29" s="1005"/>
      <c r="ABR29" s="1005"/>
    </row>
    <row r="30" spans="1:746" s="94" customFormat="1" ht="12.9" hidden="1" customHeight="1" thickBot="1">
      <c r="A30" s="1252"/>
      <c r="B30" s="2957" t="s">
        <v>1265</v>
      </c>
      <c r="C30" s="2958"/>
      <c r="D30" s="348"/>
      <c r="E30" s="347" t="s">
        <v>1</v>
      </c>
      <c r="F30" s="1240"/>
      <c r="G30" s="347">
        <v>0.25</v>
      </c>
      <c r="H30" s="2349"/>
      <c r="I30" s="794"/>
      <c r="J30" s="794"/>
      <c r="K30" s="794"/>
      <c r="L30" s="794"/>
      <c r="M30" s="794"/>
      <c r="N30" s="794"/>
      <c r="O30" s="794"/>
      <c r="P30" s="794"/>
      <c r="Q30" s="794"/>
      <c r="R30" s="794"/>
      <c r="S30" s="794"/>
      <c r="T30" s="794"/>
      <c r="U30" s="794"/>
      <c r="V30" s="794"/>
      <c r="W30" s="794"/>
      <c r="X30" s="794"/>
      <c r="Y30" s="794"/>
      <c r="Z30" s="794"/>
      <c r="AA30" s="794"/>
      <c r="AB30" s="794"/>
      <c r="AC30" s="794"/>
      <c r="AD30" s="794"/>
      <c r="AE30" s="794"/>
      <c r="AF30" s="794"/>
      <c r="AG30" s="1042"/>
      <c r="AH30" s="333"/>
      <c r="AI30" s="333"/>
      <c r="AJ30" s="418">
        <f>IF(fx!$C$57=1,SUMIF(fx!I$57:T$57,1,I30:T30),IF(fx!$C$57=2,SUMIF(fx!O$57:AF$57,1,O30:AF30)))</f>
        <v>0</v>
      </c>
      <c r="AK30" s="419"/>
      <c r="AL30" s="417">
        <f>IF(fx!$C$57=1,SUM(U30:AF30),0)</f>
        <v>0</v>
      </c>
      <c r="AM30" s="1012"/>
      <c r="AN30" s="1011"/>
      <c r="AO30" s="1946" t="s">
        <v>1091</v>
      </c>
      <c r="AP30" s="1935"/>
      <c r="AQ30" s="1936"/>
      <c r="AR30" s="1941"/>
      <c r="AS30" s="1941"/>
      <c r="AT30" s="1941"/>
      <c r="AU30" s="1941"/>
      <c r="AV30" s="1941"/>
      <c r="AW30" s="1941"/>
      <c r="AX30" s="1941"/>
      <c r="AY30" s="1941"/>
      <c r="AZ30" s="1941"/>
      <c r="BA30" s="1941"/>
      <c r="BB30" s="1941"/>
      <c r="BC30" s="1941"/>
      <c r="BD30" s="1941"/>
      <c r="BE30" s="1941"/>
      <c r="BF30" s="1941"/>
      <c r="BG30" s="1941"/>
      <c r="BH30" s="1941"/>
      <c r="BI30" s="1941"/>
      <c r="BJ30" s="1941"/>
      <c r="BK30" s="1941"/>
      <c r="BL30" s="1941"/>
      <c r="BM30" s="1941"/>
      <c r="BN30" s="1941"/>
      <c r="BO30" s="1941"/>
      <c r="BP30" s="1005"/>
      <c r="BQ30" s="1005"/>
      <c r="BR30" s="1005"/>
      <c r="BS30" s="1005"/>
      <c r="BT30" s="1005"/>
      <c r="BU30" s="1005"/>
      <c r="BV30" s="1005"/>
      <c r="BW30" s="1005"/>
      <c r="BX30" s="1005"/>
      <c r="BY30" s="1005"/>
      <c r="BZ30" s="1005"/>
      <c r="CA30" s="1005"/>
      <c r="CB30" s="1005"/>
      <c r="CC30" s="1005"/>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c r="EC30" s="1005"/>
      <c r="ED30" s="1005"/>
      <c r="EE30" s="1005"/>
      <c r="EF30" s="1005"/>
      <c r="EG30" s="1005"/>
      <c r="EH30" s="1005"/>
      <c r="EI30" s="1005"/>
      <c r="EJ30" s="1005"/>
      <c r="EK30" s="1005"/>
      <c r="EL30" s="1005"/>
      <c r="EM30" s="1005"/>
      <c r="EN30" s="1005"/>
      <c r="EO30" s="1005"/>
      <c r="EP30" s="1005"/>
      <c r="EQ30" s="1005"/>
      <c r="ER30" s="1005"/>
      <c r="ES30" s="1005"/>
      <c r="ET30" s="1005"/>
      <c r="EU30" s="1005"/>
      <c r="EV30" s="1005"/>
      <c r="EW30" s="1005"/>
      <c r="EX30" s="1005"/>
      <c r="EY30" s="1005"/>
      <c r="EZ30" s="1005"/>
      <c r="FA30" s="1005"/>
      <c r="FB30" s="1005"/>
      <c r="FC30" s="1005"/>
      <c r="FD30" s="1005"/>
      <c r="FE30" s="1005"/>
      <c r="FF30" s="1005"/>
      <c r="FG30" s="1005"/>
      <c r="FH30" s="1005"/>
      <c r="FI30" s="1005"/>
      <c r="FJ30" s="1005"/>
      <c r="FK30" s="1005"/>
      <c r="FL30" s="1005"/>
      <c r="FM30" s="1005"/>
      <c r="FN30" s="1005"/>
      <c r="FO30" s="1005"/>
      <c r="FP30" s="1005"/>
      <c r="FQ30" s="1005"/>
      <c r="FR30" s="1005"/>
      <c r="FS30" s="1005"/>
      <c r="FT30" s="1005"/>
      <c r="FU30" s="1005"/>
      <c r="FV30" s="1005"/>
      <c r="FW30" s="1005"/>
      <c r="FX30" s="1005"/>
      <c r="FY30" s="1005"/>
      <c r="FZ30" s="1005"/>
      <c r="GA30" s="1005"/>
      <c r="GB30" s="1005"/>
      <c r="GC30" s="1005"/>
      <c r="GD30" s="1005"/>
      <c r="GE30" s="1005"/>
      <c r="GF30" s="1005"/>
      <c r="GG30" s="1005"/>
      <c r="GH30" s="1005"/>
      <c r="GI30" s="1005"/>
      <c r="GJ30" s="1005"/>
      <c r="GK30" s="1005"/>
      <c r="GL30" s="1005"/>
      <c r="GM30" s="1005"/>
      <c r="GN30" s="1005"/>
      <c r="GO30" s="1005"/>
      <c r="GP30" s="1005"/>
      <c r="GQ30" s="1005"/>
      <c r="GR30" s="1005"/>
      <c r="GS30" s="1005"/>
      <c r="GT30" s="1005"/>
      <c r="GU30" s="1005"/>
      <c r="GV30" s="1005"/>
      <c r="GW30" s="1005"/>
      <c r="GX30" s="1005"/>
      <c r="GY30" s="1005"/>
      <c r="GZ30" s="1005"/>
      <c r="HA30" s="1005"/>
      <c r="HB30" s="1005"/>
      <c r="HC30" s="1005"/>
      <c r="HD30" s="1005"/>
      <c r="HE30" s="1005"/>
      <c r="HF30" s="1005"/>
      <c r="HG30" s="1005"/>
      <c r="HH30" s="1005"/>
      <c r="HI30" s="1005"/>
      <c r="HJ30" s="1005"/>
      <c r="HK30" s="1005"/>
      <c r="HL30" s="1005"/>
      <c r="HM30" s="1005"/>
      <c r="HN30" s="1005"/>
      <c r="HO30" s="1005"/>
      <c r="HP30" s="1005"/>
      <c r="HQ30" s="1005"/>
      <c r="HR30" s="1005"/>
      <c r="HS30" s="1005"/>
      <c r="HT30" s="1005"/>
      <c r="HU30" s="1005"/>
      <c r="HV30" s="1005"/>
      <c r="HW30" s="1005"/>
      <c r="HX30" s="1005"/>
      <c r="HY30" s="1005"/>
      <c r="HZ30" s="1005"/>
      <c r="IA30" s="1005"/>
      <c r="IB30" s="1005"/>
      <c r="IC30" s="1005"/>
      <c r="ID30" s="1005"/>
      <c r="IE30" s="1005"/>
      <c r="IF30" s="1005"/>
      <c r="IG30" s="1005"/>
      <c r="IH30" s="1005"/>
      <c r="II30" s="1005"/>
      <c r="IJ30" s="1005"/>
      <c r="IK30" s="1005"/>
      <c r="IL30" s="1005"/>
      <c r="IM30" s="1005"/>
      <c r="IN30" s="1005"/>
      <c r="IO30" s="1005"/>
      <c r="IP30" s="1005"/>
      <c r="IQ30" s="1005"/>
      <c r="IR30" s="1005"/>
      <c r="IS30" s="1005"/>
      <c r="IT30" s="1005"/>
      <c r="IU30" s="1005"/>
      <c r="IV30" s="1005"/>
      <c r="IW30" s="1005"/>
      <c r="IX30" s="1005"/>
      <c r="IY30" s="1005"/>
      <c r="IZ30" s="1005"/>
      <c r="JA30" s="1005"/>
      <c r="JB30" s="1005"/>
      <c r="JC30" s="1005"/>
      <c r="JD30" s="1005"/>
      <c r="JE30" s="1005"/>
      <c r="JF30" s="1005"/>
      <c r="JG30" s="1005"/>
      <c r="JH30" s="1005"/>
      <c r="JI30" s="1005"/>
      <c r="JJ30" s="1005"/>
      <c r="JK30" s="1005"/>
      <c r="JL30" s="1005"/>
      <c r="JM30" s="1005"/>
      <c r="JN30" s="1005"/>
      <c r="JO30" s="1005"/>
      <c r="JP30" s="1005"/>
      <c r="JQ30" s="1005"/>
      <c r="JR30" s="1005"/>
      <c r="JS30" s="1005"/>
      <c r="JT30" s="1005"/>
      <c r="JU30" s="1005"/>
      <c r="JV30" s="1005"/>
      <c r="JW30" s="1005"/>
      <c r="JX30" s="1005"/>
      <c r="JY30" s="1005"/>
      <c r="JZ30" s="1005"/>
      <c r="KA30" s="1005"/>
      <c r="KB30" s="1005"/>
      <c r="KC30" s="1005"/>
      <c r="KD30" s="1005"/>
      <c r="KE30" s="1005"/>
      <c r="KF30" s="1005"/>
      <c r="KG30" s="1005"/>
      <c r="KH30" s="1005"/>
      <c r="KI30" s="1005"/>
      <c r="KJ30" s="1005"/>
      <c r="KK30" s="1005"/>
      <c r="KL30" s="1005"/>
      <c r="KM30" s="1005"/>
      <c r="KN30" s="1005"/>
      <c r="KO30" s="1005"/>
      <c r="KP30" s="1005"/>
      <c r="KQ30" s="1005"/>
      <c r="KR30" s="1005"/>
      <c r="KS30" s="1005"/>
      <c r="KT30" s="1005"/>
      <c r="KU30" s="1005"/>
      <c r="KV30" s="1005"/>
      <c r="KW30" s="1005"/>
      <c r="KX30" s="1005"/>
      <c r="KY30" s="1005"/>
      <c r="KZ30" s="1005"/>
      <c r="LA30" s="1005"/>
      <c r="LB30" s="1005"/>
      <c r="LC30" s="1005"/>
      <c r="LD30" s="1005"/>
      <c r="LE30" s="1005"/>
      <c r="LF30" s="1005"/>
      <c r="LG30" s="1005"/>
      <c r="LH30" s="1005"/>
      <c r="LI30" s="1005"/>
      <c r="LJ30" s="1005"/>
      <c r="LK30" s="1005"/>
      <c r="LL30" s="1005"/>
      <c r="LM30" s="1005"/>
      <c r="LN30" s="1005"/>
      <c r="LO30" s="1005"/>
      <c r="LP30" s="1005"/>
      <c r="LQ30" s="1005"/>
      <c r="LR30" s="1005"/>
      <c r="LS30" s="1005"/>
      <c r="LT30" s="1005"/>
      <c r="LU30" s="1005"/>
      <c r="LV30" s="1005"/>
      <c r="LW30" s="1005"/>
      <c r="LX30" s="1005"/>
      <c r="LY30" s="1005"/>
      <c r="LZ30" s="1005"/>
      <c r="MA30" s="1005"/>
      <c r="MB30" s="1005"/>
      <c r="MC30" s="1005"/>
      <c r="MD30" s="1005"/>
      <c r="ME30" s="1005"/>
      <c r="MF30" s="1005"/>
      <c r="MG30" s="1005"/>
      <c r="MH30" s="1005"/>
      <c r="MI30" s="1005"/>
      <c r="MJ30" s="1005"/>
      <c r="MK30" s="1005"/>
      <c r="ML30" s="1005"/>
      <c r="MM30" s="1005"/>
      <c r="MN30" s="1005"/>
      <c r="MO30" s="1005"/>
      <c r="MP30" s="1005"/>
      <c r="MQ30" s="1005"/>
      <c r="MR30" s="1005"/>
      <c r="MS30" s="1005"/>
      <c r="MT30" s="1005"/>
      <c r="MU30" s="1005"/>
      <c r="MV30" s="1005"/>
      <c r="MW30" s="1005"/>
      <c r="MX30" s="1005"/>
      <c r="MY30" s="1005"/>
      <c r="MZ30" s="1005"/>
      <c r="NA30" s="1005"/>
      <c r="NB30" s="1005"/>
      <c r="NC30" s="1005"/>
      <c r="ND30" s="1005"/>
      <c r="NE30" s="1005"/>
      <c r="NF30" s="1005"/>
      <c r="NG30" s="1005"/>
      <c r="NH30" s="1005"/>
      <c r="NI30" s="1005"/>
      <c r="NJ30" s="1005"/>
      <c r="NK30" s="1005"/>
      <c r="NL30" s="1005"/>
      <c r="NM30" s="1005"/>
      <c r="NN30" s="1005"/>
      <c r="NO30" s="1005"/>
      <c r="NP30" s="1005"/>
      <c r="NQ30" s="1005"/>
      <c r="NR30" s="1005"/>
      <c r="NS30" s="1005"/>
      <c r="NT30" s="1005"/>
      <c r="NU30" s="1005"/>
      <c r="NV30" s="1005"/>
      <c r="NW30" s="1005"/>
      <c r="NX30" s="1005"/>
      <c r="NY30" s="1005"/>
      <c r="NZ30" s="1005"/>
      <c r="OA30" s="1005"/>
      <c r="OB30" s="1005"/>
      <c r="OC30" s="1005"/>
      <c r="OD30" s="1005"/>
      <c r="OE30" s="1005"/>
      <c r="OF30" s="1005"/>
      <c r="OG30" s="1005"/>
      <c r="OH30" s="1005"/>
      <c r="OI30" s="1005"/>
      <c r="OJ30" s="1005"/>
      <c r="OK30" s="1005"/>
      <c r="OL30" s="1005"/>
      <c r="OM30" s="1005"/>
      <c r="ON30" s="1005"/>
      <c r="OO30" s="1005"/>
      <c r="OP30" s="1005"/>
      <c r="OQ30" s="1005"/>
      <c r="OR30" s="1005"/>
      <c r="OS30" s="1005"/>
      <c r="OT30" s="1005"/>
      <c r="OU30" s="1005"/>
      <c r="OV30" s="1005"/>
      <c r="OW30" s="1005"/>
      <c r="OX30" s="1005"/>
      <c r="OY30" s="1005"/>
      <c r="OZ30" s="1005"/>
      <c r="PA30" s="1005"/>
      <c r="PB30" s="1005"/>
      <c r="PC30" s="1005"/>
      <c r="PD30" s="1005"/>
      <c r="PE30" s="1005"/>
      <c r="PF30" s="1005"/>
      <c r="PG30" s="1005"/>
      <c r="PH30" s="1005"/>
      <c r="PI30" s="1005"/>
      <c r="PJ30" s="1005"/>
      <c r="PK30" s="1005"/>
      <c r="PL30" s="1005"/>
      <c r="PM30" s="1005"/>
      <c r="PN30" s="1005"/>
      <c r="PO30" s="1005"/>
      <c r="PP30" s="1005"/>
      <c r="PQ30" s="1005"/>
      <c r="PR30" s="1005"/>
      <c r="PS30" s="1005"/>
      <c r="PT30" s="1005"/>
      <c r="PU30" s="1005"/>
      <c r="PV30" s="1005"/>
      <c r="PW30" s="1005"/>
      <c r="PX30" s="1005"/>
      <c r="PY30" s="1005"/>
      <c r="PZ30" s="1005"/>
      <c r="QA30" s="1005"/>
      <c r="QB30" s="1005"/>
      <c r="QC30" s="1005"/>
      <c r="QD30" s="1005"/>
      <c r="QE30" s="1005"/>
      <c r="QF30" s="1005"/>
      <c r="QG30" s="1005"/>
      <c r="QH30" s="1005"/>
      <c r="QI30" s="1005"/>
      <c r="QJ30" s="1005"/>
      <c r="QK30" s="1005"/>
      <c r="QL30" s="1005"/>
      <c r="QM30" s="1005"/>
      <c r="QN30" s="1005"/>
      <c r="QO30" s="1005"/>
      <c r="QP30" s="1005"/>
      <c r="QQ30" s="1005"/>
      <c r="QR30" s="1005"/>
      <c r="QS30" s="1005"/>
      <c r="QT30" s="1005"/>
      <c r="QU30" s="1005"/>
      <c r="QV30" s="1005"/>
      <c r="QW30" s="1005"/>
      <c r="QX30" s="1005"/>
      <c r="QY30" s="1005"/>
      <c r="QZ30" s="1005"/>
      <c r="RA30" s="1005"/>
      <c r="RB30" s="1005"/>
      <c r="RC30" s="1005"/>
      <c r="RD30" s="1005"/>
      <c r="RE30" s="1005"/>
      <c r="RF30" s="1005"/>
      <c r="RG30" s="1005"/>
      <c r="RH30" s="1005"/>
      <c r="RI30" s="1005"/>
      <c r="RJ30" s="1005"/>
      <c r="RK30" s="1005"/>
      <c r="RL30" s="1005"/>
      <c r="RM30" s="1005"/>
      <c r="RN30" s="1005"/>
      <c r="RO30" s="1005"/>
      <c r="RP30" s="1005"/>
      <c r="RQ30" s="1005"/>
      <c r="RR30" s="1005"/>
      <c r="RS30" s="1005"/>
      <c r="RT30" s="1005"/>
      <c r="RU30" s="1005"/>
      <c r="RV30" s="1005"/>
      <c r="RW30" s="1005"/>
      <c r="RX30" s="1005"/>
      <c r="RY30" s="1005"/>
      <c r="RZ30" s="1005"/>
      <c r="SA30" s="1005"/>
      <c r="SB30" s="1005"/>
      <c r="SC30" s="1005"/>
      <c r="SD30" s="1005"/>
      <c r="SE30" s="1005"/>
      <c r="SF30" s="1005"/>
      <c r="SG30" s="1005"/>
      <c r="SH30" s="1005"/>
      <c r="SI30" s="1005"/>
      <c r="SJ30" s="1005"/>
      <c r="SK30" s="1005"/>
      <c r="SL30" s="1005"/>
      <c r="SM30" s="1005"/>
      <c r="SN30" s="1005"/>
      <c r="SO30" s="1005"/>
      <c r="SP30" s="1005"/>
      <c r="SQ30" s="1005"/>
      <c r="SR30" s="1005"/>
      <c r="SS30" s="1005"/>
      <c r="ST30" s="1005"/>
      <c r="SU30" s="1005"/>
      <c r="SV30" s="1005"/>
      <c r="SW30" s="1005"/>
      <c r="SX30" s="1005"/>
      <c r="SY30" s="1005"/>
      <c r="SZ30" s="1005"/>
      <c r="TA30" s="1005"/>
      <c r="TB30" s="1005"/>
      <c r="TC30" s="1005"/>
      <c r="TD30" s="1005"/>
      <c r="TE30" s="1005"/>
      <c r="TF30" s="1005"/>
      <c r="TG30" s="1005"/>
      <c r="TH30" s="1005"/>
      <c r="TI30" s="1005"/>
      <c r="TJ30" s="1005"/>
      <c r="TK30" s="1005"/>
      <c r="TL30" s="1005"/>
      <c r="TM30" s="1005"/>
      <c r="TN30" s="1005"/>
      <c r="TO30" s="1005"/>
      <c r="TP30" s="1005"/>
      <c r="TQ30" s="1005"/>
      <c r="TR30" s="1005"/>
      <c r="TS30" s="1005"/>
      <c r="TT30" s="1005"/>
      <c r="TU30" s="1005"/>
      <c r="TV30" s="1005"/>
      <c r="TW30" s="1005"/>
      <c r="TX30" s="1005"/>
      <c r="TY30" s="1005"/>
      <c r="TZ30" s="1005"/>
      <c r="UA30" s="1005"/>
      <c r="UB30" s="1005"/>
      <c r="UC30" s="1005"/>
      <c r="UD30" s="1005"/>
      <c r="UE30" s="1005"/>
      <c r="UF30" s="1005"/>
      <c r="UG30" s="1005"/>
      <c r="UH30" s="1005"/>
      <c r="UI30" s="1005"/>
      <c r="UJ30" s="1005"/>
      <c r="UK30" s="1005"/>
      <c r="UL30" s="1005"/>
      <c r="UM30" s="1005"/>
      <c r="UN30" s="1005"/>
      <c r="UO30" s="1005"/>
      <c r="UP30" s="1005"/>
      <c r="UQ30" s="1005"/>
      <c r="UR30" s="1005"/>
      <c r="US30" s="1005"/>
      <c r="UT30" s="1005"/>
      <c r="UU30" s="1005"/>
      <c r="UV30" s="1005"/>
      <c r="UW30" s="1005"/>
      <c r="UX30" s="1005"/>
      <c r="UY30" s="1005"/>
      <c r="UZ30" s="1005"/>
      <c r="VA30" s="1005"/>
      <c r="VB30" s="1005"/>
      <c r="VC30" s="1005"/>
      <c r="VD30" s="1005"/>
      <c r="VE30" s="1005"/>
      <c r="VF30" s="1005"/>
      <c r="VG30" s="1005"/>
      <c r="VH30" s="1005"/>
      <c r="VI30" s="1005"/>
      <c r="VJ30" s="1005"/>
      <c r="VK30" s="1005"/>
      <c r="VL30" s="1005"/>
      <c r="VM30" s="1005"/>
      <c r="VN30" s="1005"/>
      <c r="VO30" s="1005"/>
      <c r="VP30" s="1005"/>
      <c r="VQ30" s="1005"/>
      <c r="VR30" s="1005"/>
      <c r="VS30" s="1005"/>
      <c r="VT30" s="1005"/>
      <c r="VU30" s="1005"/>
      <c r="VV30" s="1005"/>
      <c r="VW30" s="1005"/>
      <c r="VX30" s="1005"/>
      <c r="VY30" s="1005"/>
      <c r="VZ30" s="1005"/>
      <c r="WA30" s="1005"/>
      <c r="WB30" s="1005"/>
      <c r="WC30" s="1005"/>
      <c r="WD30" s="1005"/>
      <c r="WE30" s="1005"/>
      <c r="WF30" s="1005"/>
      <c r="WG30" s="1005"/>
      <c r="WH30" s="1005"/>
      <c r="WI30" s="1005"/>
      <c r="WJ30" s="1005"/>
      <c r="WK30" s="1005"/>
      <c r="WL30" s="1005"/>
      <c r="WM30" s="1005"/>
      <c r="WN30" s="1005"/>
      <c r="WO30" s="1005"/>
      <c r="WP30" s="1005"/>
      <c r="WQ30" s="1005"/>
      <c r="WR30" s="1005"/>
      <c r="WS30" s="1005"/>
      <c r="WT30" s="1005"/>
      <c r="WU30" s="1005"/>
      <c r="WV30" s="1005"/>
      <c r="WW30" s="1005"/>
      <c r="WX30" s="1005"/>
      <c r="WY30" s="1005"/>
      <c r="WZ30" s="1005"/>
      <c r="XA30" s="1005"/>
      <c r="XB30" s="1005"/>
      <c r="XC30" s="1005"/>
      <c r="XD30" s="1005"/>
      <c r="XE30" s="1005"/>
      <c r="XF30" s="1005"/>
      <c r="XG30" s="1005"/>
      <c r="XH30" s="1005"/>
      <c r="XI30" s="1005"/>
      <c r="XJ30" s="1005"/>
      <c r="XK30" s="1005"/>
      <c r="XL30" s="1005"/>
      <c r="XM30" s="1005"/>
      <c r="XN30" s="1005"/>
      <c r="XO30" s="1005"/>
      <c r="XP30" s="1005"/>
      <c r="XQ30" s="1005"/>
      <c r="XR30" s="1005"/>
      <c r="XS30" s="1005"/>
      <c r="XT30" s="1005"/>
      <c r="XU30" s="1005"/>
      <c r="XV30" s="1005"/>
      <c r="XW30" s="1005"/>
      <c r="XX30" s="1005"/>
      <c r="XY30" s="1005"/>
      <c r="XZ30" s="1005"/>
      <c r="YA30" s="1005"/>
      <c r="YB30" s="1005"/>
      <c r="YC30" s="1005"/>
      <c r="YD30" s="1005"/>
      <c r="YE30" s="1005"/>
      <c r="YF30" s="1005"/>
      <c r="YG30" s="1005"/>
      <c r="YH30" s="1005"/>
      <c r="YI30" s="1005"/>
      <c r="YJ30" s="1005"/>
      <c r="YK30" s="1005"/>
      <c r="YL30" s="1005"/>
      <c r="YM30" s="1005"/>
      <c r="YN30" s="1005"/>
      <c r="YO30" s="1005"/>
      <c r="YP30" s="1005"/>
      <c r="YQ30" s="1005"/>
      <c r="YR30" s="1005"/>
      <c r="YS30" s="1005"/>
      <c r="YT30" s="1005"/>
      <c r="YU30" s="1005"/>
      <c r="YV30" s="1005"/>
      <c r="YW30" s="1005"/>
      <c r="YX30" s="1005"/>
      <c r="YY30" s="1005"/>
      <c r="YZ30" s="1005"/>
      <c r="ZA30" s="1005"/>
      <c r="ZB30" s="1005"/>
      <c r="ZC30" s="1005"/>
      <c r="ZD30" s="1005"/>
      <c r="ZE30" s="1005"/>
      <c r="ZF30" s="1005"/>
      <c r="ZG30" s="1005"/>
      <c r="ZH30" s="1005"/>
      <c r="ZI30" s="1005"/>
      <c r="ZJ30" s="1005"/>
      <c r="ZK30" s="1005"/>
      <c r="ZL30" s="1005"/>
      <c r="ZM30" s="1005"/>
      <c r="ZN30" s="1005"/>
      <c r="ZO30" s="1005"/>
      <c r="ZP30" s="1005"/>
      <c r="ZQ30" s="1005"/>
      <c r="ZR30" s="1005"/>
      <c r="ZS30" s="1005"/>
      <c r="ZT30" s="1005"/>
      <c r="ZU30" s="1005"/>
      <c r="ZV30" s="1005"/>
      <c r="ZW30" s="1005"/>
      <c r="ZX30" s="1005"/>
      <c r="ZY30" s="1005"/>
      <c r="ZZ30" s="1005"/>
      <c r="AAA30" s="1005"/>
      <c r="AAB30" s="1005"/>
      <c r="AAC30" s="1005"/>
      <c r="AAD30" s="1005"/>
      <c r="AAE30" s="1005"/>
      <c r="AAF30" s="1005"/>
      <c r="AAG30" s="1005"/>
      <c r="AAH30" s="1005"/>
      <c r="AAI30" s="1005"/>
      <c r="AAJ30" s="1005"/>
      <c r="AAK30" s="1005"/>
      <c r="AAL30" s="1005"/>
      <c r="AAM30" s="1005"/>
      <c r="AAN30" s="1005"/>
      <c r="AAO30" s="1005"/>
      <c r="AAP30" s="1005"/>
      <c r="AAQ30" s="1005"/>
      <c r="AAR30" s="1005"/>
      <c r="AAS30" s="1005"/>
      <c r="AAT30" s="1005"/>
      <c r="AAU30" s="1005"/>
      <c r="AAV30" s="1005"/>
      <c r="AAW30" s="1005"/>
      <c r="AAX30" s="1005"/>
      <c r="AAY30" s="1005"/>
      <c r="AAZ30" s="1005"/>
      <c r="ABA30" s="1005"/>
      <c r="ABB30" s="1005"/>
      <c r="ABC30" s="1005"/>
      <c r="ABD30" s="1005"/>
      <c r="ABE30" s="1005"/>
      <c r="ABF30" s="1005"/>
      <c r="ABG30" s="1005"/>
      <c r="ABH30" s="1005"/>
      <c r="ABI30" s="1005"/>
      <c r="ABJ30" s="1005"/>
      <c r="ABK30" s="1005"/>
      <c r="ABL30" s="1005"/>
      <c r="ABM30" s="1005"/>
      <c r="ABN30" s="1005"/>
      <c r="ABO30" s="1005"/>
      <c r="ABP30" s="1005"/>
      <c r="ABQ30" s="1005"/>
      <c r="ABR30" s="1005"/>
    </row>
    <row r="31" spans="1:746" s="94" customFormat="1" ht="12.9" hidden="1" customHeight="1" thickBot="1">
      <c r="A31" s="1252"/>
      <c r="B31" s="1740" t="s">
        <v>1008</v>
      </c>
      <c r="C31" s="1206"/>
      <c r="D31" s="1768"/>
      <c r="E31" s="263" t="s">
        <v>960</v>
      </c>
      <c r="F31" s="1635"/>
      <c r="G31" s="2347">
        <f>G318</f>
        <v>0.25</v>
      </c>
      <c r="H31" s="2530" t="str">
        <f>IF(AND(fx!$C$58=2,(AJ32+AL32&gt;0)),"!","")</f>
        <v/>
      </c>
      <c r="I31" s="1966"/>
      <c r="J31" s="368"/>
      <c r="K31" s="368"/>
      <c r="L31" s="368"/>
      <c r="M31" s="368"/>
      <c r="N31" s="368"/>
      <c r="O31" s="368"/>
      <c r="P31" s="368"/>
      <c r="Q31" s="368"/>
      <c r="R31" s="368"/>
      <c r="S31" s="368"/>
      <c r="T31" s="368"/>
      <c r="U31" s="368"/>
      <c r="V31" s="368"/>
      <c r="W31" s="368"/>
      <c r="X31" s="368"/>
      <c r="Y31" s="368"/>
      <c r="Z31" s="368"/>
      <c r="AA31" s="368"/>
      <c r="AB31" s="368"/>
      <c r="AC31" s="368"/>
      <c r="AD31" s="368"/>
      <c r="AE31" s="368"/>
      <c r="AF31" s="368"/>
      <c r="AG31" s="1042"/>
      <c r="AH31" s="337"/>
      <c r="AI31" s="337"/>
      <c r="AJ31" s="901">
        <f>IF(fx!C58=2,0,IF(fx!$C$57=1,SUMIF(fx!I$57:T$57,1,I31:T31),IF(fx!$C$57=2,SUMIF(fx!O$57:AF$57,1,O31:AF31))))</f>
        <v>0</v>
      </c>
      <c r="AK31" s="1207"/>
      <c r="AL31" s="902">
        <f>IF(fx!C58=2,0,IF(fx!$C$57=1,SUM(U31:AF31),0))</f>
        <v>0</v>
      </c>
      <c r="AM31" s="1012"/>
      <c r="AN31" s="1011"/>
      <c r="AO31" s="1946"/>
      <c r="AP31" s="1935"/>
      <c r="AQ31" s="1936"/>
      <c r="AR31" s="1941"/>
      <c r="AS31" s="1941"/>
      <c r="AT31" s="1941"/>
      <c r="AU31" s="1941"/>
      <c r="AV31" s="1941"/>
      <c r="AW31" s="1941"/>
      <c r="AX31" s="1941"/>
      <c r="AY31" s="1941"/>
      <c r="AZ31" s="1941"/>
      <c r="BA31" s="1941"/>
      <c r="BB31" s="1941"/>
      <c r="BC31" s="1941"/>
      <c r="BD31" s="1941"/>
      <c r="BE31" s="1941"/>
      <c r="BF31" s="1941"/>
      <c r="BG31" s="1941"/>
      <c r="BH31" s="1941"/>
      <c r="BI31" s="1941"/>
      <c r="BJ31" s="1941"/>
      <c r="BK31" s="1941"/>
      <c r="BL31" s="1941"/>
      <c r="BM31" s="1941"/>
      <c r="BN31" s="1941"/>
      <c r="BO31" s="1941"/>
      <c r="BP31" s="1005"/>
      <c r="BQ31" s="1005"/>
      <c r="BR31" s="1005"/>
      <c r="BS31" s="1005"/>
      <c r="BT31" s="1005"/>
      <c r="BU31" s="1005"/>
      <c r="BV31" s="1005"/>
      <c r="BW31" s="1005"/>
      <c r="BX31" s="1005"/>
      <c r="BY31" s="1005"/>
      <c r="BZ31" s="1005"/>
      <c r="CA31" s="1005"/>
      <c r="CB31" s="1005"/>
      <c r="CC31" s="1005"/>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c r="EC31" s="1005"/>
      <c r="ED31" s="1005"/>
      <c r="EE31" s="1005"/>
      <c r="EF31" s="1005"/>
      <c r="EG31" s="1005"/>
      <c r="EH31" s="1005"/>
      <c r="EI31" s="1005"/>
      <c r="EJ31" s="1005"/>
      <c r="EK31" s="1005"/>
      <c r="EL31" s="1005"/>
      <c r="EM31" s="1005"/>
      <c r="EN31" s="1005"/>
      <c r="EO31" s="1005"/>
      <c r="EP31" s="1005"/>
      <c r="EQ31" s="1005"/>
      <c r="ER31" s="1005"/>
      <c r="ES31" s="1005"/>
      <c r="ET31" s="1005"/>
      <c r="EU31" s="1005"/>
      <c r="EV31" s="1005"/>
      <c r="EW31" s="1005"/>
      <c r="EX31" s="1005"/>
      <c r="EY31" s="1005"/>
      <c r="EZ31" s="1005"/>
      <c r="FA31" s="1005"/>
      <c r="FB31" s="1005"/>
      <c r="FC31" s="1005"/>
      <c r="FD31" s="1005"/>
      <c r="FE31" s="1005"/>
      <c r="FF31" s="1005"/>
      <c r="FG31" s="1005"/>
      <c r="FH31" s="1005"/>
      <c r="FI31" s="1005"/>
      <c r="FJ31" s="1005"/>
      <c r="FK31" s="1005"/>
      <c r="FL31" s="1005"/>
      <c r="FM31" s="1005"/>
      <c r="FN31" s="1005"/>
      <c r="FO31" s="1005"/>
      <c r="FP31" s="1005"/>
      <c r="FQ31" s="1005"/>
      <c r="FR31" s="1005"/>
      <c r="FS31" s="1005"/>
      <c r="FT31" s="1005"/>
      <c r="FU31" s="1005"/>
      <c r="FV31" s="1005"/>
      <c r="FW31" s="1005"/>
      <c r="FX31" s="1005"/>
      <c r="FY31" s="1005"/>
      <c r="FZ31" s="1005"/>
      <c r="GA31" s="1005"/>
      <c r="GB31" s="1005"/>
      <c r="GC31" s="1005"/>
      <c r="GD31" s="1005"/>
      <c r="GE31" s="1005"/>
      <c r="GF31" s="1005"/>
      <c r="GG31" s="1005"/>
      <c r="GH31" s="1005"/>
      <c r="GI31" s="1005"/>
      <c r="GJ31" s="1005"/>
      <c r="GK31" s="1005"/>
      <c r="GL31" s="1005"/>
      <c r="GM31" s="1005"/>
      <c r="GN31" s="1005"/>
      <c r="GO31" s="1005"/>
      <c r="GP31" s="1005"/>
      <c r="GQ31" s="1005"/>
      <c r="GR31" s="1005"/>
      <c r="GS31" s="1005"/>
      <c r="GT31" s="1005"/>
      <c r="GU31" s="1005"/>
      <c r="GV31" s="1005"/>
      <c r="GW31" s="1005"/>
      <c r="GX31" s="1005"/>
      <c r="GY31" s="1005"/>
      <c r="GZ31" s="1005"/>
      <c r="HA31" s="1005"/>
      <c r="HB31" s="1005"/>
      <c r="HC31" s="1005"/>
      <c r="HD31" s="1005"/>
      <c r="HE31" s="1005"/>
      <c r="HF31" s="1005"/>
      <c r="HG31" s="1005"/>
      <c r="HH31" s="1005"/>
      <c r="HI31" s="1005"/>
      <c r="HJ31" s="1005"/>
      <c r="HK31" s="1005"/>
      <c r="HL31" s="1005"/>
      <c r="HM31" s="1005"/>
      <c r="HN31" s="1005"/>
      <c r="HO31" s="1005"/>
      <c r="HP31" s="1005"/>
      <c r="HQ31" s="1005"/>
      <c r="HR31" s="1005"/>
      <c r="HS31" s="1005"/>
      <c r="HT31" s="1005"/>
      <c r="HU31" s="1005"/>
      <c r="HV31" s="1005"/>
      <c r="HW31" s="1005"/>
      <c r="HX31" s="1005"/>
      <c r="HY31" s="1005"/>
      <c r="HZ31" s="1005"/>
      <c r="IA31" s="1005"/>
      <c r="IB31" s="1005"/>
      <c r="IC31" s="1005"/>
      <c r="ID31" s="1005"/>
      <c r="IE31" s="1005"/>
      <c r="IF31" s="1005"/>
      <c r="IG31" s="1005"/>
      <c r="IH31" s="1005"/>
      <c r="II31" s="1005"/>
      <c r="IJ31" s="1005"/>
      <c r="IK31" s="1005"/>
      <c r="IL31" s="1005"/>
      <c r="IM31" s="1005"/>
      <c r="IN31" s="1005"/>
      <c r="IO31" s="1005"/>
      <c r="IP31" s="1005"/>
      <c r="IQ31" s="1005"/>
      <c r="IR31" s="1005"/>
      <c r="IS31" s="1005"/>
      <c r="IT31" s="1005"/>
      <c r="IU31" s="1005"/>
      <c r="IV31" s="1005"/>
      <c r="IW31" s="1005"/>
      <c r="IX31" s="1005"/>
      <c r="IY31" s="1005"/>
      <c r="IZ31" s="1005"/>
      <c r="JA31" s="1005"/>
      <c r="JB31" s="1005"/>
      <c r="JC31" s="1005"/>
      <c r="JD31" s="1005"/>
      <c r="JE31" s="1005"/>
      <c r="JF31" s="1005"/>
      <c r="JG31" s="1005"/>
      <c r="JH31" s="1005"/>
      <c r="JI31" s="1005"/>
      <c r="JJ31" s="1005"/>
      <c r="JK31" s="1005"/>
      <c r="JL31" s="1005"/>
      <c r="JM31" s="1005"/>
      <c r="JN31" s="1005"/>
      <c r="JO31" s="1005"/>
      <c r="JP31" s="1005"/>
      <c r="JQ31" s="1005"/>
      <c r="JR31" s="1005"/>
      <c r="JS31" s="1005"/>
      <c r="JT31" s="1005"/>
      <c r="JU31" s="1005"/>
      <c r="JV31" s="1005"/>
      <c r="JW31" s="1005"/>
      <c r="JX31" s="1005"/>
      <c r="JY31" s="1005"/>
      <c r="JZ31" s="1005"/>
      <c r="KA31" s="1005"/>
      <c r="KB31" s="1005"/>
      <c r="KC31" s="1005"/>
      <c r="KD31" s="1005"/>
      <c r="KE31" s="1005"/>
      <c r="KF31" s="1005"/>
      <c r="KG31" s="1005"/>
      <c r="KH31" s="1005"/>
      <c r="KI31" s="1005"/>
      <c r="KJ31" s="1005"/>
      <c r="KK31" s="1005"/>
      <c r="KL31" s="1005"/>
      <c r="KM31" s="1005"/>
      <c r="KN31" s="1005"/>
      <c r="KO31" s="1005"/>
      <c r="KP31" s="1005"/>
      <c r="KQ31" s="1005"/>
      <c r="KR31" s="1005"/>
      <c r="KS31" s="1005"/>
      <c r="KT31" s="1005"/>
      <c r="KU31" s="1005"/>
      <c r="KV31" s="1005"/>
      <c r="KW31" s="1005"/>
      <c r="KX31" s="1005"/>
      <c r="KY31" s="1005"/>
      <c r="KZ31" s="1005"/>
      <c r="LA31" s="1005"/>
      <c r="LB31" s="1005"/>
      <c r="LC31" s="1005"/>
      <c r="LD31" s="1005"/>
      <c r="LE31" s="1005"/>
      <c r="LF31" s="1005"/>
      <c r="LG31" s="1005"/>
      <c r="LH31" s="1005"/>
      <c r="LI31" s="1005"/>
      <c r="LJ31" s="1005"/>
      <c r="LK31" s="1005"/>
      <c r="LL31" s="1005"/>
      <c r="LM31" s="1005"/>
      <c r="LN31" s="1005"/>
      <c r="LO31" s="1005"/>
      <c r="LP31" s="1005"/>
      <c r="LQ31" s="1005"/>
      <c r="LR31" s="1005"/>
      <c r="LS31" s="1005"/>
      <c r="LT31" s="1005"/>
      <c r="LU31" s="1005"/>
      <c r="LV31" s="1005"/>
      <c r="LW31" s="1005"/>
      <c r="LX31" s="1005"/>
      <c r="LY31" s="1005"/>
      <c r="LZ31" s="1005"/>
      <c r="MA31" s="1005"/>
      <c r="MB31" s="1005"/>
      <c r="MC31" s="1005"/>
      <c r="MD31" s="1005"/>
      <c r="ME31" s="1005"/>
      <c r="MF31" s="1005"/>
      <c r="MG31" s="1005"/>
      <c r="MH31" s="1005"/>
      <c r="MI31" s="1005"/>
      <c r="MJ31" s="1005"/>
      <c r="MK31" s="1005"/>
      <c r="ML31" s="1005"/>
      <c r="MM31" s="1005"/>
      <c r="MN31" s="1005"/>
      <c r="MO31" s="1005"/>
      <c r="MP31" s="1005"/>
      <c r="MQ31" s="1005"/>
      <c r="MR31" s="1005"/>
      <c r="MS31" s="1005"/>
      <c r="MT31" s="1005"/>
      <c r="MU31" s="1005"/>
      <c r="MV31" s="1005"/>
      <c r="MW31" s="1005"/>
      <c r="MX31" s="1005"/>
      <c r="MY31" s="1005"/>
      <c r="MZ31" s="1005"/>
      <c r="NA31" s="1005"/>
      <c r="NB31" s="1005"/>
      <c r="NC31" s="1005"/>
      <c r="ND31" s="1005"/>
      <c r="NE31" s="1005"/>
      <c r="NF31" s="1005"/>
      <c r="NG31" s="1005"/>
      <c r="NH31" s="1005"/>
      <c r="NI31" s="1005"/>
      <c r="NJ31" s="1005"/>
      <c r="NK31" s="1005"/>
      <c r="NL31" s="1005"/>
      <c r="NM31" s="1005"/>
      <c r="NN31" s="1005"/>
      <c r="NO31" s="1005"/>
      <c r="NP31" s="1005"/>
      <c r="NQ31" s="1005"/>
      <c r="NR31" s="1005"/>
      <c r="NS31" s="1005"/>
      <c r="NT31" s="1005"/>
      <c r="NU31" s="1005"/>
      <c r="NV31" s="1005"/>
      <c r="NW31" s="1005"/>
      <c r="NX31" s="1005"/>
      <c r="NY31" s="1005"/>
      <c r="NZ31" s="1005"/>
      <c r="OA31" s="1005"/>
      <c r="OB31" s="1005"/>
      <c r="OC31" s="1005"/>
      <c r="OD31" s="1005"/>
      <c r="OE31" s="1005"/>
      <c r="OF31" s="1005"/>
      <c r="OG31" s="1005"/>
      <c r="OH31" s="1005"/>
      <c r="OI31" s="1005"/>
      <c r="OJ31" s="1005"/>
      <c r="OK31" s="1005"/>
      <c r="OL31" s="1005"/>
      <c r="OM31" s="1005"/>
      <c r="ON31" s="1005"/>
      <c r="OO31" s="1005"/>
      <c r="OP31" s="1005"/>
      <c r="OQ31" s="1005"/>
      <c r="OR31" s="1005"/>
      <c r="OS31" s="1005"/>
      <c r="OT31" s="1005"/>
      <c r="OU31" s="1005"/>
      <c r="OV31" s="1005"/>
      <c r="OW31" s="1005"/>
      <c r="OX31" s="1005"/>
      <c r="OY31" s="1005"/>
      <c r="OZ31" s="1005"/>
      <c r="PA31" s="1005"/>
      <c r="PB31" s="1005"/>
      <c r="PC31" s="1005"/>
      <c r="PD31" s="1005"/>
      <c r="PE31" s="1005"/>
      <c r="PF31" s="1005"/>
      <c r="PG31" s="1005"/>
      <c r="PH31" s="1005"/>
      <c r="PI31" s="1005"/>
      <c r="PJ31" s="1005"/>
      <c r="PK31" s="1005"/>
      <c r="PL31" s="1005"/>
      <c r="PM31" s="1005"/>
      <c r="PN31" s="1005"/>
      <c r="PO31" s="1005"/>
      <c r="PP31" s="1005"/>
      <c r="PQ31" s="1005"/>
      <c r="PR31" s="1005"/>
      <c r="PS31" s="1005"/>
      <c r="PT31" s="1005"/>
      <c r="PU31" s="1005"/>
      <c r="PV31" s="1005"/>
      <c r="PW31" s="1005"/>
      <c r="PX31" s="1005"/>
      <c r="PY31" s="1005"/>
      <c r="PZ31" s="1005"/>
      <c r="QA31" s="1005"/>
      <c r="QB31" s="1005"/>
      <c r="QC31" s="1005"/>
      <c r="QD31" s="1005"/>
      <c r="QE31" s="1005"/>
      <c r="QF31" s="1005"/>
      <c r="QG31" s="1005"/>
      <c r="QH31" s="1005"/>
      <c r="QI31" s="1005"/>
      <c r="QJ31" s="1005"/>
      <c r="QK31" s="1005"/>
      <c r="QL31" s="1005"/>
      <c r="QM31" s="1005"/>
      <c r="QN31" s="1005"/>
      <c r="QO31" s="1005"/>
      <c r="QP31" s="1005"/>
      <c r="QQ31" s="1005"/>
      <c r="QR31" s="1005"/>
      <c r="QS31" s="1005"/>
      <c r="QT31" s="1005"/>
      <c r="QU31" s="1005"/>
      <c r="QV31" s="1005"/>
      <c r="QW31" s="1005"/>
      <c r="QX31" s="1005"/>
      <c r="QY31" s="1005"/>
      <c r="QZ31" s="1005"/>
      <c r="RA31" s="1005"/>
      <c r="RB31" s="1005"/>
      <c r="RC31" s="1005"/>
      <c r="RD31" s="1005"/>
      <c r="RE31" s="1005"/>
      <c r="RF31" s="1005"/>
      <c r="RG31" s="1005"/>
      <c r="RH31" s="1005"/>
      <c r="RI31" s="1005"/>
      <c r="RJ31" s="1005"/>
      <c r="RK31" s="1005"/>
      <c r="RL31" s="1005"/>
      <c r="RM31" s="1005"/>
      <c r="RN31" s="1005"/>
      <c r="RO31" s="1005"/>
      <c r="RP31" s="1005"/>
      <c r="RQ31" s="1005"/>
      <c r="RR31" s="1005"/>
      <c r="RS31" s="1005"/>
      <c r="RT31" s="1005"/>
      <c r="RU31" s="1005"/>
      <c r="RV31" s="1005"/>
      <c r="RW31" s="1005"/>
      <c r="RX31" s="1005"/>
      <c r="RY31" s="1005"/>
      <c r="RZ31" s="1005"/>
      <c r="SA31" s="1005"/>
      <c r="SB31" s="1005"/>
      <c r="SC31" s="1005"/>
      <c r="SD31" s="1005"/>
      <c r="SE31" s="1005"/>
      <c r="SF31" s="1005"/>
      <c r="SG31" s="1005"/>
      <c r="SH31" s="1005"/>
      <c r="SI31" s="1005"/>
      <c r="SJ31" s="1005"/>
      <c r="SK31" s="1005"/>
      <c r="SL31" s="1005"/>
      <c r="SM31" s="1005"/>
      <c r="SN31" s="1005"/>
      <c r="SO31" s="1005"/>
      <c r="SP31" s="1005"/>
      <c r="SQ31" s="1005"/>
      <c r="SR31" s="1005"/>
      <c r="SS31" s="1005"/>
      <c r="ST31" s="1005"/>
      <c r="SU31" s="1005"/>
      <c r="SV31" s="1005"/>
      <c r="SW31" s="1005"/>
      <c r="SX31" s="1005"/>
      <c r="SY31" s="1005"/>
      <c r="SZ31" s="1005"/>
      <c r="TA31" s="1005"/>
      <c r="TB31" s="1005"/>
      <c r="TC31" s="1005"/>
      <c r="TD31" s="1005"/>
      <c r="TE31" s="1005"/>
      <c r="TF31" s="1005"/>
      <c r="TG31" s="1005"/>
      <c r="TH31" s="1005"/>
      <c r="TI31" s="1005"/>
      <c r="TJ31" s="1005"/>
      <c r="TK31" s="1005"/>
      <c r="TL31" s="1005"/>
      <c r="TM31" s="1005"/>
      <c r="TN31" s="1005"/>
      <c r="TO31" s="1005"/>
      <c r="TP31" s="1005"/>
      <c r="TQ31" s="1005"/>
      <c r="TR31" s="1005"/>
      <c r="TS31" s="1005"/>
      <c r="TT31" s="1005"/>
      <c r="TU31" s="1005"/>
      <c r="TV31" s="1005"/>
      <c r="TW31" s="1005"/>
      <c r="TX31" s="1005"/>
      <c r="TY31" s="1005"/>
      <c r="TZ31" s="1005"/>
      <c r="UA31" s="1005"/>
      <c r="UB31" s="1005"/>
      <c r="UC31" s="1005"/>
      <c r="UD31" s="1005"/>
      <c r="UE31" s="1005"/>
      <c r="UF31" s="1005"/>
      <c r="UG31" s="1005"/>
      <c r="UH31" s="1005"/>
      <c r="UI31" s="1005"/>
      <c r="UJ31" s="1005"/>
      <c r="UK31" s="1005"/>
      <c r="UL31" s="1005"/>
      <c r="UM31" s="1005"/>
      <c r="UN31" s="1005"/>
      <c r="UO31" s="1005"/>
      <c r="UP31" s="1005"/>
      <c r="UQ31" s="1005"/>
      <c r="UR31" s="1005"/>
      <c r="US31" s="1005"/>
      <c r="UT31" s="1005"/>
      <c r="UU31" s="1005"/>
      <c r="UV31" s="1005"/>
      <c r="UW31" s="1005"/>
      <c r="UX31" s="1005"/>
      <c r="UY31" s="1005"/>
      <c r="UZ31" s="1005"/>
      <c r="VA31" s="1005"/>
      <c r="VB31" s="1005"/>
      <c r="VC31" s="1005"/>
      <c r="VD31" s="1005"/>
      <c r="VE31" s="1005"/>
      <c r="VF31" s="1005"/>
      <c r="VG31" s="1005"/>
      <c r="VH31" s="1005"/>
      <c r="VI31" s="1005"/>
      <c r="VJ31" s="1005"/>
      <c r="VK31" s="1005"/>
      <c r="VL31" s="1005"/>
      <c r="VM31" s="1005"/>
      <c r="VN31" s="1005"/>
      <c r="VO31" s="1005"/>
      <c r="VP31" s="1005"/>
      <c r="VQ31" s="1005"/>
      <c r="VR31" s="1005"/>
      <c r="VS31" s="1005"/>
      <c r="VT31" s="1005"/>
      <c r="VU31" s="1005"/>
      <c r="VV31" s="1005"/>
      <c r="VW31" s="1005"/>
      <c r="VX31" s="1005"/>
      <c r="VY31" s="1005"/>
      <c r="VZ31" s="1005"/>
      <c r="WA31" s="1005"/>
      <c r="WB31" s="1005"/>
      <c r="WC31" s="1005"/>
      <c r="WD31" s="1005"/>
      <c r="WE31" s="1005"/>
      <c r="WF31" s="1005"/>
      <c r="WG31" s="1005"/>
      <c r="WH31" s="1005"/>
      <c r="WI31" s="1005"/>
      <c r="WJ31" s="1005"/>
      <c r="WK31" s="1005"/>
      <c r="WL31" s="1005"/>
      <c r="WM31" s="1005"/>
      <c r="WN31" s="1005"/>
      <c r="WO31" s="1005"/>
      <c r="WP31" s="1005"/>
      <c r="WQ31" s="1005"/>
      <c r="WR31" s="1005"/>
      <c r="WS31" s="1005"/>
      <c r="WT31" s="1005"/>
      <c r="WU31" s="1005"/>
      <c r="WV31" s="1005"/>
      <c r="WW31" s="1005"/>
      <c r="WX31" s="1005"/>
      <c r="WY31" s="1005"/>
      <c r="WZ31" s="1005"/>
      <c r="XA31" s="1005"/>
      <c r="XB31" s="1005"/>
      <c r="XC31" s="1005"/>
      <c r="XD31" s="1005"/>
      <c r="XE31" s="1005"/>
      <c r="XF31" s="1005"/>
      <c r="XG31" s="1005"/>
      <c r="XH31" s="1005"/>
      <c r="XI31" s="1005"/>
      <c r="XJ31" s="1005"/>
      <c r="XK31" s="1005"/>
      <c r="XL31" s="1005"/>
      <c r="XM31" s="1005"/>
      <c r="XN31" s="1005"/>
      <c r="XO31" s="1005"/>
      <c r="XP31" s="1005"/>
      <c r="XQ31" s="1005"/>
      <c r="XR31" s="1005"/>
      <c r="XS31" s="1005"/>
      <c r="XT31" s="1005"/>
      <c r="XU31" s="1005"/>
      <c r="XV31" s="1005"/>
      <c r="XW31" s="1005"/>
      <c r="XX31" s="1005"/>
      <c r="XY31" s="1005"/>
      <c r="XZ31" s="1005"/>
      <c r="YA31" s="1005"/>
      <c r="YB31" s="1005"/>
      <c r="YC31" s="1005"/>
      <c r="YD31" s="1005"/>
      <c r="YE31" s="1005"/>
      <c r="YF31" s="1005"/>
      <c r="YG31" s="1005"/>
      <c r="YH31" s="1005"/>
      <c r="YI31" s="1005"/>
      <c r="YJ31" s="1005"/>
      <c r="YK31" s="1005"/>
      <c r="YL31" s="1005"/>
      <c r="YM31" s="1005"/>
      <c r="YN31" s="1005"/>
      <c r="YO31" s="1005"/>
      <c r="YP31" s="1005"/>
      <c r="YQ31" s="1005"/>
      <c r="YR31" s="1005"/>
      <c r="YS31" s="1005"/>
      <c r="YT31" s="1005"/>
      <c r="YU31" s="1005"/>
      <c r="YV31" s="1005"/>
      <c r="YW31" s="1005"/>
      <c r="YX31" s="1005"/>
      <c r="YY31" s="1005"/>
      <c r="YZ31" s="1005"/>
      <c r="ZA31" s="1005"/>
      <c r="ZB31" s="1005"/>
      <c r="ZC31" s="1005"/>
      <c r="ZD31" s="1005"/>
      <c r="ZE31" s="1005"/>
      <c r="ZF31" s="1005"/>
      <c r="ZG31" s="1005"/>
      <c r="ZH31" s="1005"/>
      <c r="ZI31" s="1005"/>
      <c r="ZJ31" s="1005"/>
      <c r="ZK31" s="1005"/>
      <c r="ZL31" s="1005"/>
      <c r="ZM31" s="1005"/>
      <c r="ZN31" s="1005"/>
      <c r="ZO31" s="1005"/>
      <c r="ZP31" s="1005"/>
      <c r="ZQ31" s="1005"/>
      <c r="ZR31" s="1005"/>
      <c r="ZS31" s="1005"/>
      <c r="ZT31" s="1005"/>
      <c r="ZU31" s="1005"/>
      <c r="ZV31" s="1005"/>
      <c r="ZW31" s="1005"/>
      <c r="ZX31" s="1005"/>
      <c r="ZY31" s="1005"/>
      <c r="ZZ31" s="1005"/>
      <c r="AAA31" s="1005"/>
      <c r="AAB31" s="1005"/>
      <c r="AAC31" s="1005"/>
      <c r="AAD31" s="1005"/>
      <c r="AAE31" s="1005"/>
      <c r="AAF31" s="1005"/>
      <c r="AAG31" s="1005"/>
      <c r="AAH31" s="1005"/>
      <c r="AAI31" s="1005"/>
      <c r="AAJ31" s="1005"/>
      <c r="AAK31" s="1005"/>
      <c r="AAL31" s="1005"/>
      <c r="AAM31" s="1005"/>
      <c r="AAN31" s="1005"/>
      <c r="AAO31" s="1005"/>
      <c r="AAP31" s="1005"/>
      <c r="AAQ31" s="1005"/>
      <c r="AAR31" s="1005"/>
      <c r="AAS31" s="1005"/>
      <c r="AAT31" s="1005"/>
      <c r="AAU31" s="1005"/>
      <c r="AAV31" s="1005"/>
      <c r="AAW31" s="1005"/>
      <c r="AAX31" s="1005"/>
      <c r="AAY31" s="1005"/>
      <c r="AAZ31" s="1005"/>
      <c r="ABA31" s="1005"/>
      <c r="ABB31" s="1005"/>
      <c r="ABC31" s="1005"/>
      <c r="ABD31" s="1005"/>
      <c r="ABE31" s="1005"/>
      <c r="ABF31" s="1005"/>
      <c r="ABG31" s="1005"/>
      <c r="ABH31" s="1005"/>
      <c r="ABI31" s="1005"/>
      <c r="ABJ31" s="1005"/>
      <c r="ABK31" s="1005"/>
      <c r="ABL31" s="1005"/>
      <c r="ABM31" s="1005"/>
      <c r="ABN31" s="1005"/>
      <c r="ABO31" s="1005"/>
      <c r="ABP31" s="1005"/>
      <c r="ABQ31" s="1005"/>
      <c r="ABR31" s="1005"/>
    </row>
    <row r="32" spans="1:746" s="94" customFormat="1" ht="12.9" hidden="1" customHeight="1" thickBot="1">
      <c r="A32" s="1252"/>
      <c r="B32" s="1634" t="s">
        <v>1009</v>
      </c>
      <c r="C32" s="1209"/>
      <c r="D32" s="348"/>
      <c r="E32" s="263" t="s">
        <v>955</v>
      </c>
      <c r="F32" s="581"/>
      <c r="G32" s="2347">
        <f>G318</f>
        <v>0.25</v>
      </c>
      <c r="H32" s="2530" t="str">
        <f>IF(AND(fx!$C$58=2,(AJ32+AL32&gt;0)),"!","")</f>
        <v/>
      </c>
      <c r="I32" s="794"/>
      <c r="J32" s="794"/>
      <c r="K32" s="794"/>
      <c r="L32" s="794"/>
      <c r="M32" s="794"/>
      <c r="N32" s="794"/>
      <c r="O32" s="794"/>
      <c r="P32" s="794"/>
      <c r="Q32" s="794"/>
      <c r="R32" s="794"/>
      <c r="S32" s="794"/>
      <c r="T32" s="794"/>
      <c r="U32" s="794"/>
      <c r="V32" s="794"/>
      <c r="W32" s="794"/>
      <c r="X32" s="794"/>
      <c r="Y32" s="794"/>
      <c r="Z32" s="794"/>
      <c r="AA32" s="794"/>
      <c r="AB32" s="794"/>
      <c r="AC32" s="794"/>
      <c r="AD32" s="794"/>
      <c r="AE32" s="794"/>
      <c r="AF32" s="794"/>
      <c r="AG32" s="1042"/>
      <c r="AH32" s="337"/>
      <c r="AI32" s="337"/>
      <c r="AJ32" s="901">
        <f>IF(fx!C58=2,0,IF(fx!$C$57=1,SUMIF(fx!I$57:T$57,1,I32:T32),IF(fx!$C$57=2,SUMIF(fx!O$57:AF$57,1,O32:AF32))))</f>
        <v>0</v>
      </c>
      <c r="AK32" s="1207"/>
      <c r="AL32" s="902">
        <f>IF(fx!C58=2,0,IF(fx!$C$57=1,SUM(U32:AF32),0))</f>
        <v>0</v>
      </c>
      <c r="AM32" s="1012"/>
      <c r="AN32" s="1011"/>
      <c r="AO32" s="1946"/>
      <c r="AP32" s="1935"/>
      <c r="AQ32" s="1936"/>
      <c r="AR32" s="1941"/>
      <c r="AS32" s="1941"/>
      <c r="AT32" s="1941"/>
      <c r="AU32" s="1941"/>
      <c r="AV32" s="1941"/>
      <c r="AW32" s="1941"/>
      <c r="AX32" s="1941"/>
      <c r="AY32" s="1941"/>
      <c r="AZ32" s="1941"/>
      <c r="BA32" s="1941"/>
      <c r="BB32" s="1941"/>
      <c r="BC32" s="1941"/>
      <c r="BD32" s="1941"/>
      <c r="BE32" s="1941"/>
      <c r="BF32" s="1941"/>
      <c r="BG32" s="1941"/>
      <c r="BH32" s="1941"/>
      <c r="BI32" s="1941"/>
      <c r="BJ32" s="1941"/>
      <c r="BK32" s="1941"/>
      <c r="BL32" s="1941"/>
      <c r="BM32" s="1941"/>
      <c r="BN32" s="1941"/>
      <c r="BO32" s="1941"/>
      <c r="BP32" s="1005"/>
      <c r="BQ32" s="1005"/>
      <c r="BR32" s="1005"/>
      <c r="BS32" s="1005"/>
      <c r="BT32" s="1005"/>
      <c r="BU32" s="1005"/>
      <c r="BV32" s="1005"/>
      <c r="BW32" s="1005"/>
      <c r="BX32" s="1005"/>
      <c r="BY32" s="1005"/>
      <c r="BZ32" s="1005"/>
      <c r="CA32" s="1005"/>
      <c r="CB32" s="1005"/>
      <c r="CC32" s="1005"/>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c r="EC32" s="1005"/>
      <c r="ED32" s="1005"/>
      <c r="EE32" s="1005"/>
      <c r="EF32" s="1005"/>
      <c r="EG32" s="1005"/>
      <c r="EH32" s="1005"/>
      <c r="EI32" s="1005"/>
      <c r="EJ32" s="1005"/>
      <c r="EK32" s="1005"/>
      <c r="EL32" s="1005"/>
      <c r="EM32" s="1005"/>
      <c r="EN32" s="1005"/>
      <c r="EO32" s="1005"/>
      <c r="EP32" s="1005"/>
      <c r="EQ32" s="1005"/>
      <c r="ER32" s="1005"/>
      <c r="ES32" s="1005"/>
      <c r="ET32" s="1005"/>
      <c r="EU32" s="1005"/>
      <c r="EV32" s="1005"/>
      <c r="EW32" s="1005"/>
      <c r="EX32" s="1005"/>
      <c r="EY32" s="1005"/>
      <c r="EZ32" s="1005"/>
      <c r="FA32" s="1005"/>
      <c r="FB32" s="1005"/>
      <c r="FC32" s="1005"/>
      <c r="FD32" s="1005"/>
      <c r="FE32" s="1005"/>
      <c r="FF32" s="1005"/>
      <c r="FG32" s="1005"/>
      <c r="FH32" s="1005"/>
      <c r="FI32" s="1005"/>
      <c r="FJ32" s="1005"/>
      <c r="FK32" s="1005"/>
      <c r="FL32" s="1005"/>
      <c r="FM32" s="1005"/>
      <c r="FN32" s="1005"/>
      <c r="FO32" s="1005"/>
      <c r="FP32" s="1005"/>
      <c r="FQ32" s="1005"/>
      <c r="FR32" s="1005"/>
      <c r="FS32" s="1005"/>
      <c r="FT32" s="1005"/>
      <c r="FU32" s="1005"/>
      <c r="FV32" s="1005"/>
      <c r="FW32" s="1005"/>
      <c r="FX32" s="1005"/>
      <c r="FY32" s="1005"/>
      <c r="FZ32" s="1005"/>
      <c r="GA32" s="1005"/>
      <c r="GB32" s="1005"/>
      <c r="GC32" s="1005"/>
      <c r="GD32" s="1005"/>
      <c r="GE32" s="1005"/>
      <c r="GF32" s="1005"/>
      <c r="GG32" s="1005"/>
      <c r="GH32" s="1005"/>
      <c r="GI32" s="1005"/>
      <c r="GJ32" s="1005"/>
      <c r="GK32" s="1005"/>
      <c r="GL32" s="1005"/>
      <c r="GM32" s="1005"/>
      <c r="GN32" s="1005"/>
      <c r="GO32" s="1005"/>
      <c r="GP32" s="1005"/>
      <c r="GQ32" s="1005"/>
      <c r="GR32" s="1005"/>
      <c r="GS32" s="1005"/>
      <c r="GT32" s="1005"/>
      <c r="GU32" s="1005"/>
      <c r="GV32" s="1005"/>
      <c r="GW32" s="1005"/>
      <c r="GX32" s="1005"/>
      <c r="GY32" s="1005"/>
      <c r="GZ32" s="1005"/>
      <c r="HA32" s="1005"/>
      <c r="HB32" s="1005"/>
      <c r="HC32" s="1005"/>
      <c r="HD32" s="1005"/>
      <c r="HE32" s="1005"/>
      <c r="HF32" s="1005"/>
      <c r="HG32" s="1005"/>
      <c r="HH32" s="1005"/>
      <c r="HI32" s="1005"/>
      <c r="HJ32" s="1005"/>
      <c r="HK32" s="1005"/>
      <c r="HL32" s="1005"/>
      <c r="HM32" s="1005"/>
      <c r="HN32" s="1005"/>
      <c r="HO32" s="1005"/>
      <c r="HP32" s="1005"/>
      <c r="HQ32" s="1005"/>
      <c r="HR32" s="1005"/>
      <c r="HS32" s="1005"/>
      <c r="HT32" s="1005"/>
      <c r="HU32" s="1005"/>
      <c r="HV32" s="1005"/>
      <c r="HW32" s="1005"/>
      <c r="HX32" s="1005"/>
      <c r="HY32" s="1005"/>
      <c r="HZ32" s="1005"/>
      <c r="IA32" s="1005"/>
      <c r="IB32" s="1005"/>
      <c r="IC32" s="1005"/>
      <c r="ID32" s="1005"/>
      <c r="IE32" s="1005"/>
      <c r="IF32" s="1005"/>
      <c r="IG32" s="1005"/>
      <c r="IH32" s="1005"/>
      <c r="II32" s="1005"/>
      <c r="IJ32" s="1005"/>
      <c r="IK32" s="1005"/>
      <c r="IL32" s="1005"/>
      <c r="IM32" s="1005"/>
      <c r="IN32" s="1005"/>
      <c r="IO32" s="1005"/>
      <c r="IP32" s="1005"/>
      <c r="IQ32" s="1005"/>
      <c r="IR32" s="1005"/>
      <c r="IS32" s="1005"/>
      <c r="IT32" s="1005"/>
      <c r="IU32" s="1005"/>
      <c r="IV32" s="1005"/>
      <c r="IW32" s="1005"/>
      <c r="IX32" s="1005"/>
      <c r="IY32" s="1005"/>
      <c r="IZ32" s="1005"/>
      <c r="JA32" s="1005"/>
      <c r="JB32" s="1005"/>
      <c r="JC32" s="1005"/>
      <c r="JD32" s="1005"/>
      <c r="JE32" s="1005"/>
      <c r="JF32" s="1005"/>
      <c r="JG32" s="1005"/>
      <c r="JH32" s="1005"/>
      <c r="JI32" s="1005"/>
      <c r="JJ32" s="1005"/>
      <c r="JK32" s="1005"/>
      <c r="JL32" s="1005"/>
      <c r="JM32" s="1005"/>
      <c r="JN32" s="1005"/>
      <c r="JO32" s="1005"/>
      <c r="JP32" s="1005"/>
      <c r="JQ32" s="1005"/>
      <c r="JR32" s="1005"/>
      <c r="JS32" s="1005"/>
      <c r="JT32" s="1005"/>
      <c r="JU32" s="1005"/>
      <c r="JV32" s="1005"/>
      <c r="JW32" s="1005"/>
      <c r="JX32" s="1005"/>
      <c r="JY32" s="1005"/>
      <c r="JZ32" s="1005"/>
      <c r="KA32" s="1005"/>
      <c r="KB32" s="1005"/>
      <c r="KC32" s="1005"/>
      <c r="KD32" s="1005"/>
      <c r="KE32" s="1005"/>
      <c r="KF32" s="1005"/>
      <c r="KG32" s="1005"/>
      <c r="KH32" s="1005"/>
      <c r="KI32" s="1005"/>
      <c r="KJ32" s="1005"/>
      <c r="KK32" s="1005"/>
      <c r="KL32" s="1005"/>
      <c r="KM32" s="1005"/>
      <c r="KN32" s="1005"/>
      <c r="KO32" s="1005"/>
      <c r="KP32" s="1005"/>
      <c r="KQ32" s="1005"/>
      <c r="KR32" s="1005"/>
      <c r="KS32" s="1005"/>
      <c r="KT32" s="1005"/>
      <c r="KU32" s="1005"/>
      <c r="KV32" s="1005"/>
      <c r="KW32" s="1005"/>
      <c r="KX32" s="1005"/>
      <c r="KY32" s="1005"/>
      <c r="KZ32" s="1005"/>
      <c r="LA32" s="1005"/>
      <c r="LB32" s="1005"/>
      <c r="LC32" s="1005"/>
      <c r="LD32" s="1005"/>
      <c r="LE32" s="1005"/>
      <c r="LF32" s="1005"/>
      <c r="LG32" s="1005"/>
      <c r="LH32" s="1005"/>
      <c r="LI32" s="1005"/>
      <c r="LJ32" s="1005"/>
      <c r="LK32" s="1005"/>
      <c r="LL32" s="1005"/>
      <c r="LM32" s="1005"/>
      <c r="LN32" s="1005"/>
      <c r="LO32" s="1005"/>
      <c r="LP32" s="1005"/>
      <c r="LQ32" s="1005"/>
      <c r="LR32" s="1005"/>
      <c r="LS32" s="1005"/>
      <c r="LT32" s="1005"/>
      <c r="LU32" s="1005"/>
      <c r="LV32" s="1005"/>
      <c r="LW32" s="1005"/>
      <c r="LX32" s="1005"/>
      <c r="LY32" s="1005"/>
      <c r="LZ32" s="1005"/>
      <c r="MA32" s="1005"/>
      <c r="MB32" s="1005"/>
      <c r="MC32" s="1005"/>
      <c r="MD32" s="1005"/>
      <c r="ME32" s="1005"/>
      <c r="MF32" s="1005"/>
      <c r="MG32" s="1005"/>
      <c r="MH32" s="1005"/>
      <c r="MI32" s="1005"/>
      <c r="MJ32" s="1005"/>
      <c r="MK32" s="1005"/>
      <c r="ML32" s="1005"/>
      <c r="MM32" s="1005"/>
      <c r="MN32" s="1005"/>
      <c r="MO32" s="1005"/>
      <c r="MP32" s="1005"/>
      <c r="MQ32" s="1005"/>
      <c r="MR32" s="1005"/>
      <c r="MS32" s="1005"/>
      <c r="MT32" s="1005"/>
      <c r="MU32" s="1005"/>
      <c r="MV32" s="1005"/>
      <c r="MW32" s="1005"/>
      <c r="MX32" s="1005"/>
      <c r="MY32" s="1005"/>
      <c r="MZ32" s="1005"/>
      <c r="NA32" s="1005"/>
      <c r="NB32" s="1005"/>
      <c r="NC32" s="1005"/>
      <c r="ND32" s="1005"/>
      <c r="NE32" s="1005"/>
      <c r="NF32" s="1005"/>
      <c r="NG32" s="1005"/>
      <c r="NH32" s="1005"/>
      <c r="NI32" s="1005"/>
      <c r="NJ32" s="1005"/>
      <c r="NK32" s="1005"/>
      <c r="NL32" s="1005"/>
      <c r="NM32" s="1005"/>
      <c r="NN32" s="1005"/>
      <c r="NO32" s="1005"/>
      <c r="NP32" s="1005"/>
      <c r="NQ32" s="1005"/>
      <c r="NR32" s="1005"/>
      <c r="NS32" s="1005"/>
      <c r="NT32" s="1005"/>
      <c r="NU32" s="1005"/>
      <c r="NV32" s="1005"/>
      <c r="NW32" s="1005"/>
      <c r="NX32" s="1005"/>
      <c r="NY32" s="1005"/>
      <c r="NZ32" s="1005"/>
      <c r="OA32" s="1005"/>
      <c r="OB32" s="1005"/>
      <c r="OC32" s="1005"/>
      <c r="OD32" s="1005"/>
      <c r="OE32" s="1005"/>
      <c r="OF32" s="1005"/>
      <c r="OG32" s="1005"/>
      <c r="OH32" s="1005"/>
      <c r="OI32" s="1005"/>
      <c r="OJ32" s="1005"/>
      <c r="OK32" s="1005"/>
      <c r="OL32" s="1005"/>
      <c r="OM32" s="1005"/>
      <c r="ON32" s="1005"/>
      <c r="OO32" s="1005"/>
      <c r="OP32" s="1005"/>
      <c r="OQ32" s="1005"/>
      <c r="OR32" s="1005"/>
      <c r="OS32" s="1005"/>
      <c r="OT32" s="1005"/>
      <c r="OU32" s="1005"/>
      <c r="OV32" s="1005"/>
      <c r="OW32" s="1005"/>
      <c r="OX32" s="1005"/>
      <c r="OY32" s="1005"/>
      <c r="OZ32" s="1005"/>
      <c r="PA32" s="1005"/>
      <c r="PB32" s="1005"/>
      <c r="PC32" s="1005"/>
      <c r="PD32" s="1005"/>
      <c r="PE32" s="1005"/>
      <c r="PF32" s="1005"/>
      <c r="PG32" s="1005"/>
      <c r="PH32" s="1005"/>
      <c r="PI32" s="1005"/>
      <c r="PJ32" s="1005"/>
      <c r="PK32" s="1005"/>
      <c r="PL32" s="1005"/>
      <c r="PM32" s="1005"/>
      <c r="PN32" s="1005"/>
      <c r="PO32" s="1005"/>
      <c r="PP32" s="1005"/>
      <c r="PQ32" s="1005"/>
      <c r="PR32" s="1005"/>
      <c r="PS32" s="1005"/>
      <c r="PT32" s="1005"/>
      <c r="PU32" s="1005"/>
      <c r="PV32" s="1005"/>
      <c r="PW32" s="1005"/>
      <c r="PX32" s="1005"/>
      <c r="PY32" s="1005"/>
      <c r="PZ32" s="1005"/>
      <c r="QA32" s="1005"/>
      <c r="QB32" s="1005"/>
      <c r="QC32" s="1005"/>
      <c r="QD32" s="1005"/>
      <c r="QE32" s="1005"/>
      <c r="QF32" s="1005"/>
      <c r="QG32" s="1005"/>
      <c r="QH32" s="1005"/>
      <c r="QI32" s="1005"/>
      <c r="QJ32" s="1005"/>
      <c r="QK32" s="1005"/>
      <c r="QL32" s="1005"/>
      <c r="QM32" s="1005"/>
      <c r="QN32" s="1005"/>
      <c r="QO32" s="1005"/>
      <c r="QP32" s="1005"/>
      <c r="QQ32" s="1005"/>
      <c r="QR32" s="1005"/>
      <c r="QS32" s="1005"/>
      <c r="QT32" s="1005"/>
      <c r="QU32" s="1005"/>
      <c r="QV32" s="1005"/>
      <c r="QW32" s="1005"/>
      <c r="QX32" s="1005"/>
      <c r="QY32" s="1005"/>
      <c r="QZ32" s="1005"/>
      <c r="RA32" s="1005"/>
      <c r="RB32" s="1005"/>
      <c r="RC32" s="1005"/>
      <c r="RD32" s="1005"/>
      <c r="RE32" s="1005"/>
      <c r="RF32" s="1005"/>
      <c r="RG32" s="1005"/>
      <c r="RH32" s="1005"/>
      <c r="RI32" s="1005"/>
      <c r="RJ32" s="1005"/>
      <c r="RK32" s="1005"/>
      <c r="RL32" s="1005"/>
      <c r="RM32" s="1005"/>
      <c r="RN32" s="1005"/>
      <c r="RO32" s="1005"/>
      <c r="RP32" s="1005"/>
      <c r="RQ32" s="1005"/>
      <c r="RR32" s="1005"/>
      <c r="RS32" s="1005"/>
      <c r="RT32" s="1005"/>
      <c r="RU32" s="1005"/>
      <c r="RV32" s="1005"/>
      <c r="RW32" s="1005"/>
      <c r="RX32" s="1005"/>
      <c r="RY32" s="1005"/>
      <c r="RZ32" s="1005"/>
      <c r="SA32" s="1005"/>
      <c r="SB32" s="1005"/>
      <c r="SC32" s="1005"/>
      <c r="SD32" s="1005"/>
      <c r="SE32" s="1005"/>
      <c r="SF32" s="1005"/>
      <c r="SG32" s="1005"/>
      <c r="SH32" s="1005"/>
      <c r="SI32" s="1005"/>
      <c r="SJ32" s="1005"/>
      <c r="SK32" s="1005"/>
      <c r="SL32" s="1005"/>
      <c r="SM32" s="1005"/>
      <c r="SN32" s="1005"/>
      <c r="SO32" s="1005"/>
      <c r="SP32" s="1005"/>
      <c r="SQ32" s="1005"/>
      <c r="SR32" s="1005"/>
      <c r="SS32" s="1005"/>
      <c r="ST32" s="1005"/>
      <c r="SU32" s="1005"/>
      <c r="SV32" s="1005"/>
      <c r="SW32" s="1005"/>
      <c r="SX32" s="1005"/>
      <c r="SY32" s="1005"/>
      <c r="SZ32" s="1005"/>
      <c r="TA32" s="1005"/>
      <c r="TB32" s="1005"/>
      <c r="TC32" s="1005"/>
      <c r="TD32" s="1005"/>
      <c r="TE32" s="1005"/>
      <c r="TF32" s="1005"/>
      <c r="TG32" s="1005"/>
      <c r="TH32" s="1005"/>
      <c r="TI32" s="1005"/>
      <c r="TJ32" s="1005"/>
      <c r="TK32" s="1005"/>
      <c r="TL32" s="1005"/>
      <c r="TM32" s="1005"/>
      <c r="TN32" s="1005"/>
      <c r="TO32" s="1005"/>
      <c r="TP32" s="1005"/>
      <c r="TQ32" s="1005"/>
      <c r="TR32" s="1005"/>
      <c r="TS32" s="1005"/>
      <c r="TT32" s="1005"/>
      <c r="TU32" s="1005"/>
      <c r="TV32" s="1005"/>
      <c r="TW32" s="1005"/>
      <c r="TX32" s="1005"/>
      <c r="TY32" s="1005"/>
      <c r="TZ32" s="1005"/>
      <c r="UA32" s="1005"/>
      <c r="UB32" s="1005"/>
      <c r="UC32" s="1005"/>
      <c r="UD32" s="1005"/>
      <c r="UE32" s="1005"/>
      <c r="UF32" s="1005"/>
      <c r="UG32" s="1005"/>
      <c r="UH32" s="1005"/>
      <c r="UI32" s="1005"/>
      <c r="UJ32" s="1005"/>
      <c r="UK32" s="1005"/>
      <c r="UL32" s="1005"/>
      <c r="UM32" s="1005"/>
      <c r="UN32" s="1005"/>
      <c r="UO32" s="1005"/>
      <c r="UP32" s="1005"/>
      <c r="UQ32" s="1005"/>
      <c r="UR32" s="1005"/>
      <c r="US32" s="1005"/>
      <c r="UT32" s="1005"/>
      <c r="UU32" s="1005"/>
      <c r="UV32" s="1005"/>
      <c r="UW32" s="1005"/>
      <c r="UX32" s="1005"/>
      <c r="UY32" s="1005"/>
      <c r="UZ32" s="1005"/>
      <c r="VA32" s="1005"/>
      <c r="VB32" s="1005"/>
      <c r="VC32" s="1005"/>
      <c r="VD32" s="1005"/>
      <c r="VE32" s="1005"/>
      <c r="VF32" s="1005"/>
      <c r="VG32" s="1005"/>
      <c r="VH32" s="1005"/>
      <c r="VI32" s="1005"/>
      <c r="VJ32" s="1005"/>
      <c r="VK32" s="1005"/>
      <c r="VL32" s="1005"/>
      <c r="VM32" s="1005"/>
      <c r="VN32" s="1005"/>
      <c r="VO32" s="1005"/>
      <c r="VP32" s="1005"/>
      <c r="VQ32" s="1005"/>
      <c r="VR32" s="1005"/>
      <c r="VS32" s="1005"/>
      <c r="VT32" s="1005"/>
      <c r="VU32" s="1005"/>
      <c r="VV32" s="1005"/>
      <c r="VW32" s="1005"/>
      <c r="VX32" s="1005"/>
      <c r="VY32" s="1005"/>
      <c r="VZ32" s="1005"/>
      <c r="WA32" s="1005"/>
      <c r="WB32" s="1005"/>
      <c r="WC32" s="1005"/>
      <c r="WD32" s="1005"/>
      <c r="WE32" s="1005"/>
      <c r="WF32" s="1005"/>
      <c r="WG32" s="1005"/>
      <c r="WH32" s="1005"/>
      <c r="WI32" s="1005"/>
      <c r="WJ32" s="1005"/>
      <c r="WK32" s="1005"/>
      <c r="WL32" s="1005"/>
      <c r="WM32" s="1005"/>
      <c r="WN32" s="1005"/>
      <c r="WO32" s="1005"/>
      <c r="WP32" s="1005"/>
      <c r="WQ32" s="1005"/>
      <c r="WR32" s="1005"/>
      <c r="WS32" s="1005"/>
      <c r="WT32" s="1005"/>
      <c r="WU32" s="1005"/>
      <c r="WV32" s="1005"/>
      <c r="WW32" s="1005"/>
      <c r="WX32" s="1005"/>
      <c r="WY32" s="1005"/>
      <c r="WZ32" s="1005"/>
      <c r="XA32" s="1005"/>
      <c r="XB32" s="1005"/>
      <c r="XC32" s="1005"/>
      <c r="XD32" s="1005"/>
      <c r="XE32" s="1005"/>
      <c r="XF32" s="1005"/>
      <c r="XG32" s="1005"/>
      <c r="XH32" s="1005"/>
      <c r="XI32" s="1005"/>
      <c r="XJ32" s="1005"/>
      <c r="XK32" s="1005"/>
      <c r="XL32" s="1005"/>
      <c r="XM32" s="1005"/>
      <c r="XN32" s="1005"/>
      <c r="XO32" s="1005"/>
      <c r="XP32" s="1005"/>
      <c r="XQ32" s="1005"/>
      <c r="XR32" s="1005"/>
      <c r="XS32" s="1005"/>
      <c r="XT32" s="1005"/>
      <c r="XU32" s="1005"/>
      <c r="XV32" s="1005"/>
      <c r="XW32" s="1005"/>
      <c r="XX32" s="1005"/>
      <c r="XY32" s="1005"/>
      <c r="XZ32" s="1005"/>
      <c r="YA32" s="1005"/>
      <c r="YB32" s="1005"/>
      <c r="YC32" s="1005"/>
      <c r="YD32" s="1005"/>
      <c r="YE32" s="1005"/>
      <c r="YF32" s="1005"/>
      <c r="YG32" s="1005"/>
      <c r="YH32" s="1005"/>
      <c r="YI32" s="1005"/>
      <c r="YJ32" s="1005"/>
      <c r="YK32" s="1005"/>
      <c r="YL32" s="1005"/>
      <c r="YM32" s="1005"/>
      <c r="YN32" s="1005"/>
      <c r="YO32" s="1005"/>
      <c r="YP32" s="1005"/>
      <c r="YQ32" s="1005"/>
      <c r="YR32" s="1005"/>
      <c r="YS32" s="1005"/>
      <c r="YT32" s="1005"/>
      <c r="YU32" s="1005"/>
      <c r="YV32" s="1005"/>
      <c r="YW32" s="1005"/>
      <c r="YX32" s="1005"/>
      <c r="YY32" s="1005"/>
      <c r="YZ32" s="1005"/>
      <c r="ZA32" s="1005"/>
      <c r="ZB32" s="1005"/>
      <c r="ZC32" s="1005"/>
      <c r="ZD32" s="1005"/>
      <c r="ZE32" s="1005"/>
      <c r="ZF32" s="1005"/>
      <c r="ZG32" s="1005"/>
      <c r="ZH32" s="1005"/>
      <c r="ZI32" s="1005"/>
      <c r="ZJ32" s="1005"/>
      <c r="ZK32" s="1005"/>
      <c r="ZL32" s="1005"/>
      <c r="ZM32" s="1005"/>
      <c r="ZN32" s="1005"/>
      <c r="ZO32" s="1005"/>
      <c r="ZP32" s="1005"/>
      <c r="ZQ32" s="1005"/>
      <c r="ZR32" s="1005"/>
      <c r="ZS32" s="1005"/>
      <c r="ZT32" s="1005"/>
      <c r="ZU32" s="1005"/>
      <c r="ZV32" s="1005"/>
      <c r="ZW32" s="1005"/>
      <c r="ZX32" s="1005"/>
      <c r="ZY32" s="1005"/>
      <c r="ZZ32" s="1005"/>
      <c r="AAA32" s="1005"/>
      <c r="AAB32" s="1005"/>
      <c r="AAC32" s="1005"/>
      <c r="AAD32" s="1005"/>
      <c r="AAE32" s="1005"/>
      <c r="AAF32" s="1005"/>
      <c r="AAG32" s="1005"/>
      <c r="AAH32" s="1005"/>
      <c r="AAI32" s="1005"/>
      <c r="AAJ32" s="1005"/>
      <c r="AAK32" s="1005"/>
      <c r="AAL32" s="1005"/>
      <c r="AAM32" s="1005"/>
      <c r="AAN32" s="1005"/>
      <c r="AAO32" s="1005"/>
      <c r="AAP32" s="1005"/>
      <c r="AAQ32" s="1005"/>
      <c r="AAR32" s="1005"/>
      <c r="AAS32" s="1005"/>
      <c r="AAT32" s="1005"/>
      <c r="AAU32" s="1005"/>
      <c r="AAV32" s="1005"/>
      <c r="AAW32" s="1005"/>
      <c r="AAX32" s="1005"/>
      <c r="AAY32" s="1005"/>
      <c r="AAZ32" s="1005"/>
      <c r="ABA32" s="1005"/>
      <c r="ABB32" s="1005"/>
      <c r="ABC32" s="1005"/>
      <c r="ABD32" s="1005"/>
      <c r="ABE32" s="1005"/>
      <c r="ABF32" s="1005"/>
      <c r="ABG32" s="1005"/>
      <c r="ABH32" s="1005"/>
      <c r="ABI32" s="1005"/>
      <c r="ABJ32" s="1005"/>
      <c r="ABK32" s="1005"/>
      <c r="ABL32" s="1005"/>
      <c r="ABM32" s="1005"/>
      <c r="ABN32" s="1005"/>
      <c r="ABO32" s="1005"/>
      <c r="ABP32" s="1005"/>
      <c r="ABQ32" s="1005"/>
      <c r="ABR32" s="1005"/>
    </row>
    <row r="33" spans="1:746" s="94" customFormat="1" ht="12.9" customHeight="1">
      <c r="A33" s="1251"/>
      <c r="B33" s="2328" t="str">
        <f>IF(AJ254+AL254=0,"Summa försäljning","Summa försäljning inkl förskottsbetald försäljn.")</f>
        <v>Summa försäljning</v>
      </c>
      <c r="C33" s="583"/>
      <c r="D33" s="583"/>
      <c r="E33" s="582"/>
      <c r="F33" s="582"/>
      <c r="G33" s="583"/>
      <c r="H33" s="2531">
        <f>IF(SUM(I11:T32)&gt;SUM(I33:T33),1,0)</f>
        <v>0</v>
      </c>
      <c r="I33" s="334">
        <f>(IF(fx!$C$58=1,SUM(I11:I32)*fx!I57,IF(fx!$C$58=2,SUM(I11:I30)*fx!I57)))+I254*fx!I57</f>
        <v>0</v>
      </c>
      <c r="J33" s="335">
        <f>(IF(fx!$C$58=1,SUM(J11:J32)*fx!J57,IF(fx!$C$58=2,SUM(J11:J30)*fx!J57)))+J254*fx!J57</f>
        <v>0</v>
      </c>
      <c r="K33" s="335">
        <f>(IF(fx!$C$58=1,SUM(K11:K32)*fx!K57,IF(fx!$C$58=2,SUM(K11:K30)*fx!K57)))+K254*fx!K57</f>
        <v>0</v>
      </c>
      <c r="L33" s="335">
        <f>(IF(fx!$C$58=1,SUM(L11:L32)*fx!L57,IF(fx!$C$58=2,SUM(L11:L30)*fx!L57)))+L254*fx!L57</f>
        <v>0</v>
      </c>
      <c r="M33" s="335">
        <f>(IF(fx!$C$58=1,SUM(M11:M32)*fx!M57,IF(fx!$C$58=2,SUM(M11:M30)*fx!M57)))+M254*fx!M57</f>
        <v>0</v>
      </c>
      <c r="N33" s="335">
        <f>(IF(fx!$C$58=1,SUM(N11:N32)*fx!N57,IF(fx!$C$58=2,SUM(N11:N30)*fx!N57)))+N254*fx!N57</f>
        <v>0</v>
      </c>
      <c r="O33" s="335">
        <f>(IF(fx!$C$58=1,SUM(O11:O32)*fx!O57,IF(fx!$C$58=2,SUM(O11:O30)*fx!O57)))+O254*fx!O57</f>
        <v>0</v>
      </c>
      <c r="P33" s="335">
        <f>(IF(fx!$C$58=1,SUM(P11:P32)*fx!P57,IF(fx!$C$58=2,SUM(P11:P30)*fx!P57)))+P254*fx!P57</f>
        <v>0</v>
      </c>
      <c r="Q33" s="335">
        <f>(IF(fx!$C$58=1,SUM(Q11:Q32)*fx!Q57,IF(fx!$C$58=2,SUM(Q11:Q30)*fx!Q57)))+Q254*fx!Q57</f>
        <v>0</v>
      </c>
      <c r="R33" s="335">
        <f>(IF(fx!$C$58=1,SUM(R11:R32)*fx!R57,IF(fx!$C$58=2,SUM(R11:R30)*fx!R57)))+R254*fx!R57</f>
        <v>0</v>
      </c>
      <c r="S33" s="335">
        <f>(IF(fx!$C$58=1,SUM(S11:S32)*fx!S57,IF(fx!$C$58=2,SUM(S11:S30)*fx!S57)))+S254*fx!S57</f>
        <v>0</v>
      </c>
      <c r="T33" s="335">
        <f>(IF(fx!$C$58=1,SUM(T11:T32)*fx!T57,IF(fx!$C$58=2,SUM(T11:T30)*fx!T57)))+T254*fx!T57</f>
        <v>0</v>
      </c>
      <c r="U33" s="335">
        <f>(IF(fx!$C$58=1,SUM(U11:U32)*fx!U57,IF(fx!$C$58=2,SUM(U11:U30)*fx!U57)))+U254*fx!U57</f>
        <v>0</v>
      </c>
      <c r="V33" s="335">
        <f>(IF(fx!$C$58=1,SUM(V11:V32)*fx!V57,IF(fx!$C$58=2,SUM(V11:V30)*fx!V57)))+V254*fx!V57</f>
        <v>0</v>
      </c>
      <c r="W33" s="335">
        <f>(IF(fx!$C$58=1,SUM(W11:W32)*fx!W57,IF(fx!$C$58=2,SUM(W11:W30)*fx!W57)))+W254*fx!W57</f>
        <v>0</v>
      </c>
      <c r="X33" s="335">
        <f>(IF(fx!$C$58=1,SUM(X11:X32)*fx!X57,IF(fx!$C$58=2,SUM(X11:X30)*fx!X57)))+X254*fx!X57</f>
        <v>0</v>
      </c>
      <c r="Y33" s="335">
        <f>(IF(fx!$C$58=1,SUM(Y11:Y32)*fx!Y57,IF(fx!$C$58=2,SUM(Y11:Y30)*fx!Y57)))+Y254*fx!Y57</f>
        <v>0</v>
      </c>
      <c r="Z33" s="335">
        <f>(IF(fx!$C$58=1,SUM(Z11:Z32)*fx!Z57,IF(fx!$C$58=2,SUM(Z11:Z30)*fx!Z57)))+Z254*fx!Z57</f>
        <v>0</v>
      </c>
      <c r="AA33" s="335">
        <f>(IF(fx!$C$58=1,SUM(AA11:AA32)*fx!AA57,IF(fx!$C$58=2,SUM(AA11:AA30)*fx!AA57)))+AA254*fx!AA57</f>
        <v>0</v>
      </c>
      <c r="AB33" s="335">
        <f>(IF(fx!$C$58=1,SUM(AB11:AB32)*fx!AB57,IF(fx!$C$58=2,SUM(AB11:AB30)*fx!AB57)))+AB254*fx!AB57</f>
        <v>0</v>
      </c>
      <c r="AC33" s="335">
        <f>(IF(fx!$C$58=1,SUM(AC11:AC32)*fx!AC57,IF(fx!$C$58=2,SUM(AC11:AC30)*fx!AC57)))+AC254*fx!AC57</f>
        <v>0</v>
      </c>
      <c r="AD33" s="335">
        <f>(IF(fx!$C$58=1,SUM(AD11:AD32)*fx!AD57,IF(fx!$C$58=2,SUM(AD11:AD30)*fx!AD57)))+AD254*fx!AD57</f>
        <v>0</v>
      </c>
      <c r="AE33" s="335">
        <f>(IF(fx!$C$58=1,SUM(AE11:AE32)*fx!AE57,IF(fx!$C$58=2,SUM(AE11:AE30)*fx!AE57)))+AE254*fx!AE57</f>
        <v>0</v>
      </c>
      <c r="AF33" s="335">
        <f>(IF(fx!$C$58=1,SUM(AF11:AF32)*fx!AF57,IF(fx!$C$58=2,SUM(AF11:AF30)*fx!AF57)))+AF254*fx!AF57</f>
        <v>0</v>
      </c>
      <c r="AG33" s="376"/>
      <c r="AH33" s="336"/>
      <c r="AI33" s="336"/>
      <c r="AJ33" s="418">
        <f>IF(fx!$C$57=1,SUM(I33:T33),IF(fx!$C$57=2,SUM(O33:AF33)))</f>
        <v>0</v>
      </c>
      <c r="AK33" s="420"/>
      <c r="AL33" s="417">
        <f>IF(fx!$C$57=1,SUM(U33:AF33),0)</f>
        <v>0</v>
      </c>
      <c r="AM33" s="1004"/>
      <c r="AN33" s="1013"/>
      <c r="AO33" s="1946"/>
      <c r="AP33" s="1935"/>
      <c r="AQ33" s="1936"/>
      <c r="AR33" s="1941"/>
      <c r="AS33" s="1941"/>
      <c r="AT33" s="1941"/>
      <c r="AU33" s="1941"/>
      <c r="AV33" s="1941"/>
      <c r="AW33" s="1941"/>
      <c r="AX33" s="1941"/>
      <c r="AY33" s="1941"/>
      <c r="AZ33" s="1941"/>
      <c r="BA33" s="1941"/>
      <c r="BB33" s="1941"/>
      <c r="BC33" s="1941"/>
      <c r="BD33" s="1941"/>
      <c r="BE33" s="1941"/>
      <c r="BF33" s="1941"/>
      <c r="BG33" s="1941"/>
      <c r="BH33" s="1941"/>
      <c r="BI33" s="1941"/>
      <c r="BJ33" s="1941"/>
      <c r="BK33" s="1941"/>
      <c r="BL33" s="1941"/>
      <c r="BM33" s="1941"/>
      <c r="BN33" s="1941"/>
      <c r="BO33" s="1941"/>
      <c r="BP33" s="1005"/>
      <c r="BQ33" s="1005"/>
      <c r="BR33" s="1005"/>
      <c r="BS33" s="1005"/>
      <c r="BT33" s="1005"/>
      <c r="BU33" s="1005"/>
      <c r="BV33" s="1005"/>
      <c r="BW33" s="1005"/>
      <c r="BX33" s="1005"/>
      <c r="BY33" s="1005"/>
      <c r="BZ33" s="1005"/>
      <c r="CA33" s="1005"/>
      <c r="CB33" s="1005"/>
      <c r="CC33" s="1005"/>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c r="EC33" s="1005"/>
      <c r="ED33" s="1005"/>
      <c r="EE33" s="1005"/>
      <c r="EF33" s="1005"/>
      <c r="EG33" s="1005"/>
      <c r="EH33" s="1005"/>
      <c r="EI33" s="1005"/>
      <c r="EJ33" s="1005"/>
      <c r="EK33" s="1005"/>
      <c r="EL33" s="1005"/>
      <c r="EM33" s="1005"/>
      <c r="EN33" s="1005"/>
      <c r="EO33" s="1005"/>
      <c r="EP33" s="1005"/>
      <c r="EQ33" s="1005"/>
      <c r="ER33" s="1005"/>
      <c r="ES33" s="1005"/>
      <c r="ET33" s="1005"/>
      <c r="EU33" s="1005"/>
      <c r="EV33" s="1005"/>
      <c r="EW33" s="1005"/>
      <c r="EX33" s="1005"/>
      <c r="EY33" s="1005"/>
      <c r="EZ33" s="1005"/>
      <c r="FA33" s="1005"/>
      <c r="FB33" s="1005"/>
      <c r="FC33" s="1005"/>
      <c r="FD33" s="1005"/>
      <c r="FE33" s="1005"/>
      <c r="FF33" s="1005"/>
      <c r="FG33" s="1005"/>
      <c r="FH33" s="1005"/>
      <c r="FI33" s="1005"/>
      <c r="FJ33" s="1005"/>
      <c r="FK33" s="1005"/>
      <c r="FL33" s="1005"/>
      <c r="FM33" s="1005"/>
      <c r="FN33" s="1005"/>
      <c r="FO33" s="1005"/>
      <c r="FP33" s="1005"/>
      <c r="FQ33" s="1005"/>
      <c r="FR33" s="1005"/>
      <c r="FS33" s="1005"/>
      <c r="FT33" s="1005"/>
      <c r="FU33" s="1005"/>
      <c r="FV33" s="1005"/>
      <c r="FW33" s="1005"/>
      <c r="FX33" s="1005"/>
      <c r="FY33" s="1005"/>
      <c r="FZ33" s="1005"/>
      <c r="GA33" s="1005"/>
      <c r="GB33" s="1005"/>
      <c r="GC33" s="1005"/>
      <c r="GD33" s="1005"/>
      <c r="GE33" s="1005"/>
      <c r="GF33" s="1005"/>
      <c r="GG33" s="1005"/>
      <c r="GH33" s="1005"/>
      <c r="GI33" s="1005"/>
      <c r="GJ33" s="1005"/>
      <c r="GK33" s="1005"/>
      <c r="GL33" s="1005"/>
      <c r="GM33" s="1005"/>
      <c r="GN33" s="1005"/>
      <c r="GO33" s="1005"/>
      <c r="GP33" s="1005"/>
      <c r="GQ33" s="1005"/>
      <c r="GR33" s="1005"/>
      <c r="GS33" s="1005"/>
      <c r="GT33" s="1005"/>
      <c r="GU33" s="1005"/>
      <c r="GV33" s="1005"/>
      <c r="GW33" s="1005"/>
      <c r="GX33" s="1005"/>
      <c r="GY33" s="1005"/>
      <c r="GZ33" s="1005"/>
      <c r="HA33" s="1005"/>
      <c r="HB33" s="1005"/>
      <c r="HC33" s="1005"/>
      <c r="HD33" s="1005"/>
      <c r="HE33" s="1005"/>
      <c r="HF33" s="1005"/>
      <c r="HG33" s="1005"/>
      <c r="HH33" s="1005"/>
      <c r="HI33" s="1005"/>
      <c r="HJ33" s="1005"/>
      <c r="HK33" s="1005"/>
      <c r="HL33" s="1005"/>
      <c r="HM33" s="1005"/>
      <c r="HN33" s="1005"/>
      <c r="HO33" s="1005"/>
      <c r="HP33" s="1005"/>
      <c r="HQ33" s="1005"/>
      <c r="HR33" s="1005"/>
      <c r="HS33" s="1005"/>
      <c r="HT33" s="1005"/>
      <c r="HU33" s="1005"/>
      <c r="HV33" s="1005"/>
      <c r="HW33" s="1005"/>
      <c r="HX33" s="1005"/>
      <c r="HY33" s="1005"/>
      <c r="HZ33" s="1005"/>
      <c r="IA33" s="1005"/>
      <c r="IB33" s="1005"/>
      <c r="IC33" s="1005"/>
      <c r="ID33" s="1005"/>
      <c r="IE33" s="1005"/>
      <c r="IF33" s="1005"/>
      <c r="IG33" s="1005"/>
      <c r="IH33" s="1005"/>
      <c r="II33" s="1005"/>
      <c r="IJ33" s="1005"/>
      <c r="IK33" s="1005"/>
      <c r="IL33" s="1005"/>
      <c r="IM33" s="1005"/>
      <c r="IN33" s="1005"/>
      <c r="IO33" s="1005"/>
      <c r="IP33" s="1005"/>
      <c r="IQ33" s="1005"/>
      <c r="IR33" s="1005"/>
      <c r="IS33" s="1005"/>
      <c r="IT33" s="1005"/>
      <c r="IU33" s="1005"/>
      <c r="IV33" s="1005"/>
      <c r="IW33" s="1005"/>
      <c r="IX33" s="1005"/>
      <c r="IY33" s="1005"/>
      <c r="IZ33" s="1005"/>
      <c r="JA33" s="1005"/>
      <c r="JB33" s="1005"/>
      <c r="JC33" s="1005"/>
      <c r="JD33" s="1005"/>
      <c r="JE33" s="1005"/>
      <c r="JF33" s="1005"/>
      <c r="JG33" s="1005"/>
      <c r="JH33" s="1005"/>
      <c r="JI33" s="1005"/>
      <c r="JJ33" s="1005"/>
      <c r="JK33" s="1005"/>
      <c r="JL33" s="1005"/>
      <c r="JM33" s="1005"/>
      <c r="JN33" s="1005"/>
      <c r="JO33" s="1005"/>
      <c r="JP33" s="1005"/>
      <c r="JQ33" s="1005"/>
      <c r="JR33" s="1005"/>
      <c r="JS33" s="1005"/>
      <c r="JT33" s="1005"/>
      <c r="JU33" s="1005"/>
      <c r="JV33" s="1005"/>
      <c r="JW33" s="1005"/>
      <c r="JX33" s="1005"/>
      <c r="JY33" s="1005"/>
      <c r="JZ33" s="1005"/>
      <c r="KA33" s="1005"/>
      <c r="KB33" s="1005"/>
      <c r="KC33" s="1005"/>
      <c r="KD33" s="1005"/>
      <c r="KE33" s="1005"/>
      <c r="KF33" s="1005"/>
      <c r="KG33" s="1005"/>
      <c r="KH33" s="1005"/>
      <c r="KI33" s="1005"/>
      <c r="KJ33" s="1005"/>
      <c r="KK33" s="1005"/>
      <c r="KL33" s="1005"/>
      <c r="KM33" s="1005"/>
      <c r="KN33" s="1005"/>
      <c r="KO33" s="1005"/>
      <c r="KP33" s="1005"/>
      <c r="KQ33" s="1005"/>
      <c r="KR33" s="1005"/>
      <c r="KS33" s="1005"/>
      <c r="KT33" s="1005"/>
      <c r="KU33" s="1005"/>
      <c r="KV33" s="1005"/>
      <c r="KW33" s="1005"/>
      <c r="KX33" s="1005"/>
      <c r="KY33" s="1005"/>
      <c r="KZ33" s="1005"/>
      <c r="LA33" s="1005"/>
      <c r="LB33" s="1005"/>
      <c r="LC33" s="1005"/>
      <c r="LD33" s="1005"/>
      <c r="LE33" s="1005"/>
      <c r="LF33" s="1005"/>
      <c r="LG33" s="1005"/>
      <c r="LH33" s="1005"/>
      <c r="LI33" s="1005"/>
      <c r="LJ33" s="1005"/>
      <c r="LK33" s="1005"/>
      <c r="LL33" s="1005"/>
      <c r="LM33" s="1005"/>
      <c r="LN33" s="1005"/>
      <c r="LO33" s="1005"/>
      <c r="LP33" s="1005"/>
      <c r="LQ33" s="1005"/>
      <c r="LR33" s="1005"/>
      <c r="LS33" s="1005"/>
      <c r="LT33" s="1005"/>
      <c r="LU33" s="1005"/>
      <c r="LV33" s="1005"/>
      <c r="LW33" s="1005"/>
      <c r="LX33" s="1005"/>
      <c r="LY33" s="1005"/>
      <c r="LZ33" s="1005"/>
      <c r="MA33" s="1005"/>
      <c r="MB33" s="1005"/>
      <c r="MC33" s="1005"/>
      <c r="MD33" s="1005"/>
      <c r="ME33" s="1005"/>
      <c r="MF33" s="1005"/>
      <c r="MG33" s="1005"/>
      <c r="MH33" s="1005"/>
      <c r="MI33" s="1005"/>
      <c r="MJ33" s="1005"/>
      <c r="MK33" s="1005"/>
      <c r="ML33" s="1005"/>
      <c r="MM33" s="1005"/>
      <c r="MN33" s="1005"/>
      <c r="MO33" s="1005"/>
      <c r="MP33" s="1005"/>
      <c r="MQ33" s="1005"/>
      <c r="MR33" s="1005"/>
      <c r="MS33" s="1005"/>
      <c r="MT33" s="1005"/>
      <c r="MU33" s="1005"/>
      <c r="MV33" s="1005"/>
      <c r="MW33" s="1005"/>
      <c r="MX33" s="1005"/>
      <c r="MY33" s="1005"/>
      <c r="MZ33" s="1005"/>
      <c r="NA33" s="1005"/>
      <c r="NB33" s="1005"/>
      <c r="NC33" s="1005"/>
      <c r="ND33" s="1005"/>
      <c r="NE33" s="1005"/>
      <c r="NF33" s="1005"/>
      <c r="NG33" s="1005"/>
      <c r="NH33" s="1005"/>
      <c r="NI33" s="1005"/>
      <c r="NJ33" s="1005"/>
      <c r="NK33" s="1005"/>
      <c r="NL33" s="1005"/>
      <c r="NM33" s="1005"/>
      <c r="NN33" s="1005"/>
      <c r="NO33" s="1005"/>
      <c r="NP33" s="1005"/>
      <c r="NQ33" s="1005"/>
      <c r="NR33" s="1005"/>
      <c r="NS33" s="1005"/>
      <c r="NT33" s="1005"/>
      <c r="NU33" s="1005"/>
      <c r="NV33" s="1005"/>
      <c r="NW33" s="1005"/>
      <c r="NX33" s="1005"/>
      <c r="NY33" s="1005"/>
      <c r="NZ33" s="1005"/>
      <c r="OA33" s="1005"/>
      <c r="OB33" s="1005"/>
      <c r="OC33" s="1005"/>
      <c r="OD33" s="1005"/>
      <c r="OE33" s="1005"/>
      <c r="OF33" s="1005"/>
      <c r="OG33" s="1005"/>
      <c r="OH33" s="1005"/>
      <c r="OI33" s="1005"/>
      <c r="OJ33" s="1005"/>
      <c r="OK33" s="1005"/>
      <c r="OL33" s="1005"/>
      <c r="OM33" s="1005"/>
      <c r="ON33" s="1005"/>
      <c r="OO33" s="1005"/>
      <c r="OP33" s="1005"/>
      <c r="OQ33" s="1005"/>
      <c r="OR33" s="1005"/>
      <c r="OS33" s="1005"/>
      <c r="OT33" s="1005"/>
      <c r="OU33" s="1005"/>
      <c r="OV33" s="1005"/>
      <c r="OW33" s="1005"/>
      <c r="OX33" s="1005"/>
      <c r="OY33" s="1005"/>
      <c r="OZ33" s="1005"/>
      <c r="PA33" s="1005"/>
      <c r="PB33" s="1005"/>
      <c r="PC33" s="1005"/>
      <c r="PD33" s="1005"/>
      <c r="PE33" s="1005"/>
      <c r="PF33" s="1005"/>
      <c r="PG33" s="1005"/>
      <c r="PH33" s="1005"/>
      <c r="PI33" s="1005"/>
      <c r="PJ33" s="1005"/>
      <c r="PK33" s="1005"/>
      <c r="PL33" s="1005"/>
      <c r="PM33" s="1005"/>
      <c r="PN33" s="1005"/>
      <c r="PO33" s="1005"/>
      <c r="PP33" s="1005"/>
      <c r="PQ33" s="1005"/>
      <c r="PR33" s="1005"/>
      <c r="PS33" s="1005"/>
      <c r="PT33" s="1005"/>
      <c r="PU33" s="1005"/>
      <c r="PV33" s="1005"/>
      <c r="PW33" s="1005"/>
      <c r="PX33" s="1005"/>
      <c r="PY33" s="1005"/>
      <c r="PZ33" s="1005"/>
      <c r="QA33" s="1005"/>
      <c r="QB33" s="1005"/>
      <c r="QC33" s="1005"/>
      <c r="QD33" s="1005"/>
      <c r="QE33" s="1005"/>
      <c r="QF33" s="1005"/>
      <c r="QG33" s="1005"/>
      <c r="QH33" s="1005"/>
      <c r="QI33" s="1005"/>
      <c r="QJ33" s="1005"/>
      <c r="QK33" s="1005"/>
      <c r="QL33" s="1005"/>
      <c r="QM33" s="1005"/>
      <c r="QN33" s="1005"/>
      <c r="QO33" s="1005"/>
      <c r="QP33" s="1005"/>
      <c r="QQ33" s="1005"/>
      <c r="QR33" s="1005"/>
      <c r="QS33" s="1005"/>
      <c r="QT33" s="1005"/>
      <c r="QU33" s="1005"/>
      <c r="QV33" s="1005"/>
      <c r="QW33" s="1005"/>
      <c r="QX33" s="1005"/>
      <c r="QY33" s="1005"/>
      <c r="QZ33" s="1005"/>
      <c r="RA33" s="1005"/>
      <c r="RB33" s="1005"/>
      <c r="RC33" s="1005"/>
      <c r="RD33" s="1005"/>
      <c r="RE33" s="1005"/>
      <c r="RF33" s="1005"/>
      <c r="RG33" s="1005"/>
      <c r="RH33" s="1005"/>
      <c r="RI33" s="1005"/>
      <c r="RJ33" s="1005"/>
      <c r="RK33" s="1005"/>
      <c r="RL33" s="1005"/>
      <c r="RM33" s="1005"/>
      <c r="RN33" s="1005"/>
      <c r="RO33" s="1005"/>
      <c r="RP33" s="1005"/>
      <c r="RQ33" s="1005"/>
      <c r="RR33" s="1005"/>
      <c r="RS33" s="1005"/>
      <c r="RT33" s="1005"/>
      <c r="RU33" s="1005"/>
      <c r="RV33" s="1005"/>
      <c r="RW33" s="1005"/>
      <c r="RX33" s="1005"/>
      <c r="RY33" s="1005"/>
      <c r="RZ33" s="1005"/>
      <c r="SA33" s="1005"/>
      <c r="SB33" s="1005"/>
      <c r="SC33" s="1005"/>
      <c r="SD33" s="1005"/>
      <c r="SE33" s="1005"/>
      <c r="SF33" s="1005"/>
      <c r="SG33" s="1005"/>
      <c r="SH33" s="1005"/>
      <c r="SI33" s="1005"/>
      <c r="SJ33" s="1005"/>
      <c r="SK33" s="1005"/>
      <c r="SL33" s="1005"/>
      <c r="SM33" s="1005"/>
      <c r="SN33" s="1005"/>
      <c r="SO33" s="1005"/>
      <c r="SP33" s="1005"/>
      <c r="SQ33" s="1005"/>
      <c r="SR33" s="1005"/>
      <c r="SS33" s="1005"/>
      <c r="ST33" s="1005"/>
      <c r="SU33" s="1005"/>
      <c r="SV33" s="1005"/>
      <c r="SW33" s="1005"/>
      <c r="SX33" s="1005"/>
      <c r="SY33" s="1005"/>
      <c r="SZ33" s="1005"/>
      <c r="TA33" s="1005"/>
      <c r="TB33" s="1005"/>
      <c r="TC33" s="1005"/>
      <c r="TD33" s="1005"/>
      <c r="TE33" s="1005"/>
      <c r="TF33" s="1005"/>
      <c r="TG33" s="1005"/>
      <c r="TH33" s="1005"/>
      <c r="TI33" s="1005"/>
      <c r="TJ33" s="1005"/>
      <c r="TK33" s="1005"/>
      <c r="TL33" s="1005"/>
      <c r="TM33" s="1005"/>
      <c r="TN33" s="1005"/>
      <c r="TO33" s="1005"/>
      <c r="TP33" s="1005"/>
      <c r="TQ33" s="1005"/>
      <c r="TR33" s="1005"/>
      <c r="TS33" s="1005"/>
      <c r="TT33" s="1005"/>
      <c r="TU33" s="1005"/>
      <c r="TV33" s="1005"/>
      <c r="TW33" s="1005"/>
      <c r="TX33" s="1005"/>
      <c r="TY33" s="1005"/>
      <c r="TZ33" s="1005"/>
      <c r="UA33" s="1005"/>
      <c r="UB33" s="1005"/>
      <c r="UC33" s="1005"/>
      <c r="UD33" s="1005"/>
      <c r="UE33" s="1005"/>
      <c r="UF33" s="1005"/>
      <c r="UG33" s="1005"/>
      <c r="UH33" s="1005"/>
      <c r="UI33" s="1005"/>
      <c r="UJ33" s="1005"/>
      <c r="UK33" s="1005"/>
      <c r="UL33" s="1005"/>
      <c r="UM33" s="1005"/>
      <c r="UN33" s="1005"/>
      <c r="UO33" s="1005"/>
      <c r="UP33" s="1005"/>
      <c r="UQ33" s="1005"/>
      <c r="UR33" s="1005"/>
      <c r="US33" s="1005"/>
      <c r="UT33" s="1005"/>
      <c r="UU33" s="1005"/>
      <c r="UV33" s="1005"/>
      <c r="UW33" s="1005"/>
      <c r="UX33" s="1005"/>
      <c r="UY33" s="1005"/>
      <c r="UZ33" s="1005"/>
      <c r="VA33" s="1005"/>
      <c r="VB33" s="1005"/>
      <c r="VC33" s="1005"/>
      <c r="VD33" s="1005"/>
      <c r="VE33" s="1005"/>
      <c r="VF33" s="1005"/>
      <c r="VG33" s="1005"/>
      <c r="VH33" s="1005"/>
      <c r="VI33" s="1005"/>
      <c r="VJ33" s="1005"/>
      <c r="VK33" s="1005"/>
      <c r="VL33" s="1005"/>
      <c r="VM33" s="1005"/>
      <c r="VN33" s="1005"/>
      <c r="VO33" s="1005"/>
      <c r="VP33" s="1005"/>
      <c r="VQ33" s="1005"/>
      <c r="VR33" s="1005"/>
      <c r="VS33" s="1005"/>
      <c r="VT33" s="1005"/>
      <c r="VU33" s="1005"/>
      <c r="VV33" s="1005"/>
      <c r="VW33" s="1005"/>
      <c r="VX33" s="1005"/>
      <c r="VY33" s="1005"/>
      <c r="VZ33" s="1005"/>
      <c r="WA33" s="1005"/>
      <c r="WB33" s="1005"/>
      <c r="WC33" s="1005"/>
      <c r="WD33" s="1005"/>
      <c r="WE33" s="1005"/>
      <c r="WF33" s="1005"/>
      <c r="WG33" s="1005"/>
      <c r="WH33" s="1005"/>
      <c r="WI33" s="1005"/>
      <c r="WJ33" s="1005"/>
      <c r="WK33" s="1005"/>
      <c r="WL33" s="1005"/>
      <c r="WM33" s="1005"/>
      <c r="WN33" s="1005"/>
      <c r="WO33" s="1005"/>
      <c r="WP33" s="1005"/>
      <c r="WQ33" s="1005"/>
      <c r="WR33" s="1005"/>
      <c r="WS33" s="1005"/>
      <c r="WT33" s="1005"/>
      <c r="WU33" s="1005"/>
      <c r="WV33" s="1005"/>
      <c r="WW33" s="1005"/>
      <c r="WX33" s="1005"/>
      <c r="WY33" s="1005"/>
      <c r="WZ33" s="1005"/>
      <c r="XA33" s="1005"/>
      <c r="XB33" s="1005"/>
      <c r="XC33" s="1005"/>
      <c r="XD33" s="1005"/>
      <c r="XE33" s="1005"/>
      <c r="XF33" s="1005"/>
      <c r="XG33" s="1005"/>
      <c r="XH33" s="1005"/>
      <c r="XI33" s="1005"/>
      <c r="XJ33" s="1005"/>
      <c r="XK33" s="1005"/>
      <c r="XL33" s="1005"/>
      <c r="XM33" s="1005"/>
      <c r="XN33" s="1005"/>
      <c r="XO33" s="1005"/>
      <c r="XP33" s="1005"/>
      <c r="XQ33" s="1005"/>
      <c r="XR33" s="1005"/>
      <c r="XS33" s="1005"/>
      <c r="XT33" s="1005"/>
      <c r="XU33" s="1005"/>
      <c r="XV33" s="1005"/>
      <c r="XW33" s="1005"/>
      <c r="XX33" s="1005"/>
      <c r="XY33" s="1005"/>
      <c r="XZ33" s="1005"/>
      <c r="YA33" s="1005"/>
      <c r="YB33" s="1005"/>
      <c r="YC33" s="1005"/>
      <c r="YD33" s="1005"/>
      <c r="YE33" s="1005"/>
      <c r="YF33" s="1005"/>
      <c r="YG33" s="1005"/>
      <c r="YH33" s="1005"/>
      <c r="YI33" s="1005"/>
      <c r="YJ33" s="1005"/>
      <c r="YK33" s="1005"/>
      <c r="YL33" s="1005"/>
      <c r="YM33" s="1005"/>
      <c r="YN33" s="1005"/>
      <c r="YO33" s="1005"/>
      <c r="YP33" s="1005"/>
      <c r="YQ33" s="1005"/>
      <c r="YR33" s="1005"/>
      <c r="YS33" s="1005"/>
      <c r="YT33" s="1005"/>
      <c r="YU33" s="1005"/>
      <c r="YV33" s="1005"/>
      <c r="YW33" s="1005"/>
      <c r="YX33" s="1005"/>
      <c r="YY33" s="1005"/>
      <c r="YZ33" s="1005"/>
      <c r="ZA33" s="1005"/>
      <c r="ZB33" s="1005"/>
      <c r="ZC33" s="1005"/>
      <c r="ZD33" s="1005"/>
      <c r="ZE33" s="1005"/>
      <c r="ZF33" s="1005"/>
      <c r="ZG33" s="1005"/>
      <c r="ZH33" s="1005"/>
      <c r="ZI33" s="1005"/>
      <c r="ZJ33" s="1005"/>
      <c r="ZK33" s="1005"/>
      <c r="ZL33" s="1005"/>
      <c r="ZM33" s="1005"/>
      <c r="ZN33" s="1005"/>
      <c r="ZO33" s="1005"/>
      <c r="ZP33" s="1005"/>
      <c r="ZQ33" s="1005"/>
      <c r="ZR33" s="1005"/>
      <c r="ZS33" s="1005"/>
      <c r="ZT33" s="1005"/>
      <c r="ZU33" s="1005"/>
      <c r="ZV33" s="1005"/>
      <c r="ZW33" s="1005"/>
      <c r="ZX33" s="1005"/>
      <c r="ZY33" s="1005"/>
      <c r="ZZ33" s="1005"/>
      <c r="AAA33" s="1005"/>
      <c r="AAB33" s="1005"/>
      <c r="AAC33" s="1005"/>
      <c r="AAD33" s="1005"/>
      <c r="AAE33" s="1005"/>
      <c r="AAF33" s="1005"/>
      <c r="AAG33" s="1005"/>
      <c r="AAH33" s="1005"/>
      <c r="AAI33" s="1005"/>
      <c r="AAJ33" s="1005"/>
      <c r="AAK33" s="1005"/>
      <c r="AAL33" s="1005"/>
      <c r="AAM33" s="1005"/>
      <c r="AAN33" s="1005"/>
      <c r="AAO33" s="1005"/>
      <c r="AAP33" s="1005"/>
      <c r="AAQ33" s="1005"/>
      <c r="AAR33" s="1005"/>
      <c r="AAS33" s="1005"/>
      <c r="AAT33" s="1005"/>
      <c r="AAU33" s="1005"/>
      <c r="AAV33" s="1005"/>
      <c r="AAW33" s="1005"/>
      <c r="AAX33" s="1005"/>
      <c r="AAY33" s="1005"/>
      <c r="AAZ33" s="1005"/>
      <c r="ABA33" s="1005"/>
      <c r="ABB33" s="1005"/>
      <c r="ABC33" s="1005"/>
      <c r="ABD33" s="1005"/>
      <c r="ABE33" s="1005"/>
      <c r="ABF33" s="1005"/>
      <c r="ABG33" s="1005"/>
      <c r="ABH33" s="1005"/>
      <c r="ABI33" s="1005"/>
      <c r="ABJ33" s="1005"/>
      <c r="ABK33" s="1005"/>
      <c r="ABL33" s="1005"/>
      <c r="ABM33" s="1005"/>
      <c r="ABN33" s="1005"/>
      <c r="ABO33" s="1005"/>
      <c r="ABP33" s="1005"/>
      <c r="ABQ33" s="1005"/>
      <c r="ABR33" s="1005"/>
    </row>
    <row r="34" spans="1:746" s="94" customFormat="1" ht="12.9" customHeight="1">
      <c r="A34" s="789"/>
      <c r="B34" s="1780"/>
      <c r="C34" s="1781"/>
      <c r="D34" s="1781"/>
      <c r="E34" s="1781"/>
      <c r="F34" s="1781"/>
      <c r="G34" s="1782"/>
      <c r="H34" s="1844" t="str">
        <f>IF(H33=1,"Budgetera från och med startmånad !","")</f>
        <v/>
      </c>
      <c r="I34" s="2570" t="str">
        <f>IF(fx!I$57=0,"&gt;&gt;",IF($L$4=I$6,"","Välj 1-12 i P4"))</f>
        <v/>
      </c>
      <c r="J34" s="1843" t="str">
        <f>IF(fx!J$57=0,"&gt;&gt;",IF($L$4=J$6,"Startmånad",""))</f>
        <v/>
      </c>
      <c r="K34" s="1843" t="str">
        <f>IF(fx!K$57=0,"&gt;&gt;",IF($L$4=K$6,"Startmånad",""))</f>
        <v/>
      </c>
      <c r="L34" s="1843" t="str">
        <f>IF(fx!L$57=0,"&gt;&gt;",IF($L$4=L$6,"Startmånad",""))</f>
        <v/>
      </c>
      <c r="M34" s="1843" t="str">
        <f>IF(fx!M$57=0,"&gt;&gt;",IF($L$4=M$6,"Startmånad",""))</f>
        <v/>
      </c>
      <c r="N34" s="1843" t="str">
        <f>IF(fx!N$57=0,"&gt;&gt;",IF($L$4=N$6,"Startmånad",""))</f>
        <v/>
      </c>
      <c r="O34" s="1843" t="str">
        <f>IF(AND(fx!$C$57=1,fx!O$57=0),"&gt;&gt;",IF(AND(fx!$C$57=1,$L$4=$O$6),"Startmånad",IF(AND(fx!$C$57=2,$L$4&lt;7),"Välj 7-12 i P4",IF(AND(fx!$C$57=2,$L$4=$O$6),"Startmånad",IF(AND(fx!$C$57=2,$L$4&gt;$O$6),"&gt;&gt;","")))))</f>
        <v/>
      </c>
      <c r="P34" s="1843" t="str">
        <f>IF(fx!P$57=0,"&gt;&gt;",IF($L$4=P$6,"Startmånad",""))</f>
        <v/>
      </c>
      <c r="Q34" s="1843" t="str">
        <f>IF(fx!Q$57=0,"&gt;&gt;",IF($L$4=Q$6,"Startmånad",""))</f>
        <v/>
      </c>
      <c r="R34" s="1843" t="str">
        <f>IF(fx!R$57=0,"&gt;&gt;",IF($L$4=R$6,"Startmånad",""))</f>
        <v/>
      </c>
      <c r="S34" s="1843" t="str">
        <f>IF(fx!S$57=0,"&gt;&gt;",IF($L$4=S$6,"Startmånad",""))</f>
        <v/>
      </c>
      <c r="T34" s="2717" t="str">
        <f>IF(fx!T$57=0,"&gt;&gt;",IF($L$4=T$6,"Startmånad",""))</f>
        <v/>
      </c>
      <c r="U34" s="2718"/>
      <c r="V34" s="376"/>
      <c r="W34" s="376"/>
      <c r="X34" s="376"/>
      <c r="Y34" s="376"/>
      <c r="Z34" s="376"/>
      <c r="AA34" s="376"/>
      <c r="AB34" s="376"/>
      <c r="AC34" s="376"/>
      <c r="AD34" s="376"/>
      <c r="AE34" s="376"/>
      <c r="AF34" s="1784"/>
      <c r="AG34" s="376"/>
      <c r="AH34" s="769"/>
      <c r="AI34" s="769"/>
      <c r="AJ34" s="1785"/>
      <c r="AK34" s="773"/>
      <c r="AL34" s="1785"/>
      <c r="AM34" s="1009"/>
      <c r="AN34" s="1013"/>
      <c r="AO34" s="1946"/>
      <c r="AP34" s="1935"/>
      <c r="AQ34" s="1936"/>
      <c r="AR34" s="1941"/>
      <c r="AS34" s="1941"/>
      <c r="AT34" s="1941"/>
      <c r="AU34" s="1941"/>
      <c r="AV34" s="1941"/>
      <c r="AW34" s="1941"/>
      <c r="AX34" s="1941"/>
      <c r="AY34" s="1941"/>
      <c r="AZ34" s="1941"/>
      <c r="BA34" s="1941"/>
      <c r="BB34" s="1941"/>
      <c r="BC34" s="1941"/>
      <c r="BD34" s="1941"/>
      <c r="BE34" s="1941"/>
      <c r="BF34" s="1941"/>
      <c r="BG34" s="1941"/>
      <c r="BH34" s="1941"/>
      <c r="BI34" s="1941"/>
      <c r="BJ34" s="1941"/>
      <c r="BK34" s="1941"/>
      <c r="BL34" s="1941"/>
      <c r="BM34" s="1941"/>
      <c r="BN34" s="1941"/>
      <c r="BO34" s="1941"/>
      <c r="BP34" s="1005"/>
      <c r="BQ34" s="1005"/>
      <c r="BR34" s="1005"/>
      <c r="BS34" s="1005"/>
      <c r="BT34" s="1005"/>
      <c r="BU34" s="1005"/>
      <c r="BV34" s="1005"/>
      <c r="BW34" s="1005"/>
      <c r="BX34" s="1005"/>
      <c r="BY34" s="1005"/>
      <c r="BZ34" s="1005"/>
      <c r="CA34" s="1005"/>
      <c r="CB34" s="1005"/>
      <c r="CC34" s="1005"/>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c r="EC34" s="1005"/>
      <c r="ED34" s="1005"/>
      <c r="EE34" s="1005"/>
      <c r="EF34" s="1005"/>
      <c r="EG34" s="1005"/>
      <c r="EH34" s="1005"/>
      <c r="EI34" s="1005"/>
      <c r="EJ34" s="1005"/>
      <c r="EK34" s="1005"/>
      <c r="EL34" s="1005"/>
      <c r="EM34" s="1005"/>
      <c r="EN34" s="1005"/>
      <c r="EO34" s="1005"/>
      <c r="EP34" s="1005"/>
      <c r="EQ34" s="1005"/>
      <c r="ER34" s="1005"/>
      <c r="ES34" s="1005"/>
      <c r="ET34" s="1005"/>
      <c r="EU34" s="1005"/>
      <c r="EV34" s="1005"/>
      <c r="EW34" s="1005"/>
      <c r="EX34" s="1005"/>
      <c r="EY34" s="1005"/>
      <c r="EZ34" s="1005"/>
      <c r="FA34" s="1005"/>
      <c r="FB34" s="1005"/>
      <c r="FC34" s="1005"/>
      <c r="FD34" s="1005"/>
      <c r="FE34" s="1005"/>
      <c r="FF34" s="1005"/>
      <c r="FG34" s="1005"/>
      <c r="FH34" s="1005"/>
      <c r="FI34" s="1005"/>
      <c r="FJ34" s="1005"/>
      <c r="FK34" s="1005"/>
      <c r="FL34" s="1005"/>
      <c r="FM34" s="1005"/>
      <c r="FN34" s="1005"/>
      <c r="FO34" s="1005"/>
      <c r="FP34" s="1005"/>
      <c r="FQ34" s="1005"/>
      <c r="FR34" s="1005"/>
      <c r="FS34" s="1005"/>
      <c r="FT34" s="1005"/>
      <c r="FU34" s="1005"/>
      <c r="FV34" s="1005"/>
      <c r="FW34" s="1005"/>
      <c r="FX34" s="1005"/>
      <c r="FY34" s="1005"/>
      <c r="FZ34" s="1005"/>
      <c r="GA34" s="1005"/>
      <c r="GB34" s="1005"/>
      <c r="GC34" s="1005"/>
      <c r="GD34" s="1005"/>
      <c r="GE34" s="1005"/>
      <c r="GF34" s="1005"/>
      <c r="GG34" s="1005"/>
      <c r="GH34" s="1005"/>
      <c r="GI34" s="1005"/>
      <c r="GJ34" s="1005"/>
      <c r="GK34" s="1005"/>
      <c r="GL34" s="1005"/>
      <c r="GM34" s="1005"/>
      <c r="GN34" s="1005"/>
      <c r="GO34" s="1005"/>
      <c r="GP34" s="1005"/>
      <c r="GQ34" s="1005"/>
      <c r="GR34" s="1005"/>
      <c r="GS34" s="1005"/>
      <c r="GT34" s="1005"/>
      <c r="GU34" s="1005"/>
      <c r="GV34" s="1005"/>
      <c r="GW34" s="1005"/>
      <c r="GX34" s="1005"/>
      <c r="GY34" s="1005"/>
      <c r="GZ34" s="1005"/>
      <c r="HA34" s="1005"/>
      <c r="HB34" s="1005"/>
      <c r="HC34" s="1005"/>
      <c r="HD34" s="1005"/>
      <c r="HE34" s="1005"/>
      <c r="HF34" s="1005"/>
      <c r="HG34" s="1005"/>
      <c r="HH34" s="1005"/>
      <c r="HI34" s="1005"/>
      <c r="HJ34" s="1005"/>
      <c r="HK34" s="1005"/>
      <c r="HL34" s="1005"/>
      <c r="HM34" s="1005"/>
      <c r="HN34" s="1005"/>
      <c r="HO34" s="1005"/>
      <c r="HP34" s="1005"/>
      <c r="HQ34" s="1005"/>
      <c r="HR34" s="1005"/>
      <c r="HS34" s="1005"/>
      <c r="HT34" s="1005"/>
      <c r="HU34" s="1005"/>
      <c r="HV34" s="1005"/>
      <c r="HW34" s="1005"/>
      <c r="HX34" s="1005"/>
      <c r="HY34" s="1005"/>
      <c r="HZ34" s="1005"/>
      <c r="IA34" s="1005"/>
      <c r="IB34" s="1005"/>
      <c r="IC34" s="1005"/>
      <c r="ID34" s="1005"/>
      <c r="IE34" s="1005"/>
      <c r="IF34" s="1005"/>
      <c r="IG34" s="1005"/>
      <c r="IH34" s="1005"/>
      <c r="II34" s="1005"/>
      <c r="IJ34" s="1005"/>
      <c r="IK34" s="1005"/>
      <c r="IL34" s="1005"/>
      <c r="IM34" s="1005"/>
      <c r="IN34" s="1005"/>
      <c r="IO34" s="1005"/>
      <c r="IP34" s="1005"/>
      <c r="IQ34" s="1005"/>
      <c r="IR34" s="1005"/>
      <c r="IS34" s="1005"/>
      <c r="IT34" s="1005"/>
      <c r="IU34" s="1005"/>
      <c r="IV34" s="1005"/>
      <c r="IW34" s="1005"/>
      <c r="IX34" s="1005"/>
      <c r="IY34" s="1005"/>
      <c r="IZ34" s="1005"/>
      <c r="JA34" s="1005"/>
      <c r="JB34" s="1005"/>
      <c r="JC34" s="1005"/>
      <c r="JD34" s="1005"/>
      <c r="JE34" s="1005"/>
      <c r="JF34" s="1005"/>
      <c r="JG34" s="1005"/>
      <c r="JH34" s="1005"/>
      <c r="JI34" s="1005"/>
      <c r="JJ34" s="1005"/>
      <c r="JK34" s="1005"/>
      <c r="JL34" s="1005"/>
      <c r="JM34" s="1005"/>
      <c r="JN34" s="1005"/>
      <c r="JO34" s="1005"/>
      <c r="JP34" s="1005"/>
      <c r="JQ34" s="1005"/>
      <c r="JR34" s="1005"/>
      <c r="JS34" s="1005"/>
      <c r="JT34" s="1005"/>
      <c r="JU34" s="1005"/>
      <c r="JV34" s="1005"/>
      <c r="JW34" s="1005"/>
      <c r="JX34" s="1005"/>
      <c r="JY34" s="1005"/>
      <c r="JZ34" s="1005"/>
      <c r="KA34" s="1005"/>
      <c r="KB34" s="1005"/>
      <c r="KC34" s="1005"/>
      <c r="KD34" s="1005"/>
      <c r="KE34" s="1005"/>
      <c r="KF34" s="1005"/>
      <c r="KG34" s="1005"/>
      <c r="KH34" s="1005"/>
      <c r="KI34" s="1005"/>
      <c r="KJ34" s="1005"/>
      <c r="KK34" s="1005"/>
      <c r="KL34" s="1005"/>
      <c r="KM34" s="1005"/>
      <c r="KN34" s="1005"/>
      <c r="KO34" s="1005"/>
      <c r="KP34" s="1005"/>
      <c r="KQ34" s="1005"/>
      <c r="KR34" s="1005"/>
      <c r="KS34" s="1005"/>
      <c r="KT34" s="1005"/>
      <c r="KU34" s="1005"/>
      <c r="KV34" s="1005"/>
      <c r="KW34" s="1005"/>
      <c r="KX34" s="1005"/>
      <c r="KY34" s="1005"/>
      <c r="KZ34" s="1005"/>
      <c r="LA34" s="1005"/>
      <c r="LB34" s="1005"/>
      <c r="LC34" s="1005"/>
      <c r="LD34" s="1005"/>
      <c r="LE34" s="1005"/>
      <c r="LF34" s="1005"/>
      <c r="LG34" s="1005"/>
      <c r="LH34" s="1005"/>
      <c r="LI34" s="1005"/>
      <c r="LJ34" s="1005"/>
      <c r="LK34" s="1005"/>
      <c r="LL34" s="1005"/>
      <c r="LM34" s="1005"/>
      <c r="LN34" s="1005"/>
      <c r="LO34" s="1005"/>
      <c r="LP34" s="1005"/>
      <c r="LQ34" s="1005"/>
      <c r="LR34" s="1005"/>
      <c r="LS34" s="1005"/>
      <c r="LT34" s="1005"/>
      <c r="LU34" s="1005"/>
      <c r="LV34" s="1005"/>
      <c r="LW34" s="1005"/>
      <c r="LX34" s="1005"/>
      <c r="LY34" s="1005"/>
      <c r="LZ34" s="1005"/>
      <c r="MA34" s="1005"/>
      <c r="MB34" s="1005"/>
      <c r="MC34" s="1005"/>
      <c r="MD34" s="1005"/>
      <c r="ME34" s="1005"/>
      <c r="MF34" s="1005"/>
      <c r="MG34" s="1005"/>
      <c r="MH34" s="1005"/>
      <c r="MI34" s="1005"/>
      <c r="MJ34" s="1005"/>
      <c r="MK34" s="1005"/>
      <c r="ML34" s="1005"/>
      <c r="MM34" s="1005"/>
      <c r="MN34" s="1005"/>
      <c r="MO34" s="1005"/>
      <c r="MP34" s="1005"/>
      <c r="MQ34" s="1005"/>
      <c r="MR34" s="1005"/>
      <c r="MS34" s="1005"/>
      <c r="MT34" s="1005"/>
      <c r="MU34" s="1005"/>
      <c r="MV34" s="1005"/>
      <c r="MW34" s="1005"/>
      <c r="MX34" s="1005"/>
      <c r="MY34" s="1005"/>
      <c r="MZ34" s="1005"/>
      <c r="NA34" s="1005"/>
      <c r="NB34" s="1005"/>
      <c r="NC34" s="1005"/>
      <c r="ND34" s="1005"/>
      <c r="NE34" s="1005"/>
      <c r="NF34" s="1005"/>
      <c r="NG34" s="1005"/>
      <c r="NH34" s="1005"/>
      <c r="NI34" s="1005"/>
      <c r="NJ34" s="1005"/>
      <c r="NK34" s="1005"/>
      <c r="NL34" s="1005"/>
      <c r="NM34" s="1005"/>
      <c r="NN34" s="1005"/>
      <c r="NO34" s="1005"/>
      <c r="NP34" s="1005"/>
      <c r="NQ34" s="1005"/>
      <c r="NR34" s="1005"/>
      <c r="NS34" s="1005"/>
      <c r="NT34" s="1005"/>
      <c r="NU34" s="1005"/>
      <c r="NV34" s="1005"/>
      <c r="NW34" s="1005"/>
      <c r="NX34" s="1005"/>
      <c r="NY34" s="1005"/>
      <c r="NZ34" s="1005"/>
      <c r="OA34" s="1005"/>
      <c r="OB34" s="1005"/>
      <c r="OC34" s="1005"/>
      <c r="OD34" s="1005"/>
      <c r="OE34" s="1005"/>
      <c r="OF34" s="1005"/>
      <c r="OG34" s="1005"/>
      <c r="OH34" s="1005"/>
      <c r="OI34" s="1005"/>
      <c r="OJ34" s="1005"/>
      <c r="OK34" s="1005"/>
      <c r="OL34" s="1005"/>
      <c r="OM34" s="1005"/>
      <c r="ON34" s="1005"/>
      <c r="OO34" s="1005"/>
      <c r="OP34" s="1005"/>
      <c r="OQ34" s="1005"/>
      <c r="OR34" s="1005"/>
      <c r="OS34" s="1005"/>
      <c r="OT34" s="1005"/>
      <c r="OU34" s="1005"/>
      <c r="OV34" s="1005"/>
      <c r="OW34" s="1005"/>
      <c r="OX34" s="1005"/>
      <c r="OY34" s="1005"/>
      <c r="OZ34" s="1005"/>
      <c r="PA34" s="1005"/>
      <c r="PB34" s="1005"/>
      <c r="PC34" s="1005"/>
      <c r="PD34" s="1005"/>
      <c r="PE34" s="1005"/>
      <c r="PF34" s="1005"/>
      <c r="PG34" s="1005"/>
      <c r="PH34" s="1005"/>
      <c r="PI34" s="1005"/>
      <c r="PJ34" s="1005"/>
      <c r="PK34" s="1005"/>
      <c r="PL34" s="1005"/>
      <c r="PM34" s="1005"/>
      <c r="PN34" s="1005"/>
      <c r="PO34" s="1005"/>
      <c r="PP34" s="1005"/>
      <c r="PQ34" s="1005"/>
      <c r="PR34" s="1005"/>
      <c r="PS34" s="1005"/>
      <c r="PT34" s="1005"/>
      <c r="PU34" s="1005"/>
      <c r="PV34" s="1005"/>
      <c r="PW34" s="1005"/>
      <c r="PX34" s="1005"/>
      <c r="PY34" s="1005"/>
      <c r="PZ34" s="1005"/>
      <c r="QA34" s="1005"/>
      <c r="QB34" s="1005"/>
      <c r="QC34" s="1005"/>
      <c r="QD34" s="1005"/>
      <c r="QE34" s="1005"/>
      <c r="QF34" s="1005"/>
      <c r="QG34" s="1005"/>
      <c r="QH34" s="1005"/>
      <c r="QI34" s="1005"/>
      <c r="QJ34" s="1005"/>
      <c r="QK34" s="1005"/>
      <c r="QL34" s="1005"/>
      <c r="QM34" s="1005"/>
      <c r="QN34" s="1005"/>
      <c r="QO34" s="1005"/>
      <c r="QP34" s="1005"/>
      <c r="QQ34" s="1005"/>
      <c r="QR34" s="1005"/>
      <c r="QS34" s="1005"/>
      <c r="QT34" s="1005"/>
      <c r="QU34" s="1005"/>
      <c r="QV34" s="1005"/>
      <c r="QW34" s="1005"/>
      <c r="QX34" s="1005"/>
      <c r="QY34" s="1005"/>
      <c r="QZ34" s="1005"/>
      <c r="RA34" s="1005"/>
      <c r="RB34" s="1005"/>
      <c r="RC34" s="1005"/>
      <c r="RD34" s="1005"/>
      <c r="RE34" s="1005"/>
      <c r="RF34" s="1005"/>
      <c r="RG34" s="1005"/>
      <c r="RH34" s="1005"/>
      <c r="RI34" s="1005"/>
      <c r="RJ34" s="1005"/>
      <c r="RK34" s="1005"/>
      <c r="RL34" s="1005"/>
      <c r="RM34" s="1005"/>
      <c r="RN34" s="1005"/>
      <c r="RO34" s="1005"/>
      <c r="RP34" s="1005"/>
      <c r="RQ34" s="1005"/>
      <c r="RR34" s="1005"/>
      <c r="RS34" s="1005"/>
      <c r="RT34" s="1005"/>
      <c r="RU34" s="1005"/>
      <c r="RV34" s="1005"/>
      <c r="RW34" s="1005"/>
      <c r="RX34" s="1005"/>
      <c r="RY34" s="1005"/>
      <c r="RZ34" s="1005"/>
      <c r="SA34" s="1005"/>
      <c r="SB34" s="1005"/>
      <c r="SC34" s="1005"/>
      <c r="SD34" s="1005"/>
      <c r="SE34" s="1005"/>
      <c r="SF34" s="1005"/>
      <c r="SG34" s="1005"/>
      <c r="SH34" s="1005"/>
      <c r="SI34" s="1005"/>
      <c r="SJ34" s="1005"/>
      <c r="SK34" s="1005"/>
      <c r="SL34" s="1005"/>
      <c r="SM34" s="1005"/>
      <c r="SN34" s="1005"/>
      <c r="SO34" s="1005"/>
      <c r="SP34" s="1005"/>
      <c r="SQ34" s="1005"/>
      <c r="SR34" s="1005"/>
      <c r="SS34" s="1005"/>
      <c r="ST34" s="1005"/>
      <c r="SU34" s="1005"/>
      <c r="SV34" s="1005"/>
      <c r="SW34" s="1005"/>
      <c r="SX34" s="1005"/>
      <c r="SY34" s="1005"/>
      <c r="SZ34" s="1005"/>
      <c r="TA34" s="1005"/>
      <c r="TB34" s="1005"/>
      <c r="TC34" s="1005"/>
      <c r="TD34" s="1005"/>
      <c r="TE34" s="1005"/>
      <c r="TF34" s="1005"/>
      <c r="TG34" s="1005"/>
      <c r="TH34" s="1005"/>
      <c r="TI34" s="1005"/>
      <c r="TJ34" s="1005"/>
      <c r="TK34" s="1005"/>
      <c r="TL34" s="1005"/>
      <c r="TM34" s="1005"/>
      <c r="TN34" s="1005"/>
      <c r="TO34" s="1005"/>
      <c r="TP34" s="1005"/>
      <c r="TQ34" s="1005"/>
      <c r="TR34" s="1005"/>
      <c r="TS34" s="1005"/>
      <c r="TT34" s="1005"/>
      <c r="TU34" s="1005"/>
      <c r="TV34" s="1005"/>
      <c r="TW34" s="1005"/>
      <c r="TX34" s="1005"/>
      <c r="TY34" s="1005"/>
      <c r="TZ34" s="1005"/>
      <c r="UA34" s="1005"/>
      <c r="UB34" s="1005"/>
      <c r="UC34" s="1005"/>
      <c r="UD34" s="1005"/>
      <c r="UE34" s="1005"/>
      <c r="UF34" s="1005"/>
      <c r="UG34" s="1005"/>
      <c r="UH34" s="1005"/>
      <c r="UI34" s="1005"/>
      <c r="UJ34" s="1005"/>
      <c r="UK34" s="1005"/>
      <c r="UL34" s="1005"/>
      <c r="UM34" s="1005"/>
      <c r="UN34" s="1005"/>
      <c r="UO34" s="1005"/>
      <c r="UP34" s="1005"/>
      <c r="UQ34" s="1005"/>
      <c r="UR34" s="1005"/>
      <c r="US34" s="1005"/>
      <c r="UT34" s="1005"/>
      <c r="UU34" s="1005"/>
      <c r="UV34" s="1005"/>
      <c r="UW34" s="1005"/>
      <c r="UX34" s="1005"/>
      <c r="UY34" s="1005"/>
      <c r="UZ34" s="1005"/>
      <c r="VA34" s="1005"/>
      <c r="VB34" s="1005"/>
      <c r="VC34" s="1005"/>
      <c r="VD34" s="1005"/>
      <c r="VE34" s="1005"/>
      <c r="VF34" s="1005"/>
      <c r="VG34" s="1005"/>
      <c r="VH34" s="1005"/>
      <c r="VI34" s="1005"/>
      <c r="VJ34" s="1005"/>
      <c r="VK34" s="1005"/>
      <c r="VL34" s="1005"/>
      <c r="VM34" s="1005"/>
      <c r="VN34" s="1005"/>
      <c r="VO34" s="1005"/>
      <c r="VP34" s="1005"/>
      <c r="VQ34" s="1005"/>
      <c r="VR34" s="1005"/>
      <c r="VS34" s="1005"/>
      <c r="VT34" s="1005"/>
      <c r="VU34" s="1005"/>
      <c r="VV34" s="1005"/>
      <c r="VW34" s="1005"/>
      <c r="VX34" s="1005"/>
      <c r="VY34" s="1005"/>
      <c r="VZ34" s="1005"/>
      <c r="WA34" s="1005"/>
      <c r="WB34" s="1005"/>
      <c r="WC34" s="1005"/>
      <c r="WD34" s="1005"/>
      <c r="WE34" s="1005"/>
      <c r="WF34" s="1005"/>
      <c r="WG34" s="1005"/>
      <c r="WH34" s="1005"/>
      <c r="WI34" s="1005"/>
      <c r="WJ34" s="1005"/>
      <c r="WK34" s="1005"/>
      <c r="WL34" s="1005"/>
      <c r="WM34" s="1005"/>
      <c r="WN34" s="1005"/>
      <c r="WO34" s="1005"/>
      <c r="WP34" s="1005"/>
      <c r="WQ34" s="1005"/>
      <c r="WR34" s="1005"/>
      <c r="WS34" s="1005"/>
      <c r="WT34" s="1005"/>
      <c r="WU34" s="1005"/>
      <c r="WV34" s="1005"/>
      <c r="WW34" s="1005"/>
      <c r="WX34" s="1005"/>
      <c r="WY34" s="1005"/>
      <c r="WZ34" s="1005"/>
      <c r="XA34" s="1005"/>
      <c r="XB34" s="1005"/>
      <c r="XC34" s="1005"/>
      <c r="XD34" s="1005"/>
      <c r="XE34" s="1005"/>
      <c r="XF34" s="1005"/>
      <c r="XG34" s="1005"/>
      <c r="XH34" s="1005"/>
      <c r="XI34" s="1005"/>
      <c r="XJ34" s="1005"/>
      <c r="XK34" s="1005"/>
      <c r="XL34" s="1005"/>
      <c r="XM34" s="1005"/>
      <c r="XN34" s="1005"/>
      <c r="XO34" s="1005"/>
      <c r="XP34" s="1005"/>
      <c r="XQ34" s="1005"/>
      <c r="XR34" s="1005"/>
      <c r="XS34" s="1005"/>
      <c r="XT34" s="1005"/>
      <c r="XU34" s="1005"/>
      <c r="XV34" s="1005"/>
      <c r="XW34" s="1005"/>
      <c r="XX34" s="1005"/>
      <c r="XY34" s="1005"/>
      <c r="XZ34" s="1005"/>
      <c r="YA34" s="1005"/>
      <c r="YB34" s="1005"/>
      <c r="YC34" s="1005"/>
      <c r="YD34" s="1005"/>
      <c r="YE34" s="1005"/>
      <c r="YF34" s="1005"/>
      <c r="YG34" s="1005"/>
      <c r="YH34" s="1005"/>
      <c r="YI34" s="1005"/>
      <c r="YJ34" s="1005"/>
      <c r="YK34" s="1005"/>
      <c r="YL34" s="1005"/>
      <c r="YM34" s="1005"/>
      <c r="YN34" s="1005"/>
      <c r="YO34" s="1005"/>
      <c r="YP34" s="1005"/>
      <c r="YQ34" s="1005"/>
      <c r="YR34" s="1005"/>
      <c r="YS34" s="1005"/>
      <c r="YT34" s="1005"/>
      <c r="YU34" s="1005"/>
      <c r="YV34" s="1005"/>
      <c r="YW34" s="1005"/>
      <c r="YX34" s="1005"/>
      <c r="YY34" s="1005"/>
      <c r="YZ34" s="1005"/>
      <c r="ZA34" s="1005"/>
      <c r="ZB34" s="1005"/>
      <c r="ZC34" s="1005"/>
      <c r="ZD34" s="1005"/>
      <c r="ZE34" s="1005"/>
      <c r="ZF34" s="1005"/>
      <c r="ZG34" s="1005"/>
      <c r="ZH34" s="1005"/>
      <c r="ZI34" s="1005"/>
      <c r="ZJ34" s="1005"/>
      <c r="ZK34" s="1005"/>
      <c r="ZL34" s="1005"/>
      <c r="ZM34" s="1005"/>
      <c r="ZN34" s="1005"/>
      <c r="ZO34" s="1005"/>
      <c r="ZP34" s="1005"/>
      <c r="ZQ34" s="1005"/>
      <c r="ZR34" s="1005"/>
      <c r="ZS34" s="1005"/>
      <c r="ZT34" s="1005"/>
      <c r="ZU34" s="1005"/>
      <c r="ZV34" s="1005"/>
      <c r="ZW34" s="1005"/>
      <c r="ZX34" s="1005"/>
      <c r="ZY34" s="1005"/>
      <c r="ZZ34" s="1005"/>
      <c r="AAA34" s="1005"/>
      <c r="AAB34" s="1005"/>
      <c r="AAC34" s="1005"/>
      <c r="AAD34" s="1005"/>
      <c r="AAE34" s="1005"/>
      <c r="AAF34" s="1005"/>
      <c r="AAG34" s="1005"/>
      <c r="AAH34" s="1005"/>
      <c r="AAI34" s="1005"/>
      <c r="AAJ34" s="1005"/>
      <c r="AAK34" s="1005"/>
      <c r="AAL34" s="1005"/>
      <c r="AAM34" s="1005"/>
      <c r="AAN34" s="1005"/>
      <c r="AAO34" s="1005"/>
      <c r="AAP34" s="1005"/>
      <c r="AAQ34" s="1005"/>
      <c r="AAR34" s="1005"/>
      <c r="AAS34" s="1005"/>
      <c r="AAT34" s="1005"/>
      <c r="AAU34" s="1005"/>
      <c r="AAV34" s="1005"/>
      <c r="AAW34" s="1005"/>
      <c r="AAX34" s="1005"/>
      <c r="AAY34" s="1005"/>
      <c r="AAZ34" s="1005"/>
      <c r="ABA34" s="1005"/>
      <c r="ABB34" s="1005"/>
      <c r="ABC34" s="1005"/>
      <c r="ABD34" s="1005"/>
      <c r="ABE34" s="1005"/>
      <c r="ABF34" s="1005"/>
      <c r="ABG34" s="1005"/>
      <c r="ABH34" s="1005"/>
      <c r="ABI34" s="1005"/>
      <c r="ABJ34" s="1005"/>
      <c r="ABK34" s="1005"/>
      <c r="ABL34" s="1005"/>
      <c r="ABM34" s="1005"/>
      <c r="ABN34" s="1005"/>
      <c r="ABO34" s="1005"/>
      <c r="ABP34" s="1005"/>
      <c r="ABQ34" s="1005"/>
      <c r="ABR34" s="1005"/>
    </row>
    <row r="35" spans="1:746" s="94" customFormat="1" ht="12.9" customHeight="1">
      <c r="A35" s="789"/>
      <c r="B35" s="567" t="s">
        <v>796</v>
      </c>
      <c r="C35" s="578"/>
      <c r="D35" s="578"/>
      <c r="E35" s="578"/>
      <c r="F35" s="578"/>
      <c r="G35" s="579"/>
      <c r="H35" s="2159"/>
      <c r="I35" s="2365" t="s">
        <v>795</v>
      </c>
      <c r="J35" s="928"/>
      <c r="K35" s="338"/>
      <c r="L35" s="338"/>
      <c r="M35" s="338"/>
      <c r="N35" s="338"/>
      <c r="O35" s="338"/>
      <c r="P35" s="338"/>
      <c r="Q35" s="338"/>
      <c r="R35" s="338"/>
      <c r="S35" s="338"/>
      <c r="T35" s="991"/>
      <c r="U35" s="867"/>
      <c r="V35" s="339"/>
      <c r="W35" s="339"/>
      <c r="X35" s="339"/>
      <c r="Y35" s="339"/>
      <c r="Z35" s="339"/>
      <c r="AA35" s="339"/>
      <c r="AB35" s="339"/>
      <c r="AC35" s="339"/>
      <c r="AD35" s="339"/>
      <c r="AE35" s="339"/>
      <c r="AF35" s="340"/>
      <c r="AG35" s="337"/>
      <c r="AH35" s="336"/>
      <c r="AI35" s="336"/>
      <c r="AJ35" s="1044"/>
      <c r="AK35" s="1044"/>
      <c r="AL35" s="1044"/>
      <c r="AM35" s="1009"/>
      <c r="AN35" s="1013"/>
      <c r="AO35" s="1946"/>
      <c r="AP35" s="1935"/>
      <c r="AQ35" s="1936"/>
      <c r="AR35" s="1941"/>
      <c r="AS35" s="1941"/>
      <c r="AT35" s="1941"/>
      <c r="AU35" s="1941"/>
      <c r="AV35" s="1941"/>
      <c r="AW35" s="1941"/>
      <c r="AX35" s="1941"/>
      <c r="AY35" s="1941"/>
      <c r="AZ35" s="1941"/>
      <c r="BA35" s="1941"/>
      <c r="BB35" s="1941"/>
      <c r="BC35" s="1941"/>
      <c r="BD35" s="1941"/>
      <c r="BE35" s="1941"/>
      <c r="BF35" s="1941"/>
      <c r="BG35" s="1941"/>
      <c r="BH35" s="1941"/>
      <c r="BI35" s="1941"/>
      <c r="BJ35" s="1941"/>
      <c r="BK35" s="1941"/>
      <c r="BL35" s="1941"/>
      <c r="BM35" s="1941"/>
      <c r="BN35" s="1941"/>
      <c r="BO35" s="1941"/>
      <c r="BP35" s="1005"/>
      <c r="BQ35" s="1005"/>
      <c r="BR35" s="1005"/>
      <c r="BS35" s="1005"/>
      <c r="BT35" s="1005"/>
      <c r="BU35" s="1005"/>
      <c r="BV35" s="1005"/>
      <c r="BW35" s="1005"/>
      <c r="BX35" s="1005"/>
      <c r="BY35" s="1005"/>
      <c r="BZ35" s="1005"/>
      <c r="CA35" s="1005"/>
      <c r="CB35" s="1005"/>
      <c r="CC35" s="1005"/>
      <c r="CD35" s="1005"/>
      <c r="CE35" s="1005"/>
      <c r="CF35" s="1005"/>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c r="EC35" s="1005"/>
      <c r="ED35" s="1005"/>
      <c r="EE35" s="1005"/>
      <c r="EF35" s="1005"/>
      <c r="EG35" s="1005"/>
      <c r="EH35" s="1005"/>
      <c r="EI35" s="1005"/>
      <c r="EJ35" s="1005"/>
      <c r="EK35" s="1005"/>
      <c r="EL35" s="1005"/>
      <c r="EM35" s="1005"/>
      <c r="EN35" s="1005"/>
      <c r="EO35" s="1005"/>
      <c r="EP35" s="1005"/>
      <c r="EQ35" s="1005"/>
      <c r="ER35" s="1005"/>
      <c r="ES35" s="1005"/>
      <c r="ET35" s="1005"/>
      <c r="EU35" s="1005"/>
      <c r="EV35" s="1005"/>
      <c r="EW35" s="1005"/>
      <c r="EX35" s="1005"/>
      <c r="EY35" s="1005"/>
      <c r="EZ35" s="1005"/>
      <c r="FA35" s="1005"/>
      <c r="FB35" s="1005"/>
      <c r="FC35" s="1005"/>
      <c r="FD35" s="1005"/>
      <c r="FE35" s="1005"/>
      <c r="FF35" s="1005"/>
      <c r="FG35" s="1005"/>
      <c r="FH35" s="1005"/>
      <c r="FI35" s="1005"/>
      <c r="FJ35" s="1005"/>
      <c r="FK35" s="1005"/>
      <c r="FL35" s="1005"/>
      <c r="FM35" s="1005"/>
      <c r="FN35" s="1005"/>
      <c r="FO35" s="1005"/>
      <c r="FP35" s="1005"/>
      <c r="FQ35" s="1005"/>
      <c r="FR35" s="1005"/>
      <c r="FS35" s="1005"/>
      <c r="FT35" s="1005"/>
      <c r="FU35" s="1005"/>
      <c r="FV35" s="1005"/>
      <c r="FW35" s="1005"/>
      <c r="FX35" s="1005"/>
      <c r="FY35" s="1005"/>
      <c r="FZ35" s="1005"/>
      <c r="GA35" s="1005"/>
      <c r="GB35" s="1005"/>
      <c r="GC35" s="1005"/>
      <c r="GD35" s="1005"/>
      <c r="GE35" s="1005"/>
      <c r="GF35" s="1005"/>
      <c r="GG35" s="1005"/>
      <c r="GH35" s="1005"/>
      <c r="GI35" s="1005"/>
      <c r="GJ35" s="1005"/>
      <c r="GK35" s="1005"/>
      <c r="GL35" s="1005"/>
      <c r="GM35" s="1005"/>
      <c r="GN35" s="1005"/>
      <c r="GO35" s="1005"/>
      <c r="GP35" s="1005"/>
      <c r="GQ35" s="1005"/>
      <c r="GR35" s="1005"/>
      <c r="GS35" s="1005"/>
      <c r="GT35" s="1005"/>
      <c r="GU35" s="1005"/>
      <c r="GV35" s="1005"/>
      <c r="GW35" s="1005"/>
      <c r="GX35" s="1005"/>
      <c r="GY35" s="1005"/>
      <c r="GZ35" s="1005"/>
      <c r="HA35" s="1005"/>
      <c r="HB35" s="1005"/>
      <c r="HC35" s="1005"/>
      <c r="HD35" s="1005"/>
      <c r="HE35" s="1005"/>
      <c r="HF35" s="1005"/>
      <c r="HG35" s="1005"/>
      <c r="HH35" s="1005"/>
      <c r="HI35" s="1005"/>
      <c r="HJ35" s="1005"/>
      <c r="HK35" s="1005"/>
      <c r="HL35" s="1005"/>
      <c r="HM35" s="1005"/>
      <c r="HN35" s="1005"/>
      <c r="HO35" s="1005"/>
      <c r="HP35" s="1005"/>
      <c r="HQ35" s="1005"/>
      <c r="HR35" s="1005"/>
      <c r="HS35" s="1005"/>
      <c r="HT35" s="1005"/>
      <c r="HU35" s="1005"/>
      <c r="HV35" s="1005"/>
      <c r="HW35" s="1005"/>
      <c r="HX35" s="1005"/>
      <c r="HY35" s="1005"/>
      <c r="HZ35" s="1005"/>
      <c r="IA35" s="1005"/>
      <c r="IB35" s="1005"/>
      <c r="IC35" s="1005"/>
      <c r="ID35" s="1005"/>
      <c r="IE35" s="1005"/>
      <c r="IF35" s="1005"/>
      <c r="IG35" s="1005"/>
      <c r="IH35" s="1005"/>
      <c r="II35" s="1005"/>
      <c r="IJ35" s="1005"/>
      <c r="IK35" s="1005"/>
      <c r="IL35" s="1005"/>
      <c r="IM35" s="1005"/>
      <c r="IN35" s="1005"/>
      <c r="IO35" s="1005"/>
      <c r="IP35" s="1005"/>
      <c r="IQ35" s="1005"/>
      <c r="IR35" s="1005"/>
      <c r="IS35" s="1005"/>
      <c r="IT35" s="1005"/>
      <c r="IU35" s="1005"/>
      <c r="IV35" s="1005"/>
      <c r="IW35" s="1005"/>
      <c r="IX35" s="1005"/>
      <c r="IY35" s="1005"/>
      <c r="IZ35" s="1005"/>
      <c r="JA35" s="1005"/>
      <c r="JB35" s="1005"/>
      <c r="JC35" s="1005"/>
      <c r="JD35" s="1005"/>
      <c r="JE35" s="1005"/>
      <c r="JF35" s="1005"/>
      <c r="JG35" s="1005"/>
      <c r="JH35" s="1005"/>
      <c r="JI35" s="1005"/>
      <c r="JJ35" s="1005"/>
      <c r="JK35" s="1005"/>
      <c r="JL35" s="1005"/>
      <c r="JM35" s="1005"/>
      <c r="JN35" s="1005"/>
      <c r="JO35" s="1005"/>
      <c r="JP35" s="1005"/>
      <c r="JQ35" s="1005"/>
      <c r="JR35" s="1005"/>
      <c r="JS35" s="1005"/>
      <c r="JT35" s="1005"/>
      <c r="JU35" s="1005"/>
      <c r="JV35" s="1005"/>
      <c r="JW35" s="1005"/>
      <c r="JX35" s="1005"/>
      <c r="JY35" s="1005"/>
      <c r="JZ35" s="1005"/>
      <c r="KA35" s="1005"/>
      <c r="KB35" s="1005"/>
      <c r="KC35" s="1005"/>
      <c r="KD35" s="1005"/>
      <c r="KE35" s="1005"/>
      <c r="KF35" s="1005"/>
      <c r="KG35" s="1005"/>
      <c r="KH35" s="1005"/>
      <c r="KI35" s="1005"/>
      <c r="KJ35" s="1005"/>
      <c r="KK35" s="1005"/>
      <c r="KL35" s="1005"/>
      <c r="KM35" s="1005"/>
      <c r="KN35" s="1005"/>
      <c r="KO35" s="1005"/>
      <c r="KP35" s="1005"/>
      <c r="KQ35" s="1005"/>
      <c r="KR35" s="1005"/>
      <c r="KS35" s="1005"/>
      <c r="KT35" s="1005"/>
      <c r="KU35" s="1005"/>
      <c r="KV35" s="1005"/>
      <c r="KW35" s="1005"/>
      <c r="KX35" s="1005"/>
      <c r="KY35" s="1005"/>
      <c r="KZ35" s="1005"/>
      <c r="LA35" s="1005"/>
      <c r="LB35" s="1005"/>
      <c r="LC35" s="1005"/>
      <c r="LD35" s="1005"/>
      <c r="LE35" s="1005"/>
      <c r="LF35" s="1005"/>
      <c r="LG35" s="1005"/>
      <c r="LH35" s="1005"/>
      <c r="LI35" s="1005"/>
      <c r="LJ35" s="1005"/>
      <c r="LK35" s="1005"/>
      <c r="LL35" s="1005"/>
      <c r="LM35" s="1005"/>
      <c r="LN35" s="1005"/>
      <c r="LO35" s="1005"/>
      <c r="LP35" s="1005"/>
      <c r="LQ35" s="1005"/>
      <c r="LR35" s="1005"/>
      <c r="LS35" s="1005"/>
      <c r="LT35" s="1005"/>
      <c r="LU35" s="1005"/>
      <c r="LV35" s="1005"/>
      <c r="LW35" s="1005"/>
      <c r="LX35" s="1005"/>
      <c r="LY35" s="1005"/>
      <c r="LZ35" s="1005"/>
      <c r="MA35" s="1005"/>
      <c r="MB35" s="1005"/>
      <c r="MC35" s="1005"/>
      <c r="MD35" s="1005"/>
      <c r="ME35" s="1005"/>
      <c r="MF35" s="1005"/>
      <c r="MG35" s="1005"/>
      <c r="MH35" s="1005"/>
      <c r="MI35" s="1005"/>
      <c r="MJ35" s="1005"/>
      <c r="MK35" s="1005"/>
      <c r="ML35" s="1005"/>
      <c r="MM35" s="1005"/>
      <c r="MN35" s="1005"/>
      <c r="MO35" s="1005"/>
      <c r="MP35" s="1005"/>
      <c r="MQ35" s="1005"/>
      <c r="MR35" s="1005"/>
      <c r="MS35" s="1005"/>
      <c r="MT35" s="1005"/>
      <c r="MU35" s="1005"/>
      <c r="MV35" s="1005"/>
      <c r="MW35" s="1005"/>
      <c r="MX35" s="1005"/>
      <c r="MY35" s="1005"/>
      <c r="MZ35" s="1005"/>
      <c r="NA35" s="1005"/>
      <c r="NB35" s="1005"/>
      <c r="NC35" s="1005"/>
      <c r="ND35" s="1005"/>
      <c r="NE35" s="1005"/>
      <c r="NF35" s="1005"/>
      <c r="NG35" s="1005"/>
      <c r="NH35" s="1005"/>
      <c r="NI35" s="1005"/>
      <c r="NJ35" s="1005"/>
      <c r="NK35" s="1005"/>
      <c r="NL35" s="1005"/>
      <c r="NM35" s="1005"/>
      <c r="NN35" s="1005"/>
      <c r="NO35" s="1005"/>
      <c r="NP35" s="1005"/>
      <c r="NQ35" s="1005"/>
      <c r="NR35" s="1005"/>
      <c r="NS35" s="1005"/>
      <c r="NT35" s="1005"/>
      <c r="NU35" s="1005"/>
      <c r="NV35" s="1005"/>
      <c r="NW35" s="1005"/>
      <c r="NX35" s="1005"/>
      <c r="NY35" s="1005"/>
      <c r="NZ35" s="1005"/>
      <c r="OA35" s="1005"/>
      <c r="OB35" s="1005"/>
      <c r="OC35" s="1005"/>
      <c r="OD35" s="1005"/>
      <c r="OE35" s="1005"/>
      <c r="OF35" s="1005"/>
      <c r="OG35" s="1005"/>
      <c r="OH35" s="1005"/>
      <c r="OI35" s="1005"/>
      <c r="OJ35" s="1005"/>
      <c r="OK35" s="1005"/>
      <c r="OL35" s="1005"/>
      <c r="OM35" s="1005"/>
      <c r="ON35" s="1005"/>
      <c r="OO35" s="1005"/>
      <c r="OP35" s="1005"/>
      <c r="OQ35" s="1005"/>
      <c r="OR35" s="1005"/>
      <c r="OS35" s="1005"/>
      <c r="OT35" s="1005"/>
      <c r="OU35" s="1005"/>
      <c r="OV35" s="1005"/>
      <c r="OW35" s="1005"/>
      <c r="OX35" s="1005"/>
      <c r="OY35" s="1005"/>
      <c r="OZ35" s="1005"/>
      <c r="PA35" s="1005"/>
      <c r="PB35" s="1005"/>
      <c r="PC35" s="1005"/>
      <c r="PD35" s="1005"/>
      <c r="PE35" s="1005"/>
      <c r="PF35" s="1005"/>
      <c r="PG35" s="1005"/>
      <c r="PH35" s="1005"/>
      <c r="PI35" s="1005"/>
      <c r="PJ35" s="1005"/>
      <c r="PK35" s="1005"/>
      <c r="PL35" s="1005"/>
      <c r="PM35" s="1005"/>
      <c r="PN35" s="1005"/>
      <c r="PO35" s="1005"/>
      <c r="PP35" s="1005"/>
      <c r="PQ35" s="1005"/>
      <c r="PR35" s="1005"/>
      <c r="PS35" s="1005"/>
      <c r="PT35" s="1005"/>
      <c r="PU35" s="1005"/>
      <c r="PV35" s="1005"/>
      <c r="PW35" s="1005"/>
      <c r="PX35" s="1005"/>
      <c r="PY35" s="1005"/>
      <c r="PZ35" s="1005"/>
      <c r="QA35" s="1005"/>
      <c r="QB35" s="1005"/>
      <c r="QC35" s="1005"/>
      <c r="QD35" s="1005"/>
      <c r="QE35" s="1005"/>
      <c r="QF35" s="1005"/>
      <c r="QG35" s="1005"/>
      <c r="QH35" s="1005"/>
      <c r="QI35" s="1005"/>
      <c r="QJ35" s="1005"/>
      <c r="QK35" s="1005"/>
      <c r="QL35" s="1005"/>
      <c r="QM35" s="1005"/>
      <c r="QN35" s="1005"/>
      <c r="QO35" s="1005"/>
      <c r="QP35" s="1005"/>
      <c r="QQ35" s="1005"/>
      <c r="QR35" s="1005"/>
      <c r="QS35" s="1005"/>
      <c r="QT35" s="1005"/>
      <c r="QU35" s="1005"/>
      <c r="QV35" s="1005"/>
      <c r="QW35" s="1005"/>
      <c r="QX35" s="1005"/>
      <c r="QY35" s="1005"/>
      <c r="QZ35" s="1005"/>
      <c r="RA35" s="1005"/>
      <c r="RB35" s="1005"/>
      <c r="RC35" s="1005"/>
      <c r="RD35" s="1005"/>
      <c r="RE35" s="1005"/>
      <c r="RF35" s="1005"/>
      <c r="RG35" s="1005"/>
      <c r="RH35" s="1005"/>
      <c r="RI35" s="1005"/>
      <c r="RJ35" s="1005"/>
      <c r="RK35" s="1005"/>
      <c r="RL35" s="1005"/>
      <c r="RM35" s="1005"/>
      <c r="RN35" s="1005"/>
      <c r="RO35" s="1005"/>
      <c r="RP35" s="1005"/>
      <c r="RQ35" s="1005"/>
      <c r="RR35" s="1005"/>
      <c r="RS35" s="1005"/>
      <c r="RT35" s="1005"/>
      <c r="RU35" s="1005"/>
      <c r="RV35" s="1005"/>
      <c r="RW35" s="1005"/>
      <c r="RX35" s="1005"/>
      <c r="RY35" s="1005"/>
      <c r="RZ35" s="1005"/>
      <c r="SA35" s="1005"/>
      <c r="SB35" s="1005"/>
      <c r="SC35" s="1005"/>
      <c r="SD35" s="1005"/>
      <c r="SE35" s="1005"/>
      <c r="SF35" s="1005"/>
      <c r="SG35" s="1005"/>
      <c r="SH35" s="1005"/>
      <c r="SI35" s="1005"/>
      <c r="SJ35" s="1005"/>
      <c r="SK35" s="1005"/>
      <c r="SL35" s="1005"/>
      <c r="SM35" s="1005"/>
      <c r="SN35" s="1005"/>
      <c r="SO35" s="1005"/>
      <c r="SP35" s="1005"/>
      <c r="SQ35" s="1005"/>
      <c r="SR35" s="1005"/>
      <c r="SS35" s="1005"/>
      <c r="ST35" s="1005"/>
      <c r="SU35" s="1005"/>
      <c r="SV35" s="1005"/>
      <c r="SW35" s="1005"/>
      <c r="SX35" s="1005"/>
      <c r="SY35" s="1005"/>
      <c r="SZ35" s="1005"/>
      <c r="TA35" s="1005"/>
      <c r="TB35" s="1005"/>
      <c r="TC35" s="1005"/>
      <c r="TD35" s="1005"/>
      <c r="TE35" s="1005"/>
      <c r="TF35" s="1005"/>
      <c r="TG35" s="1005"/>
      <c r="TH35" s="1005"/>
      <c r="TI35" s="1005"/>
      <c r="TJ35" s="1005"/>
      <c r="TK35" s="1005"/>
      <c r="TL35" s="1005"/>
      <c r="TM35" s="1005"/>
      <c r="TN35" s="1005"/>
      <c r="TO35" s="1005"/>
      <c r="TP35" s="1005"/>
      <c r="TQ35" s="1005"/>
      <c r="TR35" s="1005"/>
      <c r="TS35" s="1005"/>
      <c r="TT35" s="1005"/>
      <c r="TU35" s="1005"/>
      <c r="TV35" s="1005"/>
      <c r="TW35" s="1005"/>
      <c r="TX35" s="1005"/>
      <c r="TY35" s="1005"/>
      <c r="TZ35" s="1005"/>
      <c r="UA35" s="1005"/>
      <c r="UB35" s="1005"/>
      <c r="UC35" s="1005"/>
      <c r="UD35" s="1005"/>
      <c r="UE35" s="1005"/>
      <c r="UF35" s="1005"/>
      <c r="UG35" s="1005"/>
      <c r="UH35" s="1005"/>
      <c r="UI35" s="1005"/>
      <c r="UJ35" s="1005"/>
      <c r="UK35" s="1005"/>
      <c r="UL35" s="1005"/>
      <c r="UM35" s="1005"/>
      <c r="UN35" s="1005"/>
      <c r="UO35" s="1005"/>
      <c r="UP35" s="1005"/>
      <c r="UQ35" s="1005"/>
      <c r="UR35" s="1005"/>
      <c r="US35" s="1005"/>
      <c r="UT35" s="1005"/>
      <c r="UU35" s="1005"/>
      <c r="UV35" s="1005"/>
      <c r="UW35" s="1005"/>
      <c r="UX35" s="1005"/>
      <c r="UY35" s="1005"/>
      <c r="UZ35" s="1005"/>
      <c r="VA35" s="1005"/>
      <c r="VB35" s="1005"/>
      <c r="VC35" s="1005"/>
      <c r="VD35" s="1005"/>
      <c r="VE35" s="1005"/>
      <c r="VF35" s="1005"/>
      <c r="VG35" s="1005"/>
      <c r="VH35" s="1005"/>
      <c r="VI35" s="1005"/>
      <c r="VJ35" s="1005"/>
      <c r="VK35" s="1005"/>
      <c r="VL35" s="1005"/>
      <c r="VM35" s="1005"/>
      <c r="VN35" s="1005"/>
      <c r="VO35" s="1005"/>
      <c r="VP35" s="1005"/>
      <c r="VQ35" s="1005"/>
      <c r="VR35" s="1005"/>
      <c r="VS35" s="1005"/>
      <c r="VT35" s="1005"/>
      <c r="VU35" s="1005"/>
      <c r="VV35" s="1005"/>
      <c r="VW35" s="1005"/>
      <c r="VX35" s="1005"/>
      <c r="VY35" s="1005"/>
      <c r="VZ35" s="1005"/>
      <c r="WA35" s="1005"/>
      <c r="WB35" s="1005"/>
      <c r="WC35" s="1005"/>
      <c r="WD35" s="1005"/>
      <c r="WE35" s="1005"/>
      <c r="WF35" s="1005"/>
      <c r="WG35" s="1005"/>
      <c r="WH35" s="1005"/>
      <c r="WI35" s="1005"/>
      <c r="WJ35" s="1005"/>
      <c r="WK35" s="1005"/>
      <c r="WL35" s="1005"/>
      <c r="WM35" s="1005"/>
      <c r="WN35" s="1005"/>
      <c r="WO35" s="1005"/>
      <c r="WP35" s="1005"/>
      <c r="WQ35" s="1005"/>
      <c r="WR35" s="1005"/>
      <c r="WS35" s="1005"/>
      <c r="WT35" s="1005"/>
      <c r="WU35" s="1005"/>
      <c r="WV35" s="1005"/>
      <c r="WW35" s="1005"/>
      <c r="WX35" s="1005"/>
      <c r="WY35" s="1005"/>
      <c r="WZ35" s="1005"/>
      <c r="XA35" s="1005"/>
      <c r="XB35" s="1005"/>
      <c r="XC35" s="1005"/>
      <c r="XD35" s="1005"/>
      <c r="XE35" s="1005"/>
      <c r="XF35" s="1005"/>
      <c r="XG35" s="1005"/>
      <c r="XH35" s="1005"/>
      <c r="XI35" s="1005"/>
      <c r="XJ35" s="1005"/>
      <c r="XK35" s="1005"/>
      <c r="XL35" s="1005"/>
      <c r="XM35" s="1005"/>
      <c r="XN35" s="1005"/>
      <c r="XO35" s="1005"/>
      <c r="XP35" s="1005"/>
      <c r="XQ35" s="1005"/>
      <c r="XR35" s="1005"/>
      <c r="XS35" s="1005"/>
      <c r="XT35" s="1005"/>
      <c r="XU35" s="1005"/>
      <c r="XV35" s="1005"/>
      <c r="XW35" s="1005"/>
      <c r="XX35" s="1005"/>
      <c r="XY35" s="1005"/>
      <c r="XZ35" s="1005"/>
      <c r="YA35" s="1005"/>
      <c r="YB35" s="1005"/>
      <c r="YC35" s="1005"/>
      <c r="YD35" s="1005"/>
      <c r="YE35" s="1005"/>
      <c r="YF35" s="1005"/>
      <c r="YG35" s="1005"/>
      <c r="YH35" s="1005"/>
      <c r="YI35" s="1005"/>
      <c r="YJ35" s="1005"/>
      <c r="YK35" s="1005"/>
      <c r="YL35" s="1005"/>
      <c r="YM35" s="1005"/>
      <c r="YN35" s="1005"/>
      <c r="YO35" s="1005"/>
      <c r="YP35" s="1005"/>
      <c r="YQ35" s="1005"/>
      <c r="YR35" s="1005"/>
      <c r="YS35" s="1005"/>
      <c r="YT35" s="1005"/>
      <c r="YU35" s="1005"/>
      <c r="YV35" s="1005"/>
      <c r="YW35" s="1005"/>
      <c r="YX35" s="1005"/>
      <c r="YY35" s="1005"/>
      <c r="YZ35" s="1005"/>
      <c r="ZA35" s="1005"/>
      <c r="ZB35" s="1005"/>
      <c r="ZC35" s="1005"/>
      <c r="ZD35" s="1005"/>
      <c r="ZE35" s="1005"/>
      <c r="ZF35" s="1005"/>
      <c r="ZG35" s="1005"/>
      <c r="ZH35" s="1005"/>
      <c r="ZI35" s="1005"/>
      <c r="ZJ35" s="1005"/>
      <c r="ZK35" s="1005"/>
      <c r="ZL35" s="1005"/>
      <c r="ZM35" s="1005"/>
      <c r="ZN35" s="1005"/>
      <c r="ZO35" s="1005"/>
      <c r="ZP35" s="1005"/>
      <c r="ZQ35" s="1005"/>
      <c r="ZR35" s="1005"/>
      <c r="ZS35" s="1005"/>
      <c r="ZT35" s="1005"/>
      <c r="ZU35" s="1005"/>
      <c r="ZV35" s="1005"/>
      <c r="ZW35" s="1005"/>
      <c r="ZX35" s="1005"/>
      <c r="ZY35" s="1005"/>
      <c r="ZZ35" s="1005"/>
      <c r="AAA35" s="1005"/>
      <c r="AAB35" s="1005"/>
      <c r="AAC35" s="1005"/>
      <c r="AAD35" s="1005"/>
      <c r="AAE35" s="1005"/>
      <c r="AAF35" s="1005"/>
      <c r="AAG35" s="1005"/>
      <c r="AAH35" s="1005"/>
      <c r="AAI35" s="1005"/>
      <c r="AAJ35" s="1005"/>
      <c r="AAK35" s="1005"/>
      <c r="AAL35" s="1005"/>
      <c r="AAM35" s="1005"/>
      <c r="AAN35" s="1005"/>
      <c r="AAO35" s="1005"/>
      <c r="AAP35" s="1005"/>
      <c r="AAQ35" s="1005"/>
      <c r="AAR35" s="1005"/>
      <c r="AAS35" s="1005"/>
      <c r="AAT35" s="1005"/>
      <c r="AAU35" s="1005"/>
      <c r="AAV35" s="1005"/>
      <c r="AAW35" s="1005"/>
      <c r="AAX35" s="1005"/>
      <c r="AAY35" s="1005"/>
      <c r="AAZ35" s="1005"/>
      <c r="ABA35" s="1005"/>
      <c r="ABB35" s="1005"/>
      <c r="ABC35" s="1005"/>
      <c r="ABD35" s="1005"/>
      <c r="ABE35" s="1005"/>
      <c r="ABF35" s="1005"/>
      <c r="ABG35" s="1005"/>
      <c r="ABH35" s="1005"/>
      <c r="ABI35" s="1005"/>
      <c r="ABJ35" s="1005"/>
      <c r="ABK35" s="1005"/>
      <c r="ABL35" s="1005"/>
      <c r="ABM35" s="1005"/>
      <c r="ABN35" s="1005"/>
      <c r="ABO35" s="1005"/>
      <c r="ABP35" s="1005"/>
      <c r="ABQ35" s="1005"/>
      <c r="ABR35" s="1005"/>
    </row>
    <row r="36" spans="1:746" s="94" customFormat="1" ht="12.9" customHeight="1" thickBot="1">
      <c r="A36" s="790"/>
      <c r="B36" s="930" t="s">
        <v>797</v>
      </c>
      <c r="C36" s="933"/>
      <c r="D36" s="580"/>
      <c r="E36" s="2987" t="s">
        <v>848</v>
      </c>
      <c r="F36" s="2987"/>
      <c r="G36" s="2987"/>
      <c r="H36" s="2987"/>
      <c r="I36" s="2571" t="s">
        <v>1337</v>
      </c>
      <c r="J36" s="929"/>
      <c r="K36" s="341"/>
      <c r="L36" s="341"/>
      <c r="M36" s="341"/>
      <c r="N36" s="341"/>
      <c r="O36" s="341"/>
      <c r="P36" s="341"/>
      <c r="Q36" s="341"/>
      <c r="R36" s="341"/>
      <c r="S36" s="341"/>
      <c r="T36" s="989"/>
      <c r="U36" s="869"/>
      <c r="V36" s="343"/>
      <c r="W36" s="343"/>
      <c r="X36" s="343"/>
      <c r="Y36" s="343"/>
      <c r="Z36" s="343"/>
      <c r="AA36" s="343"/>
      <c r="AB36" s="343"/>
      <c r="AC36" s="343"/>
      <c r="AD36" s="343"/>
      <c r="AE36" s="343"/>
      <c r="AF36" s="344"/>
      <c r="AG36" s="337"/>
      <c r="AH36" s="336"/>
      <c r="AI36" s="336"/>
      <c r="AJ36" s="1044"/>
      <c r="AK36" s="1044"/>
      <c r="AL36" s="1044"/>
      <c r="AM36" s="1009"/>
      <c r="AN36" s="1005"/>
      <c r="AO36" s="1946"/>
      <c r="AP36" s="1935"/>
      <c r="AQ36" s="1936"/>
      <c r="AR36" s="1941"/>
      <c r="AS36" s="1941"/>
      <c r="AT36" s="1941"/>
      <c r="AU36" s="1941"/>
      <c r="AV36" s="1941"/>
      <c r="AW36" s="1941"/>
      <c r="AX36" s="1941"/>
      <c r="AY36" s="1941"/>
      <c r="AZ36" s="1941"/>
      <c r="BA36" s="1941"/>
      <c r="BB36" s="1941"/>
      <c r="BC36" s="1941"/>
      <c r="BD36" s="1941"/>
      <c r="BE36" s="1941"/>
      <c r="BF36" s="1941"/>
      <c r="BG36" s="1941"/>
      <c r="BH36" s="1941"/>
      <c r="BI36" s="1941"/>
      <c r="BJ36" s="1941"/>
      <c r="BK36" s="1941"/>
      <c r="BL36" s="1941"/>
      <c r="BM36" s="1941"/>
      <c r="BN36" s="1941"/>
      <c r="BO36" s="1941"/>
      <c r="BP36" s="1005"/>
      <c r="BQ36" s="1005"/>
      <c r="BR36" s="1005"/>
      <c r="BS36" s="1005"/>
      <c r="BT36" s="1005"/>
      <c r="BU36" s="1005"/>
      <c r="BV36" s="1005"/>
      <c r="BW36" s="1005"/>
      <c r="BX36" s="1005"/>
      <c r="BY36" s="1005"/>
      <c r="BZ36" s="1005"/>
      <c r="CA36" s="1005"/>
      <c r="CB36" s="1005"/>
      <c r="CC36" s="1005"/>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c r="EC36" s="1005"/>
      <c r="ED36" s="1005"/>
      <c r="EE36" s="1005"/>
      <c r="EF36" s="1005"/>
      <c r="EG36" s="1005"/>
      <c r="EH36" s="1005"/>
      <c r="EI36" s="1005"/>
      <c r="EJ36" s="1005"/>
      <c r="EK36" s="1005"/>
      <c r="EL36" s="1005"/>
      <c r="EM36" s="1005"/>
      <c r="EN36" s="1005"/>
      <c r="EO36" s="1005"/>
      <c r="EP36" s="1005"/>
      <c r="EQ36" s="1005"/>
      <c r="ER36" s="1005"/>
      <c r="ES36" s="1005"/>
      <c r="ET36" s="1005"/>
      <c r="EU36" s="1005"/>
      <c r="EV36" s="1005"/>
      <c r="EW36" s="1005"/>
      <c r="EX36" s="1005"/>
      <c r="EY36" s="1005"/>
      <c r="EZ36" s="1005"/>
      <c r="FA36" s="1005"/>
      <c r="FB36" s="1005"/>
      <c r="FC36" s="1005"/>
      <c r="FD36" s="1005"/>
      <c r="FE36" s="1005"/>
      <c r="FF36" s="1005"/>
      <c r="FG36" s="1005"/>
      <c r="FH36" s="1005"/>
      <c r="FI36" s="1005"/>
      <c r="FJ36" s="1005"/>
      <c r="FK36" s="1005"/>
      <c r="FL36" s="1005"/>
      <c r="FM36" s="1005"/>
      <c r="FN36" s="1005"/>
      <c r="FO36" s="1005"/>
      <c r="FP36" s="1005"/>
      <c r="FQ36" s="1005"/>
      <c r="FR36" s="1005"/>
      <c r="FS36" s="1005"/>
      <c r="FT36" s="1005"/>
      <c r="FU36" s="1005"/>
      <c r="FV36" s="1005"/>
      <c r="FW36" s="1005"/>
      <c r="FX36" s="1005"/>
      <c r="FY36" s="1005"/>
      <c r="FZ36" s="1005"/>
      <c r="GA36" s="1005"/>
      <c r="GB36" s="1005"/>
      <c r="GC36" s="1005"/>
      <c r="GD36" s="1005"/>
      <c r="GE36" s="1005"/>
      <c r="GF36" s="1005"/>
      <c r="GG36" s="1005"/>
      <c r="GH36" s="1005"/>
      <c r="GI36" s="1005"/>
      <c r="GJ36" s="1005"/>
      <c r="GK36" s="1005"/>
      <c r="GL36" s="1005"/>
      <c r="GM36" s="1005"/>
      <c r="GN36" s="1005"/>
      <c r="GO36" s="1005"/>
      <c r="GP36" s="1005"/>
      <c r="GQ36" s="1005"/>
      <c r="GR36" s="1005"/>
      <c r="GS36" s="1005"/>
      <c r="GT36" s="1005"/>
      <c r="GU36" s="1005"/>
      <c r="GV36" s="1005"/>
      <c r="GW36" s="1005"/>
      <c r="GX36" s="1005"/>
      <c r="GY36" s="1005"/>
      <c r="GZ36" s="1005"/>
      <c r="HA36" s="1005"/>
      <c r="HB36" s="1005"/>
      <c r="HC36" s="1005"/>
      <c r="HD36" s="1005"/>
      <c r="HE36" s="1005"/>
      <c r="HF36" s="1005"/>
      <c r="HG36" s="1005"/>
      <c r="HH36" s="1005"/>
      <c r="HI36" s="1005"/>
      <c r="HJ36" s="1005"/>
      <c r="HK36" s="1005"/>
      <c r="HL36" s="1005"/>
      <c r="HM36" s="1005"/>
      <c r="HN36" s="1005"/>
      <c r="HO36" s="1005"/>
      <c r="HP36" s="1005"/>
      <c r="HQ36" s="1005"/>
      <c r="HR36" s="1005"/>
      <c r="HS36" s="1005"/>
      <c r="HT36" s="1005"/>
      <c r="HU36" s="1005"/>
      <c r="HV36" s="1005"/>
      <c r="HW36" s="1005"/>
      <c r="HX36" s="1005"/>
      <c r="HY36" s="1005"/>
      <c r="HZ36" s="1005"/>
      <c r="IA36" s="1005"/>
      <c r="IB36" s="1005"/>
      <c r="IC36" s="1005"/>
      <c r="ID36" s="1005"/>
      <c r="IE36" s="1005"/>
      <c r="IF36" s="1005"/>
      <c r="IG36" s="1005"/>
      <c r="IH36" s="1005"/>
      <c r="II36" s="1005"/>
      <c r="IJ36" s="1005"/>
      <c r="IK36" s="1005"/>
      <c r="IL36" s="1005"/>
      <c r="IM36" s="1005"/>
      <c r="IN36" s="1005"/>
      <c r="IO36" s="1005"/>
      <c r="IP36" s="1005"/>
      <c r="IQ36" s="1005"/>
      <c r="IR36" s="1005"/>
      <c r="IS36" s="1005"/>
      <c r="IT36" s="1005"/>
      <c r="IU36" s="1005"/>
      <c r="IV36" s="1005"/>
      <c r="IW36" s="1005"/>
      <c r="IX36" s="1005"/>
      <c r="IY36" s="1005"/>
      <c r="IZ36" s="1005"/>
      <c r="JA36" s="1005"/>
      <c r="JB36" s="1005"/>
      <c r="JC36" s="1005"/>
      <c r="JD36" s="1005"/>
      <c r="JE36" s="1005"/>
      <c r="JF36" s="1005"/>
      <c r="JG36" s="1005"/>
      <c r="JH36" s="1005"/>
      <c r="JI36" s="1005"/>
      <c r="JJ36" s="1005"/>
      <c r="JK36" s="1005"/>
      <c r="JL36" s="1005"/>
      <c r="JM36" s="1005"/>
      <c r="JN36" s="1005"/>
      <c r="JO36" s="1005"/>
      <c r="JP36" s="1005"/>
      <c r="JQ36" s="1005"/>
      <c r="JR36" s="1005"/>
      <c r="JS36" s="1005"/>
      <c r="JT36" s="1005"/>
      <c r="JU36" s="1005"/>
      <c r="JV36" s="1005"/>
      <c r="JW36" s="1005"/>
      <c r="JX36" s="1005"/>
      <c r="JY36" s="1005"/>
      <c r="JZ36" s="1005"/>
      <c r="KA36" s="1005"/>
      <c r="KB36" s="1005"/>
      <c r="KC36" s="1005"/>
      <c r="KD36" s="1005"/>
      <c r="KE36" s="1005"/>
      <c r="KF36" s="1005"/>
      <c r="KG36" s="1005"/>
      <c r="KH36" s="1005"/>
      <c r="KI36" s="1005"/>
      <c r="KJ36" s="1005"/>
      <c r="KK36" s="1005"/>
      <c r="KL36" s="1005"/>
      <c r="KM36" s="1005"/>
      <c r="KN36" s="1005"/>
      <c r="KO36" s="1005"/>
      <c r="KP36" s="1005"/>
      <c r="KQ36" s="1005"/>
      <c r="KR36" s="1005"/>
      <c r="KS36" s="1005"/>
      <c r="KT36" s="1005"/>
      <c r="KU36" s="1005"/>
      <c r="KV36" s="1005"/>
      <c r="KW36" s="1005"/>
      <c r="KX36" s="1005"/>
      <c r="KY36" s="1005"/>
      <c r="KZ36" s="1005"/>
      <c r="LA36" s="1005"/>
      <c r="LB36" s="1005"/>
      <c r="LC36" s="1005"/>
      <c r="LD36" s="1005"/>
      <c r="LE36" s="1005"/>
      <c r="LF36" s="1005"/>
      <c r="LG36" s="1005"/>
      <c r="LH36" s="1005"/>
      <c r="LI36" s="1005"/>
      <c r="LJ36" s="1005"/>
      <c r="LK36" s="1005"/>
      <c r="LL36" s="1005"/>
      <c r="LM36" s="1005"/>
      <c r="LN36" s="1005"/>
      <c r="LO36" s="1005"/>
      <c r="LP36" s="1005"/>
      <c r="LQ36" s="1005"/>
      <c r="LR36" s="1005"/>
      <c r="LS36" s="1005"/>
      <c r="LT36" s="1005"/>
      <c r="LU36" s="1005"/>
      <c r="LV36" s="1005"/>
      <c r="LW36" s="1005"/>
      <c r="LX36" s="1005"/>
      <c r="LY36" s="1005"/>
      <c r="LZ36" s="1005"/>
      <c r="MA36" s="1005"/>
      <c r="MB36" s="1005"/>
      <c r="MC36" s="1005"/>
      <c r="MD36" s="1005"/>
      <c r="ME36" s="1005"/>
      <c r="MF36" s="1005"/>
      <c r="MG36" s="1005"/>
      <c r="MH36" s="1005"/>
      <c r="MI36" s="1005"/>
      <c r="MJ36" s="1005"/>
      <c r="MK36" s="1005"/>
      <c r="ML36" s="1005"/>
      <c r="MM36" s="1005"/>
      <c r="MN36" s="1005"/>
      <c r="MO36" s="1005"/>
      <c r="MP36" s="1005"/>
      <c r="MQ36" s="1005"/>
      <c r="MR36" s="1005"/>
      <c r="MS36" s="1005"/>
      <c r="MT36" s="1005"/>
      <c r="MU36" s="1005"/>
      <c r="MV36" s="1005"/>
      <c r="MW36" s="1005"/>
      <c r="MX36" s="1005"/>
      <c r="MY36" s="1005"/>
      <c r="MZ36" s="1005"/>
      <c r="NA36" s="1005"/>
      <c r="NB36" s="1005"/>
      <c r="NC36" s="1005"/>
      <c r="ND36" s="1005"/>
      <c r="NE36" s="1005"/>
      <c r="NF36" s="1005"/>
      <c r="NG36" s="1005"/>
      <c r="NH36" s="1005"/>
      <c r="NI36" s="1005"/>
      <c r="NJ36" s="1005"/>
      <c r="NK36" s="1005"/>
      <c r="NL36" s="1005"/>
      <c r="NM36" s="1005"/>
      <c r="NN36" s="1005"/>
      <c r="NO36" s="1005"/>
      <c r="NP36" s="1005"/>
      <c r="NQ36" s="1005"/>
      <c r="NR36" s="1005"/>
      <c r="NS36" s="1005"/>
      <c r="NT36" s="1005"/>
      <c r="NU36" s="1005"/>
      <c r="NV36" s="1005"/>
      <c r="NW36" s="1005"/>
      <c r="NX36" s="1005"/>
      <c r="NY36" s="1005"/>
      <c r="NZ36" s="1005"/>
      <c r="OA36" s="1005"/>
      <c r="OB36" s="1005"/>
      <c r="OC36" s="1005"/>
      <c r="OD36" s="1005"/>
      <c r="OE36" s="1005"/>
      <c r="OF36" s="1005"/>
      <c r="OG36" s="1005"/>
      <c r="OH36" s="1005"/>
      <c r="OI36" s="1005"/>
      <c r="OJ36" s="1005"/>
      <c r="OK36" s="1005"/>
      <c r="OL36" s="1005"/>
      <c r="OM36" s="1005"/>
      <c r="ON36" s="1005"/>
      <c r="OO36" s="1005"/>
      <c r="OP36" s="1005"/>
      <c r="OQ36" s="1005"/>
      <c r="OR36" s="1005"/>
      <c r="OS36" s="1005"/>
      <c r="OT36" s="1005"/>
      <c r="OU36" s="1005"/>
      <c r="OV36" s="1005"/>
      <c r="OW36" s="1005"/>
      <c r="OX36" s="1005"/>
      <c r="OY36" s="1005"/>
      <c r="OZ36" s="1005"/>
      <c r="PA36" s="1005"/>
      <c r="PB36" s="1005"/>
      <c r="PC36" s="1005"/>
      <c r="PD36" s="1005"/>
      <c r="PE36" s="1005"/>
      <c r="PF36" s="1005"/>
      <c r="PG36" s="1005"/>
      <c r="PH36" s="1005"/>
      <c r="PI36" s="1005"/>
      <c r="PJ36" s="1005"/>
      <c r="PK36" s="1005"/>
      <c r="PL36" s="1005"/>
      <c r="PM36" s="1005"/>
      <c r="PN36" s="1005"/>
      <c r="PO36" s="1005"/>
      <c r="PP36" s="1005"/>
      <c r="PQ36" s="1005"/>
      <c r="PR36" s="1005"/>
      <c r="PS36" s="1005"/>
      <c r="PT36" s="1005"/>
      <c r="PU36" s="1005"/>
      <c r="PV36" s="1005"/>
      <c r="PW36" s="1005"/>
      <c r="PX36" s="1005"/>
      <c r="PY36" s="1005"/>
      <c r="PZ36" s="1005"/>
      <c r="QA36" s="1005"/>
      <c r="QB36" s="1005"/>
      <c r="QC36" s="1005"/>
      <c r="QD36" s="1005"/>
      <c r="QE36" s="1005"/>
      <c r="QF36" s="1005"/>
      <c r="QG36" s="1005"/>
      <c r="QH36" s="1005"/>
      <c r="QI36" s="1005"/>
      <c r="QJ36" s="1005"/>
      <c r="QK36" s="1005"/>
      <c r="QL36" s="1005"/>
      <c r="QM36" s="1005"/>
      <c r="QN36" s="1005"/>
      <c r="QO36" s="1005"/>
      <c r="QP36" s="1005"/>
      <c r="QQ36" s="1005"/>
      <c r="QR36" s="1005"/>
      <c r="QS36" s="1005"/>
      <c r="QT36" s="1005"/>
      <c r="QU36" s="1005"/>
      <c r="QV36" s="1005"/>
      <c r="QW36" s="1005"/>
      <c r="QX36" s="1005"/>
      <c r="QY36" s="1005"/>
      <c r="QZ36" s="1005"/>
      <c r="RA36" s="1005"/>
      <c r="RB36" s="1005"/>
      <c r="RC36" s="1005"/>
      <c r="RD36" s="1005"/>
      <c r="RE36" s="1005"/>
      <c r="RF36" s="1005"/>
      <c r="RG36" s="1005"/>
      <c r="RH36" s="1005"/>
      <c r="RI36" s="1005"/>
      <c r="RJ36" s="1005"/>
      <c r="RK36" s="1005"/>
      <c r="RL36" s="1005"/>
      <c r="RM36" s="1005"/>
      <c r="RN36" s="1005"/>
      <c r="RO36" s="1005"/>
      <c r="RP36" s="1005"/>
      <c r="RQ36" s="1005"/>
      <c r="RR36" s="1005"/>
      <c r="RS36" s="1005"/>
      <c r="RT36" s="1005"/>
      <c r="RU36" s="1005"/>
      <c r="RV36" s="1005"/>
      <c r="RW36" s="1005"/>
      <c r="RX36" s="1005"/>
      <c r="RY36" s="1005"/>
      <c r="RZ36" s="1005"/>
      <c r="SA36" s="1005"/>
      <c r="SB36" s="1005"/>
      <c r="SC36" s="1005"/>
      <c r="SD36" s="1005"/>
      <c r="SE36" s="1005"/>
      <c r="SF36" s="1005"/>
      <c r="SG36" s="1005"/>
      <c r="SH36" s="1005"/>
      <c r="SI36" s="1005"/>
      <c r="SJ36" s="1005"/>
      <c r="SK36" s="1005"/>
      <c r="SL36" s="1005"/>
      <c r="SM36" s="1005"/>
      <c r="SN36" s="1005"/>
      <c r="SO36" s="1005"/>
      <c r="SP36" s="1005"/>
      <c r="SQ36" s="1005"/>
      <c r="SR36" s="1005"/>
      <c r="SS36" s="1005"/>
      <c r="ST36" s="1005"/>
      <c r="SU36" s="1005"/>
      <c r="SV36" s="1005"/>
      <c r="SW36" s="1005"/>
      <c r="SX36" s="1005"/>
      <c r="SY36" s="1005"/>
      <c r="SZ36" s="1005"/>
      <c r="TA36" s="1005"/>
      <c r="TB36" s="1005"/>
      <c r="TC36" s="1005"/>
      <c r="TD36" s="1005"/>
      <c r="TE36" s="1005"/>
      <c r="TF36" s="1005"/>
      <c r="TG36" s="1005"/>
      <c r="TH36" s="1005"/>
      <c r="TI36" s="1005"/>
      <c r="TJ36" s="1005"/>
      <c r="TK36" s="1005"/>
      <c r="TL36" s="1005"/>
      <c r="TM36" s="1005"/>
      <c r="TN36" s="1005"/>
      <c r="TO36" s="1005"/>
      <c r="TP36" s="1005"/>
      <c r="TQ36" s="1005"/>
      <c r="TR36" s="1005"/>
      <c r="TS36" s="1005"/>
      <c r="TT36" s="1005"/>
      <c r="TU36" s="1005"/>
      <c r="TV36" s="1005"/>
      <c r="TW36" s="1005"/>
      <c r="TX36" s="1005"/>
      <c r="TY36" s="1005"/>
      <c r="TZ36" s="1005"/>
      <c r="UA36" s="1005"/>
      <c r="UB36" s="1005"/>
      <c r="UC36" s="1005"/>
      <c r="UD36" s="1005"/>
      <c r="UE36" s="1005"/>
      <c r="UF36" s="1005"/>
      <c r="UG36" s="1005"/>
      <c r="UH36" s="1005"/>
      <c r="UI36" s="1005"/>
      <c r="UJ36" s="1005"/>
      <c r="UK36" s="1005"/>
      <c r="UL36" s="1005"/>
      <c r="UM36" s="1005"/>
      <c r="UN36" s="1005"/>
      <c r="UO36" s="1005"/>
      <c r="UP36" s="1005"/>
      <c r="UQ36" s="1005"/>
      <c r="UR36" s="1005"/>
      <c r="US36" s="1005"/>
      <c r="UT36" s="1005"/>
      <c r="UU36" s="1005"/>
      <c r="UV36" s="1005"/>
      <c r="UW36" s="1005"/>
      <c r="UX36" s="1005"/>
      <c r="UY36" s="1005"/>
      <c r="UZ36" s="1005"/>
      <c r="VA36" s="1005"/>
      <c r="VB36" s="1005"/>
      <c r="VC36" s="1005"/>
      <c r="VD36" s="1005"/>
      <c r="VE36" s="1005"/>
      <c r="VF36" s="1005"/>
      <c r="VG36" s="1005"/>
      <c r="VH36" s="1005"/>
      <c r="VI36" s="1005"/>
      <c r="VJ36" s="1005"/>
      <c r="VK36" s="1005"/>
      <c r="VL36" s="1005"/>
      <c r="VM36" s="1005"/>
      <c r="VN36" s="1005"/>
      <c r="VO36" s="1005"/>
      <c r="VP36" s="1005"/>
      <c r="VQ36" s="1005"/>
      <c r="VR36" s="1005"/>
      <c r="VS36" s="1005"/>
      <c r="VT36" s="1005"/>
      <c r="VU36" s="1005"/>
      <c r="VV36" s="1005"/>
      <c r="VW36" s="1005"/>
      <c r="VX36" s="1005"/>
      <c r="VY36" s="1005"/>
      <c r="VZ36" s="1005"/>
      <c r="WA36" s="1005"/>
      <c r="WB36" s="1005"/>
      <c r="WC36" s="1005"/>
      <c r="WD36" s="1005"/>
      <c r="WE36" s="1005"/>
      <c r="WF36" s="1005"/>
      <c r="WG36" s="1005"/>
      <c r="WH36" s="1005"/>
      <c r="WI36" s="1005"/>
      <c r="WJ36" s="1005"/>
      <c r="WK36" s="1005"/>
      <c r="WL36" s="1005"/>
      <c r="WM36" s="1005"/>
      <c r="WN36" s="1005"/>
      <c r="WO36" s="1005"/>
      <c r="WP36" s="1005"/>
      <c r="WQ36" s="1005"/>
      <c r="WR36" s="1005"/>
      <c r="WS36" s="1005"/>
      <c r="WT36" s="1005"/>
      <c r="WU36" s="1005"/>
      <c r="WV36" s="1005"/>
      <c r="WW36" s="1005"/>
      <c r="WX36" s="1005"/>
      <c r="WY36" s="1005"/>
      <c r="WZ36" s="1005"/>
      <c r="XA36" s="1005"/>
      <c r="XB36" s="1005"/>
      <c r="XC36" s="1005"/>
      <c r="XD36" s="1005"/>
      <c r="XE36" s="1005"/>
      <c r="XF36" s="1005"/>
      <c r="XG36" s="1005"/>
      <c r="XH36" s="1005"/>
      <c r="XI36" s="1005"/>
      <c r="XJ36" s="1005"/>
      <c r="XK36" s="1005"/>
      <c r="XL36" s="1005"/>
      <c r="XM36" s="1005"/>
      <c r="XN36" s="1005"/>
      <c r="XO36" s="1005"/>
      <c r="XP36" s="1005"/>
      <c r="XQ36" s="1005"/>
      <c r="XR36" s="1005"/>
      <c r="XS36" s="1005"/>
      <c r="XT36" s="1005"/>
      <c r="XU36" s="1005"/>
      <c r="XV36" s="1005"/>
      <c r="XW36" s="1005"/>
      <c r="XX36" s="1005"/>
      <c r="XY36" s="1005"/>
      <c r="XZ36" s="1005"/>
      <c r="YA36" s="1005"/>
      <c r="YB36" s="1005"/>
      <c r="YC36" s="1005"/>
      <c r="YD36" s="1005"/>
      <c r="YE36" s="1005"/>
      <c r="YF36" s="1005"/>
      <c r="YG36" s="1005"/>
      <c r="YH36" s="1005"/>
      <c r="YI36" s="1005"/>
      <c r="YJ36" s="1005"/>
      <c r="YK36" s="1005"/>
      <c r="YL36" s="1005"/>
      <c r="YM36" s="1005"/>
      <c r="YN36" s="1005"/>
      <c r="YO36" s="1005"/>
      <c r="YP36" s="1005"/>
      <c r="YQ36" s="1005"/>
      <c r="YR36" s="1005"/>
      <c r="YS36" s="1005"/>
      <c r="YT36" s="1005"/>
      <c r="YU36" s="1005"/>
      <c r="YV36" s="1005"/>
      <c r="YW36" s="1005"/>
      <c r="YX36" s="1005"/>
      <c r="YY36" s="1005"/>
      <c r="YZ36" s="1005"/>
      <c r="ZA36" s="1005"/>
      <c r="ZB36" s="1005"/>
      <c r="ZC36" s="1005"/>
      <c r="ZD36" s="1005"/>
      <c r="ZE36" s="1005"/>
      <c r="ZF36" s="1005"/>
      <c r="ZG36" s="1005"/>
      <c r="ZH36" s="1005"/>
      <c r="ZI36" s="1005"/>
      <c r="ZJ36" s="1005"/>
      <c r="ZK36" s="1005"/>
      <c r="ZL36" s="1005"/>
      <c r="ZM36" s="1005"/>
      <c r="ZN36" s="1005"/>
      <c r="ZO36" s="1005"/>
      <c r="ZP36" s="1005"/>
      <c r="ZQ36" s="1005"/>
      <c r="ZR36" s="1005"/>
      <c r="ZS36" s="1005"/>
      <c r="ZT36" s="1005"/>
      <c r="ZU36" s="1005"/>
      <c r="ZV36" s="1005"/>
      <c r="ZW36" s="1005"/>
      <c r="ZX36" s="1005"/>
      <c r="ZY36" s="1005"/>
      <c r="ZZ36" s="1005"/>
      <c r="AAA36" s="1005"/>
      <c r="AAB36" s="1005"/>
      <c r="AAC36" s="1005"/>
      <c r="AAD36" s="1005"/>
      <c r="AAE36" s="1005"/>
      <c r="AAF36" s="1005"/>
      <c r="AAG36" s="1005"/>
      <c r="AAH36" s="1005"/>
      <c r="AAI36" s="1005"/>
      <c r="AAJ36" s="1005"/>
      <c r="AAK36" s="1005"/>
      <c r="AAL36" s="1005"/>
      <c r="AAM36" s="1005"/>
      <c r="AAN36" s="1005"/>
      <c r="AAO36" s="1005"/>
      <c r="AAP36" s="1005"/>
      <c r="AAQ36" s="1005"/>
      <c r="AAR36" s="1005"/>
      <c r="AAS36" s="1005"/>
      <c r="AAT36" s="1005"/>
      <c r="AAU36" s="1005"/>
      <c r="AAV36" s="1005"/>
      <c r="AAW36" s="1005"/>
      <c r="AAX36" s="1005"/>
      <c r="AAY36" s="1005"/>
      <c r="AAZ36" s="1005"/>
      <c r="ABA36" s="1005"/>
      <c r="ABB36" s="1005"/>
      <c r="ABC36" s="1005"/>
      <c r="ABD36" s="1005"/>
      <c r="ABE36" s="1005"/>
      <c r="ABF36" s="1005"/>
      <c r="ABG36" s="1005"/>
      <c r="ABH36" s="1005"/>
      <c r="ABI36" s="1005"/>
      <c r="ABJ36" s="1005"/>
      <c r="ABK36" s="1005"/>
      <c r="ABL36" s="1005"/>
      <c r="ABM36" s="1005"/>
      <c r="ABN36" s="1005"/>
      <c r="ABO36" s="1005"/>
      <c r="ABP36" s="1005"/>
      <c r="ABQ36" s="1005"/>
      <c r="ABR36" s="1005"/>
    </row>
    <row r="37" spans="1:746" s="94" customFormat="1" ht="12.9" customHeight="1" thickBot="1">
      <c r="A37" s="925"/>
      <c r="B37" s="3047" t="s">
        <v>767</v>
      </c>
      <c r="C37" s="3048"/>
      <c r="D37" s="346"/>
      <c r="E37" s="347" t="s">
        <v>1</v>
      </c>
      <c r="F37" s="1240"/>
      <c r="G37" s="347">
        <v>0.25</v>
      </c>
      <c r="H37" s="2349"/>
      <c r="I37" s="1966"/>
      <c r="J37" s="368"/>
      <c r="K37" s="368"/>
      <c r="L37" s="368"/>
      <c r="M37" s="368"/>
      <c r="N37" s="368"/>
      <c r="O37" s="368"/>
      <c r="P37" s="368"/>
      <c r="Q37" s="368"/>
      <c r="R37" s="368"/>
      <c r="S37" s="368"/>
      <c r="T37" s="368"/>
      <c r="U37" s="2192"/>
      <c r="V37" s="2192"/>
      <c r="W37" s="2192"/>
      <c r="X37" s="2192"/>
      <c r="Y37" s="2192"/>
      <c r="Z37" s="2192"/>
      <c r="AA37" s="2192"/>
      <c r="AB37" s="2192"/>
      <c r="AC37" s="2192"/>
      <c r="AD37" s="2192"/>
      <c r="AE37" s="2192"/>
      <c r="AF37" s="2192"/>
      <c r="AG37" s="2202"/>
      <c r="AH37" s="331"/>
      <c r="AI37" s="2225"/>
      <c r="AJ37" s="416">
        <f>IF(fx!$C$57=1,SUMIF(fx!I$57:T$57,1,I37:T37),IF(fx!$C$57=2,SUMIF(fx!O$57:AF$57,1,O37:AF37)))</f>
        <v>0</v>
      </c>
      <c r="AK37" s="328"/>
      <c r="AL37" s="422">
        <f>IF(fx!$C$57=1,SUM(U37:AF37),0)</f>
        <v>0</v>
      </c>
      <c r="AM37" s="1005"/>
      <c r="AN37" s="1011"/>
      <c r="AO37" s="1946"/>
      <c r="AP37" s="1935"/>
      <c r="AQ37" s="1936"/>
      <c r="AR37" s="1941"/>
      <c r="AS37" s="1941"/>
      <c r="AT37" s="1941"/>
      <c r="AU37" s="1941"/>
      <c r="AV37" s="1941"/>
      <c r="AW37" s="1941"/>
      <c r="AX37" s="1941"/>
      <c r="AY37" s="1941"/>
      <c r="AZ37" s="1941"/>
      <c r="BA37" s="1941"/>
      <c r="BB37" s="1941"/>
      <c r="BC37" s="1941"/>
      <c r="BD37" s="1941"/>
      <c r="BE37" s="1941"/>
      <c r="BF37" s="1941"/>
      <c r="BG37" s="1941"/>
      <c r="BH37" s="1941"/>
      <c r="BI37" s="1941"/>
      <c r="BJ37" s="1941"/>
      <c r="BK37" s="1941"/>
      <c r="BL37" s="1941"/>
      <c r="BM37" s="1941"/>
      <c r="BN37" s="1941"/>
      <c r="BO37" s="1941"/>
      <c r="BP37" s="1005"/>
      <c r="BQ37" s="1005"/>
      <c r="BR37" s="1005"/>
      <c r="BS37" s="1005"/>
      <c r="BT37" s="1005"/>
      <c r="BU37" s="1005"/>
      <c r="BV37" s="1005"/>
      <c r="BW37" s="1005"/>
      <c r="BX37" s="1005"/>
      <c r="BY37" s="1005"/>
      <c r="BZ37" s="1005"/>
      <c r="CA37" s="1005"/>
      <c r="CB37" s="1005"/>
      <c r="CC37" s="1005"/>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c r="EC37" s="1005"/>
      <c r="ED37" s="1005"/>
      <c r="EE37" s="1005"/>
      <c r="EF37" s="1005"/>
      <c r="EG37" s="1005"/>
      <c r="EH37" s="1005"/>
      <c r="EI37" s="1005"/>
      <c r="EJ37" s="1005"/>
      <c r="EK37" s="1005"/>
      <c r="EL37" s="1005"/>
      <c r="EM37" s="1005"/>
      <c r="EN37" s="1005"/>
      <c r="EO37" s="1005"/>
      <c r="EP37" s="1005"/>
      <c r="EQ37" s="1005"/>
      <c r="ER37" s="1005"/>
      <c r="ES37" s="1005"/>
      <c r="ET37" s="1005"/>
      <c r="EU37" s="1005"/>
      <c r="EV37" s="1005"/>
      <c r="EW37" s="1005"/>
      <c r="EX37" s="1005"/>
      <c r="EY37" s="1005"/>
      <c r="EZ37" s="1005"/>
      <c r="FA37" s="1005"/>
      <c r="FB37" s="1005"/>
      <c r="FC37" s="1005"/>
      <c r="FD37" s="1005"/>
      <c r="FE37" s="1005"/>
      <c r="FF37" s="1005"/>
      <c r="FG37" s="1005"/>
      <c r="FH37" s="1005"/>
      <c r="FI37" s="1005"/>
      <c r="FJ37" s="1005"/>
      <c r="FK37" s="1005"/>
      <c r="FL37" s="1005"/>
      <c r="FM37" s="1005"/>
      <c r="FN37" s="1005"/>
      <c r="FO37" s="1005"/>
      <c r="FP37" s="1005"/>
      <c r="FQ37" s="1005"/>
      <c r="FR37" s="1005"/>
      <c r="FS37" s="1005"/>
      <c r="FT37" s="1005"/>
      <c r="FU37" s="1005"/>
      <c r="FV37" s="1005"/>
      <c r="FW37" s="1005"/>
      <c r="FX37" s="1005"/>
      <c r="FY37" s="1005"/>
      <c r="FZ37" s="1005"/>
      <c r="GA37" s="1005"/>
      <c r="GB37" s="1005"/>
      <c r="GC37" s="1005"/>
      <c r="GD37" s="1005"/>
      <c r="GE37" s="1005"/>
      <c r="GF37" s="1005"/>
      <c r="GG37" s="1005"/>
      <c r="GH37" s="1005"/>
      <c r="GI37" s="1005"/>
      <c r="GJ37" s="1005"/>
      <c r="GK37" s="1005"/>
      <c r="GL37" s="1005"/>
      <c r="GM37" s="1005"/>
      <c r="GN37" s="1005"/>
      <c r="GO37" s="1005"/>
      <c r="GP37" s="1005"/>
      <c r="GQ37" s="1005"/>
      <c r="GR37" s="1005"/>
      <c r="GS37" s="1005"/>
      <c r="GT37" s="1005"/>
      <c r="GU37" s="1005"/>
      <c r="GV37" s="1005"/>
      <c r="GW37" s="1005"/>
      <c r="GX37" s="1005"/>
      <c r="GY37" s="1005"/>
      <c r="GZ37" s="1005"/>
      <c r="HA37" s="1005"/>
      <c r="HB37" s="1005"/>
      <c r="HC37" s="1005"/>
      <c r="HD37" s="1005"/>
      <c r="HE37" s="1005"/>
      <c r="HF37" s="1005"/>
      <c r="HG37" s="1005"/>
      <c r="HH37" s="1005"/>
      <c r="HI37" s="1005"/>
      <c r="HJ37" s="1005"/>
      <c r="HK37" s="1005"/>
      <c r="HL37" s="1005"/>
      <c r="HM37" s="1005"/>
      <c r="HN37" s="1005"/>
      <c r="HO37" s="1005"/>
      <c r="HP37" s="1005"/>
      <c r="HQ37" s="1005"/>
      <c r="HR37" s="1005"/>
      <c r="HS37" s="1005"/>
      <c r="HT37" s="1005"/>
      <c r="HU37" s="1005"/>
      <c r="HV37" s="1005"/>
      <c r="HW37" s="1005"/>
      <c r="HX37" s="1005"/>
      <c r="HY37" s="1005"/>
      <c r="HZ37" s="1005"/>
      <c r="IA37" s="1005"/>
      <c r="IB37" s="1005"/>
      <c r="IC37" s="1005"/>
      <c r="ID37" s="1005"/>
      <c r="IE37" s="1005"/>
      <c r="IF37" s="1005"/>
      <c r="IG37" s="1005"/>
      <c r="IH37" s="1005"/>
      <c r="II37" s="1005"/>
      <c r="IJ37" s="1005"/>
      <c r="IK37" s="1005"/>
      <c r="IL37" s="1005"/>
      <c r="IM37" s="1005"/>
      <c r="IN37" s="1005"/>
      <c r="IO37" s="1005"/>
      <c r="IP37" s="1005"/>
      <c r="IQ37" s="1005"/>
      <c r="IR37" s="1005"/>
      <c r="IS37" s="1005"/>
      <c r="IT37" s="1005"/>
      <c r="IU37" s="1005"/>
      <c r="IV37" s="1005"/>
      <c r="IW37" s="1005"/>
      <c r="IX37" s="1005"/>
      <c r="IY37" s="1005"/>
      <c r="IZ37" s="1005"/>
      <c r="JA37" s="1005"/>
      <c r="JB37" s="1005"/>
      <c r="JC37" s="1005"/>
      <c r="JD37" s="1005"/>
      <c r="JE37" s="1005"/>
      <c r="JF37" s="1005"/>
      <c r="JG37" s="1005"/>
      <c r="JH37" s="1005"/>
      <c r="JI37" s="1005"/>
      <c r="JJ37" s="1005"/>
      <c r="JK37" s="1005"/>
      <c r="JL37" s="1005"/>
      <c r="JM37" s="1005"/>
      <c r="JN37" s="1005"/>
      <c r="JO37" s="1005"/>
      <c r="JP37" s="1005"/>
      <c r="JQ37" s="1005"/>
      <c r="JR37" s="1005"/>
      <c r="JS37" s="1005"/>
      <c r="JT37" s="1005"/>
      <c r="JU37" s="1005"/>
      <c r="JV37" s="1005"/>
      <c r="JW37" s="1005"/>
      <c r="JX37" s="1005"/>
      <c r="JY37" s="1005"/>
      <c r="JZ37" s="1005"/>
      <c r="KA37" s="1005"/>
      <c r="KB37" s="1005"/>
      <c r="KC37" s="1005"/>
      <c r="KD37" s="1005"/>
      <c r="KE37" s="1005"/>
      <c r="KF37" s="1005"/>
      <c r="KG37" s="1005"/>
      <c r="KH37" s="1005"/>
      <c r="KI37" s="1005"/>
      <c r="KJ37" s="1005"/>
      <c r="KK37" s="1005"/>
      <c r="KL37" s="1005"/>
      <c r="KM37" s="1005"/>
      <c r="KN37" s="1005"/>
      <c r="KO37" s="1005"/>
      <c r="KP37" s="1005"/>
      <c r="KQ37" s="1005"/>
      <c r="KR37" s="1005"/>
      <c r="KS37" s="1005"/>
      <c r="KT37" s="1005"/>
      <c r="KU37" s="1005"/>
      <c r="KV37" s="1005"/>
      <c r="KW37" s="1005"/>
      <c r="KX37" s="1005"/>
      <c r="KY37" s="1005"/>
      <c r="KZ37" s="1005"/>
      <c r="LA37" s="1005"/>
      <c r="LB37" s="1005"/>
      <c r="LC37" s="1005"/>
      <c r="LD37" s="1005"/>
      <c r="LE37" s="1005"/>
      <c r="LF37" s="1005"/>
      <c r="LG37" s="1005"/>
      <c r="LH37" s="1005"/>
      <c r="LI37" s="1005"/>
      <c r="LJ37" s="1005"/>
      <c r="LK37" s="1005"/>
      <c r="LL37" s="1005"/>
      <c r="LM37" s="1005"/>
      <c r="LN37" s="1005"/>
      <c r="LO37" s="1005"/>
      <c r="LP37" s="1005"/>
      <c r="LQ37" s="1005"/>
      <c r="LR37" s="1005"/>
      <c r="LS37" s="1005"/>
      <c r="LT37" s="1005"/>
      <c r="LU37" s="1005"/>
      <c r="LV37" s="1005"/>
      <c r="LW37" s="1005"/>
      <c r="LX37" s="1005"/>
      <c r="LY37" s="1005"/>
      <c r="LZ37" s="1005"/>
      <c r="MA37" s="1005"/>
      <c r="MB37" s="1005"/>
      <c r="MC37" s="1005"/>
      <c r="MD37" s="1005"/>
      <c r="ME37" s="1005"/>
      <c r="MF37" s="1005"/>
      <c r="MG37" s="1005"/>
      <c r="MH37" s="1005"/>
      <c r="MI37" s="1005"/>
      <c r="MJ37" s="1005"/>
      <c r="MK37" s="1005"/>
      <c r="ML37" s="1005"/>
      <c r="MM37" s="1005"/>
      <c r="MN37" s="1005"/>
      <c r="MO37" s="1005"/>
      <c r="MP37" s="1005"/>
      <c r="MQ37" s="1005"/>
      <c r="MR37" s="1005"/>
      <c r="MS37" s="1005"/>
      <c r="MT37" s="1005"/>
      <c r="MU37" s="1005"/>
      <c r="MV37" s="1005"/>
      <c r="MW37" s="1005"/>
      <c r="MX37" s="1005"/>
      <c r="MY37" s="1005"/>
      <c r="MZ37" s="1005"/>
      <c r="NA37" s="1005"/>
      <c r="NB37" s="1005"/>
      <c r="NC37" s="1005"/>
      <c r="ND37" s="1005"/>
      <c r="NE37" s="1005"/>
      <c r="NF37" s="1005"/>
      <c r="NG37" s="1005"/>
      <c r="NH37" s="1005"/>
      <c r="NI37" s="1005"/>
      <c r="NJ37" s="1005"/>
      <c r="NK37" s="1005"/>
      <c r="NL37" s="1005"/>
      <c r="NM37" s="1005"/>
      <c r="NN37" s="1005"/>
      <c r="NO37" s="1005"/>
      <c r="NP37" s="1005"/>
      <c r="NQ37" s="1005"/>
      <c r="NR37" s="1005"/>
      <c r="NS37" s="1005"/>
      <c r="NT37" s="1005"/>
      <c r="NU37" s="1005"/>
      <c r="NV37" s="1005"/>
      <c r="NW37" s="1005"/>
      <c r="NX37" s="1005"/>
      <c r="NY37" s="1005"/>
      <c r="NZ37" s="1005"/>
      <c r="OA37" s="1005"/>
      <c r="OB37" s="1005"/>
      <c r="OC37" s="1005"/>
      <c r="OD37" s="1005"/>
      <c r="OE37" s="1005"/>
      <c r="OF37" s="1005"/>
      <c r="OG37" s="1005"/>
      <c r="OH37" s="1005"/>
      <c r="OI37" s="1005"/>
      <c r="OJ37" s="1005"/>
      <c r="OK37" s="1005"/>
      <c r="OL37" s="1005"/>
      <c r="OM37" s="1005"/>
      <c r="ON37" s="1005"/>
      <c r="OO37" s="1005"/>
      <c r="OP37" s="1005"/>
      <c r="OQ37" s="1005"/>
      <c r="OR37" s="1005"/>
      <c r="OS37" s="1005"/>
      <c r="OT37" s="1005"/>
      <c r="OU37" s="1005"/>
      <c r="OV37" s="1005"/>
      <c r="OW37" s="1005"/>
      <c r="OX37" s="1005"/>
      <c r="OY37" s="1005"/>
      <c r="OZ37" s="1005"/>
      <c r="PA37" s="1005"/>
      <c r="PB37" s="1005"/>
      <c r="PC37" s="1005"/>
      <c r="PD37" s="1005"/>
      <c r="PE37" s="1005"/>
      <c r="PF37" s="1005"/>
      <c r="PG37" s="1005"/>
      <c r="PH37" s="1005"/>
      <c r="PI37" s="1005"/>
      <c r="PJ37" s="1005"/>
      <c r="PK37" s="1005"/>
      <c r="PL37" s="1005"/>
      <c r="PM37" s="1005"/>
      <c r="PN37" s="1005"/>
      <c r="PO37" s="1005"/>
      <c r="PP37" s="1005"/>
      <c r="PQ37" s="1005"/>
      <c r="PR37" s="1005"/>
      <c r="PS37" s="1005"/>
      <c r="PT37" s="1005"/>
      <c r="PU37" s="1005"/>
      <c r="PV37" s="1005"/>
      <c r="PW37" s="1005"/>
      <c r="PX37" s="1005"/>
      <c r="PY37" s="1005"/>
      <c r="PZ37" s="1005"/>
      <c r="QA37" s="1005"/>
      <c r="QB37" s="1005"/>
      <c r="QC37" s="1005"/>
      <c r="QD37" s="1005"/>
      <c r="QE37" s="1005"/>
      <c r="QF37" s="1005"/>
      <c r="QG37" s="1005"/>
      <c r="QH37" s="1005"/>
      <c r="QI37" s="1005"/>
      <c r="QJ37" s="1005"/>
      <c r="QK37" s="1005"/>
      <c r="QL37" s="1005"/>
      <c r="QM37" s="1005"/>
      <c r="QN37" s="1005"/>
      <c r="QO37" s="1005"/>
      <c r="QP37" s="1005"/>
      <c r="QQ37" s="1005"/>
      <c r="QR37" s="1005"/>
      <c r="QS37" s="1005"/>
      <c r="QT37" s="1005"/>
      <c r="QU37" s="1005"/>
      <c r="QV37" s="1005"/>
      <c r="QW37" s="1005"/>
      <c r="QX37" s="1005"/>
      <c r="QY37" s="1005"/>
      <c r="QZ37" s="1005"/>
      <c r="RA37" s="1005"/>
      <c r="RB37" s="1005"/>
      <c r="RC37" s="1005"/>
      <c r="RD37" s="1005"/>
      <c r="RE37" s="1005"/>
      <c r="RF37" s="1005"/>
      <c r="RG37" s="1005"/>
      <c r="RH37" s="1005"/>
      <c r="RI37" s="1005"/>
      <c r="RJ37" s="1005"/>
      <c r="RK37" s="1005"/>
      <c r="RL37" s="1005"/>
      <c r="RM37" s="1005"/>
      <c r="RN37" s="1005"/>
      <c r="RO37" s="1005"/>
      <c r="RP37" s="1005"/>
      <c r="RQ37" s="1005"/>
      <c r="RR37" s="1005"/>
      <c r="RS37" s="1005"/>
      <c r="RT37" s="1005"/>
      <c r="RU37" s="1005"/>
      <c r="RV37" s="1005"/>
      <c r="RW37" s="1005"/>
      <c r="RX37" s="1005"/>
      <c r="RY37" s="1005"/>
      <c r="RZ37" s="1005"/>
      <c r="SA37" s="1005"/>
      <c r="SB37" s="1005"/>
      <c r="SC37" s="1005"/>
      <c r="SD37" s="1005"/>
      <c r="SE37" s="1005"/>
      <c r="SF37" s="1005"/>
      <c r="SG37" s="1005"/>
      <c r="SH37" s="1005"/>
      <c r="SI37" s="1005"/>
      <c r="SJ37" s="1005"/>
      <c r="SK37" s="1005"/>
      <c r="SL37" s="1005"/>
      <c r="SM37" s="1005"/>
      <c r="SN37" s="1005"/>
      <c r="SO37" s="1005"/>
      <c r="SP37" s="1005"/>
      <c r="SQ37" s="1005"/>
      <c r="SR37" s="1005"/>
      <c r="SS37" s="1005"/>
      <c r="ST37" s="1005"/>
      <c r="SU37" s="1005"/>
      <c r="SV37" s="1005"/>
      <c r="SW37" s="1005"/>
      <c r="SX37" s="1005"/>
      <c r="SY37" s="1005"/>
      <c r="SZ37" s="1005"/>
      <c r="TA37" s="1005"/>
      <c r="TB37" s="1005"/>
      <c r="TC37" s="1005"/>
      <c r="TD37" s="1005"/>
      <c r="TE37" s="1005"/>
      <c r="TF37" s="1005"/>
      <c r="TG37" s="1005"/>
      <c r="TH37" s="1005"/>
      <c r="TI37" s="1005"/>
      <c r="TJ37" s="1005"/>
      <c r="TK37" s="1005"/>
      <c r="TL37" s="1005"/>
      <c r="TM37" s="1005"/>
      <c r="TN37" s="1005"/>
      <c r="TO37" s="1005"/>
      <c r="TP37" s="1005"/>
      <c r="TQ37" s="1005"/>
      <c r="TR37" s="1005"/>
      <c r="TS37" s="1005"/>
      <c r="TT37" s="1005"/>
      <c r="TU37" s="1005"/>
      <c r="TV37" s="1005"/>
      <c r="TW37" s="1005"/>
      <c r="TX37" s="1005"/>
      <c r="TY37" s="1005"/>
      <c r="TZ37" s="1005"/>
      <c r="UA37" s="1005"/>
      <c r="UB37" s="1005"/>
      <c r="UC37" s="1005"/>
      <c r="UD37" s="1005"/>
      <c r="UE37" s="1005"/>
      <c r="UF37" s="1005"/>
      <c r="UG37" s="1005"/>
      <c r="UH37" s="1005"/>
      <c r="UI37" s="1005"/>
      <c r="UJ37" s="1005"/>
      <c r="UK37" s="1005"/>
      <c r="UL37" s="1005"/>
      <c r="UM37" s="1005"/>
      <c r="UN37" s="1005"/>
      <c r="UO37" s="1005"/>
      <c r="UP37" s="1005"/>
      <c r="UQ37" s="1005"/>
      <c r="UR37" s="1005"/>
      <c r="US37" s="1005"/>
      <c r="UT37" s="1005"/>
      <c r="UU37" s="1005"/>
      <c r="UV37" s="1005"/>
      <c r="UW37" s="1005"/>
      <c r="UX37" s="1005"/>
      <c r="UY37" s="1005"/>
      <c r="UZ37" s="1005"/>
      <c r="VA37" s="1005"/>
      <c r="VB37" s="1005"/>
      <c r="VC37" s="1005"/>
      <c r="VD37" s="1005"/>
      <c r="VE37" s="1005"/>
      <c r="VF37" s="1005"/>
      <c r="VG37" s="1005"/>
      <c r="VH37" s="1005"/>
      <c r="VI37" s="1005"/>
      <c r="VJ37" s="1005"/>
      <c r="VK37" s="1005"/>
      <c r="VL37" s="1005"/>
      <c r="VM37" s="1005"/>
      <c r="VN37" s="1005"/>
      <c r="VO37" s="1005"/>
      <c r="VP37" s="1005"/>
      <c r="VQ37" s="1005"/>
      <c r="VR37" s="1005"/>
      <c r="VS37" s="1005"/>
      <c r="VT37" s="1005"/>
      <c r="VU37" s="1005"/>
      <c r="VV37" s="1005"/>
      <c r="VW37" s="1005"/>
      <c r="VX37" s="1005"/>
      <c r="VY37" s="1005"/>
      <c r="VZ37" s="1005"/>
      <c r="WA37" s="1005"/>
      <c r="WB37" s="1005"/>
      <c r="WC37" s="1005"/>
      <c r="WD37" s="1005"/>
      <c r="WE37" s="1005"/>
      <c r="WF37" s="1005"/>
      <c r="WG37" s="1005"/>
      <c r="WH37" s="1005"/>
      <c r="WI37" s="1005"/>
      <c r="WJ37" s="1005"/>
      <c r="WK37" s="1005"/>
      <c r="WL37" s="1005"/>
      <c r="WM37" s="1005"/>
      <c r="WN37" s="1005"/>
      <c r="WO37" s="1005"/>
      <c r="WP37" s="1005"/>
      <c r="WQ37" s="1005"/>
      <c r="WR37" s="1005"/>
      <c r="WS37" s="1005"/>
      <c r="WT37" s="1005"/>
      <c r="WU37" s="1005"/>
      <c r="WV37" s="1005"/>
      <c r="WW37" s="1005"/>
      <c r="WX37" s="1005"/>
      <c r="WY37" s="1005"/>
      <c r="WZ37" s="1005"/>
      <c r="XA37" s="1005"/>
      <c r="XB37" s="1005"/>
      <c r="XC37" s="1005"/>
      <c r="XD37" s="1005"/>
      <c r="XE37" s="1005"/>
      <c r="XF37" s="1005"/>
      <c r="XG37" s="1005"/>
      <c r="XH37" s="1005"/>
      <c r="XI37" s="1005"/>
      <c r="XJ37" s="1005"/>
      <c r="XK37" s="1005"/>
      <c r="XL37" s="1005"/>
      <c r="XM37" s="1005"/>
      <c r="XN37" s="1005"/>
      <c r="XO37" s="1005"/>
      <c r="XP37" s="1005"/>
      <c r="XQ37" s="1005"/>
      <c r="XR37" s="1005"/>
      <c r="XS37" s="1005"/>
      <c r="XT37" s="1005"/>
      <c r="XU37" s="1005"/>
      <c r="XV37" s="1005"/>
      <c r="XW37" s="1005"/>
      <c r="XX37" s="1005"/>
      <c r="XY37" s="1005"/>
      <c r="XZ37" s="1005"/>
      <c r="YA37" s="1005"/>
      <c r="YB37" s="1005"/>
      <c r="YC37" s="1005"/>
      <c r="YD37" s="1005"/>
      <c r="YE37" s="1005"/>
      <c r="YF37" s="1005"/>
      <c r="YG37" s="1005"/>
      <c r="YH37" s="1005"/>
      <c r="YI37" s="1005"/>
      <c r="YJ37" s="1005"/>
      <c r="YK37" s="1005"/>
      <c r="YL37" s="1005"/>
      <c r="YM37" s="1005"/>
      <c r="YN37" s="1005"/>
      <c r="YO37" s="1005"/>
      <c r="YP37" s="1005"/>
      <c r="YQ37" s="1005"/>
      <c r="YR37" s="1005"/>
      <c r="YS37" s="1005"/>
      <c r="YT37" s="1005"/>
      <c r="YU37" s="1005"/>
      <c r="YV37" s="1005"/>
      <c r="YW37" s="1005"/>
      <c r="YX37" s="1005"/>
      <c r="YY37" s="1005"/>
      <c r="YZ37" s="1005"/>
      <c r="ZA37" s="1005"/>
      <c r="ZB37" s="1005"/>
      <c r="ZC37" s="1005"/>
      <c r="ZD37" s="1005"/>
      <c r="ZE37" s="1005"/>
      <c r="ZF37" s="1005"/>
      <c r="ZG37" s="1005"/>
      <c r="ZH37" s="1005"/>
      <c r="ZI37" s="1005"/>
      <c r="ZJ37" s="1005"/>
      <c r="ZK37" s="1005"/>
      <c r="ZL37" s="1005"/>
      <c r="ZM37" s="1005"/>
      <c r="ZN37" s="1005"/>
      <c r="ZO37" s="1005"/>
      <c r="ZP37" s="1005"/>
      <c r="ZQ37" s="1005"/>
      <c r="ZR37" s="1005"/>
      <c r="ZS37" s="1005"/>
      <c r="ZT37" s="1005"/>
      <c r="ZU37" s="1005"/>
      <c r="ZV37" s="1005"/>
      <c r="ZW37" s="1005"/>
      <c r="ZX37" s="1005"/>
      <c r="ZY37" s="1005"/>
      <c r="ZZ37" s="1005"/>
      <c r="AAA37" s="1005"/>
      <c r="AAB37" s="1005"/>
      <c r="AAC37" s="1005"/>
      <c r="AAD37" s="1005"/>
      <c r="AAE37" s="1005"/>
      <c r="AAF37" s="1005"/>
      <c r="AAG37" s="1005"/>
      <c r="AAH37" s="1005"/>
      <c r="AAI37" s="1005"/>
      <c r="AAJ37" s="1005"/>
      <c r="AAK37" s="1005"/>
      <c r="AAL37" s="1005"/>
      <c r="AAM37" s="1005"/>
      <c r="AAN37" s="1005"/>
      <c r="AAO37" s="1005"/>
      <c r="AAP37" s="1005"/>
      <c r="AAQ37" s="1005"/>
      <c r="AAR37" s="1005"/>
      <c r="AAS37" s="1005"/>
      <c r="AAT37" s="1005"/>
      <c r="AAU37" s="1005"/>
      <c r="AAV37" s="1005"/>
      <c r="AAW37" s="1005"/>
      <c r="AAX37" s="1005"/>
      <c r="AAY37" s="1005"/>
      <c r="AAZ37" s="1005"/>
      <c r="ABA37" s="1005"/>
      <c r="ABB37" s="1005"/>
      <c r="ABC37" s="1005"/>
      <c r="ABD37" s="1005"/>
      <c r="ABE37" s="1005"/>
      <c r="ABF37" s="1005"/>
      <c r="ABG37" s="1005"/>
      <c r="ABH37" s="1005"/>
      <c r="ABI37" s="1005"/>
      <c r="ABJ37" s="1005"/>
      <c r="ABK37" s="1005"/>
      <c r="ABL37" s="1005"/>
      <c r="ABM37" s="1005"/>
      <c r="ABN37" s="1005"/>
      <c r="ABO37" s="1005"/>
      <c r="ABP37" s="1005"/>
      <c r="ABQ37" s="1005"/>
      <c r="ABR37" s="1005"/>
    </row>
    <row r="38" spans="1:746" s="94" customFormat="1" ht="12.9" customHeight="1" thickBot="1">
      <c r="A38" s="925"/>
      <c r="B38" s="2957" t="s">
        <v>768</v>
      </c>
      <c r="C38" s="2958"/>
      <c r="D38" s="346"/>
      <c r="E38" s="347" t="s">
        <v>1</v>
      </c>
      <c r="F38" s="1240"/>
      <c r="G38" s="347">
        <v>0.25</v>
      </c>
      <c r="H38" s="2349"/>
      <c r="I38" s="1966"/>
      <c r="J38" s="368"/>
      <c r="K38" s="368"/>
      <c r="L38" s="368"/>
      <c r="M38" s="368"/>
      <c r="N38" s="368"/>
      <c r="O38" s="368"/>
      <c r="P38" s="368"/>
      <c r="Q38" s="368"/>
      <c r="R38" s="368"/>
      <c r="S38" s="368"/>
      <c r="T38" s="368"/>
      <c r="U38" s="2192"/>
      <c r="V38" s="2192"/>
      <c r="W38" s="2192"/>
      <c r="X38" s="2192"/>
      <c r="Y38" s="2192"/>
      <c r="Z38" s="2192"/>
      <c r="AA38" s="2192"/>
      <c r="AB38" s="2192"/>
      <c r="AC38" s="2192"/>
      <c r="AD38" s="2192"/>
      <c r="AE38" s="2192"/>
      <c r="AF38" s="2192"/>
      <c r="AG38" s="2202"/>
      <c r="AH38" s="331"/>
      <c r="AI38" s="2225"/>
      <c r="AJ38" s="416">
        <f>IF(fx!$C$57=1,SUMIF(fx!I$57:T$57,1,I38:T38),IF(fx!$C$57=2,SUMIF(fx!O$57:AF$57,1,O38:AF38)))</f>
        <v>0</v>
      </c>
      <c r="AK38" s="328"/>
      <c r="AL38" s="422">
        <f>IF(fx!$C$57=1,SUM(U38:AF38),0)</f>
        <v>0</v>
      </c>
      <c r="AM38" s="1005"/>
      <c r="AN38" s="1011"/>
      <c r="AO38" s="1946"/>
      <c r="AP38" s="1935"/>
      <c r="AQ38" s="1936"/>
      <c r="AR38" s="1941"/>
      <c r="AS38" s="1941"/>
      <c r="AT38" s="1941"/>
      <c r="AU38" s="1941"/>
      <c r="AV38" s="1941"/>
      <c r="AW38" s="1941"/>
      <c r="AX38" s="1941"/>
      <c r="AY38" s="1941"/>
      <c r="AZ38" s="1941"/>
      <c r="BA38" s="1941"/>
      <c r="BB38" s="1941"/>
      <c r="BC38" s="1941"/>
      <c r="BD38" s="1941"/>
      <c r="BE38" s="1941"/>
      <c r="BF38" s="1941"/>
      <c r="BG38" s="1941"/>
      <c r="BH38" s="1941"/>
      <c r="BI38" s="1941"/>
      <c r="BJ38" s="1941"/>
      <c r="BK38" s="1941"/>
      <c r="BL38" s="1941"/>
      <c r="BM38" s="1941"/>
      <c r="BN38" s="1941"/>
      <c r="BO38" s="1941"/>
      <c r="BP38" s="1005"/>
      <c r="BQ38" s="1005"/>
      <c r="BR38" s="1005"/>
      <c r="BS38" s="1005"/>
      <c r="BT38" s="1005"/>
      <c r="BU38" s="1005"/>
      <c r="BV38" s="1005"/>
      <c r="BW38" s="1005"/>
      <c r="BX38" s="1005"/>
      <c r="BY38" s="1005"/>
      <c r="BZ38" s="1005"/>
      <c r="CA38" s="1005"/>
      <c r="CB38" s="1005"/>
      <c r="CC38" s="1005"/>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c r="EC38" s="1005"/>
      <c r="ED38" s="1005"/>
      <c r="EE38" s="1005"/>
      <c r="EF38" s="1005"/>
      <c r="EG38" s="1005"/>
      <c r="EH38" s="1005"/>
      <c r="EI38" s="1005"/>
      <c r="EJ38" s="1005"/>
      <c r="EK38" s="1005"/>
      <c r="EL38" s="1005"/>
      <c r="EM38" s="1005"/>
      <c r="EN38" s="1005"/>
      <c r="EO38" s="1005"/>
      <c r="EP38" s="1005"/>
      <c r="EQ38" s="1005"/>
      <c r="ER38" s="1005"/>
      <c r="ES38" s="1005"/>
      <c r="ET38" s="1005"/>
      <c r="EU38" s="1005"/>
      <c r="EV38" s="1005"/>
      <c r="EW38" s="1005"/>
      <c r="EX38" s="1005"/>
      <c r="EY38" s="1005"/>
      <c r="EZ38" s="1005"/>
      <c r="FA38" s="1005"/>
      <c r="FB38" s="1005"/>
      <c r="FC38" s="1005"/>
      <c r="FD38" s="1005"/>
      <c r="FE38" s="1005"/>
      <c r="FF38" s="1005"/>
      <c r="FG38" s="1005"/>
      <c r="FH38" s="1005"/>
      <c r="FI38" s="1005"/>
      <c r="FJ38" s="1005"/>
      <c r="FK38" s="1005"/>
      <c r="FL38" s="1005"/>
      <c r="FM38" s="1005"/>
      <c r="FN38" s="1005"/>
      <c r="FO38" s="1005"/>
      <c r="FP38" s="1005"/>
      <c r="FQ38" s="1005"/>
      <c r="FR38" s="1005"/>
      <c r="FS38" s="1005"/>
      <c r="FT38" s="1005"/>
      <c r="FU38" s="1005"/>
      <c r="FV38" s="1005"/>
      <c r="FW38" s="1005"/>
      <c r="FX38" s="1005"/>
      <c r="FY38" s="1005"/>
      <c r="FZ38" s="1005"/>
      <c r="GA38" s="1005"/>
      <c r="GB38" s="1005"/>
      <c r="GC38" s="1005"/>
      <c r="GD38" s="1005"/>
      <c r="GE38" s="1005"/>
      <c r="GF38" s="1005"/>
      <c r="GG38" s="1005"/>
      <c r="GH38" s="1005"/>
      <c r="GI38" s="1005"/>
      <c r="GJ38" s="1005"/>
      <c r="GK38" s="1005"/>
      <c r="GL38" s="1005"/>
      <c r="GM38" s="1005"/>
      <c r="GN38" s="1005"/>
      <c r="GO38" s="1005"/>
      <c r="GP38" s="1005"/>
      <c r="GQ38" s="1005"/>
      <c r="GR38" s="1005"/>
      <c r="GS38" s="1005"/>
      <c r="GT38" s="1005"/>
      <c r="GU38" s="1005"/>
      <c r="GV38" s="1005"/>
      <c r="GW38" s="1005"/>
      <c r="GX38" s="1005"/>
      <c r="GY38" s="1005"/>
      <c r="GZ38" s="1005"/>
      <c r="HA38" s="1005"/>
      <c r="HB38" s="1005"/>
      <c r="HC38" s="1005"/>
      <c r="HD38" s="1005"/>
      <c r="HE38" s="1005"/>
      <c r="HF38" s="1005"/>
      <c r="HG38" s="1005"/>
      <c r="HH38" s="1005"/>
      <c r="HI38" s="1005"/>
      <c r="HJ38" s="1005"/>
      <c r="HK38" s="1005"/>
      <c r="HL38" s="1005"/>
      <c r="HM38" s="1005"/>
      <c r="HN38" s="1005"/>
      <c r="HO38" s="1005"/>
      <c r="HP38" s="1005"/>
      <c r="HQ38" s="1005"/>
      <c r="HR38" s="1005"/>
      <c r="HS38" s="1005"/>
      <c r="HT38" s="1005"/>
      <c r="HU38" s="1005"/>
      <c r="HV38" s="1005"/>
      <c r="HW38" s="1005"/>
      <c r="HX38" s="1005"/>
      <c r="HY38" s="1005"/>
      <c r="HZ38" s="1005"/>
      <c r="IA38" s="1005"/>
      <c r="IB38" s="1005"/>
      <c r="IC38" s="1005"/>
      <c r="ID38" s="1005"/>
      <c r="IE38" s="1005"/>
      <c r="IF38" s="1005"/>
      <c r="IG38" s="1005"/>
      <c r="IH38" s="1005"/>
      <c r="II38" s="1005"/>
      <c r="IJ38" s="1005"/>
      <c r="IK38" s="1005"/>
      <c r="IL38" s="1005"/>
      <c r="IM38" s="1005"/>
      <c r="IN38" s="1005"/>
      <c r="IO38" s="1005"/>
      <c r="IP38" s="1005"/>
      <c r="IQ38" s="1005"/>
      <c r="IR38" s="1005"/>
      <c r="IS38" s="1005"/>
      <c r="IT38" s="1005"/>
      <c r="IU38" s="1005"/>
      <c r="IV38" s="1005"/>
      <c r="IW38" s="1005"/>
      <c r="IX38" s="1005"/>
      <c r="IY38" s="1005"/>
      <c r="IZ38" s="1005"/>
      <c r="JA38" s="1005"/>
      <c r="JB38" s="1005"/>
      <c r="JC38" s="1005"/>
      <c r="JD38" s="1005"/>
      <c r="JE38" s="1005"/>
      <c r="JF38" s="1005"/>
      <c r="JG38" s="1005"/>
      <c r="JH38" s="1005"/>
      <c r="JI38" s="1005"/>
      <c r="JJ38" s="1005"/>
      <c r="JK38" s="1005"/>
      <c r="JL38" s="1005"/>
      <c r="JM38" s="1005"/>
      <c r="JN38" s="1005"/>
      <c r="JO38" s="1005"/>
      <c r="JP38" s="1005"/>
      <c r="JQ38" s="1005"/>
      <c r="JR38" s="1005"/>
      <c r="JS38" s="1005"/>
      <c r="JT38" s="1005"/>
      <c r="JU38" s="1005"/>
      <c r="JV38" s="1005"/>
      <c r="JW38" s="1005"/>
      <c r="JX38" s="1005"/>
      <c r="JY38" s="1005"/>
      <c r="JZ38" s="1005"/>
      <c r="KA38" s="1005"/>
      <c r="KB38" s="1005"/>
      <c r="KC38" s="1005"/>
      <c r="KD38" s="1005"/>
      <c r="KE38" s="1005"/>
      <c r="KF38" s="1005"/>
      <c r="KG38" s="1005"/>
      <c r="KH38" s="1005"/>
      <c r="KI38" s="1005"/>
      <c r="KJ38" s="1005"/>
      <c r="KK38" s="1005"/>
      <c r="KL38" s="1005"/>
      <c r="KM38" s="1005"/>
      <c r="KN38" s="1005"/>
      <c r="KO38" s="1005"/>
      <c r="KP38" s="1005"/>
      <c r="KQ38" s="1005"/>
      <c r="KR38" s="1005"/>
      <c r="KS38" s="1005"/>
      <c r="KT38" s="1005"/>
      <c r="KU38" s="1005"/>
      <c r="KV38" s="1005"/>
      <c r="KW38" s="1005"/>
      <c r="KX38" s="1005"/>
      <c r="KY38" s="1005"/>
      <c r="KZ38" s="1005"/>
      <c r="LA38" s="1005"/>
      <c r="LB38" s="1005"/>
      <c r="LC38" s="1005"/>
      <c r="LD38" s="1005"/>
      <c r="LE38" s="1005"/>
      <c r="LF38" s="1005"/>
      <c r="LG38" s="1005"/>
      <c r="LH38" s="1005"/>
      <c r="LI38" s="1005"/>
      <c r="LJ38" s="1005"/>
      <c r="LK38" s="1005"/>
      <c r="LL38" s="1005"/>
      <c r="LM38" s="1005"/>
      <c r="LN38" s="1005"/>
      <c r="LO38" s="1005"/>
      <c r="LP38" s="1005"/>
      <c r="LQ38" s="1005"/>
      <c r="LR38" s="1005"/>
      <c r="LS38" s="1005"/>
      <c r="LT38" s="1005"/>
      <c r="LU38" s="1005"/>
      <c r="LV38" s="1005"/>
      <c r="LW38" s="1005"/>
      <c r="LX38" s="1005"/>
      <c r="LY38" s="1005"/>
      <c r="LZ38" s="1005"/>
      <c r="MA38" s="1005"/>
      <c r="MB38" s="1005"/>
      <c r="MC38" s="1005"/>
      <c r="MD38" s="1005"/>
      <c r="ME38" s="1005"/>
      <c r="MF38" s="1005"/>
      <c r="MG38" s="1005"/>
      <c r="MH38" s="1005"/>
      <c r="MI38" s="1005"/>
      <c r="MJ38" s="1005"/>
      <c r="MK38" s="1005"/>
      <c r="ML38" s="1005"/>
      <c r="MM38" s="1005"/>
      <c r="MN38" s="1005"/>
      <c r="MO38" s="1005"/>
      <c r="MP38" s="1005"/>
      <c r="MQ38" s="1005"/>
      <c r="MR38" s="1005"/>
      <c r="MS38" s="1005"/>
      <c r="MT38" s="1005"/>
      <c r="MU38" s="1005"/>
      <c r="MV38" s="1005"/>
      <c r="MW38" s="1005"/>
      <c r="MX38" s="1005"/>
      <c r="MY38" s="1005"/>
      <c r="MZ38" s="1005"/>
      <c r="NA38" s="1005"/>
      <c r="NB38" s="1005"/>
      <c r="NC38" s="1005"/>
      <c r="ND38" s="1005"/>
      <c r="NE38" s="1005"/>
      <c r="NF38" s="1005"/>
      <c r="NG38" s="1005"/>
      <c r="NH38" s="1005"/>
      <c r="NI38" s="1005"/>
      <c r="NJ38" s="1005"/>
      <c r="NK38" s="1005"/>
      <c r="NL38" s="1005"/>
      <c r="NM38" s="1005"/>
      <c r="NN38" s="1005"/>
      <c r="NO38" s="1005"/>
      <c r="NP38" s="1005"/>
      <c r="NQ38" s="1005"/>
      <c r="NR38" s="1005"/>
      <c r="NS38" s="1005"/>
      <c r="NT38" s="1005"/>
      <c r="NU38" s="1005"/>
      <c r="NV38" s="1005"/>
      <c r="NW38" s="1005"/>
      <c r="NX38" s="1005"/>
      <c r="NY38" s="1005"/>
      <c r="NZ38" s="1005"/>
      <c r="OA38" s="1005"/>
      <c r="OB38" s="1005"/>
      <c r="OC38" s="1005"/>
      <c r="OD38" s="1005"/>
      <c r="OE38" s="1005"/>
      <c r="OF38" s="1005"/>
      <c r="OG38" s="1005"/>
      <c r="OH38" s="1005"/>
      <c r="OI38" s="1005"/>
      <c r="OJ38" s="1005"/>
      <c r="OK38" s="1005"/>
      <c r="OL38" s="1005"/>
      <c r="OM38" s="1005"/>
      <c r="ON38" s="1005"/>
      <c r="OO38" s="1005"/>
      <c r="OP38" s="1005"/>
      <c r="OQ38" s="1005"/>
      <c r="OR38" s="1005"/>
      <c r="OS38" s="1005"/>
      <c r="OT38" s="1005"/>
      <c r="OU38" s="1005"/>
      <c r="OV38" s="1005"/>
      <c r="OW38" s="1005"/>
      <c r="OX38" s="1005"/>
      <c r="OY38" s="1005"/>
      <c r="OZ38" s="1005"/>
      <c r="PA38" s="1005"/>
      <c r="PB38" s="1005"/>
      <c r="PC38" s="1005"/>
      <c r="PD38" s="1005"/>
      <c r="PE38" s="1005"/>
      <c r="PF38" s="1005"/>
      <c r="PG38" s="1005"/>
      <c r="PH38" s="1005"/>
      <c r="PI38" s="1005"/>
      <c r="PJ38" s="1005"/>
      <c r="PK38" s="1005"/>
      <c r="PL38" s="1005"/>
      <c r="PM38" s="1005"/>
      <c r="PN38" s="1005"/>
      <c r="PO38" s="1005"/>
      <c r="PP38" s="1005"/>
      <c r="PQ38" s="1005"/>
      <c r="PR38" s="1005"/>
      <c r="PS38" s="1005"/>
      <c r="PT38" s="1005"/>
      <c r="PU38" s="1005"/>
      <c r="PV38" s="1005"/>
      <c r="PW38" s="1005"/>
      <c r="PX38" s="1005"/>
      <c r="PY38" s="1005"/>
      <c r="PZ38" s="1005"/>
      <c r="QA38" s="1005"/>
      <c r="QB38" s="1005"/>
      <c r="QC38" s="1005"/>
      <c r="QD38" s="1005"/>
      <c r="QE38" s="1005"/>
      <c r="QF38" s="1005"/>
      <c r="QG38" s="1005"/>
      <c r="QH38" s="1005"/>
      <c r="QI38" s="1005"/>
      <c r="QJ38" s="1005"/>
      <c r="QK38" s="1005"/>
      <c r="QL38" s="1005"/>
      <c r="QM38" s="1005"/>
      <c r="QN38" s="1005"/>
      <c r="QO38" s="1005"/>
      <c r="QP38" s="1005"/>
      <c r="QQ38" s="1005"/>
      <c r="QR38" s="1005"/>
      <c r="QS38" s="1005"/>
      <c r="QT38" s="1005"/>
      <c r="QU38" s="1005"/>
      <c r="QV38" s="1005"/>
      <c r="QW38" s="1005"/>
      <c r="QX38" s="1005"/>
      <c r="QY38" s="1005"/>
      <c r="QZ38" s="1005"/>
      <c r="RA38" s="1005"/>
      <c r="RB38" s="1005"/>
      <c r="RC38" s="1005"/>
      <c r="RD38" s="1005"/>
      <c r="RE38" s="1005"/>
      <c r="RF38" s="1005"/>
      <c r="RG38" s="1005"/>
      <c r="RH38" s="1005"/>
      <c r="RI38" s="1005"/>
      <c r="RJ38" s="1005"/>
      <c r="RK38" s="1005"/>
      <c r="RL38" s="1005"/>
      <c r="RM38" s="1005"/>
      <c r="RN38" s="1005"/>
      <c r="RO38" s="1005"/>
      <c r="RP38" s="1005"/>
      <c r="RQ38" s="1005"/>
      <c r="RR38" s="1005"/>
      <c r="RS38" s="1005"/>
      <c r="RT38" s="1005"/>
      <c r="RU38" s="1005"/>
      <c r="RV38" s="1005"/>
      <c r="RW38" s="1005"/>
      <c r="RX38" s="1005"/>
      <c r="RY38" s="1005"/>
      <c r="RZ38" s="1005"/>
      <c r="SA38" s="1005"/>
      <c r="SB38" s="1005"/>
      <c r="SC38" s="1005"/>
      <c r="SD38" s="1005"/>
      <c r="SE38" s="1005"/>
      <c r="SF38" s="1005"/>
      <c r="SG38" s="1005"/>
      <c r="SH38" s="1005"/>
      <c r="SI38" s="1005"/>
      <c r="SJ38" s="1005"/>
      <c r="SK38" s="1005"/>
      <c r="SL38" s="1005"/>
      <c r="SM38" s="1005"/>
      <c r="SN38" s="1005"/>
      <c r="SO38" s="1005"/>
      <c r="SP38" s="1005"/>
      <c r="SQ38" s="1005"/>
      <c r="SR38" s="1005"/>
      <c r="SS38" s="1005"/>
      <c r="ST38" s="1005"/>
      <c r="SU38" s="1005"/>
      <c r="SV38" s="1005"/>
      <c r="SW38" s="1005"/>
      <c r="SX38" s="1005"/>
      <c r="SY38" s="1005"/>
      <c r="SZ38" s="1005"/>
      <c r="TA38" s="1005"/>
      <c r="TB38" s="1005"/>
      <c r="TC38" s="1005"/>
      <c r="TD38" s="1005"/>
      <c r="TE38" s="1005"/>
      <c r="TF38" s="1005"/>
      <c r="TG38" s="1005"/>
      <c r="TH38" s="1005"/>
      <c r="TI38" s="1005"/>
      <c r="TJ38" s="1005"/>
      <c r="TK38" s="1005"/>
      <c r="TL38" s="1005"/>
      <c r="TM38" s="1005"/>
      <c r="TN38" s="1005"/>
      <c r="TO38" s="1005"/>
      <c r="TP38" s="1005"/>
      <c r="TQ38" s="1005"/>
      <c r="TR38" s="1005"/>
      <c r="TS38" s="1005"/>
      <c r="TT38" s="1005"/>
      <c r="TU38" s="1005"/>
      <c r="TV38" s="1005"/>
      <c r="TW38" s="1005"/>
      <c r="TX38" s="1005"/>
      <c r="TY38" s="1005"/>
      <c r="TZ38" s="1005"/>
      <c r="UA38" s="1005"/>
      <c r="UB38" s="1005"/>
      <c r="UC38" s="1005"/>
      <c r="UD38" s="1005"/>
      <c r="UE38" s="1005"/>
      <c r="UF38" s="1005"/>
      <c r="UG38" s="1005"/>
      <c r="UH38" s="1005"/>
      <c r="UI38" s="1005"/>
      <c r="UJ38" s="1005"/>
      <c r="UK38" s="1005"/>
      <c r="UL38" s="1005"/>
      <c r="UM38" s="1005"/>
      <c r="UN38" s="1005"/>
      <c r="UO38" s="1005"/>
      <c r="UP38" s="1005"/>
      <c r="UQ38" s="1005"/>
      <c r="UR38" s="1005"/>
      <c r="US38" s="1005"/>
      <c r="UT38" s="1005"/>
      <c r="UU38" s="1005"/>
      <c r="UV38" s="1005"/>
      <c r="UW38" s="1005"/>
      <c r="UX38" s="1005"/>
      <c r="UY38" s="1005"/>
      <c r="UZ38" s="1005"/>
      <c r="VA38" s="1005"/>
      <c r="VB38" s="1005"/>
      <c r="VC38" s="1005"/>
      <c r="VD38" s="1005"/>
      <c r="VE38" s="1005"/>
      <c r="VF38" s="1005"/>
      <c r="VG38" s="1005"/>
      <c r="VH38" s="1005"/>
      <c r="VI38" s="1005"/>
      <c r="VJ38" s="1005"/>
      <c r="VK38" s="1005"/>
      <c r="VL38" s="1005"/>
      <c r="VM38" s="1005"/>
      <c r="VN38" s="1005"/>
      <c r="VO38" s="1005"/>
      <c r="VP38" s="1005"/>
      <c r="VQ38" s="1005"/>
      <c r="VR38" s="1005"/>
      <c r="VS38" s="1005"/>
      <c r="VT38" s="1005"/>
      <c r="VU38" s="1005"/>
      <c r="VV38" s="1005"/>
      <c r="VW38" s="1005"/>
      <c r="VX38" s="1005"/>
      <c r="VY38" s="1005"/>
      <c r="VZ38" s="1005"/>
      <c r="WA38" s="1005"/>
      <c r="WB38" s="1005"/>
      <c r="WC38" s="1005"/>
      <c r="WD38" s="1005"/>
      <c r="WE38" s="1005"/>
      <c r="WF38" s="1005"/>
      <c r="WG38" s="1005"/>
      <c r="WH38" s="1005"/>
      <c r="WI38" s="1005"/>
      <c r="WJ38" s="1005"/>
      <c r="WK38" s="1005"/>
      <c r="WL38" s="1005"/>
      <c r="WM38" s="1005"/>
      <c r="WN38" s="1005"/>
      <c r="WO38" s="1005"/>
      <c r="WP38" s="1005"/>
      <c r="WQ38" s="1005"/>
      <c r="WR38" s="1005"/>
      <c r="WS38" s="1005"/>
      <c r="WT38" s="1005"/>
      <c r="WU38" s="1005"/>
      <c r="WV38" s="1005"/>
      <c r="WW38" s="1005"/>
      <c r="WX38" s="1005"/>
      <c r="WY38" s="1005"/>
      <c r="WZ38" s="1005"/>
      <c r="XA38" s="1005"/>
      <c r="XB38" s="1005"/>
      <c r="XC38" s="1005"/>
      <c r="XD38" s="1005"/>
      <c r="XE38" s="1005"/>
      <c r="XF38" s="1005"/>
      <c r="XG38" s="1005"/>
      <c r="XH38" s="1005"/>
      <c r="XI38" s="1005"/>
      <c r="XJ38" s="1005"/>
      <c r="XK38" s="1005"/>
      <c r="XL38" s="1005"/>
      <c r="XM38" s="1005"/>
      <c r="XN38" s="1005"/>
      <c r="XO38" s="1005"/>
      <c r="XP38" s="1005"/>
      <c r="XQ38" s="1005"/>
      <c r="XR38" s="1005"/>
      <c r="XS38" s="1005"/>
      <c r="XT38" s="1005"/>
      <c r="XU38" s="1005"/>
      <c r="XV38" s="1005"/>
      <c r="XW38" s="1005"/>
      <c r="XX38" s="1005"/>
      <c r="XY38" s="1005"/>
      <c r="XZ38" s="1005"/>
      <c r="YA38" s="1005"/>
      <c r="YB38" s="1005"/>
      <c r="YC38" s="1005"/>
      <c r="YD38" s="1005"/>
      <c r="YE38" s="1005"/>
      <c r="YF38" s="1005"/>
      <c r="YG38" s="1005"/>
      <c r="YH38" s="1005"/>
      <c r="YI38" s="1005"/>
      <c r="YJ38" s="1005"/>
      <c r="YK38" s="1005"/>
      <c r="YL38" s="1005"/>
      <c r="YM38" s="1005"/>
      <c r="YN38" s="1005"/>
      <c r="YO38" s="1005"/>
      <c r="YP38" s="1005"/>
      <c r="YQ38" s="1005"/>
      <c r="YR38" s="1005"/>
      <c r="YS38" s="1005"/>
      <c r="YT38" s="1005"/>
      <c r="YU38" s="1005"/>
      <c r="YV38" s="1005"/>
      <c r="YW38" s="1005"/>
      <c r="YX38" s="1005"/>
      <c r="YY38" s="1005"/>
      <c r="YZ38" s="1005"/>
      <c r="ZA38" s="1005"/>
      <c r="ZB38" s="1005"/>
      <c r="ZC38" s="1005"/>
      <c r="ZD38" s="1005"/>
      <c r="ZE38" s="1005"/>
      <c r="ZF38" s="1005"/>
      <c r="ZG38" s="1005"/>
      <c r="ZH38" s="1005"/>
      <c r="ZI38" s="1005"/>
      <c r="ZJ38" s="1005"/>
      <c r="ZK38" s="1005"/>
      <c r="ZL38" s="1005"/>
      <c r="ZM38" s="1005"/>
      <c r="ZN38" s="1005"/>
      <c r="ZO38" s="1005"/>
      <c r="ZP38" s="1005"/>
      <c r="ZQ38" s="1005"/>
      <c r="ZR38" s="1005"/>
      <c r="ZS38" s="1005"/>
      <c r="ZT38" s="1005"/>
      <c r="ZU38" s="1005"/>
      <c r="ZV38" s="1005"/>
      <c r="ZW38" s="1005"/>
      <c r="ZX38" s="1005"/>
      <c r="ZY38" s="1005"/>
      <c r="ZZ38" s="1005"/>
      <c r="AAA38" s="1005"/>
      <c r="AAB38" s="1005"/>
      <c r="AAC38" s="1005"/>
      <c r="AAD38" s="1005"/>
      <c r="AAE38" s="1005"/>
      <c r="AAF38" s="1005"/>
      <c r="AAG38" s="1005"/>
      <c r="AAH38" s="1005"/>
      <c r="AAI38" s="1005"/>
      <c r="AAJ38" s="1005"/>
      <c r="AAK38" s="1005"/>
      <c r="AAL38" s="1005"/>
      <c r="AAM38" s="1005"/>
      <c r="AAN38" s="1005"/>
      <c r="AAO38" s="1005"/>
      <c r="AAP38" s="1005"/>
      <c r="AAQ38" s="1005"/>
      <c r="AAR38" s="1005"/>
      <c r="AAS38" s="1005"/>
      <c r="AAT38" s="1005"/>
      <c r="AAU38" s="1005"/>
      <c r="AAV38" s="1005"/>
      <c r="AAW38" s="1005"/>
      <c r="AAX38" s="1005"/>
      <c r="AAY38" s="1005"/>
      <c r="AAZ38" s="1005"/>
      <c r="ABA38" s="1005"/>
      <c r="ABB38" s="1005"/>
      <c r="ABC38" s="1005"/>
      <c r="ABD38" s="1005"/>
      <c r="ABE38" s="1005"/>
      <c r="ABF38" s="1005"/>
      <c r="ABG38" s="1005"/>
      <c r="ABH38" s="1005"/>
      <c r="ABI38" s="1005"/>
      <c r="ABJ38" s="1005"/>
      <c r="ABK38" s="1005"/>
      <c r="ABL38" s="1005"/>
      <c r="ABM38" s="1005"/>
      <c r="ABN38" s="1005"/>
      <c r="ABO38" s="1005"/>
      <c r="ABP38" s="1005"/>
      <c r="ABQ38" s="1005"/>
      <c r="ABR38" s="1005"/>
    </row>
    <row r="39" spans="1:746" s="113" customFormat="1" ht="12.9" customHeight="1" thickBot="1">
      <c r="A39" s="925"/>
      <c r="B39" s="2957" t="s">
        <v>200</v>
      </c>
      <c r="C39" s="2958"/>
      <c r="D39" s="348"/>
      <c r="E39" s="347" t="s">
        <v>1</v>
      </c>
      <c r="F39" s="1240"/>
      <c r="G39" s="347">
        <v>0.25</v>
      </c>
      <c r="H39" s="2349"/>
      <c r="I39" s="1966"/>
      <c r="J39" s="368"/>
      <c r="K39" s="368"/>
      <c r="L39" s="368"/>
      <c r="M39" s="368"/>
      <c r="N39" s="368"/>
      <c r="O39" s="368"/>
      <c r="P39" s="368"/>
      <c r="Q39" s="368"/>
      <c r="R39" s="368"/>
      <c r="S39" s="368"/>
      <c r="T39" s="368"/>
      <c r="U39" s="2192"/>
      <c r="V39" s="2192"/>
      <c r="W39" s="2192"/>
      <c r="X39" s="2192"/>
      <c r="Y39" s="2192"/>
      <c r="Z39" s="2192"/>
      <c r="AA39" s="2192"/>
      <c r="AB39" s="2192"/>
      <c r="AC39" s="2192"/>
      <c r="AD39" s="2192"/>
      <c r="AE39" s="2192"/>
      <c r="AF39" s="2192"/>
      <c r="AG39" s="2202"/>
      <c r="AH39" s="333"/>
      <c r="AI39" s="2226"/>
      <c r="AJ39" s="416">
        <f>IF(fx!$C$57=1,SUMIF(fx!I$57:T$57,1,I39:T39),IF(fx!$C$57=2,SUMIF(fx!O$57:AF$57,1,O39:AF39)))</f>
        <v>0</v>
      </c>
      <c r="AK39" s="419"/>
      <c r="AL39" s="422">
        <f>IF(fx!$C$57=1,SUM(U39:AF39),0)</f>
        <v>0</v>
      </c>
      <c r="AM39" s="1005"/>
      <c r="AN39" s="1011"/>
      <c r="AO39" s="1945" t="s">
        <v>1092</v>
      </c>
      <c r="AP39" s="1935"/>
      <c r="AQ39" s="1936"/>
      <c r="AR39" s="1941"/>
      <c r="AS39" s="1941">
        <v>125000</v>
      </c>
      <c r="AT39" s="1941">
        <v>250000</v>
      </c>
      <c r="AU39" s="1941">
        <v>121250</v>
      </c>
      <c r="AV39" s="1941"/>
      <c r="AW39" s="1941"/>
      <c r="AX39" s="1941"/>
      <c r="AY39" s="1941"/>
      <c r="AZ39" s="1941"/>
      <c r="BA39" s="1941"/>
      <c r="BB39" s="1941"/>
      <c r="BC39" s="1941"/>
      <c r="BD39" s="1941"/>
      <c r="BE39" s="1941"/>
      <c r="BF39" s="1941"/>
      <c r="BG39" s="1941"/>
      <c r="BH39" s="1941"/>
      <c r="BI39" s="1941"/>
      <c r="BJ39" s="1941"/>
      <c r="BK39" s="1941"/>
      <c r="BL39" s="1941"/>
      <c r="BM39" s="1941"/>
      <c r="BN39" s="1941"/>
      <c r="BO39" s="1941"/>
      <c r="BP39" s="1005"/>
      <c r="BQ39" s="1005"/>
      <c r="BR39" s="1005"/>
      <c r="BS39" s="1005"/>
      <c r="BT39" s="1005"/>
      <c r="BU39" s="1005"/>
      <c r="BV39" s="1005"/>
      <c r="BW39" s="1005"/>
      <c r="BX39" s="1005"/>
      <c r="BY39" s="1005"/>
      <c r="BZ39" s="1005"/>
      <c r="CA39" s="1005"/>
      <c r="CB39" s="1005"/>
      <c r="CC39" s="1005"/>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c r="EC39" s="1005"/>
      <c r="ED39" s="1005"/>
      <c r="EE39" s="1005"/>
      <c r="EF39" s="1005"/>
      <c r="EG39" s="1005"/>
      <c r="EH39" s="1005"/>
      <c r="EI39" s="1005"/>
      <c r="EJ39" s="1005"/>
      <c r="EK39" s="1005"/>
      <c r="EL39" s="1005"/>
      <c r="EM39" s="1005"/>
      <c r="EN39" s="1005"/>
      <c r="EO39" s="1005"/>
      <c r="EP39" s="1005"/>
      <c r="EQ39" s="1005"/>
      <c r="ER39" s="1005"/>
      <c r="ES39" s="1005"/>
      <c r="ET39" s="1005"/>
      <c r="EU39" s="1005"/>
      <c r="EV39" s="1005"/>
      <c r="EW39" s="1005"/>
      <c r="EX39" s="1005"/>
      <c r="EY39" s="1005"/>
      <c r="EZ39" s="1005"/>
      <c r="FA39" s="1005"/>
      <c r="FB39" s="1005"/>
      <c r="FC39" s="1005"/>
      <c r="FD39" s="1005"/>
      <c r="FE39" s="1005"/>
      <c r="FF39" s="1005"/>
      <c r="FG39" s="1005"/>
      <c r="FH39" s="1005"/>
      <c r="FI39" s="1005"/>
      <c r="FJ39" s="1005"/>
      <c r="FK39" s="1005"/>
      <c r="FL39" s="1005"/>
      <c r="FM39" s="1005"/>
      <c r="FN39" s="1005"/>
      <c r="FO39" s="1005"/>
      <c r="FP39" s="1005"/>
      <c r="FQ39" s="1005"/>
      <c r="FR39" s="1005"/>
      <c r="FS39" s="1005"/>
      <c r="FT39" s="1005"/>
      <c r="FU39" s="1005"/>
      <c r="FV39" s="1005"/>
      <c r="FW39" s="1005"/>
      <c r="FX39" s="1005"/>
      <c r="FY39" s="1005"/>
      <c r="FZ39" s="1005"/>
      <c r="GA39" s="1005"/>
      <c r="GB39" s="1005"/>
      <c r="GC39" s="1005"/>
      <c r="GD39" s="1005"/>
      <c r="GE39" s="1005"/>
      <c r="GF39" s="1005"/>
      <c r="GG39" s="1005"/>
      <c r="GH39" s="1005"/>
      <c r="GI39" s="1005"/>
      <c r="GJ39" s="1005"/>
      <c r="GK39" s="1005"/>
      <c r="GL39" s="1005"/>
      <c r="GM39" s="1005"/>
      <c r="GN39" s="1005"/>
      <c r="GO39" s="1005"/>
      <c r="GP39" s="1005"/>
      <c r="GQ39" s="1005"/>
      <c r="GR39" s="1005"/>
      <c r="GS39" s="1005"/>
      <c r="GT39" s="1005"/>
      <c r="GU39" s="1005"/>
      <c r="GV39" s="1005"/>
      <c r="GW39" s="1005"/>
      <c r="GX39" s="1005"/>
      <c r="GY39" s="1005"/>
      <c r="GZ39" s="1005"/>
      <c r="HA39" s="1005"/>
      <c r="HB39" s="1005"/>
      <c r="HC39" s="1005"/>
      <c r="HD39" s="1005"/>
      <c r="HE39" s="1005"/>
      <c r="HF39" s="1005"/>
      <c r="HG39" s="1005"/>
      <c r="HH39" s="1005"/>
      <c r="HI39" s="1005"/>
      <c r="HJ39" s="1005"/>
      <c r="HK39" s="1005"/>
      <c r="HL39" s="1005"/>
      <c r="HM39" s="1005"/>
      <c r="HN39" s="1005"/>
      <c r="HO39" s="1005"/>
      <c r="HP39" s="1005"/>
      <c r="HQ39" s="1005"/>
      <c r="HR39" s="1005"/>
      <c r="HS39" s="1005"/>
      <c r="HT39" s="1005"/>
      <c r="HU39" s="1005"/>
      <c r="HV39" s="1005"/>
      <c r="HW39" s="1005"/>
      <c r="HX39" s="1005"/>
      <c r="HY39" s="1005"/>
      <c r="HZ39" s="1005"/>
      <c r="IA39" s="1005"/>
      <c r="IB39" s="1005"/>
      <c r="IC39" s="1005"/>
      <c r="ID39" s="1005"/>
      <c r="IE39" s="1005"/>
      <c r="IF39" s="1005"/>
      <c r="IG39" s="1005"/>
      <c r="IH39" s="1005"/>
      <c r="II39" s="1005"/>
      <c r="IJ39" s="1005"/>
      <c r="IK39" s="1005"/>
      <c r="IL39" s="1005"/>
      <c r="IM39" s="1005"/>
      <c r="IN39" s="1005"/>
      <c r="IO39" s="1005"/>
      <c r="IP39" s="1005"/>
      <c r="IQ39" s="1005"/>
      <c r="IR39" s="1005"/>
      <c r="IS39" s="1005"/>
      <c r="IT39" s="1005"/>
      <c r="IU39" s="1005"/>
      <c r="IV39" s="1005"/>
      <c r="IW39" s="1005"/>
      <c r="IX39" s="1005"/>
      <c r="IY39" s="1005"/>
      <c r="IZ39" s="1005"/>
      <c r="JA39" s="1005"/>
      <c r="JB39" s="1005"/>
      <c r="JC39" s="1005"/>
      <c r="JD39" s="1005"/>
      <c r="JE39" s="1005"/>
      <c r="JF39" s="1005"/>
      <c r="JG39" s="1005"/>
      <c r="JH39" s="1005"/>
      <c r="JI39" s="1005"/>
      <c r="JJ39" s="1005"/>
      <c r="JK39" s="1005"/>
      <c r="JL39" s="1005"/>
      <c r="JM39" s="1005"/>
      <c r="JN39" s="1005"/>
      <c r="JO39" s="1005"/>
      <c r="JP39" s="1005"/>
      <c r="JQ39" s="1005"/>
      <c r="JR39" s="1005"/>
      <c r="JS39" s="1005"/>
      <c r="JT39" s="1005"/>
      <c r="JU39" s="1005"/>
      <c r="JV39" s="1005"/>
      <c r="JW39" s="1005"/>
      <c r="JX39" s="1005"/>
      <c r="JY39" s="1005"/>
      <c r="JZ39" s="1005"/>
      <c r="KA39" s="1005"/>
      <c r="KB39" s="1005"/>
      <c r="KC39" s="1005"/>
      <c r="KD39" s="1005"/>
      <c r="KE39" s="1005"/>
      <c r="KF39" s="1005"/>
      <c r="KG39" s="1005"/>
      <c r="KH39" s="1005"/>
      <c r="KI39" s="1005"/>
      <c r="KJ39" s="1005"/>
      <c r="KK39" s="1005"/>
      <c r="KL39" s="1005"/>
      <c r="KM39" s="1005"/>
      <c r="KN39" s="1005"/>
      <c r="KO39" s="1005"/>
      <c r="KP39" s="1005"/>
      <c r="KQ39" s="1005"/>
      <c r="KR39" s="1005"/>
      <c r="KS39" s="1005"/>
      <c r="KT39" s="1005"/>
      <c r="KU39" s="1005"/>
      <c r="KV39" s="1005"/>
      <c r="KW39" s="1005"/>
      <c r="KX39" s="1005"/>
      <c r="KY39" s="1005"/>
      <c r="KZ39" s="1005"/>
      <c r="LA39" s="1005"/>
      <c r="LB39" s="1005"/>
      <c r="LC39" s="1005"/>
      <c r="LD39" s="1005"/>
      <c r="LE39" s="1005"/>
      <c r="LF39" s="1005"/>
      <c r="LG39" s="1005"/>
      <c r="LH39" s="1005"/>
      <c r="LI39" s="1005"/>
      <c r="LJ39" s="1005"/>
      <c r="LK39" s="1005"/>
      <c r="LL39" s="1005"/>
      <c r="LM39" s="1005"/>
      <c r="LN39" s="1005"/>
      <c r="LO39" s="1005"/>
      <c r="LP39" s="1005"/>
      <c r="LQ39" s="1005"/>
      <c r="LR39" s="1005"/>
      <c r="LS39" s="1005"/>
      <c r="LT39" s="1005"/>
      <c r="LU39" s="1005"/>
      <c r="LV39" s="1005"/>
      <c r="LW39" s="1005"/>
      <c r="LX39" s="1005"/>
      <c r="LY39" s="1005"/>
      <c r="LZ39" s="1005"/>
      <c r="MA39" s="1005"/>
      <c r="MB39" s="1005"/>
      <c r="MC39" s="1005"/>
      <c r="MD39" s="1005"/>
      <c r="ME39" s="1005"/>
      <c r="MF39" s="1005"/>
      <c r="MG39" s="1005"/>
      <c r="MH39" s="1005"/>
      <c r="MI39" s="1005"/>
      <c r="MJ39" s="1005"/>
      <c r="MK39" s="1005"/>
      <c r="ML39" s="1005"/>
      <c r="MM39" s="1005"/>
      <c r="MN39" s="1005"/>
      <c r="MO39" s="1005"/>
      <c r="MP39" s="1005"/>
      <c r="MQ39" s="1005"/>
      <c r="MR39" s="1005"/>
      <c r="MS39" s="1005"/>
      <c r="MT39" s="1005"/>
      <c r="MU39" s="1005"/>
      <c r="MV39" s="1005"/>
      <c r="MW39" s="1005"/>
      <c r="MX39" s="1005"/>
      <c r="MY39" s="1005"/>
      <c r="MZ39" s="1005"/>
      <c r="NA39" s="1005"/>
      <c r="NB39" s="1005"/>
      <c r="NC39" s="1005"/>
      <c r="ND39" s="1005"/>
      <c r="NE39" s="1005"/>
      <c r="NF39" s="1005"/>
      <c r="NG39" s="1005"/>
      <c r="NH39" s="1005"/>
      <c r="NI39" s="1005"/>
      <c r="NJ39" s="1005"/>
      <c r="NK39" s="1005"/>
      <c r="NL39" s="1005"/>
      <c r="NM39" s="1005"/>
      <c r="NN39" s="1005"/>
      <c r="NO39" s="1005"/>
      <c r="NP39" s="1005"/>
      <c r="NQ39" s="1005"/>
      <c r="NR39" s="1005"/>
      <c r="NS39" s="1005"/>
      <c r="NT39" s="1005"/>
      <c r="NU39" s="1005"/>
      <c r="NV39" s="1005"/>
      <c r="NW39" s="1005"/>
      <c r="NX39" s="1005"/>
      <c r="NY39" s="1005"/>
      <c r="NZ39" s="1005"/>
      <c r="OA39" s="1005"/>
      <c r="OB39" s="1005"/>
      <c r="OC39" s="1005"/>
      <c r="OD39" s="1005"/>
      <c r="OE39" s="1005"/>
      <c r="OF39" s="1005"/>
      <c r="OG39" s="1005"/>
      <c r="OH39" s="1005"/>
      <c r="OI39" s="1005"/>
      <c r="OJ39" s="1005"/>
      <c r="OK39" s="1005"/>
      <c r="OL39" s="1005"/>
      <c r="OM39" s="1005"/>
      <c r="ON39" s="1005"/>
      <c r="OO39" s="1005"/>
      <c r="OP39" s="1005"/>
      <c r="OQ39" s="1005"/>
      <c r="OR39" s="1005"/>
      <c r="OS39" s="1005"/>
      <c r="OT39" s="1005"/>
      <c r="OU39" s="1005"/>
      <c r="OV39" s="1005"/>
      <c r="OW39" s="1005"/>
      <c r="OX39" s="1005"/>
      <c r="OY39" s="1005"/>
      <c r="OZ39" s="1005"/>
      <c r="PA39" s="1005"/>
      <c r="PB39" s="1005"/>
      <c r="PC39" s="1005"/>
      <c r="PD39" s="1005"/>
      <c r="PE39" s="1005"/>
      <c r="PF39" s="1005"/>
      <c r="PG39" s="1005"/>
      <c r="PH39" s="1005"/>
      <c r="PI39" s="1005"/>
      <c r="PJ39" s="1005"/>
      <c r="PK39" s="1005"/>
      <c r="PL39" s="1005"/>
      <c r="PM39" s="1005"/>
      <c r="PN39" s="1005"/>
      <c r="PO39" s="1005"/>
      <c r="PP39" s="1005"/>
      <c r="PQ39" s="1005"/>
      <c r="PR39" s="1005"/>
      <c r="PS39" s="1005"/>
      <c r="PT39" s="1005"/>
      <c r="PU39" s="1005"/>
      <c r="PV39" s="1005"/>
      <c r="PW39" s="1005"/>
      <c r="PX39" s="1005"/>
      <c r="PY39" s="1005"/>
      <c r="PZ39" s="1005"/>
      <c r="QA39" s="1005"/>
      <c r="QB39" s="1005"/>
      <c r="QC39" s="1005"/>
      <c r="QD39" s="1005"/>
      <c r="QE39" s="1005"/>
      <c r="QF39" s="1005"/>
      <c r="QG39" s="1005"/>
      <c r="QH39" s="1005"/>
      <c r="QI39" s="1005"/>
      <c r="QJ39" s="1005"/>
      <c r="QK39" s="1005"/>
      <c r="QL39" s="1005"/>
      <c r="QM39" s="1005"/>
      <c r="QN39" s="1005"/>
      <c r="QO39" s="1005"/>
      <c r="QP39" s="1005"/>
      <c r="QQ39" s="1005"/>
      <c r="QR39" s="1005"/>
      <c r="QS39" s="1005"/>
      <c r="QT39" s="1005"/>
      <c r="QU39" s="1005"/>
      <c r="QV39" s="1005"/>
      <c r="QW39" s="1005"/>
      <c r="QX39" s="1005"/>
      <c r="QY39" s="1005"/>
      <c r="QZ39" s="1005"/>
      <c r="RA39" s="1005"/>
      <c r="RB39" s="1005"/>
      <c r="RC39" s="1005"/>
      <c r="RD39" s="1005"/>
      <c r="RE39" s="1005"/>
      <c r="RF39" s="1005"/>
      <c r="RG39" s="1005"/>
      <c r="RH39" s="1005"/>
      <c r="RI39" s="1005"/>
      <c r="RJ39" s="1005"/>
      <c r="RK39" s="1005"/>
      <c r="RL39" s="1005"/>
      <c r="RM39" s="1005"/>
      <c r="RN39" s="1005"/>
      <c r="RO39" s="1005"/>
      <c r="RP39" s="1005"/>
      <c r="RQ39" s="1005"/>
      <c r="RR39" s="1005"/>
      <c r="RS39" s="1005"/>
      <c r="RT39" s="1005"/>
      <c r="RU39" s="1005"/>
      <c r="RV39" s="1005"/>
      <c r="RW39" s="1005"/>
      <c r="RX39" s="1005"/>
      <c r="RY39" s="1005"/>
      <c r="RZ39" s="1005"/>
      <c r="SA39" s="1005"/>
      <c r="SB39" s="1005"/>
      <c r="SC39" s="1005"/>
      <c r="SD39" s="1005"/>
      <c r="SE39" s="1005"/>
      <c r="SF39" s="1005"/>
      <c r="SG39" s="1005"/>
      <c r="SH39" s="1005"/>
      <c r="SI39" s="1005"/>
      <c r="SJ39" s="1005"/>
      <c r="SK39" s="1005"/>
      <c r="SL39" s="1005"/>
      <c r="SM39" s="1005"/>
      <c r="SN39" s="1005"/>
      <c r="SO39" s="1005"/>
      <c r="SP39" s="1005"/>
      <c r="SQ39" s="1005"/>
      <c r="SR39" s="1005"/>
      <c r="SS39" s="1005"/>
      <c r="ST39" s="1005"/>
      <c r="SU39" s="1005"/>
      <c r="SV39" s="1005"/>
      <c r="SW39" s="1005"/>
      <c r="SX39" s="1005"/>
      <c r="SY39" s="1005"/>
      <c r="SZ39" s="1005"/>
      <c r="TA39" s="1005"/>
      <c r="TB39" s="1005"/>
      <c r="TC39" s="1005"/>
      <c r="TD39" s="1005"/>
      <c r="TE39" s="1005"/>
      <c r="TF39" s="1005"/>
      <c r="TG39" s="1005"/>
      <c r="TH39" s="1005"/>
      <c r="TI39" s="1005"/>
      <c r="TJ39" s="1005"/>
      <c r="TK39" s="1005"/>
      <c r="TL39" s="1005"/>
      <c r="TM39" s="1005"/>
      <c r="TN39" s="1005"/>
      <c r="TO39" s="1005"/>
      <c r="TP39" s="1005"/>
      <c r="TQ39" s="1005"/>
      <c r="TR39" s="1005"/>
      <c r="TS39" s="1005"/>
      <c r="TT39" s="1005"/>
      <c r="TU39" s="1005"/>
      <c r="TV39" s="1005"/>
      <c r="TW39" s="1005"/>
      <c r="TX39" s="1005"/>
      <c r="TY39" s="1005"/>
      <c r="TZ39" s="1005"/>
      <c r="UA39" s="1005"/>
      <c r="UB39" s="1005"/>
      <c r="UC39" s="1005"/>
      <c r="UD39" s="1005"/>
      <c r="UE39" s="1005"/>
      <c r="UF39" s="1005"/>
      <c r="UG39" s="1005"/>
      <c r="UH39" s="1005"/>
      <c r="UI39" s="1005"/>
      <c r="UJ39" s="1005"/>
      <c r="UK39" s="1005"/>
      <c r="UL39" s="1005"/>
      <c r="UM39" s="1005"/>
      <c r="UN39" s="1005"/>
      <c r="UO39" s="1005"/>
      <c r="UP39" s="1005"/>
      <c r="UQ39" s="1005"/>
      <c r="UR39" s="1005"/>
      <c r="US39" s="1005"/>
      <c r="UT39" s="1005"/>
      <c r="UU39" s="1005"/>
      <c r="UV39" s="1005"/>
      <c r="UW39" s="1005"/>
      <c r="UX39" s="1005"/>
      <c r="UY39" s="1005"/>
      <c r="UZ39" s="1005"/>
      <c r="VA39" s="1005"/>
      <c r="VB39" s="1005"/>
      <c r="VC39" s="1005"/>
      <c r="VD39" s="1005"/>
      <c r="VE39" s="1005"/>
      <c r="VF39" s="1005"/>
      <c r="VG39" s="1005"/>
      <c r="VH39" s="1005"/>
      <c r="VI39" s="1005"/>
      <c r="VJ39" s="1005"/>
      <c r="VK39" s="1005"/>
      <c r="VL39" s="1005"/>
      <c r="VM39" s="1005"/>
      <c r="VN39" s="1005"/>
      <c r="VO39" s="1005"/>
      <c r="VP39" s="1005"/>
      <c r="VQ39" s="1005"/>
      <c r="VR39" s="1005"/>
      <c r="VS39" s="1005"/>
      <c r="VT39" s="1005"/>
      <c r="VU39" s="1005"/>
      <c r="VV39" s="1005"/>
      <c r="VW39" s="1005"/>
      <c r="VX39" s="1005"/>
      <c r="VY39" s="1005"/>
      <c r="VZ39" s="1005"/>
      <c r="WA39" s="1005"/>
      <c r="WB39" s="1005"/>
      <c r="WC39" s="1005"/>
      <c r="WD39" s="1005"/>
      <c r="WE39" s="1005"/>
      <c r="WF39" s="1005"/>
      <c r="WG39" s="1005"/>
      <c r="WH39" s="1005"/>
      <c r="WI39" s="1005"/>
      <c r="WJ39" s="1005"/>
      <c r="WK39" s="1005"/>
      <c r="WL39" s="1005"/>
      <c r="WM39" s="1005"/>
      <c r="WN39" s="1005"/>
      <c r="WO39" s="1005"/>
      <c r="WP39" s="1005"/>
      <c r="WQ39" s="1005"/>
      <c r="WR39" s="1005"/>
      <c r="WS39" s="1005"/>
      <c r="WT39" s="1005"/>
      <c r="WU39" s="1005"/>
      <c r="WV39" s="1005"/>
      <c r="WW39" s="1005"/>
      <c r="WX39" s="1005"/>
      <c r="WY39" s="1005"/>
      <c r="WZ39" s="1005"/>
      <c r="XA39" s="1005"/>
      <c r="XB39" s="1005"/>
      <c r="XC39" s="1005"/>
      <c r="XD39" s="1005"/>
      <c r="XE39" s="1005"/>
      <c r="XF39" s="1005"/>
      <c r="XG39" s="1005"/>
      <c r="XH39" s="1005"/>
      <c r="XI39" s="1005"/>
      <c r="XJ39" s="1005"/>
      <c r="XK39" s="1005"/>
      <c r="XL39" s="1005"/>
      <c r="XM39" s="1005"/>
      <c r="XN39" s="1005"/>
      <c r="XO39" s="1005"/>
      <c r="XP39" s="1005"/>
      <c r="XQ39" s="1005"/>
      <c r="XR39" s="1005"/>
      <c r="XS39" s="1005"/>
      <c r="XT39" s="1005"/>
      <c r="XU39" s="1005"/>
      <c r="XV39" s="1005"/>
      <c r="XW39" s="1005"/>
      <c r="XX39" s="1005"/>
      <c r="XY39" s="1005"/>
      <c r="XZ39" s="1005"/>
      <c r="YA39" s="1005"/>
      <c r="YB39" s="1005"/>
      <c r="YC39" s="1005"/>
      <c r="YD39" s="1005"/>
      <c r="YE39" s="1005"/>
      <c r="YF39" s="1005"/>
      <c r="YG39" s="1005"/>
      <c r="YH39" s="1005"/>
      <c r="YI39" s="1005"/>
      <c r="YJ39" s="1005"/>
      <c r="YK39" s="1005"/>
      <c r="YL39" s="1005"/>
      <c r="YM39" s="1005"/>
      <c r="YN39" s="1005"/>
      <c r="YO39" s="1005"/>
      <c r="YP39" s="1005"/>
      <c r="YQ39" s="1005"/>
      <c r="YR39" s="1005"/>
      <c r="YS39" s="1005"/>
      <c r="YT39" s="1005"/>
      <c r="YU39" s="1005"/>
      <c r="YV39" s="1005"/>
      <c r="YW39" s="1005"/>
      <c r="YX39" s="1005"/>
      <c r="YY39" s="1005"/>
      <c r="YZ39" s="1005"/>
      <c r="ZA39" s="1005"/>
      <c r="ZB39" s="1005"/>
      <c r="ZC39" s="1005"/>
      <c r="ZD39" s="1005"/>
      <c r="ZE39" s="1005"/>
      <c r="ZF39" s="1005"/>
      <c r="ZG39" s="1005"/>
      <c r="ZH39" s="1005"/>
      <c r="ZI39" s="1005"/>
      <c r="ZJ39" s="1005"/>
      <c r="ZK39" s="1005"/>
      <c r="ZL39" s="1005"/>
      <c r="ZM39" s="1005"/>
      <c r="ZN39" s="1005"/>
      <c r="ZO39" s="1005"/>
      <c r="ZP39" s="1005"/>
      <c r="ZQ39" s="1005"/>
      <c r="ZR39" s="1005"/>
      <c r="ZS39" s="1005"/>
      <c r="ZT39" s="1005"/>
      <c r="ZU39" s="1005"/>
      <c r="ZV39" s="1005"/>
      <c r="ZW39" s="1005"/>
      <c r="ZX39" s="1005"/>
      <c r="ZY39" s="1005"/>
      <c r="ZZ39" s="1005"/>
      <c r="AAA39" s="1005"/>
      <c r="AAB39" s="1005"/>
      <c r="AAC39" s="1005"/>
      <c r="AAD39" s="1005"/>
      <c r="AAE39" s="1005"/>
      <c r="AAF39" s="1005"/>
      <c r="AAG39" s="1005"/>
      <c r="AAH39" s="1005"/>
      <c r="AAI39" s="1005"/>
      <c r="AAJ39" s="1005"/>
      <c r="AAK39" s="1005"/>
      <c r="AAL39" s="1005"/>
      <c r="AAM39" s="1005"/>
      <c r="AAN39" s="1005"/>
      <c r="AAO39" s="1005"/>
      <c r="AAP39" s="1005"/>
      <c r="AAQ39" s="1005"/>
      <c r="AAR39" s="1005"/>
      <c r="AAS39" s="1005"/>
      <c r="AAT39" s="1005"/>
      <c r="AAU39" s="1005"/>
      <c r="AAV39" s="1005"/>
      <c r="AAW39" s="1005"/>
      <c r="AAX39" s="1005"/>
      <c r="AAY39" s="1005"/>
      <c r="AAZ39" s="1005"/>
      <c r="ABA39" s="1005"/>
      <c r="ABB39" s="1005"/>
      <c r="ABC39" s="1005"/>
      <c r="ABD39" s="1005"/>
      <c r="ABE39" s="1005"/>
      <c r="ABF39" s="1005"/>
      <c r="ABG39" s="1005"/>
      <c r="ABH39" s="1005"/>
      <c r="ABI39" s="1005"/>
      <c r="ABJ39" s="1005"/>
      <c r="ABK39" s="1005"/>
      <c r="ABL39" s="1005"/>
      <c r="ABM39" s="1005"/>
      <c r="ABN39" s="1005"/>
      <c r="ABO39" s="1005"/>
      <c r="ABP39" s="1005"/>
      <c r="ABQ39" s="1005"/>
      <c r="ABR39" s="1005"/>
    </row>
    <row r="40" spans="1:746" s="113" customFormat="1" ht="12.9" customHeight="1" thickBot="1">
      <c r="A40" s="1252"/>
      <c r="B40" s="2957" t="s">
        <v>201</v>
      </c>
      <c r="C40" s="2958"/>
      <c r="D40" s="348"/>
      <c r="E40" s="347" t="s">
        <v>1</v>
      </c>
      <c r="F40" s="1240"/>
      <c r="G40" s="347">
        <v>0.25</v>
      </c>
      <c r="H40" s="2349"/>
      <c r="I40" s="1966"/>
      <c r="J40" s="368"/>
      <c r="K40" s="368"/>
      <c r="L40" s="368"/>
      <c r="M40" s="368"/>
      <c r="N40" s="368"/>
      <c r="O40" s="368"/>
      <c r="P40" s="368"/>
      <c r="Q40" s="368"/>
      <c r="R40" s="368"/>
      <c r="S40" s="368"/>
      <c r="T40" s="368"/>
      <c r="U40" s="2192"/>
      <c r="V40" s="2192"/>
      <c r="W40" s="2192"/>
      <c r="X40" s="2192"/>
      <c r="Y40" s="2192"/>
      <c r="Z40" s="2192"/>
      <c r="AA40" s="2192"/>
      <c r="AB40" s="2192"/>
      <c r="AC40" s="2192"/>
      <c r="AD40" s="2192"/>
      <c r="AE40" s="2192"/>
      <c r="AF40" s="2192"/>
      <c r="AG40" s="2202"/>
      <c r="AH40" s="333"/>
      <c r="AI40" s="2226"/>
      <c r="AJ40" s="416">
        <f>IF(fx!$C$57=1,SUMIF(fx!I$57:T$57,1,I40:T40),IF(fx!$C$57=2,SUMIF(fx!O$57:AF$57,1,O40:AF40)))</f>
        <v>0</v>
      </c>
      <c r="AK40" s="419"/>
      <c r="AL40" s="422">
        <f>IF(fx!$C$57=1,SUM(U40:AF40),0)</f>
        <v>0</v>
      </c>
      <c r="AM40" s="1005"/>
      <c r="AN40" s="1011"/>
      <c r="AO40" s="1945" t="s">
        <v>1168</v>
      </c>
      <c r="AP40" s="1935"/>
      <c r="AQ40" s="1936"/>
      <c r="AR40" s="1941"/>
      <c r="AS40" s="1941">
        <f>AS39/1.25</f>
        <v>100000</v>
      </c>
      <c r="AT40" s="1941">
        <f>AT39/1.25</f>
        <v>200000</v>
      </c>
      <c r="AU40" s="1941">
        <f>AU39/1.25</f>
        <v>97000</v>
      </c>
      <c r="AV40" s="1941"/>
      <c r="AW40" s="1941"/>
      <c r="AX40" s="1941"/>
      <c r="AY40" s="1941"/>
      <c r="AZ40" s="1941"/>
      <c r="BA40" s="1941"/>
      <c r="BB40" s="1941"/>
      <c r="BC40" s="1941"/>
      <c r="BD40" s="1941"/>
      <c r="BE40" s="1941"/>
      <c r="BF40" s="1941"/>
      <c r="BG40" s="1941"/>
      <c r="BH40" s="1941"/>
      <c r="BI40" s="1941"/>
      <c r="BJ40" s="1941"/>
      <c r="BK40" s="1941"/>
      <c r="BL40" s="1941"/>
      <c r="BM40" s="1941"/>
      <c r="BN40" s="1941"/>
      <c r="BO40" s="1941"/>
      <c r="BP40" s="1005"/>
      <c r="BQ40" s="1005"/>
      <c r="BR40" s="1005"/>
      <c r="BS40" s="1005"/>
      <c r="BT40" s="1005"/>
      <c r="BU40" s="1005"/>
      <c r="BV40" s="1005"/>
      <c r="BW40" s="1005"/>
      <c r="BX40" s="1005"/>
      <c r="BY40" s="1005"/>
      <c r="BZ40" s="1005"/>
      <c r="CA40" s="1005"/>
      <c r="CB40" s="1005"/>
      <c r="CC40" s="1005"/>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c r="EC40" s="1005"/>
      <c r="ED40" s="1005"/>
      <c r="EE40" s="1005"/>
      <c r="EF40" s="1005"/>
      <c r="EG40" s="1005"/>
      <c r="EH40" s="1005"/>
      <c r="EI40" s="1005"/>
      <c r="EJ40" s="1005"/>
      <c r="EK40" s="1005"/>
      <c r="EL40" s="1005"/>
      <c r="EM40" s="1005"/>
      <c r="EN40" s="1005"/>
      <c r="EO40" s="1005"/>
      <c r="EP40" s="1005"/>
      <c r="EQ40" s="1005"/>
      <c r="ER40" s="1005"/>
      <c r="ES40" s="1005"/>
      <c r="ET40" s="1005"/>
      <c r="EU40" s="1005"/>
      <c r="EV40" s="1005"/>
      <c r="EW40" s="1005"/>
      <c r="EX40" s="1005"/>
      <c r="EY40" s="1005"/>
      <c r="EZ40" s="1005"/>
      <c r="FA40" s="1005"/>
      <c r="FB40" s="1005"/>
      <c r="FC40" s="1005"/>
      <c r="FD40" s="1005"/>
      <c r="FE40" s="1005"/>
      <c r="FF40" s="1005"/>
      <c r="FG40" s="1005"/>
      <c r="FH40" s="1005"/>
      <c r="FI40" s="1005"/>
      <c r="FJ40" s="1005"/>
      <c r="FK40" s="1005"/>
      <c r="FL40" s="1005"/>
      <c r="FM40" s="1005"/>
      <c r="FN40" s="1005"/>
      <c r="FO40" s="1005"/>
      <c r="FP40" s="1005"/>
      <c r="FQ40" s="1005"/>
      <c r="FR40" s="1005"/>
      <c r="FS40" s="1005"/>
      <c r="FT40" s="1005"/>
      <c r="FU40" s="1005"/>
      <c r="FV40" s="1005"/>
      <c r="FW40" s="1005"/>
      <c r="FX40" s="1005"/>
      <c r="FY40" s="1005"/>
      <c r="FZ40" s="1005"/>
      <c r="GA40" s="1005"/>
      <c r="GB40" s="1005"/>
      <c r="GC40" s="1005"/>
      <c r="GD40" s="1005"/>
      <c r="GE40" s="1005"/>
      <c r="GF40" s="1005"/>
      <c r="GG40" s="1005"/>
      <c r="GH40" s="1005"/>
      <c r="GI40" s="1005"/>
      <c r="GJ40" s="1005"/>
      <c r="GK40" s="1005"/>
      <c r="GL40" s="1005"/>
      <c r="GM40" s="1005"/>
      <c r="GN40" s="1005"/>
      <c r="GO40" s="1005"/>
      <c r="GP40" s="1005"/>
      <c r="GQ40" s="1005"/>
      <c r="GR40" s="1005"/>
      <c r="GS40" s="1005"/>
      <c r="GT40" s="1005"/>
      <c r="GU40" s="1005"/>
      <c r="GV40" s="1005"/>
      <c r="GW40" s="1005"/>
      <c r="GX40" s="1005"/>
      <c r="GY40" s="1005"/>
      <c r="GZ40" s="1005"/>
      <c r="HA40" s="1005"/>
      <c r="HB40" s="1005"/>
      <c r="HC40" s="1005"/>
      <c r="HD40" s="1005"/>
      <c r="HE40" s="1005"/>
      <c r="HF40" s="1005"/>
      <c r="HG40" s="1005"/>
      <c r="HH40" s="1005"/>
      <c r="HI40" s="1005"/>
      <c r="HJ40" s="1005"/>
      <c r="HK40" s="1005"/>
      <c r="HL40" s="1005"/>
      <c r="HM40" s="1005"/>
      <c r="HN40" s="1005"/>
      <c r="HO40" s="1005"/>
      <c r="HP40" s="1005"/>
      <c r="HQ40" s="1005"/>
      <c r="HR40" s="1005"/>
      <c r="HS40" s="1005"/>
      <c r="HT40" s="1005"/>
      <c r="HU40" s="1005"/>
      <c r="HV40" s="1005"/>
      <c r="HW40" s="1005"/>
      <c r="HX40" s="1005"/>
      <c r="HY40" s="1005"/>
      <c r="HZ40" s="1005"/>
      <c r="IA40" s="1005"/>
      <c r="IB40" s="1005"/>
      <c r="IC40" s="1005"/>
      <c r="ID40" s="1005"/>
      <c r="IE40" s="1005"/>
      <c r="IF40" s="1005"/>
      <c r="IG40" s="1005"/>
      <c r="IH40" s="1005"/>
      <c r="II40" s="1005"/>
      <c r="IJ40" s="1005"/>
      <c r="IK40" s="1005"/>
      <c r="IL40" s="1005"/>
      <c r="IM40" s="1005"/>
      <c r="IN40" s="1005"/>
      <c r="IO40" s="1005"/>
      <c r="IP40" s="1005"/>
      <c r="IQ40" s="1005"/>
      <c r="IR40" s="1005"/>
      <c r="IS40" s="1005"/>
      <c r="IT40" s="1005"/>
      <c r="IU40" s="1005"/>
      <c r="IV40" s="1005"/>
      <c r="IW40" s="1005"/>
      <c r="IX40" s="1005"/>
      <c r="IY40" s="1005"/>
      <c r="IZ40" s="1005"/>
      <c r="JA40" s="1005"/>
      <c r="JB40" s="1005"/>
      <c r="JC40" s="1005"/>
      <c r="JD40" s="1005"/>
      <c r="JE40" s="1005"/>
      <c r="JF40" s="1005"/>
      <c r="JG40" s="1005"/>
      <c r="JH40" s="1005"/>
      <c r="JI40" s="1005"/>
      <c r="JJ40" s="1005"/>
      <c r="JK40" s="1005"/>
      <c r="JL40" s="1005"/>
      <c r="JM40" s="1005"/>
      <c r="JN40" s="1005"/>
      <c r="JO40" s="1005"/>
      <c r="JP40" s="1005"/>
      <c r="JQ40" s="1005"/>
      <c r="JR40" s="1005"/>
      <c r="JS40" s="1005"/>
      <c r="JT40" s="1005"/>
      <c r="JU40" s="1005"/>
      <c r="JV40" s="1005"/>
      <c r="JW40" s="1005"/>
      <c r="JX40" s="1005"/>
      <c r="JY40" s="1005"/>
      <c r="JZ40" s="1005"/>
      <c r="KA40" s="1005"/>
      <c r="KB40" s="1005"/>
      <c r="KC40" s="1005"/>
      <c r="KD40" s="1005"/>
      <c r="KE40" s="1005"/>
      <c r="KF40" s="1005"/>
      <c r="KG40" s="1005"/>
      <c r="KH40" s="1005"/>
      <c r="KI40" s="1005"/>
      <c r="KJ40" s="1005"/>
      <c r="KK40" s="1005"/>
      <c r="KL40" s="1005"/>
      <c r="KM40" s="1005"/>
      <c r="KN40" s="1005"/>
      <c r="KO40" s="1005"/>
      <c r="KP40" s="1005"/>
      <c r="KQ40" s="1005"/>
      <c r="KR40" s="1005"/>
      <c r="KS40" s="1005"/>
      <c r="KT40" s="1005"/>
      <c r="KU40" s="1005"/>
      <c r="KV40" s="1005"/>
      <c r="KW40" s="1005"/>
      <c r="KX40" s="1005"/>
      <c r="KY40" s="1005"/>
      <c r="KZ40" s="1005"/>
      <c r="LA40" s="1005"/>
      <c r="LB40" s="1005"/>
      <c r="LC40" s="1005"/>
      <c r="LD40" s="1005"/>
      <c r="LE40" s="1005"/>
      <c r="LF40" s="1005"/>
      <c r="LG40" s="1005"/>
      <c r="LH40" s="1005"/>
      <c r="LI40" s="1005"/>
      <c r="LJ40" s="1005"/>
      <c r="LK40" s="1005"/>
      <c r="LL40" s="1005"/>
      <c r="LM40" s="1005"/>
      <c r="LN40" s="1005"/>
      <c r="LO40" s="1005"/>
      <c r="LP40" s="1005"/>
      <c r="LQ40" s="1005"/>
      <c r="LR40" s="1005"/>
      <c r="LS40" s="1005"/>
      <c r="LT40" s="1005"/>
      <c r="LU40" s="1005"/>
      <c r="LV40" s="1005"/>
      <c r="LW40" s="1005"/>
      <c r="LX40" s="1005"/>
      <c r="LY40" s="1005"/>
      <c r="LZ40" s="1005"/>
      <c r="MA40" s="1005"/>
      <c r="MB40" s="1005"/>
      <c r="MC40" s="1005"/>
      <c r="MD40" s="1005"/>
      <c r="ME40" s="1005"/>
      <c r="MF40" s="1005"/>
      <c r="MG40" s="1005"/>
      <c r="MH40" s="1005"/>
      <c r="MI40" s="1005"/>
      <c r="MJ40" s="1005"/>
      <c r="MK40" s="1005"/>
      <c r="ML40" s="1005"/>
      <c r="MM40" s="1005"/>
      <c r="MN40" s="1005"/>
      <c r="MO40" s="1005"/>
      <c r="MP40" s="1005"/>
      <c r="MQ40" s="1005"/>
      <c r="MR40" s="1005"/>
      <c r="MS40" s="1005"/>
      <c r="MT40" s="1005"/>
      <c r="MU40" s="1005"/>
      <c r="MV40" s="1005"/>
      <c r="MW40" s="1005"/>
      <c r="MX40" s="1005"/>
      <c r="MY40" s="1005"/>
      <c r="MZ40" s="1005"/>
      <c r="NA40" s="1005"/>
      <c r="NB40" s="1005"/>
      <c r="NC40" s="1005"/>
      <c r="ND40" s="1005"/>
      <c r="NE40" s="1005"/>
      <c r="NF40" s="1005"/>
      <c r="NG40" s="1005"/>
      <c r="NH40" s="1005"/>
      <c r="NI40" s="1005"/>
      <c r="NJ40" s="1005"/>
      <c r="NK40" s="1005"/>
      <c r="NL40" s="1005"/>
      <c r="NM40" s="1005"/>
      <c r="NN40" s="1005"/>
      <c r="NO40" s="1005"/>
      <c r="NP40" s="1005"/>
      <c r="NQ40" s="1005"/>
      <c r="NR40" s="1005"/>
      <c r="NS40" s="1005"/>
      <c r="NT40" s="1005"/>
      <c r="NU40" s="1005"/>
      <c r="NV40" s="1005"/>
      <c r="NW40" s="1005"/>
      <c r="NX40" s="1005"/>
      <c r="NY40" s="1005"/>
      <c r="NZ40" s="1005"/>
      <c r="OA40" s="1005"/>
      <c r="OB40" s="1005"/>
      <c r="OC40" s="1005"/>
      <c r="OD40" s="1005"/>
      <c r="OE40" s="1005"/>
      <c r="OF40" s="1005"/>
      <c r="OG40" s="1005"/>
      <c r="OH40" s="1005"/>
      <c r="OI40" s="1005"/>
      <c r="OJ40" s="1005"/>
      <c r="OK40" s="1005"/>
      <c r="OL40" s="1005"/>
      <c r="OM40" s="1005"/>
      <c r="ON40" s="1005"/>
      <c r="OO40" s="1005"/>
      <c r="OP40" s="1005"/>
      <c r="OQ40" s="1005"/>
      <c r="OR40" s="1005"/>
      <c r="OS40" s="1005"/>
      <c r="OT40" s="1005"/>
      <c r="OU40" s="1005"/>
      <c r="OV40" s="1005"/>
      <c r="OW40" s="1005"/>
      <c r="OX40" s="1005"/>
      <c r="OY40" s="1005"/>
      <c r="OZ40" s="1005"/>
      <c r="PA40" s="1005"/>
      <c r="PB40" s="1005"/>
      <c r="PC40" s="1005"/>
      <c r="PD40" s="1005"/>
      <c r="PE40" s="1005"/>
      <c r="PF40" s="1005"/>
      <c r="PG40" s="1005"/>
      <c r="PH40" s="1005"/>
      <c r="PI40" s="1005"/>
      <c r="PJ40" s="1005"/>
      <c r="PK40" s="1005"/>
      <c r="PL40" s="1005"/>
      <c r="PM40" s="1005"/>
      <c r="PN40" s="1005"/>
      <c r="PO40" s="1005"/>
      <c r="PP40" s="1005"/>
      <c r="PQ40" s="1005"/>
      <c r="PR40" s="1005"/>
      <c r="PS40" s="1005"/>
      <c r="PT40" s="1005"/>
      <c r="PU40" s="1005"/>
      <c r="PV40" s="1005"/>
      <c r="PW40" s="1005"/>
      <c r="PX40" s="1005"/>
      <c r="PY40" s="1005"/>
      <c r="PZ40" s="1005"/>
      <c r="QA40" s="1005"/>
      <c r="QB40" s="1005"/>
      <c r="QC40" s="1005"/>
      <c r="QD40" s="1005"/>
      <c r="QE40" s="1005"/>
      <c r="QF40" s="1005"/>
      <c r="QG40" s="1005"/>
      <c r="QH40" s="1005"/>
      <c r="QI40" s="1005"/>
      <c r="QJ40" s="1005"/>
      <c r="QK40" s="1005"/>
      <c r="QL40" s="1005"/>
      <c r="QM40" s="1005"/>
      <c r="QN40" s="1005"/>
      <c r="QO40" s="1005"/>
      <c r="QP40" s="1005"/>
      <c r="QQ40" s="1005"/>
      <c r="QR40" s="1005"/>
      <c r="QS40" s="1005"/>
      <c r="QT40" s="1005"/>
      <c r="QU40" s="1005"/>
      <c r="QV40" s="1005"/>
      <c r="QW40" s="1005"/>
      <c r="QX40" s="1005"/>
      <c r="QY40" s="1005"/>
      <c r="QZ40" s="1005"/>
      <c r="RA40" s="1005"/>
      <c r="RB40" s="1005"/>
      <c r="RC40" s="1005"/>
      <c r="RD40" s="1005"/>
      <c r="RE40" s="1005"/>
      <c r="RF40" s="1005"/>
      <c r="RG40" s="1005"/>
      <c r="RH40" s="1005"/>
      <c r="RI40" s="1005"/>
      <c r="RJ40" s="1005"/>
      <c r="RK40" s="1005"/>
      <c r="RL40" s="1005"/>
      <c r="RM40" s="1005"/>
      <c r="RN40" s="1005"/>
      <c r="RO40" s="1005"/>
      <c r="RP40" s="1005"/>
      <c r="RQ40" s="1005"/>
      <c r="RR40" s="1005"/>
      <c r="RS40" s="1005"/>
      <c r="RT40" s="1005"/>
      <c r="RU40" s="1005"/>
      <c r="RV40" s="1005"/>
      <c r="RW40" s="1005"/>
      <c r="RX40" s="1005"/>
      <c r="RY40" s="1005"/>
      <c r="RZ40" s="1005"/>
      <c r="SA40" s="1005"/>
      <c r="SB40" s="1005"/>
      <c r="SC40" s="1005"/>
      <c r="SD40" s="1005"/>
      <c r="SE40" s="1005"/>
      <c r="SF40" s="1005"/>
      <c r="SG40" s="1005"/>
      <c r="SH40" s="1005"/>
      <c r="SI40" s="1005"/>
      <c r="SJ40" s="1005"/>
      <c r="SK40" s="1005"/>
      <c r="SL40" s="1005"/>
      <c r="SM40" s="1005"/>
      <c r="SN40" s="1005"/>
      <c r="SO40" s="1005"/>
      <c r="SP40" s="1005"/>
      <c r="SQ40" s="1005"/>
      <c r="SR40" s="1005"/>
      <c r="SS40" s="1005"/>
      <c r="ST40" s="1005"/>
      <c r="SU40" s="1005"/>
      <c r="SV40" s="1005"/>
      <c r="SW40" s="1005"/>
      <c r="SX40" s="1005"/>
      <c r="SY40" s="1005"/>
      <c r="SZ40" s="1005"/>
      <c r="TA40" s="1005"/>
      <c r="TB40" s="1005"/>
      <c r="TC40" s="1005"/>
      <c r="TD40" s="1005"/>
      <c r="TE40" s="1005"/>
      <c r="TF40" s="1005"/>
      <c r="TG40" s="1005"/>
      <c r="TH40" s="1005"/>
      <c r="TI40" s="1005"/>
      <c r="TJ40" s="1005"/>
      <c r="TK40" s="1005"/>
      <c r="TL40" s="1005"/>
      <c r="TM40" s="1005"/>
      <c r="TN40" s="1005"/>
      <c r="TO40" s="1005"/>
      <c r="TP40" s="1005"/>
      <c r="TQ40" s="1005"/>
      <c r="TR40" s="1005"/>
      <c r="TS40" s="1005"/>
      <c r="TT40" s="1005"/>
      <c r="TU40" s="1005"/>
      <c r="TV40" s="1005"/>
      <c r="TW40" s="1005"/>
      <c r="TX40" s="1005"/>
      <c r="TY40" s="1005"/>
      <c r="TZ40" s="1005"/>
      <c r="UA40" s="1005"/>
      <c r="UB40" s="1005"/>
      <c r="UC40" s="1005"/>
      <c r="UD40" s="1005"/>
      <c r="UE40" s="1005"/>
      <c r="UF40" s="1005"/>
      <c r="UG40" s="1005"/>
      <c r="UH40" s="1005"/>
      <c r="UI40" s="1005"/>
      <c r="UJ40" s="1005"/>
      <c r="UK40" s="1005"/>
      <c r="UL40" s="1005"/>
      <c r="UM40" s="1005"/>
      <c r="UN40" s="1005"/>
      <c r="UO40" s="1005"/>
      <c r="UP40" s="1005"/>
      <c r="UQ40" s="1005"/>
      <c r="UR40" s="1005"/>
      <c r="US40" s="1005"/>
      <c r="UT40" s="1005"/>
      <c r="UU40" s="1005"/>
      <c r="UV40" s="1005"/>
      <c r="UW40" s="1005"/>
      <c r="UX40" s="1005"/>
      <c r="UY40" s="1005"/>
      <c r="UZ40" s="1005"/>
      <c r="VA40" s="1005"/>
      <c r="VB40" s="1005"/>
      <c r="VC40" s="1005"/>
      <c r="VD40" s="1005"/>
      <c r="VE40" s="1005"/>
      <c r="VF40" s="1005"/>
      <c r="VG40" s="1005"/>
      <c r="VH40" s="1005"/>
      <c r="VI40" s="1005"/>
      <c r="VJ40" s="1005"/>
      <c r="VK40" s="1005"/>
      <c r="VL40" s="1005"/>
      <c r="VM40" s="1005"/>
      <c r="VN40" s="1005"/>
      <c r="VO40" s="1005"/>
      <c r="VP40" s="1005"/>
      <c r="VQ40" s="1005"/>
      <c r="VR40" s="1005"/>
      <c r="VS40" s="1005"/>
      <c r="VT40" s="1005"/>
      <c r="VU40" s="1005"/>
      <c r="VV40" s="1005"/>
      <c r="VW40" s="1005"/>
      <c r="VX40" s="1005"/>
      <c r="VY40" s="1005"/>
      <c r="VZ40" s="1005"/>
      <c r="WA40" s="1005"/>
      <c r="WB40" s="1005"/>
      <c r="WC40" s="1005"/>
      <c r="WD40" s="1005"/>
      <c r="WE40" s="1005"/>
      <c r="WF40" s="1005"/>
      <c r="WG40" s="1005"/>
      <c r="WH40" s="1005"/>
      <c r="WI40" s="1005"/>
      <c r="WJ40" s="1005"/>
      <c r="WK40" s="1005"/>
      <c r="WL40" s="1005"/>
      <c r="WM40" s="1005"/>
      <c r="WN40" s="1005"/>
      <c r="WO40" s="1005"/>
      <c r="WP40" s="1005"/>
      <c r="WQ40" s="1005"/>
      <c r="WR40" s="1005"/>
      <c r="WS40" s="1005"/>
      <c r="WT40" s="1005"/>
      <c r="WU40" s="1005"/>
      <c r="WV40" s="1005"/>
      <c r="WW40" s="1005"/>
      <c r="WX40" s="1005"/>
      <c r="WY40" s="1005"/>
      <c r="WZ40" s="1005"/>
      <c r="XA40" s="1005"/>
      <c r="XB40" s="1005"/>
      <c r="XC40" s="1005"/>
      <c r="XD40" s="1005"/>
      <c r="XE40" s="1005"/>
      <c r="XF40" s="1005"/>
      <c r="XG40" s="1005"/>
      <c r="XH40" s="1005"/>
      <c r="XI40" s="1005"/>
      <c r="XJ40" s="1005"/>
      <c r="XK40" s="1005"/>
      <c r="XL40" s="1005"/>
      <c r="XM40" s="1005"/>
      <c r="XN40" s="1005"/>
      <c r="XO40" s="1005"/>
      <c r="XP40" s="1005"/>
      <c r="XQ40" s="1005"/>
      <c r="XR40" s="1005"/>
      <c r="XS40" s="1005"/>
      <c r="XT40" s="1005"/>
      <c r="XU40" s="1005"/>
      <c r="XV40" s="1005"/>
      <c r="XW40" s="1005"/>
      <c r="XX40" s="1005"/>
      <c r="XY40" s="1005"/>
      <c r="XZ40" s="1005"/>
      <c r="YA40" s="1005"/>
      <c r="YB40" s="1005"/>
      <c r="YC40" s="1005"/>
      <c r="YD40" s="1005"/>
      <c r="YE40" s="1005"/>
      <c r="YF40" s="1005"/>
      <c r="YG40" s="1005"/>
      <c r="YH40" s="1005"/>
      <c r="YI40" s="1005"/>
      <c r="YJ40" s="1005"/>
      <c r="YK40" s="1005"/>
      <c r="YL40" s="1005"/>
      <c r="YM40" s="1005"/>
      <c r="YN40" s="1005"/>
      <c r="YO40" s="1005"/>
      <c r="YP40" s="1005"/>
      <c r="YQ40" s="1005"/>
      <c r="YR40" s="1005"/>
      <c r="YS40" s="1005"/>
      <c r="YT40" s="1005"/>
      <c r="YU40" s="1005"/>
      <c r="YV40" s="1005"/>
      <c r="YW40" s="1005"/>
      <c r="YX40" s="1005"/>
      <c r="YY40" s="1005"/>
      <c r="YZ40" s="1005"/>
      <c r="ZA40" s="1005"/>
      <c r="ZB40" s="1005"/>
      <c r="ZC40" s="1005"/>
      <c r="ZD40" s="1005"/>
      <c r="ZE40" s="1005"/>
      <c r="ZF40" s="1005"/>
      <c r="ZG40" s="1005"/>
      <c r="ZH40" s="1005"/>
      <c r="ZI40" s="1005"/>
      <c r="ZJ40" s="1005"/>
      <c r="ZK40" s="1005"/>
      <c r="ZL40" s="1005"/>
      <c r="ZM40" s="1005"/>
      <c r="ZN40" s="1005"/>
      <c r="ZO40" s="1005"/>
      <c r="ZP40" s="1005"/>
      <c r="ZQ40" s="1005"/>
      <c r="ZR40" s="1005"/>
      <c r="ZS40" s="1005"/>
      <c r="ZT40" s="1005"/>
      <c r="ZU40" s="1005"/>
      <c r="ZV40" s="1005"/>
      <c r="ZW40" s="1005"/>
      <c r="ZX40" s="1005"/>
      <c r="ZY40" s="1005"/>
      <c r="ZZ40" s="1005"/>
      <c r="AAA40" s="1005"/>
      <c r="AAB40" s="1005"/>
      <c r="AAC40" s="1005"/>
      <c r="AAD40" s="1005"/>
      <c r="AAE40" s="1005"/>
      <c r="AAF40" s="1005"/>
      <c r="AAG40" s="1005"/>
      <c r="AAH40" s="1005"/>
      <c r="AAI40" s="1005"/>
      <c r="AAJ40" s="1005"/>
      <c r="AAK40" s="1005"/>
      <c r="AAL40" s="1005"/>
      <c r="AAM40" s="1005"/>
      <c r="AAN40" s="1005"/>
      <c r="AAO40" s="1005"/>
      <c r="AAP40" s="1005"/>
      <c r="AAQ40" s="1005"/>
      <c r="AAR40" s="1005"/>
      <c r="AAS40" s="1005"/>
      <c r="AAT40" s="1005"/>
      <c r="AAU40" s="1005"/>
      <c r="AAV40" s="1005"/>
      <c r="AAW40" s="1005"/>
      <c r="AAX40" s="1005"/>
      <c r="AAY40" s="1005"/>
      <c r="AAZ40" s="1005"/>
      <c r="ABA40" s="1005"/>
      <c r="ABB40" s="1005"/>
      <c r="ABC40" s="1005"/>
      <c r="ABD40" s="1005"/>
      <c r="ABE40" s="1005"/>
      <c r="ABF40" s="1005"/>
      <c r="ABG40" s="1005"/>
      <c r="ABH40" s="1005"/>
      <c r="ABI40" s="1005"/>
      <c r="ABJ40" s="1005"/>
      <c r="ABK40" s="1005"/>
      <c r="ABL40" s="1005"/>
      <c r="ABM40" s="1005"/>
      <c r="ABN40" s="1005"/>
      <c r="ABO40" s="1005"/>
      <c r="ABP40" s="1005"/>
      <c r="ABQ40" s="1005"/>
      <c r="ABR40" s="1005"/>
    </row>
    <row r="41" spans="1:746" s="113" customFormat="1" ht="12.75" hidden="1" customHeight="1" thickBot="1">
      <c r="A41" s="1253"/>
      <c r="B41" s="2957" t="s">
        <v>413</v>
      </c>
      <c r="C41" s="2958"/>
      <c r="D41" s="348"/>
      <c r="E41" s="347" t="s">
        <v>1</v>
      </c>
      <c r="F41" s="1240"/>
      <c r="G41" s="347">
        <v>0.25</v>
      </c>
      <c r="H41" s="2349"/>
      <c r="I41" s="1966"/>
      <c r="J41" s="809"/>
      <c r="K41" s="809"/>
      <c r="L41" s="809"/>
      <c r="M41" s="809"/>
      <c r="N41" s="809"/>
      <c r="O41" s="809"/>
      <c r="P41" s="809"/>
      <c r="Q41" s="809"/>
      <c r="R41" s="809"/>
      <c r="S41" s="809"/>
      <c r="T41" s="809"/>
      <c r="U41" s="2192"/>
      <c r="V41" s="2192"/>
      <c r="W41" s="2192"/>
      <c r="X41" s="2192"/>
      <c r="Y41" s="2192"/>
      <c r="Z41" s="2192"/>
      <c r="AA41" s="2192"/>
      <c r="AB41" s="2192"/>
      <c r="AC41" s="2192"/>
      <c r="AD41" s="2192"/>
      <c r="AE41" s="2192"/>
      <c r="AF41" s="2192"/>
      <c r="AG41" s="2202"/>
      <c r="AH41" s="333"/>
      <c r="AI41" s="2226"/>
      <c r="AJ41" s="416">
        <f>IF(fx!$C$57=1,SUMIF(fx!I$57:T$57,1,I41:T41),IF(fx!$C$57=2,SUMIF(fx!O$57:AF$57,1,O41:AF41)))</f>
        <v>0</v>
      </c>
      <c r="AK41" s="419"/>
      <c r="AL41" s="422">
        <f>IF(fx!$C$57=1,SUM(U41:AF41),0)</f>
        <v>0</v>
      </c>
      <c r="AM41" s="1005"/>
      <c r="AN41" s="1011"/>
      <c r="AO41" s="1945"/>
      <c r="AP41" s="1935"/>
      <c r="AQ41" s="1936"/>
      <c r="AR41" s="1941"/>
      <c r="AS41" s="1941"/>
      <c r="AT41" s="1941"/>
      <c r="AU41" s="1941"/>
      <c r="AV41" s="1941"/>
      <c r="AW41" s="1941"/>
      <c r="AX41" s="1941"/>
      <c r="AY41" s="1941"/>
      <c r="AZ41" s="1941"/>
      <c r="BA41" s="1941"/>
      <c r="BB41" s="1941"/>
      <c r="BC41" s="1941"/>
      <c r="BD41" s="1941"/>
      <c r="BE41" s="1941"/>
      <c r="BF41" s="1941"/>
      <c r="BG41" s="1941"/>
      <c r="BH41" s="1941"/>
      <c r="BI41" s="1941"/>
      <c r="BJ41" s="1941"/>
      <c r="BK41" s="1941"/>
      <c r="BL41" s="1941"/>
      <c r="BM41" s="1941"/>
      <c r="BN41" s="1941"/>
      <c r="BO41" s="1941"/>
      <c r="BP41" s="1005"/>
      <c r="BQ41" s="1005"/>
      <c r="BR41" s="1005"/>
      <c r="BS41" s="1005"/>
      <c r="BT41" s="1005"/>
      <c r="BU41" s="1005"/>
      <c r="BV41" s="1005"/>
      <c r="BW41" s="1005"/>
      <c r="BX41" s="1005"/>
      <c r="BY41" s="1005"/>
      <c r="BZ41" s="1005"/>
      <c r="CA41" s="1005"/>
      <c r="CB41" s="1005"/>
      <c r="CC41" s="1005"/>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c r="EC41" s="1005"/>
      <c r="ED41" s="1005"/>
      <c r="EE41" s="1005"/>
      <c r="EF41" s="1005"/>
      <c r="EG41" s="1005"/>
      <c r="EH41" s="1005"/>
      <c r="EI41" s="1005"/>
      <c r="EJ41" s="1005"/>
      <c r="EK41" s="1005"/>
      <c r="EL41" s="1005"/>
      <c r="EM41" s="1005"/>
      <c r="EN41" s="1005"/>
      <c r="EO41" s="1005"/>
      <c r="EP41" s="1005"/>
      <c r="EQ41" s="1005"/>
      <c r="ER41" s="1005"/>
      <c r="ES41" s="1005"/>
      <c r="ET41" s="1005"/>
      <c r="EU41" s="1005"/>
      <c r="EV41" s="1005"/>
      <c r="EW41" s="1005"/>
      <c r="EX41" s="1005"/>
      <c r="EY41" s="1005"/>
      <c r="EZ41" s="1005"/>
      <c r="FA41" s="1005"/>
      <c r="FB41" s="1005"/>
      <c r="FC41" s="1005"/>
      <c r="FD41" s="1005"/>
      <c r="FE41" s="1005"/>
      <c r="FF41" s="1005"/>
      <c r="FG41" s="1005"/>
      <c r="FH41" s="1005"/>
      <c r="FI41" s="1005"/>
      <c r="FJ41" s="1005"/>
      <c r="FK41" s="1005"/>
      <c r="FL41" s="1005"/>
      <c r="FM41" s="1005"/>
      <c r="FN41" s="1005"/>
      <c r="FO41" s="1005"/>
      <c r="FP41" s="1005"/>
      <c r="FQ41" s="1005"/>
      <c r="FR41" s="1005"/>
      <c r="FS41" s="1005"/>
      <c r="FT41" s="1005"/>
      <c r="FU41" s="1005"/>
      <c r="FV41" s="1005"/>
      <c r="FW41" s="1005"/>
      <c r="FX41" s="1005"/>
      <c r="FY41" s="1005"/>
      <c r="FZ41" s="1005"/>
      <c r="GA41" s="1005"/>
      <c r="GB41" s="1005"/>
      <c r="GC41" s="1005"/>
      <c r="GD41" s="1005"/>
      <c r="GE41" s="1005"/>
      <c r="GF41" s="1005"/>
      <c r="GG41" s="1005"/>
      <c r="GH41" s="1005"/>
      <c r="GI41" s="1005"/>
      <c r="GJ41" s="1005"/>
      <c r="GK41" s="1005"/>
      <c r="GL41" s="1005"/>
      <c r="GM41" s="1005"/>
      <c r="GN41" s="1005"/>
      <c r="GO41" s="1005"/>
      <c r="GP41" s="1005"/>
      <c r="GQ41" s="1005"/>
      <c r="GR41" s="1005"/>
      <c r="GS41" s="1005"/>
      <c r="GT41" s="1005"/>
      <c r="GU41" s="1005"/>
      <c r="GV41" s="1005"/>
      <c r="GW41" s="1005"/>
      <c r="GX41" s="1005"/>
      <c r="GY41" s="1005"/>
      <c r="GZ41" s="1005"/>
      <c r="HA41" s="1005"/>
      <c r="HB41" s="1005"/>
      <c r="HC41" s="1005"/>
      <c r="HD41" s="1005"/>
      <c r="HE41" s="1005"/>
      <c r="HF41" s="1005"/>
      <c r="HG41" s="1005"/>
      <c r="HH41" s="1005"/>
      <c r="HI41" s="1005"/>
      <c r="HJ41" s="1005"/>
      <c r="HK41" s="1005"/>
      <c r="HL41" s="1005"/>
      <c r="HM41" s="1005"/>
      <c r="HN41" s="1005"/>
      <c r="HO41" s="1005"/>
      <c r="HP41" s="1005"/>
      <c r="HQ41" s="1005"/>
      <c r="HR41" s="1005"/>
      <c r="HS41" s="1005"/>
      <c r="HT41" s="1005"/>
      <c r="HU41" s="1005"/>
      <c r="HV41" s="1005"/>
      <c r="HW41" s="1005"/>
      <c r="HX41" s="1005"/>
      <c r="HY41" s="1005"/>
      <c r="HZ41" s="1005"/>
      <c r="IA41" s="1005"/>
      <c r="IB41" s="1005"/>
      <c r="IC41" s="1005"/>
      <c r="ID41" s="1005"/>
      <c r="IE41" s="1005"/>
      <c r="IF41" s="1005"/>
      <c r="IG41" s="1005"/>
      <c r="IH41" s="1005"/>
      <c r="II41" s="1005"/>
      <c r="IJ41" s="1005"/>
      <c r="IK41" s="1005"/>
      <c r="IL41" s="1005"/>
      <c r="IM41" s="1005"/>
      <c r="IN41" s="1005"/>
      <c r="IO41" s="1005"/>
      <c r="IP41" s="1005"/>
      <c r="IQ41" s="1005"/>
      <c r="IR41" s="1005"/>
      <c r="IS41" s="1005"/>
      <c r="IT41" s="1005"/>
      <c r="IU41" s="1005"/>
      <c r="IV41" s="1005"/>
      <c r="IW41" s="1005"/>
      <c r="IX41" s="1005"/>
      <c r="IY41" s="1005"/>
      <c r="IZ41" s="1005"/>
      <c r="JA41" s="1005"/>
      <c r="JB41" s="1005"/>
      <c r="JC41" s="1005"/>
      <c r="JD41" s="1005"/>
      <c r="JE41" s="1005"/>
      <c r="JF41" s="1005"/>
      <c r="JG41" s="1005"/>
      <c r="JH41" s="1005"/>
      <c r="JI41" s="1005"/>
      <c r="JJ41" s="1005"/>
      <c r="JK41" s="1005"/>
      <c r="JL41" s="1005"/>
      <c r="JM41" s="1005"/>
      <c r="JN41" s="1005"/>
      <c r="JO41" s="1005"/>
      <c r="JP41" s="1005"/>
      <c r="JQ41" s="1005"/>
      <c r="JR41" s="1005"/>
      <c r="JS41" s="1005"/>
      <c r="JT41" s="1005"/>
      <c r="JU41" s="1005"/>
      <c r="JV41" s="1005"/>
      <c r="JW41" s="1005"/>
      <c r="JX41" s="1005"/>
      <c r="JY41" s="1005"/>
      <c r="JZ41" s="1005"/>
      <c r="KA41" s="1005"/>
      <c r="KB41" s="1005"/>
      <c r="KC41" s="1005"/>
      <c r="KD41" s="1005"/>
      <c r="KE41" s="1005"/>
      <c r="KF41" s="1005"/>
      <c r="KG41" s="1005"/>
      <c r="KH41" s="1005"/>
      <c r="KI41" s="1005"/>
      <c r="KJ41" s="1005"/>
      <c r="KK41" s="1005"/>
      <c r="KL41" s="1005"/>
      <c r="KM41" s="1005"/>
      <c r="KN41" s="1005"/>
      <c r="KO41" s="1005"/>
      <c r="KP41" s="1005"/>
      <c r="KQ41" s="1005"/>
      <c r="KR41" s="1005"/>
      <c r="KS41" s="1005"/>
      <c r="KT41" s="1005"/>
      <c r="KU41" s="1005"/>
      <c r="KV41" s="1005"/>
      <c r="KW41" s="1005"/>
      <c r="KX41" s="1005"/>
      <c r="KY41" s="1005"/>
      <c r="KZ41" s="1005"/>
      <c r="LA41" s="1005"/>
      <c r="LB41" s="1005"/>
      <c r="LC41" s="1005"/>
      <c r="LD41" s="1005"/>
      <c r="LE41" s="1005"/>
      <c r="LF41" s="1005"/>
      <c r="LG41" s="1005"/>
      <c r="LH41" s="1005"/>
      <c r="LI41" s="1005"/>
      <c r="LJ41" s="1005"/>
      <c r="LK41" s="1005"/>
      <c r="LL41" s="1005"/>
      <c r="LM41" s="1005"/>
      <c r="LN41" s="1005"/>
      <c r="LO41" s="1005"/>
      <c r="LP41" s="1005"/>
      <c r="LQ41" s="1005"/>
      <c r="LR41" s="1005"/>
      <c r="LS41" s="1005"/>
      <c r="LT41" s="1005"/>
      <c r="LU41" s="1005"/>
      <c r="LV41" s="1005"/>
      <c r="LW41" s="1005"/>
      <c r="LX41" s="1005"/>
      <c r="LY41" s="1005"/>
      <c r="LZ41" s="1005"/>
      <c r="MA41" s="1005"/>
      <c r="MB41" s="1005"/>
      <c r="MC41" s="1005"/>
      <c r="MD41" s="1005"/>
      <c r="ME41" s="1005"/>
      <c r="MF41" s="1005"/>
      <c r="MG41" s="1005"/>
      <c r="MH41" s="1005"/>
      <c r="MI41" s="1005"/>
      <c r="MJ41" s="1005"/>
      <c r="MK41" s="1005"/>
      <c r="ML41" s="1005"/>
      <c r="MM41" s="1005"/>
      <c r="MN41" s="1005"/>
      <c r="MO41" s="1005"/>
      <c r="MP41" s="1005"/>
      <c r="MQ41" s="1005"/>
      <c r="MR41" s="1005"/>
      <c r="MS41" s="1005"/>
      <c r="MT41" s="1005"/>
      <c r="MU41" s="1005"/>
      <c r="MV41" s="1005"/>
      <c r="MW41" s="1005"/>
      <c r="MX41" s="1005"/>
      <c r="MY41" s="1005"/>
      <c r="MZ41" s="1005"/>
      <c r="NA41" s="1005"/>
      <c r="NB41" s="1005"/>
      <c r="NC41" s="1005"/>
      <c r="ND41" s="1005"/>
      <c r="NE41" s="1005"/>
      <c r="NF41" s="1005"/>
      <c r="NG41" s="1005"/>
      <c r="NH41" s="1005"/>
      <c r="NI41" s="1005"/>
      <c r="NJ41" s="1005"/>
      <c r="NK41" s="1005"/>
      <c r="NL41" s="1005"/>
      <c r="NM41" s="1005"/>
      <c r="NN41" s="1005"/>
      <c r="NO41" s="1005"/>
      <c r="NP41" s="1005"/>
      <c r="NQ41" s="1005"/>
      <c r="NR41" s="1005"/>
      <c r="NS41" s="1005"/>
      <c r="NT41" s="1005"/>
      <c r="NU41" s="1005"/>
      <c r="NV41" s="1005"/>
      <c r="NW41" s="1005"/>
      <c r="NX41" s="1005"/>
      <c r="NY41" s="1005"/>
      <c r="NZ41" s="1005"/>
      <c r="OA41" s="1005"/>
      <c r="OB41" s="1005"/>
      <c r="OC41" s="1005"/>
      <c r="OD41" s="1005"/>
      <c r="OE41" s="1005"/>
      <c r="OF41" s="1005"/>
      <c r="OG41" s="1005"/>
      <c r="OH41" s="1005"/>
      <c r="OI41" s="1005"/>
      <c r="OJ41" s="1005"/>
      <c r="OK41" s="1005"/>
      <c r="OL41" s="1005"/>
      <c r="OM41" s="1005"/>
      <c r="ON41" s="1005"/>
      <c r="OO41" s="1005"/>
      <c r="OP41" s="1005"/>
      <c r="OQ41" s="1005"/>
      <c r="OR41" s="1005"/>
      <c r="OS41" s="1005"/>
      <c r="OT41" s="1005"/>
      <c r="OU41" s="1005"/>
      <c r="OV41" s="1005"/>
      <c r="OW41" s="1005"/>
      <c r="OX41" s="1005"/>
      <c r="OY41" s="1005"/>
      <c r="OZ41" s="1005"/>
      <c r="PA41" s="1005"/>
      <c r="PB41" s="1005"/>
      <c r="PC41" s="1005"/>
      <c r="PD41" s="1005"/>
      <c r="PE41" s="1005"/>
      <c r="PF41" s="1005"/>
      <c r="PG41" s="1005"/>
      <c r="PH41" s="1005"/>
      <c r="PI41" s="1005"/>
      <c r="PJ41" s="1005"/>
      <c r="PK41" s="1005"/>
      <c r="PL41" s="1005"/>
      <c r="PM41" s="1005"/>
      <c r="PN41" s="1005"/>
      <c r="PO41" s="1005"/>
      <c r="PP41" s="1005"/>
      <c r="PQ41" s="1005"/>
      <c r="PR41" s="1005"/>
      <c r="PS41" s="1005"/>
      <c r="PT41" s="1005"/>
      <c r="PU41" s="1005"/>
      <c r="PV41" s="1005"/>
      <c r="PW41" s="1005"/>
      <c r="PX41" s="1005"/>
      <c r="PY41" s="1005"/>
      <c r="PZ41" s="1005"/>
      <c r="QA41" s="1005"/>
      <c r="QB41" s="1005"/>
      <c r="QC41" s="1005"/>
      <c r="QD41" s="1005"/>
      <c r="QE41" s="1005"/>
      <c r="QF41" s="1005"/>
      <c r="QG41" s="1005"/>
      <c r="QH41" s="1005"/>
      <c r="QI41" s="1005"/>
      <c r="QJ41" s="1005"/>
      <c r="QK41" s="1005"/>
      <c r="QL41" s="1005"/>
      <c r="QM41" s="1005"/>
      <c r="QN41" s="1005"/>
      <c r="QO41" s="1005"/>
      <c r="QP41" s="1005"/>
      <c r="QQ41" s="1005"/>
      <c r="QR41" s="1005"/>
      <c r="QS41" s="1005"/>
      <c r="QT41" s="1005"/>
      <c r="QU41" s="1005"/>
      <c r="QV41" s="1005"/>
      <c r="QW41" s="1005"/>
      <c r="QX41" s="1005"/>
      <c r="QY41" s="1005"/>
      <c r="QZ41" s="1005"/>
      <c r="RA41" s="1005"/>
      <c r="RB41" s="1005"/>
      <c r="RC41" s="1005"/>
      <c r="RD41" s="1005"/>
      <c r="RE41" s="1005"/>
      <c r="RF41" s="1005"/>
      <c r="RG41" s="1005"/>
      <c r="RH41" s="1005"/>
      <c r="RI41" s="1005"/>
      <c r="RJ41" s="1005"/>
      <c r="RK41" s="1005"/>
      <c r="RL41" s="1005"/>
      <c r="RM41" s="1005"/>
      <c r="RN41" s="1005"/>
      <c r="RO41" s="1005"/>
      <c r="RP41" s="1005"/>
      <c r="RQ41" s="1005"/>
      <c r="RR41" s="1005"/>
      <c r="RS41" s="1005"/>
      <c r="RT41" s="1005"/>
      <c r="RU41" s="1005"/>
      <c r="RV41" s="1005"/>
      <c r="RW41" s="1005"/>
      <c r="RX41" s="1005"/>
      <c r="RY41" s="1005"/>
      <c r="RZ41" s="1005"/>
      <c r="SA41" s="1005"/>
      <c r="SB41" s="1005"/>
      <c r="SC41" s="1005"/>
      <c r="SD41" s="1005"/>
      <c r="SE41" s="1005"/>
      <c r="SF41" s="1005"/>
      <c r="SG41" s="1005"/>
      <c r="SH41" s="1005"/>
      <c r="SI41" s="1005"/>
      <c r="SJ41" s="1005"/>
      <c r="SK41" s="1005"/>
      <c r="SL41" s="1005"/>
      <c r="SM41" s="1005"/>
      <c r="SN41" s="1005"/>
      <c r="SO41" s="1005"/>
      <c r="SP41" s="1005"/>
      <c r="SQ41" s="1005"/>
      <c r="SR41" s="1005"/>
      <c r="SS41" s="1005"/>
      <c r="ST41" s="1005"/>
      <c r="SU41" s="1005"/>
      <c r="SV41" s="1005"/>
      <c r="SW41" s="1005"/>
      <c r="SX41" s="1005"/>
      <c r="SY41" s="1005"/>
      <c r="SZ41" s="1005"/>
      <c r="TA41" s="1005"/>
      <c r="TB41" s="1005"/>
      <c r="TC41" s="1005"/>
      <c r="TD41" s="1005"/>
      <c r="TE41" s="1005"/>
      <c r="TF41" s="1005"/>
      <c r="TG41" s="1005"/>
      <c r="TH41" s="1005"/>
      <c r="TI41" s="1005"/>
      <c r="TJ41" s="1005"/>
      <c r="TK41" s="1005"/>
      <c r="TL41" s="1005"/>
      <c r="TM41" s="1005"/>
      <c r="TN41" s="1005"/>
      <c r="TO41" s="1005"/>
      <c r="TP41" s="1005"/>
      <c r="TQ41" s="1005"/>
      <c r="TR41" s="1005"/>
      <c r="TS41" s="1005"/>
      <c r="TT41" s="1005"/>
      <c r="TU41" s="1005"/>
      <c r="TV41" s="1005"/>
      <c r="TW41" s="1005"/>
      <c r="TX41" s="1005"/>
      <c r="TY41" s="1005"/>
      <c r="TZ41" s="1005"/>
      <c r="UA41" s="1005"/>
      <c r="UB41" s="1005"/>
      <c r="UC41" s="1005"/>
      <c r="UD41" s="1005"/>
      <c r="UE41" s="1005"/>
      <c r="UF41" s="1005"/>
      <c r="UG41" s="1005"/>
      <c r="UH41" s="1005"/>
      <c r="UI41" s="1005"/>
      <c r="UJ41" s="1005"/>
      <c r="UK41" s="1005"/>
      <c r="UL41" s="1005"/>
      <c r="UM41" s="1005"/>
      <c r="UN41" s="1005"/>
      <c r="UO41" s="1005"/>
      <c r="UP41" s="1005"/>
      <c r="UQ41" s="1005"/>
      <c r="UR41" s="1005"/>
      <c r="US41" s="1005"/>
      <c r="UT41" s="1005"/>
      <c r="UU41" s="1005"/>
      <c r="UV41" s="1005"/>
      <c r="UW41" s="1005"/>
      <c r="UX41" s="1005"/>
      <c r="UY41" s="1005"/>
      <c r="UZ41" s="1005"/>
      <c r="VA41" s="1005"/>
      <c r="VB41" s="1005"/>
      <c r="VC41" s="1005"/>
      <c r="VD41" s="1005"/>
      <c r="VE41" s="1005"/>
      <c r="VF41" s="1005"/>
      <c r="VG41" s="1005"/>
      <c r="VH41" s="1005"/>
      <c r="VI41" s="1005"/>
      <c r="VJ41" s="1005"/>
      <c r="VK41" s="1005"/>
      <c r="VL41" s="1005"/>
      <c r="VM41" s="1005"/>
      <c r="VN41" s="1005"/>
      <c r="VO41" s="1005"/>
      <c r="VP41" s="1005"/>
      <c r="VQ41" s="1005"/>
      <c r="VR41" s="1005"/>
      <c r="VS41" s="1005"/>
      <c r="VT41" s="1005"/>
      <c r="VU41" s="1005"/>
      <c r="VV41" s="1005"/>
      <c r="VW41" s="1005"/>
      <c r="VX41" s="1005"/>
      <c r="VY41" s="1005"/>
      <c r="VZ41" s="1005"/>
      <c r="WA41" s="1005"/>
      <c r="WB41" s="1005"/>
      <c r="WC41" s="1005"/>
      <c r="WD41" s="1005"/>
      <c r="WE41" s="1005"/>
      <c r="WF41" s="1005"/>
      <c r="WG41" s="1005"/>
      <c r="WH41" s="1005"/>
      <c r="WI41" s="1005"/>
      <c r="WJ41" s="1005"/>
      <c r="WK41" s="1005"/>
      <c r="WL41" s="1005"/>
      <c r="WM41" s="1005"/>
      <c r="WN41" s="1005"/>
      <c r="WO41" s="1005"/>
      <c r="WP41" s="1005"/>
      <c r="WQ41" s="1005"/>
      <c r="WR41" s="1005"/>
      <c r="WS41" s="1005"/>
      <c r="WT41" s="1005"/>
      <c r="WU41" s="1005"/>
      <c r="WV41" s="1005"/>
      <c r="WW41" s="1005"/>
      <c r="WX41" s="1005"/>
      <c r="WY41" s="1005"/>
      <c r="WZ41" s="1005"/>
      <c r="XA41" s="1005"/>
      <c r="XB41" s="1005"/>
      <c r="XC41" s="1005"/>
      <c r="XD41" s="1005"/>
      <c r="XE41" s="1005"/>
      <c r="XF41" s="1005"/>
      <c r="XG41" s="1005"/>
      <c r="XH41" s="1005"/>
      <c r="XI41" s="1005"/>
      <c r="XJ41" s="1005"/>
      <c r="XK41" s="1005"/>
      <c r="XL41" s="1005"/>
      <c r="XM41" s="1005"/>
      <c r="XN41" s="1005"/>
      <c r="XO41" s="1005"/>
      <c r="XP41" s="1005"/>
      <c r="XQ41" s="1005"/>
      <c r="XR41" s="1005"/>
      <c r="XS41" s="1005"/>
      <c r="XT41" s="1005"/>
      <c r="XU41" s="1005"/>
      <c r="XV41" s="1005"/>
      <c r="XW41" s="1005"/>
      <c r="XX41" s="1005"/>
      <c r="XY41" s="1005"/>
      <c r="XZ41" s="1005"/>
      <c r="YA41" s="1005"/>
      <c r="YB41" s="1005"/>
      <c r="YC41" s="1005"/>
      <c r="YD41" s="1005"/>
      <c r="YE41" s="1005"/>
      <c r="YF41" s="1005"/>
      <c r="YG41" s="1005"/>
      <c r="YH41" s="1005"/>
      <c r="YI41" s="1005"/>
      <c r="YJ41" s="1005"/>
      <c r="YK41" s="1005"/>
      <c r="YL41" s="1005"/>
      <c r="YM41" s="1005"/>
      <c r="YN41" s="1005"/>
      <c r="YO41" s="1005"/>
      <c r="YP41" s="1005"/>
      <c r="YQ41" s="1005"/>
      <c r="YR41" s="1005"/>
      <c r="YS41" s="1005"/>
      <c r="YT41" s="1005"/>
      <c r="YU41" s="1005"/>
      <c r="YV41" s="1005"/>
      <c r="YW41" s="1005"/>
      <c r="YX41" s="1005"/>
      <c r="YY41" s="1005"/>
      <c r="YZ41" s="1005"/>
      <c r="ZA41" s="1005"/>
      <c r="ZB41" s="1005"/>
      <c r="ZC41" s="1005"/>
      <c r="ZD41" s="1005"/>
      <c r="ZE41" s="1005"/>
      <c r="ZF41" s="1005"/>
      <c r="ZG41" s="1005"/>
      <c r="ZH41" s="1005"/>
      <c r="ZI41" s="1005"/>
      <c r="ZJ41" s="1005"/>
      <c r="ZK41" s="1005"/>
      <c r="ZL41" s="1005"/>
      <c r="ZM41" s="1005"/>
      <c r="ZN41" s="1005"/>
      <c r="ZO41" s="1005"/>
      <c r="ZP41" s="1005"/>
      <c r="ZQ41" s="1005"/>
      <c r="ZR41" s="1005"/>
      <c r="ZS41" s="1005"/>
      <c r="ZT41" s="1005"/>
      <c r="ZU41" s="1005"/>
      <c r="ZV41" s="1005"/>
      <c r="ZW41" s="1005"/>
      <c r="ZX41" s="1005"/>
      <c r="ZY41" s="1005"/>
      <c r="ZZ41" s="1005"/>
      <c r="AAA41" s="1005"/>
      <c r="AAB41" s="1005"/>
      <c r="AAC41" s="1005"/>
      <c r="AAD41" s="1005"/>
      <c r="AAE41" s="1005"/>
      <c r="AAF41" s="1005"/>
      <c r="AAG41" s="1005"/>
      <c r="AAH41" s="1005"/>
      <c r="AAI41" s="1005"/>
      <c r="AAJ41" s="1005"/>
      <c r="AAK41" s="1005"/>
      <c r="AAL41" s="1005"/>
      <c r="AAM41" s="1005"/>
      <c r="AAN41" s="1005"/>
      <c r="AAO41" s="1005"/>
      <c r="AAP41" s="1005"/>
      <c r="AAQ41" s="1005"/>
      <c r="AAR41" s="1005"/>
      <c r="AAS41" s="1005"/>
      <c r="AAT41" s="1005"/>
      <c r="AAU41" s="1005"/>
      <c r="AAV41" s="1005"/>
      <c r="AAW41" s="1005"/>
      <c r="AAX41" s="1005"/>
      <c r="AAY41" s="1005"/>
      <c r="AAZ41" s="1005"/>
      <c r="ABA41" s="1005"/>
      <c r="ABB41" s="1005"/>
      <c r="ABC41" s="1005"/>
      <c r="ABD41" s="1005"/>
      <c r="ABE41" s="1005"/>
      <c r="ABF41" s="1005"/>
      <c r="ABG41" s="1005"/>
      <c r="ABH41" s="1005"/>
      <c r="ABI41" s="1005"/>
      <c r="ABJ41" s="1005"/>
      <c r="ABK41" s="1005"/>
      <c r="ABL41" s="1005"/>
      <c r="ABM41" s="1005"/>
      <c r="ABN41" s="1005"/>
      <c r="ABO41" s="1005"/>
      <c r="ABP41" s="1005"/>
      <c r="ABQ41" s="1005"/>
      <c r="ABR41" s="1005"/>
    </row>
    <row r="42" spans="1:746" s="113" customFormat="1" ht="12.75" hidden="1" customHeight="1" thickBot="1">
      <c r="A42" s="1253"/>
      <c r="B42" s="2957" t="s">
        <v>414</v>
      </c>
      <c r="C42" s="2958"/>
      <c r="D42" s="348"/>
      <c r="E42" s="347" t="s">
        <v>1</v>
      </c>
      <c r="F42" s="1240"/>
      <c r="G42" s="347">
        <v>0.25</v>
      </c>
      <c r="H42" s="2349"/>
      <c r="I42" s="1966"/>
      <c r="J42" s="809"/>
      <c r="K42" s="809"/>
      <c r="L42" s="809"/>
      <c r="M42" s="809"/>
      <c r="N42" s="809"/>
      <c r="O42" s="809"/>
      <c r="P42" s="809"/>
      <c r="Q42" s="809"/>
      <c r="R42" s="809"/>
      <c r="S42" s="809"/>
      <c r="T42" s="809"/>
      <c r="U42" s="2192"/>
      <c r="V42" s="2192"/>
      <c r="W42" s="2192"/>
      <c r="X42" s="2192"/>
      <c r="Y42" s="2192"/>
      <c r="Z42" s="2192"/>
      <c r="AA42" s="2192"/>
      <c r="AB42" s="2192"/>
      <c r="AC42" s="2192"/>
      <c r="AD42" s="2192"/>
      <c r="AE42" s="2192"/>
      <c r="AF42" s="2192"/>
      <c r="AG42" s="2202"/>
      <c r="AH42" s="333"/>
      <c r="AI42" s="2226"/>
      <c r="AJ42" s="416">
        <f>IF(fx!$C$57=1,SUMIF(fx!I$57:T$57,1,I42:T42),IF(fx!$C$57=2,SUMIF(fx!O$57:AF$57,1,O42:AF42)))</f>
        <v>0</v>
      </c>
      <c r="AK42" s="419"/>
      <c r="AL42" s="422">
        <f>IF(fx!$C$57=1,SUM(U42:AF42),0)</f>
        <v>0</v>
      </c>
      <c r="AM42" s="1005"/>
      <c r="AN42" s="1011"/>
      <c r="AO42" s="1945" t="s">
        <v>1093</v>
      </c>
      <c r="AP42" s="1935"/>
      <c r="AQ42" s="1936"/>
      <c r="AR42" s="1941"/>
      <c r="AS42" s="1941"/>
      <c r="AT42" s="1941"/>
      <c r="AU42" s="1941"/>
      <c r="AV42" s="1941"/>
      <c r="AW42" s="1941"/>
      <c r="AX42" s="1941"/>
      <c r="AY42" s="1941"/>
      <c r="AZ42" s="1941"/>
      <c r="BA42" s="1941"/>
      <c r="BB42" s="1941"/>
      <c r="BC42" s="1941"/>
      <c r="BD42" s="1941"/>
      <c r="BE42" s="1941"/>
      <c r="BF42" s="1941"/>
      <c r="BG42" s="1941"/>
      <c r="BH42" s="1941"/>
      <c r="BI42" s="1941"/>
      <c r="BJ42" s="1941"/>
      <c r="BK42" s="1941"/>
      <c r="BL42" s="1941"/>
      <c r="BM42" s="1941"/>
      <c r="BN42" s="1941"/>
      <c r="BO42" s="1941"/>
      <c r="BP42" s="1005"/>
      <c r="BQ42" s="1005"/>
      <c r="BR42" s="1005"/>
      <c r="BS42" s="1005"/>
      <c r="BT42" s="1005"/>
      <c r="BU42" s="1005"/>
      <c r="BV42" s="1005"/>
      <c r="BW42" s="1005"/>
      <c r="BX42" s="1005"/>
      <c r="BY42" s="1005"/>
      <c r="BZ42" s="1005"/>
      <c r="CA42" s="1005"/>
      <c r="CB42" s="1005"/>
      <c r="CC42" s="1005"/>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c r="EC42" s="1005"/>
      <c r="ED42" s="1005"/>
      <c r="EE42" s="1005"/>
      <c r="EF42" s="1005"/>
      <c r="EG42" s="1005"/>
      <c r="EH42" s="1005"/>
      <c r="EI42" s="1005"/>
      <c r="EJ42" s="1005"/>
      <c r="EK42" s="1005"/>
      <c r="EL42" s="1005"/>
      <c r="EM42" s="1005"/>
      <c r="EN42" s="1005"/>
      <c r="EO42" s="1005"/>
      <c r="EP42" s="1005"/>
      <c r="EQ42" s="1005"/>
      <c r="ER42" s="1005"/>
      <c r="ES42" s="1005"/>
      <c r="ET42" s="1005"/>
      <c r="EU42" s="1005"/>
      <c r="EV42" s="1005"/>
      <c r="EW42" s="1005"/>
      <c r="EX42" s="1005"/>
      <c r="EY42" s="1005"/>
      <c r="EZ42" s="1005"/>
      <c r="FA42" s="1005"/>
      <c r="FB42" s="1005"/>
      <c r="FC42" s="1005"/>
      <c r="FD42" s="1005"/>
      <c r="FE42" s="1005"/>
      <c r="FF42" s="1005"/>
      <c r="FG42" s="1005"/>
      <c r="FH42" s="1005"/>
      <c r="FI42" s="1005"/>
      <c r="FJ42" s="1005"/>
      <c r="FK42" s="1005"/>
      <c r="FL42" s="1005"/>
      <c r="FM42" s="1005"/>
      <c r="FN42" s="1005"/>
      <c r="FO42" s="1005"/>
      <c r="FP42" s="1005"/>
      <c r="FQ42" s="1005"/>
      <c r="FR42" s="1005"/>
      <c r="FS42" s="1005"/>
      <c r="FT42" s="1005"/>
      <c r="FU42" s="1005"/>
      <c r="FV42" s="1005"/>
      <c r="FW42" s="1005"/>
      <c r="FX42" s="1005"/>
      <c r="FY42" s="1005"/>
      <c r="FZ42" s="1005"/>
      <c r="GA42" s="1005"/>
      <c r="GB42" s="1005"/>
      <c r="GC42" s="1005"/>
      <c r="GD42" s="1005"/>
      <c r="GE42" s="1005"/>
      <c r="GF42" s="1005"/>
      <c r="GG42" s="1005"/>
      <c r="GH42" s="1005"/>
      <c r="GI42" s="1005"/>
      <c r="GJ42" s="1005"/>
      <c r="GK42" s="1005"/>
      <c r="GL42" s="1005"/>
      <c r="GM42" s="1005"/>
      <c r="GN42" s="1005"/>
      <c r="GO42" s="1005"/>
      <c r="GP42" s="1005"/>
      <c r="GQ42" s="1005"/>
      <c r="GR42" s="1005"/>
      <c r="GS42" s="1005"/>
      <c r="GT42" s="1005"/>
      <c r="GU42" s="1005"/>
      <c r="GV42" s="1005"/>
      <c r="GW42" s="1005"/>
      <c r="GX42" s="1005"/>
      <c r="GY42" s="1005"/>
      <c r="GZ42" s="1005"/>
      <c r="HA42" s="1005"/>
      <c r="HB42" s="1005"/>
      <c r="HC42" s="1005"/>
      <c r="HD42" s="1005"/>
      <c r="HE42" s="1005"/>
      <c r="HF42" s="1005"/>
      <c r="HG42" s="1005"/>
      <c r="HH42" s="1005"/>
      <c r="HI42" s="1005"/>
      <c r="HJ42" s="1005"/>
      <c r="HK42" s="1005"/>
      <c r="HL42" s="1005"/>
      <c r="HM42" s="1005"/>
      <c r="HN42" s="1005"/>
      <c r="HO42" s="1005"/>
      <c r="HP42" s="1005"/>
      <c r="HQ42" s="1005"/>
      <c r="HR42" s="1005"/>
      <c r="HS42" s="1005"/>
      <c r="HT42" s="1005"/>
      <c r="HU42" s="1005"/>
      <c r="HV42" s="1005"/>
      <c r="HW42" s="1005"/>
      <c r="HX42" s="1005"/>
      <c r="HY42" s="1005"/>
      <c r="HZ42" s="1005"/>
      <c r="IA42" s="1005"/>
      <c r="IB42" s="1005"/>
      <c r="IC42" s="1005"/>
      <c r="ID42" s="1005"/>
      <c r="IE42" s="1005"/>
      <c r="IF42" s="1005"/>
      <c r="IG42" s="1005"/>
      <c r="IH42" s="1005"/>
      <c r="II42" s="1005"/>
      <c r="IJ42" s="1005"/>
      <c r="IK42" s="1005"/>
      <c r="IL42" s="1005"/>
      <c r="IM42" s="1005"/>
      <c r="IN42" s="1005"/>
      <c r="IO42" s="1005"/>
      <c r="IP42" s="1005"/>
      <c r="IQ42" s="1005"/>
      <c r="IR42" s="1005"/>
      <c r="IS42" s="1005"/>
      <c r="IT42" s="1005"/>
      <c r="IU42" s="1005"/>
      <c r="IV42" s="1005"/>
      <c r="IW42" s="1005"/>
      <c r="IX42" s="1005"/>
      <c r="IY42" s="1005"/>
      <c r="IZ42" s="1005"/>
      <c r="JA42" s="1005"/>
      <c r="JB42" s="1005"/>
      <c r="JC42" s="1005"/>
      <c r="JD42" s="1005"/>
      <c r="JE42" s="1005"/>
      <c r="JF42" s="1005"/>
      <c r="JG42" s="1005"/>
      <c r="JH42" s="1005"/>
      <c r="JI42" s="1005"/>
      <c r="JJ42" s="1005"/>
      <c r="JK42" s="1005"/>
      <c r="JL42" s="1005"/>
      <c r="JM42" s="1005"/>
      <c r="JN42" s="1005"/>
      <c r="JO42" s="1005"/>
      <c r="JP42" s="1005"/>
      <c r="JQ42" s="1005"/>
      <c r="JR42" s="1005"/>
      <c r="JS42" s="1005"/>
      <c r="JT42" s="1005"/>
      <c r="JU42" s="1005"/>
      <c r="JV42" s="1005"/>
      <c r="JW42" s="1005"/>
      <c r="JX42" s="1005"/>
      <c r="JY42" s="1005"/>
      <c r="JZ42" s="1005"/>
      <c r="KA42" s="1005"/>
      <c r="KB42" s="1005"/>
      <c r="KC42" s="1005"/>
      <c r="KD42" s="1005"/>
      <c r="KE42" s="1005"/>
      <c r="KF42" s="1005"/>
      <c r="KG42" s="1005"/>
      <c r="KH42" s="1005"/>
      <c r="KI42" s="1005"/>
      <c r="KJ42" s="1005"/>
      <c r="KK42" s="1005"/>
      <c r="KL42" s="1005"/>
      <c r="KM42" s="1005"/>
      <c r="KN42" s="1005"/>
      <c r="KO42" s="1005"/>
      <c r="KP42" s="1005"/>
      <c r="KQ42" s="1005"/>
      <c r="KR42" s="1005"/>
      <c r="KS42" s="1005"/>
      <c r="KT42" s="1005"/>
      <c r="KU42" s="1005"/>
      <c r="KV42" s="1005"/>
      <c r="KW42" s="1005"/>
      <c r="KX42" s="1005"/>
      <c r="KY42" s="1005"/>
      <c r="KZ42" s="1005"/>
      <c r="LA42" s="1005"/>
      <c r="LB42" s="1005"/>
      <c r="LC42" s="1005"/>
      <c r="LD42" s="1005"/>
      <c r="LE42" s="1005"/>
      <c r="LF42" s="1005"/>
      <c r="LG42" s="1005"/>
      <c r="LH42" s="1005"/>
      <c r="LI42" s="1005"/>
      <c r="LJ42" s="1005"/>
      <c r="LK42" s="1005"/>
      <c r="LL42" s="1005"/>
      <c r="LM42" s="1005"/>
      <c r="LN42" s="1005"/>
      <c r="LO42" s="1005"/>
      <c r="LP42" s="1005"/>
      <c r="LQ42" s="1005"/>
      <c r="LR42" s="1005"/>
      <c r="LS42" s="1005"/>
      <c r="LT42" s="1005"/>
      <c r="LU42" s="1005"/>
      <c r="LV42" s="1005"/>
      <c r="LW42" s="1005"/>
      <c r="LX42" s="1005"/>
      <c r="LY42" s="1005"/>
      <c r="LZ42" s="1005"/>
      <c r="MA42" s="1005"/>
      <c r="MB42" s="1005"/>
      <c r="MC42" s="1005"/>
      <c r="MD42" s="1005"/>
      <c r="ME42" s="1005"/>
      <c r="MF42" s="1005"/>
      <c r="MG42" s="1005"/>
      <c r="MH42" s="1005"/>
      <c r="MI42" s="1005"/>
      <c r="MJ42" s="1005"/>
      <c r="MK42" s="1005"/>
      <c r="ML42" s="1005"/>
      <c r="MM42" s="1005"/>
      <c r="MN42" s="1005"/>
      <c r="MO42" s="1005"/>
      <c r="MP42" s="1005"/>
      <c r="MQ42" s="1005"/>
      <c r="MR42" s="1005"/>
      <c r="MS42" s="1005"/>
      <c r="MT42" s="1005"/>
      <c r="MU42" s="1005"/>
      <c r="MV42" s="1005"/>
      <c r="MW42" s="1005"/>
      <c r="MX42" s="1005"/>
      <c r="MY42" s="1005"/>
      <c r="MZ42" s="1005"/>
      <c r="NA42" s="1005"/>
      <c r="NB42" s="1005"/>
      <c r="NC42" s="1005"/>
      <c r="ND42" s="1005"/>
      <c r="NE42" s="1005"/>
      <c r="NF42" s="1005"/>
      <c r="NG42" s="1005"/>
      <c r="NH42" s="1005"/>
      <c r="NI42" s="1005"/>
      <c r="NJ42" s="1005"/>
      <c r="NK42" s="1005"/>
      <c r="NL42" s="1005"/>
      <c r="NM42" s="1005"/>
      <c r="NN42" s="1005"/>
      <c r="NO42" s="1005"/>
      <c r="NP42" s="1005"/>
      <c r="NQ42" s="1005"/>
      <c r="NR42" s="1005"/>
      <c r="NS42" s="1005"/>
      <c r="NT42" s="1005"/>
      <c r="NU42" s="1005"/>
      <c r="NV42" s="1005"/>
      <c r="NW42" s="1005"/>
      <c r="NX42" s="1005"/>
      <c r="NY42" s="1005"/>
      <c r="NZ42" s="1005"/>
      <c r="OA42" s="1005"/>
      <c r="OB42" s="1005"/>
      <c r="OC42" s="1005"/>
      <c r="OD42" s="1005"/>
      <c r="OE42" s="1005"/>
      <c r="OF42" s="1005"/>
      <c r="OG42" s="1005"/>
      <c r="OH42" s="1005"/>
      <c r="OI42" s="1005"/>
      <c r="OJ42" s="1005"/>
      <c r="OK42" s="1005"/>
      <c r="OL42" s="1005"/>
      <c r="OM42" s="1005"/>
      <c r="ON42" s="1005"/>
      <c r="OO42" s="1005"/>
      <c r="OP42" s="1005"/>
      <c r="OQ42" s="1005"/>
      <c r="OR42" s="1005"/>
      <c r="OS42" s="1005"/>
      <c r="OT42" s="1005"/>
      <c r="OU42" s="1005"/>
      <c r="OV42" s="1005"/>
      <c r="OW42" s="1005"/>
      <c r="OX42" s="1005"/>
      <c r="OY42" s="1005"/>
      <c r="OZ42" s="1005"/>
      <c r="PA42" s="1005"/>
      <c r="PB42" s="1005"/>
      <c r="PC42" s="1005"/>
      <c r="PD42" s="1005"/>
      <c r="PE42" s="1005"/>
      <c r="PF42" s="1005"/>
      <c r="PG42" s="1005"/>
      <c r="PH42" s="1005"/>
      <c r="PI42" s="1005"/>
      <c r="PJ42" s="1005"/>
      <c r="PK42" s="1005"/>
      <c r="PL42" s="1005"/>
      <c r="PM42" s="1005"/>
      <c r="PN42" s="1005"/>
      <c r="PO42" s="1005"/>
      <c r="PP42" s="1005"/>
      <c r="PQ42" s="1005"/>
      <c r="PR42" s="1005"/>
      <c r="PS42" s="1005"/>
      <c r="PT42" s="1005"/>
      <c r="PU42" s="1005"/>
      <c r="PV42" s="1005"/>
      <c r="PW42" s="1005"/>
      <c r="PX42" s="1005"/>
      <c r="PY42" s="1005"/>
      <c r="PZ42" s="1005"/>
      <c r="QA42" s="1005"/>
      <c r="QB42" s="1005"/>
      <c r="QC42" s="1005"/>
      <c r="QD42" s="1005"/>
      <c r="QE42" s="1005"/>
      <c r="QF42" s="1005"/>
      <c r="QG42" s="1005"/>
      <c r="QH42" s="1005"/>
      <c r="QI42" s="1005"/>
      <c r="QJ42" s="1005"/>
      <c r="QK42" s="1005"/>
      <c r="QL42" s="1005"/>
      <c r="QM42" s="1005"/>
      <c r="QN42" s="1005"/>
      <c r="QO42" s="1005"/>
      <c r="QP42" s="1005"/>
      <c r="QQ42" s="1005"/>
      <c r="QR42" s="1005"/>
      <c r="QS42" s="1005"/>
      <c r="QT42" s="1005"/>
      <c r="QU42" s="1005"/>
      <c r="QV42" s="1005"/>
      <c r="QW42" s="1005"/>
      <c r="QX42" s="1005"/>
      <c r="QY42" s="1005"/>
      <c r="QZ42" s="1005"/>
      <c r="RA42" s="1005"/>
      <c r="RB42" s="1005"/>
      <c r="RC42" s="1005"/>
      <c r="RD42" s="1005"/>
      <c r="RE42" s="1005"/>
      <c r="RF42" s="1005"/>
      <c r="RG42" s="1005"/>
      <c r="RH42" s="1005"/>
      <c r="RI42" s="1005"/>
      <c r="RJ42" s="1005"/>
      <c r="RK42" s="1005"/>
      <c r="RL42" s="1005"/>
      <c r="RM42" s="1005"/>
      <c r="RN42" s="1005"/>
      <c r="RO42" s="1005"/>
      <c r="RP42" s="1005"/>
      <c r="RQ42" s="1005"/>
      <c r="RR42" s="1005"/>
      <c r="RS42" s="1005"/>
      <c r="RT42" s="1005"/>
      <c r="RU42" s="1005"/>
      <c r="RV42" s="1005"/>
      <c r="RW42" s="1005"/>
      <c r="RX42" s="1005"/>
      <c r="RY42" s="1005"/>
      <c r="RZ42" s="1005"/>
      <c r="SA42" s="1005"/>
      <c r="SB42" s="1005"/>
      <c r="SC42" s="1005"/>
      <c r="SD42" s="1005"/>
      <c r="SE42" s="1005"/>
      <c r="SF42" s="1005"/>
      <c r="SG42" s="1005"/>
      <c r="SH42" s="1005"/>
      <c r="SI42" s="1005"/>
      <c r="SJ42" s="1005"/>
      <c r="SK42" s="1005"/>
      <c r="SL42" s="1005"/>
      <c r="SM42" s="1005"/>
      <c r="SN42" s="1005"/>
      <c r="SO42" s="1005"/>
      <c r="SP42" s="1005"/>
      <c r="SQ42" s="1005"/>
      <c r="SR42" s="1005"/>
      <c r="SS42" s="1005"/>
      <c r="ST42" s="1005"/>
      <c r="SU42" s="1005"/>
      <c r="SV42" s="1005"/>
      <c r="SW42" s="1005"/>
      <c r="SX42" s="1005"/>
      <c r="SY42" s="1005"/>
      <c r="SZ42" s="1005"/>
      <c r="TA42" s="1005"/>
      <c r="TB42" s="1005"/>
      <c r="TC42" s="1005"/>
      <c r="TD42" s="1005"/>
      <c r="TE42" s="1005"/>
      <c r="TF42" s="1005"/>
      <c r="TG42" s="1005"/>
      <c r="TH42" s="1005"/>
      <c r="TI42" s="1005"/>
      <c r="TJ42" s="1005"/>
      <c r="TK42" s="1005"/>
      <c r="TL42" s="1005"/>
      <c r="TM42" s="1005"/>
      <c r="TN42" s="1005"/>
      <c r="TO42" s="1005"/>
      <c r="TP42" s="1005"/>
      <c r="TQ42" s="1005"/>
      <c r="TR42" s="1005"/>
      <c r="TS42" s="1005"/>
      <c r="TT42" s="1005"/>
      <c r="TU42" s="1005"/>
      <c r="TV42" s="1005"/>
      <c r="TW42" s="1005"/>
      <c r="TX42" s="1005"/>
      <c r="TY42" s="1005"/>
      <c r="TZ42" s="1005"/>
      <c r="UA42" s="1005"/>
      <c r="UB42" s="1005"/>
      <c r="UC42" s="1005"/>
      <c r="UD42" s="1005"/>
      <c r="UE42" s="1005"/>
      <c r="UF42" s="1005"/>
      <c r="UG42" s="1005"/>
      <c r="UH42" s="1005"/>
      <c r="UI42" s="1005"/>
      <c r="UJ42" s="1005"/>
      <c r="UK42" s="1005"/>
      <c r="UL42" s="1005"/>
      <c r="UM42" s="1005"/>
      <c r="UN42" s="1005"/>
      <c r="UO42" s="1005"/>
      <c r="UP42" s="1005"/>
      <c r="UQ42" s="1005"/>
      <c r="UR42" s="1005"/>
      <c r="US42" s="1005"/>
      <c r="UT42" s="1005"/>
      <c r="UU42" s="1005"/>
      <c r="UV42" s="1005"/>
      <c r="UW42" s="1005"/>
      <c r="UX42" s="1005"/>
      <c r="UY42" s="1005"/>
      <c r="UZ42" s="1005"/>
      <c r="VA42" s="1005"/>
      <c r="VB42" s="1005"/>
      <c r="VC42" s="1005"/>
      <c r="VD42" s="1005"/>
      <c r="VE42" s="1005"/>
      <c r="VF42" s="1005"/>
      <c r="VG42" s="1005"/>
      <c r="VH42" s="1005"/>
      <c r="VI42" s="1005"/>
      <c r="VJ42" s="1005"/>
      <c r="VK42" s="1005"/>
      <c r="VL42" s="1005"/>
      <c r="VM42" s="1005"/>
      <c r="VN42" s="1005"/>
      <c r="VO42" s="1005"/>
      <c r="VP42" s="1005"/>
      <c r="VQ42" s="1005"/>
      <c r="VR42" s="1005"/>
      <c r="VS42" s="1005"/>
      <c r="VT42" s="1005"/>
      <c r="VU42" s="1005"/>
      <c r="VV42" s="1005"/>
      <c r="VW42" s="1005"/>
      <c r="VX42" s="1005"/>
      <c r="VY42" s="1005"/>
      <c r="VZ42" s="1005"/>
      <c r="WA42" s="1005"/>
      <c r="WB42" s="1005"/>
      <c r="WC42" s="1005"/>
      <c r="WD42" s="1005"/>
      <c r="WE42" s="1005"/>
      <c r="WF42" s="1005"/>
      <c r="WG42" s="1005"/>
      <c r="WH42" s="1005"/>
      <c r="WI42" s="1005"/>
      <c r="WJ42" s="1005"/>
      <c r="WK42" s="1005"/>
      <c r="WL42" s="1005"/>
      <c r="WM42" s="1005"/>
      <c r="WN42" s="1005"/>
      <c r="WO42" s="1005"/>
      <c r="WP42" s="1005"/>
      <c r="WQ42" s="1005"/>
      <c r="WR42" s="1005"/>
      <c r="WS42" s="1005"/>
      <c r="WT42" s="1005"/>
      <c r="WU42" s="1005"/>
      <c r="WV42" s="1005"/>
      <c r="WW42" s="1005"/>
      <c r="WX42" s="1005"/>
      <c r="WY42" s="1005"/>
      <c r="WZ42" s="1005"/>
      <c r="XA42" s="1005"/>
      <c r="XB42" s="1005"/>
      <c r="XC42" s="1005"/>
      <c r="XD42" s="1005"/>
      <c r="XE42" s="1005"/>
      <c r="XF42" s="1005"/>
      <c r="XG42" s="1005"/>
      <c r="XH42" s="1005"/>
      <c r="XI42" s="1005"/>
      <c r="XJ42" s="1005"/>
      <c r="XK42" s="1005"/>
      <c r="XL42" s="1005"/>
      <c r="XM42" s="1005"/>
      <c r="XN42" s="1005"/>
      <c r="XO42" s="1005"/>
      <c r="XP42" s="1005"/>
      <c r="XQ42" s="1005"/>
      <c r="XR42" s="1005"/>
      <c r="XS42" s="1005"/>
      <c r="XT42" s="1005"/>
      <c r="XU42" s="1005"/>
      <c r="XV42" s="1005"/>
      <c r="XW42" s="1005"/>
      <c r="XX42" s="1005"/>
      <c r="XY42" s="1005"/>
      <c r="XZ42" s="1005"/>
      <c r="YA42" s="1005"/>
      <c r="YB42" s="1005"/>
      <c r="YC42" s="1005"/>
      <c r="YD42" s="1005"/>
      <c r="YE42" s="1005"/>
      <c r="YF42" s="1005"/>
      <c r="YG42" s="1005"/>
      <c r="YH42" s="1005"/>
      <c r="YI42" s="1005"/>
      <c r="YJ42" s="1005"/>
      <c r="YK42" s="1005"/>
      <c r="YL42" s="1005"/>
      <c r="YM42" s="1005"/>
      <c r="YN42" s="1005"/>
      <c r="YO42" s="1005"/>
      <c r="YP42" s="1005"/>
      <c r="YQ42" s="1005"/>
      <c r="YR42" s="1005"/>
      <c r="YS42" s="1005"/>
      <c r="YT42" s="1005"/>
      <c r="YU42" s="1005"/>
      <c r="YV42" s="1005"/>
      <c r="YW42" s="1005"/>
      <c r="YX42" s="1005"/>
      <c r="YY42" s="1005"/>
      <c r="YZ42" s="1005"/>
      <c r="ZA42" s="1005"/>
      <c r="ZB42" s="1005"/>
      <c r="ZC42" s="1005"/>
      <c r="ZD42" s="1005"/>
      <c r="ZE42" s="1005"/>
      <c r="ZF42" s="1005"/>
      <c r="ZG42" s="1005"/>
      <c r="ZH42" s="1005"/>
      <c r="ZI42" s="1005"/>
      <c r="ZJ42" s="1005"/>
      <c r="ZK42" s="1005"/>
      <c r="ZL42" s="1005"/>
      <c r="ZM42" s="1005"/>
      <c r="ZN42" s="1005"/>
      <c r="ZO42" s="1005"/>
      <c r="ZP42" s="1005"/>
      <c r="ZQ42" s="1005"/>
      <c r="ZR42" s="1005"/>
      <c r="ZS42" s="1005"/>
      <c r="ZT42" s="1005"/>
      <c r="ZU42" s="1005"/>
      <c r="ZV42" s="1005"/>
      <c r="ZW42" s="1005"/>
      <c r="ZX42" s="1005"/>
      <c r="ZY42" s="1005"/>
      <c r="ZZ42" s="1005"/>
      <c r="AAA42" s="1005"/>
      <c r="AAB42" s="1005"/>
      <c r="AAC42" s="1005"/>
      <c r="AAD42" s="1005"/>
      <c r="AAE42" s="1005"/>
      <c r="AAF42" s="1005"/>
      <c r="AAG42" s="1005"/>
      <c r="AAH42" s="1005"/>
      <c r="AAI42" s="1005"/>
      <c r="AAJ42" s="1005"/>
      <c r="AAK42" s="1005"/>
      <c r="AAL42" s="1005"/>
      <c r="AAM42" s="1005"/>
      <c r="AAN42" s="1005"/>
      <c r="AAO42" s="1005"/>
      <c r="AAP42" s="1005"/>
      <c r="AAQ42" s="1005"/>
      <c r="AAR42" s="1005"/>
      <c r="AAS42" s="1005"/>
      <c r="AAT42" s="1005"/>
      <c r="AAU42" s="1005"/>
      <c r="AAV42" s="1005"/>
      <c r="AAW42" s="1005"/>
      <c r="AAX42" s="1005"/>
      <c r="AAY42" s="1005"/>
      <c r="AAZ42" s="1005"/>
      <c r="ABA42" s="1005"/>
      <c r="ABB42" s="1005"/>
      <c r="ABC42" s="1005"/>
      <c r="ABD42" s="1005"/>
      <c r="ABE42" s="1005"/>
      <c r="ABF42" s="1005"/>
      <c r="ABG42" s="1005"/>
      <c r="ABH42" s="1005"/>
      <c r="ABI42" s="1005"/>
      <c r="ABJ42" s="1005"/>
      <c r="ABK42" s="1005"/>
      <c r="ABL42" s="1005"/>
      <c r="ABM42" s="1005"/>
      <c r="ABN42" s="1005"/>
      <c r="ABO42" s="1005"/>
      <c r="ABP42" s="1005"/>
      <c r="ABQ42" s="1005"/>
      <c r="ABR42" s="1005"/>
    </row>
    <row r="43" spans="1:746" s="113" customFormat="1" ht="12.9" hidden="1" customHeight="1" thickBot="1">
      <c r="A43" s="1253"/>
      <c r="B43" s="2957" t="s">
        <v>415</v>
      </c>
      <c r="C43" s="2958"/>
      <c r="D43" s="348"/>
      <c r="E43" s="347" t="s">
        <v>1</v>
      </c>
      <c r="F43" s="1240"/>
      <c r="G43" s="347">
        <v>0.25</v>
      </c>
      <c r="H43" s="2349"/>
      <c r="I43" s="1966"/>
      <c r="J43" s="809"/>
      <c r="K43" s="809"/>
      <c r="L43" s="809"/>
      <c r="M43" s="809"/>
      <c r="N43" s="809"/>
      <c r="O43" s="809"/>
      <c r="P43" s="809"/>
      <c r="Q43" s="809"/>
      <c r="R43" s="809"/>
      <c r="S43" s="809"/>
      <c r="T43" s="809"/>
      <c r="U43" s="2192"/>
      <c r="V43" s="2192"/>
      <c r="W43" s="2192"/>
      <c r="X43" s="2192"/>
      <c r="Y43" s="2192"/>
      <c r="Z43" s="2192"/>
      <c r="AA43" s="2192"/>
      <c r="AB43" s="2192"/>
      <c r="AC43" s="2192"/>
      <c r="AD43" s="2192"/>
      <c r="AE43" s="2192"/>
      <c r="AF43" s="2192"/>
      <c r="AG43" s="2202"/>
      <c r="AH43" s="333"/>
      <c r="AI43" s="2226"/>
      <c r="AJ43" s="416">
        <f>IF(fx!$C$57=1,SUMIF(fx!I$57:T$57,1,I43:T43),IF(fx!$C$57=2,SUMIF(fx!O$57:AF$57,1,O43:AF43)))</f>
        <v>0</v>
      </c>
      <c r="AK43" s="419"/>
      <c r="AL43" s="422">
        <f>IF(fx!$C$57=1,SUM(U43:AF43),0)</f>
        <v>0</v>
      </c>
      <c r="AM43" s="1005"/>
      <c r="AN43" s="1011"/>
      <c r="AO43" s="1945" t="s">
        <v>1094</v>
      </c>
      <c r="AP43" s="1935"/>
      <c r="AQ43" s="1936"/>
      <c r="AR43" s="1941"/>
      <c r="AS43" s="1941"/>
      <c r="AT43" s="1941"/>
      <c r="AU43" s="1941"/>
      <c r="AV43" s="1941"/>
      <c r="AW43" s="1941"/>
      <c r="AX43" s="1941"/>
      <c r="AY43" s="1941"/>
      <c r="AZ43" s="1941"/>
      <c r="BA43" s="1941"/>
      <c r="BB43" s="1941"/>
      <c r="BC43" s="1941"/>
      <c r="BD43" s="1941"/>
      <c r="BE43" s="1941"/>
      <c r="BF43" s="1941"/>
      <c r="BG43" s="1941"/>
      <c r="BH43" s="1941"/>
      <c r="BI43" s="1941"/>
      <c r="BJ43" s="1941"/>
      <c r="BK43" s="1941"/>
      <c r="BL43" s="1941"/>
      <c r="BM43" s="1941"/>
      <c r="BN43" s="1941"/>
      <c r="BO43" s="1941"/>
      <c r="BP43" s="1005"/>
      <c r="BQ43" s="1005"/>
      <c r="BR43" s="1005"/>
      <c r="BS43" s="1005"/>
      <c r="BT43" s="1005"/>
      <c r="BU43" s="1005"/>
      <c r="BV43" s="1005"/>
      <c r="BW43" s="1005"/>
      <c r="BX43" s="1005"/>
      <c r="BY43" s="1005"/>
      <c r="BZ43" s="1005"/>
      <c r="CA43" s="1005"/>
      <c r="CB43" s="1005"/>
      <c r="CC43" s="1005"/>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c r="EC43" s="1005"/>
      <c r="ED43" s="1005"/>
      <c r="EE43" s="1005"/>
      <c r="EF43" s="1005"/>
      <c r="EG43" s="1005"/>
      <c r="EH43" s="1005"/>
      <c r="EI43" s="1005"/>
      <c r="EJ43" s="1005"/>
      <c r="EK43" s="1005"/>
      <c r="EL43" s="1005"/>
      <c r="EM43" s="1005"/>
      <c r="EN43" s="1005"/>
      <c r="EO43" s="1005"/>
      <c r="EP43" s="1005"/>
      <c r="EQ43" s="1005"/>
      <c r="ER43" s="1005"/>
      <c r="ES43" s="1005"/>
      <c r="ET43" s="1005"/>
      <c r="EU43" s="1005"/>
      <c r="EV43" s="1005"/>
      <c r="EW43" s="1005"/>
      <c r="EX43" s="1005"/>
      <c r="EY43" s="1005"/>
      <c r="EZ43" s="1005"/>
      <c r="FA43" s="1005"/>
      <c r="FB43" s="1005"/>
      <c r="FC43" s="1005"/>
      <c r="FD43" s="1005"/>
      <c r="FE43" s="1005"/>
      <c r="FF43" s="1005"/>
      <c r="FG43" s="1005"/>
      <c r="FH43" s="1005"/>
      <c r="FI43" s="1005"/>
      <c r="FJ43" s="1005"/>
      <c r="FK43" s="1005"/>
      <c r="FL43" s="1005"/>
      <c r="FM43" s="1005"/>
      <c r="FN43" s="1005"/>
      <c r="FO43" s="1005"/>
      <c r="FP43" s="1005"/>
      <c r="FQ43" s="1005"/>
      <c r="FR43" s="1005"/>
      <c r="FS43" s="1005"/>
      <c r="FT43" s="1005"/>
      <c r="FU43" s="1005"/>
      <c r="FV43" s="1005"/>
      <c r="FW43" s="1005"/>
      <c r="FX43" s="1005"/>
      <c r="FY43" s="1005"/>
      <c r="FZ43" s="1005"/>
      <c r="GA43" s="1005"/>
      <c r="GB43" s="1005"/>
      <c r="GC43" s="1005"/>
      <c r="GD43" s="1005"/>
      <c r="GE43" s="1005"/>
      <c r="GF43" s="1005"/>
      <c r="GG43" s="1005"/>
      <c r="GH43" s="1005"/>
      <c r="GI43" s="1005"/>
      <c r="GJ43" s="1005"/>
      <c r="GK43" s="1005"/>
      <c r="GL43" s="1005"/>
      <c r="GM43" s="1005"/>
      <c r="GN43" s="1005"/>
      <c r="GO43" s="1005"/>
      <c r="GP43" s="1005"/>
      <c r="GQ43" s="1005"/>
      <c r="GR43" s="1005"/>
      <c r="GS43" s="1005"/>
      <c r="GT43" s="1005"/>
      <c r="GU43" s="1005"/>
      <c r="GV43" s="1005"/>
      <c r="GW43" s="1005"/>
      <c r="GX43" s="1005"/>
      <c r="GY43" s="1005"/>
      <c r="GZ43" s="1005"/>
      <c r="HA43" s="1005"/>
      <c r="HB43" s="1005"/>
      <c r="HC43" s="1005"/>
      <c r="HD43" s="1005"/>
      <c r="HE43" s="1005"/>
      <c r="HF43" s="1005"/>
      <c r="HG43" s="1005"/>
      <c r="HH43" s="1005"/>
      <c r="HI43" s="1005"/>
      <c r="HJ43" s="1005"/>
      <c r="HK43" s="1005"/>
      <c r="HL43" s="1005"/>
      <c r="HM43" s="1005"/>
      <c r="HN43" s="1005"/>
      <c r="HO43" s="1005"/>
      <c r="HP43" s="1005"/>
      <c r="HQ43" s="1005"/>
      <c r="HR43" s="1005"/>
      <c r="HS43" s="1005"/>
      <c r="HT43" s="1005"/>
      <c r="HU43" s="1005"/>
      <c r="HV43" s="1005"/>
      <c r="HW43" s="1005"/>
      <c r="HX43" s="1005"/>
      <c r="HY43" s="1005"/>
      <c r="HZ43" s="1005"/>
      <c r="IA43" s="1005"/>
      <c r="IB43" s="1005"/>
      <c r="IC43" s="1005"/>
      <c r="ID43" s="1005"/>
      <c r="IE43" s="1005"/>
      <c r="IF43" s="1005"/>
      <c r="IG43" s="1005"/>
      <c r="IH43" s="1005"/>
      <c r="II43" s="1005"/>
      <c r="IJ43" s="1005"/>
      <c r="IK43" s="1005"/>
      <c r="IL43" s="1005"/>
      <c r="IM43" s="1005"/>
      <c r="IN43" s="1005"/>
      <c r="IO43" s="1005"/>
      <c r="IP43" s="1005"/>
      <c r="IQ43" s="1005"/>
      <c r="IR43" s="1005"/>
      <c r="IS43" s="1005"/>
      <c r="IT43" s="1005"/>
      <c r="IU43" s="1005"/>
      <c r="IV43" s="1005"/>
      <c r="IW43" s="1005"/>
      <c r="IX43" s="1005"/>
      <c r="IY43" s="1005"/>
      <c r="IZ43" s="1005"/>
      <c r="JA43" s="1005"/>
      <c r="JB43" s="1005"/>
      <c r="JC43" s="1005"/>
      <c r="JD43" s="1005"/>
      <c r="JE43" s="1005"/>
      <c r="JF43" s="1005"/>
      <c r="JG43" s="1005"/>
      <c r="JH43" s="1005"/>
      <c r="JI43" s="1005"/>
      <c r="JJ43" s="1005"/>
      <c r="JK43" s="1005"/>
      <c r="JL43" s="1005"/>
      <c r="JM43" s="1005"/>
      <c r="JN43" s="1005"/>
      <c r="JO43" s="1005"/>
      <c r="JP43" s="1005"/>
      <c r="JQ43" s="1005"/>
      <c r="JR43" s="1005"/>
      <c r="JS43" s="1005"/>
      <c r="JT43" s="1005"/>
      <c r="JU43" s="1005"/>
      <c r="JV43" s="1005"/>
      <c r="JW43" s="1005"/>
      <c r="JX43" s="1005"/>
      <c r="JY43" s="1005"/>
      <c r="JZ43" s="1005"/>
      <c r="KA43" s="1005"/>
      <c r="KB43" s="1005"/>
      <c r="KC43" s="1005"/>
      <c r="KD43" s="1005"/>
      <c r="KE43" s="1005"/>
      <c r="KF43" s="1005"/>
      <c r="KG43" s="1005"/>
      <c r="KH43" s="1005"/>
      <c r="KI43" s="1005"/>
      <c r="KJ43" s="1005"/>
      <c r="KK43" s="1005"/>
      <c r="KL43" s="1005"/>
      <c r="KM43" s="1005"/>
      <c r="KN43" s="1005"/>
      <c r="KO43" s="1005"/>
      <c r="KP43" s="1005"/>
      <c r="KQ43" s="1005"/>
      <c r="KR43" s="1005"/>
      <c r="KS43" s="1005"/>
      <c r="KT43" s="1005"/>
      <c r="KU43" s="1005"/>
      <c r="KV43" s="1005"/>
      <c r="KW43" s="1005"/>
      <c r="KX43" s="1005"/>
      <c r="KY43" s="1005"/>
      <c r="KZ43" s="1005"/>
      <c r="LA43" s="1005"/>
      <c r="LB43" s="1005"/>
      <c r="LC43" s="1005"/>
      <c r="LD43" s="1005"/>
      <c r="LE43" s="1005"/>
      <c r="LF43" s="1005"/>
      <c r="LG43" s="1005"/>
      <c r="LH43" s="1005"/>
      <c r="LI43" s="1005"/>
      <c r="LJ43" s="1005"/>
      <c r="LK43" s="1005"/>
      <c r="LL43" s="1005"/>
      <c r="LM43" s="1005"/>
      <c r="LN43" s="1005"/>
      <c r="LO43" s="1005"/>
      <c r="LP43" s="1005"/>
      <c r="LQ43" s="1005"/>
      <c r="LR43" s="1005"/>
      <c r="LS43" s="1005"/>
      <c r="LT43" s="1005"/>
      <c r="LU43" s="1005"/>
      <c r="LV43" s="1005"/>
      <c r="LW43" s="1005"/>
      <c r="LX43" s="1005"/>
      <c r="LY43" s="1005"/>
      <c r="LZ43" s="1005"/>
      <c r="MA43" s="1005"/>
      <c r="MB43" s="1005"/>
      <c r="MC43" s="1005"/>
      <c r="MD43" s="1005"/>
      <c r="ME43" s="1005"/>
      <c r="MF43" s="1005"/>
      <c r="MG43" s="1005"/>
      <c r="MH43" s="1005"/>
      <c r="MI43" s="1005"/>
      <c r="MJ43" s="1005"/>
      <c r="MK43" s="1005"/>
      <c r="ML43" s="1005"/>
      <c r="MM43" s="1005"/>
      <c r="MN43" s="1005"/>
      <c r="MO43" s="1005"/>
      <c r="MP43" s="1005"/>
      <c r="MQ43" s="1005"/>
      <c r="MR43" s="1005"/>
      <c r="MS43" s="1005"/>
      <c r="MT43" s="1005"/>
      <c r="MU43" s="1005"/>
      <c r="MV43" s="1005"/>
      <c r="MW43" s="1005"/>
      <c r="MX43" s="1005"/>
      <c r="MY43" s="1005"/>
      <c r="MZ43" s="1005"/>
      <c r="NA43" s="1005"/>
      <c r="NB43" s="1005"/>
      <c r="NC43" s="1005"/>
      <c r="ND43" s="1005"/>
      <c r="NE43" s="1005"/>
      <c r="NF43" s="1005"/>
      <c r="NG43" s="1005"/>
      <c r="NH43" s="1005"/>
      <c r="NI43" s="1005"/>
      <c r="NJ43" s="1005"/>
      <c r="NK43" s="1005"/>
      <c r="NL43" s="1005"/>
      <c r="NM43" s="1005"/>
      <c r="NN43" s="1005"/>
      <c r="NO43" s="1005"/>
      <c r="NP43" s="1005"/>
      <c r="NQ43" s="1005"/>
      <c r="NR43" s="1005"/>
      <c r="NS43" s="1005"/>
      <c r="NT43" s="1005"/>
      <c r="NU43" s="1005"/>
      <c r="NV43" s="1005"/>
      <c r="NW43" s="1005"/>
      <c r="NX43" s="1005"/>
      <c r="NY43" s="1005"/>
      <c r="NZ43" s="1005"/>
      <c r="OA43" s="1005"/>
      <c r="OB43" s="1005"/>
      <c r="OC43" s="1005"/>
      <c r="OD43" s="1005"/>
      <c r="OE43" s="1005"/>
      <c r="OF43" s="1005"/>
      <c r="OG43" s="1005"/>
      <c r="OH43" s="1005"/>
      <c r="OI43" s="1005"/>
      <c r="OJ43" s="1005"/>
      <c r="OK43" s="1005"/>
      <c r="OL43" s="1005"/>
      <c r="OM43" s="1005"/>
      <c r="ON43" s="1005"/>
      <c r="OO43" s="1005"/>
      <c r="OP43" s="1005"/>
      <c r="OQ43" s="1005"/>
      <c r="OR43" s="1005"/>
      <c r="OS43" s="1005"/>
      <c r="OT43" s="1005"/>
      <c r="OU43" s="1005"/>
      <c r="OV43" s="1005"/>
      <c r="OW43" s="1005"/>
      <c r="OX43" s="1005"/>
      <c r="OY43" s="1005"/>
      <c r="OZ43" s="1005"/>
      <c r="PA43" s="1005"/>
      <c r="PB43" s="1005"/>
      <c r="PC43" s="1005"/>
      <c r="PD43" s="1005"/>
      <c r="PE43" s="1005"/>
      <c r="PF43" s="1005"/>
      <c r="PG43" s="1005"/>
      <c r="PH43" s="1005"/>
      <c r="PI43" s="1005"/>
      <c r="PJ43" s="1005"/>
      <c r="PK43" s="1005"/>
      <c r="PL43" s="1005"/>
      <c r="PM43" s="1005"/>
      <c r="PN43" s="1005"/>
      <c r="PO43" s="1005"/>
      <c r="PP43" s="1005"/>
      <c r="PQ43" s="1005"/>
      <c r="PR43" s="1005"/>
      <c r="PS43" s="1005"/>
      <c r="PT43" s="1005"/>
      <c r="PU43" s="1005"/>
      <c r="PV43" s="1005"/>
      <c r="PW43" s="1005"/>
      <c r="PX43" s="1005"/>
      <c r="PY43" s="1005"/>
      <c r="PZ43" s="1005"/>
      <c r="QA43" s="1005"/>
      <c r="QB43" s="1005"/>
      <c r="QC43" s="1005"/>
      <c r="QD43" s="1005"/>
      <c r="QE43" s="1005"/>
      <c r="QF43" s="1005"/>
      <c r="QG43" s="1005"/>
      <c r="QH43" s="1005"/>
      <c r="QI43" s="1005"/>
      <c r="QJ43" s="1005"/>
      <c r="QK43" s="1005"/>
      <c r="QL43" s="1005"/>
      <c r="QM43" s="1005"/>
      <c r="QN43" s="1005"/>
      <c r="QO43" s="1005"/>
      <c r="QP43" s="1005"/>
      <c r="QQ43" s="1005"/>
      <c r="QR43" s="1005"/>
      <c r="QS43" s="1005"/>
      <c r="QT43" s="1005"/>
      <c r="QU43" s="1005"/>
      <c r="QV43" s="1005"/>
      <c r="QW43" s="1005"/>
      <c r="QX43" s="1005"/>
      <c r="QY43" s="1005"/>
      <c r="QZ43" s="1005"/>
      <c r="RA43" s="1005"/>
      <c r="RB43" s="1005"/>
      <c r="RC43" s="1005"/>
      <c r="RD43" s="1005"/>
      <c r="RE43" s="1005"/>
      <c r="RF43" s="1005"/>
      <c r="RG43" s="1005"/>
      <c r="RH43" s="1005"/>
      <c r="RI43" s="1005"/>
      <c r="RJ43" s="1005"/>
      <c r="RK43" s="1005"/>
      <c r="RL43" s="1005"/>
      <c r="RM43" s="1005"/>
      <c r="RN43" s="1005"/>
      <c r="RO43" s="1005"/>
      <c r="RP43" s="1005"/>
      <c r="RQ43" s="1005"/>
      <c r="RR43" s="1005"/>
      <c r="RS43" s="1005"/>
      <c r="RT43" s="1005"/>
      <c r="RU43" s="1005"/>
      <c r="RV43" s="1005"/>
      <c r="RW43" s="1005"/>
      <c r="RX43" s="1005"/>
      <c r="RY43" s="1005"/>
      <c r="RZ43" s="1005"/>
      <c r="SA43" s="1005"/>
      <c r="SB43" s="1005"/>
      <c r="SC43" s="1005"/>
      <c r="SD43" s="1005"/>
      <c r="SE43" s="1005"/>
      <c r="SF43" s="1005"/>
      <c r="SG43" s="1005"/>
      <c r="SH43" s="1005"/>
      <c r="SI43" s="1005"/>
      <c r="SJ43" s="1005"/>
      <c r="SK43" s="1005"/>
      <c r="SL43" s="1005"/>
      <c r="SM43" s="1005"/>
      <c r="SN43" s="1005"/>
      <c r="SO43" s="1005"/>
      <c r="SP43" s="1005"/>
      <c r="SQ43" s="1005"/>
      <c r="SR43" s="1005"/>
      <c r="SS43" s="1005"/>
      <c r="ST43" s="1005"/>
      <c r="SU43" s="1005"/>
      <c r="SV43" s="1005"/>
      <c r="SW43" s="1005"/>
      <c r="SX43" s="1005"/>
      <c r="SY43" s="1005"/>
      <c r="SZ43" s="1005"/>
      <c r="TA43" s="1005"/>
      <c r="TB43" s="1005"/>
      <c r="TC43" s="1005"/>
      <c r="TD43" s="1005"/>
      <c r="TE43" s="1005"/>
      <c r="TF43" s="1005"/>
      <c r="TG43" s="1005"/>
      <c r="TH43" s="1005"/>
      <c r="TI43" s="1005"/>
      <c r="TJ43" s="1005"/>
      <c r="TK43" s="1005"/>
      <c r="TL43" s="1005"/>
      <c r="TM43" s="1005"/>
      <c r="TN43" s="1005"/>
      <c r="TO43" s="1005"/>
      <c r="TP43" s="1005"/>
      <c r="TQ43" s="1005"/>
      <c r="TR43" s="1005"/>
      <c r="TS43" s="1005"/>
      <c r="TT43" s="1005"/>
      <c r="TU43" s="1005"/>
      <c r="TV43" s="1005"/>
      <c r="TW43" s="1005"/>
      <c r="TX43" s="1005"/>
      <c r="TY43" s="1005"/>
      <c r="TZ43" s="1005"/>
      <c r="UA43" s="1005"/>
      <c r="UB43" s="1005"/>
      <c r="UC43" s="1005"/>
      <c r="UD43" s="1005"/>
      <c r="UE43" s="1005"/>
      <c r="UF43" s="1005"/>
      <c r="UG43" s="1005"/>
      <c r="UH43" s="1005"/>
      <c r="UI43" s="1005"/>
      <c r="UJ43" s="1005"/>
      <c r="UK43" s="1005"/>
      <c r="UL43" s="1005"/>
      <c r="UM43" s="1005"/>
      <c r="UN43" s="1005"/>
      <c r="UO43" s="1005"/>
      <c r="UP43" s="1005"/>
      <c r="UQ43" s="1005"/>
      <c r="UR43" s="1005"/>
      <c r="US43" s="1005"/>
      <c r="UT43" s="1005"/>
      <c r="UU43" s="1005"/>
      <c r="UV43" s="1005"/>
      <c r="UW43" s="1005"/>
      <c r="UX43" s="1005"/>
      <c r="UY43" s="1005"/>
      <c r="UZ43" s="1005"/>
      <c r="VA43" s="1005"/>
      <c r="VB43" s="1005"/>
      <c r="VC43" s="1005"/>
      <c r="VD43" s="1005"/>
      <c r="VE43" s="1005"/>
      <c r="VF43" s="1005"/>
      <c r="VG43" s="1005"/>
      <c r="VH43" s="1005"/>
      <c r="VI43" s="1005"/>
      <c r="VJ43" s="1005"/>
      <c r="VK43" s="1005"/>
      <c r="VL43" s="1005"/>
      <c r="VM43" s="1005"/>
      <c r="VN43" s="1005"/>
      <c r="VO43" s="1005"/>
      <c r="VP43" s="1005"/>
      <c r="VQ43" s="1005"/>
      <c r="VR43" s="1005"/>
      <c r="VS43" s="1005"/>
      <c r="VT43" s="1005"/>
      <c r="VU43" s="1005"/>
      <c r="VV43" s="1005"/>
      <c r="VW43" s="1005"/>
      <c r="VX43" s="1005"/>
      <c r="VY43" s="1005"/>
      <c r="VZ43" s="1005"/>
      <c r="WA43" s="1005"/>
      <c r="WB43" s="1005"/>
      <c r="WC43" s="1005"/>
      <c r="WD43" s="1005"/>
      <c r="WE43" s="1005"/>
      <c r="WF43" s="1005"/>
      <c r="WG43" s="1005"/>
      <c r="WH43" s="1005"/>
      <c r="WI43" s="1005"/>
      <c r="WJ43" s="1005"/>
      <c r="WK43" s="1005"/>
      <c r="WL43" s="1005"/>
      <c r="WM43" s="1005"/>
      <c r="WN43" s="1005"/>
      <c r="WO43" s="1005"/>
      <c r="WP43" s="1005"/>
      <c r="WQ43" s="1005"/>
      <c r="WR43" s="1005"/>
      <c r="WS43" s="1005"/>
      <c r="WT43" s="1005"/>
      <c r="WU43" s="1005"/>
      <c r="WV43" s="1005"/>
      <c r="WW43" s="1005"/>
      <c r="WX43" s="1005"/>
      <c r="WY43" s="1005"/>
      <c r="WZ43" s="1005"/>
      <c r="XA43" s="1005"/>
      <c r="XB43" s="1005"/>
      <c r="XC43" s="1005"/>
      <c r="XD43" s="1005"/>
      <c r="XE43" s="1005"/>
      <c r="XF43" s="1005"/>
      <c r="XG43" s="1005"/>
      <c r="XH43" s="1005"/>
      <c r="XI43" s="1005"/>
      <c r="XJ43" s="1005"/>
      <c r="XK43" s="1005"/>
      <c r="XL43" s="1005"/>
      <c r="XM43" s="1005"/>
      <c r="XN43" s="1005"/>
      <c r="XO43" s="1005"/>
      <c r="XP43" s="1005"/>
      <c r="XQ43" s="1005"/>
      <c r="XR43" s="1005"/>
      <c r="XS43" s="1005"/>
      <c r="XT43" s="1005"/>
      <c r="XU43" s="1005"/>
      <c r="XV43" s="1005"/>
      <c r="XW43" s="1005"/>
      <c r="XX43" s="1005"/>
      <c r="XY43" s="1005"/>
      <c r="XZ43" s="1005"/>
      <c r="YA43" s="1005"/>
      <c r="YB43" s="1005"/>
      <c r="YC43" s="1005"/>
      <c r="YD43" s="1005"/>
      <c r="YE43" s="1005"/>
      <c r="YF43" s="1005"/>
      <c r="YG43" s="1005"/>
      <c r="YH43" s="1005"/>
      <c r="YI43" s="1005"/>
      <c r="YJ43" s="1005"/>
      <c r="YK43" s="1005"/>
      <c r="YL43" s="1005"/>
      <c r="YM43" s="1005"/>
      <c r="YN43" s="1005"/>
      <c r="YO43" s="1005"/>
      <c r="YP43" s="1005"/>
      <c r="YQ43" s="1005"/>
      <c r="YR43" s="1005"/>
      <c r="YS43" s="1005"/>
      <c r="YT43" s="1005"/>
      <c r="YU43" s="1005"/>
      <c r="YV43" s="1005"/>
      <c r="YW43" s="1005"/>
      <c r="YX43" s="1005"/>
      <c r="YY43" s="1005"/>
      <c r="YZ43" s="1005"/>
      <c r="ZA43" s="1005"/>
      <c r="ZB43" s="1005"/>
      <c r="ZC43" s="1005"/>
      <c r="ZD43" s="1005"/>
      <c r="ZE43" s="1005"/>
      <c r="ZF43" s="1005"/>
      <c r="ZG43" s="1005"/>
      <c r="ZH43" s="1005"/>
      <c r="ZI43" s="1005"/>
      <c r="ZJ43" s="1005"/>
      <c r="ZK43" s="1005"/>
      <c r="ZL43" s="1005"/>
      <c r="ZM43" s="1005"/>
      <c r="ZN43" s="1005"/>
      <c r="ZO43" s="1005"/>
      <c r="ZP43" s="1005"/>
      <c r="ZQ43" s="1005"/>
      <c r="ZR43" s="1005"/>
      <c r="ZS43" s="1005"/>
      <c r="ZT43" s="1005"/>
      <c r="ZU43" s="1005"/>
      <c r="ZV43" s="1005"/>
      <c r="ZW43" s="1005"/>
      <c r="ZX43" s="1005"/>
      <c r="ZY43" s="1005"/>
      <c r="ZZ43" s="1005"/>
      <c r="AAA43" s="1005"/>
      <c r="AAB43" s="1005"/>
      <c r="AAC43" s="1005"/>
      <c r="AAD43" s="1005"/>
      <c r="AAE43" s="1005"/>
      <c r="AAF43" s="1005"/>
      <c r="AAG43" s="1005"/>
      <c r="AAH43" s="1005"/>
      <c r="AAI43" s="1005"/>
      <c r="AAJ43" s="1005"/>
      <c r="AAK43" s="1005"/>
      <c r="AAL43" s="1005"/>
      <c r="AAM43" s="1005"/>
      <c r="AAN43" s="1005"/>
      <c r="AAO43" s="1005"/>
      <c r="AAP43" s="1005"/>
      <c r="AAQ43" s="1005"/>
      <c r="AAR43" s="1005"/>
      <c r="AAS43" s="1005"/>
      <c r="AAT43" s="1005"/>
      <c r="AAU43" s="1005"/>
      <c r="AAV43" s="1005"/>
      <c r="AAW43" s="1005"/>
      <c r="AAX43" s="1005"/>
      <c r="AAY43" s="1005"/>
      <c r="AAZ43" s="1005"/>
      <c r="ABA43" s="1005"/>
      <c r="ABB43" s="1005"/>
      <c r="ABC43" s="1005"/>
      <c r="ABD43" s="1005"/>
      <c r="ABE43" s="1005"/>
      <c r="ABF43" s="1005"/>
      <c r="ABG43" s="1005"/>
      <c r="ABH43" s="1005"/>
      <c r="ABI43" s="1005"/>
      <c r="ABJ43" s="1005"/>
      <c r="ABK43" s="1005"/>
      <c r="ABL43" s="1005"/>
      <c r="ABM43" s="1005"/>
      <c r="ABN43" s="1005"/>
      <c r="ABO43" s="1005"/>
      <c r="ABP43" s="1005"/>
      <c r="ABQ43" s="1005"/>
      <c r="ABR43" s="1005"/>
    </row>
    <row r="44" spans="1:746" s="113" customFormat="1" ht="12.9" hidden="1" customHeight="1" thickBot="1">
      <c r="A44" s="1253"/>
      <c r="B44" s="2957" t="s">
        <v>416</v>
      </c>
      <c r="C44" s="2958"/>
      <c r="D44" s="348"/>
      <c r="E44" s="347" t="s">
        <v>1</v>
      </c>
      <c r="F44" s="1240"/>
      <c r="G44" s="347">
        <v>0.25</v>
      </c>
      <c r="H44" s="2349"/>
      <c r="I44" s="2364"/>
      <c r="J44" s="809"/>
      <c r="K44" s="809"/>
      <c r="L44" s="809"/>
      <c r="M44" s="809"/>
      <c r="N44" s="809"/>
      <c r="O44" s="809"/>
      <c r="P44" s="809"/>
      <c r="Q44" s="809"/>
      <c r="R44" s="809"/>
      <c r="S44" s="809"/>
      <c r="T44" s="809"/>
      <c r="U44" s="2192"/>
      <c r="V44" s="2192"/>
      <c r="W44" s="2192"/>
      <c r="X44" s="2192"/>
      <c r="Y44" s="2192"/>
      <c r="Z44" s="2192"/>
      <c r="AA44" s="2192"/>
      <c r="AB44" s="2192"/>
      <c r="AC44" s="2192"/>
      <c r="AD44" s="2192"/>
      <c r="AE44" s="2192"/>
      <c r="AF44" s="2192"/>
      <c r="AG44" s="2202"/>
      <c r="AH44" s="333"/>
      <c r="AI44" s="2226"/>
      <c r="AJ44" s="416">
        <f>IF(fx!$C$57=1,SUMIF(fx!I$57:T$57,1,I44:T44),IF(fx!$C$57=2,SUMIF(fx!O$57:AF$57,1,O44:AF44)))</f>
        <v>0</v>
      </c>
      <c r="AK44" s="419"/>
      <c r="AL44" s="422">
        <f>IF(fx!$C$57=1,SUM(U44:AF44),0)</f>
        <v>0</v>
      </c>
      <c r="AM44" s="1005"/>
      <c r="AN44" s="1011"/>
      <c r="AO44" s="1945" t="s">
        <v>1095</v>
      </c>
      <c r="AP44" s="1935"/>
      <c r="AQ44" s="1936"/>
      <c r="AR44" s="1941"/>
      <c r="AS44" s="1941"/>
      <c r="AT44" s="1941"/>
      <c r="AU44" s="1941"/>
      <c r="AV44" s="1941"/>
      <c r="AW44" s="1941"/>
      <c r="AX44" s="1941"/>
      <c r="AY44" s="1941"/>
      <c r="AZ44" s="1941"/>
      <c r="BA44" s="1941"/>
      <c r="BB44" s="1941"/>
      <c r="BC44" s="1941"/>
      <c r="BD44" s="1941"/>
      <c r="BE44" s="1941"/>
      <c r="BF44" s="1941"/>
      <c r="BG44" s="1941"/>
      <c r="BH44" s="1941"/>
      <c r="BI44" s="1941"/>
      <c r="BJ44" s="1941"/>
      <c r="BK44" s="1941"/>
      <c r="BL44" s="1941"/>
      <c r="BM44" s="1941"/>
      <c r="BN44" s="1941"/>
      <c r="BO44" s="1941"/>
      <c r="BP44" s="1005"/>
      <c r="BQ44" s="1005"/>
      <c r="BR44" s="1005"/>
      <c r="BS44" s="1005"/>
      <c r="BT44" s="1005"/>
      <c r="BU44" s="1005"/>
      <c r="BV44" s="1005"/>
      <c r="BW44" s="1005"/>
      <c r="BX44" s="1005"/>
      <c r="BY44" s="1005"/>
      <c r="BZ44" s="1005"/>
      <c r="CA44" s="1005"/>
      <c r="CB44" s="1005"/>
      <c r="CC44" s="1005"/>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c r="EC44" s="1005"/>
      <c r="ED44" s="1005"/>
      <c r="EE44" s="1005"/>
      <c r="EF44" s="1005"/>
      <c r="EG44" s="1005"/>
      <c r="EH44" s="1005"/>
      <c r="EI44" s="1005"/>
      <c r="EJ44" s="1005"/>
      <c r="EK44" s="1005"/>
      <c r="EL44" s="1005"/>
      <c r="EM44" s="1005"/>
      <c r="EN44" s="1005"/>
      <c r="EO44" s="1005"/>
      <c r="EP44" s="1005"/>
      <c r="EQ44" s="1005"/>
      <c r="ER44" s="1005"/>
      <c r="ES44" s="1005"/>
      <c r="ET44" s="1005"/>
      <c r="EU44" s="1005"/>
      <c r="EV44" s="1005"/>
      <c r="EW44" s="1005"/>
      <c r="EX44" s="1005"/>
      <c r="EY44" s="1005"/>
      <c r="EZ44" s="1005"/>
      <c r="FA44" s="1005"/>
      <c r="FB44" s="1005"/>
      <c r="FC44" s="1005"/>
      <c r="FD44" s="1005"/>
      <c r="FE44" s="1005"/>
      <c r="FF44" s="1005"/>
      <c r="FG44" s="1005"/>
      <c r="FH44" s="1005"/>
      <c r="FI44" s="1005"/>
      <c r="FJ44" s="1005"/>
      <c r="FK44" s="1005"/>
      <c r="FL44" s="1005"/>
      <c r="FM44" s="1005"/>
      <c r="FN44" s="1005"/>
      <c r="FO44" s="1005"/>
      <c r="FP44" s="1005"/>
      <c r="FQ44" s="1005"/>
      <c r="FR44" s="1005"/>
      <c r="FS44" s="1005"/>
      <c r="FT44" s="1005"/>
      <c r="FU44" s="1005"/>
      <c r="FV44" s="1005"/>
      <c r="FW44" s="1005"/>
      <c r="FX44" s="1005"/>
      <c r="FY44" s="1005"/>
      <c r="FZ44" s="1005"/>
      <c r="GA44" s="1005"/>
      <c r="GB44" s="1005"/>
      <c r="GC44" s="1005"/>
      <c r="GD44" s="1005"/>
      <c r="GE44" s="1005"/>
      <c r="GF44" s="1005"/>
      <c r="GG44" s="1005"/>
      <c r="GH44" s="1005"/>
      <c r="GI44" s="1005"/>
      <c r="GJ44" s="1005"/>
      <c r="GK44" s="1005"/>
      <c r="GL44" s="1005"/>
      <c r="GM44" s="1005"/>
      <c r="GN44" s="1005"/>
      <c r="GO44" s="1005"/>
      <c r="GP44" s="1005"/>
      <c r="GQ44" s="1005"/>
      <c r="GR44" s="1005"/>
      <c r="GS44" s="1005"/>
      <c r="GT44" s="1005"/>
      <c r="GU44" s="1005"/>
      <c r="GV44" s="1005"/>
      <c r="GW44" s="1005"/>
      <c r="GX44" s="1005"/>
      <c r="GY44" s="1005"/>
      <c r="GZ44" s="1005"/>
      <c r="HA44" s="1005"/>
      <c r="HB44" s="1005"/>
      <c r="HC44" s="1005"/>
      <c r="HD44" s="1005"/>
      <c r="HE44" s="1005"/>
      <c r="HF44" s="1005"/>
      <c r="HG44" s="1005"/>
      <c r="HH44" s="1005"/>
      <c r="HI44" s="1005"/>
      <c r="HJ44" s="1005"/>
      <c r="HK44" s="1005"/>
      <c r="HL44" s="1005"/>
      <c r="HM44" s="1005"/>
      <c r="HN44" s="1005"/>
      <c r="HO44" s="1005"/>
      <c r="HP44" s="1005"/>
      <c r="HQ44" s="1005"/>
      <c r="HR44" s="1005"/>
      <c r="HS44" s="1005"/>
      <c r="HT44" s="1005"/>
      <c r="HU44" s="1005"/>
      <c r="HV44" s="1005"/>
      <c r="HW44" s="1005"/>
      <c r="HX44" s="1005"/>
      <c r="HY44" s="1005"/>
      <c r="HZ44" s="1005"/>
      <c r="IA44" s="1005"/>
      <c r="IB44" s="1005"/>
      <c r="IC44" s="1005"/>
      <c r="ID44" s="1005"/>
      <c r="IE44" s="1005"/>
      <c r="IF44" s="1005"/>
      <c r="IG44" s="1005"/>
      <c r="IH44" s="1005"/>
      <c r="II44" s="1005"/>
      <c r="IJ44" s="1005"/>
      <c r="IK44" s="1005"/>
      <c r="IL44" s="1005"/>
      <c r="IM44" s="1005"/>
      <c r="IN44" s="1005"/>
      <c r="IO44" s="1005"/>
      <c r="IP44" s="1005"/>
      <c r="IQ44" s="1005"/>
      <c r="IR44" s="1005"/>
      <c r="IS44" s="1005"/>
      <c r="IT44" s="1005"/>
      <c r="IU44" s="1005"/>
      <c r="IV44" s="1005"/>
      <c r="IW44" s="1005"/>
      <c r="IX44" s="1005"/>
      <c r="IY44" s="1005"/>
      <c r="IZ44" s="1005"/>
      <c r="JA44" s="1005"/>
      <c r="JB44" s="1005"/>
      <c r="JC44" s="1005"/>
      <c r="JD44" s="1005"/>
      <c r="JE44" s="1005"/>
      <c r="JF44" s="1005"/>
      <c r="JG44" s="1005"/>
      <c r="JH44" s="1005"/>
      <c r="JI44" s="1005"/>
      <c r="JJ44" s="1005"/>
      <c r="JK44" s="1005"/>
      <c r="JL44" s="1005"/>
      <c r="JM44" s="1005"/>
      <c r="JN44" s="1005"/>
      <c r="JO44" s="1005"/>
      <c r="JP44" s="1005"/>
      <c r="JQ44" s="1005"/>
      <c r="JR44" s="1005"/>
      <c r="JS44" s="1005"/>
      <c r="JT44" s="1005"/>
      <c r="JU44" s="1005"/>
      <c r="JV44" s="1005"/>
      <c r="JW44" s="1005"/>
      <c r="JX44" s="1005"/>
      <c r="JY44" s="1005"/>
      <c r="JZ44" s="1005"/>
      <c r="KA44" s="1005"/>
      <c r="KB44" s="1005"/>
      <c r="KC44" s="1005"/>
      <c r="KD44" s="1005"/>
      <c r="KE44" s="1005"/>
      <c r="KF44" s="1005"/>
      <c r="KG44" s="1005"/>
      <c r="KH44" s="1005"/>
      <c r="KI44" s="1005"/>
      <c r="KJ44" s="1005"/>
      <c r="KK44" s="1005"/>
      <c r="KL44" s="1005"/>
      <c r="KM44" s="1005"/>
      <c r="KN44" s="1005"/>
      <c r="KO44" s="1005"/>
      <c r="KP44" s="1005"/>
      <c r="KQ44" s="1005"/>
      <c r="KR44" s="1005"/>
      <c r="KS44" s="1005"/>
      <c r="KT44" s="1005"/>
      <c r="KU44" s="1005"/>
      <c r="KV44" s="1005"/>
      <c r="KW44" s="1005"/>
      <c r="KX44" s="1005"/>
      <c r="KY44" s="1005"/>
      <c r="KZ44" s="1005"/>
      <c r="LA44" s="1005"/>
      <c r="LB44" s="1005"/>
      <c r="LC44" s="1005"/>
      <c r="LD44" s="1005"/>
      <c r="LE44" s="1005"/>
      <c r="LF44" s="1005"/>
      <c r="LG44" s="1005"/>
      <c r="LH44" s="1005"/>
      <c r="LI44" s="1005"/>
      <c r="LJ44" s="1005"/>
      <c r="LK44" s="1005"/>
      <c r="LL44" s="1005"/>
      <c r="LM44" s="1005"/>
      <c r="LN44" s="1005"/>
      <c r="LO44" s="1005"/>
      <c r="LP44" s="1005"/>
      <c r="LQ44" s="1005"/>
      <c r="LR44" s="1005"/>
      <c r="LS44" s="1005"/>
      <c r="LT44" s="1005"/>
      <c r="LU44" s="1005"/>
      <c r="LV44" s="1005"/>
      <c r="LW44" s="1005"/>
      <c r="LX44" s="1005"/>
      <c r="LY44" s="1005"/>
      <c r="LZ44" s="1005"/>
      <c r="MA44" s="1005"/>
      <c r="MB44" s="1005"/>
      <c r="MC44" s="1005"/>
      <c r="MD44" s="1005"/>
      <c r="ME44" s="1005"/>
      <c r="MF44" s="1005"/>
      <c r="MG44" s="1005"/>
      <c r="MH44" s="1005"/>
      <c r="MI44" s="1005"/>
      <c r="MJ44" s="1005"/>
      <c r="MK44" s="1005"/>
      <c r="ML44" s="1005"/>
      <c r="MM44" s="1005"/>
      <c r="MN44" s="1005"/>
      <c r="MO44" s="1005"/>
      <c r="MP44" s="1005"/>
      <c r="MQ44" s="1005"/>
      <c r="MR44" s="1005"/>
      <c r="MS44" s="1005"/>
      <c r="MT44" s="1005"/>
      <c r="MU44" s="1005"/>
      <c r="MV44" s="1005"/>
      <c r="MW44" s="1005"/>
      <c r="MX44" s="1005"/>
      <c r="MY44" s="1005"/>
      <c r="MZ44" s="1005"/>
      <c r="NA44" s="1005"/>
      <c r="NB44" s="1005"/>
      <c r="NC44" s="1005"/>
      <c r="ND44" s="1005"/>
      <c r="NE44" s="1005"/>
      <c r="NF44" s="1005"/>
      <c r="NG44" s="1005"/>
      <c r="NH44" s="1005"/>
      <c r="NI44" s="1005"/>
      <c r="NJ44" s="1005"/>
      <c r="NK44" s="1005"/>
      <c r="NL44" s="1005"/>
      <c r="NM44" s="1005"/>
      <c r="NN44" s="1005"/>
      <c r="NO44" s="1005"/>
      <c r="NP44" s="1005"/>
      <c r="NQ44" s="1005"/>
      <c r="NR44" s="1005"/>
      <c r="NS44" s="1005"/>
      <c r="NT44" s="1005"/>
      <c r="NU44" s="1005"/>
      <c r="NV44" s="1005"/>
      <c r="NW44" s="1005"/>
      <c r="NX44" s="1005"/>
      <c r="NY44" s="1005"/>
      <c r="NZ44" s="1005"/>
      <c r="OA44" s="1005"/>
      <c r="OB44" s="1005"/>
      <c r="OC44" s="1005"/>
      <c r="OD44" s="1005"/>
      <c r="OE44" s="1005"/>
      <c r="OF44" s="1005"/>
      <c r="OG44" s="1005"/>
      <c r="OH44" s="1005"/>
      <c r="OI44" s="1005"/>
      <c r="OJ44" s="1005"/>
      <c r="OK44" s="1005"/>
      <c r="OL44" s="1005"/>
      <c r="OM44" s="1005"/>
      <c r="ON44" s="1005"/>
      <c r="OO44" s="1005"/>
      <c r="OP44" s="1005"/>
      <c r="OQ44" s="1005"/>
      <c r="OR44" s="1005"/>
      <c r="OS44" s="1005"/>
      <c r="OT44" s="1005"/>
      <c r="OU44" s="1005"/>
      <c r="OV44" s="1005"/>
      <c r="OW44" s="1005"/>
      <c r="OX44" s="1005"/>
      <c r="OY44" s="1005"/>
      <c r="OZ44" s="1005"/>
      <c r="PA44" s="1005"/>
      <c r="PB44" s="1005"/>
      <c r="PC44" s="1005"/>
      <c r="PD44" s="1005"/>
      <c r="PE44" s="1005"/>
      <c r="PF44" s="1005"/>
      <c r="PG44" s="1005"/>
      <c r="PH44" s="1005"/>
      <c r="PI44" s="1005"/>
      <c r="PJ44" s="1005"/>
      <c r="PK44" s="1005"/>
      <c r="PL44" s="1005"/>
      <c r="PM44" s="1005"/>
      <c r="PN44" s="1005"/>
      <c r="PO44" s="1005"/>
      <c r="PP44" s="1005"/>
      <c r="PQ44" s="1005"/>
      <c r="PR44" s="1005"/>
      <c r="PS44" s="1005"/>
      <c r="PT44" s="1005"/>
      <c r="PU44" s="1005"/>
      <c r="PV44" s="1005"/>
      <c r="PW44" s="1005"/>
      <c r="PX44" s="1005"/>
      <c r="PY44" s="1005"/>
      <c r="PZ44" s="1005"/>
      <c r="QA44" s="1005"/>
      <c r="QB44" s="1005"/>
      <c r="QC44" s="1005"/>
      <c r="QD44" s="1005"/>
      <c r="QE44" s="1005"/>
      <c r="QF44" s="1005"/>
      <c r="QG44" s="1005"/>
      <c r="QH44" s="1005"/>
      <c r="QI44" s="1005"/>
      <c r="QJ44" s="1005"/>
      <c r="QK44" s="1005"/>
      <c r="QL44" s="1005"/>
      <c r="QM44" s="1005"/>
      <c r="QN44" s="1005"/>
      <c r="QO44" s="1005"/>
      <c r="QP44" s="1005"/>
      <c r="QQ44" s="1005"/>
      <c r="QR44" s="1005"/>
      <c r="QS44" s="1005"/>
      <c r="QT44" s="1005"/>
      <c r="QU44" s="1005"/>
      <c r="QV44" s="1005"/>
      <c r="QW44" s="1005"/>
      <c r="QX44" s="1005"/>
      <c r="QY44" s="1005"/>
      <c r="QZ44" s="1005"/>
      <c r="RA44" s="1005"/>
      <c r="RB44" s="1005"/>
      <c r="RC44" s="1005"/>
      <c r="RD44" s="1005"/>
      <c r="RE44" s="1005"/>
      <c r="RF44" s="1005"/>
      <c r="RG44" s="1005"/>
      <c r="RH44" s="1005"/>
      <c r="RI44" s="1005"/>
      <c r="RJ44" s="1005"/>
      <c r="RK44" s="1005"/>
      <c r="RL44" s="1005"/>
      <c r="RM44" s="1005"/>
      <c r="RN44" s="1005"/>
      <c r="RO44" s="1005"/>
      <c r="RP44" s="1005"/>
      <c r="RQ44" s="1005"/>
      <c r="RR44" s="1005"/>
      <c r="RS44" s="1005"/>
      <c r="RT44" s="1005"/>
      <c r="RU44" s="1005"/>
      <c r="RV44" s="1005"/>
      <c r="RW44" s="1005"/>
      <c r="RX44" s="1005"/>
      <c r="RY44" s="1005"/>
      <c r="RZ44" s="1005"/>
      <c r="SA44" s="1005"/>
      <c r="SB44" s="1005"/>
      <c r="SC44" s="1005"/>
      <c r="SD44" s="1005"/>
      <c r="SE44" s="1005"/>
      <c r="SF44" s="1005"/>
      <c r="SG44" s="1005"/>
      <c r="SH44" s="1005"/>
      <c r="SI44" s="1005"/>
      <c r="SJ44" s="1005"/>
      <c r="SK44" s="1005"/>
      <c r="SL44" s="1005"/>
      <c r="SM44" s="1005"/>
      <c r="SN44" s="1005"/>
      <c r="SO44" s="1005"/>
      <c r="SP44" s="1005"/>
      <c r="SQ44" s="1005"/>
      <c r="SR44" s="1005"/>
      <c r="SS44" s="1005"/>
      <c r="ST44" s="1005"/>
      <c r="SU44" s="1005"/>
      <c r="SV44" s="1005"/>
      <c r="SW44" s="1005"/>
      <c r="SX44" s="1005"/>
      <c r="SY44" s="1005"/>
      <c r="SZ44" s="1005"/>
      <c r="TA44" s="1005"/>
      <c r="TB44" s="1005"/>
      <c r="TC44" s="1005"/>
      <c r="TD44" s="1005"/>
      <c r="TE44" s="1005"/>
      <c r="TF44" s="1005"/>
      <c r="TG44" s="1005"/>
      <c r="TH44" s="1005"/>
      <c r="TI44" s="1005"/>
      <c r="TJ44" s="1005"/>
      <c r="TK44" s="1005"/>
      <c r="TL44" s="1005"/>
      <c r="TM44" s="1005"/>
      <c r="TN44" s="1005"/>
      <c r="TO44" s="1005"/>
      <c r="TP44" s="1005"/>
      <c r="TQ44" s="1005"/>
      <c r="TR44" s="1005"/>
      <c r="TS44" s="1005"/>
      <c r="TT44" s="1005"/>
      <c r="TU44" s="1005"/>
      <c r="TV44" s="1005"/>
      <c r="TW44" s="1005"/>
      <c r="TX44" s="1005"/>
      <c r="TY44" s="1005"/>
      <c r="TZ44" s="1005"/>
      <c r="UA44" s="1005"/>
      <c r="UB44" s="1005"/>
      <c r="UC44" s="1005"/>
      <c r="UD44" s="1005"/>
      <c r="UE44" s="1005"/>
      <c r="UF44" s="1005"/>
      <c r="UG44" s="1005"/>
      <c r="UH44" s="1005"/>
      <c r="UI44" s="1005"/>
      <c r="UJ44" s="1005"/>
      <c r="UK44" s="1005"/>
      <c r="UL44" s="1005"/>
      <c r="UM44" s="1005"/>
      <c r="UN44" s="1005"/>
      <c r="UO44" s="1005"/>
      <c r="UP44" s="1005"/>
      <c r="UQ44" s="1005"/>
      <c r="UR44" s="1005"/>
      <c r="US44" s="1005"/>
      <c r="UT44" s="1005"/>
      <c r="UU44" s="1005"/>
      <c r="UV44" s="1005"/>
      <c r="UW44" s="1005"/>
      <c r="UX44" s="1005"/>
      <c r="UY44" s="1005"/>
      <c r="UZ44" s="1005"/>
      <c r="VA44" s="1005"/>
      <c r="VB44" s="1005"/>
      <c r="VC44" s="1005"/>
      <c r="VD44" s="1005"/>
      <c r="VE44" s="1005"/>
      <c r="VF44" s="1005"/>
      <c r="VG44" s="1005"/>
      <c r="VH44" s="1005"/>
      <c r="VI44" s="1005"/>
      <c r="VJ44" s="1005"/>
      <c r="VK44" s="1005"/>
      <c r="VL44" s="1005"/>
      <c r="VM44" s="1005"/>
      <c r="VN44" s="1005"/>
      <c r="VO44" s="1005"/>
      <c r="VP44" s="1005"/>
      <c r="VQ44" s="1005"/>
      <c r="VR44" s="1005"/>
      <c r="VS44" s="1005"/>
      <c r="VT44" s="1005"/>
      <c r="VU44" s="1005"/>
      <c r="VV44" s="1005"/>
      <c r="VW44" s="1005"/>
      <c r="VX44" s="1005"/>
      <c r="VY44" s="1005"/>
      <c r="VZ44" s="1005"/>
      <c r="WA44" s="1005"/>
      <c r="WB44" s="1005"/>
      <c r="WC44" s="1005"/>
      <c r="WD44" s="1005"/>
      <c r="WE44" s="1005"/>
      <c r="WF44" s="1005"/>
      <c r="WG44" s="1005"/>
      <c r="WH44" s="1005"/>
      <c r="WI44" s="1005"/>
      <c r="WJ44" s="1005"/>
      <c r="WK44" s="1005"/>
      <c r="WL44" s="1005"/>
      <c r="WM44" s="1005"/>
      <c r="WN44" s="1005"/>
      <c r="WO44" s="1005"/>
      <c r="WP44" s="1005"/>
      <c r="WQ44" s="1005"/>
      <c r="WR44" s="1005"/>
      <c r="WS44" s="1005"/>
      <c r="WT44" s="1005"/>
      <c r="WU44" s="1005"/>
      <c r="WV44" s="1005"/>
      <c r="WW44" s="1005"/>
      <c r="WX44" s="1005"/>
      <c r="WY44" s="1005"/>
      <c r="WZ44" s="1005"/>
      <c r="XA44" s="1005"/>
      <c r="XB44" s="1005"/>
      <c r="XC44" s="1005"/>
      <c r="XD44" s="1005"/>
      <c r="XE44" s="1005"/>
      <c r="XF44" s="1005"/>
      <c r="XG44" s="1005"/>
      <c r="XH44" s="1005"/>
      <c r="XI44" s="1005"/>
      <c r="XJ44" s="1005"/>
      <c r="XK44" s="1005"/>
      <c r="XL44" s="1005"/>
      <c r="XM44" s="1005"/>
      <c r="XN44" s="1005"/>
      <c r="XO44" s="1005"/>
      <c r="XP44" s="1005"/>
      <c r="XQ44" s="1005"/>
      <c r="XR44" s="1005"/>
      <c r="XS44" s="1005"/>
      <c r="XT44" s="1005"/>
      <c r="XU44" s="1005"/>
      <c r="XV44" s="1005"/>
      <c r="XW44" s="1005"/>
      <c r="XX44" s="1005"/>
      <c r="XY44" s="1005"/>
      <c r="XZ44" s="1005"/>
      <c r="YA44" s="1005"/>
      <c r="YB44" s="1005"/>
      <c r="YC44" s="1005"/>
      <c r="YD44" s="1005"/>
      <c r="YE44" s="1005"/>
      <c r="YF44" s="1005"/>
      <c r="YG44" s="1005"/>
      <c r="YH44" s="1005"/>
      <c r="YI44" s="1005"/>
      <c r="YJ44" s="1005"/>
      <c r="YK44" s="1005"/>
      <c r="YL44" s="1005"/>
      <c r="YM44" s="1005"/>
      <c r="YN44" s="1005"/>
      <c r="YO44" s="1005"/>
      <c r="YP44" s="1005"/>
      <c r="YQ44" s="1005"/>
      <c r="YR44" s="1005"/>
      <c r="YS44" s="1005"/>
      <c r="YT44" s="1005"/>
      <c r="YU44" s="1005"/>
      <c r="YV44" s="1005"/>
      <c r="YW44" s="1005"/>
      <c r="YX44" s="1005"/>
      <c r="YY44" s="1005"/>
      <c r="YZ44" s="1005"/>
      <c r="ZA44" s="1005"/>
      <c r="ZB44" s="1005"/>
      <c r="ZC44" s="1005"/>
      <c r="ZD44" s="1005"/>
      <c r="ZE44" s="1005"/>
      <c r="ZF44" s="1005"/>
      <c r="ZG44" s="1005"/>
      <c r="ZH44" s="1005"/>
      <c r="ZI44" s="1005"/>
      <c r="ZJ44" s="1005"/>
      <c r="ZK44" s="1005"/>
      <c r="ZL44" s="1005"/>
      <c r="ZM44" s="1005"/>
      <c r="ZN44" s="1005"/>
      <c r="ZO44" s="1005"/>
      <c r="ZP44" s="1005"/>
      <c r="ZQ44" s="1005"/>
      <c r="ZR44" s="1005"/>
      <c r="ZS44" s="1005"/>
      <c r="ZT44" s="1005"/>
      <c r="ZU44" s="1005"/>
      <c r="ZV44" s="1005"/>
      <c r="ZW44" s="1005"/>
      <c r="ZX44" s="1005"/>
      <c r="ZY44" s="1005"/>
      <c r="ZZ44" s="1005"/>
      <c r="AAA44" s="1005"/>
      <c r="AAB44" s="1005"/>
      <c r="AAC44" s="1005"/>
      <c r="AAD44" s="1005"/>
      <c r="AAE44" s="1005"/>
      <c r="AAF44" s="1005"/>
      <c r="AAG44" s="1005"/>
      <c r="AAH44" s="1005"/>
      <c r="AAI44" s="1005"/>
      <c r="AAJ44" s="1005"/>
      <c r="AAK44" s="1005"/>
      <c r="AAL44" s="1005"/>
      <c r="AAM44" s="1005"/>
      <c r="AAN44" s="1005"/>
      <c r="AAO44" s="1005"/>
      <c r="AAP44" s="1005"/>
      <c r="AAQ44" s="1005"/>
      <c r="AAR44" s="1005"/>
      <c r="AAS44" s="1005"/>
      <c r="AAT44" s="1005"/>
      <c r="AAU44" s="1005"/>
      <c r="AAV44" s="1005"/>
      <c r="AAW44" s="1005"/>
      <c r="AAX44" s="1005"/>
      <c r="AAY44" s="1005"/>
      <c r="AAZ44" s="1005"/>
      <c r="ABA44" s="1005"/>
      <c r="ABB44" s="1005"/>
      <c r="ABC44" s="1005"/>
      <c r="ABD44" s="1005"/>
      <c r="ABE44" s="1005"/>
      <c r="ABF44" s="1005"/>
      <c r="ABG44" s="1005"/>
      <c r="ABH44" s="1005"/>
      <c r="ABI44" s="1005"/>
      <c r="ABJ44" s="1005"/>
      <c r="ABK44" s="1005"/>
      <c r="ABL44" s="1005"/>
      <c r="ABM44" s="1005"/>
      <c r="ABN44" s="1005"/>
      <c r="ABO44" s="1005"/>
      <c r="ABP44" s="1005"/>
      <c r="ABQ44" s="1005"/>
      <c r="ABR44" s="1005"/>
    </row>
    <row r="45" spans="1:746" s="113" customFormat="1" ht="12" hidden="1" customHeight="1" thickBot="1">
      <c r="A45" s="1253"/>
      <c r="B45" s="2957" t="s">
        <v>417</v>
      </c>
      <c r="C45" s="2958"/>
      <c r="D45" s="348"/>
      <c r="E45" s="347" t="s">
        <v>1</v>
      </c>
      <c r="F45" s="1240"/>
      <c r="G45" s="347">
        <v>0.25</v>
      </c>
      <c r="H45" s="2349"/>
      <c r="I45" s="2364"/>
      <c r="J45" s="809"/>
      <c r="K45" s="809"/>
      <c r="L45" s="809"/>
      <c r="M45" s="809"/>
      <c r="N45" s="809"/>
      <c r="O45" s="809"/>
      <c r="P45" s="809"/>
      <c r="Q45" s="809"/>
      <c r="R45" s="809"/>
      <c r="S45" s="809"/>
      <c r="T45" s="809"/>
      <c r="U45" s="2192"/>
      <c r="V45" s="2192"/>
      <c r="W45" s="2192"/>
      <c r="X45" s="2192"/>
      <c r="Y45" s="2192"/>
      <c r="Z45" s="2192"/>
      <c r="AA45" s="2192"/>
      <c r="AB45" s="2192"/>
      <c r="AC45" s="2192"/>
      <c r="AD45" s="2192"/>
      <c r="AE45" s="2192"/>
      <c r="AF45" s="2192"/>
      <c r="AG45" s="2202"/>
      <c r="AH45" s="333"/>
      <c r="AI45" s="2226"/>
      <c r="AJ45" s="416">
        <f>IF(fx!$C$57=1,SUMIF(fx!I$57:T$57,1,I45:T45),IF(fx!$C$57=2,SUMIF(fx!O$57:AF$57,1,O45:AF45)))</f>
        <v>0</v>
      </c>
      <c r="AK45" s="419"/>
      <c r="AL45" s="422">
        <f>IF(fx!$C$57=1,SUM(U45:AF45),0)</f>
        <v>0</v>
      </c>
      <c r="AM45" s="1005"/>
      <c r="AN45" s="1011"/>
      <c r="AO45" s="1945"/>
      <c r="AP45" s="1935"/>
      <c r="AQ45" s="1936"/>
      <c r="AR45" s="1941"/>
      <c r="AS45" s="1941"/>
      <c r="AT45" s="1941"/>
      <c r="AU45" s="1941"/>
      <c r="AV45" s="1941"/>
      <c r="AW45" s="1941"/>
      <c r="AX45" s="1941"/>
      <c r="AY45" s="1941"/>
      <c r="AZ45" s="1941"/>
      <c r="BA45" s="1941"/>
      <c r="BB45" s="1941"/>
      <c r="BC45" s="1941"/>
      <c r="BD45" s="1941"/>
      <c r="BE45" s="1941"/>
      <c r="BF45" s="1941"/>
      <c r="BG45" s="1941"/>
      <c r="BH45" s="1941"/>
      <c r="BI45" s="1941"/>
      <c r="BJ45" s="1941"/>
      <c r="BK45" s="1941"/>
      <c r="BL45" s="1941"/>
      <c r="BM45" s="1941"/>
      <c r="BN45" s="1941"/>
      <c r="BO45" s="1941"/>
      <c r="BP45" s="1005"/>
      <c r="BQ45" s="1005"/>
      <c r="BR45" s="1005"/>
      <c r="BS45" s="1005"/>
      <c r="BT45" s="1005"/>
      <c r="BU45" s="1005"/>
      <c r="BV45" s="1005"/>
      <c r="BW45" s="1005"/>
      <c r="BX45" s="1005"/>
      <c r="BY45" s="1005"/>
      <c r="BZ45" s="1005"/>
      <c r="CA45" s="1005"/>
      <c r="CB45" s="1005"/>
      <c r="CC45" s="1005"/>
      <c r="CD45" s="1005"/>
      <c r="CE45" s="1005"/>
      <c r="CF45" s="1005"/>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c r="EC45" s="1005"/>
      <c r="ED45" s="1005"/>
      <c r="EE45" s="1005"/>
      <c r="EF45" s="1005"/>
      <c r="EG45" s="1005"/>
      <c r="EH45" s="1005"/>
      <c r="EI45" s="1005"/>
      <c r="EJ45" s="1005"/>
      <c r="EK45" s="1005"/>
      <c r="EL45" s="1005"/>
      <c r="EM45" s="1005"/>
      <c r="EN45" s="1005"/>
      <c r="EO45" s="1005"/>
      <c r="EP45" s="1005"/>
      <c r="EQ45" s="1005"/>
      <c r="ER45" s="1005"/>
      <c r="ES45" s="1005"/>
      <c r="ET45" s="1005"/>
      <c r="EU45" s="1005"/>
      <c r="EV45" s="1005"/>
      <c r="EW45" s="1005"/>
      <c r="EX45" s="1005"/>
      <c r="EY45" s="1005"/>
      <c r="EZ45" s="1005"/>
      <c r="FA45" s="1005"/>
      <c r="FB45" s="1005"/>
      <c r="FC45" s="1005"/>
      <c r="FD45" s="1005"/>
      <c r="FE45" s="1005"/>
      <c r="FF45" s="1005"/>
      <c r="FG45" s="1005"/>
      <c r="FH45" s="1005"/>
      <c r="FI45" s="1005"/>
      <c r="FJ45" s="1005"/>
      <c r="FK45" s="1005"/>
      <c r="FL45" s="1005"/>
      <c r="FM45" s="1005"/>
      <c r="FN45" s="1005"/>
      <c r="FO45" s="1005"/>
      <c r="FP45" s="1005"/>
      <c r="FQ45" s="1005"/>
      <c r="FR45" s="1005"/>
      <c r="FS45" s="1005"/>
      <c r="FT45" s="1005"/>
      <c r="FU45" s="1005"/>
      <c r="FV45" s="1005"/>
      <c r="FW45" s="1005"/>
      <c r="FX45" s="1005"/>
      <c r="FY45" s="1005"/>
      <c r="FZ45" s="1005"/>
      <c r="GA45" s="1005"/>
      <c r="GB45" s="1005"/>
      <c r="GC45" s="1005"/>
      <c r="GD45" s="1005"/>
      <c r="GE45" s="1005"/>
      <c r="GF45" s="1005"/>
      <c r="GG45" s="1005"/>
      <c r="GH45" s="1005"/>
      <c r="GI45" s="1005"/>
      <c r="GJ45" s="1005"/>
      <c r="GK45" s="1005"/>
      <c r="GL45" s="1005"/>
      <c r="GM45" s="1005"/>
      <c r="GN45" s="1005"/>
      <c r="GO45" s="1005"/>
      <c r="GP45" s="1005"/>
      <c r="GQ45" s="1005"/>
      <c r="GR45" s="1005"/>
      <c r="GS45" s="1005"/>
      <c r="GT45" s="1005"/>
      <c r="GU45" s="1005"/>
      <c r="GV45" s="1005"/>
      <c r="GW45" s="1005"/>
      <c r="GX45" s="1005"/>
      <c r="GY45" s="1005"/>
      <c r="GZ45" s="1005"/>
      <c r="HA45" s="1005"/>
      <c r="HB45" s="1005"/>
      <c r="HC45" s="1005"/>
      <c r="HD45" s="1005"/>
      <c r="HE45" s="1005"/>
      <c r="HF45" s="1005"/>
      <c r="HG45" s="1005"/>
      <c r="HH45" s="1005"/>
      <c r="HI45" s="1005"/>
      <c r="HJ45" s="1005"/>
      <c r="HK45" s="1005"/>
      <c r="HL45" s="1005"/>
      <c r="HM45" s="1005"/>
      <c r="HN45" s="1005"/>
      <c r="HO45" s="1005"/>
      <c r="HP45" s="1005"/>
      <c r="HQ45" s="1005"/>
      <c r="HR45" s="1005"/>
      <c r="HS45" s="1005"/>
      <c r="HT45" s="1005"/>
      <c r="HU45" s="1005"/>
      <c r="HV45" s="1005"/>
      <c r="HW45" s="1005"/>
      <c r="HX45" s="1005"/>
      <c r="HY45" s="1005"/>
      <c r="HZ45" s="1005"/>
      <c r="IA45" s="1005"/>
      <c r="IB45" s="1005"/>
      <c r="IC45" s="1005"/>
      <c r="ID45" s="1005"/>
      <c r="IE45" s="1005"/>
      <c r="IF45" s="1005"/>
      <c r="IG45" s="1005"/>
      <c r="IH45" s="1005"/>
      <c r="II45" s="1005"/>
      <c r="IJ45" s="1005"/>
      <c r="IK45" s="1005"/>
      <c r="IL45" s="1005"/>
      <c r="IM45" s="1005"/>
      <c r="IN45" s="1005"/>
      <c r="IO45" s="1005"/>
      <c r="IP45" s="1005"/>
      <c r="IQ45" s="1005"/>
      <c r="IR45" s="1005"/>
      <c r="IS45" s="1005"/>
      <c r="IT45" s="1005"/>
      <c r="IU45" s="1005"/>
      <c r="IV45" s="1005"/>
      <c r="IW45" s="1005"/>
      <c r="IX45" s="1005"/>
      <c r="IY45" s="1005"/>
      <c r="IZ45" s="1005"/>
      <c r="JA45" s="1005"/>
      <c r="JB45" s="1005"/>
      <c r="JC45" s="1005"/>
      <c r="JD45" s="1005"/>
      <c r="JE45" s="1005"/>
      <c r="JF45" s="1005"/>
      <c r="JG45" s="1005"/>
      <c r="JH45" s="1005"/>
      <c r="JI45" s="1005"/>
      <c r="JJ45" s="1005"/>
      <c r="JK45" s="1005"/>
      <c r="JL45" s="1005"/>
      <c r="JM45" s="1005"/>
      <c r="JN45" s="1005"/>
      <c r="JO45" s="1005"/>
      <c r="JP45" s="1005"/>
      <c r="JQ45" s="1005"/>
      <c r="JR45" s="1005"/>
      <c r="JS45" s="1005"/>
      <c r="JT45" s="1005"/>
      <c r="JU45" s="1005"/>
      <c r="JV45" s="1005"/>
      <c r="JW45" s="1005"/>
      <c r="JX45" s="1005"/>
      <c r="JY45" s="1005"/>
      <c r="JZ45" s="1005"/>
      <c r="KA45" s="1005"/>
      <c r="KB45" s="1005"/>
      <c r="KC45" s="1005"/>
      <c r="KD45" s="1005"/>
      <c r="KE45" s="1005"/>
      <c r="KF45" s="1005"/>
      <c r="KG45" s="1005"/>
      <c r="KH45" s="1005"/>
      <c r="KI45" s="1005"/>
      <c r="KJ45" s="1005"/>
      <c r="KK45" s="1005"/>
      <c r="KL45" s="1005"/>
      <c r="KM45" s="1005"/>
      <c r="KN45" s="1005"/>
      <c r="KO45" s="1005"/>
      <c r="KP45" s="1005"/>
      <c r="KQ45" s="1005"/>
      <c r="KR45" s="1005"/>
      <c r="KS45" s="1005"/>
      <c r="KT45" s="1005"/>
      <c r="KU45" s="1005"/>
      <c r="KV45" s="1005"/>
      <c r="KW45" s="1005"/>
      <c r="KX45" s="1005"/>
      <c r="KY45" s="1005"/>
      <c r="KZ45" s="1005"/>
      <c r="LA45" s="1005"/>
      <c r="LB45" s="1005"/>
      <c r="LC45" s="1005"/>
      <c r="LD45" s="1005"/>
      <c r="LE45" s="1005"/>
      <c r="LF45" s="1005"/>
      <c r="LG45" s="1005"/>
      <c r="LH45" s="1005"/>
      <c r="LI45" s="1005"/>
      <c r="LJ45" s="1005"/>
      <c r="LK45" s="1005"/>
      <c r="LL45" s="1005"/>
      <c r="LM45" s="1005"/>
      <c r="LN45" s="1005"/>
      <c r="LO45" s="1005"/>
      <c r="LP45" s="1005"/>
      <c r="LQ45" s="1005"/>
      <c r="LR45" s="1005"/>
      <c r="LS45" s="1005"/>
      <c r="LT45" s="1005"/>
      <c r="LU45" s="1005"/>
      <c r="LV45" s="1005"/>
      <c r="LW45" s="1005"/>
      <c r="LX45" s="1005"/>
      <c r="LY45" s="1005"/>
      <c r="LZ45" s="1005"/>
      <c r="MA45" s="1005"/>
      <c r="MB45" s="1005"/>
      <c r="MC45" s="1005"/>
      <c r="MD45" s="1005"/>
      <c r="ME45" s="1005"/>
      <c r="MF45" s="1005"/>
      <c r="MG45" s="1005"/>
      <c r="MH45" s="1005"/>
      <c r="MI45" s="1005"/>
      <c r="MJ45" s="1005"/>
      <c r="MK45" s="1005"/>
      <c r="ML45" s="1005"/>
      <c r="MM45" s="1005"/>
      <c r="MN45" s="1005"/>
      <c r="MO45" s="1005"/>
      <c r="MP45" s="1005"/>
      <c r="MQ45" s="1005"/>
      <c r="MR45" s="1005"/>
      <c r="MS45" s="1005"/>
      <c r="MT45" s="1005"/>
      <c r="MU45" s="1005"/>
      <c r="MV45" s="1005"/>
      <c r="MW45" s="1005"/>
      <c r="MX45" s="1005"/>
      <c r="MY45" s="1005"/>
      <c r="MZ45" s="1005"/>
      <c r="NA45" s="1005"/>
      <c r="NB45" s="1005"/>
      <c r="NC45" s="1005"/>
      <c r="ND45" s="1005"/>
      <c r="NE45" s="1005"/>
      <c r="NF45" s="1005"/>
      <c r="NG45" s="1005"/>
      <c r="NH45" s="1005"/>
      <c r="NI45" s="1005"/>
      <c r="NJ45" s="1005"/>
      <c r="NK45" s="1005"/>
      <c r="NL45" s="1005"/>
      <c r="NM45" s="1005"/>
      <c r="NN45" s="1005"/>
      <c r="NO45" s="1005"/>
      <c r="NP45" s="1005"/>
      <c r="NQ45" s="1005"/>
      <c r="NR45" s="1005"/>
      <c r="NS45" s="1005"/>
      <c r="NT45" s="1005"/>
      <c r="NU45" s="1005"/>
      <c r="NV45" s="1005"/>
      <c r="NW45" s="1005"/>
      <c r="NX45" s="1005"/>
      <c r="NY45" s="1005"/>
      <c r="NZ45" s="1005"/>
      <c r="OA45" s="1005"/>
      <c r="OB45" s="1005"/>
      <c r="OC45" s="1005"/>
      <c r="OD45" s="1005"/>
      <c r="OE45" s="1005"/>
      <c r="OF45" s="1005"/>
      <c r="OG45" s="1005"/>
      <c r="OH45" s="1005"/>
      <c r="OI45" s="1005"/>
      <c r="OJ45" s="1005"/>
      <c r="OK45" s="1005"/>
      <c r="OL45" s="1005"/>
      <c r="OM45" s="1005"/>
      <c r="ON45" s="1005"/>
      <c r="OO45" s="1005"/>
      <c r="OP45" s="1005"/>
      <c r="OQ45" s="1005"/>
      <c r="OR45" s="1005"/>
      <c r="OS45" s="1005"/>
      <c r="OT45" s="1005"/>
      <c r="OU45" s="1005"/>
      <c r="OV45" s="1005"/>
      <c r="OW45" s="1005"/>
      <c r="OX45" s="1005"/>
      <c r="OY45" s="1005"/>
      <c r="OZ45" s="1005"/>
      <c r="PA45" s="1005"/>
      <c r="PB45" s="1005"/>
      <c r="PC45" s="1005"/>
      <c r="PD45" s="1005"/>
      <c r="PE45" s="1005"/>
      <c r="PF45" s="1005"/>
      <c r="PG45" s="1005"/>
      <c r="PH45" s="1005"/>
      <c r="PI45" s="1005"/>
      <c r="PJ45" s="1005"/>
      <c r="PK45" s="1005"/>
      <c r="PL45" s="1005"/>
      <c r="PM45" s="1005"/>
      <c r="PN45" s="1005"/>
      <c r="PO45" s="1005"/>
      <c r="PP45" s="1005"/>
      <c r="PQ45" s="1005"/>
      <c r="PR45" s="1005"/>
      <c r="PS45" s="1005"/>
      <c r="PT45" s="1005"/>
      <c r="PU45" s="1005"/>
      <c r="PV45" s="1005"/>
      <c r="PW45" s="1005"/>
      <c r="PX45" s="1005"/>
      <c r="PY45" s="1005"/>
      <c r="PZ45" s="1005"/>
      <c r="QA45" s="1005"/>
      <c r="QB45" s="1005"/>
      <c r="QC45" s="1005"/>
      <c r="QD45" s="1005"/>
      <c r="QE45" s="1005"/>
      <c r="QF45" s="1005"/>
      <c r="QG45" s="1005"/>
      <c r="QH45" s="1005"/>
      <c r="QI45" s="1005"/>
      <c r="QJ45" s="1005"/>
      <c r="QK45" s="1005"/>
      <c r="QL45" s="1005"/>
      <c r="QM45" s="1005"/>
      <c r="QN45" s="1005"/>
      <c r="QO45" s="1005"/>
      <c r="QP45" s="1005"/>
      <c r="QQ45" s="1005"/>
      <c r="QR45" s="1005"/>
      <c r="QS45" s="1005"/>
      <c r="QT45" s="1005"/>
      <c r="QU45" s="1005"/>
      <c r="QV45" s="1005"/>
      <c r="QW45" s="1005"/>
      <c r="QX45" s="1005"/>
      <c r="QY45" s="1005"/>
      <c r="QZ45" s="1005"/>
      <c r="RA45" s="1005"/>
      <c r="RB45" s="1005"/>
      <c r="RC45" s="1005"/>
      <c r="RD45" s="1005"/>
      <c r="RE45" s="1005"/>
      <c r="RF45" s="1005"/>
      <c r="RG45" s="1005"/>
      <c r="RH45" s="1005"/>
      <c r="RI45" s="1005"/>
      <c r="RJ45" s="1005"/>
      <c r="RK45" s="1005"/>
      <c r="RL45" s="1005"/>
      <c r="RM45" s="1005"/>
      <c r="RN45" s="1005"/>
      <c r="RO45" s="1005"/>
      <c r="RP45" s="1005"/>
      <c r="RQ45" s="1005"/>
      <c r="RR45" s="1005"/>
      <c r="RS45" s="1005"/>
      <c r="RT45" s="1005"/>
      <c r="RU45" s="1005"/>
      <c r="RV45" s="1005"/>
      <c r="RW45" s="1005"/>
      <c r="RX45" s="1005"/>
      <c r="RY45" s="1005"/>
      <c r="RZ45" s="1005"/>
      <c r="SA45" s="1005"/>
      <c r="SB45" s="1005"/>
      <c r="SC45" s="1005"/>
      <c r="SD45" s="1005"/>
      <c r="SE45" s="1005"/>
      <c r="SF45" s="1005"/>
      <c r="SG45" s="1005"/>
      <c r="SH45" s="1005"/>
      <c r="SI45" s="1005"/>
      <c r="SJ45" s="1005"/>
      <c r="SK45" s="1005"/>
      <c r="SL45" s="1005"/>
      <c r="SM45" s="1005"/>
      <c r="SN45" s="1005"/>
      <c r="SO45" s="1005"/>
      <c r="SP45" s="1005"/>
      <c r="SQ45" s="1005"/>
      <c r="SR45" s="1005"/>
      <c r="SS45" s="1005"/>
      <c r="ST45" s="1005"/>
      <c r="SU45" s="1005"/>
      <c r="SV45" s="1005"/>
      <c r="SW45" s="1005"/>
      <c r="SX45" s="1005"/>
      <c r="SY45" s="1005"/>
      <c r="SZ45" s="1005"/>
      <c r="TA45" s="1005"/>
      <c r="TB45" s="1005"/>
      <c r="TC45" s="1005"/>
      <c r="TD45" s="1005"/>
      <c r="TE45" s="1005"/>
      <c r="TF45" s="1005"/>
      <c r="TG45" s="1005"/>
      <c r="TH45" s="1005"/>
      <c r="TI45" s="1005"/>
      <c r="TJ45" s="1005"/>
      <c r="TK45" s="1005"/>
      <c r="TL45" s="1005"/>
      <c r="TM45" s="1005"/>
      <c r="TN45" s="1005"/>
      <c r="TO45" s="1005"/>
      <c r="TP45" s="1005"/>
      <c r="TQ45" s="1005"/>
      <c r="TR45" s="1005"/>
      <c r="TS45" s="1005"/>
      <c r="TT45" s="1005"/>
      <c r="TU45" s="1005"/>
      <c r="TV45" s="1005"/>
      <c r="TW45" s="1005"/>
      <c r="TX45" s="1005"/>
      <c r="TY45" s="1005"/>
      <c r="TZ45" s="1005"/>
      <c r="UA45" s="1005"/>
      <c r="UB45" s="1005"/>
      <c r="UC45" s="1005"/>
      <c r="UD45" s="1005"/>
      <c r="UE45" s="1005"/>
      <c r="UF45" s="1005"/>
      <c r="UG45" s="1005"/>
      <c r="UH45" s="1005"/>
      <c r="UI45" s="1005"/>
      <c r="UJ45" s="1005"/>
      <c r="UK45" s="1005"/>
      <c r="UL45" s="1005"/>
      <c r="UM45" s="1005"/>
      <c r="UN45" s="1005"/>
      <c r="UO45" s="1005"/>
      <c r="UP45" s="1005"/>
      <c r="UQ45" s="1005"/>
      <c r="UR45" s="1005"/>
      <c r="US45" s="1005"/>
      <c r="UT45" s="1005"/>
      <c r="UU45" s="1005"/>
      <c r="UV45" s="1005"/>
      <c r="UW45" s="1005"/>
      <c r="UX45" s="1005"/>
      <c r="UY45" s="1005"/>
      <c r="UZ45" s="1005"/>
      <c r="VA45" s="1005"/>
      <c r="VB45" s="1005"/>
      <c r="VC45" s="1005"/>
      <c r="VD45" s="1005"/>
      <c r="VE45" s="1005"/>
      <c r="VF45" s="1005"/>
      <c r="VG45" s="1005"/>
      <c r="VH45" s="1005"/>
      <c r="VI45" s="1005"/>
      <c r="VJ45" s="1005"/>
      <c r="VK45" s="1005"/>
      <c r="VL45" s="1005"/>
      <c r="VM45" s="1005"/>
      <c r="VN45" s="1005"/>
      <c r="VO45" s="1005"/>
      <c r="VP45" s="1005"/>
      <c r="VQ45" s="1005"/>
      <c r="VR45" s="1005"/>
      <c r="VS45" s="1005"/>
      <c r="VT45" s="1005"/>
      <c r="VU45" s="1005"/>
      <c r="VV45" s="1005"/>
      <c r="VW45" s="1005"/>
      <c r="VX45" s="1005"/>
      <c r="VY45" s="1005"/>
      <c r="VZ45" s="1005"/>
      <c r="WA45" s="1005"/>
      <c r="WB45" s="1005"/>
      <c r="WC45" s="1005"/>
      <c r="WD45" s="1005"/>
      <c r="WE45" s="1005"/>
      <c r="WF45" s="1005"/>
      <c r="WG45" s="1005"/>
      <c r="WH45" s="1005"/>
      <c r="WI45" s="1005"/>
      <c r="WJ45" s="1005"/>
      <c r="WK45" s="1005"/>
      <c r="WL45" s="1005"/>
      <c r="WM45" s="1005"/>
      <c r="WN45" s="1005"/>
      <c r="WO45" s="1005"/>
      <c r="WP45" s="1005"/>
      <c r="WQ45" s="1005"/>
      <c r="WR45" s="1005"/>
      <c r="WS45" s="1005"/>
      <c r="WT45" s="1005"/>
      <c r="WU45" s="1005"/>
      <c r="WV45" s="1005"/>
      <c r="WW45" s="1005"/>
      <c r="WX45" s="1005"/>
      <c r="WY45" s="1005"/>
      <c r="WZ45" s="1005"/>
      <c r="XA45" s="1005"/>
      <c r="XB45" s="1005"/>
      <c r="XC45" s="1005"/>
      <c r="XD45" s="1005"/>
      <c r="XE45" s="1005"/>
      <c r="XF45" s="1005"/>
      <c r="XG45" s="1005"/>
      <c r="XH45" s="1005"/>
      <c r="XI45" s="1005"/>
      <c r="XJ45" s="1005"/>
      <c r="XK45" s="1005"/>
      <c r="XL45" s="1005"/>
      <c r="XM45" s="1005"/>
      <c r="XN45" s="1005"/>
      <c r="XO45" s="1005"/>
      <c r="XP45" s="1005"/>
      <c r="XQ45" s="1005"/>
      <c r="XR45" s="1005"/>
      <c r="XS45" s="1005"/>
      <c r="XT45" s="1005"/>
      <c r="XU45" s="1005"/>
      <c r="XV45" s="1005"/>
      <c r="XW45" s="1005"/>
      <c r="XX45" s="1005"/>
      <c r="XY45" s="1005"/>
      <c r="XZ45" s="1005"/>
      <c r="YA45" s="1005"/>
      <c r="YB45" s="1005"/>
      <c r="YC45" s="1005"/>
      <c r="YD45" s="1005"/>
      <c r="YE45" s="1005"/>
      <c r="YF45" s="1005"/>
      <c r="YG45" s="1005"/>
      <c r="YH45" s="1005"/>
      <c r="YI45" s="1005"/>
      <c r="YJ45" s="1005"/>
      <c r="YK45" s="1005"/>
      <c r="YL45" s="1005"/>
      <c r="YM45" s="1005"/>
      <c r="YN45" s="1005"/>
      <c r="YO45" s="1005"/>
      <c r="YP45" s="1005"/>
      <c r="YQ45" s="1005"/>
      <c r="YR45" s="1005"/>
      <c r="YS45" s="1005"/>
      <c r="YT45" s="1005"/>
      <c r="YU45" s="1005"/>
      <c r="YV45" s="1005"/>
      <c r="YW45" s="1005"/>
      <c r="YX45" s="1005"/>
      <c r="YY45" s="1005"/>
      <c r="YZ45" s="1005"/>
      <c r="ZA45" s="1005"/>
      <c r="ZB45" s="1005"/>
      <c r="ZC45" s="1005"/>
      <c r="ZD45" s="1005"/>
      <c r="ZE45" s="1005"/>
      <c r="ZF45" s="1005"/>
      <c r="ZG45" s="1005"/>
      <c r="ZH45" s="1005"/>
      <c r="ZI45" s="1005"/>
      <c r="ZJ45" s="1005"/>
      <c r="ZK45" s="1005"/>
      <c r="ZL45" s="1005"/>
      <c r="ZM45" s="1005"/>
      <c r="ZN45" s="1005"/>
      <c r="ZO45" s="1005"/>
      <c r="ZP45" s="1005"/>
      <c r="ZQ45" s="1005"/>
      <c r="ZR45" s="1005"/>
      <c r="ZS45" s="1005"/>
      <c r="ZT45" s="1005"/>
      <c r="ZU45" s="1005"/>
      <c r="ZV45" s="1005"/>
      <c r="ZW45" s="1005"/>
      <c r="ZX45" s="1005"/>
      <c r="ZY45" s="1005"/>
      <c r="ZZ45" s="1005"/>
      <c r="AAA45" s="1005"/>
      <c r="AAB45" s="1005"/>
      <c r="AAC45" s="1005"/>
      <c r="AAD45" s="1005"/>
      <c r="AAE45" s="1005"/>
      <c r="AAF45" s="1005"/>
      <c r="AAG45" s="1005"/>
      <c r="AAH45" s="1005"/>
      <c r="AAI45" s="1005"/>
      <c r="AAJ45" s="1005"/>
      <c r="AAK45" s="1005"/>
      <c r="AAL45" s="1005"/>
      <c r="AAM45" s="1005"/>
      <c r="AAN45" s="1005"/>
      <c r="AAO45" s="1005"/>
      <c r="AAP45" s="1005"/>
      <c r="AAQ45" s="1005"/>
      <c r="AAR45" s="1005"/>
      <c r="AAS45" s="1005"/>
      <c r="AAT45" s="1005"/>
      <c r="AAU45" s="1005"/>
      <c r="AAV45" s="1005"/>
      <c r="AAW45" s="1005"/>
      <c r="AAX45" s="1005"/>
      <c r="AAY45" s="1005"/>
      <c r="AAZ45" s="1005"/>
      <c r="ABA45" s="1005"/>
      <c r="ABB45" s="1005"/>
      <c r="ABC45" s="1005"/>
      <c r="ABD45" s="1005"/>
      <c r="ABE45" s="1005"/>
      <c r="ABF45" s="1005"/>
      <c r="ABG45" s="1005"/>
      <c r="ABH45" s="1005"/>
      <c r="ABI45" s="1005"/>
      <c r="ABJ45" s="1005"/>
      <c r="ABK45" s="1005"/>
      <c r="ABL45" s="1005"/>
      <c r="ABM45" s="1005"/>
      <c r="ABN45" s="1005"/>
      <c r="ABO45" s="1005"/>
      <c r="ABP45" s="1005"/>
      <c r="ABQ45" s="1005"/>
      <c r="ABR45" s="1005"/>
    </row>
    <row r="46" spans="1:746" s="113" customFormat="1" ht="12.9" hidden="1" customHeight="1" thickBot="1">
      <c r="A46" s="1253"/>
      <c r="B46" s="2957" t="s">
        <v>418</v>
      </c>
      <c r="C46" s="2958"/>
      <c r="D46" s="348"/>
      <c r="E46" s="347" t="s">
        <v>1</v>
      </c>
      <c r="F46" s="1240"/>
      <c r="G46" s="347">
        <v>0.25</v>
      </c>
      <c r="H46" s="2349"/>
      <c r="I46" s="2364"/>
      <c r="J46" s="809"/>
      <c r="K46" s="809"/>
      <c r="L46" s="809"/>
      <c r="M46" s="809"/>
      <c r="N46" s="809"/>
      <c r="O46" s="809"/>
      <c r="P46" s="809"/>
      <c r="Q46" s="809"/>
      <c r="R46" s="809"/>
      <c r="S46" s="809"/>
      <c r="T46" s="809"/>
      <c r="U46" s="2192"/>
      <c r="V46" s="2192"/>
      <c r="W46" s="2192"/>
      <c r="X46" s="2192"/>
      <c r="Y46" s="2192"/>
      <c r="Z46" s="2192"/>
      <c r="AA46" s="2192"/>
      <c r="AB46" s="2192"/>
      <c r="AC46" s="2192"/>
      <c r="AD46" s="2192"/>
      <c r="AE46" s="2192"/>
      <c r="AF46" s="2192"/>
      <c r="AG46" s="2202"/>
      <c r="AH46" s="333"/>
      <c r="AI46" s="2226"/>
      <c r="AJ46" s="416">
        <f>IF(fx!$C$57=1,SUMIF(fx!I$57:T$57,1,I46:T46),IF(fx!$C$57=2,SUMIF(fx!O$57:AF$57,1,O46:AF46)))</f>
        <v>0</v>
      </c>
      <c r="AK46" s="419"/>
      <c r="AL46" s="422">
        <f>IF(fx!$C$57=1,SUM(U46:AF46),0)</f>
        <v>0</v>
      </c>
      <c r="AM46" s="1005"/>
      <c r="AN46" s="1011"/>
      <c r="AO46" s="1945"/>
      <c r="AP46" s="1935"/>
      <c r="AQ46" s="1936"/>
      <c r="AR46" s="1941"/>
      <c r="AS46" s="1941"/>
      <c r="AT46" s="1941"/>
      <c r="AU46" s="1941"/>
      <c r="AV46" s="1941"/>
      <c r="AW46" s="1941"/>
      <c r="AX46" s="1941"/>
      <c r="AY46" s="1941"/>
      <c r="AZ46" s="1941"/>
      <c r="BA46" s="1941"/>
      <c r="BB46" s="1941"/>
      <c r="BC46" s="1941"/>
      <c r="BD46" s="1941"/>
      <c r="BE46" s="1941"/>
      <c r="BF46" s="1941"/>
      <c r="BG46" s="1941"/>
      <c r="BH46" s="1941"/>
      <c r="BI46" s="1941"/>
      <c r="BJ46" s="1941"/>
      <c r="BK46" s="1941"/>
      <c r="BL46" s="1941"/>
      <c r="BM46" s="1941"/>
      <c r="BN46" s="1941"/>
      <c r="BO46" s="1941"/>
      <c r="BP46" s="1005"/>
      <c r="BQ46" s="1005"/>
      <c r="BR46" s="1005"/>
      <c r="BS46" s="1005"/>
      <c r="BT46" s="1005"/>
      <c r="BU46" s="1005"/>
      <c r="BV46" s="1005"/>
      <c r="BW46" s="1005"/>
      <c r="BX46" s="1005"/>
      <c r="BY46" s="1005"/>
      <c r="BZ46" s="1005"/>
      <c r="CA46" s="1005"/>
      <c r="CB46" s="1005"/>
      <c r="CC46" s="1005"/>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c r="EC46" s="1005"/>
      <c r="ED46" s="1005"/>
      <c r="EE46" s="1005"/>
      <c r="EF46" s="1005"/>
      <c r="EG46" s="1005"/>
      <c r="EH46" s="1005"/>
      <c r="EI46" s="1005"/>
      <c r="EJ46" s="1005"/>
      <c r="EK46" s="1005"/>
      <c r="EL46" s="1005"/>
      <c r="EM46" s="1005"/>
      <c r="EN46" s="1005"/>
      <c r="EO46" s="1005"/>
      <c r="EP46" s="1005"/>
      <c r="EQ46" s="1005"/>
      <c r="ER46" s="1005"/>
      <c r="ES46" s="1005"/>
      <c r="ET46" s="1005"/>
      <c r="EU46" s="1005"/>
      <c r="EV46" s="1005"/>
      <c r="EW46" s="1005"/>
      <c r="EX46" s="1005"/>
      <c r="EY46" s="1005"/>
      <c r="EZ46" s="1005"/>
      <c r="FA46" s="1005"/>
      <c r="FB46" s="1005"/>
      <c r="FC46" s="1005"/>
      <c r="FD46" s="1005"/>
      <c r="FE46" s="1005"/>
      <c r="FF46" s="1005"/>
      <c r="FG46" s="1005"/>
      <c r="FH46" s="1005"/>
      <c r="FI46" s="1005"/>
      <c r="FJ46" s="1005"/>
      <c r="FK46" s="1005"/>
      <c r="FL46" s="1005"/>
      <c r="FM46" s="1005"/>
      <c r="FN46" s="1005"/>
      <c r="FO46" s="1005"/>
      <c r="FP46" s="1005"/>
      <c r="FQ46" s="1005"/>
      <c r="FR46" s="1005"/>
      <c r="FS46" s="1005"/>
      <c r="FT46" s="1005"/>
      <c r="FU46" s="1005"/>
      <c r="FV46" s="1005"/>
      <c r="FW46" s="1005"/>
      <c r="FX46" s="1005"/>
      <c r="FY46" s="1005"/>
      <c r="FZ46" s="1005"/>
      <c r="GA46" s="1005"/>
      <c r="GB46" s="1005"/>
      <c r="GC46" s="1005"/>
      <c r="GD46" s="1005"/>
      <c r="GE46" s="1005"/>
      <c r="GF46" s="1005"/>
      <c r="GG46" s="1005"/>
      <c r="GH46" s="1005"/>
      <c r="GI46" s="1005"/>
      <c r="GJ46" s="1005"/>
      <c r="GK46" s="1005"/>
      <c r="GL46" s="1005"/>
      <c r="GM46" s="1005"/>
      <c r="GN46" s="1005"/>
      <c r="GO46" s="1005"/>
      <c r="GP46" s="1005"/>
      <c r="GQ46" s="1005"/>
      <c r="GR46" s="1005"/>
      <c r="GS46" s="1005"/>
      <c r="GT46" s="1005"/>
      <c r="GU46" s="1005"/>
      <c r="GV46" s="1005"/>
      <c r="GW46" s="1005"/>
      <c r="GX46" s="1005"/>
      <c r="GY46" s="1005"/>
      <c r="GZ46" s="1005"/>
      <c r="HA46" s="1005"/>
      <c r="HB46" s="1005"/>
      <c r="HC46" s="1005"/>
      <c r="HD46" s="1005"/>
      <c r="HE46" s="1005"/>
      <c r="HF46" s="1005"/>
      <c r="HG46" s="1005"/>
      <c r="HH46" s="1005"/>
      <c r="HI46" s="1005"/>
      <c r="HJ46" s="1005"/>
      <c r="HK46" s="1005"/>
      <c r="HL46" s="1005"/>
      <c r="HM46" s="1005"/>
      <c r="HN46" s="1005"/>
      <c r="HO46" s="1005"/>
      <c r="HP46" s="1005"/>
      <c r="HQ46" s="1005"/>
      <c r="HR46" s="1005"/>
      <c r="HS46" s="1005"/>
      <c r="HT46" s="1005"/>
      <c r="HU46" s="1005"/>
      <c r="HV46" s="1005"/>
      <c r="HW46" s="1005"/>
      <c r="HX46" s="1005"/>
      <c r="HY46" s="1005"/>
      <c r="HZ46" s="1005"/>
      <c r="IA46" s="1005"/>
      <c r="IB46" s="1005"/>
      <c r="IC46" s="1005"/>
      <c r="ID46" s="1005"/>
      <c r="IE46" s="1005"/>
      <c r="IF46" s="1005"/>
      <c r="IG46" s="1005"/>
      <c r="IH46" s="1005"/>
      <c r="II46" s="1005"/>
      <c r="IJ46" s="1005"/>
      <c r="IK46" s="1005"/>
      <c r="IL46" s="1005"/>
      <c r="IM46" s="1005"/>
      <c r="IN46" s="1005"/>
      <c r="IO46" s="1005"/>
      <c r="IP46" s="1005"/>
      <c r="IQ46" s="1005"/>
      <c r="IR46" s="1005"/>
      <c r="IS46" s="1005"/>
      <c r="IT46" s="1005"/>
      <c r="IU46" s="1005"/>
      <c r="IV46" s="1005"/>
      <c r="IW46" s="1005"/>
      <c r="IX46" s="1005"/>
      <c r="IY46" s="1005"/>
      <c r="IZ46" s="1005"/>
      <c r="JA46" s="1005"/>
      <c r="JB46" s="1005"/>
      <c r="JC46" s="1005"/>
      <c r="JD46" s="1005"/>
      <c r="JE46" s="1005"/>
      <c r="JF46" s="1005"/>
      <c r="JG46" s="1005"/>
      <c r="JH46" s="1005"/>
      <c r="JI46" s="1005"/>
      <c r="JJ46" s="1005"/>
      <c r="JK46" s="1005"/>
      <c r="JL46" s="1005"/>
      <c r="JM46" s="1005"/>
      <c r="JN46" s="1005"/>
      <c r="JO46" s="1005"/>
      <c r="JP46" s="1005"/>
      <c r="JQ46" s="1005"/>
      <c r="JR46" s="1005"/>
      <c r="JS46" s="1005"/>
      <c r="JT46" s="1005"/>
      <c r="JU46" s="1005"/>
      <c r="JV46" s="1005"/>
      <c r="JW46" s="1005"/>
      <c r="JX46" s="1005"/>
      <c r="JY46" s="1005"/>
      <c r="JZ46" s="1005"/>
      <c r="KA46" s="1005"/>
      <c r="KB46" s="1005"/>
      <c r="KC46" s="1005"/>
      <c r="KD46" s="1005"/>
      <c r="KE46" s="1005"/>
      <c r="KF46" s="1005"/>
      <c r="KG46" s="1005"/>
      <c r="KH46" s="1005"/>
      <c r="KI46" s="1005"/>
      <c r="KJ46" s="1005"/>
      <c r="KK46" s="1005"/>
      <c r="KL46" s="1005"/>
      <c r="KM46" s="1005"/>
      <c r="KN46" s="1005"/>
      <c r="KO46" s="1005"/>
      <c r="KP46" s="1005"/>
      <c r="KQ46" s="1005"/>
      <c r="KR46" s="1005"/>
      <c r="KS46" s="1005"/>
      <c r="KT46" s="1005"/>
      <c r="KU46" s="1005"/>
      <c r="KV46" s="1005"/>
      <c r="KW46" s="1005"/>
      <c r="KX46" s="1005"/>
      <c r="KY46" s="1005"/>
      <c r="KZ46" s="1005"/>
      <c r="LA46" s="1005"/>
      <c r="LB46" s="1005"/>
      <c r="LC46" s="1005"/>
      <c r="LD46" s="1005"/>
      <c r="LE46" s="1005"/>
      <c r="LF46" s="1005"/>
      <c r="LG46" s="1005"/>
      <c r="LH46" s="1005"/>
      <c r="LI46" s="1005"/>
      <c r="LJ46" s="1005"/>
      <c r="LK46" s="1005"/>
      <c r="LL46" s="1005"/>
      <c r="LM46" s="1005"/>
      <c r="LN46" s="1005"/>
      <c r="LO46" s="1005"/>
      <c r="LP46" s="1005"/>
      <c r="LQ46" s="1005"/>
      <c r="LR46" s="1005"/>
      <c r="LS46" s="1005"/>
      <c r="LT46" s="1005"/>
      <c r="LU46" s="1005"/>
      <c r="LV46" s="1005"/>
      <c r="LW46" s="1005"/>
      <c r="LX46" s="1005"/>
      <c r="LY46" s="1005"/>
      <c r="LZ46" s="1005"/>
      <c r="MA46" s="1005"/>
      <c r="MB46" s="1005"/>
      <c r="MC46" s="1005"/>
      <c r="MD46" s="1005"/>
      <c r="ME46" s="1005"/>
      <c r="MF46" s="1005"/>
      <c r="MG46" s="1005"/>
      <c r="MH46" s="1005"/>
      <c r="MI46" s="1005"/>
      <c r="MJ46" s="1005"/>
      <c r="MK46" s="1005"/>
      <c r="ML46" s="1005"/>
      <c r="MM46" s="1005"/>
      <c r="MN46" s="1005"/>
      <c r="MO46" s="1005"/>
      <c r="MP46" s="1005"/>
      <c r="MQ46" s="1005"/>
      <c r="MR46" s="1005"/>
      <c r="MS46" s="1005"/>
      <c r="MT46" s="1005"/>
      <c r="MU46" s="1005"/>
      <c r="MV46" s="1005"/>
      <c r="MW46" s="1005"/>
      <c r="MX46" s="1005"/>
      <c r="MY46" s="1005"/>
      <c r="MZ46" s="1005"/>
      <c r="NA46" s="1005"/>
      <c r="NB46" s="1005"/>
      <c r="NC46" s="1005"/>
      <c r="ND46" s="1005"/>
      <c r="NE46" s="1005"/>
      <c r="NF46" s="1005"/>
      <c r="NG46" s="1005"/>
      <c r="NH46" s="1005"/>
      <c r="NI46" s="1005"/>
      <c r="NJ46" s="1005"/>
      <c r="NK46" s="1005"/>
      <c r="NL46" s="1005"/>
      <c r="NM46" s="1005"/>
      <c r="NN46" s="1005"/>
      <c r="NO46" s="1005"/>
      <c r="NP46" s="1005"/>
      <c r="NQ46" s="1005"/>
      <c r="NR46" s="1005"/>
      <c r="NS46" s="1005"/>
      <c r="NT46" s="1005"/>
      <c r="NU46" s="1005"/>
      <c r="NV46" s="1005"/>
      <c r="NW46" s="1005"/>
      <c r="NX46" s="1005"/>
      <c r="NY46" s="1005"/>
      <c r="NZ46" s="1005"/>
      <c r="OA46" s="1005"/>
      <c r="OB46" s="1005"/>
      <c r="OC46" s="1005"/>
      <c r="OD46" s="1005"/>
      <c r="OE46" s="1005"/>
      <c r="OF46" s="1005"/>
      <c r="OG46" s="1005"/>
      <c r="OH46" s="1005"/>
      <c r="OI46" s="1005"/>
      <c r="OJ46" s="1005"/>
      <c r="OK46" s="1005"/>
      <c r="OL46" s="1005"/>
      <c r="OM46" s="1005"/>
      <c r="ON46" s="1005"/>
      <c r="OO46" s="1005"/>
      <c r="OP46" s="1005"/>
      <c r="OQ46" s="1005"/>
      <c r="OR46" s="1005"/>
      <c r="OS46" s="1005"/>
      <c r="OT46" s="1005"/>
      <c r="OU46" s="1005"/>
      <c r="OV46" s="1005"/>
      <c r="OW46" s="1005"/>
      <c r="OX46" s="1005"/>
      <c r="OY46" s="1005"/>
      <c r="OZ46" s="1005"/>
      <c r="PA46" s="1005"/>
      <c r="PB46" s="1005"/>
      <c r="PC46" s="1005"/>
      <c r="PD46" s="1005"/>
      <c r="PE46" s="1005"/>
      <c r="PF46" s="1005"/>
      <c r="PG46" s="1005"/>
      <c r="PH46" s="1005"/>
      <c r="PI46" s="1005"/>
      <c r="PJ46" s="1005"/>
      <c r="PK46" s="1005"/>
      <c r="PL46" s="1005"/>
      <c r="PM46" s="1005"/>
      <c r="PN46" s="1005"/>
      <c r="PO46" s="1005"/>
      <c r="PP46" s="1005"/>
      <c r="PQ46" s="1005"/>
      <c r="PR46" s="1005"/>
      <c r="PS46" s="1005"/>
      <c r="PT46" s="1005"/>
      <c r="PU46" s="1005"/>
      <c r="PV46" s="1005"/>
      <c r="PW46" s="1005"/>
      <c r="PX46" s="1005"/>
      <c r="PY46" s="1005"/>
      <c r="PZ46" s="1005"/>
      <c r="QA46" s="1005"/>
      <c r="QB46" s="1005"/>
      <c r="QC46" s="1005"/>
      <c r="QD46" s="1005"/>
      <c r="QE46" s="1005"/>
      <c r="QF46" s="1005"/>
      <c r="QG46" s="1005"/>
      <c r="QH46" s="1005"/>
      <c r="QI46" s="1005"/>
      <c r="QJ46" s="1005"/>
      <c r="QK46" s="1005"/>
      <c r="QL46" s="1005"/>
      <c r="QM46" s="1005"/>
      <c r="QN46" s="1005"/>
      <c r="QO46" s="1005"/>
      <c r="QP46" s="1005"/>
      <c r="QQ46" s="1005"/>
      <c r="QR46" s="1005"/>
      <c r="QS46" s="1005"/>
      <c r="QT46" s="1005"/>
      <c r="QU46" s="1005"/>
      <c r="QV46" s="1005"/>
      <c r="QW46" s="1005"/>
      <c r="QX46" s="1005"/>
      <c r="QY46" s="1005"/>
      <c r="QZ46" s="1005"/>
      <c r="RA46" s="1005"/>
      <c r="RB46" s="1005"/>
      <c r="RC46" s="1005"/>
      <c r="RD46" s="1005"/>
      <c r="RE46" s="1005"/>
      <c r="RF46" s="1005"/>
      <c r="RG46" s="1005"/>
      <c r="RH46" s="1005"/>
      <c r="RI46" s="1005"/>
      <c r="RJ46" s="1005"/>
      <c r="RK46" s="1005"/>
      <c r="RL46" s="1005"/>
      <c r="RM46" s="1005"/>
      <c r="RN46" s="1005"/>
      <c r="RO46" s="1005"/>
      <c r="RP46" s="1005"/>
      <c r="RQ46" s="1005"/>
      <c r="RR46" s="1005"/>
      <c r="RS46" s="1005"/>
      <c r="RT46" s="1005"/>
      <c r="RU46" s="1005"/>
      <c r="RV46" s="1005"/>
      <c r="RW46" s="1005"/>
      <c r="RX46" s="1005"/>
      <c r="RY46" s="1005"/>
      <c r="RZ46" s="1005"/>
      <c r="SA46" s="1005"/>
      <c r="SB46" s="1005"/>
      <c r="SC46" s="1005"/>
      <c r="SD46" s="1005"/>
      <c r="SE46" s="1005"/>
      <c r="SF46" s="1005"/>
      <c r="SG46" s="1005"/>
      <c r="SH46" s="1005"/>
      <c r="SI46" s="1005"/>
      <c r="SJ46" s="1005"/>
      <c r="SK46" s="1005"/>
      <c r="SL46" s="1005"/>
      <c r="SM46" s="1005"/>
      <c r="SN46" s="1005"/>
      <c r="SO46" s="1005"/>
      <c r="SP46" s="1005"/>
      <c r="SQ46" s="1005"/>
      <c r="SR46" s="1005"/>
      <c r="SS46" s="1005"/>
      <c r="ST46" s="1005"/>
      <c r="SU46" s="1005"/>
      <c r="SV46" s="1005"/>
      <c r="SW46" s="1005"/>
      <c r="SX46" s="1005"/>
      <c r="SY46" s="1005"/>
      <c r="SZ46" s="1005"/>
      <c r="TA46" s="1005"/>
      <c r="TB46" s="1005"/>
      <c r="TC46" s="1005"/>
      <c r="TD46" s="1005"/>
      <c r="TE46" s="1005"/>
      <c r="TF46" s="1005"/>
      <c r="TG46" s="1005"/>
      <c r="TH46" s="1005"/>
      <c r="TI46" s="1005"/>
      <c r="TJ46" s="1005"/>
      <c r="TK46" s="1005"/>
      <c r="TL46" s="1005"/>
      <c r="TM46" s="1005"/>
      <c r="TN46" s="1005"/>
      <c r="TO46" s="1005"/>
      <c r="TP46" s="1005"/>
      <c r="TQ46" s="1005"/>
      <c r="TR46" s="1005"/>
      <c r="TS46" s="1005"/>
      <c r="TT46" s="1005"/>
      <c r="TU46" s="1005"/>
      <c r="TV46" s="1005"/>
      <c r="TW46" s="1005"/>
      <c r="TX46" s="1005"/>
      <c r="TY46" s="1005"/>
      <c r="TZ46" s="1005"/>
      <c r="UA46" s="1005"/>
      <c r="UB46" s="1005"/>
      <c r="UC46" s="1005"/>
      <c r="UD46" s="1005"/>
      <c r="UE46" s="1005"/>
      <c r="UF46" s="1005"/>
      <c r="UG46" s="1005"/>
      <c r="UH46" s="1005"/>
      <c r="UI46" s="1005"/>
      <c r="UJ46" s="1005"/>
      <c r="UK46" s="1005"/>
      <c r="UL46" s="1005"/>
      <c r="UM46" s="1005"/>
      <c r="UN46" s="1005"/>
      <c r="UO46" s="1005"/>
      <c r="UP46" s="1005"/>
      <c r="UQ46" s="1005"/>
      <c r="UR46" s="1005"/>
      <c r="US46" s="1005"/>
      <c r="UT46" s="1005"/>
      <c r="UU46" s="1005"/>
      <c r="UV46" s="1005"/>
      <c r="UW46" s="1005"/>
      <c r="UX46" s="1005"/>
      <c r="UY46" s="1005"/>
      <c r="UZ46" s="1005"/>
      <c r="VA46" s="1005"/>
      <c r="VB46" s="1005"/>
      <c r="VC46" s="1005"/>
      <c r="VD46" s="1005"/>
      <c r="VE46" s="1005"/>
      <c r="VF46" s="1005"/>
      <c r="VG46" s="1005"/>
      <c r="VH46" s="1005"/>
      <c r="VI46" s="1005"/>
      <c r="VJ46" s="1005"/>
      <c r="VK46" s="1005"/>
      <c r="VL46" s="1005"/>
      <c r="VM46" s="1005"/>
      <c r="VN46" s="1005"/>
      <c r="VO46" s="1005"/>
      <c r="VP46" s="1005"/>
      <c r="VQ46" s="1005"/>
      <c r="VR46" s="1005"/>
      <c r="VS46" s="1005"/>
      <c r="VT46" s="1005"/>
      <c r="VU46" s="1005"/>
      <c r="VV46" s="1005"/>
      <c r="VW46" s="1005"/>
      <c r="VX46" s="1005"/>
      <c r="VY46" s="1005"/>
      <c r="VZ46" s="1005"/>
      <c r="WA46" s="1005"/>
      <c r="WB46" s="1005"/>
      <c r="WC46" s="1005"/>
      <c r="WD46" s="1005"/>
      <c r="WE46" s="1005"/>
      <c r="WF46" s="1005"/>
      <c r="WG46" s="1005"/>
      <c r="WH46" s="1005"/>
      <c r="WI46" s="1005"/>
      <c r="WJ46" s="1005"/>
      <c r="WK46" s="1005"/>
      <c r="WL46" s="1005"/>
      <c r="WM46" s="1005"/>
      <c r="WN46" s="1005"/>
      <c r="WO46" s="1005"/>
      <c r="WP46" s="1005"/>
      <c r="WQ46" s="1005"/>
      <c r="WR46" s="1005"/>
      <c r="WS46" s="1005"/>
      <c r="WT46" s="1005"/>
      <c r="WU46" s="1005"/>
      <c r="WV46" s="1005"/>
      <c r="WW46" s="1005"/>
      <c r="WX46" s="1005"/>
      <c r="WY46" s="1005"/>
      <c r="WZ46" s="1005"/>
      <c r="XA46" s="1005"/>
      <c r="XB46" s="1005"/>
      <c r="XC46" s="1005"/>
      <c r="XD46" s="1005"/>
      <c r="XE46" s="1005"/>
      <c r="XF46" s="1005"/>
      <c r="XG46" s="1005"/>
      <c r="XH46" s="1005"/>
      <c r="XI46" s="1005"/>
      <c r="XJ46" s="1005"/>
      <c r="XK46" s="1005"/>
      <c r="XL46" s="1005"/>
      <c r="XM46" s="1005"/>
      <c r="XN46" s="1005"/>
      <c r="XO46" s="1005"/>
      <c r="XP46" s="1005"/>
      <c r="XQ46" s="1005"/>
      <c r="XR46" s="1005"/>
      <c r="XS46" s="1005"/>
      <c r="XT46" s="1005"/>
      <c r="XU46" s="1005"/>
      <c r="XV46" s="1005"/>
      <c r="XW46" s="1005"/>
      <c r="XX46" s="1005"/>
      <c r="XY46" s="1005"/>
      <c r="XZ46" s="1005"/>
      <c r="YA46" s="1005"/>
      <c r="YB46" s="1005"/>
      <c r="YC46" s="1005"/>
      <c r="YD46" s="1005"/>
      <c r="YE46" s="1005"/>
      <c r="YF46" s="1005"/>
      <c r="YG46" s="1005"/>
      <c r="YH46" s="1005"/>
      <c r="YI46" s="1005"/>
      <c r="YJ46" s="1005"/>
      <c r="YK46" s="1005"/>
      <c r="YL46" s="1005"/>
      <c r="YM46" s="1005"/>
      <c r="YN46" s="1005"/>
      <c r="YO46" s="1005"/>
      <c r="YP46" s="1005"/>
      <c r="YQ46" s="1005"/>
      <c r="YR46" s="1005"/>
      <c r="YS46" s="1005"/>
      <c r="YT46" s="1005"/>
      <c r="YU46" s="1005"/>
      <c r="YV46" s="1005"/>
      <c r="YW46" s="1005"/>
      <c r="YX46" s="1005"/>
      <c r="YY46" s="1005"/>
      <c r="YZ46" s="1005"/>
      <c r="ZA46" s="1005"/>
      <c r="ZB46" s="1005"/>
      <c r="ZC46" s="1005"/>
      <c r="ZD46" s="1005"/>
      <c r="ZE46" s="1005"/>
      <c r="ZF46" s="1005"/>
      <c r="ZG46" s="1005"/>
      <c r="ZH46" s="1005"/>
      <c r="ZI46" s="1005"/>
      <c r="ZJ46" s="1005"/>
      <c r="ZK46" s="1005"/>
      <c r="ZL46" s="1005"/>
      <c r="ZM46" s="1005"/>
      <c r="ZN46" s="1005"/>
      <c r="ZO46" s="1005"/>
      <c r="ZP46" s="1005"/>
      <c r="ZQ46" s="1005"/>
      <c r="ZR46" s="1005"/>
      <c r="ZS46" s="1005"/>
      <c r="ZT46" s="1005"/>
      <c r="ZU46" s="1005"/>
      <c r="ZV46" s="1005"/>
      <c r="ZW46" s="1005"/>
      <c r="ZX46" s="1005"/>
      <c r="ZY46" s="1005"/>
      <c r="ZZ46" s="1005"/>
      <c r="AAA46" s="1005"/>
      <c r="AAB46" s="1005"/>
      <c r="AAC46" s="1005"/>
      <c r="AAD46" s="1005"/>
      <c r="AAE46" s="1005"/>
      <c r="AAF46" s="1005"/>
      <c r="AAG46" s="1005"/>
      <c r="AAH46" s="1005"/>
      <c r="AAI46" s="1005"/>
      <c r="AAJ46" s="1005"/>
      <c r="AAK46" s="1005"/>
      <c r="AAL46" s="1005"/>
      <c r="AAM46" s="1005"/>
      <c r="AAN46" s="1005"/>
      <c r="AAO46" s="1005"/>
      <c r="AAP46" s="1005"/>
      <c r="AAQ46" s="1005"/>
      <c r="AAR46" s="1005"/>
      <c r="AAS46" s="1005"/>
      <c r="AAT46" s="1005"/>
      <c r="AAU46" s="1005"/>
      <c r="AAV46" s="1005"/>
      <c r="AAW46" s="1005"/>
      <c r="AAX46" s="1005"/>
      <c r="AAY46" s="1005"/>
      <c r="AAZ46" s="1005"/>
      <c r="ABA46" s="1005"/>
      <c r="ABB46" s="1005"/>
      <c r="ABC46" s="1005"/>
      <c r="ABD46" s="1005"/>
      <c r="ABE46" s="1005"/>
      <c r="ABF46" s="1005"/>
      <c r="ABG46" s="1005"/>
      <c r="ABH46" s="1005"/>
      <c r="ABI46" s="1005"/>
      <c r="ABJ46" s="1005"/>
      <c r="ABK46" s="1005"/>
      <c r="ABL46" s="1005"/>
      <c r="ABM46" s="1005"/>
      <c r="ABN46" s="1005"/>
      <c r="ABO46" s="1005"/>
      <c r="ABP46" s="1005"/>
      <c r="ABQ46" s="1005"/>
      <c r="ABR46" s="1005"/>
    </row>
    <row r="47" spans="1:746" s="113" customFormat="1" ht="12.9" hidden="1" customHeight="1" thickBot="1">
      <c r="A47" s="2348"/>
      <c r="B47" s="2957" t="s">
        <v>1266</v>
      </c>
      <c r="C47" s="2958"/>
      <c r="D47" s="348"/>
      <c r="E47" s="347" t="s">
        <v>1</v>
      </c>
      <c r="F47" s="1240"/>
      <c r="G47" s="347">
        <v>0.25</v>
      </c>
      <c r="H47" s="2349"/>
      <c r="I47" s="2364"/>
      <c r="J47" s="809"/>
      <c r="K47" s="809"/>
      <c r="L47" s="809"/>
      <c r="M47" s="809"/>
      <c r="N47" s="809"/>
      <c r="O47" s="809"/>
      <c r="P47" s="809"/>
      <c r="Q47" s="809"/>
      <c r="R47" s="809"/>
      <c r="S47" s="809"/>
      <c r="T47" s="809"/>
      <c r="U47" s="2192"/>
      <c r="V47" s="2192"/>
      <c r="W47" s="2192"/>
      <c r="X47" s="2192"/>
      <c r="Y47" s="2192"/>
      <c r="Z47" s="2192"/>
      <c r="AA47" s="2192"/>
      <c r="AB47" s="2192"/>
      <c r="AC47" s="2192"/>
      <c r="AD47" s="2192"/>
      <c r="AE47" s="2192"/>
      <c r="AF47" s="2192"/>
      <c r="AG47" s="1042"/>
      <c r="AH47" s="333"/>
      <c r="AI47" s="333"/>
      <c r="AJ47" s="901">
        <f>IF(fx!$C$57=1,SUMIF(fx!I$57:T$57,1,I47:T47),IF(fx!$C$57=2,SUMIF(fx!O$57:AF$57,1,O47:AF47)))</f>
        <v>0</v>
      </c>
      <c r="AK47" s="419"/>
      <c r="AL47" s="902">
        <f>IF(fx!$C$57=1,SUM(U47:AF47),0)</f>
        <v>0</v>
      </c>
      <c r="AM47" s="1005"/>
      <c r="AN47" s="1011"/>
      <c r="AO47" s="1945"/>
      <c r="AP47" s="1935"/>
      <c r="AQ47" s="1936"/>
      <c r="AR47" s="1941"/>
      <c r="AS47" s="1941"/>
      <c r="AT47" s="1941"/>
      <c r="AU47" s="1941"/>
      <c r="AV47" s="1941"/>
      <c r="AW47" s="1941"/>
      <c r="AX47" s="1941"/>
      <c r="AY47" s="1941"/>
      <c r="AZ47" s="1941"/>
      <c r="BA47" s="1941"/>
      <c r="BB47" s="1941"/>
      <c r="BC47" s="1941"/>
      <c r="BD47" s="1941"/>
      <c r="BE47" s="1941"/>
      <c r="BF47" s="1941"/>
      <c r="BG47" s="1941"/>
      <c r="BH47" s="1941"/>
      <c r="BI47" s="1941"/>
      <c r="BJ47" s="1941"/>
      <c r="BK47" s="1941"/>
      <c r="BL47" s="1941"/>
      <c r="BM47" s="1941"/>
      <c r="BN47" s="1941"/>
      <c r="BO47" s="1941"/>
      <c r="BP47" s="1005"/>
      <c r="BQ47" s="1005"/>
      <c r="BR47" s="1005"/>
      <c r="BS47" s="1005"/>
      <c r="BT47" s="1005"/>
      <c r="BU47" s="1005"/>
      <c r="BV47" s="1005"/>
      <c r="BW47" s="1005"/>
      <c r="BX47" s="1005"/>
      <c r="BY47" s="1005"/>
      <c r="BZ47" s="1005"/>
      <c r="CA47" s="1005"/>
      <c r="CB47" s="1005"/>
      <c r="CC47" s="1005"/>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c r="EC47" s="1005"/>
      <c r="ED47" s="1005"/>
      <c r="EE47" s="1005"/>
      <c r="EF47" s="1005"/>
      <c r="EG47" s="1005"/>
      <c r="EH47" s="1005"/>
      <c r="EI47" s="1005"/>
      <c r="EJ47" s="1005"/>
      <c r="EK47" s="1005"/>
      <c r="EL47" s="1005"/>
      <c r="EM47" s="1005"/>
      <c r="EN47" s="1005"/>
      <c r="EO47" s="1005"/>
      <c r="EP47" s="1005"/>
      <c r="EQ47" s="1005"/>
      <c r="ER47" s="1005"/>
      <c r="ES47" s="1005"/>
      <c r="ET47" s="1005"/>
      <c r="EU47" s="1005"/>
      <c r="EV47" s="1005"/>
      <c r="EW47" s="1005"/>
      <c r="EX47" s="1005"/>
      <c r="EY47" s="1005"/>
      <c r="EZ47" s="1005"/>
      <c r="FA47" s="1005"/>
      <c r="FB47" s="1005"/>
      <c r="FC47" s="1005"/>
      <c r="FD47" s="1005"/>
      <c r="FE47" s="1005"/>
      <c r="FF47" s="1005"/>
      <c r="FG47" s="1005"/>
      <c r="FH47" s="1005"/>
      <c r="FI47" s="1005"/>
      <c r="FJ47" s="1005"/>
      <c r="FK47" s="1005"/>
      <c r="FL47" s="1005"/>
      <c r="FM47" s="1005"/>
      <c r="FN47" s="1005"/>
      <c r="FO47" s="1005"/>
      <c r="FP47" s="1005"/>
      <c r="FQ47" s="1005"/>
      <c r="FR47" s="1005"/>
      <c r="FS47" s="1005"/>
      <c r="FT47" s="1005"/>
      <c r="FU47" s="1005"/>
      <c r="FV47" s="1005"/>
      <c r="FW47" s="1005"/>
      <c r="FX47" s="1005"/>
      <c r="FY47" s="1005"/>
      <c r="FZ47" s="1005"/>
      <c r="GA47" s="1005"/>
      <c r="GB47" s="1005"/>
      <c r="GC47" s="1005"/>
      <c r="GD47" s="1005"/>
      <c r="GE47" s="1005"/>
      <c r="GF47" s="1005"/>
      <c r="GG47" s="1005"/>
      <c r="GH47" s="1005"/>
      <c r="GI47" s="1005"/>
      <c r="GJ47" s="1005"/>
      <c r="GK47" s="1005"/>
      <c r="GL47" s="1005"/>
      <c r="GM47" s="1005"/>
      <c r="GN47" s="1005"/>
      <c r="GO47" s="1005"/>
      <c r="GP47" s="1005"/>
      <c r="GQ47" s="1005"/>
      <c r="GR47" s="1005"/>
      <c r="GS47" s="1005"/>
      <c r="GT47" s="1005"/>
      <c r="GU47" s="1005"/>
      <c r="GV47" s="1005"/>
      <c r="GW47" s="1005"/>
      <c r="GX47" s="1005"/>
      <c r="GY47" s="1005"/>
      <c r="GZ47" s="1005"/>
      <c r="HA47" s="1005"/>
      <c r="HB47" s="1005"/>
      <c r="HC47" s="1005"/>
      <c r="HD47" s="1005"/>
      <c r="HE47" s="1005"/>
      <c r="HF47" s="1005"/>
      <c r="HG47" s="1005"/>
      <c r="HH47" s="1005"/>
      <c r="HI47" s="1005"/>
      <c r="HJ47" s="1005"/>
      <c r="HK47" s="1005"/>
      <c r="HL47" s="1005"/>
      <c r="HM47" s="1005"/>
      <c r="HN47" s="1005"/>
      <c r="HO47" s="1005"/>
      <c r="HP47" s="1005"/>
      <c r="HQ47" s="1005"/>
      <c r="HR47" s="1005"/>
      <c r="HS47" s="1005"/>
      <c r="HT47" s="1005"/>
      <c r="HU47" s="1005"/>
      <c r="HV47" s="1005"/>
      <c r="HW47" s="1005"/>
      <c r="HX47" s="1005"/>
      <c r="HY47" s="1005"/>
      <c r="HZ47" s="1005"/>
      <c r="IA47" s="1005"/>
      <c r="IB47" s="1005"/>
      <c r="IC47" s="1005"/>
      <c r="ID47" s="1005"/>
      <c r="IE47" s="1005"/>
      <c r="IF47" s="1005"/>
      <c r="IG47" s="1005"/>
      <c r="IH47" s="1005"/>
      <c r="II47" s="1005"/>
      <c r="IJ47" s="1005"/>
      <c r="IK47" s="1005"/>
      <c r="IL47" s="1005"/>
      <c r="IM47" s="1005"/>
      <c r="IN47" s="1005"/>
      <c r="IO47" s="1005"/>
      <c r="IP47" s="1005"/>
      <c r="IQ47" s="1005"/>
      <c r="IR47" s="1005"/>
      <c r="IS47" s="1005"/>
      <c r="IT47" s="1005"/>
      <c r="IU47" s="1005"/>
      <c r="IV47" s="1005"/>
      <c r="IW47" s="1005"/>
      <c r="IX47" s="1005"/>
      <c r="IY47" s="1005"/>
      <c r="IZ47" s="1005"/>
      <c r="JA47" s="1005"/>
      <c r="JB47" s="1005"/>
      <c r="JC47" s="1005"/>
      <c r="JD47" s="1005"/>
      <c r="JE47" s="1005"/>
      <c r="JF47" s="1005"/>
      <c r="JG47" s="1005"/>
      <c r="JH47" s="1005"/>
      <c r="JI47" s="1005"/>
      <c r="JJ47" s="1005"/>
      <c r="JK47" s="1005"/>
      <c r="JL47" s="1005"/>
      <c r="JM47" s="1005"/>
      <c r="JN47" s="1005"/>
      <c r="JO47" s="1005"/>
      <c r="JP47" s="1005"/>
      <c r="JQ47" s="1005"/>
      <c r="JR47" s="1005"/>
      <c r="JS47" s="1005"/>
      <c r="JT47" s="1005"/>
      <c r="JU47" s="1005"/>
      <c r="JV47" s="1005"/>
      <c r="JW47" s="1005"/>
      <c r="JX47" s="1005"/>
      <c r="JY47" s="1005"/>
      <c r="JZ47" s="1005"/>
      <c r="KA47" s="1005"/>
      <c r="KB47" s="1005"/>
      <c r="KC47" s="1005"/>
      <c r="KD47" s="1005"/>
      <c r="KE47" s="1005"/>
      <c r="KF47" s="1005"/>
      <c r="KG47" s="1005"/>
      <c r="KH47" s="1005"/>
      <c r="KI47" s="1005"/>
      <c r="KJ47" s="1005"/>
      <c r="KK47" s="1005"/>
      <c r="KL47" s="1005"/>
      <c r="KM47" s="1005"/>
      <c r="KN47" s="1005"/>
      <c r="KO47" s="1005"/>
      <c r="KP47" s="1005"/>
      <c r="KQ47" s="1005"/>
      <c r="KR47" s="1005"/>
      <c r="KS47" s="1005"/>
      <c r="KT47" s="1005"/>
      <c r="KU47" s="1005"/>
      <c r="KV47" s="1005"/>
      <c r="KW47" s="1005"/>
      <c r="KX47" s="1005"/>
      <c r="KY47" s="1005"/>
      <c r="KZ47" s="1005"/>
      <c r="LA47" s="1005"/>
      <c r="LB47" s="1005"/>
      <c r="LC47" s="1005"/>
      <c r="LD47" s="1005"/>
      <c r="LE47" s="1005"/>
      <c r="LF47" s="1005"/>
      <c r="LG47" s="1005"/>
      <c r="LH47" s="1005"/>
      <c r="LI47" s="1005"/>
      <c r="LJ47" s="1005"/>
      <c r="LK47" s="1005"/>
      <c r="LL47" s="1005"/>
      <c r="LM47" s="1005"/>
      <c r="LN47" s="1005"/>
      <c r="LO47" s="1005"/>
      <c r="LP47" s="1005"/>
      <c r="LQ47" s="1005"/>
      <c r="LR47" s="1005"/>
      <c r="LS47" s="1005"/>
      <c r="LT47" s="1005"/>
      <c r="LU47" s="1005"/>
      <c r="LV47" s="1005"/>
      <c r="LW47" s="1005"/>
      <c r="LX47" s="1005"/>
      <c r="LY47" s="1005"/>
      <c r="LZ47" s="1005"/>
      <c r="MA47" s="1005"/>
      <c r="MB47" s="1005"/>
      <c r="MC47" s="1005"/>
      <c r="MD47" s="1005"/>
      <c r="ME47" s="1005"/>
      <c r="MF47" s="1005"/>
      <c r="MG47" s="1005"/>
      <c r="MH47" s="1005"/>
      <c r="MI47" s="1005"/>
      <c r="MJ47" s="1005"/>
      <c r="MK47" s="1005"/>
      <c r="ML47" s="1005"/>
      <c r="MM47" s="1005"/>
      <c r="MN47" s="1005"/>
      <c r="MO47" s="1005"/>
      <c r="MP47" s="1005"/>
      <c r="MQ47" s="1005"/>
      <c r="MR47" s="1005"/>
      <c r="MS47" s="1005"/>
      <c r="MT47" s="1005"/>
      <c r="MU47" s="1005"/>
      <c r="MV47" s="1005"/>
      <c r="MW47" s="1005"/>
      <c r="MX47" s="1005"/>
      <c r="MY47" s="1005"/>
      <c r="MZ47" s="1005"/>
      <c r="NA47" s="1005"/>
      <c r="NB47" s="1005"/>
      <c r="NC47" s="1005"/>
      <c r="ND47" s="1005"/>
      <c r="NE47" s="1005"/>
      <c r="NF47" s="1005"/>
      <c r="NG47" s="1005"/>
      <c r="NH47" s="1005"/>
      <c r="NI47" s="1005"/>
      <c r="NJ47" s="1005"/>
      <c r="NK47" s="1005"/>
      <c r="NL47" s="1005"/>
      <c r="NM47" s="1005"/>
      <c r="NN47" s="1005"/>
      <c r="NO47" s="1005"/>
      <c r="NP47" s="1005"/>
      <c r="NQ47" s="1005"/>
      <c r="NR47" s="1005"/>
      <c r="NS47" s="1005"/>
      <c r="NT47" s="1005"/>
      <c r="NU47" s="1005"/>
      <c r="NV47" s="1005"/>
      <c r="NW47" s="1005"/>
      <c r="NX47" s="1005"/>
      <c r="NY47" s="1005"/>
      <c r="NZ47" s="1005"/>
      <c r="OA47" s="1005"/>
      <c r="OB47" s="1005"/>
      <c r="OC47" s="1005"/>
      <c r="OD47" s="1005"/>
      <c r="OE47" s="1005"/>
      <c r="OF47" s="1005"/>
      <c r="OG47" s="1005"/>
      <c r="OH47" s="1005"/>
      <c r="OI47" s="1005"/>
      <c r="OJ47" s="1005"/>
      <c r="OK47" s="1005"/>
      <c r="OL47" s="1005"/>
      <c r="OM47" s="1005"/>
      <c r="ON47" s="1005"/>
      <c r="OO47" s="1005"/>
      <c r="OP47" s="1005"/>
      <c r="OQ47" s="1005"/>
      <c r="OR47" s="1005"/>
      <c r="OS47" s="1005"/>
      <c r="OT47" s="1005"/>
      <c r="OU47" s="1005"/>
      <c r="OV47" s="1005"/>
      <c r="OW47" s="1005"/>
      <c r="OX47" s="1005"/>
      <c r="OY47" s="1005"/>
      <c r="OZ47" s="1005"/>
      <c r="PA47" s="1005"/>
      <c r="PB47" s="1005"/>
      <c r="PC47" s="1005"/>
      <c r="PD47" s="1005"/>
      <c r="PE47" s="1005"/>
      <c r="PF47" s="1005"/>
      <c r="PG47" s="1005"/>
      <c r="PH47" s="1005"/>
      <c r="PI47" s="1005"/>
      <c r="PJ47" s="1005"/>
      <c r="PK47" s="1005"/>
      <c r="PL47" s="1005"/>
      <c r="PM47" s="1005"/>
      <c r="PN47" s="1005"/>
      <c r="PO47" s="1005"/>
      <c r="PP47" s="1005"/>
      <c r="PQ47" s="1005"/>
      <c r="PR47" s="1005"/>
      <c r="PS47" s="1005"/>
      <c r="PT47" s="1005"/>
      <c r="PU47" s="1005"/>
      <c r="PV47" s="1005"/>
      <c r="PW47" s="1005"/>
      <c r="PX47" s="1005"/>
      <c r="PY47" s="1005"/>
      <c r="PZ47" s="1005"/>
      <c r="QA47" s="1005"/>
      <c r="QB47" s="1005"/>
      <c r="QC47" s="1005"/>
      <c r="QD47" s="1005"/>
      <c r="QE47" s="1005"/>
      <c r="QF47" s="1005"/>
      <c r="QG47" s="1005"/>
      <c r="QH47" s="1005"/>
      <c r="QI47" s="1005"/>
      <c r="QJ47" s="1005"/>
      <c r="QK47" s="1005"/>
      <c r="QL47" s="1005"/>
      <c r="QM47" s="1005"/>
      <c r="QN47" s="1005"/>
      <c r="QO47" s="1005"/>
      <c r="QP47" s="1005"/>
      <c r="QQ47" s="1005"/>
      <c r="QR47" s="1005"/>
      <c r="QS47" s="1005"/>
      <c r="QT47" s="1005"/>
      <c r="QU47" s="1005"/>
      <c r="QV47" s="1005"/>
      <c r="QW47" s="1005"/>
      <c r="QX47" s="1005"/>
      <c r="QY47" s="1005"/>
      <c r="QZ47" s="1005"/>
      <c r="RA47" s="1005"/>
      <c r="RB47" s="1005"/>
      <c r="RC47" s="1005"/>
      <c r="RD47" s="1005"/>
      <c r="RE47" s="1005"/>
      <c r="RF47" s="1005"/>
      <c r="RG47" s="1005"/>
      <c r="RH47" s="1005"/>
      <c r="RI47" s="1005"/>
      <c r="RJ47" s="1005"/>
      <c r="RK47" s="1005"/>
      <c r="RL47" s="1005"/>
      <c r="RM47" s="1005"/>
      <c r="RN47" s="1005"/>
      <c r="RO47" s="1005"/>
      <c r="RP47" s="1005"/>
      <c r="RQ47" s="1005"/>
      <c r="RR47" s="1005"/>
      <c r="RS47" s="1005"/>
      <c r="RT47" s="1005"/>
      <c r="RU47" s="1005"/>
      <c r="RV47" s="1005"/>
      <c r="RW47" s="1005"/>
      <c r="RX47" s="1005"/>
      <c r="RY47" s="1005"/>
      <c r="RZ47" s="1005"/>
      <c r="SA47" s="1005"/>
      <c r="SB47" s="1005"/>
      <c r="SC47" s="1005"/>
      <c r="SD47" s="1005"/>
      <c r="SE47" s="1005"/>
      <c r="SF47" s="1005"/>
      <c r="SG47" s="1005"/>
      <c r="SH47" s="1005"/>
      <c r="SI47" s="1005"/>
      <c r="SJ47" s="1005"/>
      <c r="SK47" s="1005"/>
      <c r="SL47" s="1005"/>
      <c r="SM47" s="1005"/>
      <c r="SN47" s="1005"/>
      <c r="SO47" s="1005"/>
      <c r="SP47" s="1005"/>
      <c r="SQ47" s="1005"/>
      <c r="SR47" s="1005"/>
      <c r="SS47" s="1005"/>
      <c r="ST47" s="1005"/>
      <c r="SU47" s="1005"/>
      <c r="SV47" s="1005"/>
      <c r="SW47" s="1005"/>
      <c r="SX47" s="1005"/>
      <c r="SY47" s="1005"/>
      <c r="SZ47" s="1005"/>
      <c r="TA47" s="1005"/>
      <c r="TB47" s="1005"/>
      <c r="TC47" s="1005"/>
      <c r="TD47" s="1005"/>
      <c r="TE47" s="1005"/>
      <c r="TF47" s="1005"/>
      <c r="TG47" s="1005"/>
      <c r="TH47" s="1005"/>
      <c r="TI47" s="1005"/>
      <c r="TJ47" s="1005"/>
      <c r="TK47" s="1005"/>
      <c r="TL47" s="1005"/>
      <c r="TM47" s="1005"/>
      <c r="TN47" s="1005"/>
      <c r="TO47" s="1005"/>
      <c r="TP47" s="1005"/>
      <c r="TQ47" s="1005"/>
      <c r="TR47" s="1005"/>
      <c r="TS47" s="1005"/>
      <c r="TT47" s="1005"/>
      <c r="TU47" s="1005"/>
      <c r="TV47" s="1005"/>
      <c r="TW47" s="1005"/>
      <c r="TX47" s="1005"/>
      <c r="TY47" s="1005"/>
      <c r="TZ47" s="1005"/>
      <c r="UA47" s="1005"/>
      <c r="UB47" s="1005"/>
      <c r="UC47" s="1005"/>
      <c r="UD47" s="1005"/>
      <c r="UE47" s="1005"/>
      <c r="UF47" s="1005"/>
      <c r="UG47" s="1005"/>
      <c r="UH47" s="1005"/>
      <c r="UI47" s="1005"/>
      <c r="UJ47" s="1005"/>
      <c r="UK47" s="1005"/>
      <c r="UL47" s="1005"/>
      <c r="UM47" s="1005"/>
      <c r="UN47" s="1005"/>
      <c r="UO47" s="1005"/>
      <c r="UP47" s="1005"/>
      <c r="UQ47" s="1005"/>
      <c r="UR47" s="1005"/>
      <c r="US47" s="1005"/>
      <c r="UT47" s="1005"/>
      <c r="UU47" s="1005"/>
      <c r="UV47" s="1005"/>
      <c r="UW47" s="1005"/>
      <c r="UX47" s="1005"/>
      <c r="UY47" s="1005"/>
      <c r="UZ47" s="1005"/>
      <c r="VA47" s="1005"/>
      <c r="VB47" s="1005"/>
      <c r="VC47" s="1005"/>
      <c r="VD47" s="1005"/>
      <c r="VE47" s="1005"/>
      <c r="VF47" s="1005"/>
      <c r="VG47" s="1005"/>
      <c r="VH47" s="1005"/>
      <c r="VI47" s="1005"/>
      <c r="VJ47" s="1005"/>
      <c r="VK47" s="1005"/>
      <c r="VL47" s="1005"/>
      <c r="VM47" s="1005"/>
      <c r="VN47" s="1005"/>
      <c r="VO47" s="1005"/>
      <c r="VP47" s="1005"/>
      <c r="VQ47" s="1005"/>
      <c r="VR47" s="1005"/>
      <c r="VS47" s="1005"/>
      <c r="VT47" s="1005"/>
      <c r="VU47" s="1005"/>
      <c r="VV47" s="1005"/>
      <c r="VW47" s="1005"/>
      <c r="VX47" s="1005"/>
      <c r="VY47" s="1005"/>
      <c r="VZ47" s="1005"/>
      <c r="WA47" s="1005"/>
      <c r="WB47" s="1005"/>
      <c r="WC47" s="1005"/>
      <c r="WD47" s="1005"/>
      <c r="WE47" s="1005"/>
      <c r="WF47" s="1005"/>
      <c r="WG47" s="1005"/>
      <c r="WH47" s="1005"/>
      <c r="WI47" s="1005"/>
      <c r="WJ47" s="1005"/>
      <c r="WK47" s="1005"/>
      <c r="WL47" s="1005"/>
      <c r="WM47" s="1005"/>
      <c r="WN47" s="1005"/>
      <c r="WO47" s="1005"/>
      <c r="WP47" s="1005"/>
      <c r="WQ47" s="1005"/>
      <c r="WR47" s="1005"/>
      <c r="WS47" s="1005"/>
      <c r="WT47" s="1005"/>
      <c r="WU47" s="1005"/>
      <c r="WV47" s="1005"/>
      <c r="WW47" s="1005"/>
      <c r="WX47" s="1005"/>
      <c r="WY47" s="1005"/>
      <c r="WZ47" s="1005"/>
      <c r="XA47" s="1005"/>
      <c r="XB47" s="1005"/>
      <c r="XC47" s="1005"/>
      <c r="XD47" s="1005"/>
      <c r="XE47" s="1005"/>
      <c r="XF47" s="1005"/>
      <c r="XG47" s="1005"/>
      <c r="XH47" s="1005"/>
      <c r="XI47" s="1005"/>
      <c r="XJ47" s="1005"/>
      <c r="XK47" s="1005"/>
      <c r="XL47" s="1005"/>
      <c r="XM47" s="1005"/>
      <c r="XN47" s="1005"/>
      <c r="XO47" s="1005"/>
      <c r="XP47" s="1005"/>
      <c r="XQ47" s="1005"/>
      <c r="XR47" s="1005"/>
      <c r="XS47" s="1005"/>
      <c r="XT47" s="1005"/>
      <c r="XU47" s="1005"/>
      <c r="XV47" s="1005"/>
      <c r="XW47" s="1005"/>
      <c r="XX47" s="1005"/>
      <c r="XY47" s="1005"/>
      <c r="XZ47" s="1005"/>
      <c r="YA47" s="1005"/>
      <c r="YB47" s="1005"/>
      <c r="YC47" s="1005"/>
      <c r="YD47" s="1005"/>
      <c r="YE47" s="1005"/>
      <c r="YF47" s="1005"/>
      <c r="YG47" s="1005"/>
      <c r="YH47" s="1005"/>
      <c r="YI47" s="1005"/>
      <c r="YJ47" s="1005"/>
      <c r="YK47" s="1005"/>
      <c r="YL47" s="1005"/>
      <c r="YM47" s="1005"/>
      <c r="YN47" s="1005"/>
      <c r="YO47" s="1005"/>
      <c r="YP47" s="1005"/>
      <c r="YQ47" s="1005"/>
      <c r="YR47" s="1005"/>
      <c r="YS47" s="1005"/>
      <c r="YT47" s="1005"/>
      <c r="YU47" s="1005"/>
      <c r="YV47" s="1005"/>
      <c r="YW47" s="1005"/>
      <c r="YX47" s="1005"/>
      <c r="YY47" s="1005"/>
      <c r="YZ47" s="1005"/>
      <c r="ZA47" s="1005"/>
      <c r="ZB47" s="1005"/>
      <c r="ZC47" s="1005"/>
      <c r="ZD47" s="1005"/>
      <c r="ZE47" s="1005"/>
      <c r="ZF47" s="1005"/>
      <c r="ZG47" s="1005"/>
      <c r="ZH47" s="1005"/>
      <c r="ZI47" s="1005"/>
      <c r="ZJ47" s="1005"/>
      <c r="ZK47" s="1005"/>
      <c r="ZL47" s="1005"/>
      <c r="ZM47" s="1005"/>
      <c r="ZN47" s="1005"/>
      <c r="ZO47" s="1005"/>
      <c r="ZP47" s="1005"/>
      <c r="ZQ47" s="1005"/>
      <c r="ZR47" s="1005"/>
      <c r="ZS47" s="1005"/>
      <c r="ZT47" s="1005"/>
      <c r="ZU47" s="1005"/>
      <c r="ZV47" s="1005"/>
      <c r="ZW47" s="1005"/>
      <c r="ZX47" s="1005"/>
      <c r="ZY47" s="1005"/>
      <c r="ZZ47" s="1005"/>
      <c r="AAA47" s="1005"/>
      <c r="AAB47" s="1005"/>
      <c r="AAC47" s="1005"/>
      <c r="AAD47" s="1005"/>
      <c r="AAE47" s="1005"/>
      <c r="AAF47" s="1005"/>
      <c r="AAG47" s="1005"/>
      <c r="AAH47" s="1005"/>
      <c r="AAI47" s="1005"/>
      <c r="AAJ47" s="1005"/>
      <c r="AAK47" s="1005"/>
      <c r="AAL47" s="1005"/>
      <c r="AAM47" s="1005"/>
      <c r="AAN47" s="1005"/>
      <c r="AAO47" s="1005"/>
      <c r="AAP47" s="1005"/>
      <c r="AAQ47" s="1005"/>
      <c r="AAR47" s="1005"/>
      <c r="AAS47" s="1005"/>
      <c r="AAT47" s="1005"/>
      <c r="AAU47" s="1005"/>
      <c r="AAV47" s="1005"/>
      <c r="AAW47" s="1005"/>
      <c r="AAX47" s="1005"/>
      <c r="AAY47" s="1005"/>
      <c r="AAZ47" s="1005"/>
      <c r="ABA47" s="1005"/>
      <c r="ABB47" s="1005"/>
      <c r="ABC47" s="1005"/>
      <c r="ABD47" s="1005"/>
      <c r="ABE47" s="1005"/>
      <c r="ABF47" s="1005"/>
      <c r="ABG47" s="1005"/>
      <c r="ABH47" s="1005"/>
      <c r="ABI47" s="1005"/>
      <c r="ABJ47" s="1005"/>
      <c r="ABK47" s="1005"/>
      <c r="ABL47" s="1005"/>
      <c r="ABM47" s="1005"/>
      <c r="ABN47" s="1005"/>
      <c r="ABO47" s="1005"/>
      <c r="ABP47" s="1005"/>
      <c r="ABQ47" s="1005"/>
      <c r="ABR47" s="1005"/>
    </row>
    <row r="48" spans="1:746" s="113" customFormat="1" ht="12.9" hidden="1" customHeight="1" thickBot="1">
      <c r="A48" s="2348"/>
      <c r="B48" s="2957" t="s">
        <v>1267</v>
      </c>
      <c r="C48" s="2958"/>
      <c r="D48" s="348"/>
      <c r="E48" s="347" t="s">
        <v>1</v>
      </c>
      <c r="F48" s="1240"/>
      <c r="G48" s="347">
        <v>0.25</v>
      </c>
      <c r="H48" s="2349"/>
      <c r="I48" s="2364"/>
      <c r="J48" s="809"/>
      <c r="K48" s="809"/>
      <c r="L48" s="809"/>
      <c r="M48" s="809"/>
      <c r="N48" s="809"/>
      <c r="O48" s="809"/>
      <c r="P48" s="809"/>
      <c r="Q48" s="809"/>
      <c r="R48" s="809"/>
      <c r="S48" s="809"/>
      <c r="T48" s="809"/>
      <c r="U48" s="2192"/>
      <c r="V48" s="2192"/>
      <c r="W48" s="2192"/>
      <c r="X48" s="2192"/>
      <c r="Y48" s="2192"/>
      <c r="Z48" s="2192"/>
      <c r="AA48" s="2192"/>
      <c r="AB48" s="2192"/>
      <c r="AC48" s="2192"/>
      <c r="AD48" s="2192"/>
      <c r="AE48" s="2192"/>
      <c r="AF48" s="2192"/>
      <c r="AG48" s="1042"/>
      <c r="AH48" s="333"/>
      <c r="AI48" s="333"/>
      <c r="AJ48" s="901">
        <f>IF(fx!$C$57=1,SUMIF(fx!I$57:T$57,1,I48:T48),IF(fx!$C$57=2,SUMIF(fx!O$57:AF$57,1,O48:AF48)))</f>
        <v>0</v>
      </c>
      <c r="AK48" s="419"/>
      <c r="AL48" s="902">
        <f>IF(fx!$C$57=1,SUM(U48:AF48),0)</f>
        <v>0</v>
      </c>
      <c r="AM48" s="1005"/>
      <c r="AN48" s="1011"/>
      <c r="AO48" s="1945"/>
      <c r="AP48" s="1935"/>
      <c r="AQ48" s="1936"/>
      <c r="AR48" s="1941"/>
      <c r="AS48" s="1941"/>
      <c r="AT48" s="1941"/>
      <c r="AU48" s="1941"/>
      <c r="AV48" s="1941"/>
      <c r="AW48" s="1941"/>
      <c r="AX48" s="1941"/>
      <c r="AY48" s="1941"/>
      <c r="AZ48" s="1941"/>
      <c r="BA48" s="1941"/>
      <c r="BB48" s="1941"/>
      <c r="BC48" s="1941"/>
      <c r="BD48" s="1941"/>
      <c r="BE48" s="1941"/>
      <c r="BF48" s="1941"/>
      <c r="BG48" s="1941"/>
      <c r="BH48" s="1941"/>
      <c r="BI48" s="1941"/>
      <c r="BJ48" s="1941"/>
      <c r="BK48" s="1941"/>
      <c r="BL48" s="1941"/>
      <c r="BM48" s="1941"/>
      <c r="BN48" s="1941"/>
      <c r="BO48" s="1941"/>
      <c r="BP48" s="1005"/>
      <c r="BQ48" s="1005"/>
      <c r="BR48" s="1005"/>
      <c r="BS48" s="1005"/>
      <c r="BT48" s="1005"/>
      <c r="BU48" s="1005"/>
      <c r="BV48" s="1005"/>
      <c r="BW48" s="1005"/>
      <c r="BX48" s="1005"/>
      <c r="BY48" s="1005"/>
      <c r="BZ48" s="1005"/>
      <c r="CA48" s="1005"/>
      <c r="CB48" s="1005"/>
      <c r="CC48" s="1005"/>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c r="EC48" s="1005"/>
      <c r="ED48" s="1005"/>
      <c r="EE48" s="1005"/>
      <c r="EF48" s="1005"/>
      <c r="EG48" s="1005"/>
      <c r="EH48" s="1005"/>
      <c r="EI48" s="1005"/>
      <c r="EJ48" s="1005"/>
      <c r="EK48" s="1005"/>
      <c r="EL48" s="1005"/>
      <c r="EM48" s="1005"/>
      <c r="EN48" s="1005"/>
      <c r="EO48" s="1005"/>
      <c r="EP48" s="1005"/>
      <c r="EQ48" s="1005"/>
      <c r="ER48" s="1005"/>
      <c r="ES48" s="1005"/>
      <c r="ET48" s="1005"/>
      <c r="EU48" s="1005"/>
      <c r="EV48" s="1005"/>
      <c r="EW48" s="1005"/>
      <c r="EX48" s="1005"/>
      <c r="EY48" s="1005"/>
      <c r="EZ48" s="1005"/>
      <c r="FA48" s="1005"/>
      <c r="FB48" s="1005"/>
      <c r="FC48" s="1005"/>
      <c r="FD48" s="1005"/>
      <c r="FE48" s="1005"/>
      <c r="FF48" s="1005"/>
      <c r="FG48" s="1005"/>
      <c r="FH48" s="1005"/>
      <c r="FI48" s="1005"/>
      <c r="FJ48" s="1005"/>
      <c r="FK48" s="1005"/>
      <c r="FL48" s="1005"/>
      <c r="FM48" s="1005"/>
      <c r="FN48" s="1005"/>
      <c r="FO48" s="1005"/>
      <c r="FP48" s="1005"/>
      <c r="FQ48" s="1005"/>
      <c r="FR48" s="1005"/>
      <c r="FS48" s="1005"/>
      <c r="FT48" s="1005"/>
      <c r="FU48" s="1005"/>
      <c r="FV48" s="1005"/>
      <c r="FW48" s="1005"/>
      <c r="FX48" s="1005"/>
      <c r="FY48" s="1005"/>
      <c r="FZ48" s="1005"/>
      <c r="GA48" s="1005"/>
      <c r="GB48" s="1005"/>
      <c r="GC48" s="1005"/>
      <c r="GD48" s="1005"/>
      <c r="GE48" s="1005"/>
      <c r="GF48" s="1005"/>
      <c r="GG48" s="1005"/>
      <c r="GH48" s="1005"/>
      <c r="GI48" s="1005"/>
      <c r="GJ48" s="1005"/>
      <c r="GK48" s="1005"/>
      <c r="GL48" s="1005"/>
      <c r="GM48" s="1005"/>
      <c r="GN48" s="1005"/>
      <c r="GO48" s="1005"/>
      <c r="GP48" s="1005"/>
      <c r="GQ48" s="1005"/>
      <c r="GR48" s="1005"/>
      <c r="GS48" s="1005"/>
      <c r="GT48" s="1005"/>
      <c r="GU48" s="1005"/>
      <c r="GV48" s="1005"/>
      <c r="GW48" s="1005"/>
      <c r="GX48" s="1005"/>
      <c r="GY48" s="1005"/>
      <c r="GZ48" s="1005"/>
      <c r="HA48" s="1005"/>
      <c r="HB48" s="1005"/>
      <c r="HC48" s="1005"/>
      <c r="HD48" s="1005"/>
      <c r="HE48" s="1005"/>
      <c r="HF48" s="1005"/>
      <c r="HG48" s="1005"/>
      <c r="HH48" s="1005"/>
      <c r="HI48" s="1005"/>
      <c r="HJ48" s="1005"/>
      <c r="HK48" s="1005"/>
      <c r="HL48" s="1005"/>
      <c r="HM48" s="1005"/>
      <c r="HN48" s="1005"/>
      <c r="HO48" s="1005"/>
      <c r="HP48" s="1005"/>
      <c r="HQ48" s="1005"/>
      <c r="HR48" s="1005"/>
      <c r="HS48" s="1005"/>
      <c r="HT48" s="1005"/>
      <c r="HU48" s="1005"/>
      <c r="HV48" s="1005"/>
      <c r="HW48" s="1005"/>
      <c r="HX48" s="1005"/>
      <c r="HY48" s="1005"/>
      <c r="HZ48" s="1005"/>
      <c r="IA48" s="1005"/>
      <c r="IB48" s="1005"/>
      <c r="IC48" s="1005"/>
      <c r="ID48" s="1005"/>
      <c r="IE48" s="1005"/>
      <c r="IF48" s="1005"/>
      <c r="IG48" s="1005"/>
      <c r="IH48" s="1005"/>
      <c r="II48" s="1005"/>
      <c r="IJ48" s="1005"/>
      <c r="IK48" s="1005"/>
      <c r="IL48" s="1005"/>
      <c r="IM48" s="1005"/>
      <c r="IN48" s="1005"/>
      <c r="IO48" s="1005"/>
      <c r="IP48" s="1005"/>
      <c r="IQ48" s="1005"/>
      <c r="IR48" s="1005"/>
      <c r="IS48" s="1005"/>
      <c r="IT48" s="1005"/>
      <c r="IU48" s="1005"/>
      <c r="IV48" s="1005"/>
      <c r="IW48" s="1005"/>
      <c r="IX48" s="1005"/>
      <c r="IY48" s="1005"/>
      <c r="IZ48" s="1005"/>
      <c r="JA48" s="1005"/>
      <c r="JB48" s="1005"/>
      <c r="JC48" s="1005"/>
      <c r="JD48" s="1005"/>
      <c r="JE48" s="1005"/>
      <c r="JF48" s="1005"/>
      <c r="JG48" s="1005"/>
      <c r="JH48" s="1005"/>
      <c r="JI48" s="1005"/>
      <c r="JJ48" s="1005"/>
      <c r="JK48" s="1005"/>
      <c r="JL48" s="1005"/>
      <c r="JM48" s="1005"/>
      <c r="JN48" s="1005"/>
      <c r="JO48" s="1005"/>
      <c r="JP48" s="1005"/>
      <c r="JQ48" s="1005"/>
      <c r="JR48" s="1005"/>
      <c r="JS48" s="1005"/>
      <c r="JT48" s="1005"/>
      <c r="JU48" s="1005"/>
      <c r="JV48" s="1005"/>
      <c r="JW48" s="1005"/>
      <c r="JX48" s="1005"/>
      <c r="JY48" s="1005"/>
      <c r="JZ48" s="1005"/>
      <c r="KA48" s="1005"/>
      <c r="KB48" s="1005"/>
      <c r="KC48" s="1005"/>
      <c r="KD48" s="1005"/>
      <c r="KE48" s="1005"/>
      <c r="KF48" s="1005"/>
      <c r="KG48" s="1005"/>
      <c r="KH48" s="1005"/>
      <c r="KI48" s="1005"/>
      <c r="KJ48" s="1005"/>
      <c r="KK48" s="1005"/>
      <c r="KL48" s="1005"/>
      <c r="KM48" s="1005"/>
      <c r="KN48" s="1005"/>
      <c r="KO48" s="1005"/>
      <c r="KP48" s="1005"/>
      <c r="KQ48" s="1005"/>
      <c r="KR48" s="1005"/>
      <c r="KS48" s="1005"/>
      <c r="KT48" s="1005"/>
      <c r="KU48" s="1005"/>
      <c r="KV48" s="1005"/>
      <c r="KW48" s="1005"/>
      <c r="KX48" s="1005"/>
      <c r="KY48" s="1005"/>
      <c r="KZ48" s="1005"/>
      <c r="LA48" s="1005"/>
      <c r="LB48" s="1005"/>
      <c r="LC48" s="1005"/>
      <c r="LD48" s="1005"/>
      <c r="LE48" s="1005"/>
      <c r="LF48" s="1005"/>
      <c r="LG48" s="1005"/>
      <c r="LH48" s="1005"/>
      <c r="LI48" s="1005"/>
      <c r="LJ48" s="1005"/>
      <c r="LK48" s="1005"/>
      <c r="LL48" s="1005"/>
      <c r="LM48" s="1005"/>
      <c r="LN48" s="1005"/>
      <c r="LO48" s="1005"/>
      <c r="LP48" s="1005"/>
      <c r="LQ48" s="1005"/>
      <c r="LR48" s="1005"/>
      <c r="LS48" s="1005"/>
      <c r="LT48" s="1005"/>
      <c r="LU48" s="1005"/>
      <c r="LV48" s="1005"/>
      <c r="LW48" s="1005"/>
      <c r="LX48" s="1005"/>
      <c r="LY48" s="1005"/>
      <c r="LZ48" s="1005"/>
      <c r="MA48" s="1005"/>
      <c r="MB48" s="1005"/>
      <c r="MC48" s="1005"/>
      <c r="MD48" s="1005"/>
      <c r="ME48" s="1005"/>
      <c r="MF48" s="1005"/>
      <c r="MG48" s="1005"/>
      <c r="MH48" s="1005"/>
      <c r="MI48" s="1005"/>
      <c r="MJ48" s="1005"/>
      <c r="MK48" s="1005"/>
      <c r="ML48" s="1005"/>
      <c r="MM48" s="1005"/>
      <c r="MN48" s="1005"/>
      <c r="MO48" s="1005"/>
      <c r="MP48" s="1005"/>
      <c r="MQ48" s="1005"/>
      <c r="MR48" s="1005"/>
      <c r="MS48" s="1005"/>
      <c r="MT48" s="1005"/>
      <c r="MU48" s="1005"/>
      <c r="MV48" s="1005"/>
      <c r="MW48" s="1005"/>
      <c r="MX48" s="1005"/>
      <c r="MY48" s="1005"/>
      <c r="MZ48" s="1005"/>
      <c r="NA48" s="1005"/>
      <c r="NB48" s="1005"/>
      <c r="NC48" s="1005"/>
      <c r="ND48" s="1005"/>
      <c r="NE48" s="1005"/>
      <c r="NF48" s="1005"/>
      <c r="NG48" s="1005"/>
      <c r="NH48" s="1005"/>
      <c r="NI48" s="1005"/>
      <c r="NJ48" s="1005"/>
      <c r="NK48" s="1005"/>
      <c r="NL48" s="1005"/>
      <c r="NM48" s="1005"/>
      <c r="NN48" s="1005"/>
      <c r="NO48" s="1005"/>
      <c r="NP48" s="1005"/>
      <c r="NQ48" s="1005"/>
      <c r="NR48" s="1005"/>
      <c r="NS48" s="1005"/>
      <c r="NT48" s="1005"/>
      <c r="NU48" s="1005"/>
      <c r="NV48" s="1005"/>
      <c r="NW48" s="1005"/>
      <c r="NX48" s="1005"/>
      <c r="NY48" s="1005"/>
      <c r="NZ48" s="1005"/>
      <c r="OA48" s="1005"/>
      <c r="OB48" s="1005"/>
      <c r="OC48" s="1005"/>
      <c r="OD48" s="1005"/>
      <c r="OE48" s="1005"/>
      <c r="OF48" s="1005"/>
      <c r="OG48" s="1005"/>
      <c r="OH48" s="1005"/>
      <c r="OI48" s="1005"/>
      <c r="OJ48" s="1005"/>
      <c r="OK48" s="1005"/>
      <c r="OL48" s="1005"/>
      <c r="OM48" s="1005"/>
      <c r="ON48" s="1005"/>
      <c r="OO48" s="1005"/>
      <c r="OP48" s="1005"/>
      <c r="OQ48" s="1005"/>
      <c r="OR48" s="1005"/>
      <c r="OS48" s="1005"/>
      <c r="OT48" s="1005"/>
      <c r="OU48" s="1005"/>
      <c r="OV48" s="1005"/>
      <c r="OW48" s="1005"/>
      <c r="OX48" s="1005"/>
      <c r="OY48" s="1005"/>
      <c r="OZ48" s="1005"/>
      <c r="PA48" s="1005"/>
      <c r="PB48" s="1005"/>
      <c r="PC48" s="1005"/>
      <c r="PD48" s="1005"/>
      <c r="PE48" s="1005"/>
      <c r="PF48" s="1005"/>
      <c r="PG48" s="1005"/>
      <c r="PH48" s="1005"/>
      <c r="PI48" s="1005"/>
      <c r="PJ48" s="1005"/>
      <c r="PK48" s="1005"/>
      <c r="PL48" s="1005"/>
      <c r="PM48" s="1005"/>
      <c r="PN48" s="1005"/>
      <c r="PO48" s="1005"/>
      <c r="PP48" s="1005"/>
      <c r="PQ48" s="1005"/>
      <c r="PR48" s="1005"/>
      <c r="PS48" s="1005"/>
      <c r="PT48" s="1005"/>
      <c r="PU48" s="1005"/>
      <c r="PV48" s="1005"/>
      <c r="PW48" s="1005"/>
      <c r="PX48" s="1005"/>
      <c r="PY48" s="1005"/>
      <c r="PZ48" s="1005"/>
      <c r="QA48" s="1005"/>
      <c r="QB48" s="1005"/>
      <c r="QC48" s="1005"/>
      <c r="QD48" s="1005"/>
      <c r="QE48" s="1005"/>
      <c r="QF48" s="1005"/>
      <c r="QG48" s="1005"/>
      <c r="QH48" s="1005"/>
      <c r="QI48" s="1005"/>
      <c r="QJ48" s="1005"/>
      <c r="QK48" s="1005"/>
      <c r="QL48" s="1005"/>
      <c r="QM48" s="1005"/>
      <c r="QN48" s="1005"/>
      <c r="QO48" s="1005"/>
      <c r="QP48" s="1005"/>
      <c r="QQ48" s="1005"/>
      <c r="QR48" s="1005"/>
      <c r="QS48" s="1005"/>
      <c r="QT48" s="1005"/>
      <c r="QU48" s="1005"/>
      <c r="QV48" s="1005"/>
      <c r="QW48" s="1005"/>
      <c r="QX48" s="1005"/>
      <c r="QY48" s="1005"/>
      <c r="QZ48" s="1005"/>
      <c r="RA48" s="1005"/>
      <c r="RB48" s="1005"/>
      <c r="RC48" s="1005"/>
      <c r="RD48" s="1005"/>
      <c r="RE48" s="1005"/>
      <c r="RF48" s="1005"/>
      <c r="RG48" s="1005"/>
      <c r="RH48" s="1005"/>
      <c r="RI48" s="1005"/>
      <c r="RJ48" s="1005"/>
      <c r="RK48" s="1005"/>
      <c r="RL48" s="1005"/>
      <c r="RM48" s="1005"/>
      <c r="RN48" s="1005"/>
      <c r="RO48" s="1005"/>
      <c r="RP48" s="1005"/>
      <c r="RQ48" s="1005"/>
      <c r="RR48" s="1005"/>
      <c r="RS48" s="1005"/>
      <c r="RT48" s="1005"/>
      <c r="RU48" s="1005"/>
      <c r="RV48" s="1005"/>
      <c r="RW48" s="1005"/>
      <c r="RX48" s="1005"/>
      <c r="RY48" s="1005"/>
      <c r="RZ48" s="1005"/>
      <c r="SA48" s="1005"/>
      <c r="SB48" s="1005"/>
      <c r="SC48" s="1005"/>
      <c r="SD48" s="1005"/>
      <c r="SE48" s="1005"/>
      <c r="SF48" s="1005"/>
      <c r="SG48" s="1005"/>
      <c r="SH48" s="1005"/>
      <c r="SI48" s="1005"/>
      <c r="SJ48" s="1005"/>
      <c r="SK48" s="1005"/>
      <c r="SL48" s="1005"/>
      <c r="SM48" s="1005"/>
      <c r="SN48" s="1005"/>
      <c r="SO48" s="1005"/>
      <c r="SP48" s="1005"/>
      <c r="SQ48" s="1005"/>
      <c r="SR48" s="1005"/>
      <c r="SS48" s="1005"/>
      <c r="ST48" s="1005"/>
      <c r="SU48" s="1005"/>
      <c r="SV48" s="1005"/>
      <c r="SW48" s="1005"/>
      <c r="SX48" s="1005"/>
      <c r="SY48" s="1005"/>
      <c r="SZ48" s="1005"/>
      <c r="TA48" s="1005"/>
      <c r="TB48" s="1005"/>
      <c r="TC48" s="1005"/>
      <c r="TD48" s="1005"/>
      <c r="TE48" s="1005"/>
      <c r="TF48" s="1005"/>
      <c r="TG48" s="1005"/>
      <c r="TH48" s="1005"/>
      <c r="TI48" s="1005"/>
      <c r="TJ48" s="1005"/>
      <c r="TK48" s="1005"/>
      <c r="TL48" s="1005"/>
      <c r="TM48" s="1005"/>
      <c r="TN48" s="1005"/>
      <c r="TO48" s="1005"/>
      <c r="TP48" s="1005"/>
      <c r="TQ48" s="1005"/>
      <c r="TR48" s="1005"/>
      <c r="TS48" s="1005"/>
      <c r="TT48" s="1005"/>
      <c r="TU48" s="1005"/>
      <c r="TV48" s="1005"/>
      <c r="TW48" s="1005"/>
      <c r="TX48" s="1005"/>
      <c r="TY48" s="1005"/>
      <c r="TZ48" s="1005"/>
      <c r="UA48" s="1005"/>
      <c r="UB48" s="1005"/>
      <c r="UC48" s="1005"/>
      <c r="UD48" s="1005"/>
      <c r="UE48" s="1005"/>
      <c r="UF48" s="1005"/>
      <c r="UG48" s="1005"/>
      <c r="UH48" s="1005"/>
      <c r="UI48" s="1005"/>
      <c r="UJ48" s="1005"/>
      <c r="UK48" s="1005"/>
      <c r="UL48" s="1005"/>
      <c r="UM48" s="1005"/>
      <c r="UN48" s="1005"/>
      <c r="UO48" s="1005"/>
      <c r="UP48" s="1005"/>
      <c r="UQ48" s="1005"/>
      <c r="UR48" s="1005"/>
      <c r="US48" s="1005"/>
      <c r="UT48" s="1005"/>
      <c r="UU48" s="1005"/>
      <c r="UV48" s="1005"/>
      <c r="UW48" s="1005"/>
      <c r="UX48" s="1005"/>
      <c r="UY48" s="1005"/>
      <c r="UZ48" s="1005"/>
      <c r="VA48" s="1005"/>
      <c r="VB48" s="1005"/>
      <c r="VC48" s="1005"/>
      <c r="VD48" s="1005"/>
      <c r="VE48" s="1005"/>
      <c r="VF48" s="1005"/>
      <c r="VG48" s="1005"/>
      <c r="VH48" s="1005"/>
      <c r="VI48" s="1005"/>
      <c r="VJ48" s="1005"/>
      <c r="VK48" s="1005"/>
      <c r="VL48" s="1005"/>
      <c r="VM48" s="1005"/>
      <c r="VN48" s="1005"/>
      <c r="VO48" s="1005"/>
      <c r="VP48" s="1005"/>
      <c r="VQ48" s="1005"/>
      <c r="VR48" s="1005"/>
      <c r="VS48" s="1005"/>
      <c r="VT48" s="1005"/>
      <c r="VU48" s="1005"/>
      <c r="VV48" s="1005"/>
      <c r="VW48" s="1005"/>
      <c r="VX48" s="1005"/>
      <c r="VY48" s="1005"/>
      <c r="VZ48" s="1005"/>
      <c r="WA48" s="1005"/>
      <c r="WB48" s="1005"/>
      <c r="WC48" s="1005"/>
      <c r="WD48" s="1005"/>
      <c r="WE48" s="1005"/>
      <c r="WF48" s="1005"/>
      <c r="WG48" s="1005"/>
      <c r="WH48" s="1005"/>
      <c r="WI48" s="1005"/>
      <c r="WJ48" s="1005"/>
      <c r="WK48" s="1005"/>
      <c r="WL48" s="1005"/>
      <c r="WM48" s="1005"/>
      <c r="WN48" s="1005"/>
      <c r="WO48" s="1005"/>
      <c r="WP48" s="1005"/>
      <c r="WQ48" s="1005"/>
      <c r="WR48" s="1005"/>
      <c r="WS48" s="1005"/>
      <c r="WT48" s="1005"/>
      <c r="WU48" s="1005"/>
      <c r="WV48" s="1005"/>
      <c r="WW48" s="1005"/>
      <c r="WX48" s="1005"/>
      <c r="WY48" s="1005"/>
      <c r="WZ48" s="1005"/>
      <c r="XA48" s="1005"/>
      <c r="XB48" s="1005"/>
      <c r="XC48" s="1005"/>
      <c r="XD48" s="1005"/>
      <c r="XE48" s="1005"/>
      <c r="XF48" s="1005"/>
      <c r="XG48" s="1005"/>
      <c r="XH48" s="1005"/>
      <c r="XI48" s="1005"/>
      <c r="XJ48" s="1005"/>
      <c r="XK48" s="1005"/>
      <c r="XL48" s="1005"/>
      <c r="XM48" s="1005"/>
      <c r="XN48" s="1005"/>
      <c r="XO48" s="1005"/>
      <c r="XP48" s="1005"/>
      <c r="XQ48" s="1005"/>
      <c r="XR48" s="1005"/>
      <c r="XS48" s="1005"/>
      <c r="XT48" s="1005"/>
      <c r="XU48" s="1005"/>
      <c r="XV48" s="1005"/>
      <c r="XW48" s="1005"/>
      <c r="XX48" s="1005"/>
      <c r="XY48" s="1005"/>
      <c r="XZ48" s="1005"/>
      <c r="YA48" s="1005"/>
      <c r="YB48" s="1005"/>
      <c r="YC48" s="1005"/>
      <c r="YD48" s="1005"/>
      <c r="YE48" s="1005"/>
      <c r="YF48" s="1005"/>
      <c r="YG48" s="1005"/>
      <c r="YH48" s="1005"/>
      <c r="YI48" s="1005"/>
      <c r="YJ48" s="1005"/>
      <c r="YK48" s="1005"/>
      <c r="YL48" s="1005"/>
      <c r="YM48" s="1005"/>
      <c r="YN48" s="1005"/>
      <c r="YO48" s="1005"/>
      <c r="YP48" s="1005"/>
      <c r="YQ48" s="1005"/>
      <c r="YR48" s="1005"/>
      <c r="YS48" s="1005"/>
      <c r="YT48" s="1005"/>
      <c r="YU48" s="1005"/>
      <c r="YV48" s="1005"/>
      <c r="YW48" s="1005"/>
      <c r="YX48" s="1005"/>
      <c r="YY48" s="1005"/>
      <c r="YZ48" s="1005"/>
      <c r="ZA48" s="1005"/>
      <c r="ZB48" s="1005"/>
      <c r="ZC48" s="1005"/>
      <c r="ZD48" s="1005"/>
      <c r="ZE48" s="1005"/>
      <c r="ZF48" s="1005"/>
      <c r="ZG48" s="1005"/>
      <c r="ZH48" s="1005"/>
      <c r="ZI48" s="1005"/>
      <c r="ZJ48" s="1005"/>
      <c r="ZK48" s="1005"/>
      <c r="ZL48" s="1005"/>
      <c r="ZM48" s="1005"/>
      <c r="ZN48" s="1005"/>
      <c r="ZO48" s="1005"/>
      <c r="ZP48" s="1005"/>
      <c r="ZQ48" s="1005"/>
      <c r="ZR48" s="1005"/>
      <c r="ZS48" s="1005"/>
      <c r="ZT48" s="1005"/>
      <c r="ZU48" s="1005"/>
      <c r="ZV48" s="1005"/>
      <c r="ZW48" s="1005"/>
      <c r="ZX48" s="1005"/>
      <c r="ZY48" s="1005"/>
      <c r="ZZ48" s="1005"/>
      <c r="AAA48" s="1005"/>
      <c r="AAB48" s="1005"/>
      <c r="AAC48" s="1005"/>
      <c r="AAD48" s="1005"/>
      <c r="AAE48" s="1005"/>
      <c r="AAF48" s="1005"/>
      <c r="AAG48" s="1005"/>
      <c r="AAH48" s="1005"/>
      <c r="AAI48" s="1005"/>
      <c r="AAJ48" s="1005"/>
      <c r="AAK48" s="1005"/>
      <c r="AAL48" s="1005"/>
      <c r="AAM48" s="1005"/>
      <c r="AAN48" s="1005"/>
      <c r="AAO48" s="1005"/>
      <c r="AAP48" s="1005"/>
      <c r="AAQ48" s="1005"/>
      <c r="AAR48" s="1005"/>
      <c r="AAS48" s="1005"/>
      <c r="AAT48" s="1005"/>
      <c r="AAU48" s="1005"/>
      <c r="AAV48" s="1005"/>
      <c r="AAW48" s="1005"/>
      <c r="AAX48" s="1005"/>
      <c r="AAY48" s="1005"/>
      <c r="AAZ48" s="1005"/>
      <c r="ABA48" s="1005"/>
      <c r="ABB48" s="1005"/>
      <c r="ABC48" s="1005"/>
      <c r="ABD48" s="1005"/>
      <c r="ABE48" s="1005"/>
      <c r="ABF48" s="1005"/>
      <c r="ABG48" s="1005"/>
      <c r="ABH48" s="1005"/>
      <c r="ABI48" s="1005"/>
      <c r="ABJ48" s="1005"/>
      <c r="ABK48" s="1005"/>
      <c r="ABL48" s="1005"/>
      <c r="ABM48" s="1005"/>
      <c r="ABN48" s="1005"/>
      <c r="ABO48" s="1005"/>
      <c r="ABP48" s="1005"/>
      <c r="ABQ48" s="1005"/>
      <c r="ABR48" s="1005"/>
    </row>
    <row r="49" spans="1:746" s="113" customFormat="1" ht="12.9" hidden="1" customHeight="1" thickBot="1">
      <c r="A49" s="2348"/>
      <c r="B49" s="2957" t="s">
        <v>1268</v>
      </c>
      <c r="C49" s="2958"/>
      <c r="D49" s="348"/>
      <c r="E49" s="347" t="s">
        <v>1</v>
      </c>
      <c r="F49" s="1240"/>
      <c r="G49" s="347">
        <v>0.25</v>
      </c>
      <c r="H49" s="2349"/>
      <c r="I49" s="2364"/>
      <c r="J49" s="809"/>
      <c r="K49" s="809"/>
      <c r="L49" s="809"/>
      <c r="M49" s="809"/>
      <c r="N49" s="809"/>
      <c r="O49" s="809"/>
      <c r="P49" s="809"/>
      <c r="Q49" s="809"/>
      <c r="R49" s="809"/>
      <c r="S49" s="809"/>
      <c r="T49" s="809"/>
      <c r="U49" s="2192"/>
      <c r="V49" s="2192"/>
      <c r="W49" s="2192"/>
      <c r="X49" s="2192"/>
      <c r="Y49" s="2192"/>
      <c r="Z49" s="2192"/>
      <c r="AA49" s="2192"/>
      <c r="AB49" s="2192"/>
      <c r="AC49" s="2192"/>
      <c r="AD49" s="2192"/>
      <c r="AE49" s="2192"/>
      <c r="AF49" s="2192"/>
      <c r="AG49" s="1042"/>
      <c r="AH49" s="333"/>
      <c r="AI49" s="333"/>
      <c r="AJ49" s="901">
        <f>IF(fx!$C$57=1,SUMIF(fx!I$57:T$57,1,I49:T49),IF(fx!$C$57=2,SUMIF(fx!O$57:AF$57,1,O49:AF49)))</f>
        <v>0</v>
      </c>
      <c r="AK49" s="419"/>
      <c r="AL49" s="902">
        <f>IF(fx!$C$57=1,SUM(U49:AF49),0)</f>
        <v>0</v>
      </c>
      <c r="AM49" s="1005"/>
      <c r="AN49" s="1011"/>
      <c r="AO49" s="1945"/>
      <c r="AP49" s="1935"/>
      <c r="AQ49" s="1936"/>
      <c r="AR49" s="1941"/>
      <c r="AS49" s="1941"/>
      <c r="AT49" s="1941"/>
      <c r="AU49" s="1941"/>
      <c r="AV49" s="1941"/>
      <c r="AW49" s="1941"/>
      <c r="AX49" s="1941"/>
      <c r="AY49" s="1941"/>
      <c r="AZ49" s="1941"/>
      <c r="BA49" s="1941"/>
      <c r="BB49" s="1941"/>
      <c r="BC49" s="1941"/>
      <c r="BD49" s="1941"/>
      <c r="BE49" s="1941"/>
      <c r="BF49" s="1941"/>
      <c r="BG49" s="1941"/>
      <c r="BH49" s="1941"/>
      <c r="BI49" s="1941"/>
      <c r="BJ49" s="1941"/>
      <c r="BK49" s="1941"/>
      <c r="BL49" s="1941"/>
      <c r="BM49" s="1941"/>
      <c r="BN49" s="1941"/>
      <c r="BO49" s="1941"/>
      <c r="BP49" s="1005"/>
      <c r="BQ49" s="1005"/>
      <c r="BR49" s="1005"/>
      <c r="BS49" s="1005"/>
      <c r="BT49" s="1005"/>
      <c r="BU49" s="1005"/>
      <c r="BV49" s="1005"/>
      <c r="BW49" s="1005"/>
      <c r="BX49" s="1005"/>
      <c r="BY49" s="1005"/>
      <c r="BZ49" s="1005"/>
      <c r="CA49" s="1005"/>
      <c r="CB49" s="1005"/>
      <c r="CC49" s="1005"/>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c r="EC49" s="1005"/>
      <c r="ED49" s="1005"/>
      <c r="EE49" s="1005"/>
      <c r="EF49" s="1005"/>
      <c r="EG49" s="1005"/>
      <c r="EH49" s="1005"/>
      <c r="EI49" s="1005"/>
      <c r="EJ49" s="1005"/>
      <c r="EK49" s="1005"/>
      <c r="EL49" s="1005"/>
      <c r="EM49" s="1005"/>
      <c r="EN49" s="1005"/>
      <c r="EO49" s="1005"/>
      <c r="EP49" s="1005"/>
      <c r="EQ49" s="1005"/>
      <c r="ER49" s="1005"/>
      <c r="ES49" s="1005"/>
      <c r="ET49" s="1005"/>
      <c r="EU49" s="1005"/>
      <c r="EV49" s="1005"/>
      <c r="EW49" s="1005"/>
      <c r="EX49" s="1005"/>
      <c r="EY49" s="1005"/>
      <c r="EZ49" s="1005"/>
      <c r="FA49" s="1005"/>
      <c r="FB49" s="1005"/>
      <c r="FC49" s="1005"/>
      <c r="FD49" s="1005"/>
      <c r="FE49" s="1005"/>
      <c r="FF49" s="1005"/>
      <c r="FG49" s="1005"/>
      <c r="FH49" s="1005"/>
      <c r="FI49" s="1005"/>
      <c r="FJ49" s="1005"/>
      <c r="FK49" s="1005"/>
      <c r="FL49" s="1005"/>
      <c r="FM49" s="1005"/>
      <c r="FN49" s="1005"/>
      <c r="FO49" s="1005"/>
      <c r="FP49" s="1005"/>
      <c r="FQ49" s="1005"/>
      <c r="FR49" s="1005"/>
      <c r="FS49" s="1005"/>
      <c r="FT49" s="1005"/>
      <c r="FU49" s="1005"/>
      <c r="FV49" s="1005"/>
      <c r="FW49" s="1005"/>
      <c r="FX49" s="1005"/>
      <c r="FY49" s="1005"/>
      <c r="FZ49" s="1005"/>
      <c r="GA49" s="1005"/>
      <c r="GB49" s="1005"/>
      <c r="GC49" s="1005"/>
      <c r="GD49" s="1005"/>
      <c r="GE49" s="1005"/>
      <c r="GF49" s="1005"/>
      <c r="GG49" s="1005"/>
      <c r="GH49" s="1005"/>
      <c r="GI49" s="1005"/>
      <c r="GJ49" s="1005"/>
      <c r="GK49" s="1005"/>
      <c r="GL49" s="1005"/>
      <c r="GM49" s="1005"/>
      <c r="GN49" s="1005"/>
      <c r="GO49" s="1005"/>
      <c r="GP49" s="1005"/>
      <c r="GQ49" s="1005"/>
      <c r="GR49" s="1005"/>
      <c r="GS49" s="1005"/>
      <c r="GT49" s="1005"/>
      <c r="GU49" s="1005"/>
      <c r="GV49" s="1005"/>
      <c r="GW49" s="1005"/>
      <c r="GX49" s="1005"/>
      <c r="GY49" s="1005"/>
      <c r="GZ49" s="1005"/>
      <c r="HA49" s="1005"/>
      <c r="HB49" s="1005"/>
      <c r="HC49" s="1005"/>
      <c r="HD49" s="1005"/>
      <c r="HE49" s="1005"/>
      <c r="HF49" s="1005"/>
      <c r="HG49" s="1005"/>
      <c r="HH49" s="1005"/>
      <c r="HI49" s="1005"/>
      <c r="HJ49" s="1005"/>
      <c r="HK49" s="1005"/>
      <c r="HL49" s="1005"/>
      <c r="HM49" s="1005"/>
      <c r="HN49" s="1005"/>
      <c r="HO49" s="1005"/>
      <c r="HP49" s="1005"/>
      <c r="HQ49" s="1005"/>
      <c r="HR49" s="1005"/>
      <c r="HS49" s="1005"/>
      <c r="HT49" s="1005"/>
      <c r="HU49" s="1005"/>
      <c r="HV49" s="1005"/>
      <c r="HW49" s="1005"/>
      <c r="HX49" s="1005"/>
      <c r="HY49" s="1005"/>
      <c r="HZ49" s="1005"/>
      <c r="IA49" s="1005"/>
      <c r="IB49" s="1005"/>
      <c r="IC49" s="1005"/>
      <c r="ID49" s="1005"/>
      <c r="IE49" s="1005"/>
      <c r="IF49" s="1005"/>
      <c r="IG49" s="1005"/>
      <c r="IH49" s="1005"/>
      <c r="II49" s="1005"/>
      <c r="IJ49" s="1005"/>
      <c r="IK49" s="1005"/>
      <c r="IL49" s="1005"/>
      <c r="IM49" s="1005"/>
      <c r="IN49" s="1005"/>
      <c r="IO49" s="1005"/>
      <c r="IP49" s="1005"/>
      <c r="IQ49" s="1005"/>
      <c r="IR49" s="1005"/>
      <c r="IS49" s="1005"/>
      <c r="IT49" s="1005"/>
      <c r="IU49" s="1005"/>
      <c r="IV49" s="1005"/>
      <c r="IW49" s="1005"/>
      <c r="IX49" s="1005"/>
      <c r="IY49" s="1005"/>
      <c r="IZ49" s="1005"/>
      <c r="JA49" s="1005"/>
      <c r="JB49" s="1005"/>
      <c r="JC49" s="1005"/>
      <c r="JD49" s="1005"/>
      <c r="JE49" s="1005"/>
      <c r="JF49" s="1005"/>
      <c r="JG49" s="1005"/>
      <c r="JH49" s="1005"/>
      <c r="JI49" s="1005"/>
      <c r="JJ49" s="1005"/>
      <c r="JK49" s="1005"/>
      <c r="JL49" s="1005"/>
      <c r="JM49" s="1005"/>
      <c r="JN49" s="1005"/>
      <c r="JO49" s="1005"/>
      <c r="JP49" s="1005"/>
      <c r="JQ49" s="1005"/>
      <c r="JR49" s="1005"/>
      <c r="JS49" s="1005"/>
      <c r="JT49" s="1005"/>
      <c r="JU49" s="1005"/>
      <c r="JV49" s="1005"/>
      <c r="JW49" s="1005"/>
      <c r="JX49" s="1005"/>
      <c r="JY49" s="1005"/>
      <c r="JZ49" s="1005"/>
      <c r="KA49" s="1005"/>
      <c r="KB49" s="1005"/>
      <c r="KC49" s="1005"/>
      <c r="KD49" s="1005"/>
      <c r="KE49" s="1005"/>
      <c r="KF49" s="1005"/>
      <c r="KG49" s="1005"/>
      <c r="KH49" s="1005"/>
      <c r="KI49" s="1005"/>
      <c r="KJ49" s="1005"/>
      <c r="KK49" s="1005"/>
      <c r="KL49" s="1005"/>
      <c r="KM49" s="1005"/>
      <c r="KN49" s="1005"/>
      <c r="KO49" s="1005"/>
      <c r="KP49" s="1005"/>
      <c r="KQ49" s="1005"/>
      <c r="KR49" s="1005"/>
      <c r="KS49" s="1005"/>
      <c r="KT49" s="1005"/>
      <c r="KU49" s="1005"/>
      <c r="KV49" s="1005"/>
      <c r="KW49" s="1005"/>
      <c r="KX49" s="1005"/>
      <c r="KY49" s="1005"/>
      <c r="KZ49" s="1005"/>
      <c r="LA49" s="1005"/>
      <c r="LB49" s="1005"/>
      <c r="LC49" s="1005"/>
      <c r="LD49" s="1005"/>
      <c r="LE49" s="1005"/>
      <c r="LF49" s="1005"/>
      <c r="LG49" s="1005"/>
      <c r="LH49" s="1005"/>
      <c r="LI49" s="1005"/>
      <c r="LJ49" s="1005"/>
      <c r="LK49" s="1005"/>
      <c r="LL49" s="1005"/>
      <c r="LM49" s="1005"/>
      <c r="LN49" s="1005"/>
      <c r="LO49" s="1005"/>
      <c r="LP49" s="1005"/>
      <c r="LQ49" s="1005"/>
      <c r="LR49" s="1005"/>
      <c r="LS49" s="1005"/>
      <c r="LT49" s="1005"/>
      <c r="LU49" s="1005"/>
      <c r="LV49" s="1005"/>
      <c r="LW49" s="1005"/>
      <c r="LX49" s="1005"/>
      <c r="LY49" s="1005"/>
      <c r="LZ49" s="1005"/>
      <c r="MA49" s="1005"/>
      <c r="MB49" s="1005"/>
      <c r="MC49" s="1005"/>
      <c r="MD49" s="1005"/>
      <c r="ME49" s="1005"/>
      <c r="MF49" s="1005"/>
      <c r="MG49" s="1005"/>
      <c r="MH49" s="1005"/>
      <c r="MI49" s="1005"/>
      <c r="MJ49" s="1005"/>
      <c r="MK49" s="1005"/>
      <c r="ML49" s="1005"/>
      <c r="MM49" s="1005"/>
      <c r="MN49" s="1005"/>
      <c r="MO49" s="1005"/>
      <c r="MP49" s="1005"/>
      <c r="MQ49" s="1005"/>
      <c r="MR49" s="1005"/>
      <c r="MS49" s="1005"/>
      <c r="MT49" s="1005"/>
      <c r="MU49" s="1005"/>
      <c r="MV49" s="1005"/>
      <c r="MW49" s="1005"/>
      <c r="MX49" s="1005"/>
      <c r="MY49" s="1005"/>
      <c r="MZ49" s="1005"/>
      <c r="NA49" s="1005"/>
      <c r="NB49" s="1005"/>
      <c r="NC49" s="1005"/>
      <c r="ND49" s="1005"/>
      <c r="NE49" s="1005"/>
      <c r="NF49" s="1005"/>
      <c r="NG49" s="1005"/>
      <c r="NH49" s="1005"/>
      <c r="NI49" s="1005"/>
      <c r="NJ49" s="1005"/>
      <c r="NK49" s="1005"/>
      <c r="NL49" s="1005"/>
      <c r="NM49" s="1005"/>
      <c r="NN49" s="1005"/>
      <c r="NO49" s="1005"/>
      <c r="NP49" s="1005"/>
      <c r="NQ49" s="1005"/>
      <c r="NR49" s="1005"/>
      <c r="NS49" s="1005"/>
      <c r="NT49" s="1005"/>
      <c r="NU49" s="1005"/>
      <c r="NV49" s="1005"/>
      <c r="NW49" s="1005"/>
      <c r="NX49" s="1005"/>
      <c r="NY49" s="1005"/>
      <c r="NZ49" s="1005"/>
      <c r="OA49" s="1005"/>
      <c r="OB49" s="1005"/>
      <c r="OC49" s="1005"/>
      <c r="OD49" s="1005"/>
      <c r="OE49" s="1005"/>
      <c r="OF49" s="1005"/>
      <c r="OG49" s="1005"/>
      <c r="OH49" s="1005"/>
      <c r="OI49" s="1005"/>
      <c r="OJ49" s="1005"/>
      <c r="OK49" s="1005"/>
      <c r="OL49" s="1005"/>
      <c r="OM49" s="1005"/>
      <c r="ON49" s="1005"/>
      <c r="OO49" s="1005"/>
      <c r="OP49" s="1005"/>
      <c r="OQ49" s="1005"/>
      <c r="OR49" s="1005"/>
      <c r="OS49" s="1005"/>
      <c r="OT49" s="1005"/>
      <c r="OU49" s="1005"/>
      <c r="OV49" s="1005"/>
      <c r="OW49" s="1005"/>
      <c r="OX49" s="1005"/>
      <c r="OY49" s="1005"/>
      <c r="OZ49" s="1005"/>
      <c r="PA49" s="1005"/>
      <c r="PB49" s="1005"/>
      <c r="PC49" s="1005"/>
      <c r="PD49" s="1005"/>
      <c r="PE49" s="1005"/>
      <c r="PF49" s="1005"/>
      <c r="PG49" s="1005"/>
      <c r="PH49" s="1005"/>
      <c r="PI49" s="1005"/>
      <c r="PJ49" s="1005"/>
      <c r="PK49" s="1005"/>
      <c r="PL49" s="1005"/>
      <c r="PM49" s="1005"/>
      <c r="PN49" s="1005"/>
      <c r="PO49" s="1005"/>
      <c r="PP49" s="1005"/>
      <c r="PQ49" s="1005"/>
      <c r="PR49" s="1005"/>
      <c r="PS49" s="1005"/>
      <c r="PT49" s="1005"/>
      <c r="PU49" s="1005"/>
      <c r="PV49" s="1005"/>
      <c r="PW49" s="1005"/>
      <c r="PX49" s="1005"/>
      <c r="PY49" s="1005"/>
      <c r="PZ49" s="1005"/>
      <c r="QA49" s="1005"/>
      <c r="QB49" s="1005"/>
      <c r="QC49" s="1005"/>
      <c r="QD49" s="1005"/>
      <c r="QE49" s="1005"/>
      <c r="QF49" s="1005"/>
      <c r="QG49" s="1005"/>
      <c r="QH49" s="1005"/>
      <c r="QI49" s="1005"/>
      <c r="QJ49" s="1005"/>
      <c r="QK49" s="1005"/>
      <c r="QL49" s="1005"/>
      <c r="QM49" s="1005"/>
      <c r="QN49" s="1005"/>
      <c r="QO49" s="1005"/>
      <c r="QP49" s="1005"/>
      <c r="QQ49" s="1005"/>
      <c r="QR49" s="1005"/>
      <c r="QS49" s="1005"/>
      <c r="QT49" s="1005"/>
      <c r="QU49" s="1005"/>
      <c r="QV49" s="1005"/>
      <c r="QW49" s="1005"/>
      <c r="QX49" s="1005"/>
      <c r="QY49" s="1005"/>
      <c r="QZ49" s="1005"/>
      <c r="RA49" s="1005"/>
      <c r="RB49" s="1005"/>
      <c r="RC49" s="1005"/>
      <c r="RD49" s="1005"/>
      <c r="RE49" s="1005"/>
      <c r="RF49" s="1005"/>
      <c r="RG49" s="1005"/>
      <c r="RH49" s="1005"/>
      <c r="RI49" s="1005"/>
      <c r="RJ49" s="1005"/>
      <c r="RK49" s="1005"/>
      <c r="RL49" s="1005"/>
      <c r="RM49" s="1005"/>
      <c r="RN49" s="1005"/>
      <c r="RO49" s="1005"/>
      <c r="RP49" s="1005"/>
      <c r="RQ49" s="1005"/>
      <c r="RR49" s="1005"/>
      <c r="RS49" s="1005"/>
      <c r="RT49" s="1005"/>
      <c r="RU49" s="1005"/>
      <c r="RV49" s="1005"/>
      <c r="RW49" s="1005"/>
      <c r="RX49" s="1005"/>
      <c r="RY49" s="1005"/>
      <c r="RZ49" s="1005"/>
      <c r="SA49" s="1005"/>
      <c r="SB49" s="1005"/>
      <c r="SC49" s="1005"/>
      <c r="SD49" s="1005"/>
      <c r="SE49" s="1005"/>
      <c r="SF49" s="1005"/>
      <c r="SG49" s="1005"/>
      <c r="SH49" s="1005"/>
      <c r="SI49" s="1005"/>
      <c r="SJ49" s="1005"/>
      <c r="SK49" s="1005"/>
      <c r="SL49" s="1005"/>
      <c r="SM49" s="1005"/>
      <c r="SN49" s="1005"/>
      <c r="SO49" s="1005"/>
      <c r="SP49" s="1005"/>
      <c r="SQ49" s="1005"/>
      <c r="SR49" s="1005"/>
      <c r="SS49" s="1005"/>
      <c r="ST49" s="1005"/>
      <c r="SU49" s="1005"/>
      <c r="SV49" s="1005"/>
      <c r="SW49" s="1005"/>
      <c r="SX49" s="1005"/>
      <c r="SY49" s="1005"/>
      <c r="SZ49" s="1005"/>
      <c r="TA49" s="1005"/>
      <c r="TB49" s="1005"/>
      <c r="TC49" s="1005"/>
      <c r="TD49" s="1005"/>
      <c r="TE49" s="1005"/>
      <c r="TF49" s="1005"/>
      <c r="TG49" s="1005"/>
      <c r="TH49" s="1005"/>
      <c r="TI49" s="1005"/>
      <c r="TJ49" s="1005"/>
      <c r="TK49" s="1005"/>
      <c r="TL49" s="1005"/>
      <c r="TM49" s="1005"/>
      <c r="TN49" s="1005"/>
      <c r="TO49" s="1005"/>
      <c r="TP49" s="1005"/>
      <c r="TQ49" s="1005"/>
      <c r="TR49" s="1005"/>
      <c r="TS49" s="1005"/>
      <c r="TT49" s="1005"/>
      <c r="TU49" s="1005"/>
      <c r="TV49" s="1005"/>
      <c r="TW49" s="1005"/>
      <c r="TX49" s="1005"/>
      <c r="TY49" s="1005"/>
      <c r="TZ49" s="1005"/>
      <c r="UA49" s="1005"/>
      <c r="UB49" s="1005"/>
      <c r="UC49" s="1005"/>
      <c r="UD49" s="1005"/>
      <c r="UE49" s="1005"/>
      <c r="UF49" s="1005"/>
      <c r="UG49" s="1005"/>
      <c r="UH49" s="1005"/>
      <c r="UI49" s="1005"/>
      <c r="UJ49" s="1005"/>
      <c r="UK49" s="1005"/>
      <c r="UL49" s="1005"/>
      <c r="UM49" s="1005"/>
      <c r="UN49" s="1005"/>
      <c r="UO49" s="1005"/>
      <c r="UP49" s="1005"/>
      <c r="UQ49" s="1005"/>
      <c r="UR49" s="1005"/>
      <c r="US49" s="1005"/>
      <c r="UT49" s="1005"/>
      <c r="UU49" s="1005"/>
      <c r="UV49" s="1005"/>
      <c r="UW49" s="1005"/>
      <c r="UX49" s="1005"/>
      <c r="UY49" s="1005"/>
      <c r="UZ49" s="1005"/>
      <c r="VA49" s="1005"/>
      <c r="VB49" s="1005"/>
      <c r="VC49" s="1005"/>
      <c r="VD49" s="1005"/>
      <c r="VE49" s="1005"/>
      <c r="VF49" s="1005"/>
      <c r="VG49" s="1005"/>
      <c r="VH49" s="1005"/>
      <c r="VI49" s="1005"/>
      <c r="VJ49" s="1005"/>
      <c r="VK49" s="1005"/>
      <c r="VL49" s="1005"/>
      <c r="VM49" s="1005"/>
      <c r="VN49" s="1005"/>
      <c r="VO49" s="1005"/>
      <c r="VP49" s="1005"/>
      <c r="VQ49" s="1005"/>
      <c r="VR49" s="1005"/>
      <c r="VS49" s="1005"/>
      <c r="VT49" s="1005"/>
      <c r="VU49" s="1005"/>
      <c r="VV49" s="1005"/>
      <c r="VW49" s="1005"/>
      <c r="VX49" s="1005"/>
      <c r="VY49" s="1005"/>
      <c r="VZ49" s="1005"/>
      <c r="WA49" s="1005"/>
      <c r="WB49" s="1005"/>
      <c r="WC49" s="1005"/>
      <c r="WD49" s="1005"/>
      <c r="WE49" s="1005"/>
      <c r="WF49" s="1005"/>
      <c r="WG49" s="1005"/>
      <c r="WH49" s="1005"/>
      <c r="WI49" s="1005"/>
      <c r="WJ49" s="1005"/>
      <c r="WK49" s="1005"/>
      <c r="WL49" s="1005"/>
      <c r="WM49" s="1005"/>
      <c r="WN49" s="1005"/>
      <c r="WO49" s="1005"/>
      <c r="WP49" s="1005"/>
      <c r="WQ49" s="1005"/>
      <c r="WR49" s="1005"/>
      <c r="WS49" s="1005"/>
      <c r="WT49" s="1005"/>
      <c r="WU49" s="1005"/>
      <c r="WV49" s="1005"/>
      <c r="WW49" s="1005"/>
      <c r="WX49" s="1005"/>
      <c r="WY49" s="1005"/>
      <c r="WZ49" s="1005"/>
      <c r="XA49" s="1005"/>
      <c r="XB49" s="1005"/>
      <c r="XC49" s="1005"/>
      <c r="XD49" s="1005"/>
      <c r="XE49" s="1005"/>
      <c r="XF49" s="1005"/>
      <c r="XG49" s="1005"/>
      <c r="XH49" s="1005"/>
      <c r="XI49" s="1005"/>
      <c r="XJ49" s="1005"/>
      <c r="XK49" s="1005"/>
      <c r="XL49" s="1005"/>
      <c r="XM49" s="1005"/>
      <c r="XN49" s="1005"/>
      <c r="XO49" s="1005"/>
      <c r="XP49" s="1005"/>
      <c r="XQ49" s="1005"/>
      <c r="XR49" s="1005"/>
      <c r="XS49" s="1005"/>
      <c r="XT49" s="1005"/>
      <c r="XU49" s="1005"/>
      <c r="XV49" s="1005"/>
      <c r="XW49" s="1005"/>
      <c r="XX49" s="1005"/>
      <c r="XY49" s="1005"/>
      <c r="XZ49" s="1005"/>
      <c r="YA49" s="1005"/>
      <c r="YB49" s="1005"/>
      <c r="YC49" s="1005"/>
      <c r="YD49" s="1005"/>
      <c r="YE49" s="1005"/>
      <c r="YF49" s="1005"/>
      <c r="YG49" s="1005"/>
      <c r="YH49" s="1005"/>
      <c r="YI49" s="1005"/>
      <c r="YJ49" s="1005"/>
      <c r="YK49" s="1005"/>
      <c r="YL49" s="1005"/>
      <c r="YM49" s="1005"/>
      <c r="YN49" s="1005"/>
      <c r="YO49" s="1005"/>
      <c r="YP49" s="1005"/>
      <c r="YQ49" s="1005"/>
      <c r="YR49" s="1005"/>
      <c r="YS49" s="1005"/>
      <c r="YT49" s="1005"/>
      <c r="YU49" s="1005"/>
      <c r="YV49" s="1005"/>
      <c r="YW49" s="1005"/>
      <c r="YX49" s="1005"/>
      <c r="YY49" s="1005"/>
      <c r="YZ49" s="1005"/>
      <c r="ZA49" s="1005"/>
      <c r="ZB49" s="1005"/>
      <c r="ZC49" s="1005"/>
      <c r="ZD49" s="1005"/>
      <c r="ZE49" s="1005"/>
      <c r="ZF49" s="1005"/>
      <c r="ZG49" s="1005"/>
      <c r="ZH49" s="1005"/>
      <c r="ZI49" s="1005"/>
      <c r="ZJ49" s="1005"/>
      <c r="ZK49" s="1005"/>
      <c r="ZL49" s="1005"/>
      <c r="ZM49" s="1005"/>
      <c r="ZN49" s="1005"/>
      <c r="ZO49" s="1005"/>
      <c r="ZP49" s="1005"/>
      <c r="ZQ49" s="1005"/>
      <c r="ZR49" s="1005"/>
      <c r="ZS49" s="1005"/>
      <c r="ZT49" s="1005"/>
      <c r="ZU49" s="1005"/>
      <c r="ZV49" s="1005"/>
      <c r="ZW49" s="1005"/>
      <c r="ZX49" s="1005"/>
      <c r="ZY49" s="1005"/>
      <c r="ZZ49" s="1005"/>
      <c r="AAA49" s="1005"/>
      <c r="AAB49" s="1005"/>
      <c r="AAC49" s="1005"/>
      <c r="AAD49" s="1005"/>
      <c r="AAE49" s="1005"/>
      <c r="AAF49" s="1005"/>
      <c r="AAG49" s="1005"/>
      <c r="AAH49" s="1005"/>
      <c r="AAI49" s="1005"/>
      <c r="AAJ49" s="1005"/>
      <c r="AAK49" s="1005"/>
      <c r="AAL49" s="1005"/>
      <c r="AAM49" s="1005"/>
      <c r="AAN49" s="1005"/>
      <c r="AAO49" s="1005"/>
      <c r="AAP49" s="1005"/>
      <c r="AAQ49" s="1005"/>
      <c r="AAR49" s="1005"/>
      <c r="AAS49" s="1005"/>
      <c r="AAT49" s="1005"/>
      <c r="AAU49" s="1005"/>
      <c r="AAV49" s="1005"/>
      <c r="AAW49" s="1005"/>
      <c r="AAX49" s="1005"/>
      <c r="AAY49" s="1005"/>
      <c r="AAZ49" s="1005"/>
      <c r="ABA49" s="1005"/>
      <c r="ABB49" s="1005"/>
      <c r="ABC49" s="1005"/>
      <c r="ABD49" s="1005"/>
      <c r="ABE49" s="1005"/>
      <c r="ABF49" s="1005"/>
      <c r="ABG49" s="1005"/>
      <c r="ABH49" s="1005"/>
      <c r="ABI49" s="1005"/>
      <c r="ABJ49" s="1005"/>
      <c r="ABK49" s="1005"/>
      <c r="ABL49" s="1005"/>
      <c r="ABM49" s="1005"/>
      <c r="ABN49" s="1005"/>
      <c r="ABO49" s="1005"/>
      <c r="ABP49" s="1005"/>
      <c r="ABQ49" s="1005"/>
      <c r="ABR49" s="1005"/>
    </row>
    <row r="50" spans="1:746" s="113" customFormat="1" ht="12.9" hidden="1" customHeight="1" thickBot="1">
      <c r="A50" s="2348"/>
      <c r="B50" s="2957" t="s">
        <v>1269</v>
      </c>
      <c r="C50" s="2958"/>
      <c r="D50" s="348"/>
      <c r="E50" s="347" t="s">
        <v>1</v>
      </c>
      <c r="F50" s="1240"/>
      <c r="G50" s="347">
        <v>0.25</v>
      </c>
      <c r="H50" s="2349"/>
      <c r="I50" s="2364"/>
      <c r="J50" s="809"/>
      <c r="K50" s="809"/>
      <c r="L50" s="809"/>
      <c r="M50" s="809"/>
      <c r="N50" s="809"/>
      <c r="O50" s="809"/>
      <c r="P50" s="809"/>
      <c r="Q50" s="809"/>
      <c r="R50" s="809"/>
      <c r="S50" s="809"/>
      <c r="T50" s="809"/>
      <c r="U50" s="2192"/>
      <c r="V50" s="2192"/>
      <c r="W50" s="2192"/>
      <c r="X50" s="2192"/>
      <c r="Y50" s="2192"/>
      <c r="Z50" s="2192"/>
      <c r="AA50" s="2192"/>
      <c r="AB50" s="2192"/>
      <c r="AC50" s="2192"/>
      <c r="AD50" s="2192"/>
      <c r="AE50" s="2192"/>
      <c r="AF50" s="2192"/>
      <c r="AG50" s="1042"/>
      <c r="AH50" s="333"/>
      <c r="AI50" s="333"/>
      <c r="AJ50" s="901">
        <f>IF(fx!$C$57=1,SUMIF(fx!I$57:T$57,1,I50:T50),IF(fx!$C$57=2,SUMIF(fx!O$57:AF$57,1,O50:AF50)))</f>
        <v>0</v>
      </c>
      <c r="AK50" s="419"/>
      <c r="AL50" s="902">
        <f>IF(fx!$C$57=1,SUM(U50:AF50),0)</f>
        <v>0</v>
      </c>
      <c r="AM50" s="1005"/>
      <c r="AN50" s="1011"/>
      <c r="AO50" s="1945"/>
      <c r="AP50" s="1935"/>
      <c r="AQ50" s="1936"/>
      <c r="AR50" s="1941"/>
      <c r="AS50" s="1941"/>
      <c r="AT50" s="1941"/>
      <c r="AU50" s="1941"/>
      <c r="AV50" s="1941"/>
      <c r="AW50" s="1941"/>
      <c r="AX50" s="1941"/>
      <c r="AY50" s="1941"/>
      <c r="AZ50" s="1941"/>
      <c r="BA50" s="1941"/>
      <c r="BB50" s="1941"/>
      <c r="BC50" s="1941"/>
      <c r="BD50" s="1941"/>
      <c r="BE50" s="1941"/>
      <c r="BF50" s="1941"/>
      <c r="BG50" s="1941"/>
      <c r="BH50" s="1941"/>
      <c r="BI50" s="1941"/>
      <c r="BJ50" s="1941"/>
      <c r="BK50" s="1941"/>
      <c r="BL50" s="1941"/>
      <c r="BM50" s="1941"/>
      <c r="BN50" s="1941"/>
      <c r="BO50" s="1941"/>
      <c r="BP50" s="1005"/>
      <c r="BQ50" s="1005"/>
      <c r="BR50" s="1005"/>
      <c r="BS50" s="1005"/>
      <c r="BT50" s="1005"/>
      <c r="BU50" s="1005"/>
      <c r="BV50" s="1005"/>
      <c r="BW50" s="1005"/>
      <c r="BX50" s="1005"/>
      <c r="BY50" s="1005"/>
      <c r="BZ50" s="1005"/>
      <c r="CA50" s="1005"/>
      <c r="CB50" s="1005"/>
      <c r="CC50" s="1005"/>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c r="EC50" s="1005"/>
      <c r="ED50" s="1005"/>
      <c r="EE50" s="1005"/>
      <c r="EF50" s="1005"/>
      <c r="EG50" s="1005"/>
      <c r="EH50" s="1005"/>
      <c r="EI50" s="1005"/>
      <c r="EJ50" s="1005"/>
      <c r="EK50" s="1005"/>
      <c r="EL50" s="1005"/>
      <c r="EM50" s="1005"/>
      <c r="EN50" s="1005"/>
      <c r="EO50" s="1005"/>
      <c r="EP50" s="1005"/>
      <c r="EQ50" s="1005"/>
      <c r="ER50" s="1005"/>
      <c r="ES50" s="1005"/>
      <c r="ET50" s="1005"/>
      <c r="EU50" s="1005"/>
      <c r="EV50" s="1005"/>
      <c r="EW50" s="1005"/>
      <c r="EX50" s="1005"/>
      <c r="EY50" s="1005"/>
      <c r="EZ50" s="1005"/>
      <c r="FA50" s="1005"/>
      <c r="FB50" s="1005"/>
      <c r="FC50" s="1005"/>
      <c r="FD50" s="1005"/>
      <c r="FE50" s="1005"/>
      <c r="FF50" s="1005"/>
      <c r="FG50" s="1005"/>
      <c r="FH50" s="1005"/>
      <c r="FI50" s="1005"/>
      <c r="FJ50" s="1005"/>
      <c r="FK50" s="1005"/>
      <c r="FL50" s="1005"/>
      <c r="FM50" s="1005"/>
      <c r="FN50" s="1005"/>
      <c r="FO50" s="1005"/>
      <c r="FP50" s="1005"/>
      <c r="FQ50" s="1005"/>
      <c r="FR50" s="1005"/>
      <c r="FS50" s="1005"/>
      <c r="FT50" s="1005"/>
      <c r="FU50" s="1005"/>
      <c r="FV50" s="1005"/>
      <c r="FW50" s="1005"/>
      <c r="FX50" s="1005"/>
      <c r="FY50" s="1005"/>
      <c r="FZ50" s="1005"/>
      <c r="GA50" s="1005"/>
      <c r="GB50" s="1005"/>
      <c r="GC50" s="1005"/>
      <c r="GD50" s="1005"/>
      <c r="GE50" s="1005"/>
      <c r="GF50" s="1005"/>
      <c r="GG50" s="1005"/>
      <c r="GH50" s="1005"/>
      <c r="GI50" s="1005"/>
      <c r="GJ50" s="1005"/>
      <c r="GK50" s="1005"/>
      <c r="GL50" s="1005"/>
      <c r="GM50" s="1005"/>
      <c r="GN50" s="1005"/>
      <c r="GO50" s="1005"/>
      <c r="GP50" s="1005"/>
      <c r="GQ50" s="1005"/>
      <c r="GR50" s="1005"/>
      <c r="GS50" s="1005"/>
      <c r="GT50" s="1005"/>
      <c r="GU50" s="1005"/>
      <c r="GV50" s="1005"/>
      <c r="GW50" s="1005"/>
      <c r="GX50" s="1005"/>
      <c r="GY50" s="1005"/>
      <c r="GZ50" s="1005"/>
      <c r="HA50" s="1005"/>
      <c r="HB50" s="1005"/>
      <c r="HC50" s="1005"/>
      <c r="HD50" s="1005"/>
      <c r="HE50" s="1005"/>
      <c r="HF50" s="1005"/>
      <c r="HG50" s="1005"/>
      <c r="HH50" s="1005"/>
      <c r="HI50" s="1005"/>
      <c r="HJ50" s="1005"/>
      <c r="HK50" s="1005"/>
      <c r="HL50" s="1005"/>
      <c r="HM50" s="1005"/>
      <c r="HN50" s="1005"/>
      <c r="HO50" s="1005"/>
      <c r="HP50" s="1005"/>
      <c r="HQ50" s="1005"/>
      <c r="HR50" s="1005"/>
      <c r="HS50" s="1005"/>
      <c r="HT50" s="1005"/>
      <c r="HU50" s="1005"/>
      <c r="HV50" s="1005"/>
      <c r="HW50" s="1005"/>
      <c r="HX50" s="1005"/>
      <c r="HY50" s="1005"/>
      <c r="HZ50" s="1005"/>
      <c r="IA50" s="1005"/>
      <c r="IB50" s="1005"/>
      <c r="IC50" s="1005"/>
      <c r="ID50" s="1005"/>
      <c r="IE50" s="1005"/>
      <c r="IF50" s="1005"/>
      <c r="IG50" s="1005"/>
      <c r="IH50" s="1005"/>
      <c r="II50" s="1005"/>
      <c r="IJ50" s="1005"/>
      <c r="IK50" s="1005"/>
      <c r="IL50" s="1005"/>
      <c r="IM50" s="1005"/>
      <c r="IN50" s="1005"/>
      <c r="IO50" s="1005"/>
      <c r="IP50" s="1005"/>
      <c r="IQ50" s="1005"/>
      <c r="IR50" s="1005"/>
      <c r="IS50" s="1005"/>
      <c r="IT50" s="1005"/>
      <c r="IU50" s="1005"/>
      <c r="IV50" s="1005"/>
      <c r="IW50" s="1005"/>
      <c r="IX50" s="1005"/>
      <c r="IY50" s="1005"/>
      <c r="IZ50" s="1005"/>
      <c r="JA50" s="1005"/>
      <c r="JB50" s="1005"/>
      <c r="JC50" s="1005"/>
      <c r="JD50" s="1005"/>
      <c r="JE50" s="1005"/>
      <c r="JF50" s="1005"/>
      <c r="JG50" s="1005"/>
      <c r="JH50" s="1005"/>
      <c r="JI50" s="1005"/>
      <c r="JJ50" s="1005"/>
      <c r="JK50" s="1005"/>
      <c r="JL50" s="1005"/>
      <c r="JM50" s="1005"/>
      <c r="JN50" s="1005"/>
      <c r="JO50" s="1005"/>
      <c r="JP50" s="1005"/>
      <c r="JQ50" s="1005"/>
      <c r="JR50" s="1005"/>
      <c r="JS50" s="1005"/>
      <c r="JT50" s="1005"/>
      <c r="JU50" s="1005"/>
      <c r="JV50" s="1005"/>
      <c r="JW50" s="1005"/>
      <c r="JX50" s="1005"/>
      <c r="JY50" s="1005"/>
      <c r="JZ50" s="1005"/>
      <c r="KA50" s="1005"/>
      <c r="KB50" s="1005"/>
      <c r="KC50" s="1005"/>
      <c r="KD50" s="1005"/>
      <c r="KE50" s="1005"/>
      <c r="KF50" s="1005"/>
      <c r="KG50" s="1005"/>
      <c r="KH50" s="1005"/>
      <c r="KI50" s="1005"/>
      <c r="KJ50" s="1005"/>
      <c r="KK50" s="1005"/>
      <c r="KL50" s="1005"/>
      <c r="KM50" s="1005"/>
      <c r="KN50" s="1005"/>
      <c r="KO50" s="1005"/>
      <c r="KP50" s="1005"/>
      <c r="KQ50" s="1005"/>
      <c r="KR50" s="1005"/>
      <c r="KS50" s="1005"/>
      <c r="KT50" s="1005"/>
      <c r="KU50" s="1005"/>
      <c r="KV50" s="1005"/>
      <c r="KW50" s="1005"/>
      <c r="KX50" s="1005"/>
      <c r="KY50" s="1005"/>
      <c r="KZ50" s="1005"/>
      <c r="LA50" s="1005"/>
      <c r="LB50" s="1005"/>
      <c r="LC50" s="1005"/>
      <c r="LD50" s="1005"/>
      <c r="LE50" s="1005"/>
      <c r="LF50" s="1005"/>
      <c r="LG50" s="1005"/>
      <c r="LH50" s="1005"/>
      <c r="LI50" s="1005"/>
      <c r="LJ50" s="1005"/>
      <c r="LK50" s="1005"/>
      <c r="LL50" s="1005"/>
      <c r="LM50" s="1005"/>
      <c r="LN50" s="1005"/>
      <c r="LO50" s="1005"/>
      <c r="LP50" s="1005"/>
      <c r="LQ50" s="1005"/>
      <c r="LR50" s="1005"/>
      <c r="LS50" s="1005"/>
      <c r="LT50" s="1005"/>
      <c r="LU50" s="1005"/>
      <c r="LV50" s="1005"/>
      <c r="LW50" s="1005"/>
      <c r="LX50" s="1005"/>
      <c r="LY50" s="1005"/>
      <c r="LZ50" s="1005"/>
      <c r="MA50" s="1005"/>
      <c r="MB50" s="1005"/>
      <c r="MC50" s="1005"/>
      <c r="MD50" s="1005"/>
      <c r="ME50" s="1005"/>
      <c r="MF50" s="1005"/>
      <c r="MG50" s="1005"/>
      <c r="MH50" s="1005"/>
      <c r="MI50" s="1005"/>
      <c r="MJ50" s="1005"/>
      <c r="MK50" s="1005"/>
      <c r="ML50" s="1005"/>
      <c r="MM50" s="1005"/>
      <c r="MN50" s="1005"/>
      <c r="MO50" s="1005"/>
      <c r="MP50" s="1005"/>
      <c r="MQ50" s="1005"/>
      <c r="MR50" s="1005"/>
      <c r="MS50" s="1005"/>
      <c r="MT50" s="1005"/>
      <c r="MU50" s="1005"/>
      <c r="MV50" s="1005"/>
      <c r="MW50" s="1005"/>
      <c r="MX50" s="1005"/>
      <c r="MY50" s="1005"/>
      <c r="MZ50" s="1005"/>
      <c r="NA50" s="1005"/>
      <c r="NB50" s="1005"/>
      <c r="NC50" s="1005"/>
      <c r="ND50" s="1005"/>
      <c r="NE50" s="1005"/>
      <c r="NF50" s="1005"/>
      <c r="NG50" s="1005"/>
      <c r="NH50" s="1005"/>
      <c r="NI50" s="1005"/>
      <c r="NJ50" s="1005"/>
      <c r="NK50" s="1005"/>
      <c r="NL50" s="1005"/>
      <c r="NM50" s="1005"/>
      <c r="NN50" s="1005"/>
      <c r="NO50" s="1005"/>
      <c r="NP50" s="1005"/>
      <c r="NQ50" s="1005"/>
      <c r="NR50" s="1005"/>
      <c r="NS50" s="1005"/>
      <c r="NT50" s="1005"/>
      <c r="NU50" s="1005"/>
      <c r="NV50" s="1005"/>
      <c r="NW50" s="1005"/>
      <c r="NX50" s="1005"/>
      <c r="NY50" s="1005"/>
      <c r="NZ50" s="1005"/>
      <c r="OA50" s="1005"/>
      <c r="OB50" s="1005"/>
      <c r="OC50" s="1005"/>
      <c r="OD50" s="1005"/>
      <c r="OE50" s="1005"/>
      <c r="OF50" s="1005"/>
      <c r="OG50" s="1005"/>
      <c r="OH50" s="1005"/>
      <c r="OI50" s="1005"/>
      <c r="OJ50" s="1005"/>
      <c r="OK50" s="1005"/>
      <c r="OL50" s="1005"/>
      <c r="OM50" s="1005"/>
      <c r="ON50" s="1005"/>
      <c r="OO50" s="1005"/>
      <c r="OP50" s="1005"/>
      <c r="OQ50" s="1005"/>
      <c r="OR50" s="1005"/>
      <c r="OS50" s="1005"/>
      <c r="OT50" s="1005"/>
      <c r="OU50" s="1005"/>
      <c r="OV50" s="1005"/>
      <c r="OW50" s="1005"/>
      <c r="OX50" s="1005"/>
      <c r="OY50" s="1005"/>
      <c r="OZ50" s="1005"/>
      <c r="PA50" s="1005"/>
      <c r="PB50" s="1005"/>
      <c r="PC50" s="1005"/>
      <c r="PD50" s="1005"/>
      <c r="PE50" s="1005"/>
      <c r="PF50" s="1005"/>
      <c r="PG50" s="1005"/>
      <c r="PH50" s="1005"/>
      <c r="PI50" s="1005"/>
      <c r="PJ50" s="1005"/>
      <c r="PK50" s="1005"/>
      <c r="PL50" s="1005"/>
      <c r="PM50" s="1005"/>
      <c r="PN50" s="1005"/>
      <c r="PO50" s="1005"/>
      <c r="PP50" s="1005"/>
      <c r="PQ50" s="1005"/>
      <c r="PR50" s="1005"/>
      <c r="PS50" s="1005"/>
      <c r="PT50" s="1005"/>
      <c r="PU50" s="1005"/>
      <c r="PV50" s="1005"/>
      <c r="PW50" s="1005"/>
      <c r="PX50" s="1005"/>
      <c r="PY50" s="1005"/>
      <c r="PZ50" s="1005"/>
      <c r="QA50" s="1005"/>
      <c r="QB50" s="1005"/>
      <c r="QC50" s="1005"/>
      <c r="QD50" s="1005"/>
      <c r="QE50" s="1005"/>
      <c r="QF50" s="1005"/>
      <c r="QG50" s="1005"/>
      <c r="QH50" s="1005"/>
      <c r="QI50" s="1005"/>
      <c r="QJ50" s="1005"/>
      <c r="QK50" s="1005"/>
      <c r="QL50" s="1005"/>
      <c r="QM50" s="1005"/>
      <c r="QN50" s="1005"/>
      <c r="QO50" s="1005"/>
      <c r="QP50" s="1005"/>
      <c r="QQ50" s="1005"/>
      <c r="QR50" s="1005"/>
      <c r="QS50" s="1005"/>
      <c r="QT50" s="1005"/>
      <c r="QU50" s="1005"/>
      <c r="QV50" s="1005"/>
      <c r="QW50" s="1005"/>
      <c r="QX50" s="1005"/>
      <c r="QY50" s="1005"/>
      <c r="QZ50" s="1005"/>
      <c r="RA50" s="1005"/>
      <c r="RB50" s="1005"/>
      <c r="RC50" s="1005"/>
      <c r="RD50" s="1005"/>
      <c r="RE50" s="1005"/>
      <c r="RF50" s="1005"/>
      <c r="RG50" s="1005"/>
      <c r="RH50" s="1005"/>
      <c r="RI50" s="1005"/>
      <c r="RJ50" s="1005"/>
      <c r="RK50" s="1005"/>
      <c r="RL50" s="1005"/>
      <c r="RM50" s="1005"/>
      <c r="RN50" s="1005"/>
      <c r="RO50" s="1005"/>
      <c r="RP50" s="1005"/>
      <c r="RQ50" s="1005"/>
      <c r="RR50" s="1005"/>
      <c r="RS50" s="1005"/>
      <c r="RT50" s="1005"/>
      <c r="RU50" s="1005"/>
      <c r="RV50" s="1005"/>
      <c r="RW50" s="1005"/>
      <c r="RX50" s="1005"/>
      <c r="RY50" s="1005"/>
      <c r="RZ50" s="1005"/>
      <c r="SA50" s="1005"/>
      <c r="SB50" s="1005"/>
      <c r="SC50" s="1005"/>
      <c r="SD50" s="1005"/>
      <c r="SE50" s="1005"/>
      <c r="SF50" s="1005"/>
      <c r="SG50" s="1005"/>
      <c r="SH50" s="1005"/>
      <c r="SI50" s="1005"/>
      <c r="SJ50" s="1005"/>
      <c r="SK50" s="1005"/>
      <c r="SL50" s="1005"/>
      <c r="SM50" s="1005"/>
      <c r="SN50" s="1005"/>
      <c r="SO50" s="1005"/>
      <c r="SP50" s="1005"/>
      <c r="SQ50" s="1005"/>
      <c r="SR50" s="1005"/>
      <c r="SS50" s="1005"/>
      <c r="ST50" s="1005"/>
      <c r="SU50" s="1005"/>
      <c r="SV50" s="1005"/>
      <c r="SW50" s="1005"/>
      <c r="SX50" s="1005"/>
      <c r="SY50" s="1005"/>
      <c r="SZ50" s="1005"/>
      <c r="TA50" s="1005"/>
      <c r="TB50" s="1005"/>
      <c r="TC50" s="1005"/>
      <c r="TD50" s="1005"/>
      <c r="TE50" s="1005"/>
      <c r="TF50" s="1005"/>
      <c r="TG50" s="1005"/>
      <c r="TH50" s="1005"/>
      <c r="TI50" s="1005"/>
      <c r="TJ50" s="1005"/>
      <c r="TK50" s="1005"/>
      <c r="TL50" s="1005"/>
      <c r="TM50" s="1005"/>
      <c r="TN50" s="1005"/>
      <c r="TO50" s="1005"/>
      <c r="TP50" s="1005"/>
      <c r="TQ50" s="1005"/>
      <c r="TR50" s="1005"/>
      <c r="TS50" s="1005"/>
      <c r="TT50" s="1005"/>
      <c r="TU50" s="1005"/>
      <c r="TV50" s="1005"/>
      <c r="TW50" s="1005"/>
      <c r="TX50" s="1005"/>
      <c r="TY50" s="1005"/>
      <c r="TZ50" s="1005"/>
      <c r="UA50" s="1005"/>
      <c r="UB50" s="1005"/>
      <c r="UC50" s="1005"/>
      <c r="UD50" s="1005"/>
      <c r="UE50" s="1005"/>
      <c r="UF50" s="1005"/>
      <c r="UG50" s="1005"/>
      <c r="UH50" s="1005"/>
      <c r="UI50" s="1005"/>
      <c r="UJ50" s="1005"/>
      <c r="UK50" s="1005"/>
      <c r="UL50" s="1005"/>
      <c r="UM50" s="1005"/>
      <c r="UN50" s="1005"/>
      <c r="UO50" s="1005"/>
      <c r="UP50" s="1005"/>
      <c r="UQ50" s="1005"/>
      <c r="UR50" s="1005"/>
      <c r="US50" s="1005"/>
      <c r="UT50" s="1005"/>
      <c r="UU50" s="1005"/>
      <c r="UV50" s="1005"/>
      <c r="UW50" s="1005"/>
      <c r="UX50" s="1005"/>
      <c r="UY50" s="1005"/>
      <c r="UZ50" s="1005"/>
      <c r="VA50" s="1005"/>
      <c r="VB50" s="1005"/>
      <c r="VC50" s="1005"/>
      <c r="VD50" s="1005"/>
      <c r="VE50" s="1005"/>
      <c r="VF50" s="1005"/>
      <c r="VG50" s="1005"/>
      <c r="VH50" s="1005"/>
      <c r="VI50" s="1005"/>
      <c r="VJ50" s="1005"/>
      <c r="VK50" s="1005"/>
      <c r="VL50" s="1005"/>
      <c r="VM50" s="1005"/>
      <c r="VN50" s="1005"/>
      <c r="VO50" s="1005"/>
      <c r="VP50" s="1005"/>
      <c r="VQ50" s="1005"/>
      <c r="VR50" s="1005"/>
      <c r="VS50" s="1005"/>
      <c r="VT50" s="1005"/>
      <c r="VU50" s="1005"/>
      <c r="VV50" s="1005"/>
      <c r="VW50" s="1005"/>
      <c r="VX50" s="1005"/>
      <c r="VY50" s="1005"/>
      <c r="VZ50" s="1005"/>
      <c r="WA50" s="1005"/>
      <c r="WB50" s="1005"/>
      <c r="WC50" s="1005"/>
      <c r="WD50" s="1005"/>
      <c r="WE50" s="1005"/>
      <c r="WF50" s="1005"/>
      <c r="WG50" s="1005"/>
      <c r="WH50" s="1005"/>
      <c r="WI50" s="1005"/>
      <c r="WJ50" s="1005"/>
      <c r="WK50" s="1005"/>
      <c r="WL50" s="1005"/>
      <c r="WM50" s="1005"/>
      <c r="WN50" s="1005"/>
      <c r="WO50" s="1005"/>
      <c r="WP50" s="1005"/>
      <c r="WQ50" s="1005"/>
      <c r="WR50" s="1005"/>
      <c r="WS50" s="1005"/>
      <c r="WT50" s="1005"/>
      <c r="WU50" s="1005"/>
      <c r="WV50" s="1005"/>
      <c r="WW50" s="1005"/>
      <c r="WX50" s="1005"/>
      <c r="WY50" s="1005"/>
      <c r="WZ50" s="1005"/>
      <c r="XA50" s="1005"/>
      <c r="XB50" s="1005"/>
      <c r="XC50" s="1005"/>
      <c r="XD50" s="1005"/>
      <c r="XE50" s="1005"/>
      <c r="XF50" s="1005"/>
      <c r="XG50" s="1005"/>
      <c r="XH50" s="1005"/>
      <c r="XI50" s="1005"/>
      <c r="XJ50" s="1005"/>
      <c r="XK50" s="1005"/>
      <c r="XL50" s="1005"/>
      <c r="XM50" s="1005"/>
      <c r="XN50" s="1005"/>
      <c r="XO50" s="1005"/>
      <c r="XP50" s="1005"/>
      <c r="XQ50" s="1005"/>
      <c r="XR50" s="1005"/>
      <c r="XS50" s="1005"/>
      <c r="XT50" s="1005"/>
      <c r="XU50" s="1005"/>
      <c r="XV50" s="1005"/>
      <c r="XW50" s="1005"/>
      <c r="XX50" s="1005"/>
      <c r="XY50" s="1005"/>
      <c r="XZ50" s="1005"/>
      <c r="YA50" s="1005"/>
      <c r="YB50" s="1005"/>
      <c r="YC50" s="1005"/>
      <c r="YD50" s="1005"/>
      <c r="YE50" s="1005"/>
      <c r="YF50" s="1005"/>
      <c r="YG50" s="1005"/>
      <c r="YH50" s="1005"/>
      <c r="YI50" s="1005"/>
      <c r="YJ50" s="1005"/>
      <c r="YK50" s="1005"/>
      <c r="YL50" s="1005"/>
      <c r="YM50" s="1005"/>
      <c r="YN50" s="1005"/>
      <c r="YO50" s="1005"/>
      <c r="YP50" s="1005"/>
      <c r="YQ50" s="1005"/>
      <c r="YR50" s="1005"/>
      <c r="YS50" s="1005"/>
      <c r="YT50" s="1005"/>
      <c r="YU50" s="1005"/>
      <c r="YV50" s="1005"/>
      <c r="YW50" s="1005"/>
      <c r="YX50" s="1005"/>
      <c r="YY50" s="1005"/>
      <c r="YZ50" s="1005"/>
      <c r="ZA50" s="1005"/>
      <c r="ZB50" s="1005"/>
      <c r="ZC50" s="1005"/>
      <c r="ZD50" s="1005"/>
      <c r="ZE50" s="1005"/>
      <c r="ZF50" s="1005"/>
      <c r="ZG50" s="1005"/>
      <c r="ZH50" s="1005"/>
      <c r="ZI50" s="1005"/>
      <c r="ZJ50" s="1005"/>
      <c r="ZK50" s="1005"/>
      <c r="ZL50" s="1005"/>
      <c r="ZM50" s="1005"/>
      <c r="ZN50" s="1005"/>
      <c r="ZO50" s="1005"/>
      <c r="ZP50" s="1005"/>
      <c r="ZQ50" s="1005"/>
      <c r="ZR50" s="1005"/>
      <c r="ZS50" s="1005"/>
      <c r="ZT50" s="1005"/>
      <c r="ZU50" s="1005"/>
      <c r="ZV50" s="1005"/>
      <c r="ZW50" s="1005"/>
      <c r="ZX50" s="1005"/>
      <c r="ZY50" s="1005"/>
      <c r="ZZ50" s="1005"/>
      <c r="AAA50" s="1005"/>
      <c r="AAB50" s="1005"/>
      <c r="AAC50" s="1005"/>
      <c r="AAD50" s="1005"/>
      <c r="AAE50" s="1005"/>
      <c r="AAF50" s="1005"/>
      <c r="AAG50" s="1005"/>
      <c r="AAH50" s="1005"/>
      <c r="AAI50" s="1005"/>
      <c r="AAJ50" s="1005"/>
      <c r="AAK50" s="1005"/>
      <c r="AAL50" s="1005"/>
      <c r="AAM50" s="1005"/>
      <c r="AAN50" s="1005"/>
      <c r="AAO50" s="1005"/>
      <c r="AAP50" s="1005"/>
      <c r="AAQ50" s="1005"/>
      <c r="AAR50" s="1005"/>
      <c r="AAS50" s="1005"/>
      <c r="AAT50" s="1005"/>
      <c r="AAU50" s="1005"/>
      <c r="AAV50" s="1005"/>
      <c r="AAW50" s="1005"/>
      <c r="AAX50" s="1005"/>
      <c r="AAY50" s="1005"/>
      <c r="AAZ50" s="1005"/>
      <c r="ABA50" s="1005"/>
      <c r="ABB50" s="1005"/>
      <c r="ABC50" s="1005"/>
      <c r="ABD50" s="1005"/>
      <c r="ABE50" s="1005"/>
      <c r="ABF50" s="1005"/>
      <c r="ABG50" s="1005"/>
      <c r="ABH50" s="1005"/>
      <c r="ABI50" s="1005"/>
      <c r="ABJ50" s="1005"/>
      <c r="ABK50" s="1005"/>
      <c r="ABL50" s="1005"/>
      <c r="ABM50" s="1005"/>
      <c r="ABN50" s="1005"/>
      <c r="ABO50" s="1005"/>
      <c r="ABP50" s="1005"/>
      <c r="ABQ50" s="1005"/>
      <c r="ABR50" s="1005"/>
    </row>
    <row r="51" spans="1:746" s="113" customFormat="1" ht="12.9" hidden="1" customHeight="1" thickBot="1">
      <c r="A51" s="2348"/>
      <c r="B51" s="2957" t="s">
        <v>1270</v>
      </c>
      <c r="C51" s="2958"/>
      <c r="D51" s="348"/>
      <c r="E51" s="347" t="s">
        <v>1</v>
      </c>
      <c r="F51" s="1240"/>
      <c r="G51" s="347">
        <v>0.25</v>
      </c>
      <c r="H51" s="2349"/>
      <c r="I51" s="2364"/>
      <c r="J51" s="809"/>
      <c r="K51" s="809"/>
      <c r="L51" s="809"/>
      <c r="M51" s="809"/>
      <c r="N51" s="809"/>
      <c r="O51" s="809"/>
      <c r="P51" s="809"/>
      <c r="Q51" s="809"/>
      <c r="R51" s="809"/>
      <c r="S51" s="809"/>
      <c r="T51" s="809"/>
      <c r="U51" s="2192"/>
      <c r="V51" s="2192"/>
      <c r="W51" s="2192"/>
      <c r="X51" s="2192"/>
      <c r="Y51" s="2192"/>
      <c r="Z51" s="2192"/>
      <c r="AA51" s="2192"/>
      <c r="AB51" s="2192"/>
      <c r="AC51" s="2192"/>
      <c r="AD51" s="2192"/>
      <c r="AE51" s="2192"/>
      <c r="AF51" s="2192"/>
      <c r="AG51" s="1042"/>
      <c r="AH51" s="333"/>
      <c r="AI51" s="333"/>
      <c r="AJ51" s="901">
        <f>IF(fx!$C$57=1,SUMIF(fx!I$57:T$57,1,I51:T51),IF(fx!$C$57=2,SUMIF(fx!O$57:AF$57,1,O51:AF51)))</f>
        <v>0</v>
      </c>
      <c r="AK51" s="419"/>
      <c r="AL51" s="902">
        <f>IF(fx!$C$57=1,SUM(U51:AF51),0)</f>
        <v>0</v>
      </c>
      <c r="AM51" s="1005"/>
      <c r="AN51" s="1011"/>
      <c r="AO51" s="1945"/>
      <c r="AP51" s="1935"/>
      <c r="AQ51" s="1936"/>
      <c r="AR51" s="1941"/>
      <c r="AS51" s="1941"/>
      <c r="AT51" s="1941"/>
      <c r="AU51" s="1941"/>
      <c r="AV51" s="1941"/>
      <c r="AW51" s="1941"/>
      <c r="AX51" s="1941"/>
      <c r="AY51" s="1941"/>
      <c r="AZ51" s="1941"/>
      <c r="BA51" s="1941"/>
      <c r="BB51" s="1941"/>
      <c r="BC51" s="1941"/>
      <c r="BD51" s="1941"/>
      <c r="BE51" s="1941"/>
      <c r="BF51" s="1941"/>
      <c r="BG51" s="1941"/>
      <c r="BH51" s="1941"/>
      <c r="BI51" s="1941"/>
      <c r="BJ51" s="1941"/>
      <c r="BK51" s="1941"/>
      <c r="BL51" s="1941"/>
      <c r="BM51" s="1941"/>
      <c r="BN51" s="1941"/>
      <c r="BO51" s="1941"/>
      <c r="BP51" s="1005"/>
      <c r="BQ51" s="1005"/>
      <c r="BR51" s="1005"/>
      <c r="BS51" s="1005"/>
      <c r="BT51" s="1005"/>
      <c r="BU51" s="1005"/>
      <c r="BV51" s="1005"/>
      <c r="BW51" s="1005"/>
      <c r="BX51" s="1005"/>
      <c r="BY51" s="1005"/>
      <c r="BZ51" s="1005"/>
      <c r="CA51" s="1005"/>
      <c r="CB51" s="1005"/>
      <c r="CC51" s="1005"/>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c r="EC51" s="1005"/>
      <c r="ED51" s="1005"/>
      <c r="EE51" s="1005"/>
      <c r="EF51" s="1005"/>
      <c r="EG51" s="1005"/>
      <c r="EH51" s="1005"/>
      <c r="EI51" s="1005"/>
      <c r="EJ51" s="1005"/>
      <c r="EK51" s="1005"/>
      <c r="EL51" s="1005"/>
      <c r="EM51" s="1005"/>
      <c r="EN51" s="1005"/>
      <c r="EO51" s="1005"/>
      <c r="EP51" s="1005"/>
      <c r="EQ51" s="1005"/>
      <c r="ER51" s="1005"/>
      <c r="ES51" s="1005"/>
      <c r="ET51" s="1005"/>
      <c r="EU51" s="1005"/>
      <c r="EV51" s="1005"/>
      <c r="EW51" s="1005"/>
      <c r="EX51" s="1005"/>
      <c r="EY51" s="1005"/>
      <c r="EZ51" s="1005"/>
      <c r="FA51" s="1005"/>
      <c r="FB51" s="1005"/>
      <c r="FC51" s="1005"/>
      <c r="FD51" s="1005"/>
      <c r="FE51" s="1005"/>
      <c r="FF51" s="1005"/>
      <c r="FG51" s="1005"/>
      <c r="FH51" s="1005"/>
      <c r="FI51" s="1005"/>
      <c r="FJ51" s="1005"/>
      <c r="FK51" s="1005"/>
      <c r="FL51" s="1005"/>
      <c r="FM51" s="1005"/>
      <c r="FN51" s="1005"/>
      <c r="FO51" s="1005"/>
      <c r="FP51" s="1005"/>
      <c r="FQ51" s="1005"/>
      <c r="FR51" s="1005"/>
      <c r="FS51" s="1005"/>
      <c r="FT51" s="1005"/>
      <c r="FU51" s="1005"/>
      <c r="FV51" s="1005"/>
      <c r="FW51" s="1005"/>
      <c r="FX51" s="1005"/>
      <c r="FY51" s="1005"/>
      <c r="FZ51" s="1005"/>
      <c r="GA51" s="1005"/>
      <c r="GB51" s="1005"/>
      <c r="GC51" s="1005"/>
      <c r="GD51" s="1005"/>
      <c r="GE51" s="1005"/>
      <c r="GF51" s="1005"/>
      <c r="GG51" s="1005"/>
      <c r="GH51" s="1005"/>
      <c r="GI51" s="1005"/>
      <c r="GJ51" s="1005"/>
      <c r="GK51" s="1005"/>
      <c r="GL51" s="1005"/>
      <c r="GM51" s="1005"/>
      <c r="GN51" s="1005"/>
      <c r="GO51" s="1005"/>
      <c r="GP51" s="1005"/>
      <c r="GQ51" s="1005"/>
      <c r="GR51" s="1005"/>
      <c r="GS51" s="1005"/>
      <c r="GT51" s="1005"/>
      <c r="GU51" s="1005"/>
      <c r="GV51" s="1005"/>
      <c r="GW51" s="1005"/>
      <c r="GX51" s="1005"/>
      <c r="GY51" s="1005"/>
      <c r="GZ51" s="1005"/>
      <c r="HA51" s="1005"/>
      <c r="HB51" s="1005"/>
      <c r="HC51" s="1005"/>
      <c r="HD51" s="1005"/>
      <c r="HE51" s="1005"/>
      <c r="HF51" s="1005"/>
      <c r="HG51" s="1005"/>
      <c r="HH51" s="1005"/>
      <c r="HI51" s="1005"/>
      <c r="HJ51" s="1005"/>
      <c r="HK51" s="1005"/>
      <c r="HL51" s="1005"/>
      <c r="HM51" s="1005"/>
      <c r="HN51" s="1005"/>
      <c r="HO51" s="1005"/>
      <c r="HP51" s="1005"/>
      <c r="HQ51" s="1005"/>
      <c r="HR51" s="1005"/>
      <c r="HS51" s="1005"/>
      <c r="HT51" s="1005"/>
      <c r="HU51" s="1005"/>
      <c r="HV51" s="1005"/>
      <c r="HW51" s="1005"/>
      <c r="HX51" s="1005"/>
      <c r="HY51" s="1005"/>
      <c r="HZ51" s="1005"/>
      <c r="IA51" s="1005"/>
      <c r="IB51" s="1005"/>
      <c r="IC51" s="1005"/>
      <c r="ID51" s="1005"/>
      <c r="IE51" s="1005"/>
      <c r="IF51" s="1005"/>
      <c r="IG51" s="1005"/>
      <c r="IH51" s="1005"/>
      <c r="II51" s="1005"/>
      <c r="IJ51" s="1005"/>
      <c r="IK51" s="1005"/>
      <c r="IL51" s="1005"/>
      <c r="IM51" s="1005"/>
      <c r="IN51" s="1005"/>
      <c r="IO51" s="1005"/>
      <c r="IP51" s="1005"/>
      <c r="IQ51" s="1005"/>
      <c r="IR51" s="1005"/>
      <c r="IS51" s="1005"/>
      <c r="IT51" s="1005"/>
      <c r="IU51" s="1005"/>
      <c r="IV51" s="1005"/>
      <c r="IW51" s="1005"/>
      <c r="IX51" s="1005"/>
      <c r="IY51" s="1005"/>
      <c r="IZ51" s="1005"/>
      <c r="JA51" s="1005"/>
      <c r="JB51" s="1005"/>
      <c r="JC51" s="1005"/>
      <c r="JD51" s="1005"/>
      <c r="JE51" s="1005"/>
      <c r="JF51" s="1005"/>
      <c r="JG51" s="1005"/>
      <c r="JH51" s="1005"/>
      <c r="JI51" s="1005"/>
      <c r="JJ51" s="1005"/>
      <c r="JK51" s="1005"/>
      <c r="JL51" s="1005"/>
      <c r="JM51" s="1005"/>
      <c r="JN51" s="1005"/>
      <c r="JO51" s="1005"/>
      <c r="JP51" s="1005"/>
      <c r="JQ51" s="1005"/>
      <c r="JR51" s="1005"/>
      <c r="JS51" s="1005"/>
      <c r="JT51" s="1005"/>
      <c r="JU51" s="1005"/>
      <c r="JV51" s="1005"/>
      <c r="JW51" s="1005"/>
      <c r="JX51" s="1005"/>
      <c r="JY51" s="1005"/>
      <c r="JZ51" s="1005"/>
      <c r="KA51" s="1005"/>
      <c r="KB51" s="1005"/>
      <c r="KC51" s="1005"/>
      <c r="KD51" s="1005"/>
      <c r="KE51" s="1005"/>
      <c r="KF51" s="1005"/>
      <c r="KG51" s="1005"/>
      <c r="KH51" s="1005"/>
      <c r="KI51" s="1005"/>
      <c r="KJ51" s="1005"/>
      <c r="KK51" s="1005"/>
      <c r="KL51" s="1005"/>
      <c r="KM51" s="1005"/>
      <c r="KN51" s="1005"/>
      <c r="KO51" s="1005"/>
      <c r="KP51" s="1005"/>
      <c r="KQ51" s="1005"/>
      <c r="KR51" s="1005"/>
      <c r="KS51" s="1005"/>
      <c r="KT51" s="1005"/>
      <c r="KU51" s="1005"/>
      <c r="KV51" s="1005"/>
      <c r="KW51" s="1005"/>
      <c r="KX51" s="1005"/>
      <c r="KY51" s="1005"/>
      <c r="KZ51" s="1005"/>
      <c r="LA51" s="1005"/>
      <c r="LB51" s="1005"/>
      <c r="LC51" s="1005"/>
      <c r="LD51" s="1005"/>
      <c r="LE51" s="1005"/>
      <c r="LF51" s="1005"/>
      <c r="LG51" s="1005"/>
      <c r="LH51" s="1005"/>
      <c r="LI51" s="1005"/>
      <c r="LJ51" s="1005"/>
      <c r="LK51" s="1005"/>
      <c r="LL51" s="1005"/>
      <c r="LM51" s="1005"/>
      <c r="LN51" s="1005"/>
      <c r="LO51" s="1005"/>
      <c r="LP51" s="1005"/>
      <c r="LQ51" s="1005"/>
      <c r="LR51" s="1005"/>
      <c r="LS51" s="1005"/>
      <c r="LT51" s="1005"/>
      <c r="LU51" s="1005"/>
      <c r="LV51" s="1005"/>
      <c r="LW51" s="1005"/>
      <c r="LX51" s="1005"/>
      <c r="LY51" s="1005"/>
      <c r="LZ51" s="1005"/>
      <c r="MA51" s="1005"/>
      <c r="MB51" s="1005"/>
      <c r="MC51" s="1005"/>
      <c r="MD51" s="1005"/>
      <c r="ME51" s="1005"/>
      <c r="MF51" s="1005"/>
      <c r="MG51" s="1005"/>
      <c r="MH51" s="1005"/>
      <c r="MI51" s="1005"/>
      <c r="MJ51" s="1005"/>
      <c r="MK51" s="1005"/>
      <c r="ML51" s="1005"/>
      <c r="MM51" s="1005"/>
      <c r="MN51" s="1005"/>
      <c r="MO51" s="1005"/>
      <c r="MP51" s="1005"/>
      <c r="MQ51" s="1005"/>
      <c r="MR51" s="1005"/>
      <c r="MS51" s="1005"/>
      <c r="MT51" s="1005"/>
      <c r="MU51" s="1005"/>
      <c r="MV51" s="1005"/>
      <c r="MW51" s="1005"/>
      <c r="MX51" s="1005"/>
      <c r="MY51" s="1005"/>
      <c r="MZ51" s="1005"/>
      <c r="NA51" s="1005"/>
      <c r="NB51" s="1005"/>
      <c r="NC51" s="1005"/>
      <c r="ND51" s="1005"/>
      <c r="NE51" s="1005"/>
      <c r="NF51" s="1005"/>
      <c r="NG51" s="1005"/>
      <c r="NH51" s="1005"/>
      <c r="NI51" s="1005"/>
      <c r="NJ51" s="1005"/>
      <c r="NK51" s="1005"/>
      <c r="NL51" s="1005"/>
      <c r="NM51" s="1005"/>
      <c r="NN51" s="1005"/>
      <c r="NO51" s="1005"/>
      <c r="NP51" s="1005"/>
      <c r="NQ51" s="1005"/>
      <c r="NR51" s="1005"/>
      <c r="NS51" s="1005"/>
      <c r="NT51" s="1005"/>
      <c r="NU51" s="1005"/>
      <c r="NV51" s="1005"/>
      <c r="NW51" s="1005"/>
      <c r="NX51" s="1005"/>
      <c r="NY51" s="1005"/>
      <c r="NZ51" s="1005"/>
      <c r="OA51" s="1005"/>
      <c r="OB51" s="1005"/>
      <c r="OC51" s="1005"/>
      <c r="OD51" s="1005"/>
      <c r="OE51" s="1005"/>
      <c r="OF51" s="1005"/>
      <c r="OG51" s="1005"/>
      <c r="OH51" s="1005"/>
      <c r="OI51" s="1005"/>
      <c r="OJ51" s="1005"/>
      <c r="OK51" s="1005"/>
      <c r="OL51" s="1005"/>
      <c r="OM51" s="1005"/>
      <c r="ON51" s="1005"/>
      <c r="OO51" s="1005"/>
      <c r="OP51" s="1005"/>
      <c r="OQ51" s="1005"/>
      <c r="OR51" s="1005"/>
      <c r="OS51" s="1005"/>
      <c r="OT51" s="1005"/>
      <c r="OU51" s="1005"/>
      <c r="OV51" s="1005"/>
      <c r="OW51" s="1005"/>
      <c r="OX51" s="1005"/>
      <c r="OY51" s="1005"/>
      <c r="OZ51" s="1005"/>
      <c r="PA51" s="1005"/>
      <c r="PB51" s="1005"/>
      <c r="PC51" s="1005"/>
      <c r="PD51" s="1005"/>
      <c r="PE51" s="1005"/>
      <c r="PF51" s="1005"/>
      <c r="PG51" s="1005"/>
      <c r="PH51" s="1005"/>
      <c r="PI51" s="1005"/>
      <c r="PJ51" s="1005"/>
      <c r="PK51" s="1005"/>
      <c r="PL51" s="1005"/>
      <c r="PM51" s="1005"/>
      <c r="PN51" s="1005"/>
      <c r="PO51" s="1005"/>
      <c r="PP51" s="1005"/>
      <c r="PQ51" s="1005"/>
      <c r="PR51" s="1005"/>
      <c r="PS51" s="1005"/>
      <c r="PT51" s="1005"/>
      <c r="PU51" s="1005"/>
      <c r="PV51" s="1005"/>
      <c r="PW51" s="1005"/>
      <c r="PX51" s="1005"/>
      <c r="PY51" s="1005"/>
      <c r="PZ51" s="1005"/>
      <c r="QA51" s="1005"/>
      <c r="QB51" s="1005"/>
      <c r="QC51" s="1005"/>
      <c r="QD51" s="1005"/>
      <c r="QE51" s="1005"/>
      <c r="QF51" s="1005"/>
      <c r="QG51" s="1005"/>
      <c r="QH51" s="1005"/>
      <c r="QI51" s="1005"/>
      <c r="QJ51" s="1005"/>
      <c r="QK51" s="1005"/>
      <c r="QL51" s="1005"/>
      <c r="QM51" s="1005"/>
      <c r="QN51" s="1005"/>
      <c r="QO51" s="1005"/>
      <c r="QP51" s="1005"/>
      <c r="QQ51" s="1005"/>
      <c r="QR51" s="1005"/>
      <c r="QS51" s="1005"/>
      <c r="QT51" s="1005"/>
      <c r="QU51" s="1005"/>
      <c r="QV51" s="1005"/>
      <c r="QW51" s="1005"/>
      <c r="QX51" s="1005"/>
      <c r="QY51" s="1005"/>
      <c r="QZ51" s="1005"/>
      <c r="RA51" s="1005"/>
      <c r="RB51" s="1005"/>
      <c r="RC51" s="1005"/>
      <c r="RD51" s="1005"/>
      <c r="RE51" s="1005"/>
      <c r="RF51" s="1005"/>
      <c r="RG51" s="1005"/>
      <c r="RH51" s="1005"/>
      <c r="RI51" s="1005"/>
      <c r="RJ51" s="1005"/>
      <c r="RK51" s="1005"/>
      <c r="RL51" s="1005"/>
      <c r="RM51" s="1005"/>
      <c r="RN51" s="1005"/>
      <c r="RO51" s="1005"/>
      <c r="RP51" s="1005"/>
      <c r="RQ51" s="1005"/>
      <c r="RR51" s="1005"/>
      <c r="RS51" s="1005"/>
      <c r="RT51" s="1005"/>
      <c r="RU51" s="1005"/>
      <c r="RV51" s="1005"/>
      <c r="RW51" s="1005"/>
      <c r="RX51" s="1005"/>
      <c r="RY51" s="1005"/>
      <c r="RZ51" s="1005"/>
      <c r="SA51" s="1005"/>
      <c r="SB51" s="1005"/>
      <c r="SC51" s="1005"/>
      <c r="SD51" s="1005"/>
      <c r="SE51" s="1005"/>
      <c r="SF51" s="1005"/>
      <c r="SG51" s="1005"/>
      <c r="SH51" s="1005"/>
      <c r="SI51" s="1005"/>
      <c r="SJ51" s="1005"/>
      <c r="SK51" s="1005"/>
      <c r="SL51" s="1005"/>
      <c r="SM51" s="1005"/>
      <c r="SN51" s="1005"/>
      <c r="SO51" s="1005"/>
      <c r="SP51" s="1005"/>
      <c r="SQ51" s="1005"/>
      <c r="SR51" s="1005"/>
      <c r="SS51" s="1005"/>
      <c r="ST51" s="1005"/>
      <c r="SU51" s="1005"/>
      <c r="SV51" s="1005"/>
      <c r="SW51" s="1005"/>
      <c r="SX51" s="1005"/>
      <c r="SY51" s="1005"/>
      <c r="SZ51" s="1005"/>
      <c r="TA51" s="1005"/>
      <c r="TB51" s="1005"/>
      <c r="TC51" s="1005"/>
      <c r="TD51" s="1005"/>
      <c r="TE51" s="1005"/>
      <c r="TF51" s="1005"/>
      <c r="TG51" s="1005"/>
      <c r="TH51" s="1005"/>
      <c r="TI51" s="1005"/>
      <c r="TJ51" s="1005"/>
      <c r="TK51" s="1005"/>
      <c r="TL51" s="1005"/>
      <c r="TM51" s="1005"/>
      <c r="TN51" s="1005"/>
      <c r="TO51" s="1005"/>
      <c r="TP51" s="1005"/>
      <c r="TQ51" s="1005"/>
      <c r="TR51" s="1005"/>
      <c r="TS51" s="1005"/>
      <c r="TT51" s="1005"/>
      <c r="TU51" s="1005"/>
      <c r="TV51" s="1005"/>
      <c r="TW51" s="1005"/>
      <c r="TX51" s="1005"/>
      <c r="TY51" s="1005"/>
      <c r="TZ51" s="1005"/>
      <c r="UA51" s="1005"/>
      <c r="UB51" s="1005"/>
      <c r="UC51" s="1005"/>
      <c r="UD51" s="1005"/>
      <c r="UE51" s="1005"/>
      <c r="UF51" s="1005"/>
      <c r="UG51" s="1005"/>
      <c r="UH51" s="1005"/>
      <c r="UI51" s="1005"/>
      <c r="UJ51" s="1005"/>
      <c r="UK51" s="1005"/>
      <c r="UL51" s="1005"/>
      <c r="UM51" s="1005"/>
      <c r="UN51" s="1005"/>
      <c r="UO51" s="1005"/>
      <c r="UP51" s="1005"/>
      <c r="UQ51" s="1005"/>
      <c r="UR51" s="1005"/>
      <c r="US51" s="1005"/>
      <c r="UT51" s="1005"/>
      <c r="UU51" s="1005"/>
      <c r="UV51" s="1005"/>
      <c r="UW51" s="1005"/>
      <c r="UX51" s="1005"/>
      <c r="UY51" s="1005"/>
      <c r="UZ51" s="1005"/>
      <c r="VA51" s="1005"/>
      <c r="VB51" s="1005"/>
      <c r="VC51" s="1005"/>
      <c r="VD51" s="1005"/>
      <c r="VE51" s="1005"/>
      <c r="VF51" s="1005"/>
      <c r="VG51" s="1005"/>
      <c r="VH51" s="1005"/>
      <c r="VI51" s="1005"/>
      <c r="VJ51" s="1005"/>
      <c r="VK51" s="1005"/>
      <c r="VL51" s="1005"/>
      <c r="VM51" s="1005"/>
      <c r="VN51" s="1005"/>
      <c r="VO51" s="1005"/>
      <c r="VP51" s="1005"/>
      <c r="VQ51" s="1005"/>
      <c r="VR51" s="1005"/>
      <c r="VS51" s="1005"/>
      <c r="VT51" s="1005"/>
      <c r="VU51" s="1005"/>
      <c r="VV51" s="1005"/>
      <c r="VW51" s="1005"/>
      <c r="VX51" s="1005"/>
      <c r="VY51" s="1005"/>
      <c r="VZ51" s="1005"/>
      <c r="WA51" s="1005"/>
      <c r="WB51" s="1005"/>
      <c r="WC51" s="1005"/>
      <c r="WD51" s="1005"/>
      <c r="WE51" s="1005"/>
      <c r="WF51" s="1005"/>
      <c r="WG51" s="1005"/>
      <c r="WH51" s="1005"/>
      <c r="WI51" s="1005"/>
      <c r="WJ51" s="1005"/>
      <c r="WK51" s="1005"/>
      <c r="WL51" s="1005"/>
      <c r="WM51" s="1005"/>
      <c r="WN51" s="1005"/>
      <c r="WO51" s="1005"/>
      <c r="WP51" s="1005"/>
      <c r="WQ51" s="1005"/>
      <c r="WR51" s="1005"/>
      <c r="WS51" s="1005"/>
      <c r="WT51" s="1005"/>
      <c r="WU51" s="1005"/>
      <c r="WV51" s="1005"/>
      <c r="WW51" s="1005"/>
      <c r="WX51" s="1005"/>
      <c r="WY51" s="1005"/>
      <c r="WZ51" s="1005"/>
      <c r="XA51" s="1005"/>
      <c r="XB51" s="1005"/>
      <c r="XC51" s="1005"/>
      <c r="XD51" s="1005"/>
      <c r="XE51" s="1005"/>
      <c r="XF51" s="1005"/>
      <c r="XG51" s="1005"/>
      <c r="XH51" s="1005"/>
      <c r="XI51" s="1005"/>
      <c r="XJ51" s="1005"/>
      <c r="XK51" s="1005"/>
      <c r="XL51" s="1005"/>
      <c r="XM51" s="1005"/>
      <c r="XN51" s="1005"/>
      <c r="XO51" s="1005"/>
      <c r="XP51" s="1005"/>
      <c r="XQ51" s="1005"/>
      <c r="XR51" s="1005"/>
      <c r="XS51" s="1005"/>
      <c r="XT51" s="1005"/>
      <c r="XU51" s="1005"/>
      <c r="XV51" s="1005"/>
      <c r="XW51" s="1005"/>
      <c r="XX51" s="1005"/>
      <c r="XY51" s="1005"/>
      <c r="XZ51" s="1005"/>
      <c r="YA51" s="1005"/>
      <c r="YB51" s="1005"/>
      <c r="YC51" s="1005"/>
      <c r="YD51" s="1005"/>
      <c r="YE51" s="1005"/>
      <c r="YF51" s="1005"/>
      <c r="YG51" s="1005"/>
      <c r="YH51" s="1005"/>
      <c r="YI51" s="1005"/>
      <c r="YJ51" s="1005"/>
      <c r="YK51" s="1005"/>
      <c r="YL51" s="1005"/>
      <c r="YM51" s="1005"/>
      <c r="YN51" s="1005"/>
      <c r="YO51" s="1005"/>
      <c r="YP51" s="1005"/>
      <c r="YQ51" s="1005"/>
      <c r="YR51" s="1005"/>
      <c r="YS51" s="1005"/>
      <c r="YT51" s="1005"/>
      <c r="YU51" s="1005"/>
      <c r="YV51" s="1005"/>
      <c r="YW51" s="1005"/>
      <c r="YX51" s="1005"/>
      <c r="YY51" s="1005"/>
      <c r="YZ51" s="1005"/>
      <c r="ZA51" s="1005"/>
      <c r="ZB51" s="1005"/>
      <c r="ZC51" s="1005"/>
      <c r="ZD51" s="1005"/>
      <c r="ZE51" s="1005"/>
      <c r="ZF51" s="1005"/>
      <c r="ZG51" s="1005"/>
      <c r="ZH51" s="1005"/>
      <c r="ZI51" s="1005"/>
      <c r="ZJ51" s="1005"/>
      <c r="ZK51" s="1005"/>
      <c r="ZL51" s="1005"/>
      <c r="ZM51" s="1005"/>
      <c r="ZN51" s="1005"/>
      <c r="ZO51" s="1005"/>
      <c r="ZP51" s="1005"/>
      <c r="ZQ51" s="1005"/>
      <c r="ZR51" s="1005"/>
      <c r="ZS51" s="1005"/>
      <c r="ZT51" s="1005"/>
      <c r="ZU51" s="1005"/>
      <c r="ZV51" s="1005"/>
      <c r="ZW51" s="1005"/>
      <c r="ZX51" s="1005"/>
      <c r="ZY51" s="1005"/>
      <c r="ZZ51" s="1005"/>
      <c r="AAA51" s="1005"/>
      <c r="AAB51" s="1005"/>
      <c r="AAC51" s="1005"/>
      <c r="AAD51" s="1005"/>
      <c r="AAE51" s="1005"/>
      <c r="AAF51" s="1005"/>
      <c r="AAG51" s="1005"/>
      <c r="AAH51" s="1005"/>
      <c r="AAI51" s="1005"/>
      <c r="AAJ51" s="1005"/>
      <c r="AAK51" s="1005"/>
      <c r="AAL51" s="1005"/>
      <c r="AAM51" s="1005"/>
      <c r="AAN51" s="1005"/>
      <c r="AAO51" s="1005"/>
      <c r="AAP51" s="1005"/>
      <c r="AAQ51" s="1005"/>
      <c r="AAR51" s="1005"/>
      <c r="AAS51" s="1005"/>
      <c r="AAT51" s="1005"/>
      <c r="AAU51" s="1005"/>
      <c r="AAV51" s="1005"/>
      <c r="AAW51" s="1005"/>
      <c r="AAX51" s="1005"/>
      <c r="AAY51" s="1005"/>
      <c r="AAZ51" s="1005"/>
      <c r="ABA51" s="1005"/>
      <c r="ABB51" s="1005"/>
      <c r="ABC51" s="1005"/>
      <c r="ABD51" s="1005"/>
      <c r="ABE51" s="1005"/>
      <c r="ABF51" s="1005"/>
      <c r="ABG51" s="1005"/>
      <c r="ABH51" s="1005"/>
      <c r="ABI51" s="1005"/>
      <c r="ABJ51" s="1005"/>
      <c r="ABK51" s="1005"/>
      <c r="ABL51" s="1005"/>
      <c r="ABM51" s="1005"/>
      <c r="ABN51" s="1005"/>
      <c r="ABO51" s="1005"/>
      <c r="ABP51" s="1005"/>
      <c r="ABQ51" s="1005"/>
      <c r="ABR51" s="1005"/>
    </row>
    <row r="52" spans="1:746" s="113" customFormat="1" ht="12.9" hidden="1" customHeight="1" thickBot="1">
      <c r="A52" s="2348"/>
      <c r="B52" s="2957" t="s">
        <v>1271</v>
      </c>
      <c r="C52" s="2958"/>
      <c r="D52" s="348"/>
      <c r="E52" s="347" t="s">
        <v>1</v>
      </c>
      <c r="F52" s="1240"/>
      <c r="G52" s="347">
        <v>0.25</v>
      </c>
      <c r="H52" s="2349"/>
      <c r="I52" s="2364"/>
      <c r="J52" s="809"/>
      <c r="K52" s="809"/>
      <c r="L52" s="809"/>
      <c r="M52" s="809"/>
      <c r="N52" s="809"/>
      <c r="O52" s="809"/>
      <c r="P52" s="809"/>
      <c r="Q52" s="809"/>
      <c r="R52" s="809"/>
      <c r="S52" s="809"/>
      <c r="T52" s="809"/>
      <c r="U52" s="2192"/>
      <c r="V52" s="2192"/>
      <c r="W52" s="2192"/>
      <c r="X52" s="2192"/>
      <c r="Y52" s="2192"/>
      <c r="Z52" s="2192"/>
      <c r="AA52" s="2192"/>
      <c r="AB52" s="2192"/>
      <c r="AC52" s="2192"/>
      <c r="AD52" s="2192"/>
      <c r="AE52" s="2192"/>
      <c r="AF52" s="2192"/>
      <c r="AG52" s="1042"/>
      <c r="AH52" s="333"/>
      <c r="AI52" s="333"/>
      <c r="AJ52" s="901">
        <f>IF(fx!$C$57=1,SUMIF(fx!I$57:T$57,1,I52:T52),IF(fx!$C$57=2,SUMIF(fx!O$57:AF$57,1,O52:AF52)))</f>
        <v>0</v>
      </c>
      <c r="AK52" s="419"/>
      <c r="AL52" s="902">
        <f>IF(fx!$C$57=1,SUM(U52:AF52),0)</f>
        <v>0</v>
      </c>
      <c r="AM52" s="1005"/>
      <c r="AN52" s="1011"/>
      <c r="AO52" s="1945"/>
      <c r="AP52" s="1935"/>
      <c r="AQ52" s="1936"/>
      <c r="AR52" s="1941"/>
      <c r="AS52" s="1941"/>
      <c r="AT52" s="1941"/>
      <c r="AU52" s="1941"/>
      <c r="AV52" s="1941"/>
      <c r="AW52" s="1941"/>
      <c r="AX52" s="1941"/>
      <c r="AY52" s="1941"/>
      <c r="AZ52" s="1941"/>
      <c r="BA52" s="1941"/>
      <c r="BB52" s="1941"/>
      <c r="BC52" s="1941"/>
      <c r="BD52" s="1941"/>
      <c r="BE52" s="1941"/>
      <c r="BF52" s="1941"/>
      <c r="BG52" s="1941"/>
      <c r="BH52" s="1941"/>
      <c r="BI52" s="1941"/>
      <c r="BJ52" s="1941"/>
      <c r="BK52" s="1941"/>
      <c r="BL52" s="1941"/>
      <c r="BM52" s="1941"/>
      <c r="BN52" s="1941"/>
      <c r="BO52" s="1941"/>
      <c r="BP52" s="1005"/>
      <c r="BQ52" s="1005"/>
      <c r="BR52" s="1005"/>
      <c r="BS52" s="1005"/>
      <c r="BT52" s="1005"/>
      <c r="BU52" s="1005"/>
      <c r="BV52" s="1005"/>
      <c r="BW52" s="1005"/>
      <c r="BX52" s="1005"/>
      <c r="BY52" s="1005"/>
      <c r="BZ52" s="1005"/>
      <c r="CA52" s="1005"/>
      <c r="CB52" s="1005"/>
      <c r="CC52" s="1005"/>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c r="EC52" s="1005"/>
      <c r="ED52" s="1005"/>
      <c r="EE52" s="1005"/>
      <c r="EF52" s="1005"/>
      <c r="EG52" s="1005"/>
      <c r="EH52" s="1005"/>
      <c r="EI52" s="1005"/>
      <c r="EJ52" s="1005"/>
      <c r="EK52" s="1005"/>
      <c r="EL52" s="1005"/>
      <c r="EM52" s="1005"/>
      <c r="EN52" s="1005"/>
      <c r="EO52" s="1005"/>
      <c r="EP52" s="1005"/>
      <c r="EQ52" s="1005"/>
      <c r="ER52" s="1005"/>
      <c r="ES52" s="1005"/>
      <c r="ET52" s="1005"/>
      <c r="EU52" s="1005"/>
      <c r="EV52" s="1005"/>
      <c r="EW52" s="1005"/>
      <c r="EX52" s="1005"/>
      <c r="EY52" s="1005"/>
      <c r="EZ52" s="1005"/>
      <c r="FA52" s="1005"/>
      <c r="FB52" s="1005"/>
      <c r="FC52" s="1005"/>
      <c r="FD52" s="1005"/>
      <c r="FE52" s="1005"/>
      <c r="FF52" s="1005"/>
      <c r="FG52" s="1005"/>
      <c r="FH52" s="1005"/>
      <c r="FI52" s="1005"/>
      <c r="FJ52" s="1005"/>
      <c r="FK52" s="1005"/>
      <c r="FL52" s="1005"/>
      <c r="FM52" s="1005"/>
      <c r="FN52" s="1005"/>
      <c r="FO52" s="1005"/>
      <c r="FP52" s="1005"/>
      <c r="FQ52" s="1005"/>
      <c r="FR52" s="1005"/>
      <c r="FS52" s="1005"/>
      <c r="FT52" s="1005"/>
      <c r="FU52" s="1005"/>
      <c r="FV52" s="1005"/>
      <c r="FW52" s="1005"/>
      <c r="FX52" s="1005"/>
      <c r="FY52" s="1005"/>
      <c r="FZ52" s="1005"/>
      <c r="GA52" s="1005"/>
      <c r="GB52" s="1005"/>
      <c r="GC52" s="1005"/>
      <c r="GD52" s="1005"/>
      <c r="GE52" s="1005"/>
      <c r="GF52" s="1005"/>
      <c r="GG52" s="1005"/>
      <c r="GH52" s="1005"/>
      <c r="GI52" s="1005"/>
      <c r="GJ52" s="1005"/>
      <c r="GK52" s="1005"/>
      <c r="GL52" s="1005"/>
      <c r="GM52" s="1005"/>
      <c r="GN52" s="1005"/>
      <c r="GO52" s="1005"/>
      <c r="GP52" s="1005"/>
      <c r="GQ52" s="1005"/>
      <c r="GR52" s="1005"/>
      <c r="GS52" s="1005"/>
      <c r="GT52" s="1005"/>
      <c r="GU52" s="1005"/>
      <c r="GV52" s="1005"/>
      <c r="GW52" s="1005"/>
      <c r="GX52" s="1005"/>
      <c r="GY52" s="1005"/>
      <c r="GZ52" s="1005"/>
      <c r="HA52" s="1005"/>
      <c r="HB52" s="1005"/>
      <c r="HC52" s="1005"/>
      <c r="HD52" s="1005"/>
      <c r="HE52" s="1005"/>
      <c r="HF52" s="1005"/>
      <c r="HG52" s="1005"/>
      <c r="HH52" s="1005"/>
      <c r="HI52" s="1005"/>
      <c r="HJ52" s="1005"/>
      <c r="HK52" s="1005"/>
      <c r="HL52" s="1005"/>
      <c r="HM52" s="1005"/>
      <c r="HN52" s="1005"/>
      <c r="HO52" s="1005"/>
      <c r="HP52" s="1005"/>
      <c r="HQ52" s="1005"/>
      <c r="HR52" s="1005"/>
      <c r="HS52" s="1005"/>
      <c r="HT52" s="1005"/>
      <c r="HU52" s="1005"/>
      <c r="HV52" s="1005"/>
      <c r="HW52" s="1005"/>
      <c r="HX52" s="1005"/>
      <c r="HY52" s="1005"/>
      <c r="HZ52" s="1005"/>
      <c r="IA52" s="1005"/>
      <c r="IB52" s="1005"/>
      <c r="IC52" s="1005"/>
      <c r="ID52" s="1005"/>
      <c r="IE52" s="1005"/>
      <c r="IF52" s="1005"/>
      <c r="IG52" s="1005"/>
      <c r="IH52" s="1005"/>
      <c r="II52" s="1005"/>
      <c r="IJ52" s="1005"/>
      <c r="IK52" s="1005"/>
      <c r="IL52" s="1005"/>
      <c r="IM52" s="1005"/>
      <c r="IN52" s="1005"/>
      <c r="IO52" s="1005"/>
      <c r="IP52" s="1005"/>
      <c r="IQ52" s="1005"/>
      <c r="IR52" s="1005"/>
      <c r="IS52" s="1005"/>
      <c r="IT52" s="1005"/>
      <c r="IU52" s="1005"/>
      <c r="IV52" s="1005"/>
      <c r="IW52" s="1005"/>
      <c r="IX52" s="1005"/>
      <c r="IY52" s="1005"/>
      <c r="IZ52" s="1005"/>
      <c r="JA52" s="1005"/>
      <c r="JB52" s="1005"/>
      <c r="JC52" s="1005"/>
      <c r="JD52" s="1005"/>
      <c r="JE52" s="1005"/>
      <c r="JF52" s="1005"/>
      <c r="JG52" s="1005"/>
      <c r="JH52" s="1005"/>
      <c r="JI52" s="1005"/>
      <c r="JJ52" s="1005"/>
      <c r="JK52" s="1005"/>
      <c r="JL52" s="1005"/>
      <c r="JM52" s="1005"/>
      <c r="JN52" s="1005"/>
      <c r="JO52" s="1005"/>
      <c r="JP52" s="1005"/>
      <c r="JQ52" s="1005"/>
      <c r="JR52" s="1005"/>
      <c r="JS52" s="1005"/>
      <c r="JT52" s="1005"/>
      <c r="JU52" s="1005"/>
      <c r="JV52" s="1005"/>
      <c r="JW52" s="1005"/>
      <c r="JX52" s="1005"/>
      <c r="JY52" s="1005"/>
      <c r="JZ52" s="1005"/>
      <c r="KA52" s="1005"/>
      <c r="KB52" s="1005"/>
      <c r="KC52" s="1005"/>
      <c r="KD52" s="1005"/>
      <c r="KE52" s="1005"/>
      <c r="KF52" s="1005"/>
      <c r="KG52" s="1005"/>
      <c r="KH52" s="1005"/>
      <c r="KI52" s="1005"/>
      <c r="KJ52" s="1005"/>
      <c r="KK52" s="1005"/>
      <c r="KL52" s="1005"/>
      <c r="KM52" s="1005"/>
      <c r="KN52" s="1005"/>
      <c r="KO52" s="1005"/>
      <c r="KP52" s="1005"/>
      <c r="KQ52" s="1005"/>
      <c r="KR52" s="1005"/>
      <c r="KS52" s="1005"/>
      <c r="KT52" s="1005"/>
      <c r="KU52" s="1005"/>
      <c r="KV52" s="1005"/>
      <c r="KW52" s="1005"/>
      <c r="KX52" s="1005"/>
      <c r="KY52" s="1005"/>
      <c r="KZ52" s="1005"/>
      <c r="LA52" s="1005"/>
      <c r="LB52" s="1005"/>
      <c r="LC52" s="1005"/>
      <c r="LD52" s="1005"/>
      <c r="LE52" s="1005"/>
      <c r="LF52" s="1005"/>
      <c r="LG52" s="1005"/>
      <c r="LH52" s="1005"/>
      <c r="LI52" s="1005"/>
      <c r="LJ52" s="1005"/>
      <c r="LK52" s="1005"/>
      <c r="LL52" s="1005"/>
      <c r="LM52" s="1005"/>
      <c r="LN52" s="1005"/>
      <c r="LO52" s="1005"/>
      <c r="LP52" s="1005"/>
      <c r="LQ52" s="1005"/>
      <c r="LR52" s="1005"/>
      <c r="LS52" s="1005"/>
      <c r="LT52" s="1005"/>
      <c r="LU52" s="1005"/>
      <c r="LV52" s="1005"/>
      <c r="LW52" s="1005"/>
      <c r="LX52" s="1005"/>
      <c r="LY52" s="1005"/>
      <c r="LZ52" s="1005"/>
      <c r="MA52" s="1005"/>
      <c r="MB52" s="1005"/>
      <c r="MC52" s="1005"/>
      <c r="MD52" s="1005"/>
      <c r="ME52" s="1005"/>
      <c r="MF52" s="1005"/>
      <c r="MG52" s="1005"/>
      <c r="MH52" s="1005"/>
      <c r="MI52" s="1005"/>
      <c r="MJ52" s="1005"/>
      <c r="MK52" s="1005"/>
      <c r="ML52" s="1005"/>
      <c r="MM52" s="1005"/>
      <c r="MN52" s="1005"/>
      <c r="MO52" s="1005"/>
      <c r="MP52" s="1005"/>
      <c r="MQ52" s="1005"/>
      <c r="MR52" s="1005"/>
      <c r="MS52" s="1005"/>
      <c r="MT52" s="1005"/>
      <c r="MU52" s="1005"/>
      <c r="MV52" s="1005"/>
      <c r="MW52" s="1005"/>
      <c r="MX52" s="1005"/>
      <c r="MY52" s="1005"/>
      <c r="MZ52" s="1005"/>
      <c r="NA52" s="1005"/>
      <c r="NB52" s="1005"/>
      <c r="NC52" s="1005"/>
      <c r="ND52" s="1005"/>
      <c r="NE52" s="1005"/>
      <c r="NF52" s="1005"/>
      <c r="NG52" s="1005"/>
      <c r="NH52" s="1005"/>
      <c r="NI52" s="1005"/>
      <c r="NJ52" s="1005"/>
      <c r="NK52" s="1005"/>
      <c r="NL52" s="1005"/>
      <c r="NM52" s="1005"/>
      <c r="NN52" s="1005"/>
      <c r="NO52" s="1005"/>
      <c r="NP52" s="1005"/>
      <c r="NQ52" s="1005"/>
      <c r="NR52" s="1005"/>
      <c r="NS52" s="1005"/>
      <c r="NT52" s="1005"/>
      <c r="NU52" s="1005"/>
      <c r="NV52" s="1005"/>
      <c r="NW52" s="1005"/>
      <c r="NX52" s="1005"/>
      <c r="NY52" s="1005"/>
      <c r="NZ52" s="1005"/>
      <c r="OA52" s="1005"/>
      <c r="OB52" s="1005"/>
      <c r="OC52" s="1005"/>
      <c r="OD52" s="1005"/>
      <c r="OE52" s="1005"/>
      <c r="OF52" s="1005"/>
      <c r="OG52" s="1005"/>
      <c r="OH52" s="1005"/>
      <c r="OI52" s="1005"/>
      <c r="OJ52" s="1005"/>
      <c r="OK52" s="1005"/>
      <c r="OL52" s="1005"/>
      <c r="OM52" s="1005"/>
      <c r="ON52" s="1005"/>
      <c r="OO52" s="1005"/>
      <c r="OP52" s="1005"/>
      <c r="OQ52" s="1005"/>
      <c r="OR52" s="1005"/>
      <c r="OS52" s="1005"/>
      <c r="OT52" s="1005"/>
      <c r="OU52" s="1005"/>
      <c r="OV52" s="1005"/>
      <c r="OW52" s="1005"/>
      <c r="OX52" s="1005"/>
      <c r="OY52" s="1005"/>
      <c r="OZ52" s="1005"/>
      <c r="PA52" s="1005"/>
      <c r="PB52" s="1005"/>
      <c r="PC52" s="1005"/>
      <c r="PD52" s="1005"/>
      <c r="PE52" s="1005"/>
      <c r="PF52" s="1005"/>
      <c r="PG52" s="1005"/>
      <c r="PH52" s="1005"/>
      <c r="PI52" s="1005"/>
      <c r="PJ52" s="1005"/>
      <c r="PK52" s="1005"/>
      <c r="PL52" s="1005"/>
      <c r="PM52" s="1005"/>
      <c r="PN52" s="1005"/>
      <c r="PO52" s="1005"/>
      <c r="PP52" s="1005"/>
      <c r="PQ52" s="1005"/>
      <c r="PR52" s="1005"/>
      <c r="PS52" s="1005"/>
      <c r="PT52" s="1005"/>
      <c r="PU52" s="1005"/>
      <c r="PV52" s="1005"/>
      <c r="PW52" s="1005"/>
      <c r="PX52" s="1005"/>
      <c r="PY52" s="1005"/>
      <c r="PZ52" s="1005"/>
      <c r="QA52" s="1005"/>
      <c r="QB52" s="1005"/>
      <c r="QC52" s="1005"/>
      <c r="QD52" s="1005"/>
      <c r="QE52" s="1005"/>
      <c r="QF52" s="1005"/>
      <c r="QG52" s="1005"/>
      <c r="QH52" s="1005"/>
      <c r="QI52" s="1005"/>
      <c r="QJ52" s="1005"/>
      <c r="QK52" s="1005"/>
      <c r="QL52" s="1005"/>
      <c r="QM52" s="1005"/>
      <c r="QN52" s="1005"/>
      <c r="QO52" s="1005"/>
      <c r="QP52" s="1005"/>
      <c r="QQ52" s="1005"/>
      <c r="QR52" s="1005"/>
      <c r="QS52" s="1005"/>
      <c r="QT52" s="1005"/>
      <c r="QU52" s="1005"/>
      <c r="QV52" s="1005"/>
      <c r="QW52" s="1005"/>
      <c r="QX52" s="1005"/>
      <c r="QY52" s="1005"/>
      <c r="QZ52" s="1005"/>
      <c r="RA52" s="1005"/>
      <c r="RB52" s="1005"/>
      <c r="RC52" s="1005"/>
      <c r="RD52" s="1005"/>
      <c r="RE52" s="1005"/>
      <c r="RF52" s="1005"/>
      <c r="RG52" s="1005"/>
      <c r="RH52" s="1005"/>
      <c r="RI52" s="1005"/>
      <c r="RJ52" s="1005"/>
      <c r="RK52" s="1005"/>
      <c r="RL52" s="1005"/>
      <c r="RM52" s="1005"/>
      <c r="RN52" s="1005"/>
      <c r="RO52" s="1005"/>
      <c r="RP52" s="1005"/>
      <c r="RQ52" s="1005"/>
      <c r="RR52" s="1005"/>
      <c r="RS52" s="1005"/>
      <c r="RT52" s="1005"/>
      <c r="RU52" s="1005"/>
      <c r="RV52" s="1005"/>
      <c r="RW52" s="1005"/>
      <c r="RX52" s="1005"/>
      <c r="RY52" s="1005"/>
      <c r="RZ52" s="1005"/>
      <c r="SA52" s="1005"/>
      <c r="SB52" s="1005"/>
      <c r="SC52" s="1005"/>
      <c r="SD52" s="1005"/>
      <c r="SE52" s="1005"/>
      <c r="SF52" s="1005"/>
      <c r="SG52" s="1005"/>
      <c r="SH52" s="1005"/>
      <c r="SI52" s="1005"/>
      <c r="SJ52" s="1005"/>
      <c r="SK52" s="1005"/>
      <c r="SL52" s="1005"/>
      <c r="SM52" s="1005"/>
      <c r="SN52" s="1005"/>
      <c r="SO52" s="1005"/>
      <c r="SP52" s="1005"/>
      <c r="SQ52" s="1005"/>
      <c r="SR52" s="1005"/>
      <c r="SS52" s="1005"/>
      <c r="ST52" s="1005"/>
      <c r="SU52" s="1005"/>
      <c r="SV52" s="1005"/>
      <c r="SW52" s="1005"/>
      <c r="SX52" s="1005"/>
      <c r="SY52" s="1005"/>
      <c r="SZ52" s="1005"/>
      <c r="TA52" s="1005"/>
      <c r="TB52" s="1005"/>
      <c r="TC52" s="1005"/>
      <c r="TD52" s="1005"/>
      <c r="TE52" s="1005"/>
      <c r="TF52" s="1005"/>
      <c r="TG52" s="1005"/>
      <c r="TH52" s="1005"/>
      <c r="TI52" s="1005"/>
      <c r="TJ52" s="1005"/>
      <c r="TK52" s="1005"/>
      <c r="TL52" s="1005"/>
      <c r="TM52" s="1005"/>
      <c r="TN52" s="1005"/>
      <c r="TO52" s="1005"/>
      <c r="TP52" s="1005"/>
      <c r="TQ52" s="1005"/>
      <c r="TR52" s="1005"/>
      <c r="TS52" s="1005"/>
      <c r="TT52" s="1005"/>
      <c r="TU52" s="1005"/>
      <c r="TV52" s="1005"/>
      <c r="TW52" s="1005"/>
      <c r="TX52" s="1005"/>
      <c r="TY52" s="1005"/>
      <c r="TZ52" s="1005"/>
      <c r="UA52" s="1005"/>
      <c r="UB52" s="1005"/>
      <c r="UC52" s="1005"/>
      <c r="UD52" s="1005"/>
      <c r="UE52" s="1005"/>
      <c r="UF52" s="1005"/>
      <c r="UG52" s="1005"/>
      <c r="UH52" s="1005"/>
      <c r="UI52" s="1005"/>
      <c r="UJ52" s="1005"/>
      <c r="UK52" s="1005"/>
      <c r="UL52" s="1005"/>
      <c r="UM52" s="1005"/>
      <c r="UN52" s="1005"/>
      <c r="UO52" s="1005"/>
      <c r="UP52" s="1005"/>
      <c r="UQ52" s="1005"/>
      <c r="UR52" s="1005"/>
      <c r="US52" s="1005"/>
      <c r="UT52" s="1005"/>
      <c r="UU52" s="1005"/>
      <c r="UV52" s="1005"/>
      <c r="UW52" s="1005"/>
      <c r="UX52" s="1005"/>
      <c r="UY52" s="1005"/>
      <c r="UZ52" s="1005"/>
      <c r="VA52" s="1005"/>
      <c r="VB52" s="1005"/>
      <c r="VC52" s="1005"/>
      <c r="VD52" s="1005"/>
      <c r="VE52" s="1005"/>
      <c r="VF52" s="1005"/>
      <c r="VG52" s="1005"/>
      <c r="VH52" s="1005"/>
      <c r="VI52" s="1005"/>
      <c r="VJ52" s="1005"/>
      <c r="VK52" s="1005"/>
      <c r="VL52" s="1005"/>
      <c r="VM52" s="1005"/>
      <c r="VN52" s="1005"/>
      <c r="VO52" s="1005"/>
      <c r="VP52" s="1005"/>
      <c r="VQ52" s="1005"/>
      <c r="VR52" s="1005"/>
      <c r="VS52" s="1005"/>
      <c r="VT52" s="1005"/>
      <c r="VU52" s="1005"/>
      <c r="VV52" s="1005"/>
      <c r="VW52" s="1005"/>
      <c r="VX52" s="1005"/>
      <c r="VY52" s="1005"/>
      <c r="VZ52" s="1005"/>
      <c r="WA52" s="1005"/>
      <c r="WB52" s="1005"/>
      <c r="WC52" s="1005"/>
      <c r="WD52" s="1005"/>
      <c r="WE52" s="1005"/>
      <c r="WF52" s="1005"/>
      <c r="WG52" s="1005"/>
      <c r="WH52" s="1005"/>
      <c r="WI52" s="1005"/>
      <c r="WJ52" s="1005"/>
      <c r="WK52" s="1005"/>
      <c r="WL52" s="1005"/>
      <c r="WM52" s="1005"/>
      <c r="WN52" s="1005"/>
      <c r="WO52" s="1005"/>
      <c r="WP52" s="1005"/>
      <c r="WQ52" s="1005"/>
      <c r="WR52" s="1005"/>
      <c r="WS52" s="1005"/>
      <c r="WT52" s="1005"/>
      <c r="WU52" s="1005"/>
      <c r="WV52" s="1005"/>
      <c r="WW52" s="1005"/>
      <c r="WX52" s="1005"/>
      <c r="WY52" s="1005"/>
      <c r="WZ52" s="1005"/>
      <c r="XA52" s="1005"/>
      <c r="XB52" s="1005"/>
      <c r="XC52" s="1005"/>
      <c r="XD52" s="1005"/>
      <c r="XE52" s="1005"/>
      <c r="XF52" s="1005"/>
      <c r="XG52" s="1005"/>
      <c r="XH52" s="1005"/>
      <c r="XI52" s="1005"/>
      <c r="XJ52" s="1005"/>
      <c r="XK52" s="1005"/>
      <c r="XL52" s="1005"/>
      <c r="XM52" s="1005"/>
      <c r="XN52" s="1005"/>
      <c r="XO52" s="1005"/>
      <c r="XP52" s="1005"/>
      <c r="XQ52" s="1005"/>
      <c r="XR52" s="1005"/>
      <c r="XS52" s="1005"/>
      <c r="XT52" s="1005"/>
      <c r="XU52" s="1005"/>
      <c r="XV52" s="1005"/>
      <c r="XW52" s="1005"/>
      <c r="XX52" s="1005"/>
      <c r="XY52" s="1005"/>
      <c r="XZ52" s="1005"/>
      <c r="YA52" s="1005"/>
      <c r="YB52" s="1005"/>
      <c r="YC52" s="1005"/>
      <c r="YD52" s="1005"/>
      <c r="YE52" s="1005"/>
      <c r="YF52" s="1005"/>
      <c r="YG52" s="1005"/>
      <c r="YH52" s="1005"/>
      <c r="YI52" s="1005"/>
      <c r="YJ52" s="1005"/>
      <c r="YK52" s="1005"/>
      <c r="YL52" s="1005"/>
      <c r="YM52" s="1005"/>
      <c r="YN52" s="1005"/>
      <c r="YO52" s="1005"/>
      <c r="YP52" s="1005"/>
      <c r="YQ52" s="1005"/>
      <c r="YR52" s="1005"/>
      <c r="YS52" s="1005"/>
      <c r="YT52" s="1005"/>
      <c r="YU52" s="1005"/>
      <c r="YV52" s="1005"/>
      <c r="YW52" s="1005"/>
      <c r="YX52" s="1005"/>
      <c r="YY52" s="1005"/>
      <c r="YZ52" s="1005"/>
      <c r="ZA52" s="1005"/>
      <c r="ZB52" s="1005"/>
      <c r="ZC52" s="1005"/>
      <c r="ZD52" s="1005"/>
      <c r="ZE52" s="1005"/>
      <c r="ZF52" s="1005"/>
      <c r="ZG52" s="1005"/>
      <c r="ZH52" s="1005"/>
      <c r="ZI52" s="1005"/>
      <c r="ZJ52" s="1005"/>
      <c r="ZK52" s="1005"/>
      <c r="ZL52" s="1005"/>
      <c r="ZM52" s="1005"/>
      <c r="ZN52" s="1005"/>
      <c r="ZO52" s="1005"/>
      <c r="ZP52" s="1005"/>
      <c r="ZQ52" s="1005"/>
      <c r="ZR52" s="1005"/>
      <c r="ZS52" s="1005"/>
      <c r="ZT52" s="1005"/>
      <c r="ZU52" s="1005"/>
      <c r="ZV52" s="1005"/>
      <c r="ZW52" s="1005"/>
      <c r="ZX52" s="1005"/>
      <c r="ZY52" s="1005"/>
      <c r="ZZ52" s="1005"/>
      <c r="AAA52" s="1005"/>
      <c r="AAB52" s="1005"/>
      <c r="AAC52" s="1005"/>
      <c r="AAD52" s="1005"/>
      <c r="AAE52" s="1005"/>
      <c r="AAF52" s="1005"/>
      <c r="AAG52" s="1005"/>
      <c r="AAH52" s="1005"/>
      <c r="AAI52" s="1005"/>
      <c r="AAJ52" s="1005"/>
      <c r="AAK52" s="1005"/>
      <c r="AAL52" s="1005"/>
      <c r="AAM52" s="1005"/>
      <c r="AAN52" s="1005"/>
      <c r="AAO52" s="1005"/>
      <c r="AAP52" s="1005"/>
      <c r="AAQ52" s="1005"/>
      <c r="AAR52" s="1005"/>
      <c r="AAS52" s="1005"/>
      <c r="AAT52" s="1005"/>
      <c r="AAU52" s="1005"/>
      <c r="AAV52" s="1005"/>
      <c r="AAW52" s="1005"/>
      <c r="AAX52" s="1005"/>
      <c r="AAY52" s="1005"/>
      <c r="AAZ52" s="1005"/>
      <c r="ABA52" s="1005"/>
      <c r="ABB52" s="1005"/>
      <c r="ABC52" s="1005"/>
      <c r="ABD52" s="1005"/>
      <c r="ABE52" s="1005"/>
      <c r="ABF52" s="1005"/>
      <c r="ABG52" s="1005"/>
      <c r="ABH52" s="1005"/>
      <c r="ABI52" s="1005"/>
      <c r="ABJ52" s="1005"/>
      <c r="ABK52" s="1005"/>
      <c r="ABL52" s="1005"/>
      <c r="ABM52" s="1005"/>
      <c r="ABN52" s="1005"/>
      <c r="ABO52" s="1005"/>
      <c r="ABP52" s="1005"/>
      <c r="ABQ52" s="1005"/>
      <c r="ABR52" s="1005"/>
    </row>
    <row r="53" spans="1:746" s="113" customFormat="1" ht="12.9" hidden="1" customHeight="1" thickBot="1">
      <c r="A53" s="2348"/>
      <c r="B53" s="2957" t="s">
        <v>1272</v>
      </c>
      <c r="C53" s="2958"/>
      <c r="D53" s="348"/>
      <c r="E53" s="347" t="s">
        <v>1</v>
      </c>
      <c r="F53" s="1240"/>
      <c r="G53" s="347">
        <v>0.25</v>
      </c>
      <c r="H53" s="2349"/>
      <c r="I53" s="2364"/>
      <c r="J53" s="809"/>
      <c r="K53" s="809"/>
      <c r="L53" s="809"/>
      <c r="M53" s="809"/>
      <c r="N53" s="809"/>
      <c r="O53" s="809"/>
      <c r="P53" s="809"/>
      <c r="Q53" s="809"/>
      <c r="R53" s="809"/>
      <c r="S53" s="809"/>
      <c r="T53" s="809"/>
      <c r="U53" s="2192"/>
      <c r="V53" s="2192"/>
      <c r="W53" s="2192"/>
      <c r="X53" s="2192"/>
      <c r="Y53" s="2192"/>
      <c r="Z53" s="2192"/>
      <c r="AA53" s="2192"/>
      <c r="AB53" s="2192"/>
      <c r="AC53" s="2192"/>
      <c r="AD53" s="2192"/>
      <c r="AE53" s="2192"/>
      <c r="AF53" s="2192"/>
      <c r="AG53" s="1042"/>
      <c r="AH53" s="333"/>
      <c r="AI53" s="333"/>
      <c r="AJ53" s="901">
        <f>IF(fx!$C$57=1,SUMIF(fx!I$57:T$57,1,I53:T53),IF(fx!$C$57=2,SUMIF(fx!O$57:AF$57,1,O53:AF53)))</f>
        <v>0</v>
      </c>
      <c r="AK53" s="419"/>
      <c r="AL53" s="902">
        <f>IF(fx!$C$57=1,SUM(U53:AF53),0)</f>
        <v>0</v>
      </c>
      <c r="AM53" s="1005"/>
      <c r="AN53" s="1011"/>
      <c r="AO53" s="1945"/>
      <c r="AP53" s="1935"/>
      <c r="AQ53" s="1936"/>
      <c r="AR53" s="1941"/>
      <c r="AS53" s="1941"/>
      <c r="AT53" s="1941"/>
      <c r="AU53" s="1941"/>
      <c r="AV53" s="1941"/>
      <c r="AW53" s="1941"/>
      <c r="AX53" s="1941"/>
      <c r="AY53" s="1941"/>
      <c r="AZ53" s="1941"/>
      <c r="BA53" s="1941"/>
      <c r="BB53" s="1941"/>
      <c r="BC53" s="1941"/>
      <c r="BD53" s="1941"/>
      <c r="BE53" s="1941"/>
      <c r="BF53" s="1941"/>
      <c r="BG53" s="1941"/>
      <c r="BH53" s="1941"/>
      <c r="BI53" s="1941"/>
      <c r="BJ53" s="1941"/>
      <c r="BK53" s="1941"/>
      <c r="BL53" s="1941"/>
      <c r="BM53" s="1941"/>
      <c r="BN53" s="1941"/>
      <c r="BO53" s="1941"/>
      <c r="BP53" s="1005"/>
      <c r="BQ53" s="1005"/>
      <c r="BR53" s="1005"/>
      <c r="BS53" s="1005"/>
      <c r="BT53" s="1005"/>
      <c r="BU53" s="1005"/>
      <c r="BV53" s="1005"/>
      <c r="BW53" s="1005"/>
      <c r="BX53" s="1005"/>
      <c r="BY53" s="1005"/>
      <c r="BZ53" s="1005"/>
      <c r="CA53" s="1005"/>
      <c r="CB53" s="1005"/>
      <c r="CC53" s="1005"/>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c r="EC53" s="1005"/>
      <c r="ED53" s="1005"/>
      <c r="EE53" s="1005"/>
      <c r="EF53" s="1005"/>
      <c r="EG53" s="1005"/>
      <c r="EH53" s="1005"/>
      <c r="EI53" s="1005"/>
      <c r="EJ53" s="1005"/>
      <c r="EK53" s="1005"/>
      <c r="EL53" s="1005"/>
      <c r="EM53" s="1005"/>
      <c r="EN53" s="1005"/>
      <c r="EO53" s="1005"/>
      <c r="EP53" s="1005"/>
      <c r="EQ53" s="1005"/>
      <c r="ER53" s="1005"/>
      <c r="ES53" s="1005"/>
      <c r="ET53" s="1005"/>
      <c r="EU53" s="1005"/>
      <c r="EV53" s="1005"/>
      <c r="EW53" s="1005"/>
      <c r="EX53" s="1005"/>
      <c r="EY53" s="1005"/>
      <c r="EZ53" s="1005"/>
      <c r="FA53" s="1005"/>
      <c r="FB53" s="1005"/>
      <c r="FC53" s="1005"/>
      <c r="FD53" s="1005"/>
      <c r="FE53" s="1005"/>
      <c r="FF53" s="1005"/>
      <c r="FG53" s="1005"/>
      <c r="FH53" s="1005"/>
      <c r="FI53" s="1005"/>
      <c r="FJ53" s="1005"/>
      <c r="FK53" s="1005"/>
      <c r="FL53" s="1005"/>
      <c r="FM53" s="1005"/>
      <c r="FN53" s="1005"/>
      <c r="FO53" s="1005"/>
      <c r="FP53" s="1005"/>
      <c r="FQ53" s="1005"/>
      <c r="FR53" s="1005"/>
      <c r="FS53" s="1005"/>
      <c r="FT53" s="1005"/>
      <c r="FU53" s="1005"/>
      <c r="FV53" s="1005"/>
      <c r="FW53" s="1005"/>
      <c r="FX53" s="1005"/>
      <c r="FY53" s="1005"/>
      <c r="FZ53" s="1005"/>
      <c r="GA53" s="1005"/>
      <c r="GB53" s="1005"/>
      <c r="GC53" s="1005"/>
      <c r="GD53" s="1005"/>
      <c r="GE53" s="1005"/>
      <c r="GF53" s="1005"/>
      <c r="GG53" s="1005"/>
      <c r="GH53" s="1005"/>
      <c r="GI53" s="1005"/>
      <c r="GJ53" s="1005"/>
      <c r="GK53" s="1005"/>
      <c r="GL53" s="1005"/>
      <c r="GM53" s="1005"/>
      <c r="GN53" s="1005"/>
      <c r="GO53" s="1005"/>
      <c r="GP53" s="1005"/>
      <c r="GQ53" s="1005"/>
      <c r="GR53" s="1005"/>
      <c r="GS53" s="1005"/>
      <c r="GT53" s="1005"/>
      <c r="GU53" s="1005"/>
      <c r="GV53" s="1005"/>
      <c r="GW53" s="1005"/>
      <c r="GX53" s="1005"/>
      <c r="GY53" s="1005"/>
      <c r="GZ53" s="1005"/>
      <c r="HA53" s="1005"/>
      <c r="HB53" s="1005"/>
      <c r="HC53" s="1005"/>
      <c r="HD53" s="1005"/>
      <c r="HE53" s="1005"/>
      <c r="HF53" s="1005"/>
      <c r="HG53" s="1005"/>
      <c r="HH53" s="1005"/>
      <c r="HI53" s="1005"/>
      <c r="HJ53" s="1005"/>
      <c r="HK53" s="1005"/>
      <c r="HL53" s="1005"/>
      <c r="HM53" s="1005"/>
      <c r="HN53" s="1005"/>
      <c r="HO53" s="1005"/>
      <c r="HP53" s="1005"/>
      <c r="HQ53" s="1005"/>
      <c r="HR53" s="1005"/>
      <c r="HS53" s="1005"/>
      <c r="HT53" s="1005"/>
      <c r="HU53" s="1005"/>
      <c r="HV53" s="1005"/>
      <c r="HW53" s="1005"/>
      <c r="HX53" s="1005"/>
      <c r="HY53" s="1005"/>
      <c r="HZ53" s="1005"/>
      <c r="IA53" s="1005"/>
      <c r="IB53" s="1005"/>
      <c r="IC53" s="1005"/>
      <c r="ID53" s="1005"/>
      <c r="IE53" s="1005"/>
      <c r="IF53" s="1005"/>
      <c r="IG53" s="1005"/>
      <c r="IH53" s="1005"/>
      <c r="II53" s="1005"/>
      <c r="IJ53" s="1005"/>
      <c r="IK53" s="1005"/>
      <c r="IL53" s="1005"/>
      <c r="IM53" s="1005"/>
      <c r="IN53" s="1005"/>
      <c r="IO53" s="1005"/>
      <c r="IP53" s="1005"/>
      <c r="IQ53" s="1005"/>
      <c r="IR53" s="1005"/>
      <c r="IS53" s="1005"/>
      <c r="IT53" s="1005"/>
      <c r="IU53" s="1005"/>
      <c r="IV53" s="1005"/>
      <c r="IW53" s="1005"/>
      <c r="IX53" s="1005"/>
      <c r="IY53" s="1005"/>
      <c r="IZ53" s="1005"/>
      <c r="JA53" s="1005"/>
      <c r="JB53" s="1005"/>
      <c r="JC53" s="1005"/>
      <c r="JD53" s="1005"/>
      <c r="JE53" s="1005"/>
      <c r="JF53" s="1005"/>
      <c r="JG53" s="1005"/>
      <c r="JH53" s="1005"/>
      <c r="JI53" s="1005"/>
      <c r="JJ53" s="1005"/>
      <c r="JK53" s="1005"/>
      <c r="JL53" s="1005"/>
      <c r="JM53" s="1005"/>
      <c r="JN53" s="1005"/>
      <c r="JO53" s="1005"/>
      <c r="JP53" s="1005"/>
      <c r="JQ53" s="1005"/>
      <c r="JR53" s="1005"/>
      <c r="JS53" s="1005"/>
      <c r="JT53" s="1005"/>
      <c r="JU53" s="1005"/>
      <c r="JV53" s="1005"/>
      <c r="JW53" s="1005"/>
      <c r="JX53" s="1005"/>
      <c r="JY53" s="1005"/>
      <c r="JZ53" s="1005"/>
      <c r="KA53" s="1005"/>
      <c r="KB53" s="1005"/>
      <c r="KC53" s="1005"/>
      <c r="KD53" s="1005"/>
      <c r="KE53" s="1005"/>
      <c r="KF53" s="1005"/>
      <c r="KG53" s="1005"/>
      <c r="KH53" s="1005"/>
      <c r="KI53" s="1005"/>
      <c r="KJ53" s="1005"/>
      <c r="KK53" s="1005"/>
      <c r="KL53" s="1005"/>
      <c r="KM53" s="1005"/>
      <c r="KN53" s="1005"/>
      <c r="KO53" s="1005"/>
      <c r="KP53" s="1005"/>
      <c r="KQ53" s="1005"/>
      <c r="KR53" s="1005"/>
      <c r="KS53" s="1005"/>
      <c r="KT53" s="1005"/>
      <c r="KU53" s="1005"/>
      <c r="KV53" s="1005"/>
      <c r="KW53" s="1005"/>
      <c r="KX53" s="1005"/>
      <c r="KY53" s="1005"/>
      <c r="KZ53" s="1005"/>
      <c r="LA53" s="1005"/>
      <c r="LB53" s="1005"/>
      <c r="LC53" s="1005"/>
      <c r="LD53" s="1005"/>
      <c r="LE53" s="1005"/>
      <c r="LF53" s="1005"/>
      <c r="LG53" s="1005"/>
      <c r="LH53" s="1005"/>
      <c r="LI53" s="1005"/>
      <c r="LJ53" s="1005"/>
      <c r="LK53" s="1005"/>
      <c r="LL53" s="1005"/>
      <c r="LM53" s="1005"/>
      <c r="LN53" s="1005"/>
      <c r="LO53" s="1005"/>
      <c r="LP53" s="1005"/>
      <c r="LQ53" s="1005"/>
      <c r="LR53" s="1005"/>
      <c r="LS53" s="1005"/>
      <c r="LT53" s="1005"/>
      <c r="LU53" s="1005"/>
      <c r="LV53" s="1005"/>
      <c r="LW53" s="1005"/>
      <c r="LX53" s="1005"/>
      <c r="LY53" s="1005"/>
      <c r="LZ53" s="1005"/>
      <c r="MA53" s="1005"/>
      <c r="MB53" s="1005"/>
      <c r="MC53" s="1005"/>
      <c r="MD53" s="1005"/>
      <c r="ME53" s="1005"/>
      <c r="MF53" s="1005"/>
      <c r="MG53" s="1005"/>
      <c r="MH53" s="1005"/>
      <c r="MI53" s="1005"/>
      <c r="MJ53" s="1005"/>
      <c r="MK53" s="1005"/>
      <c r="ML53" s="1005"/>
      <c r="MM53" s="1005"/>
      <c r="MN53" s="1005"/>
      <c r="MO53" s="1005"/>
      <c r="MP53" s="1005"/>
      <c r="MQ53" s="1005"/>
      <c r="MR53" s="1005"/>
      <c r="MS53" s="1005"/>
      <c r="MT53" s="1005"/>
      <c r="MU53" s="1005"/>
      <c r="MV53" s="1005"/>
      <c r="MW53" s="1005"/>
      <c r="MX53" s="1005"/>
      <c r="MY53" s="1005"/>
      <c r="MZ53" s="1005"/>
      <c r="NA53" s="1005"/>
      <c r="NB53" s="1005"/>
      <c r="NC53" s="1005"/>
      <c r="ND53" s="1005"/>
      <c r="NE53" s="1005"/>
      <c r="NF53" s="1005"/>
      <c r="NG53" s="1005"/>
      <c r="NH53" s="1005"/>
      <c r="NI53" s="1005"/>
      <c r="NJ53" s="1005"/>
      <c r="NK53" s="1005"/>
      <c r="NL53" s="1005"/>
      <c r="NM53" s="1005"/>
      <c r="NN53" s="1005"/>
      <c r="NO53" s="1005"/>
      <c r="NP53" s="1005"/>
      <c r="NQ53" s="1005"/>
      <c r="NR53" s="1005"/>
      <c r="NS53" s="1005"/>
      <c r="NT53" s="1005"/>
      <c r="NU53" s="1005"/>
      <c r="NV53" s="1005"/>
      <c r="NW53" s="1005"/>
      <c r="NX53" s="1005"/>
      <c r="NY53" s="1005"/>
      <c r="NZ53" s="1005"/>
      <c r="OA53" s="1005"/>
      <c r="OB53" s="1005"/>
      <c r="OC53" s="1005"/>
      <c r="OD53" s="1005"/>
      <c r="OE53" s="1005"/>
      <c r="OF53" s="1005"/>
      <c r="OG53" s="1005"/>
      <c r="OH53" s="1005"/>
      <c r="OI53" s="1005"/>
      <c r="OJ53" s="1005"/>
      <c r="OK53" s="1005"/>
      <c r="OL53" s="1005"/>
      <c r="OM53" s="1005"/>
      <c r="ON53" s="1005"/>
      <c r="OO53" s="1005"/>
      <c r="OP53" s="1005"/>
      <c r="OQ53" s="1005"/>
      <c r="OR53" s="1005"/>
      <c r="OS53" s="1005"/>
      <c r="OT53" s="1005"/>
      <c r="OU53" s="1005"/>
      <c r="OV53" s="1005"/>
      <c r="OW53" s="1005"/>
      <c r="OX53" s="1005"/>
      <c r="OY53" s="1005"/>
      <c r="OZ53" s="1005"/>
      <c r="PA53" s="1005"/>
      <c r="PB53" s="1005"/>
      <c r="PC53" s="1005"/>
      <c r="PD53" s="1005"/>
      <c r="PE53" s="1005"/>
      <c r="PF53" s="1005"/>
      <c r="PG53" s="1005"/>
      <c r="PH53" s="1005"/>
      <c r="PI53" s="1005"/>
      <c r="PJ53" s="1005"/>
      <c r="PK53" s="1005"/>
      <c r="PL53" s="1005"/>
      <c r="PM53" s="1005"/>
      <c r="PN53" s="1005"/>
      <c r="PO53" s="1005"/>
      <c r="PP53" s="1005"/>
      <c r="PQ53" s="1005"/>
      <c r="PR53" s="1005"/>
      <c r="PS53" s="1005"/>
      <c r="PT53" s="1005"/>
      <c r="PU53" s="1005"/>
      <c r="PV53" s="1005"/>
      <c r="PW53" s="1005"/>
      <c r="PX53" s="1005"/>
      <c r="PY53" s="1005"/>
      <c r="PZ53" s="1005"/>
      <c r="QA53" s="1005"/>
      <c r="QB53" s="1005"/>
      <c r="QC53" s="1005"/>
      <c r="QD53" s="1005"/>
      <c r="QE53" s="1005"/>
      <c r="QF53" s="1005"/>
      <c r="QG53" s="1005"/>
      <c r="QH53" s="1005"/>
      <c r="QI53" s="1005"/>
      <c r="QJ53" s="1005"/>
      <c r="QK53" s="1005"/>
      <c r="QL53" s="1005"/>
      <c r="QM53" s="1005"/>
      <c r="QN53" s="1005"/>
      <c r="QO53" s="1005"/>
      <c r="QP53" s="1005"/>
      <c r="QQ53" s="1005"/>
      <c r="QR53" s="1005"/>
      <c r="QS53" s="1005"/>
      <c r="QT53" s="1005"/>
      <c r="QU53" s="1005"/>
      <c r="QV53" s="1005"/>
      <c r="QW53" s="1005"/>
      <c r="QX53" s="1005"/>
      <c r="QY53" s="1005"/>
      <c r="QZ53" s="1005"/>
      <c r="RA53" s="1005"/>
      <c r="RB53" s="1005"/>
      <c r="RC53" s="1005"/>
      <c r="RD53" s="1005"/>
      <c r="RE53" s="1005"/>
      <c r="RF53" s="1005"/>
      <c r="RG53" s="1005"/>
      <c r="RH53" s="1005"/>
      <c r="RI53" s="1005"/>
      <c r="RJ53" s="1005"/>
      <c r="RK53" s="1005"/>
      <c r="RL53" s="1005"/>
      <c r="RM53" s="1005"/>
      <c r="RN53" s="1005"/>
      <c r="RO53" s="1005"/>
      <c r="RP53" s="1005"/>
      <c r="RQ53" s="1005"/>
      <c r="RR53" s="1005"/>
      <c r="RS53" s="1005"/>
      <c r="RT53" s="1005"/>
      <c r="RU53" s="1005"/>
      <c r="RV53" s="1005"/>
      <c r="RW53" s="1005"/>
      <c r="RX53" s="1005"/>
      <c r="RY53" s="1005"/>
      <c r="RZ53" s="1005"/>
      <c r="SA53" s="1005"/>
      <c r="SB53" s="1005"/>
      <c r="SC53" s="1005"/>
      <c r="SD53" s="1005"/>
      <c r="SE53" s="1005"/>
      <c r="SF53" s="1005"/>
      <c r="SG53" s="1005"/>
      <c r="SH53" s="1005"/>
      <c r="SI53" s="1005"/>
      <c r="SJ53" s="1005"/>
      <c r="SK53" s="1005"/>
      <c r="SL53" s="1005"/>
      <c r="SM53" s="1005"/>
      <c r="SN53" s="1005"/>
      <c r="SO53" s="1005"/>
      <c r="SP53" s="1005"/>
      <c r="SQ53" s="1005"/>
      <c r="SR53" s="1005"/>
      <c r="SS53" s="1005"/>
      <c r="ST53" s="1005"/>
      <c r="SU53" s="1005"/>
      <c r="SV53" s="1005"/>
      <c r="SW53" s="1005"/>
      <c r="SX53" s="1005"/>
      <c r="SY53" s="1005"/>
      <c r="SZ53" s="1005"/>
      <c r="TA53" s="1005"/>
      <c r="TB53" s="1005"/>
      <c r="TC53" s="1005"/>
      <c r="TD53" s="1005"/>
      <c r="TE53" s="1005"/>
      <c r="TF53" s="1005"/>
      <c r="TG53" s="1005"/>
      <c r="TH53" s="1005"/>
      <c r="TI53" s="1005"/>
      <c r="TJ53" s="1005"/>
      <c r="TK53" s="1005"/>
      <c r="TL53" s="1005"/>
      <c r="TM53" s="1005"/>
      <c r="TN53" s="1005"/>
      <c r="TO53" s="1005"/>
      <c r="TP53" s="1005"/>
      <c r="TQ53" s="1005"/>
      <c r="TR53" s="1005"/>
      <c r="TS53" s="1005"/>
      <c r="TT53" s="1005"/>
      <c r="TU53" s="1005"/>
      <c r="TV53" s="1005"/>
      <c r="TW53" s="1005"/>
      <c r="TX53" s="1005"/>
      <c r="TY53" s="1005"/>
      <c r="TZ53" s="1005"/>
      <c r="UA53" s="1005"/>
      <c r="UB53" s="1005"/>
      <c r="UC53" s="1005"/>
      <c r="UD53" s="1005"/>
      <c r="UE53" s="1005"/>
      <c r="UF53" s="1005"/>
      <c r="UG53" s="1005"/>
      <c r="UH53" s="1005"/>
      <c r="UI53" s="1005"/>
      <c r="UJ53" s="1005"/>
      <c r="UK53" s="1005"/>
      <c r="UL53" s="1005"/>
      <c r="UM53" s="1005"/>
      <c r="UN53" s="1005"/>
      <c r="UO53" s="1005"/>
      <c r="UP53" s="1005"/>
      <c r="UQ53" s="1005"/>
      <c r="UR53" s="1005"/>
      <c r="US53" s="1005"/>
      <c r="UT53" s="1005"/>
      <c r="UU53" s="1005"/>
      <c r="UV53" s="1005"/>
      <c r="UW53" s="1005"/>
      <c r="UX53" s="1005"/>
      <c r="UY53" s="1005"/>
      <c r="UZ53" s="1005"/>
      <c r="VA53" s="1005"/>
      <c r="VB53" s="1005"/>
      <c r="VC53" s="1005"/>
      <c r="VD53" s="1005"/>
      <c r="VE53" s="1005"/>
      <c r="VF53" s="1005"/>
      <c r="VG53" s="1005"/>
      <c r="VH53" s="1005"/>
      <c r="VI53" s="1005"/>
      <c r="VJ53" s="1005"/>
      <c r="VK53" s="1005"/>
      <c r="VL53" s="1005"/>
      <c r="VM53" s="1005"/>
      <c r="VN53" s="1005"/>
      <c r="VO53" s="1005"/>
      <c r="VP53" s="1005"/>
      <c r="VQ53" s="1005"/>
      <c r="VR53" s="1005"/>
      <c r="VS53" s="1005"/>
      <c r="VT53" s="1005"/>
      <c r="VU53" s="1005"/>
      <c r="VV53" s="1005"/>
      <c r="VW53" s="1005"/>
      <c r="VX53" s="1005"/>
      <c r="VY53" s="1005"/>
      <c r="VZ53" s="1005"/>
      <c r="WA53" s="1005"/>
      <c r="WB53" s="1005"/>
      <c r="WC53" s="1005"/>
      <c r="WD53" s="1005"/>
      <c r="WE53" s="1005"/>
      <c r="WF53" s="1005"/>
      <c r="WG53" s="1005"/>
      <c r="WH53" s="1005"/>
      <c r="WI53" s="1005"/>
      <c r="WJ53" s="1005"/>
      <c r="WK53" s="1005"/>
      <c r="WL53" s="1005"/>
      <c r="WM53" s="1005"/>
      <c r="WN53" s="1005"/>
      <c r="WO53" s="1005"/>
      <c r="WP53" s="1005"/>
      <c r="WQ53" s="1005"/>
      <c r="WR53" s="1005"/>
      <c r="WS53" s="1005"/>
      <c r="WT53" s="1005"/>
      <c r="WU53" s="1005"/>
      <c r="WV53" s="1005"/>
      <c r="WW53" s="1005"/>
      <c r="WX53" s="1005"/>
      <c r="WY53" s="1005"/>
      <c r="WZ53" s="1005"/>
      <c r="XA53" s="1005"/>
      <c r="XB53" s="1005"/>
      <c r="XC53" s="1005"/>
      <c r="XD53" s="1005"/>
      <c r="XE53" s="1005"/>
      <c r="XF53" s="1005"/>
      <c r="XG53" s="1005"/>
      <c r="XH53" s="1005"/>
      <c r="XI53" s="1005"/>
      <c r="XJ53" s="1005"/>
      <c r="XK53" s="1005"/>
      <c r="XL53" s="1005"/>
      <c r="XM53" s="1005"/>
      <c r="XN53" s="1005"/>
      <c r="XO53" s="1005"/>
      <c r="XP53" s="1005"/>
      <c r="XQ53" s="1005"/>
      <c r="XR53" s="1005"/>
      <c r="XS53" s="1005"/>
      <c r="XT53" s="1005"/>
      <c r="XU53" s="1005"/>
      <c r="XV53" s="1005"/>
      <c r="XW53" s="1005"/>
      <c r="XX53" s="1005"/>
      <c r="XY53" s="1005"/>
      <c r="XZ53" s="1005"/>
      <c r="YA53" s="1005"/>
      <c r="YB53" s="1005"/>
      <c r="YC53" s="1005"/>
      <c r="YD53" s="1005"/>
      <c r="YE53" s="1005"/>
      <c r="YF53" s="1005"/>
      <c r="YG53" s="1005"/>
      <c r="YH53" s="1005"/>
      <c r="YI53" s="1005"/>
      <c r="YJ53" s="1005"/>
      <c r="YK53" s="1005"/>
      <c r="YL53" s="1005"/>
      <c r="YM53" s="1005"/>
      <c r="YN53" s="1005"/>
      <c r="YO53" s="1005"/>
      <c r="YP53" s="1005"/>
      <c r="YQ53" s="1005"/>
      <c r="YR53" s="1005"/>
      <c r="YS53" s="1005"/>
      <c r="YT53" s="1005"/>
      <c r="YU53" s="1005"/>
      <c r="YV53" s="1005"/>
      <c r="YW53" s="1005"/>
      <c r="YX53" s="1005"/>
      <c r="YY53" s="1005"/>
      <c r="YZ53" s="1005"/>
      <c r="ZA53" s="1005"/>
      <c r="ZB53" s="1005"/>
      <c r="ZC53" s="1005"/>
      <c r="ZD53" s="1005"/>
      <c r="ZE53" s="1005"/>
      <c r="ZF53" s="1005"/>
      <c r="ZG53" s="1005"/>
      <c r="ZH53" s="1005"/>
      <c r="ZI53" s="1005"/>
      <c r="ZJ53" s="1005"/>
      <c r="ZK53" s="1005"/>
      <c r="ZL53" s="1005"/>
      <c r="ZM53" s="1005"/>
      <c r="ZN53" s="1005"/>
      <c r="ZO53" s="1005"/>
      <c r="ZP53" s="1005"/>
      <c r="ZQ53" s="1005"/>
      <c r="ZR53" s="1005"/>
      <c r="ZS53" s="1005"/>
      <c r="ZT53" s="1005"/>
      <c r="ZU53" s="1005"/>
      <c r="ZV53" s="1005"/>
      <c r="ZW53" s="1005"/>
      <c r="ZX53" s="1005"/>
      <c r="ZY53" s="1005"/>
      <c r="ZZ53" s="1005"/>
      <c r="AAA53" s="1005"/>
      <c r="AAB53" s="1005"/>
      <c r="AAC53" s="1005"/>
      <c r="AAD53" s="1005"/>
      <c r="AAE53" s="1005"/>
      <c r="AAF53" s="1005"/>
      <c r="AAG53" s="1005"/>
      <c r="AAH53" s="1005"/>
      <c r="AAI53" s="1005"/>
      <c r="AAJ53" s="1005"/>
      <c r="AAK53" s="1005"/>
      <c r="AAL53" s="1005"/>
      <c r="AAM53" s="1005"/>
      <c r="AAN53" s="1005"/>
      <c r="AAO53" s="1005"/>
      <c r="AAP53" s="1005"/>
      <c r="AAQ53" s="1005"/>
      <c r="AAR53" s="1005"/>
      <c r="AAS53" s="1005"/>
      <c r="AAT53" s="1005"/>
      <c r="AAU53" s="1005"/>
      <c r="AAV53" s="1005"/>
      <c r="AAW53" s="1005"/>
      <c r="AAX53" s="1005"/>
      <c r="AAY53" s="1005"/>
      <c r="AAZ53" s="1005"/>
      <c r="ABA53" s="1005"/>
      <c r="ABB53" s="1005"/>
      <c r="ABC53" s="1005"/>
      <c r="ABD53" s="1005"/>
      <c r="ABE53" s="1005"/>
      <c r="ABF53" s="1005"/>
      <c r="ABG53" s="1005"/>
      <c r="ABH53" s="1005"/>
      <c r="ABI53" s="1005"/>
      <c r="ABJ53" s="1005"/>
      <c r="ABK53" s="1005"/>
      <c r="ABL53" s="1005"/>
      <c r="ABM53" s="1005"/>
      <c r="ABN53" s="1005"/>
      <c r="ABO53" s="1005"/>
      <c r="ABP53" s="1005"/>
      <c r="ABQ53" s="1005"/>
      <c r="ABR53" s="1005"/>
    </row>
    <row r="54" spans="1:746" s="113" customFormat="1" ht="12.9" hidden="1" customHeight="1" thickBot="1">
      <c r="A54" s="2348"/>
      <c r="B54" s="2957" t="s">
        <v>1273</v>
      </c>
      <c r="C54" s="2958"/>
      <c r="D54" s="348"/>
      <c r="E54" s="347" t="s">
        <v>1</v>
      </c>
      <c r="F54" s="1240"/>
      <c r="G54" s="347">
        <v>0.25</v>
      </c>
      <c r="H54" s="2349"/>
      <c r="I54" s="2364"/>
      <c r="J54" s="809"/>
      <c r="K54" s="809"/>
      <c r="L54" s="809"/>
      <c r="M54" s="809"/>
      <c r="N54" s="809"/>
      <c r="O54" s="809"/>
      <c r="P54" s="809"/>
      <c r="Q54" s="809"/>
      <c r="R54" s="809"/>
      <c r="S54" s="809"/>
      <c r="T54" s="809"/>
      <c r="U54" s="2192"/>
      <c r="V54" s="2192"/>
      <c r="W54" s="2192"/>
      <c r="X54" s="2192"/>
      <c r="Y54" s="2192"/>
      <c r="Z54" s="2192"/>
      <c r="AA54" s="2192"/>
      <c r="AB54" s="2192"/>
      <c r="AC54" s="2192"/>
      <c r="AD54" s="2192"/>
      <c r="AE54" s="2192"/>
      <c r="AF54" s="2192"/>
      <c r="AG54" s="1042"/>
      <c r="AH54" s="333"/>
      <c r="AI54" s="333"/>
      <c r="AJ54" s="901">
        <f>IF(fx!$C$57=1,SUMIF(fx!I$57:T$57,1,I54:T54),IF(fx!$C$57=2,SUMIF(fx!O$57:AF$57,1,O54:AF54)))</f>
        <v>0</v>
      </c>
      <c r="AK54" s="419"/>
      <c r="AL54" s="902">
        <f>IF(fx!$C$57=1,SUM(U54:AF54),0)</f>
        <v>0</v>
      </c>
      <c r="AM54" s="1005"/>
      <c r="AN54" s="1011"/>
      <c r="AO54" s="1945"/>
      <c r="AP54" s="1935"/>
      <c r="AQ54" s="1936"/>
      <c r="AR54" s="1941"/>
      <c r="AS54" s="1941"/>
      <c r="AT54" s="1941"/>
      <c r="AU54" s="1941"/>
      <c r="AV54" s="1941"/>
      <c r="AW54" s="1941"/>
      <c r="AX54" s="1941"/>
      <c r="AY54" s="1941"/>
      <c r="AZ54" s="1941"/>
      <c r="BA54" s="1941"/>
      <c r="BB54" s="1941"/>
      <c r="BC54" s="1941"/>
      <c r="BD54" s="1941"/>
      <c r="BE54" s="1941"/>
      <c r="BF54" s="1941"/>
      <c r="BG54" s="1941"/>
      <c r="BH54" s="1941"/>
      <c r="BI54" s="1941"/>
      <c r="BJ54" s="1941"/>
      <c r="BK54" s="1941"/>
      <c r="BL54" s="1941"/>
      <c r="BM54" s="1941"/>
      <c r="BN54" s="1941"/>
      <c r="BO54" s="1941"/>
      <c r="BP54" s="1005"/>
      <c r="BQ54" s="1005"/>
      <c r="BR54" s="1005"/>
      <c r="BS54" s="1005"/>
      <c r="BT54" s="1005"/>
      <c r="BU54" s="1005"/>
      <c r="BV54" s="1005"/>
      <c r="BW54" s="1005"/>
      <c r="BX54" s="1005"/>
      <c r="BY54" s="1005"/>
      <c r="BZ54" s="1005"/>
      <c r="CA54" s="1005"/>
      <c r="CB54" s="1005"/>
      <c r="CC54" s="1005"/>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c r="EC54" s="1005"/>
      <c r="ED54" s="1005"/>
      <c r="EE54" s="1005"/>
      <c r="EF54" s="1005"/>
      <c r="EG54" s="1005"/>
      <c r="EH54" s="1005"/>
      <c r="EI54" s="1005"/>
      <c r="EJ54" s="1005"/>
      <c r="EK54" s="1005"/>
      <c r="EL54" s="1005"/>
      <c r="EM54" s="1005"/>
      <c r="EN54" s="1005"/>
      <c r="EO54" s="1005"/>
      <c r="EP54" s="1005"/>
      <c r="EQ54" s="1005"/>
      <c r="ER54" s="1005"/>
      <c r="ES54" s="1005"/>
      <c r="ET54" s="1005"/>
      <c r="EU54" s="1005"/>
      <c r="EV54" s="1005"/>
      <c r="EW54" s="1005"/>
      <c r="EX54" s="1005"/>
      <c r="EY54" s="1005"/>
      <c r="EZ54" s="1005"/>
      <c r="FA54" s="1005"/>
      <c r="FB54" s="1005"/>
      <c r="FC54" s="1005"/>
      <c r="FD54" s="1005"/>
      <c r="FE54" s="1005"/>
      <c r="FF54" s="1005"/>
      <c r="FG54" s="1005"/>
      <c r="FH54" s="1005"/>
      <c r="FI54" s="1005"/>
      <c r="FJ54" s="1005"/>
      <c r="FK54" s="1005"/>
      <c r="FL54" s="1005"/>
      <c r="FM54" s="1005"/>
      <c r="FN54" s="1005"/>
      <c r="FO54" s="1005"/>
      <c r="FP54" s="1005"/>
      <c r="FQ54" s="1005"/>
      <c r="FR54" s="1005"/>
      <c r="FS54" s="1005"/>
      <c r="FT54" s="1005"/>
      <c r="FU54" s="1005"/>
      <c r="FV54" s="1005"/>
      <c r="FW54" s="1005"/>
      <c r="FX54" s="1005"/>
      <c r="FY54" s="1005"/>
      <c r="FZ54" s="1005"/>
      <c r="GA54" s="1005"/>
      <c r="GB54" s="1005"/>
      <c r="GC54" s="1005"/>
      <c r="GD54" s="1005"/>
      <c r="GE54" s="1005"/>
      <c r="GF54" s="1005"/>
      <c r="GG54" s="1005"/>
      <c r="GH54" s="1005"/>
      <c r="GI54" s="1005"/>
      <c r="GJ54" s="1005"/>
      <c r="GK54" s="1005"/>
      <c r="GL54" s="1005"/>
      <c r="GM54" s="1005"/>
      <c r="GN54" s="1005"/>
      <c r="GO54" s="1005"/>
      <c r="GP54" s="1005"/>
      <c r="GQ54" s="1005"/>
      <c r="GR54" s="1005"/>
      <c r="GS54" s="1005"/>
      <c r="GT54" s="1005"/>
      <c r="GU54" s="1005"/>
      <c r="GV54" s="1005"/>
      <c r="GW54" s="1005"/>
      <c r="GX54" s="1005"/>
      <c r="GY54" s="1005"/>
      <c r="GZ54" s="1005"/>
      <c r="HA54" s="1005"/>
      <c r="HB54" s="1005"/>
      <c r="HC54" s="1005"/>
      <c r="HD54" s="1005"/>
      <c r="HE54" s="1005"/>
      <c r="HF54" s="1005"/>
      <c r="HG54" s="1005"/>
      <c r="HH54" s="1005"/>
      <c r="HI54" s="1005"/>
      <c r="HJ54" s="1005"/>
      <c r="HK54" s="1005"/>
      <c r="HL54" s="1005"/>
      <c r="HM54" s="1005"/>
      <c r="HN54" s="1005"/>
      <c r="HO54" s="1005"/>
      <c r="HP54" s="1005"/>
      <c r="HQ54" s="1005"/>
      <c r="HR54" s="1005"/>
      <c r="HS54" s="1005"/>
      <c r="HT54" s="1005"/>
      <c r="HU54" s="1005"/>
      <c r="HV54" s="1005"/>
      <c r="HW54" s="1005"/>
      <c r="HX54" s="1005"/>
      <c r="HY54" s="1005"/>
      <c r="HZ54" s="1005"/>
      <c r="IA54" s="1005"/>
      <c r="IB54" s="1005"/>
      <c r="IC54" s="1005"/>
      <c r="ID54" s="1005"/>
      <c r="IE54" s="1005"/>
      <c r="IF54" s="1005"/>
      <c r="IG54" s="1005"/>
      <c r="IH54" s="1005"/>
      <c r="II54" s="1005"/>
      <c r="IJ54" s="1005"/>
      <c r="IK54" s="1005"/>
      <c r="IL54" s="1005"/>
      <c r="IM54" s="1005"/>
      <c r="IN54" s="1005"/>
      <c r="IO54" s="1005"/>
      <c r="IP54" s="1005"/>
      <c r="IQ54" s="1005"/>
      <c r="IR54" s="1005"/>
      <c r="IS54" s="1005"/>
      <c r="IT54" s="1005"/>
      <c r="IU54" s="1005"/>
      <c r="IV54" s="1005"/>
      <c r="IW54" s="1005"/>
      <c r="IX54" s="1005"/>
      <c r="IY54" s="1005"/>
      <c r="IZ54" s="1005"/>
      <c r="JA54" s="1005"/>
      <c r="JB54" s="1005"/>
      <c r="JC54" s="1005"/>
      <c r="JD54" s="1005"/>
      <c r="JE54" s="1005"/>
      <c r="JF54" s="1005"/>
      <c r="JG54" s="1005"/>
      <c r="JH54" s="1005"/>
      <c r="JI54" s="1005"/>
      <c r="JJ54" s="1005"/>
      <c r="JK54" s="1005"/>
      <c r="JL54" s="1005"/>
      <c r="JM54" s="1005"/>
      <c r="JN54" s="1005"/>
      <c r="JO54" s="1005"/>
      <c r="JP54" s="1005"/>
      <c r="JQ54" s="1005"/>
      <c r="JR54" s="1005"/>
      <c r="JS54" s="1005"/>
      <c r="JT54" s="1005"/>
      <c r="JU54" s="1005"/>
      <c r="JV54" s="1005"/>
      <c r="JW54" s="1005"/>
      <c r="JX54" s="1005"/>
      <c r="JY54" s="1005"/>
      <c r="JZ54" s="1005"/>
      <c r="KA54" s="1005"/>
      <c r="KB54" s="1005"/>
      <c r="KC54" s="1005"/>
      <c r="KD54" s="1005"/>
      <c r="KE54" s="1005"/>
      <c r="KF54" s="1005"/>
      <c r="KG54" s="1005"/>
      <c r="KH54" s="1005"/>
      <c r="KI54" s="1005"/>
      <c r="KJ54" s="1005"/>
      <c r="KK54" s="1005"/>
      <c r="KL54" s="1005"/>
      <c r="KM54" s="1005"/>
      <c r="KN54" s="1005"/>
      <c r="KO54" s="1005"/>
      <c r="KP54" s="1005"/>
      <c r="KQ54" s="1005"/>
      <c r="KR54" s="1005"/>
      <c r="KS54" s="1005"/>
      <c r="KT54" s="1005"/>
      <c r="KU54" s="1005"/>
      <c r="KV54" s="1005"/>
      <c r="KW54" s="1005"/>
      <c r="KX54" s="1005"/>
      <c r="KY54" s="1005"/>
      <c r="KZ54" s="1005"/>
      <c r="LA54" s="1005"/>
      <c r="LB54" s="1005"/>
      <c r="LC54" s="1005"/>
      <c r="LD54" s="1005"/>
      <c r="LE54" s="1005"/>
      <c r="LF54" s="1005"/>
      <c r="LG54" s="1005"/>
      <c r="LH54" s="1005"/>
      <c r="LI54" s="1005"/>
      <c r="LJ54" s="1005"/>
      <c r="LK54" s="1005"/>
      <c r="LL54" s="1005"/>
      <c r="LM54" s="1005"/>
      <c r="LN54" s="1005"/>
      <c r="LO54" s="1005"/>
      <c r="LP54" s="1005"/>
      <c r="LQ54" s="1005"/>
      <c r="LR54" s="1005"/>
      <c r="LS54" s="1005"/>
      <c r="LT54" s="1005"/>
      <c r="LU54" s="1005"/>
      <c r="LV54" s="1005"/>
      <c r="LW54" s="1005"/>
      <c r="LX54" s="1005"/>
      <c r="LY54" s="1005"/>
      <c r="LZ54" s="1005"/>
      <c r="MA54" s="1005"/>
      <c r="MB54" s="1005"/>
      <c r="MC54" s="1005"/>
      <c r="MD54" s="1005"/>
      <c r="ME54" s="1005"/>
      <c r="MF54" s="1005"/>
      <c r="MG54" s="1005"/>
      <c r="MH54" s="1005"/>
      <c r="MI54" s="1005"/>
      <c r="MJ54" s="1005"/>
      <c r="MK54" s="1005"/>
      <c r="ML54" s="1005"/>
      <c r="MM54" s="1005"/>
      <c r="MN54" s="1005"/>
      <c r="MO54" s="1005"/>
      <c r="MP54" s="1005"/>
      <c r="MQ54" s="1005"/>
      <c r="MR54" s="1005"/>
      <c r="MS54" s="1005"/>
      <c r="MT54" s="1005"/>
      <c r="MU54" s="1005"/>
      <c r="MV54" s="1005"/>
      <c r="MW54" s="1005"/>
      <c r="MX54" s="1005"/>
      <c r="MY54" s="1005"/>
      <c r="MZ54" s="1005"/>
      <c r="NA54" s="1005"/>
      <c r="NB54" s="1005"/>
      <c r="NC54" s="1005"/>
      <c r="ND54" s="1005"/>
      <c r="NE54" s="1005"/>
      <c r="NF54" s="1005"/>
      <c r="NG54" s="1005"/>
      <c r="NH54" s="1005"/>
      <c r="NI54" s="1005"/>
      <c r="NJ54" s="1005"/>
      <c r="NK54" s="1005"/>
      <c r="NL54" s="1005"/>
      <c r="NM54" s="1005"/>
      <c r="NN54" s="1005"/>
      <c r="NO54" s="1005"/>
      <c r="NP54" s="1005"/>
      <c r="NQ54" s="1005"/>
      <c r="NR54" s="1005"/>
      <c r="NS54" s="1005"/>
      <c r="NT54" s="1005"/>
      <c r="NU54" s="1005"/>
      <c r="NV54" s="1005"/>
      <c r="NW54" s="1005"/>
      <c r="NX54" s="1005"/>
      <c r="NY54" s="1005"/>
      <c r="NZ54" s="1005"/>
      <c r="OA54" s="1005"/>
      <c r="OB54" s="1005"/>
      <c r="OC54" s="1005"/>
      <c r="OD54" s="1005"/>
      <c r="OE54" s="1005"/>
      <c r="OF54" s="1005"/>
      <c r="OG54" s="1005"/>
      <c r="OH54" s="1005"/>
      <c r="OI54" s="1005"/>
      <c r="OJ54" s="1005"/>
      <c r="OK54" s="1005"/>
      <c r="OL54" s="1005"/>
      <c r="OM54" s="1005"/>
      <c r="ON54" s="1005"/>
      <c r="OO54" s="1005"/>
      <c r="OP54" s="1005"/>
      <c r="OQ54" s="1005"/>
      <c r="OR54" s="1005"/>
      <c r="OS54" s="1005"/>
      <c r="OT54" s="1005"/>
      <c r="OU54" s="1005"/>
      <c r="OV54" s="1005"/>
      <c r="OW54" s="1005"/>
      <c r="OX54" s="1005"/>
      <c r="OY54" s="1005"/>
      <c r="OZ54" s="1005"/>
      <c r="PA54" s="1005"/>
      <c r="PB54" s="1005"/>
      <c r="PC54" s="1005"/>
      <c r="PD54" s="1005"/>
      <c r="PE54" s="1005"/>
      <c r="PF54" s="1005"/>
      <c r="PG54" s="1005"/>
      <c r="PH54" s="1005"/>
      <c r="PI54" s="1005"/>
      <c r="PJ54" s="1005"/>
      <c r="PK54" s="1005"/>
      <c r="PL54" s="1005"/>
      <c r="PM54" s="1005"/>
      <c r="PN54" s="1005"/>
      <c r="PO54" s="1005"/>
      <c r="PP54" s="1005"/>
      <c r="PQ54" s="1005"/>
      <c r="PR54" s="1005"/>
      <c r="PS54" s="1005"/>
      <c r="PT54" s="1005"/>
      <c r="PU54" s="1005"/>
      <c r="PV54" s="1005"/>
      <c r="PW54" s="1005"/>
      <c r="PX54" s="1005"/>
      <c r="PY54" s="1005"/>
      <c r="PZ54" s="1005"/>
      <c r="QA54" s="1005"/>
      <c r="QB54" s="1005"/>
      <c r="QC54" s="1005"/>
      <c r="QD54" s="1005"/>
      <c r="QE54" s="1005"/>
      <c r="QF54" s="1005"/>
      <c r="QG54" s="1005"/>
      <c r="QH54" s="1005"/>
      <c r="QI54" s="1005"/>
      <c r="QJ54" s="1005"/>
      <c r="QK54" s="1005"/>
      <c r="QL54" s="1005"/>
      <c r="QM54" s="1005"/>
      <c r="QN54" s="1005"/>
      <c r="QO54" s="1005"/>
      <c r="QP54" s="1005"/>
      <c r="QQ54" s="1005"/>
      <c r="QR54" s="1005"/>
      <c r="QS54" s="1005"/>
      <c r="QT54" s="1005"/>
      <c r="QU54" s="1005"/>
      <c r="QV54" s="1005"/>
      <c r="QW54" s="1005"/>
      <c r="QX54" s="1005"/>
      <c r="QY54" s="1005"/>
      <c r="QZ54" s="1005"/>
      <c r="RA54" s="1005"/>
      <c r="RB54" s="1005"/>
      <c r="RC54" s="1005"/>
      <c r="RD54" s="1005"/>
      <c r="RE54" s="1005"/>
      <c r="RF54" s="1005"/>
      <c r="RG54" s="1005"/>
      <c r="RH54" s="1005"/>
      <c r="RI54" s="1005"/>
      <c r="RJ54" s="1005"/>
      <c r="RK54" s="1005"/>
      <c r="RL54" s="1005"/>
      <c r="RM54" s="1005"/>
      <c r="RN54" s="1005"/>
      <c r="RO54" s="1005"/>
      <c r="RP54" s="1005"/>
      <c r="RQ54" s="1005"/>
      <c r="RR54" s="1005"/>
      <c r="RS54" s="1005"/>
      <c r="RT54" s="1005"/>
      <c r="RU54" s="1005"/>
      <c r="RV54" s="1005"/>
      <c r="RW54" s="1005"/>
      <c r="RX54" s="1005"/>
      <c r="RY54" s="1005"/>
      <c r="RZ54" s="1005"/>
      <c r="SA54" s="1005"/>
      <c r="SB54" s="1005"/>
      <c r="SC54" s="1005"/>
      <c r="SD54" s="1005"/>
      <c r="SE54" s="1005"/>
      <c r="SF54" s="1005"/>
      <c r="SG54" s="1005"/>
      <c r="SH54" s="1005"/>
      <c r="SI54" s="1005"/>
      <c r="SJ54" s="1005"/>
      <c r="SK54" s="1005"/>
      <c r="SL54" s="1005"/>
      <c r="SM54" s="1005"/>
      <c r="SN54" s="1005"/>
      <c r="SO54" s="1005"/>
      <c r="SP54" s="1005"/>
      <c r="SQ54" s="1005"/>
      <c r="SR54" s="1005"/>
      <c r="SS54" s="1005"/>
      <c r="ST54" s="1005"/>
      <c r="SU54" s="1005"/>
      <c r="SV54" s="1005"/>
      <c r="SW54" s="1005"/>
      <c r="SX54" s="1005"/>
      <c r="SY54" s="1005"/>
      <c r="SZ54" s="1005"/>
      <c r="TA54" s="1005"/>
      <c r="TB54" s="1005"/>
      <c r="TC54" s="1005"/>
      <c r="TD54" s="1005"/>
      <c r="TE54" s="1005"/>
      <c r="TF54" s="1005"/>
      <c r="TG54" s="1005"/>
      <c r="TH54" s="1005"/>
      <c r="TI54" s="1005"/>
      <c r="TJ54" s="1005"/>
      <c r="TK54" s="1005"/>
      <c r="TL54" s="1005"/>
      <c r="TM54" s="1005"/>
      <c r="TN54" s="1005"/>
      <c r="TO54" s="1005"/>
      <c r="TP54" s="1005"/>
      <c r="TQ54" s="1005"/>
      <c r="TR54" s="1005"/>
      <c r="TS54" s="1005"/>
      <c r="TT54" s="1005"/>
      <c r="TU54" s="1005"/>
      <c r="TV54" s="1005"/>
      <c r="TW54" s="1005"/>
      <c r="TX54" s="1005"/>
      <c r="TY54" s="1005"/>
      <c r="TZ54" s="1005"/>
      <c r="UA54" s="1005"/>
      <c r="UB54" s="1005"/>
      <c r="UC54" s="1005"/>
      <c r="UD54" s="1005"/>
      <c r="UE54" s="1005"/>
      <c r="UF54" s="1005"/>
      <c r="UG54" s="1005"/>
      <c r="UH54" s="1005"/>
      <c r="UI54" s="1005"/>
      <c r="UJ54" s="1005"/>
      <c r="UK54" s="1005"/>
      <c r="UL54" s="1005"/>
      <c r="UM54" s="1005"/>
      <c r="UN54" s="1005"/>
      <c r="UO54" s="1005"/>
      <c r="UP54" s="1005"/>
      <c r="UQ54" s="1005"/>
      <c r="UR54" s="1005"/>
      <c r="US54" s="1005"/>
      <c r="UT54" s="1005"/>
      <c r="UU54" s="1005"/>
      <c r="UV54" s="1005"/>
      <c r="UW54" s="1005"/>
      <c r="UX54" s="1005"/>
      <c r="UY54" s="1005"/>
      <c r="UZ54" s="1005"/>
      <c r="VA54" s="1005"/>
      <c r="VB54" s="1005"/>
      <c r="VC54" s="1005"/>
      <c r="VD54" s="1005"/>
      <c r="VE54" s="1005"/>
      <c r="VF54" s="1005"/>
      <c r="VG54" s="1005"/>
      <c r="VH54" s="1005"/>
      <c r="VI54" s="1005"/>
      <c r="VJ54" s="1005"/>
      <c r="VK54" s="1005"/>
      <c r="VL54" s="1005"/>
      <c r="VM54" s="1005"/>
      <c r="VN54" s="1005"/>
      <c r="VO54" s="1005"/>
      <c r="VP54" s="1005"/>
      <c r="VQ54" s="1005"/>
      <c r="VR54" s="1005"/>
      <c r="VS54" s="1005"/>
      <c r="VT54" s="1005"/>
      <c r="VU54" s="1005"/>
      <c r="VV54" s="1005"/>
      <c r="VW54" s="1005"/>
      <c r="VX54" s="1005"/>
      <c r="VY54" s="1005"/>
      <c r="VZ54" s="1005"/>
      <c r="WA54" s="1005"/>
      <c r="WB54" s="1005"/>
      <c r="WC54" s="1005"/>
      <c r="WD54" s="1005"/>
      <c r="WE54" s="1005"/>
      <c r="WF54" s="1005"/>
      <c r="WG54" s="1005"/>
      <c r="WH54" s="1005"/>
      <c r="WI54" s="1005"/>
      <c r="WJ54" s="1005"/>
      <c r="WK54" s="1005"/>
      <c r="WL54" s="1005"/>
      <c r="WM54" s="1005"/>
      <c r="WN54" s="1005"/>
      <c r="WO54" s="1005"/>
      <c r="WP54" s="1005"/>
      <c r="WQ54" s="1005"/>
      <c r="WR54" s="1005"/>
      <c r="WS54" s="1005"/>
      <c r="WT54" s="1005"/>
      <c r="WU54" s="1005"/>
      <c r="WV54" s="1005"/>
      <c r="WW54" s="1005"/>
      <c r="WX54" s="1005"/>
      <c r="WY54" s="1005"/>
      <c r="WZ54" s="1005"/>
      <c r="XA54" s="1005"/>
      <c r="XB54" s="1005"/>
      <c r="XC54" s="1005"/>
      <c r="XD54" s="1005"/>
      <c r="XE54" s="1005"/>
      <c r="XF54" s="1005"/>
      <c r="XG54" s="1005"/>
      <c r="XH54" s="1005"/>
      <c r="XI54" s="1005"/>
      <c r="XJ54" s="1005"/>
      <c r="XK54" s="1005"/>
      <c r="XL54" s="1005"/>
      <c r="XM54" s="1005"/>
      <c r="XN54" s="1005"/>
      <c r="XO54" s="1005"/>
      <c r="XP54" s="1005"/>
      <c r="XQ54" s="1005"/>
      <c r="XR54" s="1005"/>
      <c r="XS54" s="1005"/>
      <c r="XT54" s="1005"/>
      <c r="XU54" s="1005"/>
      <c r="XV54" s="1005"/>
      <c r="XW54" s="1005"/>
      <c r="XX54" s="1005"/>
      <c r="XY54" s="1005"/>
      <c r="XZ54" s="1005"/>
      <c r="YA54" s="1005"/>
      <c r="YB54" s="1005"/>
      <c r="YC54" s="1005"/>
      <c r="YD54" s="1005"/>
      <c r="YE54" s="1005"/>
      <c r="YF54" s="1005"/>
      <c r="YG54" s="1005"/>
      <c r="YH54" s="1005"/>
      <c r="YI54" s="1005"/>
      <c r="YJ54" s="1005"/>
      <c r="YK54" s="1005"/>
      <c r="YL54" s="1005"/>
      <c r="YM54" s="1005"/>
      <c r="YN54" s="1005"/>
      <c r="YO54" s="1005"/>
      <c r="YP54" s="1005"/>
      <c r="YQ54" s="1005"/>
      <c r="YR54" s="1005"/>
      <c r="YS54" s="1005"/>
      <c r="YT54" s="1005"/>
      <c r="YU54" s="1005"/>
      <c r="YV54" s="1005"/>
      <c r="YW54" s="1005"/>
      <c r="YX54" s="1005"/>
      <c r="YY54" s="1005"/>
      <c r="YZ54" s="1005"/>
      <c r="ZA54" s="1005"/>
      <c r="ZB54" s="1005"/>
      <c r="ZC54" s="1005"/>
      <c r="ZD54" s="1005"/>
      <c r="ZE54" s="1005"/>
      <c r="ZF54" s="1005"/>
      <c r="ZG54" s="1005"/>
      <c r="ZH54" s="1005"/>
      <c r="ZI54" s="1005"/>
      <c r="ZJ54" s="1005"/>
      <c r="ZK54" s="1005"/>
      <c r="ZL54" s="1005"/>
      <c r="ZM54" s="1005"/>
      <c r="ZN54" s="1005"/>
      <c r="ZO54" s="1005"/>
      <c r="ZP54" s="1005"/>
      <c r="ZQ54" s="1005"/>
      <c r="ZR54" s="1005"/>
      <c r="ZS54" s="1005"/>
      <c r="ZT54" s="1005"/>
      <c r="ZU54" s="1005"/>
      <c r="ZV54" s="1005"/>
      <c r="ZW54" s="1005"/>
      <c r="ZX54" s="1005"/>
      <c r="ZY54" s="1005"/>
      <c r="ZZ54" s="1005"/>
      <c r="AAA54" s="1005"/>
      <c r="AAB54" s="1005"/>
      <c r="AAC54" s="1005"/>
      <c r="AAD54" s="1005"/>
      <c r="AAE54" s="1005"/>
      <c r="AAF54" s="1005"/>
      <c r="AAG54" s="1005"/>
      <c r="AAH54" s="1005"/>
      <c r="AAI54" s="1005"/>
      <c r="AAJ54" s="1005"/>
      <c r="AAK54" s="1005"/>
      <c r="AAL54" s="1005"/>
      <c r="AAM54" s="1005"/>
      <c r="AAN54" s="1005"/>
      <c r="AAO54" s="1005"/>
      <c r="AAP54" s="1005"/>
      <c r="AAQ54" s="1005"/>
      <c r="AAR54" s="1005"/>
      <c r="AAS54" s="1005"/>
      <c r="AAT54" s="1005"/>
      <c r="AAU54" s="1005"/>
      <c r="AAV54" s="1005"/>
      <c r="AAW54" s="1005"/>
      <c r="AAX54" s="1005"/>
      <c r="AAY54" s="1005"/>
      <c r="AAZ54" s="1005"/>
      <c r="ABA54" s="1005"/>
      <c r="ABB54" s="1005"/>
      <c r="ABC54" s="1005"/>
      <c r="ABD54" s="1005"/>
      <c r="ABE54" s="1005"/>
      <c r="ABF54" s="1005"/>
      <c r="ABG54" s="1005"/>
      <c r="ABH54" s="1005"/>
      <c r="ABI54" s="1005"/>
      <c r="ABJ54" s="1005"/>
      <c r="ABK54" s="1005"/>
      <c r="ABL54" s="1005"/>
      <c r="ABM54" s="1005"/>
      <c r="ABN54" s="1005"/>
      <c r="ABO54" s="1005"/>
      <c r="ABP54" s="1005"/>
      <c r="ABQ54" s="1005"/>
      <c r="ABR54" s="1005"/>
    </row>
    <row r="55" spans="1:746" s="113" customFormat="1" ht="12.9" hidden="1" customHeight="1" thickBot="1">
      <c r="A55" s="2348"/>
      <c r="B55" s="2957" t="s">
        <v>1274</v>
      </c>
      <c r="C55" s="2958"/>
      <c r="D55" s="348"/>
      <c r="E55" s="347" t="s">
        <v>1</v>
      </c>
      <c r="F55" s="1240"/>
      <c r="G55" s="347">
        <v>0.25</v>
      </c>
      <c r="H55" s="2349"/>
      <c r="I55" s="2364"/>
      <c r="J55" s="809"/>
      <c r="K55" s="809"/>
      <c r="L55" s="809"/>
      <c r="M55" s="809"/>
      <c r="N55" s="809"/>
      <c r="O55" s="809"/>
      <c r="P55" s="809"/>
      <c r="Q55" s="809"/>
      <c r="R55" s="809"/>
      <c r="S55" s="809"/>
      <c r="T55" s="809"/>
      <c r="U55" s="2192"/>
      <c r="V55" s="2192"/>
      <c r="W55" s="2192"/>
      <c r="X55" s="2192"/>
      <c r="Y55" s="2192"/>
      <c r="Z55" s="2192"/>
      <c r="AA55" s="2192"/>
      <c r="AB55" s="2192"/>
      <c r="AC55" s="2192"/>
      <c r="AD55" s="2192"/>
      <c r="AE55" s="2192"/>
      <c r="AF55" s="2192"/>
      <c r="AG55" s="1042"/>
      <c r="AH55" s="333"/>
      <c r="AI55" s="333"/>
      <c r="AJ55" s="901">
        <f>IF(fx!$C$57=1,SUMIF(fx!I$57:T$57,1,I55:T55),IF(fx!$C$57=2,SUMIF(fx!O$57:AF$57,1,O55:AF55)))</f>
        <v>0</v>
      </c>
      <c r="AK55" s="419"/>
      <c r="AL55" s="902">
        <f>IF(fx!$C$57=1,SUM(U55:AF55),0)</f>
        <v>0</v>
      </c>
      <c r="AM55" s="1005"/>
      <c r="AN55" s="1011"/>
      <c r="AO55" s="1945"/>
      <c r="AP55" s="1935"/>
      <c r="AQ55" s="1936"/>
      <c r="AR55" s="1941"/>
      <c r="AS55" s="1941"/>
      <c r="AT55" s="1941"/>
      <c r="AU55" s="1941"/>
      <c r="AV55" s="1941"/>
      <c r="AW55" s="1941"/>
      <c r="AX55" s="1941"/>
      <c r="AY55" s="1941"/>
      <c r="AZ55" s="1941"/>
      <c r="BA55" s="1941"/>
      <c r="BB55" s="1941"/>
      <c r="BC55" s="1941"/>
      <c r="BD55" s="1941"/>
      <c r="BE55" s="1941"/>
      <c r="BF55" s="1941"/>
      <c r="BG55" s="1941"/>
      <c r="BH55" s="1941"/>
      <c r="BI55" s="1941"/>
      <c r="BJ55" s="1941"/>
      <c r="BK55" s="1941"/>
      <c r="BL55" s="1941"/>
      <c r="BM55" s="1941"/>
      <c r="BN55" s="1941"/>
      <c r="BO55" s="1941"/>
      <c r="BP55" s="1005"/>
      <c r="BQ55" s="1005"/>
      <c r="BR55" s="1005"/>
      <c r="BS55" s="1005"/>
      <c r="BT55" s="1005"/>
      <c r="BU55" s="1005"/>
      <c r="BV55" s="1005"/>
      <c r="BW55" s="1005"/>
      <c r="BX55" s="1005"/>
      <c r="BY55" s="1005"/>
      <c r="BZ55" s="1005"/>
      <c r="CA55" s="1005"/>
      <c r="CB55" s="1005"/>
      <c r="CC55" s="1005"/>
      <c r="CD55" s="1005"/>
      <c r="CE55" s="1005"/>
      <c r="CF55" s="1005"/>
      <c r="CG55" s="1005"/>
      <c r="CH55" s="1005"/>
      <c r="CI55" s="1005"/>
      <c r="CJ55" s="1005"/>
      <c r="CK55" s="1005"/>
      <c r="CL55" s="1005"/>
      <c r="CM55" s="1005"/>
      <c r="CN55" s="1005"/>
      <c r="CO55" s="1005"/>
      <c r="CP55" s="1005"/>
      <c r="CQ55" s="1005"/>
      <c r="CR55" s="1005"/>
      <c r="CS55" s="1005"/>
      <c r="CT55" s="1005"/>
      <c r="CU55" s="1005"/>
      <c r="CV55" s="1005"/>
      <c r="CW55" s="1005"/>
      <c r="CX55" s="1005"/>
      <c r="CY55" s="1005"/>
      <c r="CZ55" s="1005"/>
      <c r="DA55" s="1005"/>
      <c r="DB55" s="1005"/>
      <c r="DC55" s="1005"/>
      <c r="DD55" s="1005"/>
      <c r="DE55" s="1005"/>
      <c r="DF55" s="1005"/>
      <c r="DG55" s="1005"/>
      <c r="DH55" s="1005"/>
      <c r="DI55" s="1005"/>
      <c r="DJ55" s="1005"/>
      <c r="DK55" s="1005"/>
      <c r="DL55" s="1005"/>
      <c r="DM55" s="1005"/>
      <c r="DN55" s="1005"/>
      <c r="DO55" s="1005"/>
      <c r="DP55" s="1005"/>
      <c r="DQ55" s="1005"/>
      <c r="DR55" s="1005"/>
      <c r="DS55" s="1005"/>
      <c r="DT55" s="1005"/>
      <c r="DU55" s="1005"/>
      <c r="DV55" s="1005"/>
      <c r="DW55" s="1005"/>
      <c r="DX55" s="1005"/>
      <c r="DY55" s="1005"/>
      <c r="DZ55" s="1005"/>
      <c r="EA55" s="1005"/>
      <c r="EB55" s="1005"/>
      <c r="EC55" s="1005"/>
      <c r="ED55" s="1005"/>
      <c r="EE55" s="1005"/>
      <c r="EF55" s="1005"/>
      <c r="EG55" s="1005"/>
      <c r="EH55" s="1005"/>
      <c r="EI55" s="1005"/>
      <c r="EJ55" s="1005"/>
      <c r="EK55" s="1005"/>
      <c r="EL55" s="1005"/>
      <c r="EM55" s="1005"/>
      <c r="EN55" s="1005"/>
      <c r="EO55" s="1005"/>
      <c r="EP55" s="1005"/>
      <c r="EQ55" s="1005"/>
      <c r="ER55" s="1005"/>
      <c r="ES55" s="1005"/>
      <c r="ET55" s="1005"/>
      <c r="EU55" s="1005"/>
      <c r="EV55" s="1005"/>
      <c r="EW55" s="1005"/>
      <c r="EX55" s="1005"/>
      <c r="EY55" s="1005"/>
      <c r="EZ55" s="1005"/>
      <c r="FA55" s="1005"/>
      <c r="FB55" s="1005"/>
      <c r="FC55" s="1005"/>
      <c r="FD55" s="1005"/>
      <c r="FE55" s="1005"/>
      <c r="FF55" s="1005"/>
      <c r="FG55" s="1005"/>
      <c r="FH55" s="1005"/>
      <c r="FI55" s="1005"/>
      <c r="FJ55" s="1005"/>
      <c r="FK55" s="1005"/>
      <c r="FL55" s="1005"/>
      <c r="FM55" s="1005"/>
      <c r="FN55" s="1005"/>
      <c r="FO55" s="1005"/>
      <c r="FP55" s="1005"/>
      <c r="FQ55" s="1005"/>
      <c r="FR55" s="1005"/>
      <c r="FS55" s="1005"/>
      <c r="FT55" s="1005"/>
      <c r="FU55" s="1005"/>
      <c r="FV55" s="1005"/>
      <c r="FW55" s="1005"/>
      <c r="FX55" s="1005"/>
      <c r="FY55" s="1005"/>
      <c r="FZ55" s="1005"/>
      <c r="GA55" s="1005"/>
      <c r="GB55" s="1005"/>
      <c r="GC55" s="1005"/>
      <c r="GD55" s="1005"/>
      <c r="GE55" s="1005"/>
      <c r="GF55" s="1005"/>
      <c r="GG55" s="1005"/>
      <c r="GH55" s="1005"/>
      <c r="GI55" s="1005"/>
      <c r="GJ55" s="1005"/>
      <c r="GK55" s="1005"/>
      <c r="GL55" s="1005"/>
      <c r="GM55" s="1005"/>
      <c r="GN55" s="1005"/>
      <c r="GO55" s="1005"/>
      <c r="GP55" s="1005"/>
      <c r="GQ55" s="1005"/>
      <c r="GR55" s="1005"/>
      <c r="GS55" s="1005"/>
      <c r="GT55" s="1005"/>
      <c r="GU55" s="1005"/>
      <c r="GV55" s="1005"/>
      <c r="GW55" s="1005"/>
      <c r="GX55" s="1005"/>
      <c r="GY55" s="1005"/>
      <c r="GZ55" s="1005"/>
      <c r="HA55" s="1005"/>
      <c r="HB55" s="1005"/>
      <c r="HC55" s="1005"/>
      <c r="HD55" s="1005"/>
      <c r="HE55" s="1005"/>
      <c r="HF55" s="1005"/>
      <c r="HG55" s="1005"/>
      <c r="HH55" s="1005"/>
      <c r="HI55" s="1005"/>
      <c r="HJ55" s="1005"/>
      <c r="HK55" s="1005"/>
      <c r="HL55" s="1005"/>
      <c r="HM55" s="1005"/>
      <c r="HN55" s="1005"/>
      <c r="HO55" s="1005"/>
      <c r="HP55" s="1005"/>
      <c r="HQ55" s="1005"/>
      <c r="HR55" s="1005"/>
      <c r="HS55" s="1005"/>
      <c r="HT55" s="1005"/>
      <c r="HU55" s="1005"/>
      <c r="HV55" s="1005"/>
      <c r="HW55" s="1005"/>
      <c r="HX55" s="1005"/>
      <c r="HY55" s="1005"/>
      <c r="HZ55" s="1005"/>
      <c r="IA55" s="1005"/>
      <c r="IB55" s="1005"/>
      <c r="IC55" s="1005"/>
      <c r="ID55" s="1005"/>
      <c r="IE55" s="1005"/>
      <c r="IF55" s="1005"/>
      <c r="IG55" s="1005"/>
      <c r="IH55" s="1005"/>
      <c r="II55" s="1005"/>
      <c r="IJ55" s="1005"/>
      <c r="IK55" s="1005"/>
      <c r="IL55" s="1005"/>
      <c r="IM55" s="1005"/>
      <c r="IN55" s="1005"/>
      <c r="IO55" s="1005"/>
      <c r="IP55" s="1005"/>
      <c r="IQ55" s="1005"/>
      <c r="IR55" s="1005"/>
      <c r="IS55" s="1005"/>
      <c r="IT55" s="1005"/>
      <c r="IU55" s="1005"/>
      <c r="IV55" s="1005"/>
      <c r="IW55" s="1005"/>
      <c r="IX55" s="1005"/>
      <c r="IY55" s="1005"/>
      <c r="IZ55" s="1005"/>
      <c r="JA55" s="1005"/>
      <c r="JB55" s="1005"/>
      <c r="JC55" s="1005"/>
      <c r="JD55" s="1005"/>
      <c r="JE55" s="1005"/>
      <c r="JF55" s="1005"/>
      <c r="JG55" s="1005"/>
      <c r="JH55" s="1005"/>
      <c r="JI55" s="1005"/>
      <c r="JJ55" s="1005"/>
      <c r="JK55" s="1005"/>
      <c r="JL55" s="1005"/>
      <c r="JM55" s="1005"/>
      <c r="JN55" s="1005"/>
      <c r="JO55" s="1005"/>
      <c r="JP55" s="1005"/>
      <c r="JQ55" s="1005"/>
      <c r="JR55" s="1005"/>
      <c r="JS55" s="1005"/>
      <c r="JT55" s="1005"/>
      <c r="JU55" s="1005"/>
      <c r="JV55" s="1005"/>
      <c r="JW55" s="1005"/>
      <c r="JX55" s="1005"/>
      <c r="JY55" s="1005"/>
      <c r="JZ55" s="1005"/>
      <c r="KA55" s="1005"/>
      <c r="KB55" s="1005"/>
      <c r="KC55" s="1005"/>
      <c r="KD55" s="1005"/>
      <c r="KE55" s="1005"/>
      <c r="KF55" s="1005"/>
      <c r="KG55" s="1005"/>
      <c r="KH55" s="1005"/>
      <c r="KI55" s="1005"/>
      <c r="KJ55" s="1005"/>
      <c r="KK55" s="1005"/>
      <c r="KL55" s="1005"/>
      <c r="KM55" s="1005"/>
      <c r="KN55" s="1005"/>
      <c r="KO55" s="1005"/>
      <c r="KP55" s="1005"/>
      <c r="KQ55" s="1005"/>
      <c r="KR55" s="1005"/>
      <c r="KS55" s="1005"/>
      <c r="KT55" s="1005"/>
      <c r="KU55" s="1005"/>
      <c r="KV55" s="1005"/>
      <c r="KW55" s="1005"/>
      <c r="KX55" s="1005"/>
      <c r="KY55" s="1005"/>
      <c r="KZ55" s="1005"/>
      <c r="LA55" s="1005"/>
      <c r="LB55" s="1005"/>
      <c r="LC55" s="1005"/>
      <c r="LD55" s="1005"/>
      <c r="LE55" s="1005"/>
      <c r="LF55" s="1005"/>
      <c r="LG55" s="1005"/>
      <c r="LH55" s="1005"/>
      <c r="LI55" s="1005"/>
      <c r="LJ55" s="1005"/>
      <c r="LK55" s="1005"/>
      <c r="LL55" s="1005"/>
      <c r="LM55" s="1005"/>
      <c r="LN55" s="1005"/>
      <c r="LO55" s="1005"/>
      <c r="LP55" s="1005"/>
      <c r="LQ55" s="1005"/>
      <c r="LR55" s="1005"/>
      <c r="LS55" s="1005"/>
      <c r="LT55" s="1005"/>
      <c r="LU55" s="1005"/>
      <c r="LV55" s="1005"/>
      <c r="LW55" s="1005"/>
      <c r="LX55" s="1005"/>
      <c r="LY55" s="1005"/>
      <c r="LZ55" s="1005"/>
      <c r="MA55" s="1005"/>
      <c r="MB55" s="1005"/>
      <c r="MC55" s="1005"/>
      <c r="MD55" s="1005"/>
      <c r="ME55" s="1005"/>
      <c r="MF55" s="1005"/>
      <c r="MG55" s="1005"/>
      <c r="MH55" s="1005"/>
      <c r="MI55" s="1005"/>
      <c r="MJ55" s="1005"/>
      <c r="MK55" s="1005"/>
      <c r="ML55" s="1005"/>
      <c r="MM55" s="1005"/>
      <c r="MN55" s="1005"/>
      <c r="MO55" s="1005"/>
      <c r="MP55" s="1005"/>
      <c r="MQ55" s="1005"/>
      <c r="MR55" s="1005"/>
      <c r="MS55" s="1005"/>
      <c r="MT55" s="1005"/>
      <c r="MU55" s="1005"/>
      <c r="MV55" s="1005"/>
      <c r="MW55" s="1005"/>
      <c r="MX55" s="1005"/>
      <c r="MY55" s="1005"/>
      <c r="MZ55" s="1005"/>
      <c r="NA55" s="1005"/>
      <c r="NB55" s="1005"/>
      <c r="NC55" s="1005"/>
      <c r="ND55" s="1005"/>
      <c r="NE55" s="1005"/>
      <c r="NF55" s="1005"/>
      <c r="NG55" s="1005"/>
      <c r="NH55" s="1005"/>
      <c r="NI55" s="1005"/>
      <c r="NJ55" s="1005"/>
      <c r="NK55" s="1005"/>
      <c r="NL55" s="1005"/>
      <c r="NM55" s="1005"/>
      <c r="NN55" s="1005"/>
      <c r="NO55" s="1005"/>
      <c r="NP55" s="1005"/>
      <c r="NQ55" s="1005"/>
      <c r="NR55" s="1005"/>
      <c r="NS55" s="1005"/>
      <c r="NT55" s="1005"/>
      <c r="NU55" s="1005"/>
      <c r="NV55" s="1005"/>
      <c r="NW55" s="1005"/>
      <c r="NX55" s="1005"/>
      <c r="NY55" s="1005"/>
      <c r="NZ55" s="1005"/>
      <c r="OA55" s="1005"/>
      <c r="OB55" s="1005"/>
      <c r="OC55" s="1005"/>
      <c r="OD55" s="1005"/>
      <c r="OE55" s="1005"/>
      <c r="OF55" s="1005"/>
      <c r="OG55" s="1005"/>
      <c r="OH55" s="1005"/>
      <c r="OI55" s="1005"/>
      <c r="OJ55" s="1005"/>
      <c r="OK55" s="1005"/>
      <c r="OL55" s="1005"/>
      <c r="OM55" s="1005"/>
      <c r="ON55" s="1005"/>
      <c r="OO55" s="1005"/>
      <c r="OP55" s="1005"/>
      <c r="OQ55" s="1005"/>
      <c r="OR55" s="1005"/>
      <c r="OS55" s="1005"/>
      <c r="OT55" s="1005"/>
      <c r="OU55" s="1005"/>
      <c r="OV55" s="1005"/>
      <c r="OW55" s="1005"/>
      <c r="OX55" s="1005"/>
      <c r="OY55" s="1005"/>
      <c r="OZ55" s="1005"/>
      <c r="PA55" s="1005"/>
      <c r="PB55" s="1005"/>
      <c r="PC55" s="1005"/>
      <c r="PD55" s="1005"/>
      <c r="PE55" s="1005"/>
      <c r="PF55" s="1005"/>
      <c r="PG55" s="1005"/>
      <c r="PH55" s="1005"/>
      <c r="PI55" s="1005"/>
      <c r="PJ55" s="1005"/>
      <c r="PK55" s="1005"/>
      <c r="PL55" s="1005"/>
      <c r="PM55" s="1005"/>
      <c r="PN55" s="1005"/>
      <c r="PO55" s="1005"/>
      <c r="PP55" s="1005"/>
      <c r="PQ55" s="1005"/>
      <c r="PR55" s="1005"/>
      <c r="PS55" s="1005"/>
      <c r="PT55" s="1005"/>
      <c r="PU55" s="1005"/>
      <c r="PV55" s="1005"/>
      <c r="PW55" s="1005"/>
      <c r="PX55" s="1005"/>
      <c r="PY55" s="1005"/>
      <c r="PZ55" s="1005"/>
      <c r="QA55" s="1005"/>
      <c r="QB55" s="1005"/>
      <c r="QC55" s="1005"/>
      <c r="QD55" s="1005"/>
      <c r="QE55" s="1005"/>
      <c r="QF55" s="1005"/>
      <c r="QG55" s="1005"/>
      <c r="QH55" s="1005"/>
      <c r="QI55" s="1005"/>
      <c r="QJ55" s="1005"/>
      <c r="QK55" s="1005"/>
      <c r="QL55" s="1005"/>
      <c r="QM55" s="1005"/>
      <c r="QN55" s="1005"/>
      <c r="QO55" s="1005"/>
      <c r="QP55" s="1005"/>
      <c r="QQ55" s="1005"/>
      <c r="QR55" s="1005"/>
      <c r="QS55" s="1005"/>
      <c r="QT55" s="1005"/>
      <c r="QU55" s="1005"/>
      <c r="QV55" s="1005"/>
      <c r="QW55" s="1005"/>
      <c r="QX55" s="1005"/>
      <c r="QY55" s="1005"/>
      <c r="QZ55" s="1005"/>
      <c r="RA55" s="1005"/>
      <c r="RB55" s="1005"/>
      <c r="RC55" s="1005"/>
      <c r="RD55" s="1005"/>
      <c r="RE55" s="1005"/>
      <c r="RF55" s="1005"/>
      <c r="RG55" s="1005"/>
      <c r="RH55" s="1005"/>
      <c r="RI55" s="1005"/>
      <c r="RJ55" s="1005"/>
      <c r="RK55" s="1005"/>
      <c r="RL55" s="1005"/>
      <c r="RM55" s="1005"/>
      <c r="RN55" s="1005"/>
      <c r="RO55" s="1005"/>
      <c r="RP55" s="1005"/>
      <c r="RQ55" s="1005"/>
      <c r="RR55" s="1005"/>
      <c r="RS55" s="1005"/>
      <c r="RT55" s="1005"/>
      <c r="RU55" s="1005"/>
      <c r="RV55" s="1005"/>
      <c r="RW55" s="1005"/>
      <c r="RX55" s="1005"/>
      <c r="RY55" s="1005"/>
      <c r="RZ55" s="1005"/>
      <c r="SA55" s="1005"/>
      <c r="SB55" s="1005"/>
      <c r="SC55" s="1005"/>
      <c r="SD55" s="1005"/>
      <c r="SE55" s="1005"/>
      <c r="SF55" s="1005"/>
      <c r="SG55" s="1005"/>
      <c r="SH55" s="1005"/>
      <c r="SI55" s="1005"/>
      <c r="SJ55" s="1005"/>
      <c r="SK55" s="1005"/>
      <c r="SL55" s="1005"/>
      <c r="SM55" s="1005"/>
      <c r="SN55" s="1005"/>
      <c r="SO55" s="1005"/>
      <c r="SP55" s="1005"/>
      <c r="SQ55" s="1005"/>
      <c r="SR55" s="1005"/>
      <c r="SS55" s="1005"/>
      <c r="ST55" s="1005"/>
      <c r="SU55" s="1005"/>
      <c r="SV55" s="1005"/>
      <c r="SW55" s="1005"/>
      <c r="SX55" s="1005"/>
      <c r="SY55" s="1005"/>
      <c r="SZ55" s="1005"/>
      <c r="TA55" s="1005"/>
      <c r="TB55" s="1005"/>
      <c r="TC55" s="1005"/>
      <c r="TD55" s="1005"/>
      <c r="TE55" s="1005"/>
      <c r="TF55" s="1005"/>
      <c r="TG55" s="1005"/>
      <c r="TH55" s="1005"/>
      <c r="TI55" s="1005"/>
      <c r="TJ55" s="1005"/>
      <c r="TK55" s="1005"/>
      <c r="TL55" s="1005"/>
      <c r="TM55" s="1005"/>
      <c r="TN55" s="1005"/>
      <c r="TO55" s="1005"/>
      <c r="TP55" s="1005"/>
      <c r="TQ55" s="1005"/>
      <c r="TR55" s="1005"/>
      <c r="TS55" s="1005"/>
      <c r="TT55" s="1005"/>
      <c r="TU55" s="1005"/>
      <c r="TV55" s="1005"/>
      <c r="TW55" s="1005"/>
      <c r="TX55" s="1005"/>
      <c r="TY55" s="1005"/>
      <c r="TZ55" s="1005"/>
      <c r="UA55" s="1005"/>
      <c r="UB55" s="1005"/>
      <c r="UC55" s="1005"/>
      <c r="UD55" s="1005"/>
      <c r="UE55" s="1005"/>
      <c r="UF55" s="1005"/>
      <c r="UG55" s="1005"/>
      <c r="UH55" s="1005"/>
      <c r="UI55" s="1005"/>
      <c r="UJ55" s="1005"/>
      <c r="UK55" s="1005"/>
      <c r="UL55" s="1005"/>
      <c r="UM55" s="1005"/>
      <c r="UN55" s="1005"/>
      <c r="UO55" s="1005"/>
      <c r="UP55" s="1005"/>
      <c r="UQ55" s="1005"/>
      <c r="UR55" s="1005"/>
      <c r="US55" s="1005"/>
      <c r="UT55" s="1005"/>
      <c r="UU55" s="1005"/>
      <c r="UV55" s="1005"/>
      <c r="UW55" s="1005"/>
      <c r="UX55" s="1005"/>
      <c r="UY55" s="1005"/>
      <c r="UZ55" s="1005"/>
      <c r="VA55" s="1005"/>
      <c r="VB55" s="1005"/>
      <c r="VC55" s="1005"/>
      <c r="VD55" s="1005"/>
      <c r="VE55" s="1005"/>
      <c r="VF55" s="1005"/>
      <c r="VG55" s="1005"/>
      <c r="VH55" s="1005"/>
      <c r="VI55" s="1005"/>
      <c r="VJ55" s="1005"/>
      <c r="VK55" s="1005"/>
      <c r="VL55" s="1005"/>
      <c r="VM55" s="1005"/>
      <c r="VN55" s="1005"/>
      <c r="VO55" s="1005"/>
      <c r="VP55" s="1005"/>
      <c r="VQ55" s="1005"/>
      <c r="VR55" s="1005"/>
      <c r="VS55" s="1005"/>
      <c r="VT55" s="1005"/>
      <c r="VU55" s="1005"/>
      <c r="VV55" s="1005"/>
      <c r="VW55" s="1005"/>
      <c r="VX55" s="1005"/>
      <c r="VY55" s="1005"/>
      <c r="VZ55" s="1005"/>
      <c r="WA55" s="1005"/>
      <c r="WB55" s="1005"/>
      <c r="WC55" s="1005"/>
      <c r="WD55" s="1005"/>
      <c r="WE55" s="1005"/>
      <c r="WF55" s="1005"/>
      <c r="WG55" s="1005"/>
      <c r="WH55" s="1005"/>
      <c r="WI55" s="1005"/>
      <c r="WJ55" s="1005"/>
      <c r="WK55" s="1005"/>
      <c r="WL55" s="1005"/>
      <c r="WM55" s="1005"/>
      <c r="WN55" s="1005"/>
      <c r="WO55" s="1005"/>
      <c r="WP55" s="1005"/>
      <c r="WQ55" s="1005"/>
      <c r="WR55" s="1005"/>
      <c r="WS55" s="1005"/>
      <c r="WT55" s="1005"/>
      <c r="WU55" s="1005"/>
      <c r="WV55" s="1005"/>
      <c r="WW55" s="1005"/>
      <c r="WX55" s="1005"/>
      <c r="WY55" s="1005"/>
      <c r="WZ55" s="1005"/>
      <c r="XA55" s="1005"/>
      <c r="XB55" s="1005"/>
      <c r="XC55" s="1005"/>
      <c r="XD55" s="1005"/>
      <c r="XE55" s="1005"/>
      <c r="XF55" s="1005"/>
      <c r="XG55" s="1005"/>
      <c r="XH55" s="1005"/>
      <c r="XI55" s="1005"/>
      <c r="XJ55" s="1005"/>
      <c r="XK55" s="1005"/>
      <c r="XL55" s="1005"/>
      <c r="XM55" s="1005"/>
      <c r="XN55" s="1005"/>
      <c r="XO55" s="1005"/>
      <c r="XP55" s="1005"/>
      <c r="XQ55" s="1005"/>
      <c r="XR55" s="1005"/>
      <c r="XS55" s="1005"/>
      <c r="XT55" s="1005"/>
      <c r="XU55" s="1005"/>
      <c r="XV55" s="1005"/>
      <c r="XW55" s="1005"/>
      <c r="XX55" s="1005"/>
      <c r="XY55" s="1005"/>
      <c r="XZ55" s="1005"/>
      <c r="YA55" s="1005"/>
      <c r="YB55" s="1005"/>
      <c r="YC55" s="1005"/>
      <c r="YD55" s="1005"/>
      <c r="YE55" s="1005"/>
      <c r="YF55" s="1005"/>
      <c r="YG55" s="1005"/>
      <c r="YH55" s="1005"/>
      <c r="YI55" s="1005"/>
      <c r="YJ55" s="1005"/>
      <c r="YK55" s="1005"/>
      <c r="YL55" s="1005"/>
      <c r="YM55" s="1005"/>
      <c r="YN55" s="1005"/>
      <c r="YO55" s="1005"/>
      <c r="YP55" s="1005"/>
      <c r="YQ55" s="1005"/>
      <c r="YR55" s="1005"/>
      <c r="YS55" s="1005"/>
      <c r="YT55" s="1005"/>
      <c r="YU55" s="1005"/>
      <c r="YV55" s="1005"/>
      <c r="YW55" s="1005"/>
      <c r="YX55" s="1005"/>
      <c r="YY55" s="1005"/>
      <c r="YZ55" s="1005"/>
      <c r="ZA55" s="1005"/>
      <c r="ZB55" s="1005"/>
      <c r="ZC55" s="1005"/>
      <c r="ZD55" s="1005"/>
      <c r="ZE55" s="1005"/>
      <c r="ZF55" s="1005"/>
      <c r="ZG55" s="1005"/>
      <c r="ZH55" s="1005"/>
      <c r="ZI55" s="1005"/>
      <c r="ZJ55" s="1005"/>
      <c r="ZK55" s="1005"/>
      <c r="ZL55" s="1005"/>
      <c r="ZM55" s="1005"/>
      <c r="ZN55" s="1005"/>
      <c r="ZO55" s="1005"/>
      <c r="ZP55" s="1005"/>
      <c r="ZQ55" s="1005"/>
      <c r="ZR55" s="1005"/>
      <c r="ZS55" s="1005"/>
      <c r="ZT55" s="1005"/>
      <c r="ZU55" s="1005"/>
      <c r="ZV55" s="1005"/>
      <c r="ZW55" s="1005"/>
      <c r="ZX55" s="1005"/>
      <c r="ZY55" s="1005"/>
      <c r="ZZ55" s="1005"/>
      <c r="AAA55" s="1005"/>
      <c r="AAB55" s="1005"/>
      <c r="AAC55" s="1005"/>
      <c r="AAD55" s="1005"/>
      <c r="AAE55" s="1005"/>
      <c r="AAF55" s="1005"/>
      <c r="AAG55" s="1005"/>
      <c r="AAH55" s="1005"/>
      <c r="AAI55" s="1005"/>
      <c r="AAJ55" s="1005"/>
      <c r="AAK55" s="1005"/>
      <c r="AAL55" s="1005"/>
      <c r="AAM55" s="1005"/>
      <c r="AAN55" s="1005"/>
      <c r="AAO55" s="1005"/>
      <c r="AAP55" s="1005"/>
      <c r="AAQ55" s="1005"/>
      <c r="AAR55" s="1005"/>
      <c r="AAS55" s="1005"/>
      <c r="AAT55" s="1005"/>
      <c r="AAU55" s="1005"/>
      <c r="AAV55" s="1005"/>
      <c r="AAW55" s="1005"/>
      <c r="AAX55" s="1005"/>
      <c r="AAY55" s="1005"/>
      <c r="AAZ55" s="1005"/>
      <c r="ABA55" s="1005"/>
      <c r="ABB55" s="1005"/>
      <c r="ABC55" s="1005"/>
      <c r="ABD55" s="1005"/>
      <c r="ABE55" s="1005"/>
      <c r="ABF55" s="1005"/>
      <c r="ABG55" s="1005"/>
      <c r="ABH55" s="1005"/>
      <c r="ABI55" s="1005"/>
      <c r="ABJ55" s="1005"/>
      <c r="ABK55" s="1005"/>
      <c r="ABL55" s="1005"/>
      <c r="ABM55" s="1005"/>
      <c r="ABN55" s="1005"/>
      <c r="ABO55" s="1005"/>
      <c r="ABP55" s="1005"/>
      <c r="ABQ55" s="1005"/>
      <c r="ABR55" s="1005"/>
    </row>
    <row r="56" spans="1:746" s="113" customFormat="1" ht="12.9" hidden="1" customHeight="1" thickBot="1">
      <c r="A56" s="2348"/>
      <c r="B56" s="2957" t="s">
        <v>1275</v>
      </c>
      <c r="C56" s="2958"/>
      <c r="D56" s="348"/>
      <c r="E56" s="347" t="s">
        <v>1</v>
      </c>
      <c r="F56" s="1240"/>
      <c r="G56" s="347">
        <v>0.25</v>
      </c>
      <c r="H56" s="2349"/>
      <c r="I56" s="794"/>
      <c r="J56" s="794"/>
      <c r="K56" s="794"/>
      <c r="L56" s="794"/>
      <c r="M56" s="794"/>
      <c r="N56" s="794"/>
      <c r="O56" s="794"/>
      <c r="P56" s="794"/>
      <c r="Q56" s="794"/>
      <c r="R56" s="794"/>
      <c r="S56" s="794"/>
      <c r="T56" s="794"/>
      <c r="U56" s="2192"/>
      <c r="V56" s="2192"/>
      <c r="W56" s="2192"/>
      <c r="X56" s="2192"/>
      <c r="Y56" s="2192"/>
      <c r="Z56" s="2192"/>
      <c r="AA56" s="2192"/>
      <c r="AB56" s="2192"/>
      <c r="AC56" s="2192"/>
      <c r="AD56" s="2192"/>
      <c r="AE56" s="2192"/>
      <c r="AF56" s="2192"/>
      <c r="AG56" s="1042"/>
      <c r="AH56" s="333"/>
      <c r="AI56" s="333"/>
      <c r="AJ56" s="901">
        <f>IF(fx!$C$57=1,SUMIF(fx!I$57:T$57,1,I56:T56),IF(fx!$C$57=2,SUMIF(fx!O$57:AF$57,1,O56:AF56)))</f>
        <v>0</v>
      </c>
      <c r="AK56" s="419"/>
      <c r="AL56" s="902">
        <f>IF(fx!$C$57=1,SUM(U56:AF56),0)</f>
        <v>0</v>
      </c>
      <c r="AM56" s="1005"/>
      <c r="AN56" s="1011"/>
      <c r="AO56" s="1945"/>
      <c r="AP56" s="1935"/>
      <c r="AQ56" s="1936"/>
      <c r="AR56" s="1941"/>
      <c r="AS56" s="1941"/>
      <c r="AT56" s="1941"/>
      <c r="AU56" s="1941"/>
      <c r="AV56" s="1941"/>
      <c r="AW56" s="1941"/>
      <c r="AX56" s="1941"/>
      <c r="AY56" s="1941"/>
      <c r="AZ56" s="1941"/>
      <c r="BA56" s="1941"/>
      <c r="BB56" s="1941"/>
      <c r="BC56" s="1941"/>
      <c r="BD56" s="1941"/>
      <c r="BE56" s="1941"/>
      <c r="BF56" s="1941"/>
      <c r="BG56" s="1941"/>
      <c r="BH56" s="1941"/>
      <c r="BI56" s="1941"/>
      <c r="BJ56" s="1941"/>
      <c r="BK56" s="1941"/>
      <c r="BL56" s="1941"/>
      <c r="BM56" s="1941"/>
      <c r="BN56" s="1941"/>
      <c r="BO56" s="1941"/>
      <c r="BP56" s="1005"/>
      <c r="BQ56" s="1005"/>
      <c r="BR56" s="1005"/>
      <c r="BS56" s="1005"/>
      <c r="BT56" s="1005"/>
      <c r="BU56" s="1005"/>
      <c r="BV56" s="1005"/>
      <c r="BW56" s="1005"/>
      <c r="BX56" s="1005"/>
      <c r="BY56" s="1005"/>
      <c r="BZ56" s="1005"/>
      <c r="CA56" s="1005"/>
      <c r="CB56" s="1005"/>
      <c r="CC56" s="1005"/>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c r="EC56" s="1005"/>
      <c r="ED56" s="1005"/>
      <c r="EE56" s="1005"/>
      <c r="EF56" s="1005"/>
      <c r="EG56" s="1005"/>
      <c r="EH56" s="1005"/>
      <c r="EI56" s="1005"/>
      <c r="EJ56" s="1005"/>
      <c r="EK56" s="1005"/>
      <c r="EL56" s="1005"/>
      <c r="EM56" s="1005"/>
      <c r="EN56" s="1005"/>
      <c r="EO56" s="1005"/>
      <c r="EP56" s="1005"/>
      <c r="EQ56" s="1005"/>
      <c r="ER56" s="1005"/>
      <c r="ES56" s="1005"/>
      <c r="ET56" s="1005"/>
      <c r="EU56" s="1005"/>
      <c r="EV56" s="1005"/>
      <c r="EW56" s="1005"/>
      <c r="EX56" s="1005"/>
      <c r="EY56" s="1005"/>
      <c r="EZ56" s="1005"/>
      <c r="FA56" s="1005"/>
      <c r="FB56" s="1005"/>
      <c r="FC56" s="1005"/>
      <c r="FD56" s="1005"/>
      <c r="FE56" s="1005"/>
      <c r="FF56" s="1005"/>
      <c r="FG56" s="1005"/>
      <c r="FH56" s="1005"/>
      <c r="FI56" s="1005"/>
      <c r="FJ56" s="1005"/>
      <c r="FK56" s="1005"/>
      <c r="FL56" s="1005"/>
      <c r="FM56" s="1005"/>
      <c r="FN56" s="1005"/>
      <c r="FO56" s="1005"/>
      <c r="FP56" s="1005"/>
      <c r="FQ56" s="1005"/>
      <c r="FR56" s="1005"/>
      <c r="FS56" s="1005"/>
      <c r="FT56" s="1005"/>
      <c r="FU56" s="1005"/>
      <c r="FV56" s="1005"/>
      <c r="FW56" s="1005"/>
      <c r="FX56" s="1005"/>
      <c r="FY56" s="1005"/>
      <c r="FZ56" s="1005"/>
      <c r="GA56" s="1005"/>
      <c r="GB56" s="1005"/>
      <c r="GC56" s="1005"/>
      <c r="GD56" s="1005"/>
      <c r="GE56" s="1005"/>
      <c r="GF56" s="1005"/>
      <c r="GG56" s="1005"/>
      <c r="GH56" s="1005"/>
      <c r="GI56" s="1005"/>
      <c r="GJ56" s="1005"/>
      <c r="GK56" s="1005"/>
      <c r="GL56" s="1005"/>
      <c r="GM56" s="1005"/>
      <c r="GN56" s="1005"/>
      <c r="GO56" s="1005"/>
      <c r="GP56" s="1005"/>
      <c r="GQ56" s="1005"/>
      <c r="GR56" s="1005"/>
      <c r="GS56" s="1005"/>
      <c r="GT56" s="1005"/>
      <c r="GU56" s="1005"/>
      <c r="GV56" s="1005"/>
      <c r="GW56" s="1005"/>
      <c r="GX56" s="1005"/>
      <c r="GY56" s="1005"/>
      <c r="GZ56" s="1005"/>
      <c r="HA56" s="1005"/>
      <c r="HB56" s="1005"/>
      <c r="HC56" s="1005"/>
      <c r="HD56" s="1005"/>
      <c r="HE56" s="1005"/>
      <c r="HF56" s="1005"/>
      <c r="HG56" s="1005"/>
      <c r="HH56" s="1005"/>
      <c r="HI56" s="1005"/>
      <c r="HJ56" s="1005"/>
      <c r="HK56" s="1005"/>
      <c r="HL56" s="1005"/>
      <c r="HM56" s="1005"/>
      <c r="HN56" s="1005"/>
      <c r="HO56" s="1005"/>
      <c r="HP56" s="1005"/>
      <c r="HQ56" s="1005"/>
      <c r="HR56" s="1005"/>
      <c r="HS56" s="1005"/>
      <c r="HT56" s="1005"/>
      <c r="HU56" s="1005"/>
      <c r="HV56" s="1005"/>
      <c r="HW56" s="1005"/>
      <c r="HX56" s="1005"/>
      <c r="HY56" s="1005"/>
      <c r="HZ56" s="1005"/>
      <c r="IA56" s="1005"/>
      <c r="IB56" s="1005"/>
      <c r="IC56" s="1005"/>
      <c r="ID56" s="1005"/>
      <c r="IE56" s="1005"/>
      <c r="IF56" s="1005"/>
      <c r="IG56" s="1005"/>
      <c r="IH56" s="1005"/>
      <c r="II56" s="1005"/>
      <c r="IJ56" s="1005"/>
      <c r="IK56" s="1005"/>
      <c r="IL56" s="1005"/>
      <c r="IM56" s="1005"/>
      <c r="IN56" s="1005"/>
      <c r="IO56" s="1005"/>
      <c r="IP56" s="1005"/>
      <c r="IQ56" s="1005"/>
      <c r="IR56" s="1005"/>
      <c r="IS56" s="1005"/>
      <c r="IT56" s="1005"/>
      <c r="IU56" s="1005"/>
      <c r="IV56" s="1005"/>
      <c r="IW56" s="1005"/>
      <c r="IX56" s="1005"/>
      <c r="IY56" s="1005"/>
      <c r="IZ56" s="1005"/>
      <c r="JA56" s="1005"/>
      <c r="JB56" s="1005"/>
      <c r="JC56" s="1005"/>
      <c r="JD56" s="1005"/>
      <c r="JE56" s="1005"/>
      <c r="JF56" s="1005"/>
      <c r="JG56" s="1005"/>
      <c r="JH56" s="1005"/>
      <c r="JI56" s="1005"/>
      <c r="JJ56" s="1005"/>
      <c r="JK56" s="1005"/>
      <c r="JL56" s="1005"/>
      <c r="JM56" s="1005"/>
      <c r="JN56" s="1005"/>
      <c r="JO56" s="1005"/>
      <c r="JP56" s="1005"/>
      <c r="JQ56" s="1005"/>
      <c r="JR56" s="1005"/>
      <c r="JS56" s="1005"/>
      <c r="JT56" s="1005"/>
      <c r="JU56" s="1005"/>
      <c r="JV56" s="1005"/>
      <c r="JW56" s="1005"/>
      <c r="JX56" s="1005"/>
      <c r="JY56" s="1005"/>
      <c r="JZ56" s="1005"/>
      <c r="KA56" s="1005"/>
      <c r="KB56" s="1005"/>
      <c r="KC56" s="1005"/>
      <c r="KD56" s="1005"/>
      <c r="KE56" s="1005"/>
      <c r="KF56" s="1005"/>
      <c r="KG56" s="1005"/>
      <c r="KH56" s="1005"/>
      <c r="KI56" s="1005"/>
      <c r="KJ56" s="1005"/>
      <c r="KK56" s="1005"/>
      <c r="KL56" s="1005"/>
      <c r="KM56" s="1005"/>
      <c r="KN56" s="1005"/>
      <c r="KO56" s="1005"/>
      <c r="KP56" s="1005"/>
      <c r="KQ56" s="1005"/>
      <c r="KR56" s="1005"/>
      <c r="KS56" s="1005"/>
      <c r="KT56" s="1005"/>
      <c r="KU56" s="1005"/>
      <c r="KV56" s="1005"/>
      <c r="KW56" s="1005"/>
      <c r="KX56" s="1005"/>
      <c r="KY56" s="1005"/>
      <c r="KZ56" s="1005"/>
      <c r="LA56" s="1005"/>
      <c r="LB56" s="1005"/>
      <c r="LC56" s="1005"/>
      <c r="LD56" s="1005"/>
      <c r="LE56" s="1005"/>
      <c r="LF56" s="1005"/>
      <c r="LG56" s="1005"/>
      <c r="LH56" s="1005"/>
      <c r="LI56" s="1005"/>
      <c r="LJ56" s="1005"/>
      <c r="LK56" s="1005"/>
      <c r="LL56" s="1005"/>
      <c r="LM56" s="1005"/>
      <c r="LN56" s="1005"/>
      <c r="LO56" s="1005"/>
      <c r="LP56" s="1005"/>
      <c r="LQ56" s="1005"/>
      <c r="LR56" s="1005"/>
      <c r="LS56" s="1005"/>
      <c r="LT56" s="1005"/>
      <c r="LU56" s="1005"/>
      <c r="LV56" s="1005"/>
      <c r="LW56" s="1005"/>
      <c r="LX56" s="1005"/>
      <c r="LY56" s="1005"/>
      <c r="LZ56" s="1005"/>
      <c r="MA56" s="1005"/>
      <c r="MB56" s="1005"/>
      <c r="MC56" s="1005"/>
      <c r="MD56" s="1005"/>
      <c r="ME56" s="1005"/>
      <c r="MF56" s="1005"/>
      <c r="MG56" s="1005"/>
      <c r="MH56" s="1005"/>
      <c r="MI56" s="1005"/>
      <c r="MJ56" s="1005"/>
      <c r="MK56" s="1005"/>
      <c r="ML56" s="1005"/>
      <c r="MM56" s="1005"/>
      <c r="MN56" s="1005"/>
      <c r="MO56" s="1005"/>
      <c r="MP56" s="1005"/>
      <c r="MQ56" s="1005"/>
      <c r="MR56" s="1005"/>
      <c r="MS56" s="1005"/>
      <c r="MT56" s="1005"/>
      <c r="MU56" s="1005"/>
      <c r="MV56" s="1005"/>
      <c r="MW56" s="1005"/>
      <c r="MX56" s="1005"/>
      <c r="MY56" s="1005"/>
      <c r="MZ56" s="1005"/>
      <c r="NA56" s="1005"/>
      <c r="NB56" s="1005"/>
      <c r="NC56" s="1005"/>
      <c r="ND56" s="1005"/>
      <c r="NE56" s="1005"/>
      <c r="NF56" s="1005"/>
      <c r="NG56" s="1005"/>
      <c r="NH56" s="1005"/>
      <c r="NI56" s="1005"/>
      <c r="NJ56" s="1005"/>
      <c r="NK56" s="1005"/>
      <c r="NL56" s="1005"/>
      <c r="NM56" s="1005"/>
      <c r="NN56" s="1005"/>
      <c r="NO56" s="1005"/>
      <c r="NP56" s="1005"/>
      <c r="NQ56" s="1005"/>
      <c r="NR56" s="1005"/>
      <c r="NS56" s="1005"/>
      <c r="NT56" s="1005"/>
      <c r="NU56" s="1005"/>
      <c r="NV56" s="1005"/>
      <c r="NW56" s="1005"/>
      <c r="NX56" s="1005"/>
      <c r="NY56" s="1005"/>
      <c r="NZ56" s="1005"/>
      <c r="OA56" s="1005"/>
      <c r="OB56" s="1005"/>
      <c r="OC56" s="1005"/>
      <c r="OD56" s="1005"/>
      <c r="OE56" s="1005"/>
      <c r="OF56" s="1005"/>
      <c r="OG56" s="1005"/>
      <c r="OH56" s="1005"/>
      <c r="OI56" s="1005"/>
      <c r="OJ56" s="1005"/>
      <c r="OK56" s="1005"/>
      <c r="OL56" s="1005"/>
      <c r="OM56" s="1005"/>
      <c r="ON56" s="1005"/>
      <c r="OO56" s="1005"/>
      <c r="OP56" s="1005"/>
      <c r="OQ56" s="1005"/>
      <c r="OR56" s="1005"/>
      <c r="OS56" s="1005"/>
      <c r="OT56" s="1005"/>
      <c r="OU56" s="1005"/>
      <c r="OV56" s="1005"/>
      <c r="OW56" s="1005"/>
      <c r="OX56" s="1005"/>
      <c r="OY56" s="1005"/>
      <c r="OZ56" s="1005"/>
      <c r="PA56" s="1005"/>
      <c r="PB56" s="1005"/>
      <c r="PC56" s="1005"/>
      <c r="PD56" s="1005"/>
      <c r="PE56" s="1005"/>
      <c r="PF56" s="1005"/>
      <c r="PG56" s="1005"/>
      <c r="PH56" s="1005"/>
      <c r="PI56" s="1005"/>
      <c r="PJ56" s="1005"/>
      <c r="PK56" s="1005"/>
      <c r="PL56" s="1005"/>
      <c r="PM56" s="1005"/>
      <c r="PN56" s="1005"/>
      <c r="PO56" s="1005"/>
      <c r="PP56" s="1005"/>
      <c r="PQ56" s="1005"/>
      <c r="PR56" s="1005"/>
      <c r="PS56" s="1005"/>
      <c r="PT56" s="1005"/>
      <c r="PU56" s="1005"/>
      <c r="PV56" s="1005"/>
      <c r="PW56" s="1005"/>
      <c r="PX56" s="1005"/>
      <c r="PY56" s="1005"/>
      <c r="PZ56" s="1005"/>
      <c r="QA56" s="1005"/>
      <c r="QB56" s="1005"/>
      <c r="QC56" s="1005"/>
      <c r="QD56" s="1005"/>
      <c r="QE56" s="1005"/>
      <c r="QF56" s="1005"/>
      <c r="QG56" s="1005"/>
      <c r="QH56" s="1005"/>
      <c r="QI56" s="1005"/>
      <c r="QJ56" s="1005"/>
      <c r="QK56" s="1005"/>
      <c r="QL56" s="1005"/>
      <c r="QM56" s="1005"/>
      <c r="QN56" s="1005"/>
      <c r="QO56" s="1005"/>
      <c r="QP56" s="1005"/>
      <c r="QQ56" s="1005"/>
      <c r="QR56" s="1005"/>
      <c r="QS56" s="1005"/>
      <c r="QT56" s="1005"/>
      <c r="QU56" s="1005"/>
      <c r="QV56" s="1005"/>
      <c r="QW56" s="1005"/>
      <c r="QX56" s="1005"/>
      <c r="QY56" s="1005"/>
      <c r="QZ56" s="1005"/>
      <c r="RA56" s="1005"/>
      <c r="RB56" s="1005"/>
      <c r="RC56" s="1005"/>
      <c r="RD56" s="1005"/>
      <c r="RE56" s="1005"/>
      <c r="RF56" s="1005"/>
      <c r="RG56" s="1005"/>
      <c r="RH56" s="1005"/>
      <c r="RI56" s="1005"/>
      <c r="RJ56" s="1005"/>
      <c r="RK56" s="1005"/>
      <c r="RL56" s="1005"/>
      <c r="RM56" s="1005"/>
      <c r="RN56" s="1005"/>
      <c r="RO56" s="1005"/>
      <c r="RP56" s="1005"/>
      <c r="RQ56" s="1005"/>
      <c r="RR56" s="1005"/>
      <c r="RS56" s="1005"/>
      <c r="RT56" s="1005"/>
      <c r="RU56" s="1005"/>
      <c r="RV56" s="1005"/>
      <c r="RW56" s="1005"/>
      <c r="RX56" s="1005"/>
      <c r="RY56" s="1005"/>
      <c r="RZ56" s="1005"/>
      <c r="SA56" s="1005"/>
      <c r="SB56" s="1005"/>
      <c r="SC56" s="1005"/>
      <c r="SD56" s="1005"/>
      <c r="SE56" s="1005"/>
      <c r="SF56" s="1005"/>
      <c r="SG56" s="1005"/>
      <c r="SH56" s="1005"/>
      <c r="SI56" s="1005"/>
      <c r="SJ56" s="1005"/>
      <c r="SK56" s="1005"/>
      <c r="SL56" s="1005"/>
      <c r="SM56" s="1005"/>
      <c r="SN56" s="1005"/>
      <c r="SO56" s="1005"/>
      <c r="SP56" s="1005"/>
      <c r="SQ56" s="1005"/>
      <c r="SR56" s="1005"/>
      <c r="SS56" s="1005"/>
      <c r="ST56" s="1005"/>
      <c r="SU56" s="1005"/>
      <c r="SV56" s="1005"/>
      <c r="SW56" s="1005"/>
      <c r="SX56" s="1005"/>
      <c r="SY56" s="1005"/>
      <c r="SZ56" s="1005"/>
      <c r="TA56" s="1005"/>
      <c r="TB56" s="1005"/>
      <c r="TC56" s="1005"/>
      <c r="TD56" s="1005"/>
      <c r="TE56" s="1005"/>
      <c r="TF56" s="1005"/>
      <c r="TG56" s="1005"/>
      <c r="TH56" s="1005"/>
      <c r="TI56" s="1005"/>
      <c r="TJ56" s="1005"/>
      <c r="TK56" s="1005"/>
      <c r="TL56" s="1005"/>
      <c r="TM56" s="1005"/>
      <c r="TN56" s="1005"/>
      <c r="TO56" s="1005"/>
      <c r="TP56" s="1005"/>
      <c r="TQ56" s="1005"/>
      <c r="TR56" s="1005"/>
      <c r="TS56" s="1005"/>
      <c r="TT56" s="1005"/>
      <c r="TU56" s="1005"/>
      <c r="TV56" s="1005"/>
      <c r="TW56" s="1005"/>
      <c r="TX56" s="1005"/>
      <c r="TY56" s="1005"/>
      <c r="TZ56" s="1005"/>
      <c r="UA56" s="1005"/>
      <c r="UB56" s="1005"/>
      <c r="UC56" s="1005"/>
      <c r="UD56" s="1005"/>
      <c r="UE56" s="1005"/>
      <c r="UF56" s="1005"/>
      <c r="UG56" s="1005"/>
      <c r="UH56" s="1005"/>
      <c r="UI56" s="1005"/>
      <c r="UJ56" s="1005"/>
      <c r="UK56" s="1005"/>
      <c r="UL56" s="1005"/>
      <c r="UM56" s="1005"/>
      <c r="UN56" s="1005"/>
      <c r="UO56" s="1005"/>
      <c r="UP56" s="1005"/>
      <c r="UQ56" s="1005"/>
      <c r="UR56" s="1005"/>
      <c r="US56" s="1005"/>
      <c r="UT56" s="1005"/>
      <c r="UU56" s="1005"/>
      <c r="UV56" s="1005"/>
      <c r="UW56" s="1005"/>
      <c r="UX56" s="1005"/>
      <c r="UY56" s="1005"/>
      <c r="UZ56" s="1005"/>
      <c r="VA56" s="1005"/>
      <c r="VB56" s="1005"/>
      <c r="VC56" s="1005"/>
      <c r="VD56" s="1005"/>
      <c r="VE56" s="1005"/>
      <c r="VF56" s="1005"/>
      <c r="VG56" s="1005"/>
      <c r="VH56" s="1005"/>
      <c r="VI56" s="1005"/>
      <c r="VJ56" s="1005"/>
      <c r="VK56" s="1005"/>
      <c r="VL56" s="1005"/>
      <c r="VM56" s="1005"/>
      <c r="VN56" s="1005"/>
      <c r="VO56" s="1005"/>
      <c r="VP56" s="1005"/>
      <c r="VQ56" s="1005"/>
      <c r="VR56" s="1005"/>
      <c r="VS56" s="1005"/>
      <c r="VT56" s="1005"/>
      <c r="VU56" s="1005"/>
      <c r="VV56" s="1005"/>
      <c r="VW56" s="1005"/>
      <c r="VX56" s="1005"/>
      <c r="VY56" s="1005"/>
      <c r="VZ56" s="1005"/>
      <c r="WA56" s="1005"/>
      <c r="WB56" s="1005"/>
      <c r="WC56" s="1005"/>
      <c r="WD56" s="1005"/>
      <c r="WE56" s="1005"/>
      <c r="WF56" s="1005"/>
      <c r="WG56" s="1005"/>
      <c r="WH56" s="1005"/>
      <c r="WI56" s="1005"/>
      <c r="WJ56" s="1005"/>
      <c r="WK56" s="1005"/>
      <c r="WL56" s="1005"/>
      <c r="WM56" s="1005"/>
      <c r="WN56" s="1005"/>
      <c r="WO56" s="1005"/>
      <c r="WP56" s="1005"/>
      <c r="WQ56" s="1005"/>
      <c r="WR56" s="1005"/>
      <c r="WS56" s="1005"/>
      <c r="WT56" s="1005"/>
      <c r="WU56" s="1005"/>
      <c r="WV56" s="1005"/>
      <c r="WW56" s="1005"/>
      <c r="WX56" s="1005"/>
      <c r="WY56" s="1005"/>
      <c r="WZ56" s="1005"/>
      <c r="XA56" s="1005"/>
      <c r="XB56" s="1005"/>
      <c r="XC56" s="1005"/>
      <c r="XD56" s="1005"/>
      <c r="XE56" s="1005"/>
      <c r="XF56" s="1005"/>
      <c r="XG56" s="1005"/>
      <c r="XH56" s="1005"/>
      <c r="XI56" s="1005"/>
      <c r="XJ56" s="1005"/>
      <c r="XK56" s="1005"/>
      <c r="XL56" s="1005"/>
      <c r="XM56" s="1005"/>
      <c r="XN56" s="1005"/>
      <c r="XO56" s="1005"/>
      <c r="XP56" s="1005"/>
      <c r="XQ56" s="1005"/>
      <c r="XR56" s="1005"/>
      <c r="XS56" s="1005"/>
      <c r="XT56" s="1005"/>
      <c r="XU56" s="1005"/>
      <c r="XV56" s="1005"/>
      <c r="XW56" s="1005"/>
      <c r="XX56" s="1005"/>
      <c r="XY56" s="1005"/>
      <c r="XZ56" s="1005"/>
      <c r="YA56" s="1005"/>
      <c r="YB56" s="1005"/>
      <c r="YC56" s="1005"/>
      <c r="YD56" s="1005"/>
      <c r="YE56" s="1005"/>
      <c r="YF56" s="1005"/>
      <c r="YG56" s="1005"/>
      <c r="YH56" s="1005"/>
      <c r="YI56" s="1005"/>
      <c r="YJ56" s="1005"/>
      <c r="YK56" s="1005"/>
      <c r="YL56" s="1005"/>
      <c r="YM56" s="1005"/>
      <c r="YN56" s="1005"/>
      <c r="YO56" s="1005"/>
      <c r="YP56" s="1005"/>
      <c r="YQ56" s="1005"/>
      <c r="YR56" s="1005"/>
      <c r="YS56" s="1005"/>
      <c r="YT56" s="1005"/>
      <c r="YU56" s="1005"/>
      <c r="YV56" s="1005"/>
      <c r="YW56" s="1005"/>
      <c r="YX56" s="1005"/>
      <c r="YY56" s="1005"/>
      <c r="YZ56" s="1005"/>
      <c r="ZA56" s="1005"/>
      <c r="ZB56" s="1005"/>
      <c r="ZC56" s="1005"/>
      <c r="ZD56" s="1005"/>
      <c r="ZE56" s="1005"/>
      <c r="ZF56" s="1005"/>
      <c r="ZG56" s="1005"/>
      <c r="ZH56" s="1005"/>
      <c r="ZI56" s="1005"/>
      <c r="ZJ56" s="1005"/>
      <c r="ZK56" s="1005"/>
      <c r="ZL56" s="1005"/>
      <c r="ZM56" s="1005"/>
      <c r="ZN56" s="1005"/>
      <c r="ZO56" s="1005"/>
      <c r="ZP56" s="1005"/>
      <c r="ZQ56" s="1005"/>
      <c r="ZR56" s="1005"/>
      <c r="ZS56" s="1005"/>
      <c r="ZT56" s="1005"/>
      <c r="ZU56" s="1005"/>
      <c r="ZV56" s="1005"/>
      <c r="ZW56" s="1005"/>
      <c r="ZX56" s="1005"/>
      <c r="ZY56" s="1005"/>
      <c r="ZZ56" s="1005"/>
      <c r="AAA56" s="1005"/>
      <c r="AAB56" s="1005"/>
      <c r="AAC56" s="1005"/>
      <c r="AAD56" s="1005"/>
      <c r="AAE56" s="1005"/>
      <c r="AAF56" s="1005"/>
      <c r="AAG56" s="1005"/>
      <c r="AAH56" s="1005"/>
      <c r="AAI56" s="1005"/>
      <c r="AAJ56" s="1005"/>
      <c r="AAK56" s="1005"/>
      <c r="AAL56" s="1005"/>
      <c r="AAM56" s="1005"/>
      <c r="AAN56" s="1005"/>
      <c r="AAO56" s="1005"/>
      <c r="AAP56" s="1005"/>
      <c r="AAQ56" s="1005"/>
      <c r="AAR56" s="1005"/>
      <c r="AAS56" s="1005"/>
      <c r="AAT56" s="1005"/>
      <c r="AAU56" s="1005"/>
      <c r="AAV56" s="1005"/>
      <c r="AAW56" s="1005"/>
      <c r="AAX56" s="1005"/>
      <c r="AAY56" s="1005"/>
      <c r="AAZ56" s="1005"/>
      <c r="ABA56" s="1005"/>
      <c r="ABB56" s="1005"/>
      <c r="ABC56" s="1005"/>
      <c r="ABD56" s="1005"/>
      <c r="ABE56" s="1005"/>
      <c r="ABF56" s="1005"/>
      <c r="ABG56" s="1005"/>
      <c r="ABH56" s="1005"/>
      <c r="ABI56" s="1005"/>
      <c r="ABJ56" s="1005"/>
      <c r="ABK56" s="1005"/>
      <c r="ABL56" s="1005"/>
      <c r="ABM56" s="1005"/>
      <c r="ABN56" s="1005"/>
      <c r="ABO56" s="1005"/>
      <c r="ABP56" s="1005"/>
      <c r="ABQ56" s="1005"/>
      <c r="ABR56" s="1005"/>
    </row>
    <row r="57" spans="1:746" s="113" customFormat="1" ht="12.9" hidden="1" customHeight="1" thickBot="1">
      <c r="A57" s="1252"/>
      <c r="B57" s="1621" t="s">
        <v>962</v>
      </c>
      <c r="C57" s="1206"/>
      <c r="D57" s="1630"/>
      <c r="E57" s="263" t="s">
        <v>960</v>
      </c>
      <c r="F57" s="1635"/>
      <c r="G57" s="2347">
        <f>G318</f>
        <v>0.25</v>
      </c>
      <c r="H57" s="2532" t="str">
        <f>IF(AND(fx!$C$58=2,(AJ58+AL58&gt;0)),"!","")</f>
        <v/>
      </c>
      <c r="I57" s="1966"/>
      <c r="J57" s="368"/>
      <c r="K57" s="368"/>
      <c r="L57" s="368"/>
      <c r="M57" s="368"/>
      <c r="N57" s="368"/>
      <c r="O57" s="368"/>
      <c r="P57" s="368"/>
      <c r="Q57" s="368"/>
      <c r="R57" s="368"/>
      <c r="S57" s="368"/>
      <c r="T57" s="368"/>
      <c r="U57" s="810"/>
      <c r="V57" s="810"/>
      <c r="W57" s="810"/>
      <c r="X57" s="810"/>
      <c r="Y57" s="810"/>
      <c r="Z57" s="810"/>
      <c r="AA57" s="810"/>
      <c r="AB57" s="810"/>
      <c r="AC57" s="810"/>
      <c r="AD57" s="810"/>
      <c r="AE57" s="810"/>
      <c r="AF57" s="810"/>
      <c r="AG57" s="1042"/>
      <c r="AH57" s="337"/>
      <c r="AI57" s="337"/>
      <c r="AJ57" s="901">
        <f>IF(fx!C58=2,0,IF(fx!$C$57=1,SUMIF(fx!I$57:T$57,1,I57:T57),IF(fx!$C$57=2,SUMIF(fx!O$57:AF$57,1,O57:AF57))))</f>
        <v>0</v>
      </c>
      <c r="AK57" s="1207"/>
      <c r="AL57" s="902">
        <f>IF(fx!C58=2,0,IF(fx!$C$57=1,SUM(U57:AF57),0))</f>
        <v>0</v>
      </c>
      <c r="AM57" s="1005"/>
      <c r="AN57" s="1011"/>
      <c r="AO57" s="1945"/>
      <c r="AP57" s="1935"/>
      <c r="AQ57" s="1936"/>
      <c r="AR57" s="1941"/>
      <c r="AS57" s="1941"/>
      <c r="AT57" s="1941"/>
      <c r="AU57" s="1941"/>
      <c r="AV57" s="1941"/>
      <c r="AW57" s="1941"/>
      <c r="AX57" s="1941"/>
      <c r="AY57" s="1941"/>
      <c r="AZ57" s="1941"/>
      <c r="BA57" s="1941"/>
      <c r="BB57" s="1941"/>
      <c r="BC57" s="1941"/>
      <c r="BD57" s="1941"/>
      <c r="BE57" s="1941"/>
      <c r="BF57" s="1941"/>
      <c r="BG57" s="1941"/>
      <c r="BH57" s="1941"/>
      <c r="BI57" s="1941"/>
      <c r="BJ57" s="1941"/>
      <c r="BK57" s="1941"/>
      <c r="BL57" s="1941"/>
      <c r="BM57" s="1941"/>
      <c r="BN57" s="1941"/>
      <c r="BO57" s="1941"/>
      <c r="BP57" s="1005"/>
      <c r="BQ57" s="1005"/>
      <c r="BR57" s="1005"/>
      <c r="BS57" s="1005"/>
      <c r="BT57" s="1005"/>
      <c r="BU57" s="1005"/>
      <c r="BV57" s="1005"/>
      <c r="BW57" s="1005"/>
      <c r="BX57" s="1005"/>
      <c r="BY57" s="1005"/>
      <c r="BZ57" s="1005"/>
      <c r="CA57" s="1005"/>
      <c r="CB57" s="1005"/>
      <c r="CC57" s="1005"/>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c r="EC57" s="1005"/>
      <c r="ED57" s="1005"/>
      <c r="EE57" s="1005"/>
      <c r="EF57" s="1005"/>
      <c r="EG57" s="1005"/>
      <c r="EH57" s="1005"/>
      <c r="EI57" s="1005"/>
      <c r="EJ57" s="1005"/>
      <c r="EK57" s="1005"/>
      <c r="EL57" s="1005"/>
      <c r="EM57" s="1005"/>
      <c r="EN57" s="1005"/>
      <c r="EO57" s="1005"/>
      <c r="EP57" s="1005"/>
      <c r="EQ57" s="1005"/>
      <c r="ER57" s="1005"/>
      <c r="ES57" s="1005"/>
      <c r="ET57" s="1005"/>
      <c r="EU57" s="1005"/>
      <c r="EV57" s="1005"/>
      <c r="EW57" s="1005"/>
      <c r="EX57" s="1005"/>
      <c r="EY57" s="1005"/>
      <c r="EZ57" s="1005"/>
      <c r="FA57" s="1005"/>
      <c r="FB57" s="1005"/>
      <c r="FC57" s="1005"/>
      <c r="FD57" s="1005"/>
      <c r="FE57" s="1005"/>
      <c r="FF57" s="1005"/>
      <c r="FG57" s="1005"/>
      <c r="FH57" s="1005"/>
      <c r="FI57" s="1005"/>
      <c r="FJ57" s="1005"/>
      <c r="FK57" s="1005"/>
      <c r="FL57" s="1005"/>
      <c r="FM57" s="1005"/>
      <c r="FN57" s="1005"/>
      <c r="FO57" s="1005"/>
      <c r="FP57" s="1005"/>
      <c r="FQ57" s="1005"/>
      <c r="FR57" s="1005"/>
      <c r="FS57" s="1005"/>
      <c r="FT57" s="1005"/>
      <c r="FU57" s="1005"/>
      <c r="FV57" s="1005"/>
      <c r="FW57" s="1005"/>
      <c r="FX57" s="1005"/>
      <c r="FY57" s="1005"/>
      <c r="FZ57" s="1005"/>
      <c r="GA57" s="1005"/>
      <c r="GB57" s="1005"/>
      <c r="GC57" s="1005"/>
      <c r="GD57" s="1005"/>
      <c r="GE57" s="1005"/>
      <c r="GF57" s="1005"/>
      <c r="GG57" s="1005"/>
      <c r="GH57" s="1005"/>
      <c r="GI57" s="1005"/>
      <c r="GJ57" s="1005"/>
      <c r="GK57" s="1005"/>
      <c r="GL57" s="1005"/>
      <c r="GM57" s="1005"/>
      <c r="GN57" s="1005"/>
      <c r="GO57" s="1005"/>
      <c r="GP57" s="1005"/>
      <c r="GQ57" s="1005"/>
      <c r="GR57" s="1005"/>
      <c r="GS57" s="1005"/>
      <c r="GT57" s="1005"/>
      <c r="GU57" s="1005"/>
      <c r="GV57" s="1005"/>
      <c r="GW57" s="1005"/>
      <c r="GX57" s="1005"/>
      <c r="GY57" s="1005"/>
      <c r="GZ57" s="1005"/>
      <c r="HA57" s="1005"/>
      <c r="HB57" s="1005"/>
      <c r="HC57" s="1005"/>
      <c r="HD57" s="1005"/>
      <c r="HE57" s="1005"/>
      <c r="HF57" s="1005"/>
      <c r="HG57" s="1005"/>
      <c r="HH57" s="1005"/>
      <c r="HI57" s="1005"/>
      <c r="HJ57" s="1005"/>
      <c r="HK57" s="1005"/>
      <c r="HL57" s="1005"/>
      <c r="HM57" s="1005"/>
      <c r="HN57" s="1005"/>
      <c r="HO57" s="1005"/>
      <c r="HP57" s="1005"/>
      <c r="HQ57" s="1005"/>
      <c r="HR57" s="1005"/>
      <c r="HS57" s="1005"/>
      <c r="HT57" s="1005"/>
      <c r="HU57" s="1005"/>
      <c r="HV57" s="1005"/>
      <c r="HW57" s="1005"/>
      <c r="HX57" s="1005"/>
      <c r="HY57" s="1005"/>
      <c r="HZ57" s="1005"/>
      <c r="IA57" s="1005"/>
      <c r="IB57" s="1005"/>
      <c r="IC57" s="1005"/>
      <c r="ID57" s="1005"/>
      <c r="IE57" s="1005"/>
      <c r="IF57" s="1005"/>
      <c r="IG57" s="1005"/>
      <c r="IH57" s="1005"/>
      <c r="II57" s="1005"/>
      <c r="IJ57" s="1005"/>
      <c r="IK57" s="1005"/>
      <c r="IL57" s="1005"/>
      <c r="IM57" s="1005"/>
      <c r="IN57" s="1005"/>
      <c r="IO57" s="1005"/>
      <c r="IP57" s="1005"/>
      <c r="IQ57" s="1005"/>
      <c r="IR57" s="1005"/>
      <c r="IS57" s="1005"/>
      <c r="IT57" s="1005"/>
      <c r="IU57" s="1005"/>
      <c r="IV57" s="1005"/>
      <c r="IW57" s="1005"/>
      <c r="IX57" s="1005"/>
      <c r="IY57" s="1005"/>
      <c r="IZ57" s="1005"/>
      <c r="JA57" s="1005"/>
      <c r="JB57" s="1005"/>
      <c r="JC57" s="1005"/>
      <c r="JD57" s="1005"/>
      <c r="JE57" s="1005"/>
      <c r="JF57" s="1005"/>
      <c r="JG57" s="1005"/>
      <c r="JH57" s="1005"/>
      <c r="JI57" s="1005"/>
      <c r="JJ57" s="1005"/>
      <c r="JK57" s="1005"/>
      <c r="JL57" s="1005"/>
      <c r="JM57" s="1005"/>
      <c r="JN57" s="1005"/>
      <c r="JO57" s="1005"/>
      <c r="JP57" s="1005"/>
      <c r="JQ57" s="1005"/>
      <c r="JR57" s="1005"/>
      <c r="JS57" s="1005"/>
      <c r="JT57" s="1005"/>
      <c r="JU57" s="1005"/>
      <c r="JV57" s="1005"/>
      <c r="JW57" s="1005"/>
      <c r="JX57" s="1005"/>
      <c r="JY57" s="1005"/>
      <c r="JZ57" s="1005"/>
      <c r="KA57" s="1005"/>
      <c r="KB57" s="1005"/>
      <c r="KC57" s="1005"/>
      <c r="KD57" s="1005"/>
      <c r="KE57" s="1005"/>
      <c r="KF57" s="1005"/>
      <c r="KG57" s="1005"/>
      <c r="KH57" s="1005"/>
      <c r="KI57" s="1005"/>
      <c r="KJ57" s="1005"/>
      <c r="KK57" s="1005"/>
      <c r="KL57" s="1005"/>
      <c r="KM57" s="1005"/>
      <c r="KN57" s="1005"/>
      <c r="KO57" s="1005"/>
      <c r="KP57" s="1005"/>
      <c r="KQ57" s="1005"/>
      <c r="KR57" s="1005"/>
      <c r="KS57" s="1005"/>
      <c r="KT57" s="1005"/>
      <c r="KU57" s="1005"/>
      <c r="KV57" s="1005"/>
      <c r="KW57" s="1005"/>
      <c r="KX57" s="1005"/>
      <c r="KY57" s="1005"/>
      <c r="KZ57" s="1005"/>
      <c r="LA57" s="1005"/>
      <c r="LB57" s="1005"/>
      <c r="LC57" s="1005"/>
      <c r="LD57" s="1005"/>
      <c r="LE57" s="1005"/>
      <c r="LF57" s="1005"/>
      <c r="LG57" s="1005"/>
      <c r="LH57" s="1005"/>
      <c r="LI57" s="1005"/>
      <c r="LJ57" s="1005"/>
      <c r="LK57" s="1005"/>
      <c r="LL57" s="1005"/>
      <c r="LM57" s="1005"/>
      <c r="LN57" s="1005"/>
      <c r="LO57" s="1005"/>
      <c r="LP57" s="1005"/>
      <c r="LQ57" s="1005"/>
      <c r="LR57" s="1005"/>
      <c r="LS57" s="1005"/>
      <c r="LT57" s="1005"/>
      <c r="LU57" s="1005"/>
      <c r="LV57" s="1005"/>
      <c r="LW57" s="1005"/>
      <c r="LX57" s="1005"/>
      <c r="LY57" s="1005"/>
      <c r="LZ57" s="1005"/>
      <c r="MA57" s="1005"/>
      <c r="MB57" s="1005"/>
      <c r="MC57" s="1005"/>
      <c r="MD57" s="1005"/>
      <c r="ME57" s="1005"/>
      <c r="MF57" s="1005"/>
      <c r="MG57" s="1005"/>
      <c r="MH57" s="1005"/>
      <c r="MI57" s="1005"/>
      <c r="MJ57" s="1005"/>
      <c r="MK57" s="1005"/>
      <c r="ML57" s="1005"/>
      <c r="MM57" s="1005"/>
      <c r="MN57" s="1005"/>
      <c r="MO57" s="1005"/>
      <c r="MP57" s="1005"/>
      <c r="MQ57" s="1005"/>
      <c r="MR57" s="1005"/>
      <c r="MS57" s="1005"/>
      <c r="MT57" s="1005"/>
      <c r="MU57" s="1005"/>
      <c r="MV57" s="1005"/>
      <c r="MW57" s="1005"/>
      <c r="MX57" s="1005"/>
      <c r="MY57" s="1005"/>
      <c r="MZ57" s="1005"/>
      <c r="NA57" s="1005"/>
      <c r="NB57" s="1005"/>
      <c r="NC57" s="1005"/>
      <c r="ND57" s="1005"/>
      <c r="NE57" s="1005"/>
      <c r="NF57" s="1005"/>
      <c r="NG57" s="1005"/>
      <c r="NH57" s="1005"/>
      <c r="NI57" s="1005"/>
      <c r="NJ57" s="1005"/>
      <c r="NK57" s="1005"/>
      <c r="NL57" s="1005"/>
      <c r="NM57" s="1005"/>
      <c r="NN57" s="1005"/>
      <c r="NO57" s="1005"/>
      <c r="NP57" s="1005"/>
      <c r="NQ57" s="1005"/>
      <c r="NR57" s="1005"/>
      <c r="NS57" s="1005"/>
      <c r="NT57" s="1005"/>
      <c r="NU57" s="1005"/>
      <c r="NV57" s="1005"/>
      <c r="NW57" s="1005"/>
      <c r="NX57" s="1005"/>
      <c r="NY57" s="1005"/>
      <c r="NZ57" s="1005"/>
      <c r="OA57" s="1005"/>
      <c r="OB57" s="1005"/>
      <c r="OC57" s="1005"/>
      <c r="OD57" s="1005"/>
      <c r="OE57" s="1005"/>
      <c r="OF57" s="1005"/>
      <c r="OG57" s="1005"/>
      <c r="OH57" s="1005"/>
      <c r="OI57" s="1005"/>
      <c r="OJ57" s="1005"/>
      <c r="OK57" s="1005"/>
      <c r="OL57" s="1005"/>
      <c r="OM57" s="1005"/>
      <c r="ON57" s="1005"/>
      <c r="OO57" s="1005"/>
      <c r="OP57" s="1005"/>
      <c r="OQ57" s="1005"/>
      <c r="OR57" s="1005"/>
      <c r="OS57" s="1005"/>
      <c r="OT57" s="1005"/>
      <c r="OU57" s="1005"/>
      <c r="OV57" s="1005"/>
      <c r="OW57" s="1005"/>
      <c r="OX57" s="1005"/>
      <c r="OY57" s="1005"/>
      <c r="OZ57" s="1005"/>
      <c r="PA57" s="1005"/>
      <c r="PB57" s="1005"/>
      <c r="PC57" s="1005"/>
      <c r="PD57" s="1005"/>
      <c r="PE57" s="1005"/>
      <c r="PF57" s="1005"/>
      <c r="PG57" s="1005"/>
      <c r="PH57" s="1005"/>
      <c r="PI57" s="1005"/>
      <c r="PJ57" s="1005"/>
      <c r="PK57" s="1005"/>
      <c r="PL57" s="1005"/>
      <c r="PM57" s="1005"/>
      <c r="PN57" s="1005"/>
      <c r="PO57" s="1005"/>
      <c r="PP57" s="1005"/>
      <c r="PQ57" s="1005"/>
      <c r="PR57" s="1005"/>
      <c r="PS57" s="1005"/>
      <c r="PT57" s="1005"/>
      <c r="PU57" s="1005"/>
      <c r="PV57" s="1005"/>
      <c r="PW57" s="1005"/>
      <c r="PX57" s="1005"/>
      <c r="PY57" s="1005"/>
      <c r="PZ57" s="1005"/>
      <c r="QA57" s="1005"/>
      <c r="QB57" s="1005"/>
      <c r="QC57" s="1005"/>
      <c r="QD57" s="1005"/>
      <c r="QE57" s="1005"/>
      <c r="QF57" s="1005"/>
      <c r="QG57" s="1005"/>
      <c r="QH57" s="1005"/>
      <c r="QI57" s="1005"/>
      <c r="QJ57" s="1005"/>
      <c r="QK57" s="1005"/>
      <c r="QL57" s="1005"/>
      <c r="QM57" s="1005"/>
      <c r="QN57" s="1005"/>
      <c r="QO57" s="1005"/>
      <c r="QP57" s="1005"/>
      <c r="QQ57" s="1005"/>
      <c r="QR57" s="1005"/>
      <c r="QS57" s="1005"/>
      <c r="QT57" s="1005"/>
      <c r="QU57" s="1005"/>
      <c r="QV57" s="1005"/>
      <c r="QW57" s="1005"/>
      <c r="QX57" s="1005"/>
      <c r="QY57" s="1005"/>
      <c r="QZ57" s="1005"/>
      <c r="RA57" s="1005"/>
      <c r="RB57" s="1005"/>
      <c r="RC57" s="1005"/>
      <c r="RD57" s="1005"/>
      <c r="RE57" s="1005"/>
      <c r="RF57" s="1005"/>
      <c r="RG57" s="1005"/>
      <c r="RH57" s="1005"/>
      <c r="RI57" s="1005"/>
      <c r="RJ57" s="1005"/>
      <c r="RK57" s="1005"/>
      <c r="RL57" s="1005"/>
      <c r="RM57" s="1005"/>
      <c r="RN57" s="1005"/>
      <c r="RO57" s="1005"/>
      <c r="RP57" s="1005"/>
      <c r="RQ57" s="1005"/>
      <c r="RR57" s="1005"/>
      <c r="RS57" s="1005"/>
      <c r="RT57" s="1005"/>
      <c r="RU57" s="1005"/>
      <c r="RV57" s="1005"/>
      <c r="RW57" s="1005"/>
      <c r="RX57" s="1005"/>
      <c r="RY57" s="1005"/>
      <c r="RZ57" s="1005"/>
      <c r="SA57" s="1005"/>
      <c r="SB57" s="1005"/>
      <c r="SC57" s="1005"/>
      <c r="SD57" s="1005"/>
      <c r="SE57" s="1005"/>
      <c r="SF57" s="1005"/>
      <c r="SG57" s="1005"/>
      <c r="SH57" s="1005"/>
      <c r="SI57" s="1005"/>
      <c r="SJ57" s="1005"/>
      <c r="SK57" s="1005"/>
      <c r="SL57" s="1005"/>
      <c r="SM57" s="1005"/>
      <c r="SN57" s="1005"/>
      <c r="SO57" s="1005"/>
      <c r="SP57" s="1005"/>
      <c r="SQ57" s="1005"/>
      <c r="SR57" s="1005"/>
      <c r="SS57" s="1005"/>
      <c r="ST57" s="1005"/>
      <c r="SU57" s="1005"/>
      <c r="SV57" s="1005"/>
      <c r="SW57" s="1005"/>
      <c r="SX57" s="1005"/>
      <c r="SY57" s="1005"/>
      <c r="SZ57" s="1005"/>
      <c r="TA57" s="1005"/>
      <c r="TB57" s="1005"/>
      <c r="TC57" s="1005"/>
      <c r="TD57" s="1005"/>
      <c r="TE57" s="1005"/>
      <c r="TF57" s="1005"/>
      <c r="TG57" s="1005"/>
      <c r="TH57" s="1005"/>
      <c r="TI57" s="1005"/>
      <c r="TJ57" s="1005"/>
      <c r="TK57" s="1005"/>
      <c r="TL57" s="1005"/>
      <c r="TM57" s="1005"/>
      <c r="TN57" s="1005"/>
      <c r="TO57" s="1005"/>
      <c r="TP57" s="1005"/>
      <c r="TQ57" s="1005"/>
      <c r="TR57" s="1005"/>
      <c r="TS57" s="1005"/>
      <c r="TT57" s="1005"/>
      <c r="TU57" s="1005"/>
      <c r="TV57" s="1005"/>
      <c r="TW57" s="1005"/>
      <c r="TX57" s="1005"/>
      <c r="TY57" s="1005"/>
      <c r="TZ57" s="1005"/>
      <c r="UA57" s="1005"/>
      <c r="UB57" s="1005"/>
      <c r="UC57" s="1005"/>
      <c r="UD57" s="1005"/>
      <c r="UE57" s="1005"/>
      <c r="UF57" s="1005"/>
      <c r="UG57" s="1005"/>
      <c r="UH57" s="1005"/>
      <c r="UI57" s="1005"/>
      <c r="UJ57" s="1005"/>
      <c r="UK57" s="1005"/>
      <c r="UL57" s="1005"/>
      <c r="UM57" s="1005"/>
      <c r="UN57" s="1005"/>
      <c r="UO57" s="1005"/>
      <c r="UP57" s="1005"/>
      <c r="UQ57" s="1005"/>
      <c r="UR57" s="1005"/>
      <c r="US57" s="1005"/>
      <c r="UT57" s="1005"/>
      <c r="UU57" s="1005"/>
      <c r="UV57" s="1005"/>
      <c r="UW57" s="1005"/>
      <c r="UX57" s="1005"/>
      <c r="UY57" s="1005"/>
      <c r="UZ57" s="1005"/>
      <c r="VA57" s="1005"/>
      <c r="VB57" s="1005"/>
      <c r="VC57" s="1005"/>
      <c r="VD57" s="1005"/>
      <c r="VE57" s="1005"/>
      <c r="VF57" s="1005"/>
      <c r="VG57" s="1005"/>
      <c r="VH57" s="1005"/>
      <c r="VI57" s="1005"/>
      <c r="VJ57" s="1005"/>
      <c r="VK57" s="1005"/>
      <c r="VL57" s="1005"/>
      <c r="VM57" s="1005"/>
      <c r="VN57" s="1005"/>
      <c r="VO57" s="1005"/>
      <c r="VP57" s="1005"/>
      <c r="VQ57" s="1005"/>
      <c r="VR57" s="1005"/>
      <c r="VS57" s="1005"/>
      <c r="VT57" s="1005"/>
      <c r="VU57" s="1005"/>
      <c r="VV57" s="1005"/>
      <c r="VW57" s="1005"/>
      <c r="VX57" s="1005"/>
      <c r="VY57" s="1005"/>
      <c r="VZ57" s="1005"/>
      <c r="WA57" s="1005"/>
      <c r="WB57" s="1005"/>
      <c r="WC57" s="1005"/>
      <c r="WD57" s="1005"/>
      <c r="WE57" s="1005"/>
      <c r="WF57" s="1005"/>
      <c r="WG57" s="1005"/>
      <c r="WH57" s="1005"/>
      <c r="WI57" s="1005"/>
      <c r="WJ57" s="1005"/>
      <c r="WK57" s="1005"/>
      <c r="WL57" s="1005"/>
      <c r="WM57" s="1005"/>
      <c r="WN57" s="1005"/>
      <c r="WO57" s="1005"/>
      <c r="WP57" s="1005"/>
      <c r="WQ57" s="1005"/>
      <c r="WR57" s="1005"/>
      <c r="WS57" s="1005"/>
      <c r="WT57" s="1005"/>
      <c r="WU57" s="1005"/>
      <c r="WV57" s="1005"/>
      <c r="WW57" s="1005"/>
      <c r="WX57" s="1005"/>
      <c r="WY57" s="1005"/>
      <c r="WZ57" s="1005"/>
      <c r="XA57" s="1005"/>
      <c r="XB57" s="1005"/>
      <c r="XC57" s="1005"/>
      <c r="XD57" s="1005"/>
      <c r="XE57" s="1005"/>
      <c r="XF57" s="1005"/>
      <c r="XG57" s="1005"/>
      <c r="XH57" s="1005"/>
      <c r="XI57" s="1005"/>
      <c r="XJ57" s="1005"/>
      <c r="XK57" s="1005"/>
      <c r="XL57" s="1005"/>
      <c r="XM57" s="1005"/>
      <c r="XN57" s="1005"/>
      <c r="XO57" s="1005"/>
      <c r="XP57" s="1005"/>
      <c r="XQ57" s="1005"/>
      <c r="XR57" s="1005"/>
      <c r="XS57" s="1005"/>
      <c r="XT57" s="1005"/>
      <c r="XU57" s="1005"/>
      <c r="XV57" s="1005"/>
      <c r="XW57" s="1005"/>
      <c r="XX57" s="1005"/>
      <c r="XY57" s="1005"/>
      <c r="XZ57" s="1005"/>
      <c r="YA57" s="1005"/>
      <c r="YB57" s="1005"/>
      <c r="YC57" s="1005"/>
      <c r="YD57" s="1005"/>
      <c r="YE57" s="1005"/>
      <c r="YF57" s="1005"/>
      <c r="YG57" s="1005"/>
      <c r="YH57" s="1005"/>
      <c r="YI57" s="1005"/>
      <c r="YJ57" s="1005"/>
      <c r="YK57" s="1005"/>
      <c r="YL57" s="1005"/>
      <c r="YM57" s="1005"/>
      <c r="YN57" s="1005"/>
      <c r="YO57" s="1005"/>
      <c r="YP57" s="1005"/>
      <c r="YQ57" s="1005"/>
      <c r="YR57" s="1005"/>
      <c r="YS57" s="1005"/>
      <c r="YT57" s="1005"/>
      <c r="YU57" s="1005"/>
      <c r="YV57" s="1005"/>
      <c r="YW57" s="1005"/>
      <c r="YX57" s="1005"/>
      <c r="YY57" s="1005"/>
      <c r="YZ57" s="1005"/>
      <c r="ZA57" s="1005"/>
      <c r="ZB57" s="1005"/>
      <c r="ZC57" s="1005"/>
      <c r="ZD57" s="1005"/>
      <c r="ZE57" s="1005"/>
      <c r="ZF57" s="1005"/>
      <c r="ZG57" s="1005"/>
      <c r="ZH57" s="1005"/>
      <c r="ZI57" s="1005"/>
      <c r="ZJ57" s="1005"/>
      <c r="ZK57" s="1005"/>
      <c r="ZL57" s="1005"/>
      <c r="ZM57" s="1005"/>
      <c r="ZN57" s="1005"/>
      <c r="ZO57" s="1005"/>
      <c r="ZP57" s="1005"/>
      <c r="ZQ57" s="1005"/>
      <c r="ZR57" s="1005"/>
      <c r="ZS57" s="1005"/>
      <c r="ZT57" s="1005"/>
      <c r="ZU57" s="1005"/>
      <c r="ZV57" s="1005"/>
      <c r="ZW57" s="1005"/>
      <c r="ZX57" s="1005"/>
      <c r="ZY57" s="1005"/>
      <c r="ZZ57" s="1005"/>
      <c r="AAA57" s="1005"/>
      <c r="AAB57" s="1005"/>
      <c r="AAC57" s="1005"/>
      <c r="AAD57" s="1005"/>
      <c r="AAE57" s="1005"/>
      <c r="AAF57" s="1005"/>
      <c r="AAG57" s="1005"/>
      <c r="AAH57" s="1005"/>
      <c r="AAI57" s="1005"/>
      <c r="AAJ57" s="1005"/>
      <c r="AAK57" s="1005"/>
      <c r="AAL57" s="1005"/>
      <c r="AAM57" s="1005"/>
      <c r="AAN57" s="1005"/>
      <c r="AAO57" s="1005"/>
      <c r="AAP57" s="1005"/>
      <c r="AAQ57" s="1005"/>
      <c r="AAR57" s="1005"/>
      <c r="AAS57" s="1005"/>
      <c r="AAT57" s="1005"/>
      <c r="AAU57" s="1005"/>
      <c r="AAV57" s="1005"/>
      <c r="AAW57" s="1005"/>
      <c r="AAX57" s="1005"/>
      <c r="AAY57" s="1005"/>
      <c r="AAZ57" s="1005"/>
      <c r="ABA57" s="1005"/>
      <c r="ABB57" s="1005"/>
      <c r="ABC57" s="1005"/>
      <c r="ABD57" s="1005"/>
      <c r="ABE57" s="1005"/>
      <c r="ABF57" s="1005"/>
      <c r="ABG57" s="1005"/>
      <c r="ABH57" s="1005"/>
      <c r="ABI57" s="1005"/>
      <c r="ABJ57" s="1005"/>
      <c r="ABK57" s="1005"/>
      <c r="ABL57" s="1005"/>
      <c r="ABM57" s="1005"/>
      <c r="ABN57" s="1005"/>
      <c r="ABO57" s="1005"/>
      <c r="ABP57" s="1005"/>
      <c r="ABQ57" s="1005"/>
      <c r="ABR57" s="1005"/>
    </row>
    <row r="58" spans="1:746" s="111" customFormat="1" ht="12.9" hidden="1" customHeight="1" thickBot="1">
      <c r="A58" s="1252"/>
      <c r="B58" s="1634" t="s">
        <v>963</v>
      </c>
      <c r="C58" s="1209"/>
      <c r="D58" s="1622"/>
      <c r="E58" s="263" t="s">
        <v>960</v>
      </c>
      <c r="F58" s="581"/>
      <c r="G58" s="2347">
        <f>G318</f>
        <v>0.25</v>
      </c>
      <c r="H58" s="2532" t="str">
        <f>IF(AND(fx!$C$58=2,(AJ58+AL58&gt;0)),"!","")</f>
        <v/>
      </c>
      <c r="I58" s="794"/>
      <c r="J58" s="794"/>
      <c r="K58" s="794"/>
      <c r="L58" s="794"/>
      <c r="M58" s="794"/>
      <c r="N58" s="794"/>
      <c r="O58" s="794"/>
      <c r="P58" s="794"/>
      <c r="Q58" s="794"/>
      <c r="R58" s="794"/>
      <c r="S58" s="794"/>
      <c r="T58" s="794"/>
      <c r="U58" s="794"/>
      <c r="V58" s="794"/>
      <c r="W58" s="794"/>
      <c r="X58" s="794"/>
      <c r="Y58" s="794"/>
      <c r="Z58" s="794"/>
      <c r="AA58" s="794"/>
      <c r="AB58" s="794"/>
      <c r="AC58" s="794"/>
      <c r="AD58" s="794"/>
      <c r="AE58" s="794"/>
      <c r="AF58" s="794"/>
      <c r="AG58" s="1042"/>
      <c r="AH58" s="337"/>
      <c r="AI58" s="337"/>
      <c r="AJ58" s="901">
        <f>IF(fx!C58=2,0,IF(fx!$C$57=1,SUMIF(fx!I$57:T$57,1,I58:T58),IF(fx!$C$57=2,SUMIF(fx!O$57:AF$57,1,O58:AF58))))</f>
        <v>0</v>
      </c>
      <c r="AK58" s="1207"/>
      <c r="AL58" s="902">
        <f>IF(fx!C58=2,0,IF(fx!$C$57=1,SUM(U58:AF58),0))</f>
        <v>0</v>
      </c>
      <c r="AM58" s="1005"/>
      <c r="AN58" s="1011"/>
      <c r="AO58" s="1945"/>
      <c r="AP58" s="1935"/>
      <c r="AQ58" s="1936"/>
      <c r="AR58" s="1941"/>
      <c r="AS58" s="1941"/>
      <c r="AT58" s="1941"/>
      <c r="AU58" s="1941"/>
      <c r="AV58" s="1941"/>
      <c r="AW58" s="1941"/>
      <c r="AX58" s="1941"/>
      <c r="AY58" s="1941"/>
      <c r="AZ58" s="1941"/>
      <c r="BA58" s="1941"/>
      <c r="BB58" s="1941"/>
      <c r="BC58" s="1941"/>
      <c r="BD58" s="1941"/>
      <c r="BE58" s="1941"/>
      <c r="BF58" s="1941"/>
      <c r="BG58" s="1941"/>
      <c r="BH58" s="1941"/>
      <c r="BI58" s="1941"/>
      <c r="BJ58" s="1941"/>
      <c r="BK58" s="1941"/>
      <c r="BL58" s="1941"/>
      <c r="BM58" s="1941"/>
      <c r="BN58" s="1941"/>
      <c r="BO58" s="1941"/>
      <c r="BP58" s="1009"/>
      <c r="BQ58" s="1009"/>
      <c r="BR58" s="1009"/>
      <c r="BS58" s="1009"/>
      <c r="BT58" s="1009"/>
      <c r="BU58" s="1009"/>
      <c r="BV58" s="1009"/>
      <c r="BW58" s="1009"/>
      <c r="BX58" s="1009"/>
      <c r="BY58" s="1009"/>
      <c r="BZ58" s="1009"/>
      <c r="CA58" s="1009"/>
      <c r="CB58" s="1009"/>
      <c r="CC58" s="1009"/>
      <c r="CD58" s="1009"/>
      <c r="CE58" s="1009"/>
      <c r="CF58" s="1009"/>
      <c r="CG58" s="1009"/>
      <c r="CH58" s="1009"/>
      <c r="CI58" s="1009"/>
      <c r="CJ58" s="1009"/>
      <c r="CK58" s="1009"/>
      <c r="CL58" s="1009"/>
      <c r="CM58" s="1009"/>
      <c r="CN58" s="1009"/>
      <c r="CO58" s="1009"/>
      <c r="CP58" s="1009"/>
      <c r="CQ58" s="1009"/>
      <c r="CR58" s="1009"/>
      <c r="CS58" s="1009"/>
      <c r="CT58" s="1009"/>
      <c r="CU58" s="1009"/>
      <c r="CV58" s="1009"/>
      <c r="CW58" s="1009"/>
      <c r="CX58" s="1009"/>
      <c r="CY58" s="1009"/>
      <c r="CZ58" s="1009"/>
      <c r="DA58" s="1009"/>
      <c r="DB58" s="1009"/>
      <c r="DC58" s="1009"/>
      <c r="DD58" s="1009"/>
      <c r="DE58" s="1009"/>
      <c r="DF58" s="1009"/>
      <c r="DG58" s="1009"/>
      <c r="DH58" s="1009"/>
      <c r="DI58" s="1009"/>
      <c r="DJ58" s="1009"/>
      <c r="DK58" s="1009"/>
      <c r="DL58" s="1009"/>
      <c r="DM58" s="1009"/>
      <c r="DN58" s="1009"/>
      <c r="DO58" s="1009"/>
      <c r="DP58" s="1009"/>
      <c r="DQ58" s="1009"/>
      <c r="DR58" s="1009"/>
      <c r="DS58" s="1009"/>
      <c r="DT58" s="1009"/>
      <c r="DU58" s="1009"/>
      <c r="DV58" s="1009"/>
      <c r="DW58" s="1009"/>
      <c r="DX58" s="1009"/>
      <c r="DY58" s="1009"/>
      <c r="DZ58" s="1009"/>
      <c r="EA58" s="1009"/>
      <c r="EB58" s="1009"/>
      <c r="EC58" s="1009"/>
      <c r="ED58" s="1009"/>
      <c r="EE58" s="1009"/>
      <c r="EF58" s="1009"/>
      <c r="EG58" s="1009"/>
      <c r="EH58" s="1009"/>
      <c r="EI58" s="1009"/>
      <c r="EJ58" s="1009"/>
      <c r="EK58" s="1009"/>
      <c r="EL58" s="1009"/>
      <c r="EM58" s="1009"/>
      <c r="EN58" s="1009"/>
      <c r="EO58" s="1009"/>
      <c r="EP58" s="1009"/>
      <c r="EQ58" s="1009"/>
      <c r="ER58" s="1009"/>
      <c r="ES58" s="1009"/>
      <c r="ET58" s="1009"/>
      <c r="EU58" s="1009"/>
      <c r="EV58" s="1009"/>
      <c r="EW58" s="1009"/>
      <c r="EX58" s="1009"/>
      <c r="EY58" s="1009"/>
      <c r="EZ58" s="1009"/>
      <c r="FA58" s="1009"/>
      <c r="FB58" s="1009"/>
      <c r="FC58" s="1009"/>
      <c r="FD58" s="1009"/>
      <c r="FE58" s="1009"/>
      <c r="FF58" s="1009"/>
      <c r="FG58" s="1009"/>
      <c r="FH58" s="1009"/>
      <c r="FI58" s="1009"/>
      <c r="FJ58" s="1009"/>
      <c r="FK58" s="1009"/>
      <c r="FL58" s="1009"/>
      <c r="FM58" s="1009"/>
      <c r="FN58" s="1009"/>
      <c r="FO58" s="1009"/>
      <c r="FP58" s="1009"/>
      <c r="FQ58" s="1009"/>
      <c r="FR58" s="1009"/>
      <c r="FS58" s="1009"/>
      <c r="FT58" s="1009"/>
      <c r="FU58" s="1009"/>
      <c r="FV58" s="1009"/>
      <c r="FW58" s="1009"/>
      <c r="FX58" s="1009"/>
      <c r="FY58" s="1009"/>
      <c r="FZ58" s="1009"/>
      <c r="GA58" s="1009"/>
      <c r="GB58" s="1009"/>
      <c r="GC58" s="1009"/>
      <c r="GD58" s="1009"/>
      <c r="GE58" s="1009"/>
      <c r="GF58" s="1009"/>
      <c r="GG58" s="1009"/>
      <c r="GH58" s="1009"/>
      <c r="GI58" s="1009"/>
      <c r="GJ58" s="1009"/>
      <c r="GK58" s="1009"/>
      <c r="GL58" s="1009"/>
      <c r="GM58" s="1009"/>
      <c r="GN58" s="1009"/>
      <c r="GO58" s="1009"/>
      <c r="GP58" s="1009"/>
      <c r="GQ58" s="1009"/>
      <c r="GR58" s="1009"/>
      <c r="GS58" s="1009"/>
      <c r="GT58" s="1009"/>
      <c r="GU58" s="1009"/>
      <c r="GV58" s="1009"/>
      <c r="GW58" s="1009"/>
      <c r="GX58" s="1009"/>
      <c r="GY58" s="1009"/>
      <c r="GZ58" s="1009"/>
      <c r="HA58" s="1009"/>
      <c r="HB58" s="1009"/>
      <c r="HC58" s="1009"/>
      <c r="HD58" s="1009"/>
      <c r="HE58" s="1009"/>
      <c r="HF58" s="1009"/>
      <c r="HG58" s="1009"/>
      <c r="HH58" s="1009"/>
      <c r="HI58" s="1009"/>
      <c r="HJ58" s="1009"/>
      <c r="HK58" s="1009"/>
      <c r="HL58" s="1009"/>
      <c r="HM58" s="1009"/>
      <c r="HN58" s="1009"/>
      <c r="HO58" s="1009"/>
      <c r="HP58" s="1009"/>
      <c r="HQ58" s="1009"/>
      <c r="HR58" s="1009"/>
      <c r="HS58" s="1009"/>
      <c r="HT58" s="1009"/>
      <c r="HU58" s="1009"/>
      <c r="HV58" s="1009"/>
      <c r="HW58" s="1009"/>
      <c r="HX58" s="1009"/>
      <c r="HY58" s="1009"/>
      <c r="HZ58" s="1009"/>
      <c r="IA58" s="1009"/>
      <c r="IB58" s="1009"/>
      <c r="IC58" s="1009"/>
      <c r="ID58" s="1009"/>
      <c r="IE58" s="1009"/>
      <c r="IF58" s="1009"/>
      <c r="IG58" s="1009"/>
      <c r="IH58" s="1009"/>
      <c r="II58" s="1009"/>
      <c r="IJ58" s="1009"/>
      <c r="IK58" s="1009"/>
      <c r="IL58" s="1009"/>
      <c r="IM58" s="1009"/>
      <c r="IN58" s="1009"/>
      <c r="IO58" s="1009"/>
      <c r="IP58" s="1009"/>
      <c r="IQ58" s="1009"/>
      <c r="IR58" s="1009"/>
      <c r="IS58" s="1009"/>
      <c r="IT58" s="1009"/>
      <c r="IU58" s="1009"/>
      <c r="IV58" s="1009"/>
      <c r="IW58" s="1009"/>
      <c r="IX58" s="1009"/>
      <c r="IY58" s="1009"/>
      <c r="IZ58" s="1009"/>
      <c r="JA58" s="1009"/>
      <c r="JB58" s="1009"/>
      <c r="JC58" s="1009"/>
      <c r="JD58" s="1009"/>
      <c r="JE58" s="1009"/>
      <c r="JF58" s="1009"/>
      <c r="JG58" s="1009"/>
      <c r="JH58" s="1009"/>
      <c r="JI58" s="1009"/>
      <c r="JJ58" s="1009"/>
      <c r="JK58" s="1009"/>
      <c r="JL58" s="1009"/>
      <c r="JM58" s="1009"/>
      <c r="JN58" s="1009"/>
      <c r="JO58" s="1009"/>
      <c r="JP58" s="1009"/>
      <c r="JQ58" s="1009"/>
      <c r="JR58" s="1009"/>
      <c r="JS58" s="1009"/>
      <c r="JT58" s="1009"/>
      <c r="JU58" s="1009"/>
      <c r="JV58" s="1009"/>
      <c r="JW58" s="1009"/>
      <c r="JX58" s="1009"/>
      <c r="JY58" s="1009"/>
      <c r="JZ58" s="1009"/>
      <c r="KA58" s="1009"/>
      <c r="KB58" s="1009"/>
      <c r="KC58" s="1009"/>
      <c r="KD58" s="1009"/>
      <c r="KE58" s="1009"/>
      <c r="KF58" s="1009"/>
      <c r="KG58" s="1009"/>
      <c r="KH58" s="1009"/>
      <c r="KI58" s="1009"/>
      <c r="KJ58" s="1009"/>
      <c r="KK58" s="1009"/>
      <c r="KL58" s="1009"/>
      <c r="KM58" s="1009"/>
      <c r="KN58" s="1009"/>
      <c r="KO58" s="1009"/>
      <c r="KP58" s="1009"/>
      <c r="KQ58" s="1009"/>
      <c r="KR58" s="1009"/>
      <c r="KS58" s="1009"/>
      <c r="KT58" s="1009"/>
      <c r="KU58" s="1009"/>
      <c r="KV58" s="1009"/>
      <c r="KW58" s="1009"/>
      <c r="KX58" s="1009"/>
      <c r="KY58" s="1009"/>
      <c r="KZ58" s="1009"/>
      <c r="LA58" s="1009"/>
      <c r="LB58" s="1009"/>
      <c r="LC58" s="1009"/>
      <c r="LD58" s="1009"/>
      <c r="LE58" s="1009"/>
      <c r="LF58" s="1009"/>
      <c r="LG58" s="1009"/>
      <c r="LH58" s="1009"/>
      <c r="LI58" s="1009"/>
      <c r="LJ58" s="1009"/>
      <c r="LK58" s="1009"/>
      <c r="LL58" s="1009"/>
      <c r="LM58" s="1009"/>
      <c r="LN58" s="1009"/>
      <c r="LO58" s="1009"/>
      <c r="LP58" s="1009"/>
      <c r="LQ58" s="1009"/>
      <c r="LR58" s="1009"/>
      <c r="LS58" s="1009"/>
      <c r="LT58" s="1009"/>
      <c r="LU58" s="1009"/>
      <c r="LV58" s="1009"/>
      <c r="LW58" s="1009"/>
      <c r="LX58" s="1009"/>
      <c r="LY58" s="1009"/>
      <c r="LZ58" s="1009"/>
      <c r="MA58" s="1009"/>
      <c r="MB58" s="1009"/>
      <c r="MC58" s="1009"/>
      <c r="MD58" s="1009"/>
      <c r="ME58" s="1009"/>
      <c r="MF58" s="1009"/>
      <c r="MG58" s="1009"/>
      <c r="MH58" s="1009"/>
      <c r="MI58" s="1009"/>
      <c r="MJ58" s="1009"/>
      <c r="MK58" s="1009"/>
      <c r="ML58" s="1009"/>
      <c r="MM58" s="1009"/>
      <c r="MN58" s="1009"/>
      <c r="MO58" s="1009"/>
      <c r="MP58" s="1009"/>
      <c r="MQ58" s="1009"/>
      <c r="MR58" s="1009"/>
      <c r="MS58" s="1009"/>
      <c r="MT58" s="1009"/>
      <c r="MU58" s="1009"/>
      <c r="MV58" s="1009"/>
      <c r="MW58" s="1009"/>
      <c r="MX58" s="1009"/>
      <c r="MY58" s="1009"/>
      <c r="MZ58" s="1009"/>
      <c r="NA58" s="1009"/>
      <c r="NB58" s="1009"/>
      <c r="NC58" s="1009"/>
      <c r="ND58" s="1009"/>
      <c r="NE58" s="1009"/>
      <c r="NF58" s="1009"/>
      <c r="NG58" s="1009"/>
      <c r="NH58" s="1009"/>
      <c r="NI58" s="1009"/>
      <c r="NJ58" s="1009"/>
      <c r="NK58" s="1009"/>
      <c r="NL58" s="1009"/>
      <c r="NM58" s="1009"/>
      <c r="NN58" s="1009"/>
      <c r="NO58" s="1009"/>
      <c r="NP58" s="1009"/>
      <c r="NQ58" s="1009"/>
      <c r="NR58" s="1009"/>
      <c r="NS58" s="1009"/>
      <c r="NT58" s="1009"/>
      <c r="NU58" s="1009"/>
      <c r="NV58" s="1009"/>
      <c r="NW58" s="1009"/>
      <c r="NX58" s="1009"/>
      <c r="NY58" s="1009"/>
      <c r="NZ58" s="1009"/>
      <c r="OA58" s="1009"/>
      <c r="OB58" s="1009"/>
      <c r="OC58" s="1009"/>
      <c r="OD58" s="1009"/>
      <c r="OE58" s="1009"/>
      <c r="OF58" s="1009"/>
      <c r="OG58" s="1009"/>
      <c r="OH58" s="1009"/>
      <c r="OI58" s="1009"/>
      <c r="OJ58" s="1009"/>
      <c r="OK58" s="1009"/>
      <c r="OL58" s="1009"/>
      <c r="OM58" s="1009"/>
      <c r="ON58" s="1009"/>
      <c r="OO58" s="1009"/>
      <c r="OP58" s="1009"/>
      <c r="OQ58" s="1009"/>
      <c r="OR58" s="1009"/>
      <c r="OS58" s="1009"/>
      <c r="OT58" s="1009"/>
      <c r="OU58" s="1009"/>
      <c r="OV58" s="1009"/>
      <c r="OW58" s="1009"/>
      <c r="OX58" s="1009"/>
      <c r="OY58" s="1009"/>
      <c r="OZ58" s="1009"/>
      <c r="PA58" s="1009"/>
      <c r="PB58" s="1009"/>
      <c r="PC58" s="1009"/>
      <c r="PD58" s="1009"/>
      <c r="PE58" s="1009"/>
      <c r="PF58" s="1009"/>
      <c r="PG58" s="1009"/>
      <c r="PH58" s="1009"/>
      <c r="PI58" s="1009"/>
      <c r="PJ58" s="1009"/>
      <c r="PK58" s="1009"/>
      <c r="PL58" s="1009"/>
      <c r="PM58" s="1009"/>
      <c r="PN58" s="1009"/>
      <c r="PO58" s="1009"/>
      <c r="PP58" s="1009"/>
      <c r="PQ58" s="1009"/>
      <c r="PR58" s="1009"/>
      <c r="PS58" s="1009"/>
      <c r="PT58" s="1009"/>
      <c r="PU58" s="1009"/>
      <c r="PV58" s="1009"/>
      <c r="PW58" s="1009"/>
      <c r="PX58" s="1009"/>
      <c r="PY58" s="1009"/>
      <c r="PZ58" s="1009"/>
      <c r="QA58" s="1009"/>
      <c r="QB58" s="1009"/>
      <c r="QC58" s="1009"/>
      <c r="QD58" s="1009"/>
      <c r="QE58" s="1009"/>
      <c r="QF58" s="1009"/>
      <c r="QG58" s="1009"/>
      <c r="QH58" s="1009"/>
      <c r="QI58" s="1009"/>
      <c r="QJ58" s="1009"/>
      <c r="QK58" s="1009"/>
      <c r="QL58" s="1009"/>
      <c r="QM58" s="1009"/>
      <c r="QN58" s="1009"/>
      <c r="QO58" s="1009"/>
      <c r="QP58" s="1009"/>
      <c r="QQ58" s="1009"/>
      <c r="QR58" s="1009"/>
      <c r="QS58" s="1009"/>
      <c r="QT58" s="1009"/>
      <c r="QU58" s="1009"/>
      <c r="QV58" s="1009"/>
      <c r="QW58" s="1009"/>
      <c r="QX58" s="1009"/>
      <c r="QY58" s="1009"/>
      <c r="QZ58" s="1009"/>
      <c r="RA58" s="1009"/>
      <c r="RB58" s="1009"/>
      <c r="RC58" s="1009"/>
      <c r="RD58" s="1009"/>
      <c r="RE58" s="1009"/>
      <c r="RF58" s="1009"/>
      <c r="RG58" s="1009"/>
      <c r="RH58" s="1009"/>
      <c r="RI58" s="1009"/>
      <c r="RJ58" s="1009"/>
      <c r="RK58" s="1009"/>
      <c r="RL58" s="1009"/>
      <c r="RM58" s="1009"/>
      <c r="RN58" s="1009"/>
      <c r="RO58" s="1009"/>
      <c r="RP58" s="1009"/>
      <c r="RQ58" s="1009"/>
      <c r="RR58" s="1009"/>
      <c r="RS58" s="1009"/>
      <c r="RT58" s="1009"/>
      <c r="RU58" s="1009"/>
      <c r="RV58" s="1009"/>
      <c r="RW58" s="1009"/>
      <c r="RX58" s="1009"/>
      <c r="RY58" s="1009"/>
      <c r="RZ58" s="1009"/>
      <c r="SA58" s="1009"/>
      <c r="SB58" s="1009"/>
      <c r="SC58" s="1009"/>
      <c r="SD58" s="1009"/>
      <c r="SE58" s="1009"/>
      <c r="SF58" s="1009"/>
      <c r="SG58" s="1009"/>
      <c r="SH58" s="1009"/>
      <c r="SI58" s="1009"/>
      <c r="SJ58" s="1009"/>
      <c r="SK58" s="1009"/>
      <c r="SL58" s="1009"/>
      <c r="SM58" s="1009"/>
      <c r="SN58" s="1009"/>
      <c r="SO58" s="1009"/>
      <c r="SP58" s="1009"/>
      <c r="SQ58" s="1009"/>
      <c r="SR58" s="1009"/>
      <c r="SS58" s="1009"/>
      <c r="ST58" s="1009"/>
      <c r="SU58" s="1009"/>
      <c r="SV58" s="1009"/>
      <c r="SW58" s="1009"/>
      <c r="SX58" s="1009"/>
      <c r="SY58" s="1009"/>
      <c r="SZ58" s="1009"/>
      <c r="TA58" s="1009"/>
      <c r="TB58" s="1009"/>
      <c r="TC58" s="1009"/>
      <c r="TD58" s="1009"/>
      <c r="TE58" s="1009"/>
      <c r="TF58" s="1009"/>
      <c r="TG58" s="1009"/>
      <c r="TH58" s="1009"/>
      <c r="TI58" s="1009"/>
      <c r="TJ58" s="1009"/>
      <c r="TK58" s="1009"/>
      <c r="TL58" s="1009"/>
      <c r="TM58" s="1009"/>
      <c r="TN58" s="1009"/>
      <c r="TO58" s="1009"/>
      <c r="TP58" s="1009"/>
      <c r="TQ58" s="1009"/>
      <c r="TR58" s="1009"/>
      <c r="TS58" s="1009"/>
      <c r="TT58" s="1009"/>
      <c r="TU58" s="1009"/>
      <c r="TV58" s="1009"/>
      <c r="TW58" s="1009"/>
      <c r="TX58" s="1009"/>
      <c r="TY58" s="1009"/>
      <c r="TZ58" s="1009"/>
      <c r="UA58" s="1009"/>
      <c r="UB58" s="1009"/>
      <c r="UC58" s="1009"/>
      <c r="UD58" s="1009"/>
      <c r="UE58" s="1009"/>
      <c r="UF58" s="1009"/>
      <c r="UG58" s="1009"/>
      <c r="UH58" s="1009"/>
      <c r="UI58" s="1009"/>
      <c r="UJ58" s="1009"/>
      <c r="UK58" s="1009"/>
      <c r="UL58" s="1009"/>
      <c r="UM58" s="1009"/>
      <c r="UN58" s="1009"/>
      <c r="UO58" s="1009"/>
      <c r="UP58" s="1009"/>
      <c r="UQ58" s="1009"/>
      <c r="UR58" s="1009"/>
      <c r="US58" s="1009"/>
      <c r="UT58" s="1009"/>
      <c r="UU58" s="1009"/>
      <c r="UV58" s="1009"/>
      <c r="UW58" s="1009"/>
      <c r="UX58" s="1009"/>
      <c r="UY58" s="1009"/>
      <c r="UZ58" s="1009"/>
      <c r="VA58" s="1009"/>
      <c r="VB58" s="1009"/>
      <c r="VC58" s="1009"/>
      <c r="VD58" s="1009"/>
      <c r="VE58" s="1009"/>
      <c r="VF58" s="1009"/>
      <c r="VG58" s="1009"/>
      <c r="VH58" s="1009"/>
      <c r="VI58" s="1009"/>
      <c r="VJ58" s="1009"/>
      <c r="VK58" s="1009"/>
      <c r="VL58" s="1009"/>
      <c r="VM58" s="1009"/>
      <c r="VN58" s="1009"/>
      <c r="VO58" s="1009"/>
      <c r="VP58" s="1009"/>
      <c r="VQ58" s="1009"/>
      <c r="VR58" s="1009"/>
      <c r="VS58" s="1009"/>
      <c r="VT58" s="1009"/>
      <c r="VU58" s="1009"/>
      <c r="VV58" s="1009"/>
      <c r="VW58" s="1009"/>
      <c r="VX58" s="1009"/>
      <c r="VY58" s="1009"/>
      <c r="VZ58" s="1009"/>
      <c r="WA58" s="1009"/>
      <c r="WB58" s="1009"/>
      <c r="WC58" s="1009"/>
      <c r="WD58" s="1009"/>
      <c r="WE58" s="1009"/>
      <c r="WF58" s="1009"/>
      <c r="WG58" s="1009"/>
      <c r="WH58" s="1009"/>
      <c r="WI58" s="1009"/>
      <c r="WJ58" s="1009"/>
      <c r="WK58" s="1009"/>
      <c r="WL58" s="1009"/>
      <c r="WM58" s="1009"/>
      <c r="WN58" s="1009"/>
      <c r="WO58" s="1009"/>
      <c r="WP58" s="1009"/>
      <c r="WQ58" s="1009"/>
      <c r="WR58" s="1009"/>
      <c r="WS58" s="1009"/>
      <c r="WT58" s="1009"/>
      <c r="WU58" s="1009"/>
      <c r="WV58" s="1009"/>
      <c r="WW58" s="1009"/>
      <c r="WX58" s="1009"/>
      <c r="WY58" s="1009"/>
      <c r="WZ58" s="1009"/>
      <c r="XA58" s="1009"/>
      <c r="XB58" s="1009"/>
      <c r="XC58" s="1009"/>
      <c r="XD58" s="1009"/>
      <c r="XE58" s="1009"/>
      <c r="XF58" s="1009"/>
      <c r="XG58" s="1009"/>
      <c r="XH58" s="1009"/>
      <c r="XI58" s="1009"/>
      <c r="XJ58" s="1009"/>
      <c r="XK58" s="1009"/>
      <c r="XL58" s="1009"/>
      <c r="XM58" s="1009"/>
      <c r="XN58" s="1009"/>
      <c r="XO58" s="1009"/>
      <c r="XP58" s="1009"/>
      <c r="XQ58" s="1009"/>
      <c r="XR58" s="1009"/>
      <c r="XS58" s="1009"/>
      <c r="XT58" s="1009"/>
      <c r="XU58" s="1009"/>
      <c r="XV58" s="1009"/>
      <c r="XW58" s="1009"/>
      <c r="XX58" s="1009"/>
      <c r="XY58" s="1009"/>
      <c r="XZ58" s="1009"/>
      <c r="YA58" s="1009"/>
      <c r="YB58" s="1009"/>
      <c r="YC58" s="1009"/>
      <c r="YD58" s="1009"/>
      <c r="YE58" s="1009"/>
      <c r="YF58" s="1009"/>
      <c r="YG58" s="1009"/>
      <c r="YH58" s="1009"/>
      <c r="YI58" s="1009"/>
      <c r="YJ58" s="1009"/>
      <c r="YK58" s="1009"/>
      <c r="YL58" s="1009"/>
      <c r="YM58" s="1009"/>
      <c r="YN58" s="1009"/>
      <c r="YO58" s="1009"/>
      <c r="YP58" s="1009"/>
      <c r="YQ58" s="1009"/>
      <c r="YR58" s="1009"/>
      <c r="YS58" s="1009"/>
      <c r="YT58" s="1009"/>
      <c r="YU58" s="1009"/>
      <c r="YV58" s="1009"/>
      <c r="YW58" s="1009"/>
      <c r="YX58" s="1009"/>
      <c r="YY58" s="1009"/>
      <c r="YZ58" s="1009"/>
      <c r="ZA58" s="1009"/>
      <c r="ZB58" s="1009"/>
      <c r="ZC58" s="1009"/>
      <c r="ZD58" s="1009"/>
      <c r="ZE58" s="1009"/>
      <c r="ZF58" s="1009"/>
      <c r="ZG58" s="1009"/>
      <c r="ZH58" s="1009"/>
      <c r="ZI58" s="1009"/>
      <c r="ZJ58" s="1009"/>
      <c r="ZK58" s="1009"/>
      <c r="ZL58" s="1009"/>
      <c r="ZM58" s="1009"/>
      <c r="ZN58" s="1009"/>
      <c r="ZO58" s="1009"/>
      <c r="ZP58" s="1009"/>
      <c r="ZQ58" s="1009"/>
      <c r="ZR58" s="1009"/>
      <c r="ZS58" s="1009"/>
      <c r="ZT58" s="1009"/>
      <c r="ZU58" s="1009"/>
      <c r="ZV58" s="1009"/>
      <c r="ZW58" s="1009"/>
      <c r="ZX58" s="1009"/>
      <c r="ZY58" s="1009"/>
      <c r="ZZ58" s="1009"/>
      <c r="AAA58" s="1009"/>
      <c r="AAB58" s="1009"/>
      <c r="AAC58" s="1009"/>
      <c r="AAD58" s="1009"/>
      <c r="AAE58" s="1009"/>
      <c r="AAF58" s="1009"/>
      <c r="AAG58" s="1009"/>
      <c r="AAH58" s="1009"/>
      <c r="AAI58" s="1009"/>
      <c r="AAJ58" s="1009"/>
      <c r="AAK58" s="1009"/>
      <c r="AAL58" s="1009"/>
      <c r="AAM58" s="1009"/>
      <c r="AAN58" s="1009"/>
      <c r="AAO58" s="1009"/>
      <c r="AAP58" s="1009"/>
      <c r="AAQ58" s="1009"/>
      <c r="AAR58" s="1009"/>
      <c r="AAS58" s="1009"/>
      <c r="AAT58" s="1009"/>
      <c r="AAU58" s="1009"/>
      <c r="AAV58" s="1009"/>
      <c r="AAW58" s="1009"/>
      <c r="AAX58" s="1009"/>
      <c r="AAY58" s="1009"/>
      <c r="AAZ58" s="1009"/>
      <c r="ABA58" s="1009"/>
      <c r="ABB58" s="1009"/>
      <c r="ABC58" s="1009"/>
      <c r="ABD58" s="1009"/>
      <c r="ABE58" s="1009"/>
      <c r="ABF58" s="1009"/>
      <c r="ABG58" s="1009"/>
      <c r="ABH58" s="1009"/>
      <c r="ABI58" s="1009"/>
      <c r="ABJ58" s="1009"/>
      <c r="ABK58" s="1009"/>
      <c r="ABL58" s="1009"/>
      <c r="ABM58" s="1009"/>
      <c r="ABN58" s="1009"/>
      <c r="ABO58" s="1009"/>
      <c r="ABP58" s="1009"/>
      <c r="ABQ58" s="1009"/>
      <c r="ABR58" s="1009"/>
    </row>
    <row r="59" spans="1:746" s="111" customFormat="1" ht="12.9" customHeight="1">
      <c r="A59" s="1254"/>
      <c r="B59" s="1848" t="s">
        <v>235</v>
      </c>
      <c r="C59" s="577"/>
      <c r="D59" s="577"/>
      <c r="E59" s="577"/>
      <c r="F59" s="577"/>
      <c r="G59" s="577"/>
      <c r="H59" s="2531">
        <f>IF(SUM(I37:T58)&gt;SUM(I59:T59),1,0)</f>
        <v>0</v>
      </c>
      <c r="I59" s="334">
        <f>IF(fx!$C$58=1,SUM(I37:I58)*fx!I57,IF(fx!$C$58=2,SUM(I37:I56)*fx!I57))</f>
        <v>0</v>
      </c>
      <c r="J59" s="334">
        <f>IF(fx!$C$58=1,SUM(J37:J58)*fx!J57,IF(fx!$C$58=2,SUM(J37:J56)*fx!J57))</f>
        <v>0</v>
      </c>
      <c r="K59" s="334">
        <f>IF(fx!$C$58=1,SUM(K37:K58)*fx!K57,IF(fx!$C$58=2,SUM(K37:K56)*fx!K57))</f>
        <v>0</v>
      </c>
      <c r="L59" s="334">
        <f>IF(fx!$C$58=1,SUM(L37:L58)*fx!L57,IF(fx!$C$58=2,SUM(L37:L56)*fx!L57))</f>
        <v>0</v>
      </c>
      <c r="M59" s="334">
        <f>IF(fx!$C$58=1,SUM(M37:M58)*fx!M57,IF(fx!$C$58=2,SUM(M37:M56)*fx!M57))</f>
        <v>0</v>
      </c>
      <c r="N59" s="334">
        <f>IF(fx!$C$58=1,SUM(N37:N58)*fx!N57,IF(fx!$C$58=2,SUM(N37:N56)*fx!N57))</f>
        <v>0</v>
      </c>
      <c r="O59" s="334">
        <f>IF(fx!$C$58=1,SUM(O37:O58)*fx!O57,IF(fx!$C$58=2,SUM(O37:O56)*fx!O57))</f>
        <v>0</v>
      </c>
      <c r="P59" s="334">
        <f>IF(fx!$C$58=1,SUM(P37:P58)*fx!P57,IF(fx!$C$58=2,SUM(P37:P56)*fx!P57))</f>
        <v>0</v>
      </c>
      <c r="Q59" s="334">
        <f>IF(fx!$C$58=1,SUM(Q37:Q58)*fx!Q57,IF(fx!$C$58=2,SUM(Q37:Q56)*fx!Q57))</f>
        <v>0</v>
      </c>
      <c r="R59" s="334">
        <f>IF(fx!$C$58=1,SUM(R37:R58)*fx!R57,IF(fx!$C$58=2,SUM(R37:R56)*fx!R57))</f>
        <v>0</v>
      </c>
      <c r="S59" s="334">
        <f>IF(fx!$C$58=1,SUM(S37:S58)*fx!S57,IF(fx!$C$58=2,SUM(S37:S56)*fx!S57))</f>
        <v>0</v>
      </c>
      <c r="T59" s="334">
        <f>IF(fx!$C$58=1,SUM(T37:T58)*fx!T57,IF(fx!$C$58=2,SUM(T37:T56)*fx!T57))</f>
        <v>0</v>
      </c>
      <c r="U59" s="334">
        <f>IF(fx!$C$58=1,SUM(U37:U58)*fx!U57,IF(fx!$C$58=2,SUM(U37:U56)))</f>
        <v>0</v>
      </c>
      <c r="V59" s="334">
        <f>IF(fx!$C$58=1,SUM(V37:V58)*fx!V57,IF(fx!$C$58=2,SUM(V37:V56)))</f>
        <v>0</v>
      </c>
      <c r="W59" s="334">
        <f>IF(fx!$C$58=1,SUM(W37:W58)*fx!W57,IF(fx!$C$58=2,SUM(W37:W56)))</f>
        <v>0</v>
      </c>
      <c r="X59" s="334">
        <f>IF(fx!$C$58=1,SUM(X37:X58)*fx!X57,IF(fx!$C$58=2,SUM(X37:X56)))</f>
        <v>0</v>
      </c>
      <c r="Y59" s="334">
        <f>IF(fx!$C$58=1,SUM(Y37:Y58)*fx!Y57,IF(fx!$C$58=2,SUM(Y37:Y56)))</f>
        <v>0</v>
      </c>
      <c r="Z59" s="334">
        <f>IF(fx!$C$58=1,SUM(Z37:Z58)*fx!Z57,IF(fx!$C$58=2,SUM(Z37:Z56)))</f>
        <v>0</v>
      </c>
      <c r="AA59" s="334">
        <f>IF(fx!$C$58=1,SUM(AA37:AA58)*fx!AA57,IF(fx!$C$58=2,SUM(AA37:AA56)))</f>
        <v>0</v>
      </c>
      <c r="AB59" s="334">
        <f>IF(fx!$C$58=1,SUM(AB37:AB58)*fx!AB57,IF(fx!$C$58=2,SUM(AB37:AB56)))</f>
        <v>0</v>
      </c>
      <c r="AC59" s="334">
        <f>IF(fx!$C$58=1,SUM(AC37:AC58)*fx!AC57,IF(fx!$C$58=2,SUM(AC37:AC56)))</f>
        <v>0</v>
      </c>
      <c r="AD59" s="334">
        <f>IF(fx!$C$58=1,SUM(AD37:AD58)*fx!AD57,IF(fx!$C$58=2,SUM(AD37:AD56)))</f>
        <v>0</v>
      </c>
      <c r="AE59" s="334">
        <f>IF(fx!$C$58=1,SUM(AE37:AE58)*fx!AE57,IF(fx!$C$58=2,SUM(AE37:AE56)))</f>
        <v>0</v>
      </c>
      <c r="AF59" s="334">
        <f>IF(fx!$C$58=1,SUM(AF37:AF58)*fx!AF57,IF(fx!$C$58=2,SUM(AF37:AF56)))</f>
        <v>0</v>
      </c>
      <c r="AG59" s="2209"/>
      <c r="AH59" s="359"/>
      <c r="AI59" s="2227"/>
      <c r="AJ59" s="416">
        <f>IF(fx!$C$57=1,SUM(I59:T59),IF(fx!$C$57=2,SUM(O59:AF59)))</f>
        <v>0</v>
      </c>
      <c r="AK59" s="420"/>
      <c r="AL59" s="422">
        <f>IF(fx!$C$57=1,SUM(U59:AF59),0)</f>
        <v>0</v>
      </c>
      <c r="AM59" s="1005"/>
      <c r="AN59" s="1013"/>
      <c r="AO59" s="1945"/>
      <c r="AP59" s="1935"/>
      <c r="AQ59" s="1936"/>
      <c r="AR59" s="1941"/>
      <c r="AS59" s="1941"/>
      <c r="AT59" s="1941"/>
      <c r="AU59" s="1941"/>
      <c r="AV59" s="1941"/>
      <c r="AW59" s="1941"/>
      <c r="AX59" s="1941"/>
      <c r="AY59" s="1941"/>
      <c r="AZ59" s="1941"/>
      <c r="BA59" s="1941"/>
      <c r="BB59" s="1941"/>
      <c r="BC59" s="1941"/>
      <c r="BD59" s="1941"/>
      <c r="BE59" s="1941"/>
      <c r="BF59" s="1941"/>
      <c r="BG59" s="1941"/>
      <c r="BH59" s="1941"/>
      <c r="BI59" s="1941"/>
      <c r="BJ59" s="1941"/>
      <c r="BK59" s="1941"/>
      <c r="BL59" s="1941"/>
      <c r="BM59" s="1941"/>
      <c r="BN59" s="1941"/>
      <c r="BO59" s="1941"/>
      <c r="BP59" s="1009"/>
      <c r="BQ59" s="1009"/>
      <c r="BR59" s="1009"/>
      <c r="BS59" s="1009"/>
      <c r="BT59" s="1009"/>
      <c r="BU59" s="1009"/>
      <c r="BV59" s="1009"/>
      <c r="BW59" s="1009"/>
      <c r="BX59" s="1009"/>
      <c r="BY59" s="1009"/>
      <c r="BZ59" s="1009"/>
      <c r="CA59" s="1009"/>
      <c r="CB59" s="1009"/>
      <c r="CC59" s="1009"/>
      <c r="CD59" s="1009"/>
      <c r="CE59" s="1009"/>
      <c r="CF59" s="1009"/>
      <c r="CG59" s="1009"/>
      <c r="CH59" s="1009"/>
      <c r="CI59" s="1009"/>
      <c r="CJ59" s="1009"/>
      <c r="CK59" s="1009"/>
      <c r="CL59" s="1009"/>
      <c r="CM59" s="1009"/>
      <c r="CN59" s="1009"/>
      <c r="CO59" s="1009"/>
      <c r="CP59" s="1009"/>
      <c r="CQ59" s="1009"/>
      <c r="CR59" s="1009"/>
      <c r="CS59" s="1009"/>
      <c r="CT59" s="1009"/>
      <c r="CU59" s="1009"/>
      <c r="CV59" s="1009"/>
      <c r="CW59" s="1009"/>
      <c r="CX59" s="1009"/>
      <c r="CY59" s="1009"/>
      <c r="CZ59" s="1009"/>
      <c r="DA59" s="1009"/>
      <c r="DB59" s="1009"/>
      <c r="DC59" s="1009"/>
      <c r="DD59" s="1009"/>
      <c r="DE59" s="1009"/>
      <c r="DF59" s="1009"/>
      <c r="DG59" s="1009"/>
      <c r="DH59" s="1009"/>
      <c r="DI59" s="1009"/>
      <c r="DJ59" s="1009"/>
      <c r="DK59" s="1009"/>
      <c r="DL59" s="1009"/>
      <c r="DM59" s="1009"/>
      <c r="DN59" s="1009"/>
      <c r="DO59" s="1009"/>
      <c r="DP59" s="1009"/>
      <c r="DQ59" s="1009"/>
      <c r="DR59" s="1009"/>
      <c r="DS59" s="1009"/>
      <c r="DT59" s="1009"/>
      <c r="DU59" s="1009"/>
      <c r="DV59" s="1009"/>
      <c r="DW59" s="1009"/>
      <c r="DX59" s="1009"/>
      <c r="DY59" s="1009"/>
      <c r="DZ59" s="1009"/>
      <c r="EA59" s="1009"/>
      <c r="EB59" s="1009"/>
      <c r="EC59" s="1009"/>
      <c r="ED59" s="1009"/>
      <c r="EE59" s="1009"/>
      <c r="EF59" s="1009"/>
      <c r="EG59" s="1009"/>
      <c r="EH59" s="1009"/>
      <c r="EI59" s="1009"/>
      <c r="EJ59" s="1009"/>
      <c r="EK59" s="1009"/>
      <c r="EL59" s="1009"/>
      <c r="EM59" s="1009"/>
      <c r="EN59" s="1009"/>
      <c r="EO59" s="1009"/>
      <c r="EP59" s="1009"/>
      <c r="EQ59" s="1009"/>
      <c r="ER59" s="1009"/>
      <c r="ES59" s="1009"/>
      <c r="ET59" s="1009"/>
      <c r="EU59" s="1009"/>
      <c r="EV59" s="1009"/>
      <c r="EW59" s="1009"/>
      <c r="EX59" s="1009"/>
      <c r="EY59" s="1009"/>
      <c r="EZ59" s="1009"/>
      <c r="FA59" s="1009"/>
      <c r="FB59" s="1009"/>
      <c r="FC59" s="1009"/>
      <c r="FD59" s="1009"/>
      <c r="FE59" s="1009"/>
      <c r="FF59" s="1009"/>
      <c r="FG59" s="1009"/>
      <c r="FH59" s="1009"/>
      <c r="FI59" s="1009"/>
      <c r="FJ59" s="1009"/>
      <c r="FK59" s="1009"/>
      <c r="FL59" s="1009"/>
      <c r="FM59" s="1009"/>
      <c r="FN59" s="1009"/>
      <c r="FO59" s="1009"/>
      <c r="FP59" s="1009"/>
      <c r="FQ59" s="1009"/>
      <c r="FR59" s="1009"/>
      <c r="FS59" s="1009"/>
      <c r="FT59" s="1009"/>
      <c r="FU59" s="1009"/>
      <c r="FV59" s="1009"/>
      <c r="FW59" s="1009"/>
      <c r="FX59" s="1009"/>
      <c r="FY59" s="1009"/>
      <c r="FZ59" s="1009"/>
      <c r="GA59" s="1009"/>
      <c r="GB59" s="1009"/>
      <c r="GC59" s="1009"/>
      <c r="GD59" s="1009"/>
      <c r="GE59" s="1009"/>
      <c r="GF59" s="1009"/>
      <c r="GG59" s="1009"/>
      <c r="GH59" s="1009"/>
      <c r="GI59" s="1009"/>
      <c r="GJ59" s="1009"/>
      <c r="GK59" s="1009"/>
      <c r="GL59" s="1009"/>
      <c r="GM59" s="1009"/>
      <c r="GN59" s="1009"/>
      <c r="GO59" s="1009"/>
      <c r="GP59" s="1009"/>
      <c r="GQ59" s="1009"/>
      <c r="GR59" s="1009"/>
      <c r="GS59" s="1009"/>
      <c r="GT59" s="1009"/>
      <c r="GU59" s="1009"/>
      <c r="GV59" s="1009"/>
      <c r="GW59" s="1009"/>
      <c r="GX59" s="1009"/>
      <c r="GY59" s="1009"/>
      <c r="GZ59" s="1009"/>
      <c r="HA59" s="1009"/>
      <c r="HB59" s="1009"/>
      <c r="HC59" s="1009"/>
      <c r="HD59" s="1009"/>
      <c r="HE59" s="1009"/>
      <c r="HF59" s="1009"/>
      <c r="HG59" s="1009"/>
      <c r="HH59" s="1009"/>
      <c r="HI59" s="1009"/>
      <c r="HJ59" s="1009"/>
      <c r="HK59" s="1009"/>
      <c r="HL59" s="1009"/>
      <c r="HM59" s="1009"/>
      <c r="HN59" s="1009"/>
      <c r="HO59" s="1009"/>
      <c r="HP59" s="1009"/>
      <c r="HQ59" s="1009"/>
      <c r="HR59" s="1009"/>
      <c r="HS59" s="1009"/>
      <c r="HT59" s="1009"/>
      <c r="HU59" s="1009"/>
      <c r="HV59" s="1009"/>
      <c r="HW59" s="1009"/>
      <c r="HX59" s="1009"/>
      <c r="HY59" s="1009"/>
      <c r="HZ59" s="1009"/>
      <c r="IA59" s="1009"/>
      <c r="IB59" s="1009"/>
      <c r="IC59" s="1009"/>
      <c r="ID59" s="1009"/>
      <c r="IE59" s="1009"/>
      <c r="IF59" s="1009"/>
      <c r="IG59" s="1009"/>
      <c r="IH59" s="1009"/>
      <c r="II59" s="1009"/>
      <c r="IJ59" s="1009"/>
      <c r="IK59" s="1009"/>
      <c r="IL59" s="1009"/>
      <c r="IM59" s="1009"/>
      <c r="IN59" s="1009"/>
      <c r="IO59" s="1009"/>
      <c r="IP59" s="1009"/>
      <c r="IQ59" s="1009"/>
      <c r="IR59" s="1009"/>
      <c r="IS59" s="1009"/>
      <c r="IT59" s="1009"/>
      <c r="IU59" s="1009"/>
      <c r="IV59" s="1009"/>
      <c r="IW59" s="1009"/>
      <c r="IX59" s="1009"/>
      <c r="IY59" s="1009"/>
      <c r="IZ59" s="1009"/>
      <c r="JA59" s="1009"/>
      <c r="JB59" s="1009"/>
      <c r="JC59" s="1009"/>
      <c r="JD59" s="1009"/>
      <c r="JE59" s="1009"/>
      <c r="JF59" s="1009"/>
      <c r="JG59" s="1009"/>
      <c r="JH59" s="1009"/>
      <c r="JI59" s="1009"/>
      <c r="JJ59" s="1009"/>
      <c r="JK59" s="1009"/>
      <c r="JL59" s="1009"/>
      <c r="JM59" s="1009"/>
      <c r="JN59" s="1009"/>
      <c r="JO59" s="1009"/>
      <c r="JP59" s="1009"/>
      <c r="JQ59" s="1009"/>
      <c r="JR59" s="1009"/>
      <c r="JS59" s="1009"/>
      <c r="JT59" s="1009"/>
      <c r="JU59" s="1009"/>
      <c r="JV59" s="1009"/>
      <c r="JW59" s="1009"/>
      <c r="JX59" s="1009"/>
      <c r="JY59" s="1009"/>
      <c r="JZ59" s="1009"/>
      <c r="KA59" s="1009"/>
      <c r="KB59" s="1009"/>
      <c r="KC59" s="1009"/>
      <c r="KD59" s="1009"/>
      <c r="KE59" s="1009"/>
      <c r="KF59" s="1009"/>
      <c r="KG59" s="1009"/>
      <c r="KH59" s="1009"/>
      <c r="KI59" s="1009"/>
      <c r="KJ59" s="1009"/>
      <c r="KK59" s="1009"/>
      <c r="KL59" s="1009"/>
      <c r="KM59" s="1009"/>
      <c r="KN59" s="1009"/>
      <c r="KO59" s="1009"/>
      <c r="KP59" s="1009"/>
      <c r="KQ59" s="1009"/>
      <c r="KR59" s="1009"/>
      <c r="KS59" s="1009"/>
      <c r="KT59" s="1009"/>
      <c r="KU59" s="1009"/>
      <c r="KV59" s="1009"/>
      <c r="KW59" s="1009"/>
      <c r="KX59" s="1009"/>
      <c r="KY59" s="1009"/>
      <c r="KZ59" s="1009"/>
      <c r="LA59" s="1009"/>
      <c r="LB59" s="1009"/>
      <c r="LC59" s="1009"/>
      <c r="LD59" s="1009"/>
      <c r="LE59" s="1009"/>
      <c r="LF59" s="1009"/>
      <c r="LG59" s="1009"/>
      <c r="LH59" s="1009"/>
      <c r="LI59" s="1009"/>
      <c r="LJ59" s="1009"/>
      <c r="LK59" s="1009"/>
      <c r="LL59" s="1009"/>
      <c r="LM59" s="1009"/>
      <c r="LN59" s="1009"/>
      <c r="LO59" s="1009"/>
      <c r="LP59" s="1009"/>
      <c r="LQ59" s="1009"/>
      <c r="LR59" s="1009"/>
      <c r="LS59" s="1009"/>
      <c r="LT59" s="1009"/>
      <c r="LU59" s="1009"/>
      <c r="LV59" s="1009"/>
      <c r="LW59" s="1009"/>
      <c r="LX59" s="1009"/>
      <c r="LY59" s="1009"/>
      <c r="LZ59" s="1009"/>
      <c r="MA59" s="1009"/>
      <c r="MB59" s="1009"/>
      <c r="MC59" s="1009"/>
      <c r="MD59" s="1009"/>
      <c r="ME59" s="1009"/>
      <c r="MF59" s="1009"/>
      <c r="MG59" s="1009"/>
      <c r="MH59" s="1009"/>
      <c r="MI59" s="1009"/>
      <c r="MJ59" s="1009"/>
      <c r="MK59" s="1009"/>
      <c r="ML59" s="1009"/>
      <c r="MM59" s="1009"/>
      <c r="MN59" s="1009"/>
      <c r="MO59" s="1009"/>
      <c r="MP59" s="1009"/>
      <c r="MQ59" s="1009"/>
      <c r="MR59" s="1009"/>
      <c r="MS59" s="1009"/>
      <c r="MT59" s="1009"/>
      <c r="MU59" s="1009"/>
      <c r="MV59" s="1009"/>
      <c r="MW59" s="1009"/>
      <c r="MX59" s="1009"/>
      <c r="MY59" s="1009"/>
      <c r="MZ59" s="1009"/>
      <c r="NA59" s="1009"/>
      <c r="NB59" s="1009"/>
      <c r="NC59" s="1009"/>
      <c r="ND59" s="1009"/>
      <c r="NE59" s="1009"/>
      <c r="NF59" s="1009"/>
      <c r="NG59" s="1009"/>
      <c r="NH59" s="1009"/>
      <c r="NI59" s="1009"/>
      <c r="NJ59" s="1009"/>
      <c r="NK59" s="1009"/>
      <c r="NL59" s="1009"/>
      <c r="NM59" s="1009"/>
      <c r="NN59" s="1009"/>
      <c r="NO59" s="1009"/>
      <c r="NP59" s="1009"/>
      <c r="NQ59" s="1009"/>
      <c r="NR59" s="1009"/>
      <c r="NS59" s="1009"/>
      <c r="NT59" s="1009"/>
      <c r="NU59" s="1009"/>
      <c r="NV59" s="1009"/>
      <c r="NW59" s="1009"/>
      <c r="NX59" s="1009"/>
      <c r="NY59" s="1009"/>
      <c r="NZ59" s="1009"/>
      <c r="OA59" s="1009"/>
      <c r="OB59" s="1009"/>
      <c r="OC59" s="1009"/>
      <c r="OD59" s="1009"/>
      <c r="OE59" s="1009"/>
      <c r="OF59" s="1009"/>
      <c r="OG59" s="1009"/>
      <c r="OH59" s="1009"/>
      <c r="OI59" s="1009"/>
      <c r="OJ59" s="1009"/>
      <c r="OK59" s="1009"/>
      <c r="OL59" s="1009"/>
      <c r="OM59" s="1009"/>
      <c r="ON59" s="1009"/>
      <c r="OO59" s="1009"/>
      <c r="OP59" s="1009"/>
      <c r="OQ59" s="1009"/>
      <c r="OR59" s="1009"/>
      <c r="OS59" s="1009"/>
      <c r="OT59" s="1009"/>
      <c r="OU59" s="1009"/>
      <c r="OV59" s="1009"/>
      <c r="OW59" s="1009"/>
      <c r="OX59" s="1009"/>
      <c r="OY59" s="1009"/>
      <c r="OZ59" s="1009"/>
      <c r="PA59" s="1009"/>
      <c r="PB59" s="1009"/>
      <c r="PC59" s="1009"/>
      <c r="PD59" s="1009"/>
      <c r="PE59" s="1009"/>
      <c r="PF59" s="1009"/>
      <c r="PG59" s="1009"/>
      <c r="PH59" s="1009"/>
      <c r="PI59" s="1009"/>
      <c r="PJ59" s="1009"/>
      <c r="PK59" s="1009"/>
      <c r="PL59" s="1009"/>
      <c r="PM59" s="1009"/>
      <c r="PN59" s="1009"/>
      <c r="PO59" s="1009"/>
      <c r="PP59" s="1009"/>
      <c r="PQ59" s="1009"/>
      <c r="PR59" s="1009"/>
      <c r="PS59" s="1009"/>
      <c r="PT59" s="1009"/>
      <c r="PU59" s="1009"/>
      <c r="PV59" s="1009"/>
      <c r="PW59" s="1009"/>
      <c r="PX59" s="1009"/>
      <c r="PY59" s="1009"/>
      <c r="PZ59" s="1009"/>
      <c r="QA59" s="1009"/>
      <c r="QB59" s="1009"/>
      <c r="QC59" s="1009"/>
      <c r="QD59" s="1009"/>
      <c r="QE59" s="1009"/>
      <c r="QF59" s="1009"/>
      <c r="QG59" s="1009"/>
      <c r="QH59" s="1009"/>
      <c r="QI59" s="1009"/>
      <c r="QJ59" s="1009"/>
      <c r="QK59" s="1009"/>
      <c r="QL59" s="1009"/>
      <c r="QM59" s="1009"/>
      <c r="QN59" s="1009"/>
      <c r="QO59" s="1009"/>
      <c r="QP59" s="1009"/>
      <c r="QQ59" s="1009"/>
      <c r="QR59" s="1009"/>
      <c r="QS59" s="1009"/>
      <c r="QT59" s="1009"/>
      <c r="QU59" s="1009"/>
      <c r="QV59" s="1009"/>
      <c r="QW59" s="1009"/>
      <c r="QX59" s="1009"/>
      <c r="QY59" s="1009"/>
      <c r="QZ59" s="1009"/>
      <c r="RA59" s="1009"/>
      <c r="RB59" s="1009"/>
      <c r="RC59" s="1009"/>
      <c r="RD59" s="1009"/>
      <c r="RE59" s="1009"/>
      <c r="RF59" s="1009"/>
      <c r="RG59" s="1009"/>
      <c r="RH59" s="1009"/>
      <c r="RI59" s="1009"/>
      <c r="RJ59" s="1009"/>
      <c r="RK59" s="1009"/>
      <c r="RL59" s="1009"/>
      <c r="RM59" s="1009"/>
      <c r="RN59" s="1009"/>
      <c r="RO59" s="1009"/>
      <c r="RP59" s="1009"/>
      <c r="RQ59" s="1009"/>
      <c r="RR59" s="1009"/>
      <c r="RS59" s="1009"/>
      <c r="RT59" s="1009"/>
      <c r="RU59" s="1009"/>
      <c r="RV59" s="1009"/>
      <c r="RW59" s="1009"/>
      <c r="RX59" s="1009"/>
      <c r="RY59" s="1009"/>
      <c r="RZ59" s="1009"/>
      <c r="SA59" s="1009"/>
      <c r="SB59" s="1009"/>
      <c r="SC59" s="1009"/>
      <c r="SD59" s="1009"/>
      <c r="SE59" s="1009"/>
      <c r="SF59" s="1009"/>
      <c r="SG59" s="1009"/>
      <c r="SH59" s="1009"/>
      <c r="SI59" s="1009"/>
      <c r="SJ59" s="1009"/>
      <c r="SK59" s="1009"/>
      <c r="SL59" s="1009"/>
      <c r="SM59" s="1009"/>
      <c r="SN59" s="1009"/>
      <c r="SO59" s="1009"/>
      <c r="SP59" s="1009"/>
      <c r="SQ59" s="1009"/>
      <c r="SR59" s="1009"/>
      <c r="SS59" s="1009"/>
      <c r="ST59" s="1009"/>
      <c r="SU59" s="1009"/>
      <c r="SV59" s="1009"/>
      <c r="SW59" s="1009"/>
      <c r="SX59" s="1009"/>
      <c r="SY59" s="1009"/>
      <c r="SZ59" s="1009"/>
      <c r="TA59" s="1009"/>
      <c r="TB59" s="1009"/>
      <c r="TC59" s="1009"/>
      <c r="TD59" s="1009"/>
      <c r="TE59" s="1009"/>
      <c r="TF59" s="1009"/>
      <c r="TG59" s="1009"/>
      <c r="TH59" s="1009"/>
      <c r="TI59" s="1009"/>
      <c r="TJ59" s="1009"/>
      <c r="TK59" s="1009"/>
      <c r="TL59" s="1009"/>
      <c r="TM59" s="1009"/>
      <c r="TN59" s="1009"/>
      <c r="TO59" s="1009"/>
      <c r="TP59" s="1009"/>
      <c r="TQ59" s="1009"/>
      <c r="TR59" s="1009"/>
      <c r="TS59" s="1009"/>
      <c r="TT59" s="1009"/>
      <c r="TU59" s="1009"/>
      <c r="TV59" s="1009"/>
      <c r="TW59" s="1009"/>
      <c r="TX59" s="1009"/>
      <c r="TY59" s="1009"/>
      <c r="TZ59" s="1009"/>
      <c r="UA59" s="1009"/>
      <c r="UB59" s="1009"/>
      <c r="UC59" s="1009"/>
      <c r="UD59" s="1009"/>
      <c r="UE59" s="1009"/>
      <c r="UF59" s="1009"/>
      <c r="UG59" s="1009"/>
      <c r="UH59" s="1009"/>
      <c r="UI59" s="1009"/>
      <c r="UJ59" s="1009"/>
      <c r="UK59" s="1009"/>
      <c r="UL59" s="1009"/>
      <c r="UM59" s="1009"/>
      <c r="UN59" s="1009"/>
      <c r="UO59" s="1009"/>
      <c r="UP59" s="1009"/>
      <c r="UQ59" s="1009"/>
      <c r="UR59" s="1009"/>
      <c r="US59" s="1009"/>
      <c r="UT59" s="1009"/>
      <c r="UU59" s="1009"/>
      <c r="UV59" s="1009"/>
      <c r="UW59" s="1009"/>
      <c r="UX59" s="1009"/>
      <c r="UY59" s="1009"/>
      <c r="UZ59" s="1009"/>
      <c r="VA59" s="1009"/>
      <c r="VB59" s="1009"/>
      <c r="VC59" s="1009"/>
      <c r="VD59" s="1009"/>
      <c r="VE59" s="1009"/>
      <c r="VF59" s="1009"/>
      <c r="VG59" s="1009"/>
      <c r="VH59" s="1009"/>
      <c r="VI59" s="1009"/>
      <c r="VJ59" s="1009"/>
      <c r="VK59" s="1009"/>
      <c r="VL59" s="1009"/>
      <c r="VM59" s="1009"/>
      <c r="VN59" s="1009"/>
      <c r="VO59" s="1009"/>
      <c r="VP59" s="1009"/>
      <c r="VQ59" s="1009"/>
      <c r="VR59" s="1009"/>
      <c r="VS59" s="1009"/>
      <c r="VT59" s="1009"/>
      <c r="VU59" s="1009"/>
      <c r="VV59" s="1009"/>
      <c r="VW59" s="1009"/>
      <c r="VX59" s="1009"/>
      <c r="VY59" s="1009"/>
      <c r="VZ59" s="1009"/>
      <c r="WA59" s="1009"/>
      <c r="WB59" s="1009"/>
      <c r="WC59" s="1009"/>
      <c r="WD59" s="1009"/>
      <c r="WE59" s="1009"/>
      <c r="WF59" s="1009"/>
      <c r="WG59" s="1009"/>
      <c r="WH59" s="1009"/>
      <c r="WI59" s="1009"/>
      <c r="WJ59" s="1009"/>
      <c r="WK59" s="1009"/>
      <c r="WL59" s="1009"/>
      <c r="WM59" s="1009"/>
      <c r="WN59" s="1009"/>
      <c r="WO59" s="1009"/>
      <c r="WP59" s="1009"/>
      <c r="WQ59" s="1009"/>
      <c r="WR59" s="1009"/>
      <c r="WS59" s="1009"/>
      <c r="WT59" s="1009"/>
      <c r="WU59" s="1009"/>
      <c r="WV59" s="1009"/>
      <c r="WW59" s="1009"/>
      <c r="WX59" s="1009"/>
      <c r="WY59" s="1009"/>
      <c r="WZ59" s="1009"/>
      <c r="XA59" s="1009"/>
      <c r="XB59" s="1009"/>
      <c r="XC59" s="1009"/>
      <c r="XD59" s="1009"/>
      <c r="XE59" s="1009"/>
      <c r="XF59" s="1009"/>
      <c r="XG59" s="1009"/>
      <c r="XH59" s="1009"/>
      <c r="XI59" s="1009"/>
      <c r="XJ59" s="1009"/>
      <c r="XK59" s="1009"/>
      <c r="XL59" s="1009"/>
      <c r="XM59" s="1009"/>
      <c r="XN59" s="1009"/>
      <c r="XO59" s="1009"/>
      <c r="XP59" s="1009"/>
      <c r="XQ59" s="1009"/>
      <c r="XR59" s="1009"/>
      <c r="XS59" s="1009"/>
      <c r="XT59" s="1009"/>
      <c r="XU59" s="1009"/>
      <c r="XV59" s="1009"/>
      <c r="XW59" s="1009"/>
      <c r="XX59" s="1009"/>
      <c r="XY59" s="1009"/>
      <c r="XZ59" s="1009"/>
      <c r="YA59" s="1009"/>
      <c r="YB59" s="1009"/>
      <c r="YC59" s="1009"/>
      <c r="YD59" s="1009"/>
      <c r="YE59" s="1009"/>
      <c r="YF59" s="1009"/>
      <c r="YG59" s="1009"/>
      <c r="YH59" s="1009"/>
      <c r="YI59" s="1009"/>
      <c r="YJ59" s="1009"/>
      <c r="YK59" s="1009"/>
      <c r="YL59" s="1009"/>
      <c r="YM59" s="1009"/>
      <c r="YN59" s="1009"/>
      <c r="YO59" s="1009"/>
      <c r="YP59" s="1009"/>
      <c r="YQ59" s="1009"/>
      <c r="YR59" s="1009"/>
      <c r="YS59" s="1009"/>
      <c r="YT59" s="1009"/>
      <c r="YU59" s="1009"/>
      <c r="YV59" s="1009"/>
      <c r="YW59" s="1009"/>
      <c r="YX59" s="1009"/>
      <c r="YY59" s="1009"/>
      <c r="YZ59" s="1009"/>
      <c r="ZA59" s="1009"/>
      <c r="ZB59" s="1009"/>
      <c r="ZC59" s="1009"/>
      <c r="ZD59" s="1009"/>
      <c r="ZE59" s="1009"/>
      <c r="ZF59" s="1009"/>
      <c r="ZG59" s="1009"/>
      <c r="ZH59" s="1009"/>
      <c r="ZI59" s="1009"/>
      <c r="ZJ59" s="1009"/>
      <c r="ZK59" s="1009"/>
      <c r="ZL59" s="1009"/>
      <c r="ZM59" s="1009"/>
      <c r="ZN59" s="1009"/>
      <c r="ZO59" s="1009"/>
      <c r="ZP59" s="1009"/>
      <c r="ZQ59" s="1009"/>
      <c r="ZR59" s="1009"/>
      <c r="ZS59" s="1009"/>
      <c r="ZT59" s="1009"/>
      <c r="ZU59" s="1009"/>
      <c r="ZV59" s="1009"/>
      <c r="ZW59" s="1009"/>
      <c r="ZX59" s="1009"/>
      <c r="ZY59" s="1009"/>
      <c r="ZZ59" s="1009"/>
      <c r="AAA59" s="1009"/>
      <c r="AAB59" s="1009"/>
      <c r="AAC59" s="1009"/>
      <c r="AAD59" s="1009"/>
      <c r="AAE59" s="1009"/>
      <c r="AAF59" s="1009"/>
      <c r="AAG59" s="1009"/>
      <c r="AAH59" s="1009"/>
      <c r="AAI59" s="1009"/>
      <c r="AAJ59" s="1009"/>
      <c r="AAK59" s="1009"/>
      <c r="AAL59" s="1009"/>
      <c r="AAM59" s="1009"/>
      <c r="AAN59" s="1009"/>
      <c r="AAO59" s="1009"/>
      <c r="AAP59" s="1009"/>
      <c r="AAQ59" s="1009"/>
      <c r="AAR59" s="1009"/>
      <c r="AAS59" s="1009"/>
      <c r="AAT59" s="1009"/>
      <c r="AAU59" s="1009"/>
      <c r="AAV59" s="1009"/>
      <c r="AAW59" s="1009"/>
      <c r="AAX59" s="1009"/>
      <c r="AAY59" s="1009"/>
      <c r="AAZ59" s="1009"/>
      <c r="ABA59" s="1009"/>
      <c r="ABB59" s="1009"/>
      <c r="ABC59" s="1009"/>
      <c r="ABD59" s="1009"/>
      <c r="ABE59" s="1009"/>
      <c r="ABF59" s="1009"/>
      <c r="ABG59" s="1009"/>
      <c r="ABH59" s="1009"/>
      <c r="ABI59" s="1009"/>
      <c r="ABJ59" s="1009"/>
      <c r="ABK59" s="1009"/>
      <c r="ABL59" s="1009"/>
      <c r="ABM59" s="1009"/>
      <c r="ABN59" s="1009"/>
      <c r="ABO59" s="1009"/>
      <c r="ABP59" s="1009"/>
      <c r="ABQ59" s="1009"/>
      <c r="ABR59" s="1009"/>
    </row>
    <row r="60" spans="1:746" s="111" customFormat="1" ht="12.9" customHeight="1">
      <c r="A60" s="926"/>
      <c r="B60" s="1780"/>
      <c r="C60" s="1781"/>
      <c r="D60" s="1781"/>
      <c r="E60" s="1781"/>
      <c r="F60" s="1781"/>
      <c r="G60" s="1782"/>
      <c r="H60" s="1844" t="str">
        <f>IF(H59=1,"Budgetera från och med startmånad !","")</f>
        <v/>
      </c>
      <c r="I60" s="2570" t="str">
        <f>IF(fx!I$57=0,"&gt;&gt;",IF($L$4=I$6,"","Välj 1-12 i P4"))</f>
        <v/>
      </c>
      <c r="J60" s="1843" t="str">
        <f>IF(fx!J$57=0,"&gt;&gt;",IF($L$4=J$6,"Startmånad",""))</f>
        <v/>
      </c>
      <c r="K60" s="1843" t="str">
        <f>IF(fx!K$57=0,"&gt;&gt;",IF($L$4=K$6,"Startmånad",""))</f>
        <v/>
      </c>
      <c r="L60" s="1843" t="str">
        <f>IF(fx!L$57=0,"&gt;&gt;",IF($L$4=L$6,"Startmånad",""))</f>
        <v/>
      </c>
      <c r="M60" s="1843" t="str">
        <f>IF(fx!M$57=0,"&gt;&gt;",IF($L$4=M$6,"Startmånad",""))</f>
        <v/>
      </c>
      <c r="N60" s="1843" t="str">
        <f>IF(fx!N$57=0,"&gt;&gt;",IF($L$4=N$6,"Startmånad",""))</f>
        <v/>
      </c>
      <c r="O60" s="1843" t="str">
        <f>IF(AND(fx!$C$57=1,fx!O$57=0),"&gt;&gt;",IF(AND(fx!$C$57=1,$L$4=$O$6),"Startmånad",IF(AND(fx!$C$57=2,$L$4&lt;7),"Välj 7-12 i P4",IF(AND(fx!$C$57=2,$L$4=$O$6),"Startmånad",IF(AND(fx!$C$57=2,$L$4&gt;$O$6),"&gt;&gt;","")))))</f>
        <v/>
      </c>
      <c r="P60" s="1843" t="str">
        <f>IF(fx!P$57=0,"&gt;&gt;",IF($L$4=P$6,"Startmånad",""))</f>
        <v/>
      </c>
      <c r="Q60" s="1843" t="str">
        <f>IF(fx!Q$57=0,"&gt;&gt;",IF($L$4=Q$6,"Startmånad",""))</f>
        <v/>
      </c>
      <c r="R60" s="1843" t="str">
        <f>IF(fx!R$57=0,"&gt;&gt;",IF($L$4=R$6,"Startmånad",""))</f>
        <v/>
      </c>
      <c r="S60" s="1843" t="str">
        <f>IF(fx!S$57=0,"&gt;&gt;",IF($L$4=S$6,"Startmånad",""))</f>
        <v/>
      </c>
      <c r="T60" s="2717" t="str">
        <f>IF(fx!T$57=0,"&gt;&gt;",IF($L$4=T$6,"Startmånad",""))</f>
        <v/>
      </c>
      <c r="U60" s="2716"/>
      <c r="V60" s="1786"/>
      <c r="W60" s="1786"/>
      <c r="X60" s="1786"/>
      <c r="Y60" s="1786"/>
      <c r="Z60" s="1786"/>
      <c r="AA60" s="1786"/>
      <c r="AB60" s="1786"/>
      <c r="AC60" s="1786"/>
      <c r="AD60" s="1786"/>
      <c r="AE60" s="1786"/>
      <c r="AF60" s="1787"/>
      <c r="AG60" s="1786"/>
      <c r="AH60" s="1315"/>
      <c r="AI60" s="1315"/>
      <c r="AJ60" s="1498"/>
      <c r="AK60" s="1557"/>
      <c r="AL60" s="1498"/>
      <c r="AM60" s="1005"/>
      <c r="AN60" s="1013"/>
      <c r="AO60" s="1945"/>
      <c r="AP60" s="1935"/>
      <c r="AQ60" s="1936"/>
      <c r="AR60" s="1941"/>
      <c r="AS60" s="1941"/>
      <c r="AT60" s="1941"/>
      <c r="AU60" s="1941"/>
      <c r="AV60" s="1941"/>
      <c r="AW60" s="1941"/>
      <c r="AX60" s="1941"/>
      <c r="AY60" s="1941"/>
      <c r="AZ60" s="1941"/>
      <c r="BA60" s="1941"/>
      <c r="BB60" s="1941"/>
      <c r="BC60" s="1941"/>
      <c r="BD60" s="1941"/>
      <c r="BE60" s="1941"/>
      <c r="BF60" s="1941"/>
      <c r="BG60" s="1941"/>
      <c r="BH60" s="1941"/>
      <c r="BI60" s="1941"/>
      <c r="BJ60" s="1941"/>
      <c r="BK60" s="1941"/>
      <c r="BL60" s="1941"/>
      <c r="BM60" s="1941"/>
      <c r="BN60" s="1941"/>
      <c r="BO60" s="1941"/>
      <c r="BP60" s="1009"/>
      <c r="BQ60" s="1009"/>
      <c r="BR60" s="1009"/>
      <c r="BS60" s="1009"/>
      <c r="BT60" s="1009"/>
      <c r="BU60" s="1009"/>
      <c r="BV60" s="1009"/>
      <c r="BW60" s="1009"/>
      <c r="BX60" s="1009"/>
      <c r="BY60" s="1009"/>
      <c r="BZ60" s="1009"/>
      <c r="CA60" s="1009"/>
      <c r="CB60" s="1009"/>
      <c r="CC60" s="1009"/>
      <c r="CD60" s="1009"/>
      <c r="CE60" s="1009"/>
      <c r="CF60" s="1009"/>
      <c r="CG60" s="1009"/>
      <c r="CH60" s="1009"/>
      <c r="CI60" s="1009"/>
      <c r="CJ60" s="1009"/>
      <c r="CK60" s="1009"/>
      <c r="CL60" s="1009"/>
      <c r="CM60" s="1009"/>
      <c r="CN60" s="1009"/>
      <c r="CO60" s="1009"/>
      <c r="CP60" s="1009"/>
      <c r="CQ60" s="1009"/>
      <c r="CR60" s="1009"/>
      <c r="CS60" s="1009"/>
      <c r="CT60" s="1009"/>
      <c r="CU60" s="1009"/>
      <c r="CV60" s="1009"/>
      <c r="CW60" s="1009"/>
      <c r="CX60" s="1009"/>
      <c r="CY60" s="1009"/>
      <c r="CZ60" s="1009"/>
      <c r="DA60" s="1009"/>
      <c r="DB60" s="1009"/>
      <c r="DC60" s="1009"/>
      <c r="DD60" s="1009"/>
      <c r="DE60" s="1009"/>
      <c r="DF60" s="1009"/>
      <c r="DG60" s="1009"/>
      <c r="DH60" s="1009"/>
      <c r="DI60" s="1009"/>
      <c r="DJ60" s="1009"/>
      <c r="DK60" s="1009"/>
      <c r="DL60" s="1009"/>
      <c r="DM60" s="1009"/>
      <c r="DN60" s="1009"/>
      <c r="DO60" s="1009"/>
      <c r="DP60" s="1009"/>
      <c r="DQ60" s="1009"/>
      <c r="DR60" s="1009"/>
      <c r="DS60" s="1009"/>
      <c r="DT60" s="1009"/>
      <c r="DU60" s="1009"/>
      <c r="DV60" s="1009"/>
      <c r="DW60" s="1009"/>
      <c r="DX60" s="1009"/>
      <c r="DY60" s="1009"/>
      <c r="DZ60" s="1009"/>
      <c r="EA60" s="1009"/>
      <c r="EB60" s="1009"/>
      <c r="EC60" s="1009"/>
      <c r="ED60" s="1009"/>
      <c r="EE60" s="1009"/>
      <c r="EF60" s="1009"/>
      <c r="EG60" s="1009"/>
      <c r="EH60" s="1009"/>
      <c r="EI60" s="1009"/>
      <c r="EJ60" s="1009"/>
      <c r="EK60" s="1009"/>
      <c r="EL60" s="1009"/>
      <c r="EM60" s="1009"/>
      <c r="EN60" s="1009"/>
      <c r="EO60" s="1009"/>
      <c r="EP60" s="1009"/>
      <c r="EQ60" s="1009"/>
      <c r="ER60" s="1009"/>
      <c r="ES60" s="1009"/>
      <c r="ET60" s="1009"/>
      <c r="EU60" s="1009"/>
      <c r="EV60" s="1009"/>
      <c r="EW60" s="1009"/>
      <c r="EX60" s="1009"/>
      <c r="EY60" s="1009"/>
      <c r="EZ60" s="1009"/>
      <c r="FA60" s="1009"/>
      <c r="FB60" s="1009"/>
      <c r="FC60" s="1009"/>
      <c r="FD60" s="1009"/>
      <c r="FE60" s="1009"/>
      <c r="FF60" s="1009"/>
      <c r="FG60" s="1009"/>
      <c r="FH60" s="1009"/>
      <c r="FI60" s="1009"/>
      <c r="FJ60" s="1009"/>
      <c r="FK60" s="1009"/>
      <c r="FL60" s="1009"/>
      <c r="FM60" s="1009"/>
      <c r="FN60" s="1009"/>
      <c r="FO60" s="1009"/>
      <c r="FP60" s="1009"/>
      <c r="FQ60" s="1009"/>
      <c r="FR60" s="1009"/>
      <c r="FS60" s="1009"/>
      <c r="FT60" s="1009"/>
      <c r="FU60" s="1009"/>
      <c r="FV60" s="1009"/>
      <c r="FW60" s="1009"/>
      <c r="FX60" s="1009"/>
      <c r="FY60" s="1009"/>
      <c r="FZ60" s="1009"/>
      <c r="GA60" s="1009"/>
      <c r="GB60" s="1009"/>
      <c r="GC60" s="1009"/>
      <c r="GD60" s="1009"/>
      <c r="GE60" s="1009"/>
      <c r="GF60" s="1009"/>
      <c r="GG60" s="1009"/>
      <c r="GH60" s="1009"/>
      <c r="GI60" s="1009"/>
      <c r="GJ60" s="1009"/>
      <c r="GK60" s="1009"/>
      <c r="GL60" s="1009"/>
      <c r="GM60" s="1009"/>
      <c r="GN60" s="1009"/>
      <c r="GO60" s="1009"/>
      <c r="GP60" s="1009"/>
      <c r="GQ60" s="1009"/>
      <c r="GR60" s="1009"/>
      <c r="GS60" s="1009"/>
      <c r="GT60" s="1009"/>
      <c r="GU60" s="1009"/>
      <c r="GV60" s="1009"/>
      <c r="GW60" s="1009"/>
      <c r="GX60" s="1009"/>
      <c r="GY60" s="1009"/>
      <c r="GZ60" s="1009"/>
      <c r="HA60" s="1009"/>
      <c r="HB60" s="1009"/>
      <c r="HC60" s="1009"/>
      <c r="HD60" s="1009"/>
      <c r="HE60" s="1009"/>
      <c r="HF60" s="1009"/>
      <c r="HG60" s="1009"/>
      <c r="HH60" s="1009"/>
      <c r="HI60" s="1009"/>
      <c r="HJ60" s="1009"/>
      <c r="HK60" s="1009"/>
      <c r="HL60" s="1009"/>
      <c r="HM60" s="1009"/>
      <c r="HN60" s="1009"/>
      <c r="HO60" s="1009"/>
      <c r="HP60" s="1009"/>
      <c r="HQ60" s="1009"/>
      <c r="HR60" s="1009"/>
      <c r="HS60" s="1009"/>
      <c r="HT60" s="1009"/>
      <c r="HU60" s="1009"/>
      <c r="HV60" s="1009"/>
      <c r="HW60" s="1009"/>
      <c r="HX60" s="1009"/>
      <c r="HY60" s="1009"/>
      <c r="HZ60" s="1009"/>
      <c r="IA60" s="1009"/>
      <c r="IB60" s="1009"/>
      <c r="IC60" s="1009"/>
      <c r="ID60" s="1009"/>
      <c r="IE60" s="1009"/>
      <c r="IF60" s="1009"/>
      <c r="IG60" s="1009"/>
      <c r="IH60" s="1009"/>
      <c r="II60" s="1009"/>
      <c r="IJ60" s="1009"/>
      <c r="IK60" s="1009"/>
      <c r="IL60" s="1009"/>
      <c r="IM60" s="1009"/>
      <c r="IN60" s="1009"/>
      <c r="IO60" s="1009"/>
      <c r="IP60" s="1009"/>
      <c r="IQ60" s="1009"/>
      <c r="IR60" s="1009"/>
      <c r="IS60" s="1009"/>
      <c r="IT60" s="1009"/>
      <c r="IU60" s="1009"/>
      <c r="IV60" s="1009"/>
      <c r="IW60" s="1009"/>
      <c r="IX60" s="1009"/>
      <c r="IY60" s="1009"/>
      <c r="IZ60" s="1009"/>
      <c r="JA60" s="1009"/>
      <c r="JB60" s="1009"/>
      <c r="JC60" s="1009"/>
      <c r="JD60" s="1009"/>
      <c r="JE60" s="1009"/>
      <c r="JF60" s="1009"/>
      <c r="JG60" s="1009"/>
      <c r="JH60" s="1009"/>
      <c r="JI60" s="1009"/>
      <c r="JJ60" s="1009"/>
      <c r="JK60" s="1009"/>
      <c r="JL60" s="1009"/>
      <c r="JM60" s="1009"/>
      <c r="JN60" s="1009"/>
      <c r="JO60" s="1009"/>
      <c r="JP60" s="1009"/>
      <c r="JQ60" s="1009"/>
      <c r="JR60" s="1009"/>
      <c r="JS60" s="1009"/>
      <c r="JT60" s="1009"/>
      <c r="JU60" s="1009"/>
      <c r="JV60" s="1009"/>
      <c r="JW60" s="1009"/>
      <c r="JX60" s="1009"/>
      <c r="JY60" s="1009"/>
      <c r="JZ60" s="1009"/>
      <c r="KA60" s="1009"/>
      <c r="KB60" s="1009"/>
      <c r="KC60" s="1009"/>
      <c r="KD60" s="1009"/>
      <c r="KE60" s="1009"/>
      <c r="KF60" s="1009"/>
      <c r="KG60" s="1009"/>
      <c r="KH60" s="1009"/>
      <c r="KI60" s="1009"/>
      <c r="KJ60" s="1009"/>
      <c r="KK60" s="1009"/>
      <c r="KL60" s="1009"/>
      <c r="KM60" s="1009"/>
      <c r="KN60" s="1009"/>
      <c r="KO60" s="1009"/>
      <c r="KP60" s="1009"/>
      <c r="KQ60" s="1009"/>
      <c r="KR60" s="1009"/>
      <c r="KS60" s="1009"/>
      <c r="KT60" s="1009"/>
      <c r="KU60" s="1009"/>
      <c r="KV60" s="1009"/>
      <c r="KW60" s="1009"/>
      <c r="KX60" s="1009"/>
      <c r="KY60" s="1009"/>
      <c r="KZ60" s="1009"/>
      <c r="LA60" s="1009"/>
      <c r="LB60" s="1009"/>
      <c r="LC60" s="1009"/>
      <c r="LD60" s="1009"/>
      <c r="LE60" s="1009"/>
      <c r="LF60" s="1009"/>
      <c r="LG60" s="1009"/>
      <c r="LH60" s="1009"/>
      <c r="LI60" s="1009"/>
      <c r="LJ60" s="1009"/>
      <c r="LK60" s="1009"/>
      <c r="LL60" s="1009"/>
      <c r="LM60" s="1009"/>
      <c r="LN60" s="1009"/>
      <c r="LO60" s="1009"/>
      <c r="LP60" s="1009"/>
      <c r="LQ60" s="1009"/>
      <c r="LR60" s="1009"/>
      <c r="LS60" s="1009"/>
      <c r="LT60" s="1009"/>
      <c r="LU60" s="1009"/>
      <c r="LV60" s="1009"/>
      <c r="LW60" s="1009"/>
      <c r="LX60" s="1009"/>
      <c r="LY60" s="1009"/>
      <c r="LZ60" s="1009"/>
      <c r="MA60" s="1009"/>
      <c r="MB60" s="1009"/>
      <c r="MC60" s="1009"/>
      <c r="MD60" s="1009"/>
      <c r="ME60" s="1009"/>
      <c r="MF60" s="1009"/>
      <c r="MG60" s="1009"/>
      <c r="MH60" s="1009"/>
      <c r="MI60" s="1009"/>
      <c r="MJ60" s="1009"/>
      <c r="MK60" s="1009"/>
      <c r="ML60" s="1009"/>
      <c r="MM60" s="1009"/>
      <c r="MN60" s="1009"/>
      <c r="MO60" s="1009"/>
      <c r="MP60" s="1009"/>
      <c r="MQ60" s="1009"/>
      <c r="MR60" s="1009"/>
      <c r="MS60" s="1009"/>
      <c r="MT60" s="1009"/>
      <c r="MU60" s="1009"/>
      <c r="MV60" s="1009"/>
      <c r="MW60" s="1009"/>
      <c r="MX60" s="1009"/>
      <c r="MY60" s="1009"/>
      <c r="MZ60" s="1009"/>
      <c r="NA60" s="1009"/>
      <c r="NB60" s="1009"/>
      <c r="NC60" s="1009"/>
      <c r="ND60" s="1009"/>
      <c r="NE60" s="1009"/>
      <c r="NF60" s="1009"/>
      <c r="NG60" s="1009"/>
      <c r="NH60" s="1009"/>
      <c r="NI60" s="1009"/>
      <c r="NJ60" s="1009"/>
      <c r="NK60" s="1009"/>
      <c r="NL60" s="1009"/>
      <c r="NM60" s="1009"/>
      <c r="NN60" s="1009"/>
      <c r="NO60" s="1009"/>
      <c r="NP60" s="1009"/>
      <c r="NQ60" s="1009"/>
      <c r="NR60" s="1009"/>
      <c r="NS60" s="1009"/>
      <c r="NT60" s="1009"/>
      <c r="NU60" s="1009"/>
      <c r="NV60" s="1009"/>
      <c r="NW60" s="1009"/>
      <c r="NX60" s="1009"/>
      <c r="NY60" s="1009"/>
      <c r="NZ60" s="1009"/>
      <c r="OA60" s="1009"/>
      <c r="OB60" s="1009"/>
      <c r="OC60" s="1009"/>
      <c r="OD60" s="1009"/>
      <c r="OE60" s="1009"/>
      <c r="OF60" s="1009"/>
      <c r="OG60" s="1009"/>
      <c r="OH60" s="1009"/>
      <c r="OI60" s="1009"/>
      <c r="OJ60" s="1009"/>
      <c r="OK60" s="1009"/>
      <c r="OL60" s="1009"/>
      <c r="OM60" s="1009"/>
      <c r="ON60" s="1009"/>
      <c r="OO60" s="1009"/>
      <c r="OP60" s="1009"/>
      <c r="OQ60" s="1009"/>
      <c r="OR60" s="1009"/>
      <c r="OS60" s="1009"/>
      <c r="OT60" s="1009"/>
      <c r="OU60" s="1009"/>
      <c r="OV60" s="1009"/>
      <c r="OW60" s="1009"/>
      <c r="OX60" s="1009"/>
      <c r="OY60" s="1009"/>
      <c r="OZ60" s="1009"/>
      <c r="PA60" s="1009"/>
      <c r="PB60" s="1009"/>
      <c r="PC60" s="1009"/>
      <c r="PD60" s="1009"/>
      <c r="PE60" s="1009"/>
      <c r="PF60" s="1009"/>
      <c r="PG60" s="1009"/>
      <c r="PH60" s="1009"/>
      <c r="PI60" s="1009"/>
      <c r="PJ60" s="1009"/>
      <c r="PK60" s="1009"/>
      <c r="PL60" s="1009"/>
      <c r="PM60" s="1009"/>
      <c r="PN60" s="1009"/>
      <c r="PO60" s="1009"/>
      <c r="PP60" s="1009"/>
      <c r="PQ60" s="1009"/>
      <c r="PR60" s="1009"/>
      <c r="PS60" s="1009"/>
      <c r="PT60" s="1009"/>
      <c r="PU60" s="1009"/>
      <c r="PV60" s="1009"/>
      <c r="PW60" s="1009"/>
      <c r="PX60" s="1009"/>
      <c r="PY60" s="1009"/>
      <c r="PZ60" s="1009"/>
      <c r="QA60" s="1009"/>
      <c r="QB60" s="1009"/>
      <c r="QC60" s="1009"/>
      <c r="QD60" s="1009"/>
      <c r="QE60" s="1009"/>
      <c r="QF60" s="1009"/>
      <c r="QG60" s="1009"/>
      <c r="QH60" s="1009"/>
      <c r="QI60" s="1009"/>
      <c r="QJ60" s="1009"/>
      <c r="QK60" s="1009"/>
      <c r="QL60" s="1009"/>
      <c r="QM60" s="1009"/>
      <c r="QN60" s="1009"/>
      <c r="QO60" s="1009"/>
      <c r="QP60" s="1009"/>
      <c r="QQ60" s="1009"/>
      <c r="QR60" s="1009"/>
      <c r="QS60" s="1009"/>
      <c r="QT60" s="1009"/>
      <c r="QU60" s="1009"/>
      <c r="QV60" s="1009"/>
      <c r="QW60" s="1009"/>
      <c r="QX60" s="1009"/>
      <c r="QY60" s="1009"/>
      <c r="QZ60" s="1009"/>
      <c r="RA60" s="1009"/>
      <c r="RB60" s="1009"/>
      <c r="RC60" s="1009"/>
      <c r="RD60" s="1009"/>
      <c r="RE60" s="1009"/>
      <c r="RF60" s="1009"/>
      <c r="RG60" s="1009"/>
      <c r="RH60" s="1009"/>
      <c r="RI60" s="1009"/>
      <c r="RJ60" s="1009"/>
      <c r="RK60" s="1009"/>
      <c r="RL60" s="1009"/>
      <c r="RM60" s="1009"/>
      <c r="RN60" s="1009"/>
      <c r="RO60" s="1009"/>
      <c r="RP60" s="1009"/>
      <c r="RQ60" s="1009"/>
      <c r="RR60" s="1009"/>
      <c r="RS60" s="1009"/>
      <c r="RT60" s="1009"/>
      <c r="RU60" s="1009"/>
      <c r="RV60" s="1009"/>
      <c r="RW60" s="1009"/>
      <c r="RX60" s="1009"/>
      <c r="RY60" s="1009"/>
      <c r="RZ60" s="1009"/>
      <c r="SA60" s="1009"/>
      <c r="SB60" s="1009"/>
      <c r="SC60" s="1009"/>
      <c r="SD60" s="1009"/>
      <c r="SE60" s="1009"/>
      <c r="SF60" s="1009"/>
      <c r="SG60" s="1009"/>
      <c r="SH60" s="1009"/>
      <c r="SI60" s="1009"/>
      <c r="SJ60" s="1009"/>
      <c r="SK60" s="1009"/>
      <c r="SL60" s="1009"/>
      <c r="SM60" s="1009"/>
      <c r="SN60" s="1009"/>
      <c r="SO60" s="1009"/>
      <c r="SP60" s="1009"/>
      <c r="SQ60" s="1009"/>
      <c r="SR60" s="1009"/>
      <c r="SS60" s="1009"/>
      <c r="ST60" s="1009"/>
      <c r="SU60" s="1009"/>
      <c r="SV60" s="1009"/>
      <c r="SW60" s="1009"/>
      <c r="SX60" s="1009"/>
      <c r="SY60" s="1009"/>
      <c r="SZ60" s="1009"/>
      <c r="TA60" s="1009"/>
      <c r="TB60" s="1009"/>
      <c r="TC60" s="1009"/>
      <c r="TD60" s="1009"/>
      <c r="TE60" s="1009"/>
      <c r="TF60" s="1009"/>
      <c r="TG60" s="1009"/>
      <c r="TH60" s="1009"/>
      <c r="TI60" s="1009"/>
      <c r="TJ60" s="1009"/>
      <c r="TK60" s="1009"/>
      <c r="TL60" s="1009"/>
      <c r="TM60" s="1009"/>
      <c r="TN60" s="1009"/>
      <c r="TO60" s="1009"/>
      <c r="TP60" s="1009"/>
      <c r="TQ60" s="1009"/>
      <c r="TR60" s="1009"/>
      <c r="TS60" s="1009"/>
      <c r="TT60" s="1009"/>
      <c r="TU60" s="1009"/>
      <c r="TV60" s="1009"/>
      <c r="TW60" s="1009"/>
      <c r="TX60" s="1009"/>
      <c r="TY60" s="1009"/>
      <c r="TZ60" s="1009"/>
      <c r="UA60" s="1009"/>
      <c r="UB60" s="1009"/>
      <c r="UC60" s="1009"/>
      <c r="UD60" s="1009"/>
      <c r="UE60" s="1009"/>
      <c r="UF60" s="1009"/>
      <c r="UG60" s="1009"/>
      <c r="UH60" s="1009"/>
      <c r="UI60" s="1009"/>
      <c r="UJ60" s="1009"/>
      <c r="UK60" s="1009"/>
      <c r="UL60" s="1009"/>
      <c r="UM60" s="1009"/>
      <c r="UN60" s="1009"/>
      <c r="UO60" s="1009"/>
      <c r="UP60" s="1009"/>
      <c r="UQ60" s="1009"/>
      <c r="UR60" s="1009"/>
      <c r="US60" s="1009"/>
      <c r="UT60" s="1009"/>
      <c r="UU60" s="1009"/>
      <c r="UV60" s="1009"/>
      <c r="UW60" s="1009"/>
      <c r="UX60" s="1009"/>
      <c r="UY60" s="1009"/>
      <c r="UZ60" s="1009"/>
      <c r="VA60" s="1009"/>
      <c r="VB60" s="1009"/>
      <c r="VC60" s="1009"/>
      <c r="VD60" s="1009"/>
      <c r="VE60" s="1009"/>
      <c r="VF60" s="1009"/>
      <c r="VG60" s="1009"/>
      <c r="VH60" s="1009"/>
      <c r="VI60" s="1009"/>
      <c r="VJ60" s="1009"/>
      <c r="VK60" s="1009"/>
      <c r="VL60" s="1009"/>
      <c r="VM60" s="1009"/>
      <c r="VN60" s="1009"/>
      <c r="VO60" s="1009"/>
      <c r="VP60" s="1009"/>
      <c r="VQ60" s="1009"/>
      <c r="VR60" s="1009"/>
      <c r="VS60" s="1009"/>
      <c r="VT60" s="1009"/>
      <c r="VU60" s="1009"/>
      <c r="VV60" s="1009"/>
      <c r="VW60" s="1009"/>
      <c r="VX60" s="1009"/>
      <c r="VY60" s="1009"/>
      <c r="VZ60" s="1009"/>
      <c r="WA60" s="1009"/>
      <c r="WB60" s="1009"/>
      <c r="WC60" s="1009"/>
      <c r="WD60" s="1009"/>
      <c r="WE60" s="1009"/>
      <c r="WF60" s="1009"/>
      <c r="WG60" s="1009"/>
      <c r="WH60" s="1009"/>
      <c r="WI60" s="1009"/>
      <c r="WJ60" s="1009"/>
      <c r="WK60" s="1009"/>
      <c r="WL60" s="1009"/>
      <c r="WM60" s="1009"/>
      <c r="WN60" s="1009"/>
      <c r="WO60" s="1009"/>
      <c r="WP60" s="1009"/>
      <c r="WQ60" s="1009"/>
      <c r="WR60" s="1009"/>
      <c r="WS60" s="1009"/>
      <c r="WT60" s="1009"/>
      <c r="WU60" s="1009"/>
      <c r="WV60" s="1009"/>
      <c r="WW60" s="1009"/>
      <c r="WX60" s="1009"/>
      <c r="WY60" s="1009"/>
      <c r="WZ60" s="1009"/>
      <c r="XA60" s="1009"/>
      <c r="XB60" s="1009"/>
      <c r="XC60" s="1009"/>
      <c r="XD60" s="1009"/>
      <c r="XE60" s="1009"/>
      <c r="XF60" s="1009"/>
      <c r="XG60" s="1009"/>
      <c r="XH60" s="1009"/>
      <c r="XI60" s="1009"/>
      <c r="XJ60" s="1009"/>
      <c r="XK60" s="1009"/>
      <c r="XL60" s="1009"/>
      <c r="XM60" s="1009"/>
      <c r="XN60" s="1009"/>
      <c r="XO60" s="1009"/>
      <c r="XP60" s="1009"/>
      <c r="XQ60" s="1009"/>
      <c r="XR60" s="1009"/>
      <c r="XS60" s="1009"/>
      <c r="XT60" s="1009"/>
      <c r="XU60" s="1009"/>
      <c r="XV60" s="1009"/>
      <c r="XW60" s="1009"/>
      <c r="XX60" s="1009"/>
      <c r="XY60" s="1009"/>
      <c r="XZ60" s="1009"/>
      <c r="YA60" s="1009"/>
      <c r="YB60" s="1009"/>
      <c r="YC60" s="1009"/>
      <c r="YD60" s="1009"/>
      <c r="YE60" s="1009"/>
      <c r="YF60" s="1009"/>
      <c r="YG60" s="1009"/>
      <c r="YH60" s="1009"/>
      <c r="YI60" s="1009"/>
      <c r="YJ60" s="1009"/>
      <c r="YK60" s="1009"/>
      <c r="YL60" s="1009"/>
      <c r="YM60" s="1009"/>
      <c r="YN60" s="1009"/>
      <c r="YO60" s="1009"/>
      <c r="YP60" s="1009"/>
      <c r="YQ60" s="1009"/>
      <c r="YR60" s="1009"/>
      <c r="YS60" s="1009"/>
      <c r="YT60" s="1009"/>
      <c r="YU60" s="1009"/>
      <c r="YV60" s="1009"/>
      <c r="YW60" s="1009"/>
      <c r="YX60" s="1009"/>
      <c r="YY60" s="1009"/>
      <c r="YZ60" s="1009"/>
      <c r="ZA60" s="1009"/>
      <c r="ZB60" s="1009"/>
      <c r="ZC60" s="1009"/>
      <c r="ZD60" s="1009"/>
      <c r="ZE60" s="1009"/>
      <c r="ZF60" s="1009"/>
      <c r="ZG60" s="1009"/>
      <c r="ZH60" s="1009"/>
      <c r="ZI60" s="1009"/>
      <c r="ZJ60" s="1009"/>
      <c r="ZK60" s="1009"/>
      <c r="ZL60" s="1009"/>
      <c r="ZM60" s="1009"/>
      <c r="ZN60" s="1009"/>
      <c r="ZO60" s="1009"/>
      <c r="ZP60" s="1009"/>
      <c r="ZQ60" s="1009"/>
      <c r="ZR60" s="1009"/>
      <c r="ZS60" s="1009"/>
      <c r="ZT60" s="1009"/>
      <c r="ZU60" s="1009"/>
      <c r="ZV60" s="1009"/>
      <c r="ZW60" s="1009"/>
      <c r="ZX60" s="1009"/>
      <c r="ZY60" s="1009"/>
      <c r="ZZ60" s="1009"/>
      <c r="AAA60" s="1009"/>
      <c r="AAB60" s="1009"/>
      <c r="AAC60" s="1009"/>
      <c r="AAD60" s="1009"/>
      <c r="AAE60" s="1009"/>
      <c r="AAF60" s="1009"/>
      <c r="AAG60" s="1009"/>
      <c r="AAH60" s="1009"/>
      <c r="AAI60" s="1009"/>
      <c r="AAJ60" s="1009"/>
      <c r="AAK60" s="1009"/>
      <c r="AAL60" s="1009"/>
      <c r="AAM60" s="1009"/>
      <c r="AAN60" s="1009"/>
      <c r="AAO60" s="1009"/>
      <c r="AAP60" s="1009"/>
      <c r="AAQ60" s="1009"/>
      <c r="AAR60" s="1009"/>
      <c r="AAS60" s="1009"/>
      <c r="AAT60" s="1009"/>
      <c r="AAU60" s="1009"/>
      <c r="AAV60" s="1009"/>
      <c r="AAW60" s="1009"/>
      <c r="AAX60" s="1009"/>
      <c r="AAY60" s="1009"/>
      <c r="AAZ60" s="1009"/>
      <c r="ABA60" s="1009"/>
      <c r="ABB60" s="1009"/>
      <c r="ABC60" s="1009"/>
      <c r="ABD60" s="1009"/>
      <c r="ABE60" s="1009"/>
      <c r="ABF60" s="1009"/>
      <c r="ABG60" s="1009"/>
      <c r="ABH60" s="1009"/>
      <c r="ABI60" s="1009"/>
      <c r="ABJ60" s="1009"/>
      <c r="ABK60" s="1009"/>
      <c r="ABL60" s="1009"/>
      <c r="ABM60" s="1009"/>
      <c r="ABN60" s="1009"/>
      <c r="ABO60" s="1009"/>
      <c r="ABP60" s="1009"/>
      <c r="ABQ60" s="1009"/>
      <c r="ABR60" s="1009"/>
    </row>
    <row r="61" spans="1:746" s="111" customFormat="1" ht="12.9" customHeight="1">
      <c r="A61" s="926"/>
      <c r="B61" s="567" t="s">
        <v>291</v>
      </c>
      <c r="C61" s="568"/>
      <c r="D61" s="568"/>
      <c r="E61" s="568"/>
      <c r="F61" s="569"/>
      <c r="G61" s="570"/>
      <c r="H61" s="2160"/>
      <c r="I61" s="2572"/>
      <c r="J61" s="176"/>
      <c r="K61" s="176"/>
      <c r="L61" s="217" t="str">
        <f>IF(fx!G327=3,"Skriv materialandel eller bruttovinstprocent ▼","")</f>
        <v/>
      </c>
      <c r="M61" s="206"/>
      <c r="N61" s="208" t="s">
        <v>345</v>
      </c>
      <c r="O61" s="206"/>
      <c r="P61" s="218"/>
      <c r="Q61" s="218"/>
      <c r="R61" s="206"/>
      <c r="S61" s="206"/>
      <c r="T61" s="980"/>
      <c r="U61" s="820"/>
      <c r="V61" s="175"/>
      <c r="W61" s="175"/>
      <c r="X61" s="219" t="str">
        <f>IF(AND(fx!C57=1,fx!G327=3),"Skriv materialandel eller bruttovinstprocent ▼",IF(AND(fx!C57=2,fx!G327=3),"Beräknas automatiskt som M63 eller M64",""))</f>
        <v/>
      </c>
      <c r="Y61" s="175"/>
      <c r="Z61" s="175"/>
      <c r="AA61" s="175"/>
      <c r="AB61" s="175"/>
      <c r="AC61" s="175"/>
      <c r="AD61" s="206"/>
      <c r="AE61" s="206"/>
      <c r="AF61" s="172"/>
      <c r="AG61" s="2210"/>
      <c r="AH61" s="6"/>
      <c r="AI61" s="6"/>
      <c r="AJ61" s="1045"/>
      <c r="AK61" s="1045"/>
      <c r="AL61" s="1045"/>
      <c r="AM61" s="1005"/>
      <c r="AN61" s="352"/>
      <c r="AO61" s="1945"/>
      <c r="AP61" s="1935"/>
      <c r="AQ61" s="1936"/>
      <c r="AR61" s="1941"/>
      <c r="AS61" s="1941"/>
      <c r="AT61" s="1941"/>
      <c r="AU61" s="1941"/>
      <c r="AV61" s="1941"/>
      <c r="AW61" s="1941"/>
      <c r="AX61" s="1941"/>
      <c r="AY61" s="1941"/>
      <c r="AZ61" s="1941"/>
      <c r="BA61" s="1941"/>
      <c r="BB61" s="1941"/>
      <c r="BC61" s="1941"/>
      <c r="BD61" s="1941"/>
      <c r="BE61" s="1941"/>
      <c r="BF61" s="1941"/>
      <c r="BG61" s="1941"/>
      <c r="BH61" s="1941"/>
      <c r="BI61" s="1941"/>
      <c r="BJ61" s="1941"/>
      <c r="BK61" s="1941"/>
      <c r="BL61" s="1941"/>
      <c r="BM61" s="1941"/>
      <c r="BN61" s="1941"/>
      <c r="BO61" s="1941"/>
      <c r="BP61" s="1009"/>
      <c r="BQ61" s="1009"/>
      <c r="BR61" s="1009"/>
      <c r="BS61" s="1009"/>
      <c r="BT61" s="1009"/>
      <c r="BU61" s="1009"/>
      <c r="BV61" s="1009"/>
      <c r="BW61" s="1009"/>
      <c r="BX61" s="1009"/>
      <c r="BY61" s="1009"/>
      <c r="BZ61" s="1009"/>
      <c r="CA61" s="1009"/>
      <c r="CB61" s="1009"/>
      <c r="CC61" s="1009"/>
      <c r="CD61" s="1009"/>
      <c r="CE61" s="1009"/>
      <c r="CF61" s="1009"/>
      <c r="CG61" s="1009"/>
      <c r="CH61" s="1009"/>
      <c r="CI61" s="1009"/>
      <c r="CJ61" s="1009"/>
      <c r="CK61" s="1009"/>
      <c r="CL61" s="1009"/>
      <c r="CM61" s="1009"/>
      <c r="CN61" s="1009"/>
      <c r="CO61" s="1009"/>
      <c r="CP61" s="1009"/>
      <c r="CQ61" s="1009"/>
      <c r="CR61" s="1009"/>
      <c r="CS61" s="1009"/>
      <c r="CT61" s="1009"/>
      <c r="CU61" s="1009"/>
      <c r="CV61" s="1009"/>
      <c r="CW61" s="1009"/>
      <c r="CX61" s="1009"/>
      <c r="CY61" s="1009"/>
      <c r="CZ61" s="1009"/>
      <c r="DA61" s="1009"/>
      <c r="DB61" s="1009"/>
      <c r="DC61" s="1009"/>
      <c r="DD61" s="1009"/>
      <c r="DE61" s="1009"/>
      <c r="DF61" s="1009"/>
      <c r="DG61" s="1009"/>
      <c r="DH61" s="1009"/>
      <c r="DI61" s="1009"/>
      <c r="DJ61" s="1009"/>
      <c r="DK61" s="1009"/>
      <c r="DL61" s="1009"/>
      <c r="DM61" s="1009"/>
      <c r="DN61" s="1009"/>
      <c r="DO61" s="1009"/>
      <c r="DP61" s="1009"/>
      <c r="DQ61" s="1009"/>
      <c r="DR61" s="1009"/>
      <c r="DS61" s="1009"/>
      <c r="DT61" s="1009"/>
      <c r="DU61" s="1009"/>
      <c r="DV61" s="1009"/>
      <c r="DW61" s="1009"/>
      <c r="DX61" s="1009"/>
      <c r="DY61" s="1009"/>
      <c r="DZ61" s="1009"/>
      <c r="EA61" s="1009"/>
      <c r="EB61" s="1009"/>
      <c r="EC61" s="1009"/>
      <c r="ED61" s="1009"/>
      <c r="EE61" s="1009"/>
      <c r="EF61" s="1009"/>
      <c r="EG61" s="1009"/>
      <c r="EH61" s="1009"/>
      <c r="EI61" s="1009"/>
      <c r="EJ61" s="1009"/>
      <c r="EK61" s="1009"/>
      <c r="EL61" s="1009"/>
      <c r="EM61" s="1009"/>
      <c r="EN61" s="1009"/>
      <c r="EO61" s="1009"/>
      <c r="EP61" s="1009"/>
      <c r="EQ61" s="1009"/>
      <c r="ER61" s="1009"/>
      <c r="ES61" s="1009"/>
      <c r="ET61" s="1009"/>
      <c r="EU61" s="1009"/>
      <c r="EV61" s="1009"/>
      <c r="EW61" s="1009"/>
      <c r="EX61" s="1009"/>
      <c r="EY61" s="1009"/>
      <c r="EZ61" s="1009"/>
      <c r="FA61" s="1009"/>
      <c r="FB61" s="1009"/>
      <c r="FC61" s="1009"/>
      <c r="FD61" s="1009"/>
      <c r="FE61" s="1009"/>
      <c r="FF61" s="1009"/>
      <c r="FG61" s="1009"/>
      <c r="FH61" s="1009"/>
      <c r="FI61" s="1009"/>
      <c r="FJ61" s="1009"/>
      <c r="FK61" s="1009"/>
      <c r="FL61" s="1009"/>
      <c r="FM61" s="1009"/>
      <c r="FN61" s="1009"/>
      <c r="FO61" s="1009"/>
      <c r="FP61" s="1009"/>
      <c r="FQ61" s="1009"/>
      <c r="FR61" s="1009"/>
      <c r="FS61" s="1009"/>
      <c r="FT61" s="1009"/>
      <c r="FU61" s="1009"/>
      <c r="FV61" s="1009"/>
      <c r="FW61" s="1009"/>
      <c r="FX61" s="1009"/>
      <c r="FY61" s="1009"/>
      <c r="FZ61" s="1009"/>
      <c r="GA61" s="1009"/>
      <c r="GB61" s="1009"/>
      <c r="GC61" s="1009"/>
      <c r="GD61" s="1009"/>
      <c r="GE61" s="1009"/>
      <c r="GF61" s="1009"/>
      <c r="GG61" s="1009"/>
      <c r="GH61" s="1009"/>
      <c r="GI61" s="1009"/>
      <c r="GJ61" s="1009"/>
      <c r="GK61" s="1009"/>
      <c r="GL61" s="1009"/>
      <c r="GM61" s="1009"/>
      <c r="GN61" s="1009"/>
      <c r="GO61" s="1009"/>
      <c r="GP61" s="1009"/>
      <c r="GQ61" s="1009"/>
      <c r="GR61" s="1009"/>
      <c r="GS61" s="1009"/>
      <c r="GT61" s="1009"/>
      <c r="GU61" s="1009"/>
      <c r="GV61" s="1009"/>
      <c r="GW61" s="1009"/>
      <c r="GX61" s="1009"/>
      <c r="GY61" s="1009"/>
      <c r="GZ61" s="1009"/>
      <c r="HA61" s="1009"/>
      <c r="HB61" s="1009"/>
      <c r="HC61" s="1009"/>
      <c r="HD61" s="1009"/>
      <c r="HE61" s="1009"/>
      <c r="HF61" s="1009"/>
      <c r="HG61" s="1009"/>
      <c r="HH61" s="1009"/>
      <c r="HI61" s="1009"/>
      <c r="HJ61" s="1009"/>
      <c r="HK61" s="1009"/>
      <c r="HL61" s="1009"/>
      <c r="HM61" s="1009"/>
      <c r="HN61" s="1009"/>
      <c r="HO61" s="1009"/>
      <c r="HP61" s="1009"/>
      <c r="HQ61" s="1009"/>
      <c r="HR61" s="1009"/>
      <c r="HS61" s="1009"/>
      <c r="HT61" s="1009"/>
      <c r="HU61" s="1009"/>
      <c r="HV61" s="1009"/>
      <c r="HW61" s="1009"/>
      <c r="HX61" s="1009"/>
      <c r="HY61" s="1009"/>
      <c r="HZ61" s="1009"/>
      <c r="IA61" s="1009"/>
      <c r="IB61" s="1009"/>
      <c r="IC61" s="1009"/>
      <c r="ID61" s="1009"/>
      <c r="IE61" s="1009"/>
      <c r="IF61" s="1009"/>
      <c r="IG61" s="1009"/>
      <c r="IH61" s="1009"/>
      <c r="II61" s="1009"/>
      <c r="IJ61" s="1009"/>
      <c r="IK61" s="1009"/>
      <c r="IL61" s="1009"/>
      <c r="IM61" s="1009"/>
      <c r="IN61" s="1009"/>
      <c r="IO61" s="1009"/>
      <c r="IP61" s="1009"/>
      <c r="IQ61" s="1009"/>
      <c r="IR61" s="1009"/>
      <c r="IS61" s="1009"/>
      <c r="IT61" s="1009"/>
      <c r="IU61" s="1009"/>
      <c r="IV61" s="1009"/>
      <c r="IW61" s="1009"/>
      <c r="IX61" s="1009"/>
      <c r="IY61" s="1009"/>
      <c r="IZ61" s="1009"/>
      <c r="JA61" s="1009"/>
      <c r="JB61" s="1009"/>
      <c r="JC61" s="1009"/>
      <c r="JD61" s="1009"/>
      <c r="JE61" s="1009"/>
      <c r="JF61" s="1009"/>
      <c r="JG61" s="1009"/>
      <c r="JH61" s="1009"/>
      <c r="JI61" s="1009"/>
      <c r="JJ61" s="1009"/>
      <c r="JK61" s="1009"/>
      <c r="JL61" s="1009"/>
      <c r="JM61" s="1009"/>
      <c r="JN61" s="1009"/>
      <c r="JO61" s="1009"/>
      <c r="JP61" s="1009"/>
      <c r="JQ61" s="1009"/>
      <c r="JR61" s="1009"/>
      <c r="JS61" s="1009"/>
      <c r="JT61" s="1009"/>
      <c r="JU61" s="1009"/>
      <c r="JV61" s="1009"/>
      <c r="JW61" s="1009"/>
      <c r="JX61" s="1009"/>
      <c r="JY61" s="1009"/>
      <c r="JZ61" s="1009"/>
      <c r="KA61" s="1009"/>
      <c r="KB61" s="1009"/>
      <c r="KC61" s="1009"/>
      <c r="KD61" s="1009"/>
      <c r="KE61" s="1009"/>
      <c r="KF61" s="1009"/>
      <c r="KG61" s="1009"/>
      <c r="KH61" s="1009"/>
      <c r="KI61" s="1009"/>
      <c r="KJ61" s="1009"/>
      <c r="KK61" s="1009"/>
      <c r="KL61" s="1009"/>
      <c r="KM61" s="1009"/>
      <c r="KN61" s="1009"/>
      <c r="KO61" s="1009"/>
      <c r="KP61" s="1009"/>
      <c r="KQ61" s="1009"/>
      <c r="KR61" s="1009"/>
      <c r="KS61" s="1009"/>
      <c r="KT61" s="1009"/>
      <c r="KU61" s="1009"/>
      <c r="KV61" s="1009"/>
      <c r="KW61" s="1009"/>
      <c r="KX61" s="1009"/>
      <c r="KY61" s="1009"/>
      <c r="KZ61" s="1009"/>
      <c r="LA61" s="1009"/>
      <c r="LB61" s="1009"/>
      <c r="LC61" s="1009"/>
      <c r="LD61" s="1009"/>
      <c r="LE61" s="1009"/>
      <c r="LF61" s="1009"/>
      <c r="LG61" s="1009"/>
      <c r="LH61" s="1009"/>
      <c r="LI61" s="1009"/>
      <c r="LJ61" s="1009"/>
      <c r="LK61" s="1009"/>
      <c r="LL61" s="1009"/>
      <c r="LM61" s="1009"/>
      <c r="LN61" s="1009"/>
      <c r="LO61" s="1009"/>
      <c r="LP61" s="1009"/>
      <c r="LQ61" s="1009"/>
      <c r="LR61" s="1009"/>
      <c r="LS61" s="1009"/>
      <c r="LT61" s="1009"/>
      <c r="LU61" s="1009"/>
      <c r="LV61" s="1009"/>
      <c r="LW61" s="1009"/>
      <c r="LX61" s="1009"/>
      <c r="LY61" s="1009"/>
      <c r="LZ61" s="1009"/>
      <c r="MA61" s="1009"/>
      <c r="MB61" s="1009"/>
      <c r="MC61" s="1009"/>
      <c r="MD61" s="1009"/>
      <c r="ME61" s="1009"/>
      <c r="MF61" s="1009"/>
      <c r="MG61" s="1009"/>
      <c r="MH61" s="1009"/>
      <c r="MI61" s="1009"/>
      <c r="MJ61" s="1009"/>
      <c r="MK61" s="1009"/>
      <c r="ML61" s="1009"/>
      <c r="MM61" s="1009"/>
      <c r="MN61" s="1009"/>
      <c r="MO61" s="1009"/>
      <c r="MP61" s="1009"/>
      <c r="MQ61" s="1009"/>
      <c r="MR61" s="1009"/>
      <c r="MS61" s="1009"/>
      <c r="MT61" s="1009"/>
      <c r="MU61" s="1009"/>
      <c r="MV61" s="1009"/>
      <c r="MW61" s="1009"/>
      <c r="MX61" s="1009"/>
      <c r="MY61" s="1009"/>
      <c r="MZ61" s="1009"/>
      <c r="NA61" s="1009"/>
      <c r="NB61" s="1009"/>
      <c r="NC61" s="1009"/>
      <c r="ND61" s="1009"/>
      <c r="NE61" s="1009"/>
      <c r="NF61" s="1009"/>
      <c r="NG61" s="1009"/>
      <c r="NH61" s="1009"/>
      <c r="NI61" s="1009"/>
      <c r="NJ61" s="1009"/>
      <c r="NK61" s="1009"/>
      <c r="NL61" s="1009"/>
      <c r="NM61" s="1009"/>
      <c r="NN61" s="1009"/>
      <c r="NO61" s="1009"/>
      <c r="NP61" s="1009"/>
      <c r="NQ61" s="1009"/>
      <c r="NR61" s="1009"/>
      <c r="NS61" s="1009"/>
      <c r="NT61" s="1009"/>
      <c r="NU61" s="1009"/>
      <c r="NV61" s="1009"/>
      <c r="NW61" s="1009"/>
      <c r="NX61" s="1009"/>
      <c r="NY61" s="1009"/>
      <c r="NZ61" s="1009"/>
      <c r="OA61" s="1009"/>
      <c r="OB61" s="1009"/>
      <c r="OC61" s="1009"/>
      <c r="OD61" s="1009"/>
      <c r="OE61" s="1009"/>
      <c r="OF61" s="1009"/>
      <c r="OG61" s="1009"/>
      <c r="OH61" s="1009"/>
      <c r="OI61" s="1009"/>
      <c r="OJ61" s="1009"/>
      <c r="OK61" s="1009"/>
      <c r="OL61" s="1009"/>
      <c r="OM61" s="1009"/>
      <c r="ON61" s="1009"/>
      <c r="OO61" s="1009"/>
      <c r="OP61" s="1009"/>
      <c r="OQ61" s="1009"/>
      <c r="OR61" s="1009"/>
      <c r="OS61" s="1009"/>
      <c r="OT61" s="1009"/>
      <c r="OU61" s="1009"/>
      <c r="OV61" s="1009"/>
      <c r="OW61" s="1009"/>
      <c r="OX61" s="1009"/>
      <c r="OY61" s="1009"/>
      <c r="OZ61" s="1009"/>
      <c r="PA61" s="1009"/>
      <c r="PB61" s="1009"/>
      <c r="PC61" s="1009"/>
      <c r="PD61" s="1009"/>
      <c r="PE61" s="1009"/>
      <c r="PF61" s="1009"/>
      <c r="PG61" s="1009"/>
      <c r="PH61" s="1009"/>
      <c r="PI61" s="1009"/>
      <c r="PJ61" s="1009"/>
      <c r="PK61" s="1009"/>
      <c r="PL61" s="1009"/>
      <c r="PM61" s="1009"/>
      <c r="PN61" s="1009"/>
      <c r="PO61" s="1009"/>
      <c r="PP61" s="1009"/>
      <c r="PQ61" s="1009"/>
      <c r="PR61" s="1009"/>
      <c r="PS61" s="1009"/>
      <c r="PT61" s="1009"/>
      <c r="PU61" s="1009"/>
      <c r="PV61" s="1009"/>
      <c r="PW61" s="1009"/>
      <c r="PX61" s="1009"/>
      <c r="PY61" s="1009"/>
      <c r="PZ61" s="1009"/>
      <c r="QA61" s="1009"/>
      <c r="QB61" s="1009"/>
      <c r="QC61" s="1009"/>
      <c r="QD61" s="1009"/>
      <c r="QE61" s="1009"/>
      <c r="QF61" s="1009"/>
      <c r="QG61" s="1009"/>
      <c r="QH61" s="1009"/>
      <c r="QI61" s="1009"/>
      <c r="QJ61" s="1009"/>
      <c r="QK61" s="1009"/>
      <c r="QL61" s="1009"/>
      <c r="QM61" s="1009"/>
      <c r="QN61" s="1009"/>
      <c r="QO61" s="1009"/>
      <c r="QP61" s="1009"/>
      <c r="QQ61" s="1009"/>
      <c r="QR61" s="1009"/>
      <c r="QS61" s="1009"/>
      <c r="QT61" s="1009"/>
      <c r="QU61" s="1009"/>
      <c r="QV61" s="1009"/>
      <c r="QW61" s="1009"/>
      <c r="QX61" s="1009"/>
      <c r="QY61" s="1009"/>
      <c r="QZ61" s="1009"/>
      <c r="RA61" s="1009"/>
      <c r="RB61" s="1009"/>
      <c r="RC61" s="1009"/>
      <c r="RD61" s="1009"/>
      <c r="RE61" s="1009"/>
      <c r="RF61" s="1009"/>
      <c r="RG61" s="1009"/>
      <c r="RH61" s="1009"/>
      <c r="RI61" s="1009"/>
      <c r="RJ61" s="1009"/>
      <c r="RK61" s="1009"/>
      <c r="RL61" s="1009"/>
      <c r="RM61" s="1009"/>
      <c r="RN61" s="1009"/>
      <c r="RO61" s="1009"/>
      <c r="RP61" s="1009"/>
      <c r="RQ61" s="1009"/>
      <c r="RR61" s="1009"/>
      <c r="RS61" s="1009"/>
      <c r="RT61" s="1009"/>
      <c r="RU61" s="1009"/>
      <c r="RV61" s="1009"/>
      <c r="RW61" s="1009"/>
      <c r="RX61" s="1009"/>
      <c r="RY61" s="1009"/>
      <c r="RZ61" s="1009"/>
      <c r="SA61" s="1009"/>
      <c r="SB61" s="1009"/>
      <c r="SC61" s="1009"/>
      <c r="SD61" s="1009"/>
      <c r="SE61" s="1009"/>
      <c r="SF61" s="1009"/>
      <c r="SG61" s="1009"/>
      <c r="SH61" s="1009"/>
      <c r="SI61" s="1009"/>
      <c r="SJ61" s="1009"/>
      <c r="SK61" s="1009"/>
      <c r="SL61" s="1009"/>
      <c r="SM61" s="1009"/>
      <c r="SN61" s="1009"/>
      <c r="SO61" s="1009"/>
      <c r="SP61" s="1009"/>
      <c r="SQ61" s="1009"/>
      <c r="SR61" s="1009"/>
      <c r="SS61" s="1009"/>
      <c r="ST61" s="1009"/>
      <c r="SU61" s="1009"/>
      <c r="SV61" s="1009"/>
      <c r="SW61" s="1009"/>
      <c r="SX61" s="1009"/>
      <c r="SY61" s="1009"/>
      <c r="SZ61" s="1009"/>
      <c r="TA61" s="1009"/>
      <c r="TB61" s="1009"/>
      <c r="TC61" s="1009"/>
      <c r="TD61" s="1009"/>
      <c r="TE61" s="1009"/>
      <c r="TF61" s="1009"/>
      <c r="TG61" s="1009"/>
      <c r="TH61" s="1009"/>
      <c r="TI61" s="1009"/>
      <c r="TJ61" s="1009"/>
      <c r="TK61" s="1009"/>
      <c r="TL61" s="1009"/>
      <c r="TM61" s="1009"/>
      <c r="TN61" s="1009"/>
      <c r="TO61" s="1009"/>
      <c r="TP61" s="1009"/>
      <c r="TQ61" s="1009"/>
      <c r="TR61" s="1009"/>
      <c r="TS61" s="1009"/>
      <c r="TT61" s="1009"/>
      <c r="TU61" s="1009"/>
      <c r="TV61" s="1009"/>
      <c r="TW61" s="1009"/>
      <c r="TX61" s="1009"/>
      <c r="TY61" s="1009"/>
      <c r="TZ61" s="1009"/>
      <c r="UA61" s="1009"/>
      <c r="UB61" s="1009"/>
      <c r="UC61" s="1009"/>
      <c r="UD61" s="1009"/>
      <c r="UE61" s="1009"/>
      <c r="UF61" s="1009"/>
      <c r="UG61" s="1009"/>
      <c r="UH61" s="1009"/>
      <c r="UI61" s="1009"/>
      <c r="UJ61" s="1009"/>
      <c r="UK61" s="1009"/>
      <c r="UL61" s="1009"/>
      <c r="UM61" s="1009"/>
      <c r="UN61" s="1009"/>
      <c r="UO61" s="1009"/>
      <c r="UP61" s="1009"/>
      <c r="UQ61" s="1009"/>
      <c r="UR61" s="1009"/>
      <c r="US61" s="1009"/>
      <c r="UT61" s="1009"/>
      <c r="UU61" s="1009"/>
      <c r="UV61" s="1009"/>
      <c r="UW61" s="1009"/>
      <c r="UX61" s="1009"/>
      <c r="UY61" s="1009"/>
      <c r="UZ61" s="1009"/>
      <c r="VA61" s="1009"/>
      <c r="VB61" s="1009"/>
      <c r="VC61" s="1009"/>
      <c r="VD61" s="1009"/>
      <c r="VE61" s="1009"/>
      <c r="VF61" s="1009"/>
      <c r="VG61" s="1009"/>
      <c r="VH61" s="1009"/>
      <c r="VI61" s="1009"/>
      <c r="VJ61" s="1009"/>
      <c r="VK61" s="1009"/>
      <c r="VL61" s="1009"/>
      <c r="VM61" s="1009"/>
      <c r="VN61" s="1009"/>
      <c r="VO61" s="1009"/>
      <c r="VP61" s="1009"/>
      <c r="VQ61" s="1009"/>
      <c r="VR61" s="1009"/>
      <c r="VS61" s="1009"/>
      <c r="VT61" s="1009"/>
      <c r="VU61" s="1009"/>
      <c r="VV61" s="1009"/>
      <c r="VW61" s="1009"/>
      <c r="VX61" s="1009"/>
      <c r="VY61" s="1009"/>
      <c r="VZ61" s="1009"/>
      <c r="WA61" s="1009"/>
      <c r="WB61" s="1009"/>
      <c r="WC61" s="1009"/>
      <c r="WD61" s="1009"/>
      <c r="WE61" s="1009"/>
      <c r="WF61" s="1009"/>
      <c r="WG61" s="1009"/>
      <c r="WH61" s="1009"/>
      <c r="WI61" s="1009"/>
      <c r="WJ61" s="1009"/>
      <c r="WK61" s="1009"/>
      <c r="WL61" s="1009"/>
      <c r="WM61" s="1009"/>
      <c r="WN61" s="1009"/>
      <c r="WO61" s="1009"/>
      <c r="WP61" s="1009"/>
      <c r="WQ61" s="1009"/>
      <c r="WR61" s="1009"/>
      <c r="WS61" s="1009"/>
      <c r="WT61" s="1009"/>
      <c r="WU61" s="1009"/>
      <c r="WV61" s="1009"/>
      <c r="WW61" s="1009"/>
      <c r="WX61" s="1009"/>
      <c r="WY61" s="1009"/>
      <c r="WZ61" s="1009"/>
      <c r="XA61" s="1009"/>
      <c r="XB61" s="1009"/>
      <c r="XC61" s="1009"/>
      <c r="XD61" s="1009"/>
      <c r="XE61" s="1009"/>
      <c r="XF61" s="1009"/>
      <c r="XG61" s="1009"/>
      <c r="XH61" s="1009"/>
      <c r="XI61" s="1009"/>
      <c r="XJ61" s="1009"/>
      <c r="XK61" s="1009"/>
      <c r="XL61" s="1009"/>
      <c r="XM61" s="1009"/>
      <c r="XN61" s="1009"/>
      <c r="XO61" s="1009"/>
      <c r="XP61" s="1009"/>
      <c r="XQ61" s="1009"/>
      <c r="XR61" s="1009"/>
      <c r="XS61" s="1009"/>
      <c r="XT61" s="1009"/>
      <c r="XU61" s="1009"/>
      <c r="XV61" s="1009"/>
      <c r="XW61" s="1009"/>
      <c r="XX61" s="1009"/>
      <c r="XY61" s="1009"/>
      <c r="XZ61" s="1009"/>
      <c r="YA61" s="1009"/>
      <c r="YB61" s="1009"/>
      <c r="YC61" s="1009"/>
      <c r="YD61" s="1009"/>
      <c r="YE61" s="1009"/>
      <c r="YF61" s="1009"/>
      <c r="YG61" s="1009"/>
      <c r="YH61" s="1009"/>
      <c r="YI61" s="1009"/>
      <c r="YJ61" s="1009"/>
      <c r="YK61" s="1009"/>
      <c r="YL61" s="1009"/>
      <c r="YM61" s="1009"/>
      <c r="YN61" s="1009"/>
      <c r="YO61" s="1009"/>
      <c r="YP61" s="1009"/>
      <c r="YQ61" s="1009"/>
      <c r="YR61" s="1009"/>
      <c r="YS61" s="1009"/>
      <c r="YT61" s="1009"/>
      <c r="YU61" s="1009"/>
      <c r="YV61" s="1009"/>
      <c r="YW61" s="1009"/>
      <c r="YX61" s="1009"/>
      <c r="YY61" s="1009"/>
      <c r="YZ61" s="1009"/>
      <c r="ZA61" s="1009"/>
      <c r="ZB61" s="1009"/>
      <c r="ZC61" s="1009"/>
      <c r="ZD61" s="1009"/>
      <c r="ZE61" s="1009"/>
      <c r="ZF61" s="1009"/>
      <c r="ZG61" s="1009"/>
      <c r="ZH61" s="1009"/>
      <c r="ZI61" s="1009"/>
      <c r="ZJ61" s="1009"/>
      <c r="ZK61" s="1009"/>
      <c r="ZL61" s="1009"/>
      <c r="ZM61" s="1009"/>
      <c r="ZN61" s="1009"/>
      <c r="ZO61" s="1009"/>
      <c r="ZP61" s="1009"/>
      <c r="ZQ61" s="1009"/>
      <c r="ZR61" s="1009"/>
      <c r="ZS61" s="1009"/>
      <c r="ZT61" s="1009"/>
      <c r="ZU61" s="1009"/>
      <c r="ZV61" s="1009"/>
      <c r="ZW61" s="1009"/>
      <c r="ZX61" s="1009"/>
      <c r="ZY61" s="1009"/>
      <c r="ZZ61" s="1009"/>
      <c r="AAA61" s="1009"/>
      <c r="AAB61" s="1009"/>
      <c r="AAC61" s="1009"/>
      <c r="AAD61" s="1009"/>
      <c r="AAE61" s="1009"/>
      <c r="AAF61" s="1009"/>
      <c r="AAG61" s="1009"/>
      <c r="AAH61" s="1009"/>
      <c r="AAI61" s="1009"/>
      <c r="AAJ61" s="1009"/>
      <c r="AAK61" s="1009"/>
      <c r="AAL61" s="1009"/>
      <c r="AAM61" s="1009"/>
      <c r="AAN61" s="1009"/>
      <c r="AAO61" s="1009"/>
      <c r="AAP61" s="1009"/>
      <c r="AAQ61" s="1009"/>
      <c r="AAR61" s="1009"/>
      <c r="AAS61" s="1009"/>
      <c r="AAT61" s="1009"/>
      <c r="AAU61" s="1009"/>
      <c r="AAV61" s="1009"/>
      <c r="AAW61" s="1009"/>
      <c r="AAX61" s="1009"/>
      <c r="AAY61" s="1009"/>
      <c r="AAZ61" s="1009"/>
      <c r="ABA61" s="1009"/>
      <c r="ABB61" s="1009"/>
      <c r="ABC61" s="1009"/>
      <c r="ABD61" s="1009"/>
      <c r="ABE61" s="1009"/>
      <c r="ABF61" s="1009"/>
      <c r="ABG61" s="1009"/>
      <c r="ABH61" s="1009"/>
      <c r="ABI61" s="1009"/>
      <c r="ABJ61" s="1009"/>
      <c r="ABK61" s="1009"/>
      <c r="ABL61" s="1009"/>
      <c r="ABM61" s="1009"/>
      <c r="ABN61" s="1009"/>
      <c r="ABO61" s="1009"/>
      <c r="ABP61" s="1009"/>
      <c r="ABQ61" s="1009"/>
      <c r="ABR61" s="1009"/>
    </row>
    <row r="62" spans="1:746" s="113" customFormat="1" ht="12.9" customHeight="1" thickBot="1">
      <c r="A62" s="926"/>
      <c r="B62" s="571" t="s">
        <v>340</v>
      </c>
      <c r="C62" s="572"/>
      <c r="D62" s="572"/>
      <c r="E62" s="818"/>
      <c r="F62" s="553"/>
      <c r="G62" s="573"/>
      <c r="H62" s="573"/>
      <c r="I62" s="2573"/>
      <c r="J62" s="3040" t="s">
        <v>215</v>
      </c>
      <c r="K62" s="3049"/>
      <c r="L62" s="207"/>
      <c r="M62" s="307">
        <v>1</v>
      </c>
      <c r="N62" s="209" t="s">
        <v>917</v>
      </c>
      <c r="O62" s="177"/>
      <c r="P62" s="178"/>
      <c r="Q62" s="178"/>
      <c r="R62" s="177"/>
      <c r="S62" s="177"/>
      <c r="T62" s="981"/>
      <c r="U62" s="818"/>
      <c r="V62" s="210" t="s">
        <v>215</v>
      </c>
      <c r="W62" s="211"/>
      <c r="X62" s="211"/>
      <c r="Y62" s="221">
        <v>1</v>
      </c>
      <c r="Z62" s="179"/>
      <c r="AA62" s="179"/>
      <c r="AB62" s="179"/>
      <c r="AC62" s="179"/>
      <c r="AD62" s="177"/>
      <c r="AE62" s="177"/>
      <c r="AF62" s="180"/>
      <c r="AG62" s="2210"/>
      <c r="AH62" s="6"/>
      <c r="AI62" s="6"/>
      <c r="AJ62" s="1045"/>
      <c r="AK62" s="1045"/>
      <c r="AL62" s="1045"/>
      <c r="AM62" s="1005"/>
      <c r="AN62" s="1770"/>
      <c r="AO62" s="1945"/>
      <c r="AP62" s="1935"/>
      <c r="AQ62" s="1936"/>
      <c r="AR62" s="1941"/>
      <c r="AS62" s="1941"/>
      <c r="AT62" s="1941"/>
      <c r="AU62" s="1941"/>
      <c r="AV62" s="1941"/>
      <c r="AW62" s="1941"/>
      <c r="AX62" s="1941"/>
      <c r="AY62" s="1941"/>
      <c r="AZ62" s="1941"/>
      <c r="BA62" s="1941"/>
      <c r="BB62" s="1941"/>
      <c r="BC62" s="1941"/>
      <c r="BD62" s="1941"/>
      <c r="BE62" s="1941"/>
      <c r="BF62" s="1941"/>
      <c r="BG62" s="1941"/>
      <c r="BH62" s="1941"/>
      <c r="BI62" s="1941"/>
      <c r="BJ62" s="1941"/>
      <c r="BK62" s="1941"/>
      <c r="BL62" s="1941"/>
      <c r="BM62" s="1941"/>
      <c r="BN62" s="1941"/>
      <c r="BO62" s="1941"/>
      <c r="BP62" s="1005"/>
      <c r="BQ62" s="1005"/>
      <c r="BR62" s="1005"/>
      <c r="BS62" s="1005"/>
      <c r="BT62" s="1005"/>
      <c r="BU62" s="1005"/>
      <c r="BV62" s="1005"/>
      <c r="BW62" s="1005"/>
      <c r="BX62" s="1005"/>
      <c r="BY62" s="1005"/>
      <c r="BZ62" s="1005"/>
      <c r="CA62" s="1005"/>
      <c r="CB62" s="1005"/>
      <c r="CC62" s="1005"/>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c r="EC62" s="1005"/>
      <c r="ED62" s="1005"/>
      <c r="EE62" s="1005"/>
      <c r="EF62" s="1005"/>
      <c r="EG62" s="1005"/>
      <c r="EH62" s="1005"/>
      <c r="EI62" s="1005"/>
      <c r="EJ62" s="1005"/>
      <c r="EK62" s="1005"/>
      <c r="EL62" s="1005"/>
      <c r="EM62" s="1005"/>
      <c r="EN62" s="1005"/>
      <c r="EO62" s="1005"/>
      <c r="EP62" s="1005"/>
      <c r="EQ62" s="1005"/>
      <c r="ER62" s="1005"/>
      <c r="ES62" s="1005"/>
      <c r="ET62" s="1005"/>
      <c r="EU62" s="1005"/>
      <c r="EV62" s="1005"/>
      <c r="EW62" s="1005"/>
      <c r="EX62" s="1005"/>
      <c r="EY62" s="1005"/>
      <c r="EZ62" s="1005"/>
      <c r="FA62" s="1005"/>
      <c r="FB62" s="1005"/>
      <c r="FC62" s="1005"/>
      <c r="FD62" s="1005"/>
      <c r="FE62" s="1005"/>
      <c r="FF62" s="1005"/>
      <c r="FG62" s="1005"/>
      <c r="FH62" s="1005"/>
      <c r="FI62" s="1005"/>
      <c r="FJ62" s="1005"/>
      <c r="FK62" s="1005"/>
      <c r="FL62" s="1005"/>
      <c r="FM62" s="1005"/>
      <c r="FN62" s="1005"/>
      <c r="FO62" s="1005"/>
      <c r="FP62" s="1005"/>
      <c r="FQ62" s="1005"/>
      <c r="FR62" s="1005"/>
      <c r="FS62" s="1005"/>
      <c r="FT62" s="1005"/>
      <c r="FU62" s="1005"/>
      <c r="FV62" s="1005"/>
      <c r="FW62" s="1005"/>
      <c r="FX62" s="1005"/>
      <c r="FY62" s="1005"/>
      <c r="FZ62" s="1005"/>
      <c r="GA62" s="1005"/>
      <c r="GB62" s="1005"/>
      <c r="GC62" s="1005"/>
      <c r="GD62" s="1005"/>
      <c r="GE62" s="1005"/>
      <c r="GF62" s="1005"/>
      <c r="GG62" s="1005"/>
      <c r="GH62" s="1005"/>
      <c r="GI62" s="1005"/>
      <c r="GJ62" s="1005"/>
      <c r="GK62" s="1005"/>
      <c r="GL62" s="1005"/>
      <c r="GM62" s="1005"/>
      <c r="GN62" s="1005"/>
      <c r="GO62" s="1005"/>
      <c r="GP62" s="1005"/>
      <c r="GQ62" s="1005"/>
      <c r="GR62" s="1005"/>
      <c r="GS62" s="1005"/>
      <c r="GT62" s="1005"/>
      <c r="GU62" s="1005"/>
      <c r="GV62" s="1005"/>
      <c r="GW62" s="1005"/>
      <c r="GX62" s="1005"/>
      <c r="GY62" s="1005"/>
      <c r="GZ62" s="1005"/>
      <c r="HA62" s="1005"/>
      <c r="HB62" s="1005"/>
      <c r="HC62" s="1005"/>
      <c r="HD62" s="1005"/>
      <c r="HE62" s="1005"/>
      <c r="HF62" s="1005"/>
      <c r="HG62" s="1005"/>
      <c r="HH62" s="1005"/>
      <c r="HI62" s="1005"/>
      <c r="HJ62" s="1005"/>
      <c r="HK62" s="1005"/>
      <c r="HL62" s="1005"/>
      <c r="HM62" s="1005"/>
      <c r="HN62" s="1005"/>
      <c r="HO62" s="1005"/>
      <c r="HP62" s="1005"/>
      <c r="HQ62" s="1005"/>
      <c r="HR62" s="1005"/>
      <c r="HS62" s="1005"/>
      <c r="HT62" s="1005"/>
      <c r="HU62" s="1005"/>
      <c r="HV62" s="1005"/>
      <c r="HW62" s="1005"/>
      <c r="HX62" s="1005"/>
      <c r="HY62" s="1005"/>
      <c r="HZ62" s="1005"/>
      <c r="IA62" s="1005"/>
      <c r="IB62" s="1005"/>
      <c r="IC62" s="1005"/>
      <c r="ID62" s="1005"/>
      <c r="IE62" s="1005"/>
      <c r="IF62" s="1005"/>
      <c r="IG62" s="1005"/>
      <c r="IH62" s="1005"/>
      <c r="II62" s="1005"/>
      <c r="IJ62" s="1005"/>
      <c r="IK62" s="1005"/>
      <c r="IL62" s="1005"/>
      <c r="IM62" s="1005"/>
      <c r="IN62" s="1005"/>
      <c r="IO62" s="1005"/>
      <c r="IP62" s="1005"/>
      <c r="IQ62" s="1005"/>
      <c r="IR62" s="1005"/>
      <c r="IS62" s="1005"/>
      <c r="IT62" s="1005"/>
      <c r="IU62" s="1005"/>
      <c r="IV62" s="1005"/>
      <c r="IW62" s="1005"/>
      <c r="IX62" s="1005"/>
      <c r="IY62" s="1005"/>
      <c r="IZ62" s="1005"/>
      <c r="JA62" s="1005"/>
      <c r="JB62" s="1005"/>
      <c r="JC62" s="1005"/>
      <c r="JD62" s="1005"/>
      <c r="JE62" s="1005"/>
      <c r="JF62" s="1005"/>
      <c r="JG62" s="1005"/>
      <c r="JH62" s="1005"/>
      <c r="JI62" s="1005"/>
      <c r="JJ62" s="1005"/>
      <c r="JK62" s="1005"/>
      <c r="JL62" s="1005"/>
      <c r="JM62" s="1005"/>
      <c r="JN62" s="1005"/>
      <c r="JO62" s="1005"/>
      <c r="JP62" s="1005"/>
      <c r="JQ62" s="1005"/>
      <c r="JR62" s="1005"/>
      <c r="JS62" s="1005"/>
      <c r="JT62" s="1005"/>
      <c r="JU62" s="1005"/>
      <c r="JV62" s="1005"/>
      <c r="JW62" s="1005"/>
      <c r="JX62" s="1005"/>
      <c r="JY62" s="1005"/>
      <c r="JZ62" s="1005"/>
      <c r="KA62" s="1005"/>
      <c r="KB62" s="1005"/>
      <c r="KC62" s="1005"/>
      <c r="KD62" s="1005"/>
      <c r="KE62" s="1005"/>
      <c r="KF62" s="1005"/>
      <c r="KG62" s="1005"/>
      <c r="KH62" s="1005"/>
      <c r="KI62" s="1005"/>
      <c r="KJ62" s="1005"/>
      <c r="KK62" s="1005"/>
      <c r="KL62" s="1005"/>
      <c r="KM62" s="1005"/>
      <c r="KN62" s="1005"/>
      <c r="KO62" s="1005"/>
      <c r="KP62" s="1005"/>
      <c r="KQ62" s="1005"/>
      <c r="KR62" s="1005"/>
      <c r="KS62" s="1005"/>
      <c r="KT62" s="1005"/>
      <c r="KU62" s="1005"/>
      <c r="KV62" s="1005"/>
      <c r="KW62" s="1005"/>
      <c r="KX62" s="1005"/>
      <c r="KY62" s="1005"/>
      <c r="KZ62" s="1005"/>
      <c r="LA62" s="1005"/>
      <c r="LB62" s="1005"/>
      <c r="LC62" s="1005"/>
      <c r="LD62" s="1005"/>
      <c r="LE62" s="1005"/>
      <c r="LF62" s="1005"/>
      <c r="LG62" s="1005"/>
      <c r="LH62" s="1005"/>
      <c r="LI62" s="1005"/>
      <c r="LJ62" s="1005"/>
      <c r="LK62" s="1005"/>
      <c r="LL62" s="1005"/>
      <c r="LM62" s="1005"/>
      <c r="LN62" s="1005"/>
      <c r="LO62" s="1005"/>
      <c r="LP62" s="1005"/>
      <c r="LQ62" s="1005"/>
      <c r="LR62" s="1005"/>
      <c r="LS62" s="1005"/>
      <c r="LT62" s="1005"/>
      <c r="LU62" s="1005"/>
      <c r="LV62" s="1005"/>
      <c r="LW62" s="1005"/>
      <c r="LX62" s="1005"/>
      <c r="LY62" s="1005"/>
      <c r="LZ62" s="1005"/>
      <c r="MA62" s="1005"/>
      <c r="MB62" s="1005"/>
      <c r="MC62" s="1005"/>
      <c r="MD62" s="1005"/>
      <c r="ME62" s="1005"/>
      <c r="MF62" s="1005"/>
      <c r="MG62" s="1005"/>
      <c r="MH62" s="1005"/>
      <c r="MI62" s="1005"/>
      <c r="MJ62" s="1005"/>
      <c r="MK62" s="1005"/>
      <c r="ML62" s="1005"/>
      <c r="MM62" s="1005"/>
      <c r="MN62" s="1005"/>
      <c r="MO62" s="1005"/>
      <c r="MP62" s="1005"/>
      <c r="MQ62" s="1005"/>
      <c r="MR62" s="1005"/>
      <c r="MS62" s="1005"/>
      <c r="MT62" s="1005"/>
      <c r="MU62" s="1005"/>
      <c r="MV62" s="1005"/>
      <c r="MW62" s="1005"/>
      <c r="MX62" s="1005"/>
      <c r="MY62" s="1005"/>
      <c r="MZ62" s="1005"/>
      <c r="NA62" s="1005"/>
      <c r="NB62" s="1005"/>
      <c r="NC62" s="1005"/>
      <c r="ND62" s="1005"/>
      <c r="NE62" s="1005"/>
      <c r="NF62" s="1005"/>
      <c r="NG62" s="1005"/>
      <c r="NH62" s="1005"/>
      <c r="NI62" s="1005"/>
      <c r="NJ62" s="1005"/>
      <c r="NK62" s="1005"/>
      <c r="NL62" s="1005"/>
      <c r="NM62" s="1005"/>
      <c r="NN62" s="1005"/>
      <c r="NO62" s="1005"/>
      <c r="NP62" s="1005"/>
      <c r="NQ62" s="1005"/>
      <c r="NR62" s="1005"/>
      <c r="NS62" s="1005"/>
      <c r="NT62" s="1005"/>
      <c r="NU62" s="1005"/>
      <c r="NV62" s="1005"/>
      <c r="NW62" s="1005"/>
      <c r="NX62" s="1005"/>
      <c r="NY62" s="1005"/>
      <c r="NZ62" s="1005"/>
      <c r="OA62" s="1005"/>
      <c r="OB62" s="1005"/>
      <c r="OC62" s="1005"/>
      <c r="OD62" s="1005"/>
      <c r="OE62" s="1005"/>
      <c r="OF62" s="1005"/>
      <c r="OG62" s="1005"/>
      <c r="OH62" s="1005"/>
      <c r="OI62" s="1005"/>
      <c r="OJ62" s="1005"/>
      <c r="OK62" s="1005"/>
      <c r="OL62" s="1005"/>
      <c r="OM62" s="1005"/>
      <c r="ON62" s="1005"/>
      <c r="OO62" s="1005"/>
      <c r="OP62" s="1005"/>
      <c r="OQ62" s="1005"/>
      <c r="OR62" s="1005"/>
      <c r="OS62" s="1005"/>
      <c r="OT62" s="1005"/>
      <c r="OU62" s="1005"/>
      <c r="OV62" s="1005"/>
      <c r="OW62" s="1005"/>
      <c r="OX62" s="1005"/>
      <c r="OY62" s="1005"/>
      <c r="OZ62" s="1005"/>
      <c r="PA62" s="1005"/>
      <c r="PB62" s="1005"/>
      <c r="PC62" s="1005"/>
      <c r="PD62" s="1005"/>
      <c r="PE62" s="1005"/>
      <c r="PF62" s="1005"/>
      <c r="PG62" s="1005"/>
      <c r="PH62" s="1005"/>
      <c r="PI62" s="1005"/>
      <c r="PJ62" s="1005"/>
      <c r="PK62" s="1005"/>
      <c r="PL62" s="1005"/>
      <c r="PM62" s="1005"/>
      <c r="PN62" s="1005"/>
      <c r="PO62" s="1005"/>
      <c r="PP62" s="1005"/>
      <c r="PQ62" s="1005"/>
      <c r="PR62" s="1005"/>
      <c r="PS62" s="1005"/>
      <c r="PT62" s="1005"/>
      <c r="PU62" s="1005"/>
      <c r="PV62" s="1005"/>
      <c r="PW62" s="1005"/>
      <c r="PX62" s="1005"/>
      <c r="PY62" s="1005"/>
      <c r="PZ62" s="1005"/>
      <c r="QA62" s="1005"/>
      <c r="QB62" s="1005"/>
      <c r="QC62" s="1005"/>
      <c r="QD62" s="1005"/>
      <c r="QE62" s="1005"/>
      <c r="QF62" s="1005"/>
      <c r="QG62" s="1005"/>
      <c r="QH62" s="1005"/>
      <c r="QI62" s="1005"/>
      <c r="QJ62" s="1005"/>
      <c r="QK62" s="1005"/>
      <c r="QL62" s="1005"/>
      <c r="QM62" s="1005"/>
      <c r="QN62" s="1005"/>
      <c r="QO62" s="1005"/>
      <c r="QP62" s="1005"/>
      <c r="QQ62" s="1005"/>
      <c r="QR62" s="1005"/>
      <c r="QS62" s="1005"/>
      <c r="QT62" s="1005"/>
      <c r="QU62" s="1005"/>
      <c r="QV62" s="1005"/>
      <c r="QW62" s="1005"/>
      <c r="QX62" s="1005"/>
      <c r="QY62" s="1005"/>
      <c r="QZ62" s="1005"/>
      <c r="RA62" s="1005"/>
      <c r="RB62" s="1005"/>
      <c r="RC62" s="1005"/>
      <c r="RD62" s="1005"/>
      <c r="RE62" s="1005"/>
      <c r="RF62" s="1005"/>
      <c r="RG62" s="1005"/>
      <c r="RH62" s="1005"/>
      <c r="RI62" s="1005"/>
      <c r="RJ62" s="1005"/>
      <c r="RK62" s="1005"/>
      <c r="RL62" s="1005"/>
      <c r="RM62" s="1005"/>
      <c r="RN62" s="1005"/>
      <c r="RO62" s="1005"/>
      <c r="RP62" s="1005"/>
      <c r="RQ62" s="1005"/>
      <c r="RR62" s="1005"/>
      <c r="RS62" s="1005"/>
      <c r="RT62" s="1005"/>
      <c r="RU62" s="1005"/>
      <c r="RV62" s="1005"/>
      <c r="RW62" s="1005"/>
      <c r="RX62" s="1005"/>
      <c r="RY62" s="1005"/>
      <c r="RZ62" s="1005"/>
      <c r="SA62" s="1005"/>
      <c r="SB62" s="1005"/>
      <c r="SC62" s="1005"/>
      <c r="SD62" s="1005"/>
      <c r="SE62" s="1005"/>
      <c r="SF62" s="1005"/>
      <c r="SG62" s="1005"/>
      <c r="SH62" s="1005"/>
      <c r="SI62" s="1005"/>
      <c r="SJ62" s="1005"/>
      <c r="SK62" s="1005"/>
      <c r="SL62" s="1005"/>
      <c r="SM62" s="1005"/>
      <c r="SN62" s="1005"/>
      <c r="SO62" s="1005"/>
      <c r="SP62" s="1005"/>
      <c r="SQ62" s="1005"/>
      <c r="SR62" s="1005"/>
      <c r="SS62" s="1005"/>
      <c r="ST62" s="1005"/>
      <c r="SU62" s="1005"/>
      <c r="SV62" s="1005"/>
      <c r="SW62" s="1005"/>
      <c r="SX62" s="1005"/>
      <c r="SY62" s="1005"/>
      <c r="SZ62" s="1005"/>
      <c r="TA62" s="1005"/>
      <c r="TB62" s="1005"/>
      <c r="TC62" s="1005"/>
      <c r="TD62" s="1005"/>
      <c r="TE62" s="1005"/>
      <c r="TF62" s="1005"/>
      <c r="TG62" s="1005"/>
      <c r="TH62" s="1005"/>
      <c r="TI62" s="1005"/>
      <c r="TJ62" s="1005"/>
      <c r="TK62" s="1005"/>
      <c r="TL62" s="1005"/>
      <c r="TM62" s="1005"/>
      <c r="TN62" s="1005"/>
      <c r="TO62" s="1005"/>
      <c r="TP62" s="1005"/>
      <c r="TQ62" s="1005"/>
      <c r="TR62" s="1005"/>
      <c r="TS62" s="1005"/>
      <c r="TT62" s="1005"/>
      <c r="TU62" s="1005"/>
      <c r="TV62" s="1005"/>
      <c r="TW62" s="1005"/>
      <c r="TX62" s="1005"/>
      <c r="TY62" s="1005"/>
      <c r="TZ62" s="1005"/>
      <c r="UA62" s="1005"/>
      <c r="UB62" s="1005"/>
      <c r="UC62" s="1005"/>
      <c r="UD62" s="1005"/>
      <c r="UE62" s="1005"/>
      <c r="UF62" s="1005"/>
      <c r="UG62" s="1005"/>
      <c r="UH62" s="1005"/>
      <c r="UI62" s="1005"/>
      <c r="UJ62" s="1005"/>
      <c r="UK62" s="1005"/>
      <c r="UL62" s="1005"/>
      <c r="UM62" s="1005"/>
      <c r="UN62" s="1005"/>
      <c r="UO62" s="1005"/>
      <c r="UP62" s="1005"/>
      <c r="UQ62" s="1005"/>
      <c r="UR62" s="1005"/>
      <c r="US62" s="1005"/>
      <c r="UT62" s="1005"/>
      <c r="UU62" s="1005"/>
      <c r="UV62" s="1005"/>
      <c r="UW62" s="1005"/>
      <c r="UX62" s="1005"/>
      <c r="UY62" s="1005"/>
      <c r="UZ62" s="1005"/>
      <c r="VA62" s="1005"/>
      <c r="VB62" s="1005"/>
      <c r="VC62" s="1005"/>
      <c r="VD62" s="1005"/>
      <c r="VE62" s="1005"/>
      <c r="VF62" s="1005"/>
      <c r="VG62" s="1005"/>
      <c r="VH62" s="1005"/>
      <c r="VI62" s="1005"/>
      <c r="VJ62" s="1005"/>
      <c r="VK62" s="1005"/>
      <c r="VL62" s="1005"/>
      <c r="VM62" s="1005"/>
      <c r="VN62" s="1005"/>
      <c r="VO62" s="1005"/>
      <c r="VP62" s="1005"/>
      <c r="VQ62" s="1005"/>
      <c r="VR62" s="1005"/>
      <c r="VS62" s="1005"/>
      <c r="VT62" s="1005"/>
      <c r="VU62" s="1005"/>
      <c r="VV62" s="1005"/>
      <c r="VW62" s="1005"/>
      <c r="VX62" s="1005"/>
      <c r="VY62" s="1005"/>
      <c r="VZ62" s="1005"/>
      <c r="WA62" s="1005"/>
      <c r="WB62" s="1005"/>
      <c r="WC62" s="1005"/>
      <c r="WD62" s="1005"/>
      <c r="WE62" s="1005"/>
      <c r="WF62" s="1005"/>
      <c r="WG62" s="1005"/>
      <c r="WH62" s="1005"/>
      <c r="WI62" s="1005"/>
      <c r="WJ62" s="1005"/>
      <c r="WK62" s="1005"/>
      <c r="WL62" s="1005"/>
      <c r="WM62" s="1005"/>
      <c r="WN62" s="1005"/>
      <c r="WO62" s="1005"/>
      <c r="WP62" s="1005"/>
      <c r="WQ62" s="1005"/>
      <c r="WR62" s="1005"/>
      <c r="WS62" s="1005"/>
      <c r="WT62" s="1005"/>
      <c r="WU62" s="1005"/>
      <c r="WV62" s="1005"/>
      <c r="WW62" s="1005"/>
      <c r="WX62" s="1005"/>
      <c r="WY62" s="1005"/>
      <c r="WZ62" s="1005"/>
      <c r="XA62" s="1005"/>
      <c r="XB62" s="1005"/>
      <c r="XC62" s="1005"/>
      <c r="XD62" s="1005"/>
      <c r="XE62" s="1005"/>
      <c r="XF62" s="1005"/>
      <c r="XG62" s="1005"/>
      <c r="XH62" s="1005"/>
      <c r="XI62" s="1005"/>
      <c r="XJ62" s="1005"/>
      <c r="XK62" s="1005"/>
      <c r="XL62" s="1005"/>
      <c r="XM62" s="1005"/>
      <c r="XN62" s="1005"/>
      <c r="XO62" s="1005"/>
      <c r="XP62" s="1005"/>
      <c r="XQ62" s="1005"/>
      <c r="XR62" s="1005"/>
      <c r="XS62" s="1005"/>
      <c r="XT62" s="1005"/>
      <c r="XU62" s="1005"/>
      <c r="XV62" s="1005"/>
      <c r="XW62" s="1005"/>
      <c r="XX62" s="1005"/>
      <c r="XY62" s="1005"/>
      <c r="XZ62" s="1005"/>
      <c r="YA62" s="1005"/>
      <c r="YB62" s="1005"/>
      <c r="YC62" s="1005"/>
      <c r="YD62" s="1005"/>
      <c r="YE62" s="1005"/>
      <c r="YF62" s="1005"/>
      <c r="YG62" s="1005"/>
      <c r="YH62" s="1005"/>
      <c r="YI62" s="1005"/>
      <c r="YJ62" s="1005"/>
      <c r="YK62" s="1005"/>
      <c r="YL62" s="1005"/>
      <c r="YM62" s="1005"/>
      <c r="YN62" s="1005"/>
      <c r="YO62" s="1005"/>
      <c r="YP62" s="1005"/>
      <c r="YQ62" s="1005"/>
      <c r="YR62" s="1005"/>
      <c r="YS62" s="1005"/>
      <c r="YT62" s="1005"/>
      <c r="YU62" s="1005"/>
      <c r="YV62" s="1005"/>
      <c r="YW62" s="1005"/>
      <c r="YX62" s="1005"/>
      <c r="YY62" s="1005"/>
      <c r="YZ62" s="1005"/>
      <c r="ZA62" s="1005"/>
      <c r="ZB62" s="1005"/>
      <c r="ZC62" s="1005"/>
      <c r="ZD62" s="1005"/>
      <c r="ZE62" s="1005"/>
      <c r="ZF62" s="1005"/>
      <c r="ZG62" s="1005"/>
      <c r="ZH62" s="1005"/>
      <c r="ZI62" s="1005"/>
      <c r="ZJ62" s="1005"/>
      <c r="ZK62" s="1005"/>
      <c r="ZL62" s="1005"/>
      <c r="ZM62" s="1005"/>
      <c r="ZN62" s="1005"/>
      <c r="ZO62" s="1005"/>
      <c r="ZP62" s="1005"/>
      <c r="ZQ62" s="1005"/>
      <c r="ZR62" s="1005"/>
      <c r="ZS62" s="1005"/>
      <c r="ZT62" s="1005"/>
      <c r="ZU62" s="1005"/>
      <c r="ZV62" s="1005"/>
      <c r="ZW62" s="1005"/>
      <c r="ZX62" s="1005"/>
      <c r="ZY62" s="1005"/>
      <c r="ZZ62" s="1005"/>
      <c r="AAA62" s="1005"/>
      <c r="AAB62" s="1005"/>
      <c r="AAC62" s="1005"/>
      <c r="AAD62" s="1005"/>
      <c r="AAE62" s="1005"/>
      <c r="AAF62" s="1005"/>
      <c r="AAG62" s="1005"/>
      <c r="AAH62" s="1005"/>
      <c r="AAI62" s="1005"/>
      <c r="AAJ62" s="1005"/>
      <c r="AAK62" s="1005"/>
      <c r="AAL62" s="1005"/>
      <c r="AAM62" s="1005"/>
      <c r="AAN62" s="1005"/>
      <c r="AAO62" s="1005"/>
      <c r="AAP62" s="1005"/>
      <c r="AAQ62" s="1005"/>
      <c r="AAR62" s="1005"/>
      <c r="AAS62" s="1005"/>
      <c r="AAT62" s="1005"/>
      <c r="AAU62" s="1005"/>
      <c r="AAV62" s="1005"/>
      <c r="AAW62" s="1005"/>
      <c r="AAX62" s="1005"/>
      <c r="AAY62" s="1005"/>
      <c r="AAZ62" s="1005"/>
      <c r="ABA62" s="1005"/>
      <c r="ABB62" s="1005"/>
      <c r="ABC62" s="1005"/>
      <c r="ABD62" s="1005"/>
      <c r="ABE62" s="1005"/>
      <c r="ABF62" s="1005"/>
      <c r="ABG62" s="1005"/>
      <c r="ABH62" s="1005"/>
      <c r="ABI62" s="1005"/>
      <c r="ABJ62" s="1005"/>
      <c r="ABK62" s="1005"/>
      <c r="ABL62" s="1005"/>
      <c r="ABM62" s="1005"/>
      <c r="ABN62" s="1005"/>
      <c r="ABO62" s="1005"/>
      <c r="ABP62" s="1005"/>
      <c r="ABQ62" s="1005"/>
      <c r="ABR62" s="1005"/>
    </row>
    <row r="63" spans="1:746" s="113" customFormat="1" ht="12.9" customHeight="1" thickBot="1">
      <c r="A63" s="926"/>
      <c r="B63" s="2329" t="s">
        <v>341</v>
      </c>
      <c r="C63" s="2330"/>
      <c r="D63" s="2330"/>
      <c r="E63" s="2928" t="s">
        <v>338</v>
      </c>
      <c r="F63" s="2928"/>
      <c r="G63" s="2928"/>
      <c r="H63" s="2928"/>
      <c r="I63" s="2574"/>
      <c r="J63" s="3040" t="s">
        <v>283</v>
      </c>
      <c r="K63" s="3041"/>
      <c r="L63" s="205"/>
      <c r="M63" s="308">
        <f>IF(AND(L64=0,L63=0),0,IF(AND(L64&gt;0,L63&gt;0),"??",IF(AND(L64&gt;0,L63=0),100%-L64,IF(AND(L64=0,L63&gt;0),L63))))</f>
        <v>0</v>
      </c>
      <c r="N63" s="209" t="s">
        <v>937</v>
      </c>
      <c r="O63" s="190"/>
      <c r="P63" s="190"/>
      <c r="Q63" s="201"/>
      <c r="R63" s="190"/>
      <c r="S63" s="190"/>
      <c r="T63" s="982"/>
      <c r="U63" s="818"/>
      <c r="V63" s="212" t="s">
        <v>283</v>
      </c>
      <c r="W63" s="213"/>
      <c r="X63" s="216"/>
      <c r="Y63" s="214">
        <f>IF(fx!C57=2,M63,IF(AND(X63=0,X64=0),0,IF(AND(X63&gt;0,X64&gt;0),"??",IF(AND(X63&gt;0,X64=0),X63,IF(AND(X63=0,X64&gt;0),100%-X64)))))</f>
        <v>0</v>
      </c>
      <c r="Z63" s="195"/>
      <c r="AA63" s="195"/>
      <c r="AB63" s="195"/>
      <c r="AC63" s="177"/>
      <c r="AD63" s="177"/>
      <c r="AE63" s="177"/>
      <c r="AF63" s="180"/>
      <c r="AG63" s="2210"/>
      <c r="AH63" s="6"/>
      <c r="AI63" s="6"/>
      <c r="AJ63" s="1045"/>
      <c r="AK63" s="1045"/>
      <c r="AL63" s="1045"/>
      <c r="AM63" s="1005"/>
      <c r="AN63" s="1005"/>
      <c r="AO63" s="1945"/>
      <c r="AP63" s="1935"/>
      <c r="AQ63" s="1936"/>
      <c r="AR63" s="1941"/>
      <c r="AS63" s="1941"/>
      <c r="AT63" s="1941"/>
      <c r="AU63" s="1941"/>
      <c r="AV63" s="1941"/>
      <c r="AW63" s="1941"/>
      <c r="AX63" s="1941"/>
      <c r="AY63" s="1941"/>
      <c r="AZ63" s="1941"/>
      <c r="BA63" s="1941"/>
      <c r="BB63" s="1941"/>
      <c r="BC63" s="1941"/>
      <c r="BD63" s="1941"/>
      <c r="BE63" s="1941"/>
      <c r="BF63" s="1941"/>
      <c r="BG63" s="1941"/>
      <c r="BH63" s="1941"/>
      <c r="BI63" s="1941"/>
      <c r="BJ63" s="1941"/>
      <c r="BK63" s="1941"/>
      <c r="BL63" s="1941"/>
      <c r="BM63" s="1941"/>
      <c r="BN63" s="1941"/>
      <c r="BO63" s="1941"/>
      <c r="BP63" s="1005"/>
      <c r="BQ63" s="1005"/>
      <c r="BR63" s="1005"/>
      <c r="BS63" s="1005"/>
      <c r="BT63" s="1005"/>
      <c r="BU63" s="1005"/>
      <c r="BV63" s="1005"/>
      <c r="BW63" s="1005"/>
      <c r="BX63" s="1005"/>
      <c r="BY63" s="1005"/>
      <c r="BZ63" s="1005"/>
      <c r="CA63" s="1005"/>
      <c r="CB63" s="1005"/>
      <c r="CC63" s="1005"/>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c r="EC63" s="1005"/>
      <c r="ED63" s="1005"/>
      <c r="EE63" s="1005"/>
      <c r="EF63" s="1005"/>
      <c r="EG63" s="1005"/>
      <c r="EH63" s="1005"/>
      <c r="EI63" s="1005"/>
      <c r="EJ63" s="1005"/>
      <c r="EK63" s="1005"/>
      <c r="EL63" s="1005"/>
      <c r="EM63" s="1005"/>
      <c r="EN63" s="1005"/>
      <c r="EO63" s="1005"/>
      <c r="EP63" s="1005"/>
      <c r="EQ63" s="1005"/>
      <c r="ER63" s="1005"/>
      <c r="ES63" s="1005"/>
      <c r="ET63" s="1005"/>
      <c r="EU63" s="1005"/>
      <c r="EV63" s="1005"/>
      <c r="EW63" s="1005"/>
      <c r="EX63" s="1005"/>
      <c r="EY63" s="1005"/>
      <c r="EZ63" s="1005"/>
      <c r="FA63" s="1005"/>
      <c r="FB63" s="1005"/>
      <c r="FC63" s="1005"/>
      <c r="FD63" s="1005"/>
      <c r="FE63" s="1005"/>
      <c r="FF63" s="1005"/>
      <c r="FG63" s="1005"/>
      <c r="FH63" s="1005"/>
      <c r="FI63" s="1005"/>
      <c r="FJ63" s="1005"/>
      <c r="FK63" s="1005"/>
      <c r="FL63" s="1005"/>
      <c r="FM63" s="1005"/>
      <c r="FN63" s="1005"/>
      <c r="FO63" s="1005"/>
      <c r="FP63" s="1005"/>
      <c r="FQ63" s="1005"/>
      <c r="FR63" s="1005"/>
      <c r="FS63" s="1005"/>
      <c r="FT63" s="1005"/>
      <c r="FU63" s="1005"/>
      <c r="FV63" s="1005"/>
      <c r="FW63" s="1005"/>
      <c r="FX63" s="1005"/>
      <c r="FY63" s="1005"/>
      <c r="FZ63" s="1005"/>
      <c r="GA63" s="1005"/>
      <c r="GB63" s="1005"/>
      <c r="GC63" s="1005"/>
      <c r="GD63" s="1005"/>
      <c r="GE63" s="1005"/>
      <c r="GF63" s="1005"/>
      <c r="GG63" s="1005"/>
      <c r="GH63" s="1005"/>
      <c r="GI63" s="1005"/>
      <c r="GJ63" s="1005"/>
      <c r="GK63" s="1005"/>
      <c r="GL63" s="1005"/>
      <c r="GM63" s="1005"/>
      <c r="GN63" s="1005"/>
      <c r="GO63" s="1005"/>
      <c r="GP63" s="1005"/>
      <c r="GQ63" s="1005"/>
      <c r="GR63" s="1005"/>
      <c r="GS63" s="1005"/>
      <c r="GT63" s="1005"/>
      <c r="GU63" s="1005"/>
      <c r="GV63" s="1005"/>
      <c r="GW63" s="1005"/>
      <c r="GX63" s="1005"/>
      <c r="GY63" s="1005"/>
      <c r="GZ63" s="1005"/>
      <c r="HA63" s="1005"/>
      <c r="HB63" s="1005"/>
      <c r="HC63" s="1005"/>
      <c r="HD63" s="1005"/>
      <c r="HE63" s="1005"/>
      <c r="HF63" s="1005"/>
      <c r="HG63" s="1005"/>
      <c r="HH63" s="1005"/>
      <c r="HI63" s="1005"/>
      <c r="HJ63" s="1005"/>
      <c r="HK63" s="1005"/>
      <c r="HL63" s="1005"/>
      <c r="HM63" s="1005"/>
      <c r="HN63" s="1005"/>
      <c r="HO63" s="1005"/>
      <c r="HP63" s="1005"/>
      <c r="HQ63" s="1005"/>
      <c r="HR63" s="1005"/>
      <c r="HS63" s="1005"/>
      <c r="HT63" s="1005"/>
      <c r="HU63" s="1005"/>
      <c r="HV63" s="1005"/>
      <c r="HW63" s="1005"/>
      <c r="HX63" s="1005"/>
      <c r="HY63" s="1005"/>
      <c r="HZ63" s="1005"/>
      <c r="IA63" s="1005"/>
      <c r="IB63" s="1005"/>
      <c r="IC63" s="1005"/>
      <c r="ID63" s="1005"/>
      <c r="IE63" s="1005"/>
      <c r="IF63" s="1005"/>
      <c r="IG63" s="1005"/>
      <c r="IH63" s="1005"/>
      <c r="II63" s="1005"/>
      <c r="IJ63" s="1005"/>
      <c r="IK63" s="1005"/>
      <c r="IL63" s="1005"/>
      <c r="IM63" s="1005"/>
      <c r="IN63" s="1005"/>
      <c r="IO63" s="1005"/>
      <c r="IP63" s="1005"/>
      <c r="IQ63" s="1005"/>
      <c r="IR63" s="1005"/>
      <c r="IS63" s="1005"/>
      <c r="IT63" s="1005"/>
      <c r="IU63" s="1005"/>
      <c r="IV63" s="1005"/>
      <c r="IW63" s="1005"/>
      <c r="IX63" s="1005"/>
      <c r="IY63" s="1005"/>
      <c r="IZ63" s="1005"/>
      <c r="JA63" s="1005"/>
      <c r="JB63" s="1005"/>
      <c r="JC63" s="1005"/>
      <c r="JD63" s="1005"/>
      <c r="JE63" s="1005"/>
      <c r="JF63" s="1005"/>
      <c r="JG63" s="1005"/>
      <c r="JH63" s="1005"/>
      <c r="JI63" s="1005"/>
      <c r="JJ63" s="1005"/>
      <c r="JK63" s="1005"/>
      <c r="JL63" s="1005"/>
      <c r="JM63" s="1005"/>
      <c r="JN63" s="1005"/>
      <c r="JO63" s="1005"/>
      <c r="JP63" s="1005"/>
      <c r="JQ63" s="1005"/>
      <c r="JR63" s="1005"/>
      <c r="JS63" s="1005"/>
      <c r="JT63" s="1005"/>
      <c r="JU63" s="1005"/>
      <c r="JV63" s="1005"/>
      <c r="JW63" s="1005"/>
      <c r="JX63" s="1005"/>
      <c r="JY63" s="1005"/>
      <c r="JZ63" s="1005"/>
      <c r="KA63" s="1005"/>
      <c r="KB63" s="1005"/>
      <c r="KC63" s="1005"/>
      <c r="KD63" s="1005"/>
      <c r="KE63" s="1005"/>
      <c r="KF63" s="1005"/>
      <c r="KG63" s="1005"/>
      <c r="KH63" s="1005"/>
      <c r="KI63" s="1005"/>
      <c r="KJ63" s="1005"/>
      <c r="KK63" s="1005"/>
      <c r="KL63" s="1005"/>
      <c r="KM63" s="1005"/>
      <c r="KN63" s="1005"/>
      <c r="KO63" s="1005"/>
      <c r="KP63" s="1005"/>
      <c r="KQ63" s="1005"/>
      <c r="KR63" s="1005"/>
      <c r="KS63" s="1005"/>
      <c r="KT63" s="1005"/>
      <c r="KU63" s="1005"/>
      <c r="KV63" s="1005"/>
      <c r="KW63" s="1005"/>
      <c r="KX63" s="1005"/>
      <c r="KY63" s="1005"/>
      <c r="KZ63" s="1005"/>
      <c r="LA63" s="1005"/>
      <c r="LB63" s="1005"/>
      <c r="LC63" s="1005"/>
      <c r="LD63" s="1005"/>
      <c r="LE63" s="1005"/>
      <c r="LF63" s="1005"/>
      <c r="LG63" s="1005"/>
      <c r="LH63" s="1005"/>
      <c r="LI63" s="1005"/>
      <c r="LJ63" s="1005"/>
      <c r="LK63" s="1005"/>
      <c r="LL63" s="1005"/>
      <c r="LM63" s="1005"/>
      <c r="LN63" s="1005"/>
      <c r="LO63" s="1005"/>
      <c r="LP63" s="1005"/>
      <c r="LQ63" s="1005"/>
      <c r="LR63" s="1005"/>
      <c r="LS63" s="1005"/>
      <c r="LT63" s="1005"/>
      <c r="LU63" s="1005"/>
      <c r="LV63" s="1005"/>
      <c r="LW63" s="1005"/>
      <c r="LX63" s="1005"/>
      <c r="LY63" s="1005"/>
      <c r="LZ63" s="1005"/>
      <c r="MA63" s="1005"/>
      <c r="MB63" s="1005"/>
      <c r="MC63" s="1005"/>
      <c r="MD63" s="1005"/>
      <c r="ME63" s="1005"/>
      <c r="MF63" s="1005"/>
      <c r="MG63" s="1005"/>
      <c r="MH63" s="1005"/>
      <c r="MI63" s="1005"/>
      <c r="MJ63" s="1005"/>
      <c r="MK63" s="1005"/>
      <c r="ML63" s="1005"/>
      <c r="MM63" s="1005"/>
      <c r="MN63" s="1005"/>
      <c r="MO63" s="1005"/>
      <c r="MP63" s="1005"/>
      <c r="MQ63" s="1005"/>
      <c r="MR63" s="1005"/>
      <c r="MS63" s="1005"/>
      <c r="MT63" s="1005"/>
      <c r="MU63" s="1005"/>
      <c r="MV63" s="1005"/>
      <c r="MW63" s="1005"/>
      <c r="MX63" s="1005"/>
      <c r="MY63" s="1005"/>
      <c r="MZ63" s="1005"/>
      <c r="NA63" s="1005"/>
      <c r="NB63" s="1005"/>
      <c r="NC63" s="1005"/>
      <c r="ND63" s="1005"/>
      <c r="NE63" s="1005"/>
      <c r="NF63" s="1005"/>
      <c r="NG63" s="1005"/>
      <c r="NH63" s="1005"/>
      <c r="NI63" s="1005"/>
      <c r="NJ63" s="1005"/>
      <c r="NK63" s="1005"/>
      <c r="NL63" s="1005"/>
      <c r="NM63" s="1005"/>
      <c r="NN63" s="1005"/>
      <c r="NO63" s="1005"/>
      <c r="NP63" s="1005"/>
      <c r="NQ63" s="1005"/>
      <c r="NR63" s="1005"/>
      <c r="NS63" s="1005"/>
      <c r="NT63" s="1005"/>
      <c r="NU63" s="1005"/>
      <c r="NV63" s="1005"/>
      <c r="NW63" s="1005"/>
      <c r="NX63" s="1005"/>
      <c r="NY63" s="1005"/>
      <c r="NZ63" s="1005"/>
      <c r="OA63" s="1005"/>
      <c r="OB63" s="1005"/>
      <c r="OC63" s="1005"/>
      <c r="OD63" s="1005"/>
      <c r="OE63" s="1005"/>
      <c r="OF63" s="1005"/>
      <c r="OG63" s="1005"/>
      <c r="OH63" s="1005"/>
      <c r="OI63" s="1005"/>
      <c r="OJ63" s="1005"/>
      <c r="OK63" s="1005"/>
      <c r="OL63" s="1005"/>
      <c r="OM63" s="1005"/>
      <c r="ON63" s="1005"/>
      <c r="OO63" s="1005"/>
      <c r="OP63" s="1005"/>
      <c r="OQ63" s="1005"/>
      <c r="OR63" s="1005"/>
      <c r="OS63" s="1005"/>
      <c r="OT63" s="1005"/>
      <c r="OU63" s="1005"/>
      <c r="OV63" s="1005"/>
      <c r="OW63" s="1005"/>
      <c r="OX63" s="1005"/>
      <c r="OY63" s="1005"/>
      <c r="OZ63" s="1005"/>
      <c r="PA63" s="1005"/>
      <c r="PB63" s="1005"/>
      <c r="PC63" s="1005"/>
      <c r="PD63" s="1005"/>
      <c r="PE63" s="1005"/>
      <c r="PF63" s="1005"/>
      <c r="PG63" s="1005"/>
      <c r="PH63" s="1005"/>
      <c r="PI63" s="1005"/>
      <c r="PJ63" s="1005"/>
      <c r="PK63" s="1005"/>
      <c r="PL63" s="1005"/>
      <c r="PM63" s="1005"/>
      <c r="PN63" s="1005"/>
      <c r="PO63" s="1005"/>
      <c r="PP63" s="1005"/>
      <c r="PQ63" s="1005"/>
      <c r="PR63" s="1005"/>
      <c r="PS63" s="1005"/>
      <c r="PT63" s="1005"/>
      <c r="PU63" s="1005"/>
      <c r="PV63" s="1005"/>
      <c r="PW63" s="1005"/>
      <c r="PX63" s="1005"/>
      <c r="PY63" s="1005"/>
      <c r="PZ63" s="1005"/>
      <c r="QA63" s="1005"/>
      <c r="QB63" s="1005"/>
      <c r="QC63" s="1005"/>
      <c r="QD63" s="1005"/>
      <c r="QE63" s="1005"/>
      <c r="QF63" s="1005"/>
      <c r="QG63" s="1005"/>
      <c r="QH63" s="1005"/>
      <c r="QI63" s="1005"/>
      <c r="QJ63" s="1005"/>
      <c r="QK63" s="1005"/>
      <c r="QL63" s="1005"/>
      <c r="QM63" s="1005"/>
      <c r="QN63" s="1005"/>
      <c r="QO63" s="1005"/>
      <c r="QP63" s="1005"/>
      <c r="QQ63" s="1005"/>
      <c r="QR63" s="1005"/>
      <c r="QS63" s="1005"/>
      <c r="QT63" s="1005"/>
      <c r="QU63" s="1005"/>
      <c r="QV63" s="1005"/>
      <c r="QW63" s="1005"/>
      <c r="QX63" s="1005"/>
      <c r="QY63" s="1005"/>
      <c r="QZ63" s="1005"/>
      <c r="RA63" s="1005"/>
      <c r="RB63" s="1005"/>
      <c r="RC63" s="1005"/>
      <c r="RD63" s="1005"/>
      <c r="RE63" s="1005"/>
      <c r="RF63" s="1005"/>
      <c r="RG63" s="1005"/>
      <c r="RH63" s="1005"/>
      <c r="RI63" s="1005"/>
      <c r="RJ63" s="1005"/>
      <c r="RK63" s="1005"/>
      <c r="RL63" s="1005"/>
      <c r="RM63" s="1005"/>
      <c r="RN63" s="1005"/>
      <c r="RO63" s="1005"/>
      <c r="RP63" s="1005"/>
      <c r="RQ63" s="1005"/>
      <c r="RR63" s="1005"/>
      <c r="RS63" s="1005"/>
      <c r="RT63" s="1005"/>
      <c r="RU63" s="1005"/>
      <c r="RV63" s="1005"/>
      <c r="RW63" s="1005"/>
      <c r="RX63" s="1005"/>
      <c r="RY63" s="1005"/>
      <c r="RZ63" s="1005"/>
      <c r="SA63" s="1005"/>
      <c r="SB63" s="1005"/>
      <c r="SC63" s="1005"/>
      <c r="SD63" s="1005"/>
      <c r="SE63" s="1005"/>
      <c r="SF63" s="1005"/>
      <c r="SG63" s="1005"/>
      <c r="SH63" s="1005"/>
      <c r="SI63" s="1005"/>
      <c r="SJ63" s="1005"/>
      <c r="SK63" s="1005"/>
      <c r="SL63" s="1005"/>
      <c r="SM63" s="1005"/>
      <c r="SN63" s="1005"/>
      <c r="SO63" s="1005"/>
      <c r="SP63" s="1005"/>
      <c r="SQ63" s="1005"/>
      <c r="SR63" s="1005"/>
      <c r="SS63" s="1005"/>
      <c r="ST63" s="1005"/>
      <c r="SU63" s="1005"/>
      <c r="SV63" s="1005"/>
      <c r="SW63" s="1005"/>
      <c r="SX63" s="1005"/>
      <c r="SY63" s="1005"/>
      <c r="SZ63" s="1005"/>
      <c r="TA63" s="1005"/>
      <c r="TB63" s="1005"/>
      <c r="TC63" s="1005"/>
      <c r="TD63" s="1005"/>
      <c r="TE63" s="1005"/>
      <c r="TF63" s="1005"/>
      <c r="TG63" s="1005"/>
      <c r="TH63" s="1005"/>
      <c r="TI63" s="1005"/>
      <c r="TJ63" s="1005"/>
      <c r="TK63" s="1005"/>
      <c r="TL63" s="1005"/>
      <c r="TM63" s="1005"/>
      <c r="TN63" s="1005"/>
      <c r="TO63" s="1005"/>
      <c r="TP63" s="1005"/>
      <c r="TQ63" s="1005"/>
      <c r="TR63" s="1005"/>
      <c r="TS63" s="1005"/>
      <c r="TT63" s="1005"/>
      <c r="TU63" s="1005"/>
      <c r="TV63" s="1005"/>
      <c r="TW63" s="1005"/>
      <c r="TX63" s="1005"/>
      <c r="TY63" s="1005"/>
      <c r="TZ63" s="1005"/>
      <c r="UA63" s="1005"/>
      <c r="UB63" s="1005"/>
      <c r="UC63" s="1005"/>
      <c r="UD63" s="1005"/>
      <c r="UE63" s="1005"/>
      <c r="UF63" s="1005"/>
      <c r="UG63" s="1005"/>
      <c r="UH63" s="1005"/>
      <c r="UI63" s="1005"/>
      <c r="UJ63" s="1005"/>
      <c r="UK63" s="1005"/>
      <c r="UL63" s="1005"/>
      <c r="UM63" s="1005"/>
      <c r="UN63" s="1005"/>
      <c r="UO63" s="1005"/>
      <c r="UP63" s="1005"/>
      <c r="UQ63" s="1005"/>
      <c r="UR63" s="1005"/>
      <c r="US63" s="1005"/>
      <c r="UT63" s="1005"/>
      <c r="UU63" s="1005"/>
      <c r="UV63" s="1005"/>
      <c r="UW63" s="1005"/>
      <c r="UX63" s="1005"/>
      <c r="UY63" s="1005"/>
      <c r="UZ63" s="1005"/>
      <c r="VA63" s="1005"/>
      <c r="VB63" s="1005"/>
      <c r="VC63" s="1005"/>
      <c r="VD63" s="1005"/>
      <c r="VE63" s="1005"/>
      <c r="VF63" s="1005"/>
      <c r="VG63" s="1005"/>
      <c r="VH63" s="1005"/>
      <c r="VI63" s="1005"/>
      <c r="VJ63" s="1005"/>
      <c r="VK63" s="1005"/>
      <c r="VL63" s="1005"/>
      <c r="VM63" s="1005"/>
      <c r="VN63" s="1005"/>
      <c r="VO63" s="1005"/>
      <c r="VP63" s="1005"/>
      <c r="VQ63" s="1005"/>
      <c r="VR63" s="1005"/>
      <c r="VS63" s="1005"/>
      <c r="VT63" s="1005"/>
      <c r="VU63" s="1005"/>
      <c r="VV63" s="1005"/>
      <c r="VW63" s="1005"/>
      <c r="VX63" s="1005"/>
      <c r="VY63" s="1005"/>
      <c r="VZ63" s="1005"/>
      <c r="WA63" s="1005"/>
      <c r="WB63" s="1005"/>
      <c r="WC63" s="1005"/>
      <c r="WD63" s="1005"/>
      <c r="WE63" s="1005"/>
      <c r="WF63" s="1005"/>
      <c r="WG63" s="1005"/>
      <c r="WH63" s="1005"/>
      <c r="WI63" s="1005"/>
      <c r="WJ63" s="1005"/>
      <c r="WK63" s="1005"/>
      <c r="WL63" s="1005"/>
      <c r="WM63" s="1005"/>
      <c r="WN63" s="1005"/>
      <c r="WO63" s="1005"/>
      <c r="WP63" s="1005"/>
      <c r="WQ63" s="1005"/>
      <c r="WR63" s="1005"/>
      <c r="WS63" s="1005"/>
      <c r="WT63" s="1005"/>
      <c r="WU63" s="1005"/>
      <c r="WV63" s="1005"/>
      <c r="WW63" s="1005"/>
      <c r="WX63" s="1005"/>
      <c r="WY63" s="1005"/>
      <c r="WZ63" s="1005"/>
      <c r="XA63" s="1005"/>
      <c r="XB63" s="1005"/>
      <c r="XC63" s="1005"/>
      <c r="XD63" s="1005"/>
      <c r="XE63" s="1005"/>
      <c r="XF63" s="1005"/>
      <c r="XG63" s="1005"/>
      <c r="XH63" s="1005"/>
      <c r="XI63" s="1005"/>
      <c r="XJ63" s="1005"/>
      <c r="XK63" s="1005"/>
      <c r="XL63" s="1005"/>
      <c r="XM63" s="1005"/>
      <c r="XN63" s="1005"/>
      <c r="XO63" s="1005"/>
      <c r="XP63" s="1005"/>
      <c r="XQ63" s="1005"/>
      <c r="XR63" s="1005"/>
      <c r="XS63" s="1005"/>
      <c r="XT63" s="1005"/>
      <c r="XU63" s="1005"/>
      <c r="XV63" s="1005"/>
      <c r="XW63" s="1005"/>
      <c r="XX63" s="1005"/>
      <c r="XY63" s="1005"/>
      <c r="XZ63" s="1005"/>
      <c r="YA63" s="1005"/>
      <c r="YB63" s="1005"/>
      <c r="YC63" s="1005"/>
      <c r="YD63" s="1005"/>
      <c r="YE63" s="1005"/>
      <c r="YF63" s="1005"/>
      <c r="YG63" s="1005"/>
      <c r="YH63" s="1005"/>
      <c r="YI63" s="1005"/>
      <c r="YJ63" s="1005"/>
      <c r="YK63" s="1005"/>
      <c r="YL63" s="1005"/>
      <c r="YM63" s="1005"/>
      <c r="YN63" s="1005"/>
      <c r="YO63" s="1005"/>
      <c r="YP63" s="1005"/>
      <c r="YQ63" s="1005"/>
      <c r="YR63" s="1005"/>
      <c r="YS63" s="1005"/>
      <c r="YT63" s="1005"/>
      <c r="YU63" s="1005"/>
      <c r="YV63" s="1005"/>
      <c r="YW63" s="1005"/>
      <c r="YX63" s="1005"/>
      <c r="YY63" s="1005"/>
      <c r="YZ63" s="1005"/>
      <c r="ZA63" s="1005"/>
      <c r="ZB63" s="1005"/>
      <c r="ZC63" s="1005"/>
      <c r="ZD63" s="1005"/>
      <c r="ZE63" s="1005"/>
      <c r="ZF63" s="1005"/>
      <c r="ZG63" s="1005"/>
      <c r="ZH63" s="1005"/>
      <c r="ZI63" s="1005"/>
      <c r="ZJ63" s="1005"/>
      <c r="ZK63" s="1005"/>
      <c r="ZL63" s="1005"/>
      <c r="ZM63" s="1005"/>
      <c r="ZN63" s="1005"/>
      <c r="ZO63" s="1005"/>
      <c r="ZP63" s="1005"/>
      <c r="ZQ63" s="1005"/>
      <c r="ZR63" s="1005"/>
      <c r="ZS63" s="1005"/>
      <c r="ZT63" s="1005"/>
      <c r="ZU63" s="1005"/>
      <c r="ZV63" s="1005"/>
      <c r="ZW63" s="1005"/>
      <c r="ZX63" s="1005"/>
      <c r="ZY63" s="1005"/>
      <c r="ZZ63" s="1005"/>
      <c r="AAA63" s="1005"/>
      <c r="AAB63" s="1005"/>
      <c r="AAC63" s="1005"/>
      <c r="AAD63" s="1005"/>
      <c r="AAE63" s="1005"/>
      <c r="AAF63" s="1005"/>
      <c r="AAG63" s="1005"/>
      <c r="AAH63" s="1005"/>
      <c r="AAI63" s="1005"/>
      <c r="AAJ63" s="1005"/>
      <c r="AAK63" s="1005"/>
      <c r="AAL63" s="1005"/>
      <c r="AAM63" s="1005"/>
      <c r="AAN63" s="1005"/>
      <c r="AAO63" s="1005"/>
      <c r="AAP63" s="1005"/>
      <c r="AAQ63" s="1005"/>
      <c r="AAR63" s="1005"/>
      <c r="AAS63" s="1005"/>
      <c r="AAT63" s="1005"/>
      <c r="AAU63" s="1005"/>
      <c r="AAV63" s="1005"/>
      <c r="AAW63" s="1005"/>
      <c r="AAX63" s="1005"/>
      <c r="AAY63" s="1005"/>
      <c r="AAZ63" s="1005"/>
      <c r="ABA63" s="1005"/>
      <c r="ABB63" s="1005"/>
      <c r="ABC63" s="1005"/>
      <c r="ABD63" s="1005"/>
      <c r="ABE63" s="1005"/>
      <c r="ABF63" s="1005"/>
      <c r="ABG63" s="1005"/>
      <c r="ABH63" s="1005"/>
      <c r="ABI63" s="1005"/>
      <c r="ABJ63" s="1005"/>
      <c r="ABK63" s="1005"/>
      <c r="ABL63" s="1005"/>
      <c r="ABM63" s="1005"/>
      <c r="ABN63" s="1005"/>
      <c r="ABO63" s="1005"/>
      <c r="ABP63" s="1005"/>
      <c r="ABQ63" s="1005"/>
      <c r="ABR63" s="1005"/>
    </row>
    <row r="64" spans="1:746" s="113" customFormat="1" ht="12.9" customHeight="1" thickTop="1" thickBot="1">
      <c r="A64" s="926"/>
      <c r="B64" s="3024" t="s">
        <v>307</v>
      </c>
      <c r="C64" s="3025"/>
      <c r="D64" s="3025"/>
      <c r="E64" s="3025"/>
      <c r="F64" s="3025"/>
      <c r="G64" s="3026"/>
      <c r="H64" s="573"/>
      <c r="I64" s="2574"/>
      <c r="J64" s="3040" t="s">
        <v>284</v>
      </c>
      <c r="K64" s="3041"/>
      <c r="L64" s="204"/>
      <c r="M64" s="309">
        <f>IF(AND(L64=0,L63=0),0,IF(AND(L64&gt;0,L63&gt;0),"??",IF(AND(L64&gt;0,L63=0),L64,IF(AND(L64=0,L63&gt;0),100%-L63))))</f>
        <v>0</v>
      </c>
      <c r="N64" s="209" t="s">
        <v>500</v>
      </c>
      <c r="O64" s="195"/>
      <c r="P64" s="195"/>
      <c r="Q64" s="202"/>
      <c r="R64" s="195"/>
      <c r="S64" s="195"/>
      <c r="T64" s="990"/>
      <c r="U64" s="818"/>
      <c r="V64" s="212" t="s">
        <v>284</v>
      </c>
      <c r="W64" s="213"/>
      <c r="X64" s="170"/>
      <c r="Y64" s="215">
        <f>IF(fx!C57=2,M64,IF(AND(X63=0,X64=0),0,IF(AND(X63&gt;0,X64&gt;0),"??",IF(AND(X63&gt;0,X64=0),100%-X63,IF(AND(X63=0,X64&gt;0),X64)))))</f>
        <v>0</v>
      </c>
      <c r="Z64" s="195"/>
      <c r="AA64" s="195"/>
      <c r="AB64" s="195"/>
      <c r="AC64" s="177"/>
      <c r="AD64" s="177"/>
      <c r="AE64" s="177"/>
      <c r="AF64" s="180"/>
      <c r="AG64" s="2210"/>
      <c r="AH64" s="6"/>
      <c r="AI64" s="6"/>
      <c r="AJ64" s="1045"/>
      <c r="AK64" s="1045"/>
      <c r="AL64" s="1045"/>
      <c r="AM64" s="1005"/>
      <c r="AN64" s="1005"/>
      <c r="AO64" s="1945"/>
      <c r="AP64" s="1935"/>
      <c r="AQ64" s="1936"/>
      <c r="AR64" s="1941"/>
      <c r="AS64" s="1941"/>
      <c r="AT64" s="1941"/>
      <c r="AU64" s="1941"/>
      <c r="AV64" s="1941"/>
      <c r="AW64" s="1941"/>
      <c r="AX64" s="1941"/>
      <c r="AY64" s="1941"/>
      <c r="AZ64" s="1941"/>
      <c r="BA64" s="1941"/>
      <c r="BB64" s="1941"/>
      <c r="BC64" s="1941"/>
      <c r="BD64" s="1941"/>
      <c r="BE64" s="1941"/>
      <c r="BF64" s="1941"/>
      <c r="BG64" s="1941"/>
      <c r="BH64" s="1941"/>
      <c r="BI64" s="1941"/>
      <c r="BJ64" s="1941"/>
      <c r="BK64" s="1941"/>
      <c r="BL64" s="1941"/>
      <c r="BM64" s="1941"/>
      <c r="BN64" s="1941"/>
      <c r="BO64" s="1941"/>
      <c r="BP64" s="1005"/>
      <c r="BQ64" s="1005"/>
      <c r="BR64" s="1005"/>
      <c r="BS64" s="1005"/>
      <c r="BT64" s="1005"/>
      <c r="BU64" s="1005"/>
      <c r="BV64" s="1005"/>
      <c r="BW64" s="1005"/>
      <c r="BX64" s="1005"/>
      <c r="BY64" s="1005"/>
      <c r="BZ64" s="1005"/>
      <c r="CA64" s="1005"/>
      <c r="CB64" s="1005"/>
      <c r="CC64" s="1005"/>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c r="EC64" s="1005"/>
      <c r="ED64" s="1005"/>
      <c r="EE64" s="1005"/>
      <c r="EF64" s="1005"/>
      <c r="EG64" s="1005"/>
      <c r="EH64" s="1005"/>
      <c r="EI64" s="1005"/>
      <c r="EJ64" s="1005"/>
      <c r="EK64" s="1005"/>
      <c r="EL64" s="1005"/>
      <c r="EM64" s="1005"/>
      <c r="EN64" s="1005"/>
      <c r="EO64" s="1005"/>
      <c r="EP64" s="1005"/>
      <c r="EQ64" s="1005"/>
      <c r="ER64" s="1005"/>
      <c r="ES64" s="1005"/>
      <c r="ET64" s="1005"/>
      <c r="EU64" s="1005"/>
      <c r="EV64" s="1005"/>
      <c r="EW64" s="1005"/>
      <c r="EX64" s="1005"/>
      <c r="EY64" s="1005"/>
      <c r="EZ64" s="1005"/>
      <c r="FA64" s="1005"/>
      <c r="FB64" s="1005"/>
      <c r="FC64" s="1005"/>
      <c r="FD64" s="1005"/>
      <c r="FE64" s="1005"/>
      <c r="FF64" s="1005"/>
      <c r="FG64" s="1005"/>
      <c r="FH64" s="1005"/>
      <c r="FI64" s="1005"/>
      <c r="FJ64" s="1005"/>
      <c r="FK64" s="1005"/>
      <c r="FL64" s="1005"/>
      <c r="FM64" s="1005"/>
      <c r="FN64" s="1005"/>
      <c r="FO64" s="1005"/>
      <c r="FP64" s="1005"/>
      <c r="FQ64" s="1005"/>
      <c r="FR64" s="1005"/>
      <c r="FS64" s="1005"/>
      <c r="FT64" s="1005"/>
      <c r="FU64" s="1005"/>
      <c r="FV64" s="1005"/>
      <c r="FW64" s="1005"/>
      <c r="FX64" s="1005"/>
      <c r="FY64" s="1005"/>
      <c r="FZ64" s="1005"/>
      <c r="GA64" s="1005"/>
      <c r="GB64" s="1005"/>
      <c r="GC64" s="1005"/>
      <c r="GD64" s="1005"/>
      <c r="GE64" s="1005"/>
      <c r="GF64" s="1005"/>
      <c r="GG64" s="1005"/>
      <c r="GH64" s="1005"/>
      <c r="GI64" s="1005"/>
      <c r="GJ64" s="1005"/>
      <c r="GK64" s="1005"/>
      <c r="GL64" s="1005"/>
      <c r="GM64" s="1005"/>
      <c r="GN64" s="1005"/>
      <c r="GO64" s="1005"/>
      <c r="GP64" s="1005"/>
      <c r="GQ64" s="1005"/>
      <c r="GR64" s="1005"/>
      <c r="GS64" s="1005"/>
      <c r="GT64" s="1005"/>
      <c r="GU64" s="1005"/>
      <c r="GV64" s="1005"/>
      <c r="GW64" s="1005"/>
      <c r="GX64" s="1005"/>
      <c r="GY64" s="1005"/>
      <c r="GZ64" s="1005"/>
      <c r="HA64" s="1005"/>
      <c r="HB64" s="1005"/>
      <c r="HC64" s="1005"/>
      <c r="HD64" s="1005"/>
      <c r="HE64" s="1005"/>
      <c r="HF64" s="1005"/>
      <c r="HG64" s="1005"/>
      <c r="HH64" s="1005"/>
      <c r="HI64" s="1005"/>
      <c r="HJ64" s="1005"/>
      <c r="HK64" s="1005"/>
      <c r="HL64" s="1005"/>
      <c r="HM64" s="1005"/>
      <c r="HN64" s="1005"/>
      <c r="HO64" s="1005"/>
      <c r="HP64" s="1005"/>
      <c r="HQ64" s="1005"/>
      <c r="HR64" s="1005"/>
      <c r="HS64" s="1005"/>
      <c r="HT64" s="1005"/>
      <c r="HU64" s="1005"/>
      <c r="HV64" s="1005"/>
      <c r="HW64" s="1005"/>
      <c r="HX64" s="1005"/>
      <c r="HY64" s="1005"/>
      <c r="HZ64" s="1005"/>
      <c r="IA64" s="1005"/>
      <c r="IB64" s="1005"/>
      <c r="IC64" s="1005"/>
      <c r="ID64" s="1005"/>
      <c r="IE64" s="1005"/>
      <c r="IF64" s="1005"/>
      <c r="IG64" s="1005"/>
      <c r="IH64" s="1005"/>
      <c r="II64" s="1005"/>
      <c r="IJ64" s="1005"/>
      <c r="IK64" s="1005"/>
      <c r="IL64" s="1005"/>
      <c r="IM64" s="1005"/>
      <c r="IN64" s="1005"/>
      <c r="IO64" s="1005"/>
      <c r="IP64" s="1005"/>
      <c r="IQ64" s="1005"/>
      <c r="IR64" s="1005"/>
      <c r="IS64" s="1005"/>
      <c r="IT64" s="1005"/>
      <c r="IU64" s="1005"/>
      <c r="IV64" s="1005"/>
      <c r="IW64" s="1005"/>
      <c r="IX64" s="1005"/>
      <c r="IY64" s="1005"/>
      <c r="IZ64" s="1005"/>
      <c r="JA64" s="1005"/>
      <c r="JB64" s="1005"/>
      <c r="JC64" s="1005"/>
      <c r="JD64" s="1005"/>
      <c r="JE64" s="1005"/>
      <c r="JF64" s="1005"/>
      <c r="JG64" s="1005"/>
      <c r="JH64" s="1005"/>
      <c r="JI64" s="1005"/>
      <c r="JJ64" s="1005"/>
      <c r="JK64" s="1005"/>
      <c r="JL64" s="1005"/>
      <c r="JM64" s="1005"/>
      <c r="JN64" s="1005"/>
      <c r="JO64" s="1005"/>
      <c r="JP64" s="1005"/>
      <c r="JQ64" s="1005"/>
      <c r="JR64" s="1005"/>
      <c r="JS64" s="1005"/>
      <c r="JT64" s="1005"/>
      <c r="JU64" s="1005"/>
      <c r="JV64" s="1005"/>
      <c r="JW64" s="1005"/>
      <c r="JX64" s="1005"/>
      <c r="JY64" s="1005"/>
      <c r="JZ64" s="1005"/>
      <c r="KA64" s="1005"/>
      <c r="KB64" s="1005"/>
      <c r="KC64" s="1005"/>
      <c r="KD64" s="1005"/>
      <c r="KE64" s="1005"/>
      <c r="KF64" s="1005"/>
      <c r="KG64" s="1005"/>
      <c r="KH64" s="1005"/>
      <c r="KI64" s="1005"/>
      <c r="KJ64" s="1005"/>
      <c r="KK64" s="1005"/>
      <c r="KL64" s="1005"/>
      <c r="KM64" s="1005"/>
      <c r="KN64" s="1005"/>
      <c r="KO64" s="1005"/>
      <c r="KP64" s="1005"/>
      <c r="KQ64" s="1005"/>
      <c r="KR64" s="1005"/>
      <c r="KS64" s="1005"/>
      <c r="KT64" s="1005"/>
      <c r="KU64" s="1005"/>
      <c r="KV64" s="1005"/>
      <c r="KW64" s="1005"/>
      <c r="KX64" s="1005"/>
      <c r="KY64" s="1005"/>
      <c r="KZ64" s="1005"/>
      <c r="LA64" s="1005"/>
      <c r="LB64" s="1005"/>
      <c r="LC64" s="1005"/>
      <c r="LD64" s="1005"/>
      <c r="LE64" s="1005"/>
      <c r="LF64" s="1005"/>
      <c r="LG64" s="1005"/>
      <c r="LH64" s="1005"/>
      <c r="LI64" s="1005"/>
      <c r="LJ64" s="1005"/>
      <c r="LK64" s="1005"/>
      <c r="LL64" s="1005"/>
      <c r="LM64" s="1005"/>
      <c r="LN64" s="1005"/>
      <c r="LO64" s="1005"/>
      <c r="LP64" s="1005"/>
      <c r="LQ64" s="1005"/>
      <c r="LR64" s="1005"/>
      <c r="LS64" s="1005"/>
      <c r="LT64" s="1005"/>
      <c r="LU64" s="1005"/>
      <c r="LV64" s="1005"/>
      <c r="LW64" s="1005"/>
      <c r="LX64" s="1005"/>
      <c r="LY64" s="1005"/>
      <c r="LZ64" s="1005"/>
      <c r="MA64" s="1005"/>
      <c r="MB64" s="1005"/>
      <c r="MC64" s="1005"/>
      <c r="MD64" s="1005"/>
      <c r="ME64" s="1005"/>
      <c r="MF64" s="1005"/>
      <c r="MG64" s="1005"/>
      <c r="MH64" s="1005"/>
      <c r="MI64" s="1005"/>
      <c r="MJ64" s="1005"/>
      <c r="MK64" s="1005"/>
      <c r="ML64" s="1005"/>
      <c r="MM64" s="1005"/>
      <c r="MN64" s="1005"/>
      <c r="MO64" s="1005"/>
      <c r="MP64" s="1005"/>
      <c r="MQ64" s="1005"/>
      <c r="MR64" s="1005"/>
      <c r="MS64" s="1005"/>
      <c r="MT64" s="1005"/>
      <c r="MU64" s="1005"/>
      <c r="MV64" s="1005"/>
      <c r="MW64" s="1005"/>
      <c r="MX64" s="1005"/>
      <c r="MY64" s="1005"/>
      <c r="MZ64" s="1005"/>
      <c r="NA64" s="1005"/>
      <c r="NB64" s="1005"/>
      <c r="NC64" s="1005"/>
      <c r="ND64" s="1005"/>
      <c r="NE64" s="1005"/>
      <c r="NF64" s="1005"/>
      <c r="NG64" s="1005"/>
      <c r="NH64" s="1005"/>
      <c r="NI64" s="1005"/>
      <c r="NJ64" s="1005"/>
      <c r="NK64" s="1005"/>
      <c r="NL64" s="1005"/>
      <c r="NM64" s="1005"/>
      <c r="NN64" s="1005"/>
      <c r="NO64" s="1005"/>
      <c r="NP64" s="1005"/>
      <c r="NQ64" s="1005"/>
      <c r="NR64" s="1005"/>
      <c r="NS64" s="1005"/>
      <c r="NT64" s="1005"/>
      <c r="NU64" s="1005"/>
      <c r="NV64" s="1005"/>
      <c r="NW64" s="1005"/>
      <c r="NX64" s="1005"/>
      <c r="NY64" s="1005"/>
      <c r="NZ64" s="1005"/>
      <c r="OA64" s="1005"/>
      <c r="OB64" s="1005"/>
      <c r="OC64" s="1005"/>
      <c r="OD64" s="1005"/>
      <c r="OE64" s="1005"/>
      <c r="OF64" s="1005"/>
      <c r="OG64" s="1005"/>
      <c r="OH64" s="1005"/>
      <c r="OI64" s="1005"/>
      <c r="OJ64" s="1005"/>
      <c r="OK64" s="1005"/>
      <c r="OL64" s="1005"/>
      <c r="OM64" s="1005"/>
      <c r="ON64" s="1005"/>
      <c r="OO64" s="1005"/>
      <c r="OP64" s="1005"/>
      <c r="OQ64" s="1005"/>
      <c r="OR64" s="1005"/>
      <c r="OS64" s="1005"/>
      <c r="OT64" s="1005"/>
      <c r="OU64" s="1005"/>
      <c r="OV64" s="1005"/>
      <c r="OW64" s="1005"/>
      <c r="OX64" s="1005"/>
      <c r="OY64" s="1005"/>
      <c r="OZ64" s="1005"/>
      <c r="PA64" s="1005"/>
      <c r="PB64" s="1005"/>
      <c r="PC64" s="1005"/>
      <c r="PD64" s="1005"/>
      <c r="PE64" s="1005"/>
      <c r="PF64" s="1005"/>
      <c r="PG64" s="1005"/>
      <c r="PH64" s="1005"/>
      <c r="PI64" s="1005"/>
      <c r="PJ64" s="1005"/>
      <c r="PK64" s="1005"/>
      <c r="PL64" s="1005"/>
      <c r="PM64" s="1005"/>
      <c r="PN64" s="1005"/>
      <c r="PO64" s="1005"/>
      <c r="PP64" s="1005"/>
      <c r="PQ64" s="1005"/>
      <c r="PR64" s="1005"/>
      <c r="PS64" s="1005"/>
      <c r="PT64" s="1005"/>
      <c r="PU64" s="1005"/>
      <c r="PV64" s="1005"/>
      <c r="PW64" s="1005"/>
      <c r="PX64" s="1005"/>
      <c r="PY64" s="1005"/>
      <c r="PZ64" s="1005"/>
      <c r="QA64" s="1005"/>
      <c r="QB64" s="1005"/>
      <c r="QC64" s="1005"/>
      <c r="QD64" s="1005"/>
      <c r="QE64" s="1005"/>
      <c r="QF64" s="1005"/>
      <c r="QG64" s="1005"/>
      <c r="QH64" s="1005"/>
      <c r="QI64" s="1005"/>
      <c r="QJ64" s="1005"/>
      <c r="QK64" s="1005"/>
      <c r="QL64" s="1005"/>
      <c r="QM64" s="1005"/>
      <c r="QN64" s="1005"/>
      <c r="QO64" s="1005"/>
      <c r="QP64" s="1005"/>
      <c r="QQ64" s="1005"/>
      <c r="QR64" s="1005"/>
      <c r="QS64" s="1005"/>
      <c r="QT64" s="1005"/>
      <c r="QU64" s="1005"/>
      <c r="QV64" s="1005"/>
      <c r="QW64" s="1005"/>
      <c r="QX64" s="1005"/>
      <c r="QY64" s="1005"/>
      <c r="QZ64" s="1005"/>
      <c r="RA64" s="1005"/>
      <c r="RB64" s="1005"/>
      <c r="RC64" s="1005"/>
      <c r="RD64" s="1005"/>
      <c r="RE64" s="1005"/>
      <c r="RF64" s="1005"/>
      <c r="RG64" s="1005"/>
      <c r="RH64" s="1005"/>
      <c r="RI64" s="1005"/>
      <c r="RJ64" s="1005"/>
      <c r="RK64" s="1005"/>
      <c r="RL64" s="1005"/>
      <c r="RM64" s="1005"/>
      <c r="RN64" s="1005"/>
      <c r="RO64" s="1005"/>
      <c r="RP64" s="1005"/>
      <c r="RQ64" s="1005"/>
      <c r="RR64" s="1005"/>
      <c r="RS64" s="1005"/>
      <c r="RT64" s="1005"/>
      <c r="RU64" s="1005"/>
      <c r="RV64" s="1005"/>
      <c r="RW64" s="1005"/>
      <c r="RX64" s="1005"/>
      <c r="RY64" s="1005"/>
      <c r="RZ64" s="1005"/>
      <c r="SA64" s="1005"/>
      <c r="SB64" s="1005"/>
      <c r="SC64" s="1005"/>
      <c r="SD64" s="1005"/>
      <c r="SE64" s="1005"/>
      <c r="SF64" s="1005"/>
      <c r="SG64" s="1005"/>
      <c r="SH64" s="1005"/>
      <c r="SI64" s="1005"/>
      <c r="SJ64" s="1005"/>
      <c r="SK64" s="1005"/>
      <c r="SL64" s="1005"/>
      <c r="SM64" s="1005"/>
      <c r="SN64" s="1005"/>
      <c r="SO64" s="1005"/>
      <c r="SP64" s="1005"/>
      <c r="SQ64" s="1005"/>
      <c r="SR64" s="1005"/>
      <c r="SS64" s="1005"/>
      <c r="ST64" s="1005"/>
      <c r="SU64" s="1005"/>
      <c r="SV64" s="1005"/>
      <c r="SW64" s="1005"/>
      <c r="SX64" s="1005"/>
      <c r="SY64" s="1005"/>
      <c r="SZ64" s="1005"/>
      <c r="TA64" s="1005"/>
      <c r="TB64" s="1005"/>
      <c r="TC64" s="1005"/>
      <c r="TD64" s="1005"/>
      <c r="TE64" s="1005"/>
      <c r="TF64" s="1005"/>
      <c r="TG64" s="1005"/>
      <c r="TH64" s="1005"/>
      <c r="TI64" s="1005"/>
      <c r="TJ64" s="1005"/>
      <c r="TK64" s="1005"/>
      <c r="TL64" s="1005"/>
      <c r="TM64" s="1005"/>
      <c r="TN64" s="1005"/>
      <c r="TO64" s="1005"/>
      <c r="TP64" s="1005"/>
      <c r="TQ64" s="1005"/>
      <c r="TR64" s="1005"/>
      <c r="TS64" s="1005"/>
      <c r="TT64" s="1005"/>
      <c r="TU64" s="1005"/>
      <c r="TV64" s="1005"/>
      <c r="TW64" s="1005"/>
      <c r="TX64" s="1005"/>
      <c r="TY64" s="1005"/>
      <c r="TZ64" s="1005"/>
      <c r="UA64" s="1005"/>
      <c r="UB64" s="1005"/>
      <c r="UC64" s="1005"/>
      <c r="UD64" s="1005"/>
      <c r="UE64" s="1005"/>
      <c r="UF64" s="1005"/>
      <c r="UG64" s="1005"/>
      <c r="UH64" s="1005"/>
      <c r="UI64" s="1005"/>
      <c r="UJ64" s="1005"/>
      <c r="UK64" s="1005"/>
      <c r="UL64" s="1005"/>
      <c r="UM64" s="1005"/>
      <c r="UN64" s="1005"/>
      <c r="UO64" s="1005"/>
      <c r="UP64" s="1005"/>
      <c r="UQ64" s="1005"/>
      <c r="UR64" s="1005"/>
      <c r="US64" s="1005"/>
      <c r="UT64" s="1005"/>
      <c r="UU64" s="1005"/>
      <c r="UV64" s="1005"/>
      <c r="UW64" s="1005"/>
      <c r="UX64" s="1005"/>
      <c r="UY64" s="1005"/>
      <c r="UZ64" s="1005"/>
      <c r="VA64" s="1005"/>
      <c r="VB64" s="1005"/>
      <c r="VC64" s="1005"/>
      <c r="VD64" s="1005"/>
      <c r="VE64" s="1005"/>
      <c r="VF64" s="1005"/>
      <c r="VG64" s="1005"/>
      <c r="VH64" s="1005"/>
      <c r="VI64" s="1005"/>
      <c r="VJ64" s="1005"/>
      <c r="VK64" s="1005"/>
      <c r="VL64" s="1005"/>
      <c r="VM64" s="1005"/>
      <c r="VN64" s="1005"/>
      <c r="VO64" s="1005"/>
      <c r="VP64" s="1005"/>
      <c r="VQ64" s="1005"/>
      <c r="VR64" s="1005"/>
      <c r="VS64" s="1005"/>
      <c r="VT64" s="1005"/>
      <c r="VU64" s="1005"/>
      <c r="VV64" s="1005"/>
      <c r="VW64" s="1005"/>
      <c r="VX64" s="1005"/>
      <c r="VY64" s="1005"/>
      <c r="VZ64" s="1005"/>
      <c r="WA64" s="1005"/>
      <c r="WB64" s="1005"/>
      <c r="WC64" s="1005"/>
      <c r="WD64" s="1005"/>
      <c r="WE64" s="1005"/>
      <c r="WF64" s="1005"/>
      <c r="WG64" s="1005"/>
      <c r="WH64" s="1005"/>
      <c r="WI64" s="1005"/>
      <c r="WJ64" s="1005"/>
      <c r="WK64" s="1005"/>
      <c r="WL64" s="1005"/>
      <c r="WM64" s="1005"/>
      <c r="WN64" s="1005"/>
      <c r="WO64" s="1005"/>
      <c r="WP64" s="1005"/>
      <c r="WQ64" s="1005"/>
      <c r="WR64" s="1005"/>
      <c r="WS64" s="1005"/>
      <c r="WT64" s="1005"/>
      <c r="WU64" s="1005"/>
      <c r="WV64" s="1005"/>
      <c r="WW64" s="1005"/>
      <c r="WX64" s="1005"/>
      <c r="WY64" s="1005"/>
      <c r="WZ64" s="1005"/>
      <c r="XA64" s="1005"/>
      <c r="XB64" s="1005"/>
      <c r="XC64" s="1005"/>
      <c r="XD64" s="1005"/>
      <c r="XE64" s="1005"/>
      <c r="XF64" s="1005"/>
      <c r="XG64" s="1005"/>
      <c r="XH64" s="1005"/>
      <c r="XI64" s="1005"/>
      <c r="XJ64" s="1005"/>
      <c r="XK64" s="1005"/>
      <c r="XL64" s="1005"/>
      <c r="XM64" s="1005"/>
      <c r="XN64" s="1005"/>
      <c r="XO64" s="1005"/>
      <c r="XP64" s="1005"/>
      <c r="XQ64" s="1005"/>
      <c r="XR64" s="1005"/>
      <c r="XS64" s="1005"/>
      <c r="XT64" s="1005"/>
      <c r="XU64" s="1005"/>
      <c r="XV64" s="1005"/>
      <c r="XW64" s="1005"/>
      <c r="XX64" s="1005"/>
      <c r="XY64" s="1005"/>
      <c r="XZ64" s="1005"/>
      <c r="YA64" s="1005"/>
      <c r="YB64" s="1005"/>
      <c r="YC64" s="1005"/>
      <c r="YD64" s="1005"/>
      <c r="YE64" s="1005"/>
      <c r="YF64" s="1005"/>
      <c r="YG64" s="1005"/>
      <c r="YH64" s="1005"/>
      <c r="YI64" s="1005"/>
      <c r="YJ64" s="1005"/>
      <c r="YK64" s="1005"/>
      <c r="YL64" s="1005"/>
      <c r="YM64" s="1005"/>
      <c r="YN64" s="1005"/>
      <c r="YO64" s="1005"/>
      <c r="YP64" s="1005"/>
      <c r="YQ64" s="1005"/>
      <c r="YR64" s="1005"/>
      <c r="YS64" s="1005"/>
      <c r="YT64" s="1005"/>
      <c r="YU64" s="1005"/>
      <c r="YV64" s="1005"/>
      <c r="YW64" s="1005"/>
      <c r="YX64" s="1005"/>
      <c r="YY64" s="1005"/>
      <c r="YZ64" s="1005"/>
      <c r="ZA64" s="1005"/>
      <c r="ZB64" s="1005"/>
      <c r="ZC64" s="1005"/>
      <c r="ZD64" s="1005"/>
      <c r="ZE64" s="1005"/>
      <c r="ZF64" s="1005"/>
      <c r="ZG64" s="1005"/>
      <c r="ZH64" s="1005"/>
      <c r="ZI64" s="1005"/>
      <c r="ZJ64" s="1005"/>
      <c r="ZK64" s="1005"/>
      <c r="ZL64" s="1005"/>
      <c r="ZM64" s="1005"/>
      <c r="ZN64" s="1005"/>
      <c r="ZO64" s="1005"/>
      <c r="ZP64" s="1005"/>
      <c r="ZQ64" s="1005"/>
      <c r="ZR64" s="1005"/>
      <c r="ZS64" s="1005"/>
      <c r="ZT64" s="1005"/>
      <c r="ZU64" s="1005"/>
      <c r="ZV64" s="1005"/>
      <c r="ZW64" s="1005"/>
      <c r="ZX64" s="1005"/>
      <c r="ZY64" s="1005"/>
      <c r="ZZ64" s="1005"/>
      <c r="AAA64" s="1005"/>
      <c r="AAB64" s="1005"/>
      <c r="AAC64" s="1005"/>
      <c r="AAD64" s="1005"/>
      <c r="AAE64" s="1005"/>
      <c r="AAF64" s="1005"/>
      <c r="AAG64" s="1005"/>
      <c r="AAH64" s="1005"/>
      <c r="AAI64" s="1005"/>
      <c r="AAJ64" s="1005"/>
      <c r="AAK64" s="1005"/>
      <c r="AAL64" s="1005"/>
      <c r="AAM64" s="1005"/>
      <c r="AAN64" s="1005"/>
      <c r="AAO64" s="1005"/>
      <c r="AAP64" s="1005"/>
      <c r="AAQ64" s="1005"/>
      <c r="AAR64" s="1005"/>
      <c r="AAS64" s="1005"/>
      <c r="AAT64" s="1005"/>
      <c r="AAU64" s="1005"/>
      <c r="AAV64" s="1005"/>
      <c r="AAW64" s="1005"/>
      <c r="AAX64" s="1005"/>
      <c r="AAY64" s="1005"/>
      <c r="AAZ64" s="1005"/>
      <c r="ABA64" s="1005"/>
      <c r="ABB64" s="1005"/>
      <c r="ABC64" s="1005"/>
      <c r="ABD64" s="1005"/>
      <c r="ABE64" s="1005"/>
      <c r="ABF64" s="1005"/>
      <c r="ABG64" s="1005"/>
      <c r="ABH64" s="1005"/>
      <c r="ABI64" s="1005"/>
      <c r="ABJ64" s="1005"/>
      <c r="ABK64" s="1005"/>
      <c r="ABL64" s="1005"/>
      <c r="ABM64" s="1005"/>
      <c r="ABN64" s="1005"/>
      <c r="ABO64" s="1005"/>
      <c r="ABP64" s="1005"/>
      <c r="ABQ64" s="1005"/>
      <c r="ABR64" s="1005"/>
    </row>
    <row r="65" spans="1:746" s="112" customFormat="1" ht="3" customHeight="1" thickTop="1">
      <c r="A65" s="926"/>
      <c r="B65" s="2331"/>
      <c r="C65" s="585"/>
      <c r="D65" s="585"/>
      <c r="E65" s="585"/>
      <c r="F65" s="585"/>
      <c r="G65" s="585"/>
      <c r="H65" s="573"/>
      <c r="I65" s="2574"/>
      <c r="J65" s="196"/>
      <c r="K65" s="191"/>
      <c r="L65" s="203"/>
      <c r="M65" s="197"/>
      <c r="N65" s="197"/>
      <c r="O65" s="177"/>
      <c r="P65" s="198"/>
      <c r="Q65" s="178"/>
      <c r="R65" s="177"/>
      <c r="S65" s="177"/>
      <c r="T65" s="2602"/>
      <c r="U65" s="2603"/>
      <c r="V65" s="199"/>
      <c r="W65" s="203"/>
      <c r="X65" s="200"/>
      <c r="Y65" s="200"/>
      <c r="Z65" s="200"/>
      <c r="AA65" s="179"/>
      <c r="AB65" s="195"/>
      <c r="AC65" s="177"/>
      <c r="AD65" s="177"/>
      <c r="AE65" s="177"/>
      <c r="AF65" s="180"/>
      <c r="AG65" s="2210"/>
      <c r="AH65" s="6"/>
      <c r="AI65" s="6"/>
      <c r="AJ65" s="413"/>
      <c r="AK65" s="413"/>
      <c r="AL65" s="413"/>
      <c r="AM65" s="1005"/>
      <c r="AN65" s="1014"/>
      <c r="AO65" s="1945"/>
      <c r="AP65" s="1935"/>
      <c r="AQ65" s="1936"/>
      <c r="AR65" s="1941"/>
      <c r="AS65" s="1941"/>
      <c r="AT65" s="1941"/>
      <c r="AU65" s="1941"/>
      <c r="AV65" s="1941"/>
      <c r="AW65" s="1941"/>
      <c r="AX65" s="1941"/>
      <c r="AY65" s="1941"/>
      <c r="AZ65" s="1941"/>
      <c r="BA65" s="1941"/>
      <c r="BB65" s="1941"/>
      <c r="BC65" s="1941"/>
      <c r="BD65" s="1941"/>
      <c r="BE65" s="1941"/>
      <c r="BF65" s="1941"/>
      <c r="BG65" s="1941"/>
      <c r="BH65" s="1941"/>
      <c r="BI65" s="1941"/>
      <c r="BJ65" s="1941"/>
      <c r="BK65" s="1941"/>
      <c r="BL65" s="1941"/>
      <c r="BM65" s="1941"/>
      <c r="BN65" s="1941"/>
      <c r="BO65" s="1941"/>
      <c r="BP65" s="1004"/>
      <c r="BQ65" s="1004"/>
      <c r="BR65" s="1004"/>
      <c r="BS65" s="1004"/>
      <c r="BT65" s="1004"/>
      <c r="BU65" s="1004"/>
      <c r="BV65" s="1004"/>
      <c r="BW65" s="1004"/>
      <c r="BX65" s="1004"/>
      <c r="BY65" s="1004"/>
      <c r="BZ65" s="1004"/>
      <c r="CA65" s="1004"/>
      <c r="CB65" s="1004"/>
      <c r="CC65" s="1004"/>
      <c r="CD65" s="1004"/>
      <c r="CE65" s="1004"/>
      <c r="CF65" s="1004"/>
      <c r="CG65" s="1004"/>
      <c r="CH65" s="1004"/>
      <c r="CI65" s="1004"/>
      <c r="CJ65" s="1004"/>
      <c r="CK65" s="1004"/>
      <c r="CL65" s="1004"/>
      <c r="CM65" s="1004"/>
      <c r="CN65" s="1004"/>
      <c r="CO65" s="1004"/>
      <c r="CP65" s="1004"/>
      <c r="CQ65" s="1004"/>
      <c r="CR65" s="1004"/>
      <c r="CS65" s="1004"/>
      <c r="CT65" s="1004"/>
      <c r="CU65" s="1004"/>
      <c r="CV65" s="1004"/>
      <c r="CW65" s="1004"/>
      <c r="CX65" s="1004"/>
      <c r="CY65" s="1004"/>
      <c r="CZ65" s="1004"/>
      <c r="DA65" s="1004"/>
      <c r="DB65" s="1004"/>
      <c r="DC65" s="1004"/>
      <c r="DD65" s="1004"/>
      <c r="DE65" s="1004"/>
      <c r="DF65" s="1004"/>
      <c r="DG65" s="1004"/>
      <c r="DH65" s="1004"/>
      <c r="DI65" s="1004"/>
      <c r="DJ65" s="1004"/>
      <c r="DK65" s="1004"/>
      <c r="DL65" s="1004"/>
      <c r="DM65" s="1004"/>
      <c r="DN65" s="1004"/>
      <c r="DO65" s="1004"/>
      <c r="DP65" s="1004"/>
      <c r="DQ65" s="1004"/>
      <c r="DR65" s="1004"/>
      <c r="DS65" s="1004"/>
      <c r="DT65" s="1004"/>
      <c r="DU65" s="1004"/>
      <c r="DV65" s="1004"/>
      <c r="DW65" s="1004"/>
      <c r="DX65" s="1004"/>
      <c r="DY65" s="1004"/>
      <c r="DZ65" s="1004"/>
      <c r="EA65" s="1004"/>
      <c r="EB65" s="1004"/>
      <c r="EC65" s="1004"/>
      <c r="ED65" s="1004"/>
      <c r="EE65" s="1004"/>
      <c r="EF65" s="1004"/>
      <c r="EG65" s="1004"/>
      <c r="EH65" s="1004"/>
      <c r="EI65" s="1004"/>
      <c r="EJ65" s="1004"/>
      <c r="EK65" s="1004"/>
      <c r="EL65" s="1004"/>
      <c r="EM65" s="1004"/>
      <c r="EN65" s="1004"/>
      <c r="EO65" s="1004"/>
      <c r="EP65" s="1004"/>
      <c r="EQ65" s="1004"/>
      <c r="ER65" s="1004"/>
      <c r="ES65" s="1004"/>
      <c r="ET65" s="1004"/>
      <c r="EU65" s="1004"/>
      <c r="EV65" s="1004"/>
      <c r="EW65" s="1004"/>
      <c r="EX65" s="1004"/>
      <c r="EY65" s="1004"/>
      <c r="EZ65" s="1004"/>
      <c r="FA65" s="1004"/>
      <c r="FB65" s="1004"/>
      <c r="FC65" s="1004"/>
      <c r="FD65" s="1004"/>
      <c r="FE65" s="1004"/>
      <c r="FF65" s="1004"/>
      <c r="FG65" s="1004"/>
      <c r="FH65" s="1004"/>
      <c r="FI65" s="1004"/>
      <c r="FJ65" s="1004"/>
      <c r="FK65" s="1004"/>
      <c r="FL65" s="1004"/>
      <c r="FM65" s="1004"/>
      <c r="FN65" s="1004"/>
      <c r="FO65" s="1004"/>
      <c r="FP65" s="1004"/>
      <c r="FQ65" s="1004"/>
      <c r="FR65" s="1004"/>
      <c r="FS65" s="1004"/>
      <c r="FT65" s="1004"/>
      <c r="FU65" s="1004"/>
      <c r="FV65" s="1004"/>
      <c r="FW65" s="1004"/>
      <c r="FX65" s="1004"/>
      <c r="FY65" s="1004"/>
      <c r="FZ65" s="1004"/>
      <c r="GA65" s="1004"/>
      <c r="GB65" s="1004"/>
      <c r="GC65" s="1004"/>
      <c r="GD65" s="1004"/>
      <c r="GE65" s="1004"/>
      <c r="GF65" s="1004"/>
      <c r="GG65" s="1004"/>
      <c r="GH65" s="1004"/>
      <c r="GI65" s="1004"/>
      <c r="GJ65" s="1004"/>
      <c r="GK65" s="1004"/>
      <c r="GL65" s="1004"/>
      <c r="GM65" s="1004"/>
      <c r="GN65" s="1004"/>
      <c r="GO65" s="1004"/>
      <c r="GP65" s="1004"/>
      <c r="GQ65" s="1004"/>
      <c r="GR65" s="1004"/>
      <c r="GS65" s="1004"/>
      <c r="GT65" s="1004"/>
      <c r="GU65" s="1004"/>
      <c r="GV65" s="1004"/>
      <c r="GW65" s="1004"/>
      <c r="GX65" s="1004"/>
      <c r="GY65" s="1004"/>
      <c r="GZ65" s="1004"/>
      <c r="HA65" s="1004"/>
      <c r="HB65" s="1004"/>
      <c r="HC65" s="1004"/>
      <c r="HD65" s="1004"/>
      <c r="HE65" s="1004"/>
      <c r="HF65" s="1004"/>
      <c r="HG65" s="1004"/>
      <c r="HH65" s="1004"/>
      <c r="HI65" s="1004"/>
      <c r="HJ65" s="1004"/>
      <c r="HK65" s="1004"/>
      <c r="HL65" s="1004"/>
      <c r="HM65" s="1004"/>
      <c r="HN65" s="1004"/>
      <c r="HO65" s="1004"/>
      <c r="HP65" s="1004"/>
      <c r="HQ65" s="1004"/>
      <c r="HR65" s="1004"/>
      <c r="HS65" s="1004"/>
      <c r="HT65" s="1004"/>
      <c r="HU65" s="1004"/>
      <c r="HV65" s="1004"/>
      <c r="HW65" s="1004"/>
      <c r="HX65" s="1004"/>
      <c r="HY65" s="1004"/>
      <c r="HZ65" s="1004"/>
      <c r="IA65" s="1004"/>
      <c r="IB65" s="1004"/>
      <c r="IC65" s="1004"/>
      <c r="ID65" s="1004"/>
      <c r="IE65" s="1004"/>
      <c r="IF65" s="1004"/>
      <c r="IG65" s="1004"/>
      <c r="IH65" s="1004"/>
      <c r="II65" s="1004"/>
      <c r="IJ65" s="1004"/>
      <c r="IK65" s="1004"/>
      <c r="IL65" s="1004"/>
      <c r="IM65" s="1004"/>
      <c r="IN65" s="1004"/>
      <c r="IO65" s="1004"/>
      <c r="IP65" s="1004"/>
      <c r="IQ65" s="1004"/>
      <c r="IR65" s="1004"/>
      <c r="IS65" s="1004"/>
      <c r="IT65" s="1004"/>
      <c r="IU65" s="1004"/>
      <c r="IV65" s="1004"/>
      <c r="IW65" s="1004"/>
      <c r="IX65" s="1004"/>
      <c r="IY65" s="1004"/>
      <c r="IZ65" s="1004"/>
      <c r="JA65" s="1004"/>
      <c r="JB65" s="1004"/>
      <c r="JC65" s="1004"/>
      <c r="JD65" s="1004"/>
      <c r="JE65" s="1004"/>
      <c r="JF65" s="1004"/>
      <c r="JG65" s="1004"/>
      <c r="JH65" s="1004"/>
      <c r="JI65" s="1004"/>
      <c r="JJ65" s="1004"/>
      <c r="JK65" s="1004"/>
      <c r="JL65" s="1004"/>
      <c r="JM65" s="1004"/>
      <c r="JN65" s="1004"/>
      <c r="JO65" s="1004"/>
      <c r="JP65" s="1004"/>
      <c r="JQ65" s="1004"/>
      <c r="JR65" s="1004"/>
      <c r="JS65" s="1004"/>
      <c r="JT65" s="1004"/>
      <c r="JU65" s="1004"/>
      <c r="JV65" s="1004"/>
      <c r="JW65" s="1004"/>
      <c r="JX65" s="1004"/>
      <c r="JY65" s="1004"/>
      <c r="JZ65" s="1004"/>
      <c r="KA65" s="1004"/>
      <c r="KB65" s="1004"/>
      <c r="KC65" s="1004"/>
      <c r="KD65" s="1004"/>
      <c r="KE65" s="1004"/>
      <c r="KF65" s="1004"/>
      <c r="KG65" s="1004"/>
      <c r="KH65" s="1004"/>
      <c r="KI65" s="1004"/>
      <c r="KJ65" s="1004"/>
      <c r="KK65" s="1004"/>
      <c r="KL65" s="1004"/>
      <c r="KM65" s="1004"/>
      <c r="KN65" s="1004"/>
      <c r="KO65" s="1004"/>
      <c r="KP65" s="1004"/>
      <c r="KQ65" s="1004"/>
      <c r="KR65" s="1004"/>
      <c r="KS65" s="1004"/>
      <c r="KT65" s="1004"/>
      <c r="KU65" s="1004"/>
      <c r="KV65" s="1004"/>
      <c r="KW65" s="1004"/>
      <c r="KX65" s="1004"/>
      <c r="KY65" s="1004"/>
      <c r="KZ65" s="1004"/>
      <c r="LA65" s="1004"/>
      <c r="LB65" s="1004"/>
      <c r="LC65" s="1004"/>
      <c r="LD65" s="1004"/>
      <c r="LE65" s="1004"/>
      <c r="LF65" s="1004"/>
      <c r="LG65" s="1004"/>
      <c r="LH65" s="1004"/>
      <c r="LI65" s="1004"/>
      <c r="LJ65" s="1004"/>
      <c r="LK65" s="1004"/>
      <c r="LL65" s="1004"/>
      <c r="LM65" s="1004"/>
      <c r="LN65" s="1004"/>
      <c r="LO65" s="1004"/>
      <c r="LP65" s="1004"/>
      <c r="LQ65" s="1004"/>
      <c r="LR65" s="1004"/>
      <c r="LS65" s="1004"/>
      <c r="LT65" s="1004"/>
      <c r="LU65" s="1004"/>
      <c r="LV65" s="1004"/>
      <c r="LW65" s="1004"/>
      <c r="LX65" s="1004"/>
      <c r="LY65" s="1004"/>
      <c r="LZ65" s="1004"/>
      <c r="MA65" s="1004"/>
      <c r="MB65" s="1004"/>
      <c r="MC65" s="1004"/>
      <c r="MD65" s="1004"/>
      <c r="ME65" s="1004"/>
      <c r="MF65" s="1004"/>
      <c r="MG65" s="1004"/>
      <c r="MH65" s="1004"/>
      <c r="MI65" s="1004"/>
      <c r="MJ65" s="1004"/>
      <c r="MK65" s="1004"/>
      <c r="ML65" s="1004"/>
      <c r="MM65" s="1004"/>
      <c r="MN65" s="1004"/>
      <c r="MO65" s="1004"/>
      <c r="MP65" s="1004"/>
      <c r="MQ65" s="1004"/>
      <c r="MR65" s="1004"/>
      <c r="MS65" s="1004"/>
      <c r="MT65" s="1004"/>
      <c r="MU65" s="1004"/>
      <c r="MV65" s="1004"/>
      <c r="MW65" s="1004"/>
      <c r="MX65" s="1004"/>
      <c r="MY65" s="1004"/>
      <c r="MZ65" s="1004"/>
      <c r="NA65" s="1004"/>
      <c r="NB65" s="1004"/>
      <c r="NC65" s="1004"/>
      <c r="ND65" s="1004"/>
      <c r="NE65" s="1004"/>
      <c r="NF65" s="1004"/>
      <c r="NG65" s="1004"/>
      <c r="NH65" s="1004"/>
      <c r="NI65" s="1004"/>
      <c r="NJ65" s="1004"/>
      <c r="NK65" s="1004"/>
      <c r="NL65" s="1004"/>
      <c r="NM65" s="1004"/>
      <c r="NN65" s="1004"/>
      <c r="NO65" s="1004"/>
      <c r="NP65" s="1004"/>
      <c r="NQ65" s="1004"/>
      <c r="NR65" s="1004"/>
      <c r="NS65" s="1004"/>
      <c r="NT65" s="1004"/>
      <c r="NU65" s="1004"/>
      <c r="NV65" s="1004"/>
      <c r="NW65" s="1004"/>
      <c r="NX65" s="1004"/>
      <c r="NY65" s="1004"/>
      <c r="NZ65" s="1004"/>
      <c r="OA65" s="1004"/>
      <c r="OB65" s="1004"/>
      <c r="OC65" s="1004"/>
      <c r="OD65" s="1004"/>
      <c r="OE65" s="1004"/>
      <c r="OF65" s="1004"/>
      <c r="OG65" s="1004"/>
      <c r="OH65" s="1004"/>
      <c r="OI65" s="1004"/>
      <c r="OJ65" s="1004"/>
      <c r="OK65" s="1004"/>
      <c r="OL65" s="1004"/>
      <c r="OM65" s="1004"/>
      <c r="ON65" s="1004"/>
      <c r="OO65" s="1004"/>
      <c r="OP65" s="1004"/>
      <c r="OQ65" s="1004"/>
      <c r="OR65" s="1004"/>
      <c r="OS65" s="1004"/>
      <c r="OT65" s="1004"/>
      <c r="OU65" s="1004"/>
      <c r="OV65" s="1004"/>
      <c r="OW65" s="1004"/>
      <c r="OX65" s="1004"/>
      <c r="OY65" s="1004"/>
      <c r="OZ65" s="1004"/>
      <c r="PA65" s="1004"/>
      <c r="PB65" s="1004"/>
      <c r="PC65" s="1004"/>
      <c r="PD65" s="1004"/>
      <c r="PE65" s="1004"/>
      <c r="PF65" s="1004"/>
      <c r="PG65" s="1004"/>
      <c r="PH65" s="1004"/>
      <c r="PI65" s="1004"/>
      <c r="PJ65" s="1004"/>
      <c r="PK65" s="1004"/>
      <c r="PL65" s="1004"/>
      <c r="PM65" s="1004"/>
      <c r="PN65" s="1004"/>
      <c r="PO65" s="1004"/>
      <c r="PP65" s="1004"/>
      <c r="PQ65" s="1004"/>
      <c r="PR65" s="1004"/>
      <c r="PS65" s="1004"/>
      <c r="PT65" s="1004"/>
      <c r="PU65" s="1004"/>
      <c r="PV65" s="1004"/>
      <c r="PW65" s="1004"/>
      <c r="PX65" s="1004"/>
      <c r="PY65" s="1004"/>
      <c r="PZ65" s="1004"/>
      <c r="QA65" s="1004"/>
      <c r="QB65" s="1004"/>
      <c r="QC65" s="1004"/>
      <c r="QD65" s="1004"/>
      <c r="QE65" s="1004"/>
      <c r="QF65" s="1004"/>
      <c r="QG65" s="1004"/>
      <c r="QH65" s="1004"/>
      <c r="QI65" s="1004"/>
      <c r="QJ65" s="1004"/>
      <c r="QK65" s="1004"/>
      <c r="QL65" s="1004"/>
      <c r="QM65" s="1004"/>
      <c r="QN65" s="1004"/>
      <c r="QO65" s="1004"/>
      <c r="QP65" s="1004"/>
      <c r="QQ65" s="1004"/>
      <c r="QR65" s="1004"/>
      <c r="QS65" s="1004"/>
      <c r="QT65" s="1004"/>
      <c r="QU65" s="1004"/>
      <c r="QV65" s="1004"/>
      <c r="QW65" s="1004"/>
      <c r="QX65" s="1004"/>
      <c r="QY65" s="1004"/>
      <c r="QZ65" s="1004"/>
      <c r="RA65" s="1004"/>
      <c r="RB65" s="1004"/>
      <c r="RC65" s="1004"/>
      <c r="RD65" s="1004"/>
      <c r="RE65" s="1004"/>
      <c r="RF65" s="1004"/>
      <c r="RG65" s="1004"/>
      <c r="RH65" s="1004"/>
      <c r="RI65" s="1004"/>
      <c r="RJ65" s="1004"/>
      <c r="RK65" s="1004"/>
      <c r="RL65" s="1004"/>
      <c r="RM65" s="1004"/>
      <c r="RN65" s="1004"/>
      <c r="RO65" s="1004"/>
      <c r="RP65" s="1004"/>
      <c r="RQ65" s="1004"/>
      <c r="RR65" s="1004"/>
      <c r="RS65" s="1004"/>
      <c r="RT65" s="1004"/>
      <c r="RU65" s="1004"/>
      <c r="RV65" s="1004"/>
      <c r="RW65" s="1004"/>
      <c r="RX65" s="1004"/>
      <c r="RY65" s="1004"/>
      <c r="RZ65" s="1004"/>
      <c r="SA65" s="1004"/>
      <c r="SB65" s="1004"/>
      <c r="SC65" s="1004"/>
      <c r="SD65" s="1004"/>
      <c r="SE65" s="1004"/>
      <c r="SF65" s="1004"/>
      <c r="SG65" s="1004"/>
      <c r="SH65" s="1004"/>
      <c r="SI65" s="1004"/>
      <c r="SJ65" s="1004"/>
      <c r="SK65" s="1004"/>
      <c r="SL65" s="1004"/>
      <c r="SM65" s="1004"/>
      <c r="SN65" s="1004"/>
      <c r="SO65" s="1004"/>
      <c r="SP65" s="1004"/>
      <c r="SQ65" s="1004"/>
      <c r="SR65" s="1004"/>
      <c r="SS65" s="1004"/>
      <c r="ST65" s="1004"/>
      <c r="SU65" s="1004"/>
      <c r="SV65" s="1004"/>
      <c r="SW65" s="1004"/>
      <c r="SX65" s="1004"/>
      <c r="SY65" s="1004"/>
      <c r="SZ65" s="1004"/>
      <c r="TA65" s="1004"/>
      <c r="TB65" s="1004"/>
      <c r="TC65" s="1004"/>
      <c r="TD65" s="1004"/>
      <c r="TE65" s="1004"/>
      <c r="TF65" s="1004"/>
      <c r="TG65" s="1004"/>
      <c r="TH65" s="1004"/>
      <c r="TI65" s="1004"/>
      <c r="TJ65" s="1004"/>
      <c r="TK65" s="1004"/>
      <c r="TL65" s="1004"/>
      <c r="TM65" s="1004"/>
      <c r="TN65" s="1004"/>
      <c r="TO65" s="1004"/>
      <c r="TP65" s="1004"/>
      <c r="TQ65" s="1004"/>
      <c r="TR65" s="1004"/>
      <c r="TS65" s="1004"/>
      <c r="TT65" s="1004"/>
      <c r="TU65" s="1004"/>
      <c r="TV65" s="1004"/>
      <c r="TW65" s="1004"/>
      <c r="TX65" s="1004"/>
      <c r="TY65" s="1004"/>
      <c r="TZ65" s="1004"/>
      <c r="UA65" s="1004"/>
      <c r="UB65" s="1004"/>
      <c r="UC65" s="1004"/>
      <c r="UD65" s="1004"/>
      <c r="UE65" s="1004"/>
      <c r="UF65" s="1004"/>
      <c r="UG65" s="1004"/>
      <c r="UH65" s="1004"/>
      <c r="UI65" s="1004"/>
      <c r="UJ65" s="1004"/>
      <c r="UK65" s="1004"/>
      <c r="UL65" s="1004"/>
      <c r="UM65" s="1004"/>
      <c r="UN65" s="1004"/>
      <c r="UO65" s="1004"/>
      <c r="UP65" s="1004"/>
      <c r="UQ65" s="1004"/>
      <c r="UR65" s="1004"/>
      <c r="US65" s="1004"/>
      <c r="UT65" s="1004"/>
      <c r="UU65" s="1004"/>
      <c r="UV65" s="1004"/>
      <c r="UW65" s="1004"/>
      <c r="UX65" s="1004"/>
      <c r="UY65" s="1004"/>
      <c r="UZ65" s="1004"/>
      <c r="VA65" s="1004"/>
      <c r="VB65" s="1004"/>
      <c r="VC65" s="1004"/>
      <c r="VD65" s="1004"/>
      <c r="VE65" s="1004"/>
      <c r="VF65" s="1004"/>
      <c r="VG65" s="1004"/>
      <c r="VH65" s="1004"/>
      <c r="VI65" s="1004"/>
      <c r="VJ65" s="1004"/>
      <c r="VK65" s="1004"/>
      <c r="VL65" s="1004"/>
      <c r="VM65" s="1004"/>
      <c r="VN65" s="1004"/>
      <c r="VO65" s="1004"/>
      <c r="VP65" s="1004"/>
      <c r="VQ65" s="1004"/>
      <c r="VR65" s="1004"/>
      <c r="VS65" s="1004"/>
      <c r="VT65" s="1004"/>
      <c r="VU65" s="1004"/>
      <c r="VV65" s="1004"/>
      <c r="VW65" s="1004"/>
      <c r="VX65" s="1004"/>
      <c r="VY65" s="1004"/>
      <c r="VZ65" s="1004"/>
      <c r="WA65" s="1004"/>
      <c r="WB65" s="1004"/>
      <c r="WC65" s="1004"/>
      <c r="WD65" s="1004"/>
      <c r="WE65" s="1004"/>
      <c r="WF65" s="1004"/>
      <c r="WG65" s="1004"/>
      <c r="WH65" s="1004"/>
      <c r="WI65" s="1004"/>
      <c r="WJ65" s="1004"/>
      <c r="WK65" s="1004"/>
      <c r="WL65" s="1004"/>
      <c r="WM65" s="1004"/>
      <c r="WN65" s="1004"/>
      <c r="WO65" s="1004"/>
      <c r="WP65" s="1004"/>
      <c r="WQ65" s="1004"/>
      <c r="WR65" s="1004"/>
      <c r="WS65" s="1004"/>
      <c r="WT65" s="1004"/>
      <c r="WU65" s="1004"/>
      <c r="WV65" s="1004"/>
      <c r="WW65" s="1004"/>
      <c r="WX65" s="1004"/>
      <c r="WY65" s="1004"/>
      <c r="WZ65" s="1004"/>
      <c r="XA65" s="1004"/>
      <c r="XB65" s="1004"/>
      <c r="XC65" s="1004"/>
      <c r="XD65" s="1004"/>
      <c r="XE65" s="1004"/>
      <c r="XF65" s="1004"/>
      <c r="XG65" s="1004"/>
      <c r="XH65" s="1004"/>
      <c r="XI65" s="1004"/>
      <c r="XJ65" s="1004"/>
      <c r="XK65" s="1004"/>
      <c r="XL65" s="1004"/>
      <c r="XM65" s="1004"/>
      <c r="XN65" s="1004"/>
      <c r="XO65" s="1004"/>
      <c r="XP65" s="1004"/>
      <c r="XQ65" s="1004"/>
      <c r="XR65" s="1004"/>
      <c r="XS65" s="1004"/>
      <c r="XT65" s="1004"/>
      <c r="XU65" s="1004"/>
      <c r="XV65" s="1004"/>
      <c r="XW65" s="1004"/>
      <c r="XX65" s="1004"/>
      <c r="XY65" s="1004"/>
      <c r="XZ65" s="1004"/>
      <c r="YA65" s="1004"/>
      <c r="YB65" s="1004"/>
      <c r="YC65" s="1004"/>
      <c r="YD65" s="1004"/>
      <c r="YE65" s="1004"/>
      <c r="YF65" s="1004"/>
      <c r="YG65" s="1004"/>
      <c r="YH65" s="1004"/>
      <c r="YI65" s="1004"/>
      <c r="YJ65" s="1004"/>
      <c r="YK65" s="1004"/>
      <c r="YL65" s="1004"/>
      <c r="YM65" s="1004"/>
      <c r="YN65" s="1004"/>
      <c r="YO65" s="1004"/>
      <c r="YP65" s="1004"/>
      <c r="YQ65" s="1004"/>
      <c r="YR65" s="1004"/>
      <c r="YS65" s="1004"/>
      <c r="YT65" s="1004"/>
      <c r="YU65" s="1004"/>
      <c r="YV65" s="1004"/>
      <c r="YW65" s="1004"/>
      <c r="YX65" s="1004"/>
      <c r="YY65" s="1004"/>
      <c r="YZ65" s="1004"/>
      <c r="ZA65" s="1004"/>
      <c r="ZB65" s="1004"/>
      <c r="ZC65" s="1004"/>
      <c r="ZD65" s="1004"/>
      <c r="ZE65" s="1004"/>
      <c r="ZF65" s="1004"/>
      <c r="ZG65" s="1004"/>
      <c r="ZH65" s="1004"/>
      <c r="ZI65" s="1004"/>
      <c r="ZJ65" s="1004"/>
      <c r="ZK65" s="1004"/>
      <c r="ZL65" s="1004"/>
      <c r="ZM65" s="1004"/>
      <c r="ZN65" s="1004"/>
      <c r="ZO65" s="1004"/>
      <c r="ZP65" s="1004"/>
      <c r="ZQ65" s="1004"/>
      <c r="ZR65" s="1004"/>
      <c r="ZS65" s="1004"/>
      <c r="ZT65" s="1004"/>
      <c r="ZU65" s="1004"/>
      <c r="ZV65" s="1004"/>
      <c r="ZW65" s="1004"/>
      <c r="ZX65" s="1004"/>
      <c r="ZY65" s="1004"/>
      <c r="ZZ65" s="1004"/>
      <c r="AAA65" s="1004"/>
      <c r="AAB65" s="1004"/>
      <c r="AAC65" s="1004"/>
      <c r="AAD65" s="1004"/>
      <c r="AAE65" s="1004"/>
      <c r="AAF65" s="1004"/>
      <c r="AAG65" s="1004"/>
      <c r="AAH65" s="1004"/>
      <c r="AAI65" s="1004"/>
      <c r="AAJ65" s="1004"/>
      <c r="AAK65" s="1004"/>
      <c r="AAL65" s="1004"/>
      <c r="AAM65" s="1004"/>
      <c r="AAN65" s="1004"/>
      <c r="AAO65" s="1004"/>
      <c r="AAP65" s="1004"/>
      <c r="AAQ65" s="1004"/>
      <c r="AAR65" s="1004"/>
      <c r="AAS65" s="1004"/>
      <c r="AAT65" s="1004"/>
      <c r="AAU65" s="1004"/>
      <c r="AAV65" s="1004"/>
      <c r="AAW65" s="1004"/>
      <c r="AAX65" s="1004"/>
      <c r="AAY65" s="1004"/>
      <c r="AAZ65" s="1004"/>
      <c r="ABA65" s="1004"/>
      <c r="ABB65" s="1004"/>
      <c r="ABC65" s="1004"/>
      <c r="ABD65" s="1004"/>
      <c r="ABE65" s="1004"/>
      <c r="ABF65" s="1004"/>
      <c r="ABG65" s="1004"/>
      <c r="ABH65" s="1004"/>
      <c r="ABI65" s="1004"/>
      <c r="ABJ65" s="1004"/>
      <c r="ABK65" s="1004"/>
      <c r="ABL65" s="1004"/>
      <c r="ABM65" s="1004"/>
      <c r="ABN65" s="1004"/>
      <c r="ABO65" s="1004"/>
      <c r="ABP65" s="1004"/>
      <c r="ABQ65" s="1004"/>
      <c r="ABR65" s="1004"/>
    </row>
    <row r="66" spans="1:746" s="111" customFormat="1" ht="12.9" customHeight="1">
      <c r="A66" s="926"/>
      <c r="B66" s="2604" t="s">
        <v>342</v>
      </c>
      <c r="C66" s="2605"/>
      <c r="D66" s="2605"/>
      <c r="E66" s="2605"/>
      <c r="F66" s="2605"/>
      <c r="G66" s="2605"/>
      <c r="H66" s="2606"/>
      <c r="I66" s="875"/>
      <c r="J66" s="380"/>
      <c r="K66" s="380"/>
      <c r="L66" s="380"/>
      <c r="M66" s="380"/>
      <c r="N66" s="380"/>
      <c r="O66" s="380"/>
      <c r="P66" s="380"/>
      <c r="Q66" s="380"/>
      <c r="R66" s="380"/>
      <c r="S66" s="380"/>
      <c r="T66" s="368"/>
      <c r="U66" s="100"/>
      <c r="V66" s="100"/>
      <c r="W66" s="100"/>
      <c r="X66" s="100"/>
      <c r="Y66" s="100"/>
      <c r="Z66" s="100"/>
      <c r="AA66" s="100"/>
      <c r="AB66" s="100"/>
      <c r="AC66" s="100"/>
      <c r="AD66" s="100"/>
      <c r="AE66" s="100"/>
      <c r="AF66" s="99"/>
      <c r="AG66" s="2203"/>
      <c r="AH66" s="2"/>
      <c r="AI66" s="2"/>
      <c r="AJ66" s="424">
        <f>IF(fx!$C$57=1,SUMIF(fx!I$57:T$57,1,I66:T66),IF(fx!$C$57=2,SUMIF(fx!O$57:AF$57,1,O66:AF66)))</f>
        <v>0</v>
      </c>
      <c r="AK66" s="413"/>
      <c r="AL66" s="425">
        <f>IF(fx!$C$57=1,SUM(U66:AF66),0)</f>
        <v>0</v>
      </c>
      <c r="AM66" s="1005"/>
      <c r="AN66" s="352"/>
      <c r="AO66" s="1945"/>
      <c r="AP66" s="1935"/>
      <c r="AQ66" s="1936"/>
      <c r="AR66" s="1941"/>
      <c r="AS66" s="1941"/>
      <c r="AT66" s="1941"/>
      <c r="AU66" s="1941"/>
      <c r="AV66" s="1941"/>
      <c r="AW66" s="1941"/>
      <c r="AX66" s="1941"/>
      <c r="AY66" s="1941"/>
      <c r="AZ66" s="1941"/>
      <c r="BA66" s="1941"/>
      <c r="BB66" s="1941"/>
      <c r="BC66" s="1941"/>
      <c r="BD66" s="1941"/>
      <c r="BE66" s="1941"/>
      <c r="BF66" s="1941"/>
      <c r="BG66" s="1941"/>
      <c r="BH66" s="1941"/>
      <c r="BI66" s="1941"/>
      <c r="BJ66" s="1941"/>
      <c r="BK66" s="1941"/>
      <c r="BL66" s="1941"/>
      <c r="BM66" s="1941"/>
      <c r="BN66" s="1941"/>
      <c r="BO66" s="1941"/>
      <c r="BP66" s="1009"/>
      <c r="BQ66" s="1009"/>
      <c r="BR66" s="1009"/>
      <c r="BS66" s="1009"/>
      <c r="BT66" s="1009"/>
      <c r="BU66" s="1009"/>
      <c r="BV66" s="1009"/>
      <c r="BW66" s="1009"/>
      <c r="BX66" s="1009"/>
      <c r="BY66" s="1009"/>
      <c r="BZ66" s="1009"/>
      <c r="CA66" s="1009"/>
      <c r="CB66" s="1009"/>
      <c r="CC66" s="1009"/>
      <c r="CD66" s="1009"/>
      <c r="CE66" s="1009"/>
      <c r="CF66" s="1009"/>
      <c r="CG66" s="1009"/>
      <c r="CH66" s="1009"/>
      <c r="CI66" s="1009"/>
      <c r="CJ66" s="1009"/>
      <c r="CK66" s="1009"/>
      <c r="CL66" s="1009"/>
      <c r="CM66" s="1009"/>
      <c r="CN66" s="1009"/>
      <c r="CO66" s="1009"/>
      <c r="CP66" s="1009"/>
      <c r="CQ66" s="1009"/>
      <c r="CR66" s="1009"/>
      <c r="CS66" s="1009"/>
      <c r="CT66" s="1009"/>
      <c r="CU66" s="1009"/>
      <c r="CV66" s="1009"/>
      <c r="CW66" s="1009"/>
      <c r="CX66" s="1009"/>
      <c r="CY66" s="1009"/>
      <c r="CZ66" s="1009"/>
      <c r="DA66" s="1009"/>
      <c r="DB66" s="1009"/>
      <c r="DC66" s="1009"/>
      <c r="DD66" s="1009"/>
      <c r="DE66" s="1009"/>
      <c r="DF66" s="1009"/>
      <c r="DG66" s="1009"/>
      <c r="DH66" s="1009"/>
      <c r="DI66" s="1009"/>
      <c r="DJ66" s="1009"/>
      <c r="DK66" s="1009"/>
      <c r="DL66" s="1009"/>
      <c r="DM66" s="1009"/>
      <c r="DN66" s="1009"/>
      <c r="DO66" s="1009"/>
      <c r="DP66" s="1009"/>
      <c r="DQ66" s="1009"/>
      <c r="DR66" s="1009"/>
      <c r="DS66" s="1009"/>
      <c r="DT66" s="1009"/>
      <c r="DU66" s="1009"/>
      <c r="DV66" s="1009"/>
      <c r="DW66" s="1009"/>
      <c r="DX66" s="1009"/>
      <c r="DY66" s="1009"/>
      <c r="DZ66" s="1009"/>
      <c r="EA66" s="1009"/>
      <c r="EB66" s="1009"/>
      <c r="EC66" s="1009"/>
      <c r="ED66" s="1009"/>
      <c r="EE66" s="1009"/>
      <c r="EF66" s="1009"/>
      <c r="EG66" s="1009"/>
      <c r="EH66" s="1009"/>
      <c r="EI66" s="1009"/>
      <c r="EJ66" s="1009"/>
      <c r="EK66" s="1009"/>
      <c r="EL66" s="1009"/>
      <c r="EM66" s="1009"/>
      <c r="EN66" s="1009"/>
      <c r="EO66" s="1009"/>
      <c r="EP66" s="1009"/>
      <c r="EQ66" s="1009"/>
      <c r="ER66" s="1009"/>
      <c r="ES66" s="1009"/>
      <c r="ET66" s="1009"/>
      <c r="EU66" s="1009"/>
      <c r="EV66" s="1009"/>
      <c r="EW66" s="1009"/>
      <c r="EX66" s="1009"/>
      <c r="EY66" s="1009"/>
      <c r="EZ66" s="1009"/>
      <c r="FA66" s="1009"/>
      <c r="FB66" s="1009"/>
      <c r="FC66" s="1009"/>
      <c r="FD66" s="1009"/>
      <c r="FE66" s="1009"/>
      <c r="FF66" s="1009"/>
      <c r="FG66" s="1009"/>
      <c r="FH66" s="1009"/>
      <c r="FI66" s="1009"/>
      <c r="FJ66" s="1009"/>
      <c r="FK66" s="1009"/>
      <c r="FL66" s="1009"/>
      <c r="FM66" s="1009"/>
      <c r="FN66" s="1009"/>
      <c r="FO66" s="1009"/>
      <c r="FP66" s="1009"/>
      <c r="FQ66" s="1009"/>
      <c r="FR66" s="1009"/>
      <c r="FS66" s="1009"/>
      <c r="FT66" s="1009"/>
      <c r="FU66" s="1009"/>
      <c r="FV66" s="1009"/>
      <c r="FW66" s="1009"/>
      <c r="FX66" s="1009"/>
      <c r="FY66" s="1009"/>
      <c r="FZ66" s="1009"/>
      <c r="GA66" s="1009"/>
      <c r="GB66" s="1009"/>
      <c r="GC66" s="1009"/>
      <c r="GD66" s="1009"/>
      <c r="GE66" s="1009"/>
      <c r="GF66" s="1009"/>
      <c r="GG66" s="1009"/>
      <c r="GH66" s="1009"/>
      <c r="GI66" s="1009"/>
      <c r="GJ66" s="1009"/>
      <c r="GK66" s="1009"/>
      <c r="GL66" s="1009"/>
      <c r="GM66" s="1009"/>
      <c r="GN66" s="1009"/>
      <c r="GO66" s="1009"/>
      <c r="GP66" s="1009"/>
      <c r="GQ66" s="1009"/>
      <c r="GR66" s="1009"/>
      <c r="GS66" s="1009"/>
      <c r="GT66" s="1009"/>
      <c r="GU66" s="1009"/>
      <c r="GV66" s="1009"/>
      <c r="GW66" s="1009"/>
      <c r="GX66" s="1009"/>
      <c r="GY66" s="1009"/>
      <c r="GZ66" s="1009"/>
      <c r="HA66" s="1009"/>
      <c r="HB66" s="1009"/>
      <c r="HC66" s="1009"/>
      <c r="HD66" s="1009"/>
      <c r="HE66" s="1009"/>
      <c r="HF66" s="1009"/>
      <c r="HG66" s="1009"/>
      <c r="HH66" s="1009"/>
      <c r="HI66" s="1009"/>
      <c r="HJ66" s="1009"/>
      <c r="HK66" s="1009"/>
      <c r="HL66" s="1009"/>
      <c r="HM66" s="1009"/>
      <c r="HN66" s="1009"/>
      <c r="HO66" s="1009"/>
      <c r="HP66" s="1009"/>
      <c r="HQ66" s="1009"/>
      <c r="HR66" s="1009"/>
      <c r="HS66" s="1009"/>
      <c r="HT66" s="1009"/>
      <c r="HU66" s="1009"/>
      <c r="HV66" s="1009"/>
      <c r="HW66" s="1009"/>
      <c r="HX66" s="1009"/>
      <c r="HY66" s="1009"/>
      <c r="HZ66" s="1009"/>
      <c r="IA66" s="1009"/>
      <c r="IB66" s="1009"/>
      <c r="IC66" s="1009"/>
      <c r="ID66" s="1009"/>
      <c r="IE66" s="1009"/>
      <c r="IF66" s="1009"/>
      <c r="IG66" s="1009"/>
      <c r="IH66" s="1009"/>
      <c r="II66" s="1009"/>
      <c r="IJ66" s="1009"/>
      <c r="IK66" s="1009"/>
      <c r="IL66" s="1009"/>
      <c r="IM66" s="1009"/>
      <c r="IN66" s="1009"/>
      <c r="IO66" s="1009"/>
      <c r="IP66" s="1009"/>
      <c r="IQ66" s="1009"/>
      <c r="IR66" s="1009"/>
      <c r="IS66" s="1009"/>
      <c r="IT66" s="1009"/>
      <c r="IU66" s="1009"/>
      <c r="IV66" s="1009"/>
      <c r="IW66" s="1009"/>
      <c r="IX66" s="1009"/>
      <c r="IY66" s="1009"/>
      <c r="IZ66" s="1009"/>
      <c r="JA66" s="1009"/>
      <c r="JB66" s="1009"/>
      <c r="JC66" s="1009"/>
      <c r="JD66" s="1009"/>
      <c r="JE66" s="1009"/>
      <c r="JF66" s="1009"/>
      <c r="JG66" s="1009"/>
      <c r="JH66" s="1009"/>
      <c r="JI66" s="1009"/>
      <c r="JJ66" s="1009"/>
      <c r="JK66" s="1009"/>
      <c r="JL66" s="1009"/>
      <c r="JM66" s="1009"/>
      <c r="JN66" s="1009"/>
      <c r="JO66" s="1009"/>
      <c r="JP66" s="1009"/>
      <c r="JQ66" s="1009"/>
      <c r="JR66" s="1009"/>
      <c r="JS66" s="1009"/>
      <c r="JT66" s="1009"/>
      <c r="JU66" s="1009"/>
      <c r="JV66" s="1009"/>
      <c r="JW66" s="1009"/>
      <c r="JX66" s="1009"/>
      <c r="JY66" s="1009"/>
      <c r="JZ66" s="1009"/>
      <c r="KA66" s="1009"/>
      <c r="KB66" s="1009"/>
      <c r="KC66" s="1009"/>
      <c r="KD66" s="1009"/>
      <c r="KE66" s="1009"/>
      <c r="KF66" s="1009"/>
      <c r="KG66" s="1009"/>
      <c r="KH66" s="1009"/>
      <c r="KI66" s="1009"/>
      <c r="KJ66" s="1009"/>
      <c r="KK66" s="1009"/>
      <c r="KL66" s="1009"/>
      <c r="KM66" s="1009"/>
      <c r="KN66" s="1009"/>
      <c r="KO66" s="1009"/>
      <c r="KP66" s="1009"/>
      <c r="KQ66" s="1009"/>
      <c r="KR66" s="1009"/>
      <c r="KS66" s="1009"/>
      <c r="KT66" s="1009"/>
      <c r="KU66" s="1009"/>
      <c r="KV66" s="1009"/>
      <c r="KW66" s="1009"/>
      <c r="KX66" s="1009"/>
      <c r="KY66" s="1009"/>
      <c r="KZ66" s="1009"/>
      <c r="LA66" s="1009"/>
      <c r="LB66" s="1009"/>
      <c r="LC66" s="1009"/>
      <c r="LD66" s="1009"/>
      <c r="LE66" s="1009"/>
      <c r="LF66" s="1009"/>
      <c r="LG66" s="1009"/>
      <c r="LH66" s="1009"/>
      <c r="LI66" s="1009"/>
      <c r="LJ66" s="1009"/>
      <c r="LK66" s="1009"/>
      <c r="LL66" s="1009"/>
      <c r="LM66" s="1009"/>
      <c r="LN66" s="1009"/>
      <c r="LO66" s="1009"/>
      <c r="LP66" s="1009"/>
      <c r="LQ66" s="1009"/>
      <c r="LR66" s="1009"/>
      <c r="LS66" s="1009"/>
      <c r="LT66" s="1009"/>
      <c r="LU66" s="1009"/>
      <c r="LV66" s="1009"/>
      <c r="LW66" s="1009"/>
      <c r="LX66" s="1009"/>
      <c r="LY66" s="1009"/>
      <c r="LZ66" s="1009"/>
      <c r="MA66" s="1009"/>
      <c r="MB66" s="1009"/>
      <c r="MC66" s="1009"/>
      <c r="MD66" s="1009"/>
      <c r="ME66" s="1009"/>
      <c r="MF66" s="1009"/>
      <c r="MG66" s="1009"/>
      <c r="MH66" s="1009"/>
      <c r="MI66" s="1009"/>
      <c r="MJ66" s="1009"/>
      <c r="MK66" s="1009"/>
      <c r="ML66" s="1009"/>
      <c r="MM66" s="1009"/>
      <c r="MN66" s="1009"/>
      <c r="MO66" s="1009"/>
      <c r="MP66" s="1009"/>
      <c r="MQ66" s="1009"/>
      <c r="MR66" s="1009"/>
      <c r="MS66" s="1009"/>
      <c r="MT66" s="1009"/>
      <c r="MU66" s="1009"/>
      <c r="MV66" s="1009"/>
      <c r="MW66" s="1009"/>
      <c r="MX66" s="1009"/>
      <c r="MY66" s="1009"/>
      <c r="MZ66" s="1009"/>
      <c r="NA66" s="1009"/>
      <c r="NB66" s="1009"/>
      <c r="NC66" s="1009"/>
      <c r="ND66" s="1009"/>
      <c r="NE66" s="1009"/>
      <c r="NF66" s="1009"/>
      <c r="NG66" s="1009"/>
      <c r="NH66" s="1009"/>
      <c r="NI66" s="1009"/>
      <c r="NJ66" s="1009"/>
      <c r="NK66" s="1009"/>
      <c r="NL66" s="1009"/>
      <c r="NM66" s="1009"/>
      <c r="NN66" s="1009"/>
      <c r="NO66" s="1009"/>
      <c r="NP66" s="1009"/>
      <c r="NQ66" s="1009"/>
      <c r="NR66" s="1009"/>
      <c r="NS66" s="1009"/>
      <c r="NT66" s="1009"/>
      <c r="NU66" s="1009"/>
      <c r="NV66" s="1009"/>
      <c r="NW66" s="1009"/>
      <c r="NX66" s="1009"/>
      <c r="NY66" s="1009"/>
      <c r="NZ66" s="1009"/>
      <c r="OA66" s="1009"/>
      <c r="OB66" s="1009"/>
      <c r="OC66" s="1009"/>
      <c r="OD66" s="1009"/>
      <c r="OE66" s="1009"/>
      <c r="OF66" s="1009"/>
      <c r="OG66" s="1009"/>
      <c r="OH66" s="1009"/>
      <c r="OI66" s="1009"/>
      <c r="OJ66" s="1009"/>
      <c r="OK66" s="1009"/>
      <c r="OL66" s="1009"/>
      <c r="OM66" s="1009"/>
      <c r="ON66" s="1009"/>
      <c r="OO66" s="1009"/>
      <c r="OP66" s="1009"/>
      <c r="OQ66" s="1009"/>
      <c r="OR66" s="1009"/>
      <c r="OS66" s="1009"/>
      <c r="OT66" s="1009"/>
      <c r="OU66" s="1009"/>
      <c r="OV66" s="1009"/>
      <c r="OW66" s="1009"/>
      <c r="OX66" s="1009"/>
      <c r="OY66" s="1009"/>
      <c r="OZ66" s="1009"/>
      <c r="PA66" s="1009"/>
      <c r="PB66" s="1009"/>
      <c r="PC66" s="1009"/>
      <c r="PD66" s="1009"/>
      <c r="PE66" s="1009"/>
      <c r="PF66" s="1009"/>
      <c r="PG66" s="1009"/>
      <c r="PH66" s="1009"/>
      <c r="PI66" s="1009"/>
      <c r="PJ66" s="1009"/>
      <c r="PK66" s="1009"/>
      <c r="PL66" s="1009"/>
      <c r="PM66" s="1009"/>
      <c r="PN66" s="1009"/>
      <c r="PO66" s="1009"/>
      <c r="PP66" s="1009"/>
      <c r="PQ66" s="1009"/>
      <c r="PR66" s="1009"/>
      <c r="PS66" s="1009"/>
      <c r="PT66" s="1009"/>
      <c r="PU66" s="1009"/>
      <c r="PV66" s="1009"/>
      <c r="PW66" s="1009"/>
      <c r="PX66" s="1009"/>
      <c r="PY66" s="1009"/>
      <c r="PZ66" s="1009"/>
      <c r="QA66" s="1009"/>
      <c r="QB66" s="1009"/>
      <c r="QC66" s="1009"/>
      <c r="QD66" s="1009"/>
      <c r="QE66" s="1009"/>
      <c r="QF66" s="1009"/>
      <c r="QG66" s="1009"/>
      <c r="QH66" s="1009"/>
      <c r="QI66" s="1009"/>
      <c r="QJ66" s="1009"/>
      <c r="QK66" s="1009"/>
      <c r="QL66" s="1009"/>
      <c r="QM66" s="1009"/>
      <c r="QN66" s="1009"/>
      <c r="QO66" s="1009"/>
      <c r="QP66" s="1009"/>
      <c r="QQ66" s="1009"/>
      <c r="QR66" s="1009"/>
      <c r="QS66" s="1009"/>
      <c r="QT66" s="1009"/>
      <c r="QU66" s="1009"/>
      <c r="QV66" s="1009"/>
      <c r="QW66" s="1009"/>
      <c r="QX66" s="1009"/>
      <c r="QY66" s="1009"/>
      <c r="QZ66" s="1009"/>
      <c r="RA66" s="1009"/>
      <c r="RB66" s="1009"/>
      <c r="RC66" s="1009"/>
      <c r="RD66" s="1009"/>
      <c r="RE66" s="1009"/>
      <c r="RF66" s="1009"/>
      <c r="RG66" s="1009"/>
      <c r="RH66" s="1009"/>
      <c r="RI66" s="1009"/>
      <c r="RJ66" s="1009"/>
      <c r="RK66" s="1009"/>
      <c r="RL66" s="1009"/>
      <c r="RM66" s="1009"/>
      <c r="RN66" s="1009"/>
      <c r="RO66" s="1009"/>
      <c r="RP66" s="1009"/>
      <c r="RQ66" s="1009"/>
      <c r="RR66" s="1009"/>
      <c r="RS66" s="1009"/>
      <c r="RT66" s="1009"/>
      <c r="RU66" s="1009"/>
      <c r="RV66" s="1009"/>
      <c r="RW66" s="1009"/>
      <c r="RX66" s="1009"/>
      <c r="RY66" s="1009"/>
      <c r="RZ66" s="1009"/>
      <c r="SA66" s="1009"/>
      <c r="SB66" s="1009"/>
      <c r="SC66" s="1009"/>
      <c r="SD66" s="1009"/>
      <c r="SE66" s="1009"/>
      <c r="SF66" s="1009"/>
      <c r="SG66" s="1009"/>
      <c r="SH66" s="1009"/>
      <c r="SI66" s="1009"/>
      <c r="SJ66" s="1009"/>
      <c r="SK66" s="1009"/>
      <c r="SL66" s="1009"/>
      <c r="SM66" s="1009"/>
      <c r="SN66" s="1009"/>
      <c r="SO66" s="1009"/>
      <c r="SP66" s="1009"/>
      <c r="SQ66" s="1009"/>
      <c r="SR66" s="1009"/>
      <c r="SS66" s="1009"/>
      <c r="ST66" s="1009"/>
      <c r="SU66" s="1009"/>
      <c r="SV66" s="1009"/>
      <c r="SW66" s="1009"/>
      <c r="SX66" s="1009"/>
      <c r="SY66" s="1009"/>
      <c r="SZ66" s="1009"/>
      <c r="TA66" s="1009"/>
      <c r="TB66" s="1009"/>
      <c r="TC66" s="1009"/>
      <c r="TD66" s="1009"/>
      <c r="TE66" s="1009"/>
      <c r="TF66" s="1009"/>
      <c r="TG66" s="1009"/>
      <c r="TH66" s="1009"/>
      <c r="TI66" s="1009"/>
      <c r="TJ66" s="1009"/>
      <c r="TK66" s="1009"/>
      <c r="TL66" s="1009"/>
      <c r="TM66" s="1009"/>
      <c r="TN66" s="1009"/>
      <c r="TO66" s="1009"/>
      <c r="TP66" s="1009"/>
      <c r="TQ66" s="1009"/>
      <c r="TR66" s="1009"/>
      <c r="TS66" s="1009"/>
      <c r="TT66" s="1009"/>
      <c r="TU66" s="1009"/>
      <c r="TV66" s="1009"/>
      <c r="TW66" s="1009"/>
      <c r="TX66" s="1009"/>
      <c r="TY66" s="1009"/>
      <c r="TZ66" s="1009"/>
      <c r="UA66" s="1009"/>
      <c r="UB66" s="1009"/>
      <c r="UC66" s="1009"/>
      <c r="UD66" s="1009"/>
      <c r="UE66" s="1009"/>
      <c r="UF66" s="1009"/>
      <c r="UG66" s="1009"/>
      <c r="UH66" s="1009"/>
      <c r="UI66" s="1009"/>
      <c r="UJ66" s="1009"/>
      <c r="UK66" s="1009"/>
      <c r="UL66" s="1009"/>
      <c r="UM66" s="1009"/>
      <c r="UN66" s="1009"/>
      <c r="UO66" s="1009"/>
      <c r="UP66" s="1009"/>
      <c r="UQ66" s="1009"/>
      <c r="UR66" s="1009"/>
      <c r="US66" s="1009"/>
      <c r="UT66" s="1009"/>
      <c r="UU66" s="1009"/>
      <c r="UV66" s="1009"/>
      <c r="UW66" s="1009"/>
      <c r="UX66" s="1009"/>
      <c r="UY66" s="1009"/>
      <c r="UZ66" s="1009"/>
      <c r="VA66" s="1009"/>
      <c r="VB66" s="1009"/>
      <c r="VC66" s="1009"/>
      <c r="VD66" s="1009"/>
      <c r="VE66" s="1009"/>
      <c r="VF66" s="1009"/>
      <c r="VG66" s="1009"/>
      <c r="VH66" s="1009"/>
      <c r="VI66" s="1009"/>
      <c r="VJ66" s="1009"/>
      <c r="VK66" s="1009"/>
      <c r="VL66" s="1009"/>
      <c r="VM66" s="1009"/>
      <c r="VN66" s="1009"/>
      <c r="VO66" s="1009"/>
      <c r="VP66" s="1009"/>
      <c r="VQ66" s="1009"/>
      <c r="VR66" s="1009"/>
      <c r="VS66" s="1009"/>
      <c r="VT66" s="1009"/>
      <c r="VU66" s="1009"/>
      <c r="VV66" s="1009"/>
      <c r="VW66" s="1009"/>
      <c r="VX66" s="1009"/>
      <c r="VY66" s="1009"/>
      <c r="VZ66" s="1009"/>
      <c r="WA66" s="1009"/>
      <c r="WB66" s="1009"/>
      <c r="WC66" s="1009"/>
      <c r="WD66" s="1009"/>
      <c r="WE66" s="1009"/>
      <c r="WF66" s="1009"/>
      <c r="WG66" s="1009"/>
      <c r="WH66" s="1009"/>
      <c r="WI66" s="1009"/>
      <c r="WJ66" s="1009"/>
      <c r="WK66" s="1009"/>
      <c r="WL66" s="1009"/>
      <c r="WM66" s="1009"/>
      <c r="WN66" s="1009"/>
      <c r="WO66" s="1009"/>
      <c r="WP66" s="1009"/>
      <c r="WQ66" s="1009"/>
      <c r="WR66" s="1009"/>
      <c r="WS66" s="1009"/>
      <c r="WT66" s="1009"/>
      <c r="WU66" s="1009"/>
      <c r="WV66" s="1009"/>
      <c r="WW66" s="1009"/>
      <c r="WX66" s="1009"/>
      <c r="WY66" s="1009"/>
      <c r="WZ66" s="1009"/>
      <c r="XA66" s="1009"/>
      <c r="XB66" s="1009"/>
      <c r="XC66" s="1009"/>
      <c r="XD66" s="1009"/>
      <c r="XE66" s="1009"/>
      <c r="XF66" s="1009"/>
      <c r="XG66" s="1009"/>
      <c r="XH66" s="1009"/>
      <c r="XI66" s="1009"/>
      <c r="XJ66" s="1009"/>
      <c r="XK66" s="1009"/>
      <c r="XL66" s="1009"/>
      <c r="XM66" s="1009"/>
      <c r="XN66" s="1009"/>
      <c r="XO66" s="1009"/>
      <c r="XP66" s="1009"/>
      <c r="XQ66" s="1009"/>
      <c r="XR66" s="1009"/>
      <c r="XS66" s="1009"/>
      <c r="XT66" s="1009"/>
      <c r="XU66" s="1009"/>
      <c r="XV66" s="1009"/>
      <c r="XW66" s="1009"/>
      <c r="XX66" s="1009"/>
      <c r="XY66" s="1009"/>
      <c r="XZ66" s="1009"/>
      <c r="YA66" s="1009"/>
      <c r="YB66" s="1009"/>
      <c r="YC66" s="1009"/>
      <c r="YD66" s="1009"/>
      <c r="YE66" s="1009"/>
      <c r="YF66" s="1009"/>
      <c r="YG66" s="1009"/>
      <c r="YH66" s="1009"/>
      <c r="YI66" s="1009"/>
      <c r="YJ66" s="1009"/>
      <c r="YK66" s="1009"/>
      <c r="YL66" s="1009"/>
      <c r="YM66" s="1009"/>
      <c r="YN66" s="1009"/>
      <c r="YO66" s="1009"/>
      <c r="YP66" s="1009"/>
      <c r="YQ66" s="1009"/>
      <c r="YR66" s="1009"/>
      <c r="YS66" s="1009"/>
      <c r="YT66" s="1009"/>
      <c r="YU66" s="1009"/>
      <c r="YV66" s="1009"/>
      <c r="YW66" s="1009"/>
      <c r="YX66" s="1009"/>
      <c r="YY66" s="1009"/>
      <c r="YZ66" s="1009"/>
      <c r="ZA66" s="1009"/>
      <c r="ZB66" s="1009"/>
      <c r="ZC66" s="1009"/>
      <c r="ZD66" s="1009"/>
      <c r="ZE66" s="1009"/>
      <c r="ZF66" s="1009"/>
      <c r="ZG66" s="1009"/>
      <c r="ZH66" s="1009"/>
      <c r="ZI66" s="1009"/>
      <c r="ZJ66" s="1009"/>
      <c r="ZK66" s="1009"/>
      <c r="ZL66" s="1009"/>
      <c r="ZM66" s="1009"/>
      <c r="ZN66" s="1009"/>
      <c r="ZO66" s="1009"/>
      <c r="ZP66" s="1009"/>
      <c r="ZQ66" s="1009"/>
      <c r="ZR66" s="1009"/>
      <c r="ZS66" s="1009"/>
      <c r="ZT66" s="1009"/>
      <c r="ZU66" s="1009"/>
      <c r="ZV66" s="1009"/>
      <c r="ZW66" s="1009"/>
      <c r="ZX66" s="1009"/>
      <c r="ZY66" s="1009"/>
      <c r="ZZ66" s="1009"/>
      <c r="AAA66" s="1009"/>
      <c r="AAB66" s="1009"/>
      <c r="AAC66" s="1009"/>
      <c r="AAD66" s="1009"/>
      <c r="AAE66" s="1009"/>
      <c r="AAF66" s="1009"/>
      <c r="AAG66" s="1009"/>
      <c r="AAH66" s="1009"/>
      <c r="AAI66" s="1009"/>
      <c r="AAJ66" s="1009"/>
      <c r="AAK66" s="1009"/>
      <c r="AAL66" s="1009"/>
      <c r="AAM66" s="1009"/>
      <c r="AAN66" s="1009"/>
      <c r="AAO66" s="1009"/>
      <c r="AAP66" s="1009"/>
      <c r="AAQ66" s="1009"/>
      <c r="AAR66" s="1009"/>
      <c r="AAS66" s="1009"/>
      <c r="AAT66" s="1009"/>
      <c r="AAU66" s="1009"/>
      <c r="AAV66" s="1009"/>
      <c r="AAW66" s="1009"/>
      <c r="AAX66" s="1009"/>
      <c r="AAY66" s="1009"/>
      <c r="AAZ66" s="1009"/>
      <c r="ABA66" s="1009"/>
      <c r="ABB66" s="1009"/>
      <c r="ABC66" s="1009"/>
      <c r="ABD66" s="1009"/>
      <c r="ABE66" s="1009"/>
      <c r="ABF66" s="1009"/>
      <c r="ABG66" s="1009"/>
      <c r="ABH66" s="1009"/>
      <c r="ABI66" s="1009"/>
      <c r="ABJ66" s="1009"/>
      <c r="ABK66" s="1009"/>
      <c r="ABL66" s="1009"/>
      <c r="ABM66" s="1009"/>
      <c r="ABN66" s="1009"/>
      <c r="ABO66" s="1009"/>
      <c r="ABP66" s="1009"/>
      <c r="ABQ66" s="1009"/>
      <c r="ABR66" s="1009"/>
    </row>
    <row r="67" spans="1:746" s="112" customFormat="1" ht="12" customHeight="1">
      <c r="A67" s="926"/>
      <c r="B67" s="2929" t="s">
        <v>342</v>
      </c>
      <c r="C67" s="2930"/>
      <c r="D67" s="2930"/>
      <c r="E67" s="2930"/>
      <c r="F67" s="2930"/>
      <c r="G67" s="2930"/>
      <c r="H67" s="22"/>
      <c r="I67" s="1966"/>
      <c r="J67" s="368"/>
      <c r="K67" s="368"/>
      <c r="L67" s="368"/>
      <c r="M67" s="368"/>
      <c r="N67" s="368"/>
      <c r="O67" s="368"/>
      <c r="P67" s="368"/>
      <c r="Q67" s="368"/>
      <c r="R67" s="368"/>
      <c r="S67" s="368"/>
      <c r="T67" s="368"/>
      <c r="U67" s="98"/>
      <c r="V67" s="98"/>
      <c r="W67" s="98"/>
      <c r="X67" s="98"/>
      <c r="Y67" s="98"/>
      <c r="Z67" s="98"/>
      <c r="AA67" s="98"/>
      <c r="AB67" s="98"/>
      <c r="AC67" s="98"/>
      <c r="AD67" s="98"/>
      <c r="AE67" s="98"/>
      <c r="AF67" s="98"/>
      <c r="AG67" s="2203"/>
      <c r="AH67" s="96"/>
      <c r="AI67" s="96"/>
      <c r="AJ67" s="424">
        <f>IF(fx!$C$57=1,SUMIF(fx!I$57:T$57,1,I67:T67),IF(fx!$C$57=2,SUMIF(fx!O$57:AF$57,1,O67:AF67)))</f>
        <v>0</v>
      </c>
      <c r="AK67" s="413"/>
      <c r="AL67" s="425">
        <f>IF(fx!$C$57=1,SUM(U67:AF67),0)</f>
        <v>0</v>
      </c>
      <c r="AM67" s="1005"/>
      <c r="AN67" s="1005"/>
      <c r="AO67" s="1945"/>
      <c r="AP67" s="1935"/>
      <c r="AQ67" s="1936"/>
      <c r="AR67" s="1941"/>
      <c r="AS67" s="1941"/>
      <c r="AT67" s="1941"/>
      <c r="AU67" s="1941"/>
      <c r="AV67" s="1941"/>
      <c r="AW67" s="1941"/>
      <c r="AX67" s="1941"/>
      <c r="AY67" s="1941"/>
      <c r="AZ67" s="1941"/>
      <c r="BA67" s="1941"/>
      <c r="BB67" s="1941"/>
      <c r="BC67" s="1941"/>
      <c r="BD67" s="1941"/>
      <c r="BE67" s="1941"/>
      <c r="BF67" s="1941"/>
      <c r="BG67" s="1941"/>
      <c r="BH67" s="1941"/>
      <c r="BI67" s="1941"/>
      <c r="BJ67" s="1941"/>
      <c r="BK67" s="1941"/>
      <c r="BL67" s="1941"/>
      <c r="BM67" s="1941"/>
      <c r="BN67" s="1941"/>
      <c r="BO67" s="1941"/>
      <c r="BP67" s="1004"/>
      <c r="BQ67" s="1004"/>
      <c r="BR67" s="1004"/>
      <c r="BS67" s="1004"/>
      <c r="BT67" s="1004"/>
      <c r="BU67" s="1004"/>
      <c r="BV67" s="1004"/>
      <c r="BW67" s="1004"/>
      <c r="BX67" s="1004"/>
      <c r="BY67" s="1004"/>
      <c r="BZ67" s="1004"/>
      <c r="CA67" s="1004"/>
      <c r="CB67" s="1004"/>
      <c r="CC67" s="1004"/>
      <c r="CD67" s="1004"/>
      <c r="CE67" s="1004"/>
      <c r="CF67" s="1004"/>
      <c r="CG67" s="1004"/>
      <c r="CH67" s="1004"/>
      <c r="CI67" s="1004"/>
      <c r="CJ67" s="1004"/>
      <c r="CK67" s="1004"/>
      <c r="CL67" s="1004"/>
      <c r="CM67" s="1004"/>
      <c r="CN67" s="1004"/>
      <c r="CO67" s="1004"/>
      <c r="CP67" s="1004"/>
      <c r="CQ67" s="1004"/>
      <c r="CR67" s="1004"/>
      <c r="CS67" s="1004"/>
      <c r="CT67" s="1004"/>
      <c r="CU67" s="1004"/>
      <c r="CV67" s="1004"/>
      <c r="CW67" s="1004"/>
      <c r="CX67" s="1004"/>
      <c r="CY67" s="1004"/>
      <c r="CZ67" s="1004"/>
      <c r="DA67" s="1004"/>
      <c r="DB67" s="1004"/>
      <c r="DC67" s="1004"/>
      <c r="DD67" s="1004"/>
      <c r="DE67" s="1004"/>
      <c r="DF67" s="1004"/>
      <c r="DG67" s="1004"/>
      <c r="DH67" s="1004"/>
      <c r="DI67" s="1004"/>
      <c r="DJ67" s="1004"/>
      <c r="DK67" s="1004"/>
      <c r="DL67" s="1004"/>
      <c r="DM67" s="1004"/>
      <c r="DN67" s="1004"/>
      <c r="DO67" s="1004"/>
      <c r="DP67" s="1004"/>
      <c r="DQ67" s="1004"/>
      <c r="DR67" s="1004"/>
      <c r="DS67" s="1004"/>
      <c r="DT67" s="1004"/>
      <c r="DU67" s="1004"/>
      <c r="DV67" s="1004"/>
      <c r="DW67" s="1004"/>
      <c r="DX67" s="1004"/>
      <c r="DY67" s="1004"/>
      <c r="DZ67" s="1004"/>
      <c r="EA67" s="1004"/>
      <c r="EB67" s="1004"/>
      <c r="EC67" s="1004"/>
      <c r="ED67" s="1004"/>
      <c r="EE67" s="1004"/>
      <c r="EF67" s="1004"/>
      <c r="EG67" s="1004"/>
      <c r="EH67" s="1004"/>
      <c r="EI67" s="1004"/>
      <c r="EJ67" s="1004"/>
      <c r="EK67" s="1004"/>
      <c r="EL67" s="1004"/>
      <c r="EM67" s="1004"/>
      <c r="EN67" s="1004"/>
      <c r="EO67" s="1004"/>
      <c r="EP67" s="1004"/>
      <c r="EQ67" s="1004"/>
      <c r="ER67" s="1004"/>
      <c r="ES67" s="1004"/>
      <c r="ET67" s="1004"/>
      <c r="EU67" s="1004"/>
      <c r="EV67" s="1004"/>
      <c r="EW67" s="1004"/>
      <c r="EX67" s="1004"/>
      <c r="EY67" s="1004"/>
      <c r="EZ67" s="1004"/>
      <c r="FA67" s="1004"/>
      <c r="FB67" s="1004"/>
      <c r="FC67" s="1004"/>
      <c r="FD67" s="1004"/>
      <c r="FE67" s="1004"/>
      <c r="FF67" s="1004"/>
      <c r="FG67" s="1004"/>
      <c r="FH67" s="1004"/>
      <c r="FI67" s="1004"/>
      <c r="FJ67" s="1004"/>
      <c r="FK67" s="1004"/>
      <c r="FL67" s="1004"/>
      <c r="FM67" s="1004"/>
      <c r="FN67" s="1004"/>
      <c r="FO67" s="1004"/>
      <c r="FP67" s="1004"/>
      <c r="FQ67" s="1004"/>
      <c r="FR67" s="1004"/>
      <c r="FS67" s="1004"/>
      <c r="FT67" s="1004"/>
      <c r="FU67" s="1004"/>
      <c r="FV67" s="1004"/>
      <c r="FW67" s="1004"/>
      <c r="FX67" s="1004"/>
      <c r="FY67" s="1004"/>
      <c r="FZ67" s="1004"/>
      <c r="GA67" s="1004"/>
      <c r="GB67" s="1004"/>
      <c r="GC67" s="1004"/>
      <c r="GD67" s="1004"/>
      <c r="GE67" s="1004"/>
      <c r="GF67" s="1004"/>
      <c r="GG67" s="1004"/>
      <c r="GH67" s="1004"/>
      <c r="GI67" s="1004"/>
      <c r="GJ67" s="1004"/>
      <c r="GK67" s="1004"/>
      <c r="GL67" s="1004"/>
      <c r="GM67" s="1004"/>
      <c r="GN67" s="1004"/>
      <c r="GO67" s="1004"/>
      <c r="GP67" s="1004"/>
      <c r="GQ67" s="1004"/>
      <c r="GR67" s="1004"/>
      <c r="GS67" s="1004"/>
      <c r="GT67" s="1004"/>
      <c r="GU67" s="1004"/>
      <c r="GV67" s="1004"/>
      <c r="GW67" s="1004"/>
      <c r="GX67" s="1004"/>
      <c r="GY67" s="1004"/>
      <c r="GZ67" s="1004"/>
      <c r="HA67" s="1004"/>
      <c r="HB67" s="1004"/>
      <c r="HC67" s="1004"/>
      <c r="HD67" s="1004"/>
      <c r="HE67" s="1004"/>
      <c r="HF67" s="1004"/>
      <c r="HG67" s="1004"/>
      <c r="HH67" s="1004"/>
      <c r="HI67" s="1004"/>
      <c r="HJ67" s="1004"/>
      <c r="HK67" s="1004"/>
      <c r="HL67" s="1004"/>
      <c r="HM67" s="1004"/>
      <c r="HN67" s="1004"/>
      <c r="HO67" s="1004"/>
      <c r="HP67" s="1004"/>
      <c r="HQ67" s="1004"/>
      <c r="HR67" s="1004"/>
      <c r="HS67" s="1004"/>
      <c r="HT67" s="1004"/>
      <c r="HU67" s="1004"/>
      <c r="HV67" s="1004"/>
      <c r="HW67" s="1004"/>
      <c r="HX67" s="1004"/>
      <c r="HY67" s="1004"/>
      <c r="HZ67" s="1004"/>
      <c r="IA67" s="1004"/>
      <c r="IB67" s="1004"/>
      <c r="IC67" s="1004"/>
      <c r="ID67" s="1004"/>
      <c r="IE67" s="1004"/>
      <c r="IF67" s="1004"/>
      <c r="IG67" s="1004"/>
      <c r="IH67" s="1004"/>
      <c r="II67" s="1004"/>
      <c r="IJ67" s="1004"/>
      <c r="IK67" s="1004"/>
      <c r="IL67" s="1004"/>
      <c r="IM67" s="1004"/>
      <c r="IN67" s="1004"/>
      <c r="IO67" s="1004"/>
      <c r="IP67" s="1004"/>
      <c r="IQ67" s="1004"/>
      <c r="IR67" s="1004"/>
      <c r="IS67" s="1004"/>
      <c r="IT67" s="1004"/>
      <c r="IU67" s="1004"/>
      <c r="IV67" s="1004"/>
      <c r="IW67" s="1004"/>
      <c r="IX67" s="1004"/>
      <c r="IY67" s="1004"/>
      <c r="IZ67" s="1004"/>
      <c r="JA67" s="1004"/>
      <c r="JB67" s="1004"/>
      <c r="JC67" s="1004"/>
      <c r="JD67" s="1004"/>
      <c r="JE67" s="1004"/>
      <c r="JF67" s="1004"/>
      <c r="JG67" s="1004"/>
      <c r="JH67" s="1004"/>
      <c r="JI67" s="1004"/>
      <c r="JJ67" s="1004"/>
      <c r="JK67" s="1004"/>
      <c r="JL67" s="1004"/>
      <c r="JM67" s="1004"/>
      <c r="JN67" s="1004"/>
      <c r="JO67" s="1004"/>
      <c r="JP67" s="1004"/>
      <c r="JQ67" s="1004"/>
      <c r="JR67" s="1004"/>
      <c r="JS67" s="1004"/>
      <c r="JT67" s="1004"/>
      <c r="JU67" s="1004"/>
      <c r="JV67" s="1004"/>
      <c r="JW67" s="1004"/>
      <c r="JX67" s="1004"/>
      <c r="JY67" s="1004"/>
      <c r="JZ67" s="1004"/>
      <c r="KA67" s="1004"/>
      <c r="KB67" s="1004"/>
      <c r="KC67" s="1004"/>
      <c r="KD67" s="1004"/>
      <c r="KE67" s="1004"/>
      <c r="KF67" s="1004"/>
      <c r="KG67" s="1004"/>
      <c r="KH67" s="1004"/>
      <c r="KI67" s="1004"/>
      <c r="KJ67" s="1004"/>
      <c r="KK67" s="1004"/>
      <c r="KL67" s="1004"/>
      <c r="KM67" s="1004"/>
      <c r="KN67" s="1004"/>
      <c r="KO67" s="1004"/>
      <c r="KP67" s="1004"/>
      <c r="KQ67" s="1004"/>
      <c r="KR67" s="1004"/>
      <c r="KS67" s="1004"/>
      <c r="KT67" s="1004"/>
      <c r="KU67" s="1004"/>
      <c r="KV67" s="1004"/>
      <c r="KW67" s="1004"/>
      <c r="KX67" s="1004"/>
      <c r="KY67" s="1004"/>
      <c r="KZ67" s="1004"/>
      <c r="LA67" s="1004"/>
      <c r="LB67" s="1004"/>
      <c r="LC67" s="1004"/>
      <c r="LD67" s="1004"/>
      <c r="LE67" s="1004"/>
      <c r="LF67" s="1004"/>
      <c r="LG67" s="1004"/>
      <c r="LH67" s="1004"/>
      <c r="LI67" s="1004"/>
      <c r="LJ67" s="1004"/>
      <c r="LK67" s="1004"/>
      <c r="LL67" s="1004"/>
      <c r="LM67" s="1004"/>
      <c r="LN67" s="1004"/>
      <c r="LO67" s="1004"/>
      <c r="LP67" s="1004"/>
      <c r="LQ67" s="1004"/>
      <c r="LR67" s="1004"/>
      <c r="LS67" s="1004"/>
      <c r="LT67" s="1004"/>
      <c r="LU67" s="1004"/>
      <c r="LV67" s="1004"/>
      <c r="LW67" s="1004"/>
      <c r="LX67" s="1004"/>
      <c r="LY67" s="1004"/>
      <c r="LZ67" s="1004"/>
      <c r="MA67" s="1004"/>
      <c r="MB67" s="1004"/>
      <c r="MC67" s="1004"/>
      <c r="MD67" s="1004"/>
      <c r="ME67" s="1004"/>
      <c r="MF67" s="1004"/>
      <c r="MG67" s="1004"/>
      <c r="MH67" s="1004"/>
      <c r="MI67" s="1004"/>
      <c r="MJ67" s="1004"/>
      <c r="MK67" s="1004"/>
      <c r="ML67" s="1004"/>
      <c r="MM67" s="1004"/>
      <c r="MN67" s="1004"/>
      <c r="MO67" s="1004"/>
      <c r="MP67" s="1004"/>
      <c r="MQ67" s="1004"/>
      <c r="MR67" s="1004"/>
      <c r="MS67" s="1004"/>
      <c r="MT67" s="1004"/>
      <c r="MU67" s="1004"/>
      <c r="MV67" s="1004"/>
      <c r="MW67" s="1004"/>
      <c r="MX67" s="1004"/>
      <c r="MY67" s="1004"/>
      <c r="MZ67" s="1004"/>
      <c r="NA67" s="1004"/>
      <c r="NB67" s="1004"/>
      <c r="NC67" s="1004"/>
      <c r="ND67" s="1004"/>
      <c r="NE67" s="1004"/>
      <c r="NF67" s="1004"/>
      <c r="NG67" s="1004"/>
      <c r="NH67" s="1004"/>
      <c r="NI67" s="1004"/>
      <c r="NJ67" s="1004"/>
      <c r="NK67" s="1004"/>
      <c r="NL67" s="1004"/>
      <c r="NM67" s="1004"/>
      <c r="NN67" s="1004"/>
      <c r="NO67" s="1004"/>
      <c r="NP67" s="1004"/>
      <c r="NQ67" s="1004"/>
      <c r="NR67" s="1004"/>
      <c r="NS67" s="1004"/>
      <c r="NT67" s="1004"/>
      <c r="NU67" s="1004"/>
      <c r="NV67" s="1004"/>
      <c r="NW67" s="1004"/>
      <c r="NX67" s="1004"/>
      <c r="NY67" s="1004"/>
      <c r="NZ67" s="1004"/>
      <c r="OA67" s="1004"/>
      <c r="OB67" s="1004"/>
      <c r="OC67" s="1004"/>
      <c r="OD67" s="1004"/>
      <c r="OE67" s="1004"/>
      <c r="OF67" s="1004"/>
      <c r="OG67" s="1004"/>
      <c r="OH67" s="1004"/>
      <c r="OI67" s="1004"/>
      <c r="OJ67" s="1004"/>
      <c r="OK67" s="1004"/>
      <c r="OL67" s="1004"/>
      <c r="OM67" s="1004"/>
      <c r="ON67" s="1004"/>
      <c r="OO67" s="1004"/>
      <c r="OP67" s="1004"/>
      <c r="OQ67" s="1004"/>
      <c r="OR67" s="1004"/>
      <c r="OS67" s="1004"/>
      <c r="OT67" s="1004"/>
      <c r="OU67" s="1004"/>
      <c r="OV67" s="1004"/>
      <c r="OW67" s="1004"/>
      <c r="OX67" s="1004"/>
      <c r="OY67" s="1004"/>
      <c r="OZ67" s="1004"/>
      <c r="PA67" s="1004"/>
      <c r="PB67" s="1004"/>
      <c r="PC67" s="1004"/>
      <c r="PD67" s="1004"/>
      <c r="PE67" s="1004"/>
      <c r="PF67" s="1004"/>
      <c r="PG67" s="1004"/>
      <c r="PH67" s="1004"/>
      <c r="PI67" s="1004"/>
      <c r="PJ67" s="1004"/>
      <c r="PK67" s="1004"/>
      <c r="PL67" s="1004"/>
      <c r="PM67" s="1004"/>
      <c r="PN67" s="1004"/>
      <c r="PO67" s="1004"/>
      <c r="PP67" s="1004"/>
      <c r="PQ67" s="1004"/>
      <c r="PR67" s="1004"/>
      <c r="PS67" s="1004"/>
      <c r="PT67" s="1004"/>
      <c r="PU67" s="1004"/>
      <c r="PV67" s="1004"/>
      <c r="PW67" s="1004"/>
      <c r="PX67" s="1004"/>
      <c r="PY67" s="1004"/>
      <c r="PZ67" s="1004"/>
      <c r="QA67" s="1004"/>
      <c r="QB67" s="1004"/>
      <c r="QC67" s="1004"/>
      <c r="QD67" s="1004"/>
      <c r="QE67" s="1004"/>
      <c r="QF67" s="1004"/>
      <c r="QG67" s="1004"/>
      <c r="QH67" s="1004"/>
      <c r="QI67" s="1004"/>
      <c r="QJ67" s="1004"/>
      <c r="QK67" s="1004"/>
      <c r="QL67" s="1004"/>
      <c r="QM67" s="1004"/>
      <c r="QN67" s="1004"/>
      <c r="QO67" s="1004"/>
      <c r="QP67" s="1004"/>
      <c r="QQ67" s="1004"/>
      <c r="QR67" s="1004"/>
      <c r="QS67" s="1004"/>
      <c r="QT67" s="1004"/>
      <c r="QU67" s="1004"/>
      <c r="QV67" s="1004"/>
      <c r="QW67" s="1004"/>
      <c r="QX67" s="1004"/>
      <c r="QY67" s="1004"/>
      <c r="QZ67" s="1004"/>
      <c r="RA67" s="1004"/>
      <c r="RB67" s="1004"/>
      <c r="RC67" s="1004"/>
      <c r="RD67" s="1004"/>
      <c r="RE67" s="1004"/>
      <c r="RF67" s="1004"/>
      <c r="RG67" s="1004"/>
      <c r="RH67" s="1004"/>
      <c r="RI67" s="1004"/>
      <c r="RJ67" s="1004"/>
      <c r="RK67" s="1004"/>
      <c r="RL67" s="1004"/>
      <c r="RM67" s="1004"/>
      <c r="RN67" s="1004"/>
      <c r="RO67" s="1004"/>
      <c r="RP67" s="1004"/>
      <c r="RQ67" s="1004"/>
      <c r="RR67" s="1004"/>
      <c r="RS67" s="1004"/>
      <c r="RT67" s="1004"/>
      <c r="RU67" s="1004"/>
      <c r="RV67" s="1004"/>
      <c r="RW67" s="1004"/>
      <c r="RX67" s="1004"/>
      <c r="RY67" s="1004"/>
      <c r="RZ67" s="1004"/>
      <c r="SA67" s="1004"/>
      <c r="SB67" s="1004"/>
      <c r="SC67" s="1004"/>
      <c r="SD67" s="1004"/>
      <c r="SE67" s="1004"/>
      <c r="SF67" s="1004"/>
      <c r="SG67" s="1004"/>
      <c r="SH67" s="1004"/>
      <c r="SI67" s="1004"/>
      <c r="SJ67" s="1004"/>
      <c r="SK67" s="1004"/>
      <c r="SL67" s="1004"/>
      <c r="SM67" s="1004"/>
      <c r="SN67" s="1004"/>
      <c r="SO67" s="1004"/>
      <c r="SP67" s="1004"/>
      <c r="SQ67" s="1004"/>
      <c r="SR67" s="1004"/>
      <c r="SS67" s="1004"/>
      <c r="ST67" s="1004"/>
      <c r="SU67" s="1004"/>
      <c r="SV67" s="1004"/>
      <c r="SW67" s="1004"/>
      <c r="SX67" s="1004"/>
      <c r="SY67" s="1004"/>
      <c r="SZ67" s="1004"/>
      <c r="TA67" s="1004"/>
      <c r="TB67" s="1004"/>
      <c r="TC67" s="1004"/>
      <c r="TD67" s="1004"/>
      <c r="TE67" s="1004"/>
      <c r="TF67" s="1004"/>
      <c r="TG67" s="1004"/>
      <c r="TH67" s="1004"/>
      <c r="TI67" s="1004"/>
      <c r="TJ67" s="1004"/>
      <c r="TK67" s="1004"/>
      <c r="TL67" s="1004"/>
      <c r="TM67" s="1004"/>
      <c r="TN67" s="1004"/>
      <c r="TO67" s="1004"/>
      <c r="TP67" s="1004"/>
      <c r="TQ67" s="1004"/>
      <c r="TR67" s="1004"/>
      <c r="TS67" s="1004"/>
      <c r="TT67" s="1004"/>
      <c r="TU67" s="1004"/>
      <c r="TV67" s="1004"/>
      <c r="TW67" s="1004"/>
      <c r="TX67" s="1004"/>
      <c r="TY67" s="1004"/>
      <c r="TZ67" s="1004"/>
      <c r="UA67" s="1004"/>
      <c r="UB67" s="1004"/>
      <c r="UC67" s="1004"/>
      <c r="UD67" s="1004"/>
      <c r="UE67" s="1004"/>
      <c r="UF67" s="1004"/>
      <c r="UG67" s="1004"/>
      <c r="UH67" s="1004"/>
      <c r="UI67" s="1004"/>
      <c r="UJ67" s="1004"/>
      <c r="UK67" s="1004"/>
      <c r="UL67" s="1004"/>
      <c r="UM67" s="1004"/>
      <c r="UN67" s="1004"/>
      <c r="UO67" s="1004"/>
      <c r="UP67" s="1004"/>
      <c r="UQ67" s="1004"/>
      <c r="UR67" s="1004"/>
      <c r="US67" s="1004"/>
      <c r="UT67" s="1004"/>
      <c r="UU67" s="1004"/>
      <c r="UV67" s="1004"/>
      <c r="UW67" s="1004"/>
      <c r="UX67" s="1004"/>
      <c r="UY67" s="1004"/>
      <c r="UZ67" s="1004"/>
      <c r="VA67" s="1004"/>
      <c r="VB67" s="1004"/>
      <c r="VC67" s="1004"/>
      <c r="VD67" s="1004"/>
      <c r="VE67" s="1004"/>
      <c r="VF67" s="1004"/>
      <c r="VG67" s="1004"/>
      <c r="VH67" s="1004"/>
      <c r="VI67" s="1004"/>
      <c r="VJ67" s="1004"/>
      <c r="VK67" s="1004"/>
      <c r="VL67" s="1004"/>
      <c r="VM67" s="1004"/>
      <c r="VN67" s="1004"/>
      <c r="VO67" s="1004"/>
      <c r="VP67" s="1004"/>
      <c r="VQ67" s="1004"/>
      <c r="VR67" s="1004"/>
      <c r="VS67" s="1004"/>
      <c r="VT67" s="1004"/>
      <c r="VU67" s="1004"/>
      <c r="VV67" s="1004"/>
      <c r="VW67" s="1004"/>
      <c r="VX67" s="1004"/>
      <c r="VY67" s="1004"/>
      <c r="VZ67" s="1004"/>
      <c r="WA67" s="1004"/>
      <c r="WB67" s="1004"/>
      <c r="WC67" s="1004"/>
      <c r="WD67" s="1004"/>
      <c r="WE67" s="1004"/>
      <c r="WF67" s="1004"/>
      <c r="WG67" s="1004"/>
      <c r="WH67" s="1004"/>
      <c r="WI67" s="1004"/>
      <c r="WJ67" s="1004"/>
      <c r="WK67" s="1004"/>
      <c r="WL67" s="1004"/>
      <c r="WM67" s="1004"/>
      <c r="WN67" s="1004"/>
      <c r="WO67" s="1004"/>
      <c r="WP67" s="1004"/>
      <c r="WQ67" s="1004"/>
      <c r="WR67" s="1004"/>
      <c r="WS67" s="1004"/>
      <c r="WT67" s="1004"/>
      <c r="WU67" s="1004"/>
      <c r="WV67" s="1004"/>
      <c r="WW67" s="1004"/>
      <c r="WX67" s="1004"/>
      <c r="WY67" s="1004"/>
      <c r="WZ67" s="1004"/>
      <c r="XA67" s="1004"/>
      <c r="XB67" s="1004"/>
      <c r="XC67" s="1004"/>
      <c r="XD67" s="1004"/>
      <c r="XE67" s="1004"/>
      <c r="XF67" s="1004"/>
      <c r="XG67" s="1004"/>
      <c r="XH67" s="1004"/>
      <c r="XI67" s="1004"/>
      <c r="XJ67" s="1004"/>
      <c r="XK67" s="1004"/>
      <c r="XL67" s="1004"/>
      <c r="XM67" s="1004"/>
      <c r="XN67" s="1004"/>
      <c r="XO67" s="1004"/>
      <c r="XP67" s="1004"/>
      <c r="XQ67" s="1004"/>
      <c r="XR67" s="1004"/>
      <c r="XS67" s="1004"/>
      <c r="XT67" s="1004"/>
      <c r="XU67" s="1004"/>
      <c r="XV67" s="1004"/>
      <c r="XW67" s="1004"/>
      <c r="XX67" s="1004"/>
      <c r="XY67" s="1004"/>
      <c r="XZ67" s="1004"/>
      <c r="YA67" s="1004"/>
      <c r="YB67" s="1004"/>
      <c r="YC67" s="1004"/>
      <c r="YD67" s="1004"/>
      <c r="YE67" s="1004"/>
      <c r="YF67" s="1004"/>
      <c r="YG67" s="1004"/>
      <c r="YH67" s="1004"/>
      <c r="YI67" s="1004"/>
      <c r="YJ67" s="1004"/>
      <c r="YK67" s="1004"/>
      <c r="YL67" s="1004"/>
      <c r="YM67" s="1004"/>
      <c r="YN67" s="1004"/>
      <c r="YO67" s="1004"/>
      <c r="YP67" s="1004"/>
      <c r="YQ67" s="1004"/>
      <c r="YR67" s="1004"/>
      <c r="YS67" s="1004"/>
      <c r="YT67" s="1004"/>
      <c r="YU67" s="1004"/>
      <c r="YV67" s="1004"/>
      <c r="YW67" s="1004"/>
      <c r="YX67" s="1004"/>
      <c r="YY67" s="1004"/>
      <c r="YZ67" s="1004"/>
      <c r="ZA67" s="1004"/>
      <c r="ZB67" s="1004"/>
      <c r="ZC67" s="1004"/>
      <c r="ZD67" s="1004"/>
      <c r="ZE67" s="1004"/>
      <c r="ZF67" s="1004"/>
      <c r="ZG67" s="1004"/>
      <c r="ZH67" s="1004"/>
      <c r="ZI67" s="1004"/>
      <c r="ZJ67" s="1004"/>
      <c r="ZK67" s="1004"/>
      <c r="ZL67" s="1004"/>
      <c r="ZM67" s="1004"/>
      <c r="ZN67" s="1004"/>
      <c r="ZO67" s="1004"/>
      <c r="ZP67" s="1004"/>
      <c r="ZQ67" s="1004"/>
      <c r="ZR67" s="1004"/>
      <c r="ZS67" s="1004"/>
      <c r="ZT67" s="1004"/>
      <c r="ZU67" s="1004"/>
      <c r="ZV67" s="1004"/>
      <c r="ZW67" s="1004"/>
      <c r="ZX67" s="1004"/>
      <c r="ZY67" s="1004"/>
      <c r="ZZ67" s="1004"/>
      <c r="AAA67" s="1004"/>
      <c r="AAB67" s="1004"/>
      <c r="AAC67" s="1004"/>
      <c r="AAD67" s="1004"/>
      <c r="AAE67" s="1004"/>
      <c r="AAF67" s="1004"/>
      <c r="AAG67" s="1004"/>
      <c r="AAH67" s="1004"/>
      <c r="AAI67" s="1004"/>
      <c r="AAJ67" s="1004"/>
      <c r="AAK67" s="1004"/>
      <c r="AAL67" s="1004"/>
      <c r="AAM67" s="1004"/>
      <c r="AAN67" s="1004"/>
      <c r="AAO67" s="1004"/>
      <c r="AAP67" s="1004"/>
      <c r="AAQ67" s="1004"/>
      <c r="AAR67" s="1004"/>
      <c r="AAS67" s="1004"/>
      <c r="AAT67" s="1004"/>
      <c r="AAU67" s="1004"/>
      <c r="AAV67" s="1004"/>
      <c r="AAW67" s="1004"/>
      <c r="AAX67" s="1004"/>
      <c r="AAY67" s="1004"/>
      <c r="AAZ67" s="1004"/>
      <c r="ABA67" s="1004"/>
      <c r="ABB67" s="1004"/>
      <c r="ABC67" s="1004"/>
      <c r="ABD67" s="1004"/>
      <c r="ABE67" s="1004"/>
      <c r="ABF67" s="1004"/>
      <c r="ABG67" s="1004"/>
      <c r="ABH67" s="1004"/>
      <c r="ABI67" s="1004"/>
      <c r="ABJ67" s="1004"/>
      <c r="ABK67" s="1004"/>
      <c r="ABL67" s="1004"/>
      <c r="ABM67" s="1004"/>
      <c r="ABN67" s="1004"/>
      <c r="ABO67" s="1004"/>
      <c r="ABP67" s="1004"/>
      <c r="ABQ67" s="1004"/>
      <c r="ABR67" s="1004"/>
    </row>
    <row r="68" spans="1:746" s="1" customFormat="1" ht="12" customHeight="1">
      <c r="A68" s="926"/>
      <c r="B68" s="2929" t="s">
        <v>342</v>
      </c>
      <c r="C68" s="2930"/>
      <c r="D68" s="2930"/>
      <c r="E68" s="2930"/>
      <c r="F68" s="2930"/>
      <c r="G68" s="2930"/>
      <c r="H68" s="22"/>
      <c r="I68" s="1966"/>
      <c r="J68" s="368"/>
      <c r="K68" s="368"/>
      <c r="L68" s="368"/>
      <c r="M68" s="368"/>
      <c r="N68" s="368"/>
      <c r="O68" s="368"/>
      <c r="P68" s="368"/>
      <c r="Q68" s="368"/>
      <c r="R68" s="368"/>
      <c r="S68" s="368"/>
      <c r="T68" s="368"/>
      <c r="U68" s="97"/>
      <c r="V68" s="97"/>
      <c r="W68" s="97"/>
      <c r="X68" s="97"/>
      <c r="Y68" s="97"/>
      <c r="Z68" s="97"/>
      <c r="AA68" s="97"/>
      <c r="AB68" s="97"/>
      <c r="AC68" s="97"/>
      <c r="AD68" s="97"/>
      <c r="AE68" s="97"/>
      <c r="AF68" s="97"/>
      <c r="AG68" s="2203"/>
      <c r="AH68" s="4"/>
      <c r="AI68" s="4"/>
      <c r="AJ68" s="424">
        <f>IF(fx!$C$57=1,SUMIF(fx!I$57:T$57,1,I68:T68),IF(fx!$C$57=2,SUMIF(fx!O$57:AF$57,1,O68:AF68)))</f>
        <v>0</v>
      </c>
      <c r="AK68" s="415"/>
      <c r="AL68" s="425">
        <f>IF(fx!$C$57=1,SUM(U68:AF68),0)</f>
        <v>0</v>
      </c>
      <c r="AM68" s="1005"/>
      <c r="AN68" s="1005"/>
      <c r="AO68" s="1945"/>
      <c r="AP68" s="1935"/>
      <c r="AQ68" s="1936"/>
      <c r="AR68" s="1941"/>
      <c r="AS68" s="1941"/>
      <c r="AT68" s="1941"/>
      <c r="AU68" s="1941"/>
      <c r="AV68" s="1941"/>
      <c r="AW68" s="1941"/>
      <c r="AX68" s="1941"/>
      <c r="AY68" s="1941"/>
      <c r="AZ68" s="1941"/>
      <c r="BA68" s="1941"/>
      <c r="BB68" s="1941"/>
      <c r="BC68" s="1941"/>
      <c r="BD68" s="1941"/>
      <c r="BE68" s="1941"/>
      <c r="BF68" s="1941"/>
      <c r="BG68" s="1941"/>
      <c r="BH68" s="1941"/>
      <c r="BI68" s="1941"/>
      <c r="BJ68" s="1941"/>
      <c r="BK68" s="1941"/>
      <c r="BL68" s="1941"/>
      <c r="BM68" s="1941"/>
      <c r="BN68" s="1941"/>
      <c r="BO68" s="1941"/>
      <c r="BP68" s="1004"/>
      <c r="BQ68" s="1004"/>
      <c r="BR68" s="1004"/>
      <c r="BS68" s="1004"/>
      <c r="BT68" s="1004"/>
      <c r="BU68" s="1004"/>
      <c r="BV68" s="1004"/>
      <c r="BW68" s="1004"/>
      <c r="BX68" s="1004"/>
      <c r="BY68" s="1004"/>
      <c r="BZ68" s="1004"/>
      <c r="CA68" s="1004"/>
      <c r="CB68" s="1004"/>
      <c r="CC68" s="1004"/>
      <c r="CD68" s="1004"/>
      <c r="CE68" s="1004"/>
      <c r="CF68" s="1004"/>
      <c r="CG68" s="1004"/>
      <c r="CH68" s="1004"/>
      <c r="CI68" s="1004"/>
      <c r="CJ68" s="1004"/>
      <c r="CK68" s="1004"/>
      <c r="CL68" s="1004"/>
      <c r="CM68" s="1004"/>
      <c r="CN68" s="1004"/>
      <c r="CO68" s="1004"/>
      <c r="CP68" s="1004"/>
      <c r="CQ68" s="1004"/>
      <c r="CR68" s="1004"/>
      <c r="CS68" s="1004"/>
      <c r="CT68" s="1004"/>
      <c r="CU68" s="1004"/>
      <c r="CV68" s="1004"/>
      <c r="CW68" s="1004"/>
      <c r="CX68" s="1004"/>
      <c r="CY68" s="1004"/>
      <c r="CZ68" s="1004"/>
      <c r="DA68" s="1004"/>
      <c r="DB68" s="1004"/>
      <c r="DC68" s="1004"/>
      <c r="DD68" s="1004"/>
      <c r="DE68" s="1004"/>
      <c r="DF68" s="1004"/>
      <c r="DG68" s="1004"/>
      <c r="DH68" s="1004"/>
      <c r="DI68" s="1004"/>
      <c r="DJ68" s="1004"/>
      <c r="DK68" s="1004"/>
      <c r="DL68" s="1004"/>
      <c r="DM68" s="1004"/>
      <c r="DN68" s="1004"/>
      <c r="DO68" s="1004"/>
      <c r="DP68" s="1004"/>
      <c r="DQ68" s="1004"/>
      <c r="DR68" s="1004"/>
      <c r="DS68" s="1004"/>
      <c r="DT68" s="1004"/>
      <c r="DU68" s="1004"/>
      <c r="DV68" s="1004"/>
      <c r="DW68" s="1004"/>
      <c r="DX68" s="1004"/>
      <c r="DY68" s="1004"/>
      <c r="DZ68" s="1004"/>
      <c r="EA68" s="1004"/>
      <c r="EB68" s="1004"/>
      <c r="EC68" s="1004"/>
      <c r="ED68" s="1004"/>
      <c r="EE68" s="1004"/>
      <c r="EF68" s="1004"/>
      <c r="EG68" s="1004"/>
      <c r="EH68" s="1004"/>
      <c r="EI68" s="1004"/>
      <c r="EJ68" s="1004"/>
      <c r="EK68" s="1004"/>
      <c r="EL68" s="1004"/>
      <c r="EM68" s="1004"/>
      <c r="EN68" s="1004"/>
      <c r="EO68" s="1004"/>
      <c r="EP68" s="1004"/>
      <c r="EQ68" s="1004"/>
      <c r="ER68" s="1004"/>
      <c r="ES68" s="1004"/>
      <c r="ET68" s="1004"/>
      <c r="EU68" s="1004"/>
      <c r="EV68" s="1004"/>
      <c r="EW68" s="1004"/>
      <c r="EX68" s="1004"/>
      <c r="EY68" s="1004"/>
      <c r="EZ68" s="1004"/>
      <c r="FA68" s="1004"/>
      <c r="FB68" s="1004"/>
      <c r="FC68" s="1004"/>
      <c r="FD68" s="1004"/>
      <c r="FE68" s="1004"/>
      <c r="FF68" s="1004"/>
      <c r="FG68" s="1004"/>
      <c r="FH68" s="1004"/>
      <c r="FI68" s="1004"/>
      <c r="FJ68" s="1004"/>
      <c r="FK68" s="1004"/>
      <c r="FL68" s="1004"/>
      <c r="FM68" s="1004"/>
      <c r="FN68" s="1004"/>
      <c r="FO68" s="1004"/>
      <c r="FP68" s="1004"/>
      <c r="FQ68" s="1004"/>
      <c r="FR68" s="1004"/>
      <c r="FS68" s="1004"/>
      <c r="FT68" s="1004"/>
      <c r="FU68" s="1004"/>
      <c r="FV68" s="1004"/>
      <c r="FW68" s="1004"/>
      <c r="FX68" s="1004"/>
      <c r="FY68" s="1004"/>
      <c r="FZ68" s="1004"/>
      <c r="GA68" s="1004"/>
      <c r="GB68" s="1004"/>
      <c r="GC68" s="1004"/>
      <c r="GD68" s="1004"/>
      <c r="GE68" s="1004"/>
      <c r="GF68" s="1004"/>
      <c r="GG68" s="1004"/>
      <c r="GH68" s="1004"/>
      <c r="GI68" s="1004"/>
      <c r="GJ68" s="1004"/>
      <c r="GK68" s="1004"/>
      <c r="GL68" s="1004"/>
      <c r="GM68" s="1004"/>
      <c r="GN68" s="1004"/>
      <c r="GO68" s="1004"/>
      <c r="GP68" s="1004"/>
      <c r="GQ68" s="1004"/>
      <c r="GR68" s="1004"/>
      <c r="GS68" s="1004"/>
      <c r="GT68" s="1004"/>
      <c r="GU68" s="1004"/>
      <c r="GV68" s="1004"/>
      <c r="GW68" s="1004"/>
      <c r="GX68" s="1004"/>
      <c r="GY68" s="1004"/>
      <c r="GZ68" s="1004"/>
      <c r="HA68" s="1004"/>
      <c r="HB68" s="1004"/>
      <c r="HC68" s="1004"/>
      <c r="HD68" s="1004"/>
      <c r="HE68" s="1004"/>
      <c r="HF68" s="1004"/>
      <c r="HG68" s="1004"/>
      <c r="HH68" s="1004"/>
      <c r="HI68" s="1004"/>
      <c r="HJ68" s="1004"/>
      <c r="HK68" s="1004"/>
      <c r="HL68" s="1004"/>
      <c r="HM68" s="1004"/>
      <c r="HN68" s="1004"/>
      <c r="HO68" s="1004"/>
      <c r="HP68" s="1004"/>
      <c r="HQ68" s="1004"/>
      <c r="HR68" s="1004"/>
      <c r="HS68" s="1004"/>
      <c r="HT68" s="1004"/>
      <c r="HU68" s="1004"/>
      <c r="HV68" s="1004"/>
      <c r="HW68" s="1004"/>
      <c r="HX68" s="1004"/>
      <c r="HY68" s="1004"/>
      <c r="HZ68" s="1004"/>
      <c r="IA68" s="1004"/>
      <c r="IB68" s="1004"/>
      <c r="IC68" s="1004"/>
      <c r="ID68" s="1004"/>
      <c r="IE68" s="1004"/>
      <c r="IF68" s="1004"/>
      <c r="IG68" s="1004"/>
      <c r="IH68" s="1004"/>
      <c r="II68" s="1004"/>
      <c r="IJ68" s="1004"/>
      <c r="IK68" s="1004"/>
      <c r="IL68" s="1004"/>
      <c r="IM68" s="1004"/>
      <c r="IN68" s="1004"/>
      <c r="IO68" s="1004"/>
      <c r="IP68" s="1004"/>
      <c r="IQ68" s="1004"/>
      <c r="IR68" s="1004"/>
      <c r="IS68" s="1004"/>
      <c r="IT68" s="1004"/>
      <c r="IU68" s="1004"/>
      <c r="IV68" s="1004"/>
      <c r="IW68" s="1004"/>
      <c r="IX68" s="1004"/>
      <c r="IY68" s="1004"/>
      <c r="IZ68" s="1004"/>
      <c r="JA68" s="1004"/>
      <c r="JB68" s="1004"/>
      <c r="JC68" s="1004"/>
      <c r="JD68" s="1004"/>
      <c r="JE68" s="1004"/>
      <c r="JF68" s="1004"/>
      <c r="JG68" s="1004"/>
      <c r="JH68" s="1004"/>
      <c r="JI68" s="1004"/>
      <c r="JJ68" s="1004"/>
      <c r="JK68" s="1004"/>
      <c r="JL68" s="1004"/>
      <c r="JM68" s="1004"/>
      <c r="JN68" s="1004"/>
      <c r="JO68" s="1004"/>
      <c r="JP68" s="1004"/>
      <c r="JQ68" s="1004"/>
      <c r="JR68" s="1004"/>
      <c r="JS68" s="1004"/>
      <c r="JT68" s="1004"/>
      <c r="JU68" s="1004"/>
      <c r="JV68" s="1004"/>
      <c r="JW68" s="1004"/>
      <c r="JX68" s="1004"/>
      <c r="JY68" s="1004"/>
      <c r="JZ68" s="1004"/>
      <c r="KA68" s="1004"/>
      <c r="KB68" s="1004"/>
      <c r="KC68" s="1004"/>
      <c r="KD68" s="1004"/>
      <c r="KE68" s="1004"/>
      <c r="KF68" s="1004"/>
      <c r="KG68" s="1004"/>
      <c r="KH68" s="1004"/>
      <c r="KI68" s="1004"/>
      <c r="KJ68" s="1004"/>
      <c r="KK68" s="1004"/>
      <c r="KL68" s="1004"/>
      <c r="KM68" s="1004"/>
      <c r="KN68" s="1004"/>
      <c r="KO68" s="1004"/>
      <c r="KP68" s="1004"/>
      <c r="KQ68" s="1004"/>
      <c r="KR68" s="1004"/>
      <c r="KS68" s="1004"/>
      <c r="KT68" s="1004"/>
      <c r="KU68" s="1004"/>
      <c r="KV68" s="1004"/>
      <c r="KW68" s="1004"/>
      <c r="KX68" s="1004"/>
      <c r="KY68" s="1004"/>
      <c r="KZ68" s="1004"/>
      <c r="LA68" s="1004"/>
      <c r="LB68" s="1004"/>
      <c r="LC68" s="1004"/>
      <c r="LD68" s="1004"/>
      <c r="LE68" s="1004"/>
      <c r="LF68" s="1004"/>
      <c r="LG68" s="1004"/>
      <c r="LH68" s="1004"/>
      <c r="LI68" s="1004"/>
      <c r="LJ68" s="1004"/>
      <c r="LK68" s="1004"/>
      <c r="LL68" s="1004"/>
      <c r="LM68" s="1004"/>
      <c r="LN68" s="1004"/>
      <c r="LO68" s="1004"/>
      <c r="LP68" s="1004"/>
      <c r="LQ68" s="1004"/>
      <c r="LR68" s="1004"/>
      <c r="LS68" s="1004"/>
      <c r="LT68" s="1004"/>
      <c r="LU68" s="1004"/>
      <c r="LV68" s="1004"/>
      <c r="LW68" s="1004"/>
      <c r="LX68" s="1004"/>
      <c r="LY68" s="1004"/>
      <c r="LZ68" s="1004"/>
      <c r="MA68" s="1004"/>
      <c r="MB68" s="1004"/>
      <c r="MC68" s="1004"/>
      <c r="MD68" s="1004"/>
      <c r="ME68" s="1004"/>
      <c r="MF68" s="1004"/>
      <c r="MG68" s="1004"/>
      <c r="MH68" s="1004"/>
      <c r="MI68" s="1004"/>
      <c r="MJ68" s="1004"/>
      <c r="MK68" s="1004"/>
      <c r="ML68" s="1004"/>
      <c r="MM68" s="1004"/>
      <c r="MN68" s="1004"/>
      <c r="MO68" s="1004"/>
      <c r="MP68" s="1004"/>
      <c r="MQ68" s="1004"/>
      <c r="MR68" s="1004"/>
      <c r="MS68" s="1004"/>
      <c r="MT68" s="1004"/>
      <c r="MU68" s="1004"/>
      <c r="MV68" s="1004"/>
      <c r="MW68" s="1004"/>
      <c r="MX68" s="1004"/>
      <c r="MY68" s="1004"/>
      <c r="MZ68" s="1004"/>
      <c r="NA68" s="1004"/>
      <c r="NB68" s="1004"/>
      <c r="NC68" s="1004"/>
      <c r="ND68" s="1004"/>
      <c r="NE68" s="1004"/>
      <c r="NF68" s="1004"/>
      <c r="NG68" s="1004"/>
      <c r="NH68" s="1004"/>
      <c r="NI68" s="1004"/>
      <c r="NJ68" s="1004"/>
      <c r="NK68" s="1004"/>
      <c r="NL68" s="1004"/>
      <c r="NM68" s="1004"/>
      <c r="NN68" s="1004"/>
      <c r="NO68" s="1004"/>
      <c r="NP68" s="1004"/>
      <c r="NQ68" s="1004"/>
      <c r="NR68" s="1004"/>
      <c r="NS68" s="1004"/>
      <c r="NT68" s="1004"/>
      <c r="NU68" s="1004"/>
      <c r="NV68" s="1004"/>
      <c r="NW68" s="1004"/>
      <c r="NX68" s="1004"/>
      <c r="NY68" s="1004"/>
      <c r="NZ68" s="1004"/>
      <c r="OA68" s="1004"/>
      <c r="OB68" s="1004"/>
      <c r="OC68" s="1004"/>
      <c r="OD68" s="1004"/>
      <c r="OE68" s="1004"/>
      <c r="OF68" s="1004"/>
      <c r="OG68" s="1004"/>
      <c r="OH68" s="1004"/>
      <c r="OI68" s="1004"/>
      <c r="OJ68" s="1004"/>
      <c r="OK68" s="1004"/>
      <c r="OL68" s="1004"/>
      <c r="OM68" s="1004"/>
      <c r="ON68" s="1004"/>
      <c r="OO68" s="1004"/>
      <c r="OP68" s="1004"/>
      <c r="OQ68" s="1004"/>
      <c r="OR68" s="1004"/>
      <c r="OS68" s="1004"/>
      <c r="OT68" s="1004"/>
      <c r="OU68" s="1004"/>
      <c r="OV68" s="1004"/>
      <c r="OW68" s="1004"/>
      <c r="OX68" s="1004"/>
      <c r="OY68" s="1004"/>
      <c r="OZ68" s="1004"/>
      <c r="PA68" s="1004"/>
      <c r="PB68" s="1004"/>
      <c r="PC68" s="1004"/>
      <c r="PD68" s="1004"/>
      <c r="PE68" s="1004"/>
      <c r="PF68" s="1004"/>
      <c r="PG68" s="1004"/>
      <c r="PH68" s="1004"/>
      <c r="PI68" s="1004"/>
      <c r="PJ68" s="1004"/>
      <c r="PK68" s="1004"/>
      <c r="PL68" s="1004"/>
      <c r="PM68" s="1004"/>
      <c r="PN68" s="1004"/>
      <c r="PO68" s="1004"/>
      <c r="PP68" s="1004"/>
      <c r="PQ68" s="1004"/>
      <c r="PR68" s="1004"/>
      <c r="PS68" s="1004"/>
      <c r="PT68" s="1004"/>
      <c r="PU68" s="1004"/>
      <c r="PV68" s="1004"/>
      <c r="PW68" s="1004"/>
      <c r="PX68" s="1004"/>
      <c r="PY68" s="1004"/>
      <c r="PZ68" s="1004"/>
      <c r="QA68" s="1004"/>
      <c r="QB68" s="1004"/>
      <c r="QC68" s="1004"/>
      <c r="QD68" s="1004"/>
      <c r="QE68" s="1004"/>
      <c r="QF68" s="1004"/>
      <c r="QG68" s="1004"/>
      <c r="QH68" s="1004"/>
      <c r="QI68" s="1004"/>
      <c r="QJ68" s="1004"/>
      <c r="QK68" s="1004"/>
      <c r="QL68" s="1004"/>
      <c r="QM68" s="1004"/>
      <c r="QN68" s="1004"/>
      <c r="QO68" s="1004"/>
      <c r="QP68" s="1004"/>
      <c r="QQ68" s="1004"/>
      <c r="QR68" s="1004"/>
      <c r="QS68" s="1004"/>
      <c r="QT68" s="1004"/>
      <c r="QU68" s="1004"/>
      <c r="QV68" s="1004"/>
      <c r="QW68" s="1004"/>
      <c r="QX68" s="1004"/>
      <c r="QY68" s="1004"/>
      <c r="QZ68" s="1004"/>
      <c r="RA68" s="1004"/>
      <c r="RB68" s="1004"/>
      <c r="RC68" s="1004"/>
      <c r="RD68" s="1004"/>
      <c r="RE68" s="1004"/>
      <c r="RF68" s="1004"/>
      <c r="RG68" s="1004"/>
      <c r="RH68" s="1004"/>
      <c r="RI68" s="1004"/>
      <c r="RJ68" s="1004"/>
      <c r="RK68" s="1004"/>
      <c r="RL68" s="1004"/>
      <c r="RM68" s="1004"/>
      <c r="RN68" s="1004"/>
      <c r="RO68" s="1004"/>
      <c r="RP68" s="1004"/>
      <c r="RQ68" s="1004"/>
      <c r="RR68" s="1004"/>
      <c r="RS68" s="1004"/>
      <c r="RT68" s="1004"/>
      <c r="RU68" s="1004"/>
      <c r="RV68" s="1004"/>
      <c r="RW68" s="1004"/>
      <c r="RX68" s="1004"/>
      <c r="RY68" s="1004"/>
      <c r="RZ68" s="1004"/>
      <c r="SA68" s="1004"/>
      <c r="SB68" s="1004"/>
      <c r="SC68" s="1004"/>
      <c r="SD68" s="1004"/>
      <c r="SE68" s="1004"/>
      <c r="SF68" s="1004"/>
      <c r="SG68" s="1004"/>
      <c r="SH68" s="1004"/>
      <c r="SI68" s="1004"/>
      <c r="SJ68" s="1004"/>
      <c r="SK68" s="1004"/>
      <c r="SL68" s="1004"/>
      <c r="SM68" s="1004"/>
      <c r="SN68" s="1004"/>
      <c r="SO68" s="1004"/>
      <c r="SP68" s="1004"/>
      <c r="SQ68" s="1004"/>
      <c r="SR68" s="1004"/>
      <c r="SS68" s="1004"/>
      <c r="ST68" s="1004"/>
      <c r="SU68" s="1004"/>
      <c r="SV68" s="1004"/>
      <c r="SW68" s="1004"/>
      <c r="SX68" s="1004"/>
      <c r="SY68" s="1004"/>
      <c r="SZ68" s="1004"/>
      <c r="TA68" s="1004"/>
      <c r="TB68" s="1004"/>
      <c r="TC68" s="1004"/>
      <c r="TD68" s="1004"/>
      <c r="TE68" s="1004"/>
      <c r="TF68" s="1004"/>
      <c r="TG68" s="1004"/>
      <c r="TH68" s="1004"/>
      <c r="TI68" s="1004"/>
      <c r="TJ68" s="1004"/>
      <c r="TK68" s="1004"/>
      <c r="TL68" s="1004"/>
      <c r="TM68" s="1004"/>
      <c r="TN68" s="1004"/>
      <c r="TO68" s="1004"/>
      <c r="TP68" s="1004"/>
      <c r="TQ68" s="1004"/>
      <c r="TR68" s="1004"/>
      <c r="TS68" s="1004"/>
      <c r="TT68" s="1004"/>
      <c r="TU68" s="1004"/>
      <c r="TV68" s="1004"/>
      <c r="TW68" s="1004"/>
      <c r="TX68" s="1004"/>
      <c r="TY68" s="1004"/>
      <c r="TZ68" s="1004"/>
      <c r="UA68" s="1004"/>
      <c r="UB68" s="1004"/>
      <c r="UC68" s="1004"/>
      <c r="UD68" s="1004"/>
      <c r="UE68" s="1004"/>
      <c r="UF68" s="1004"/>
      <c r="UG68" s="1004"/>
      <c r="UH68" s="1004"/>
      <c r="UI68" s="1004"/>
      <c r="UJ68" s="1004"/>
      <c r="UK68" s="1004"/>
      <c r="UL68" s="1004"/>
      <c r="UM68" s="1004"/>
      <c r="UN68" s="1004"/>
      <c r="UO68" s="1004"/>
      <c r="UP68" s="1004"/>
      <c r="UQ68" s="1004"/>
      <c r="UR68" s="1004"/>
      <c r="US68" s="1004"/>
      <c r="UT68" s="1004"/>
      <c r="UU68" s="1004"/>
      <c r="UV68" s="1004"/>
      <c r="UW68" s="1004"/>
      <c r="UX68" s="1004"/>
      <c r="UY68" s="1004"/>
      <c r="UZ68" s="1004"/>
      <c r="VA68" s="1004"/>
      <c r="VB68" s="1004"/>
      <c r="VC68" s="1004"/>
      <c r="VD68" s="1004"/>
      <c r="VE68" s="1004"/>
      <c r="VF68" s="1004"/>
      <c r="VG68" s="1004"/>
      <c r="VH68" s="1004"/>
      <c r="VI68" s="1004"/>
      <c r="VJ68" s="1004"/>
      <c r="VK68" s="1004"/>
      <c r="VL68" s="1004"/>
      <c r="VM68" s="1004"/>
      <c r="VN68" s="1004"/>
      <c r="VO68" s="1004"/>
      <c r="VP68" s="1004"/>
      <c r="VQ68" s="1004"/>
      <c r="VR68" s="1004"/>
      <c r="VS68" s="1004"/>
      <c r="VT68" s="1004"/>
      <c r="VU68" s="1004"/>
      <c r="VV68" s="1004"/>
      <c r="VW68" s="1004"/>
      <c r="VX68" s="1004"/>
      <c r="VY68" s="1004"/>
      <c r="VZ68" s="1004"/>
      <c r="WA68" s="1004"/>
      <c r="WB68" s="1004"/>
      <c r="WC68" s="1004"/>
      <c r="WD68" s="1004"/>
      <c r="WE68" s="1004"/>
      <c r="WF68" s="1004"/>
      <c r="WG68" s="1004"/>
      <c r="WH68" s="1004"/>
      <c r="WI68" s="1004"/>
      <c r="WJ68" s="1004"/>
      <c r="WK68" s="1004"/>
      <c r="WL68" s="1004"/>
      <c r="WM68" s="1004"/>
      <c r="WN68" s="1004"/>
      <c r="WO68" s="1004"/>
      <c r="WP68" s="1004"/>
      <c r="WQ68" s="1004"/>
      <c r="WR68" s="1004"/>
      <c r="WS68" s="1004"/>
      <c r="WT68" s="1004"/>
      <c r="WU68" s="1004"/>
      <c r="WV68" s="1004"/>
      <c r="WW68" s="1004"/>
      <c r="WX68" s="1004"/>
      <c r="WY68" s="1004"/>
      <c r="WZ68" s="1004"/>
      <c r="XA68" s="1004"/>
      <c r="XB68" s="1004"/>
      <c r="XC68" s="1004"/>
      <c r="XD68" s="1004"/>
      <c r="XE68" s="1004"/>
      <c r="XF68" s="1004"/>
      <c r="XG68" s="1004"/>
      <c r="XH68" s="1004"/>
      <c r="XI68" s="1004"/>
      <c r="XJ68" s="1004"/>
      <c r="XK68" s="1004"/>
      <c r="XL68" s="1004"/>
      <c r="XM68" s="1004"/>
      <c r="XN68" s="1004"/>
      <c r="XO68" s="1004"/>
      <c r="XP68" s="1004"/>
      <c r="XQ68" s="1004"/>
      <c r="XR68" s="1004"/>
      <c r="XS68" s="1004"/>
      <c r="XT68" s="1004"/>
      <c r="XU68" s="1004"/>
      <c r="XV68" s="1004"/>
      <c r="XW68" s="1004"/>
      <c r="XX68" s="1004"/>
      <c r="XY68" s="1004"/>
      <c r="XZ68" s="1004"/>
      <c r="YA68" s="1004"/>
      <c r="YB68" s="1004"/>
      <c r="YC68" s="1004"/>
      <c r="YD68" s="1004"/>
      <c r="YE68" s="1004"/>
      <c r="YF68" s="1004"/>
      <c r="YG68" s="1004"/>
      <c r="YH68" s="1004"/>
      <c r="YI68" s="1004"/>
      <c r="YJ68" s="1004"/>
      <c r="YK68" s="1004"/>
      <c r="YL68" s="1004"/>
      <c r="YM68" s="1004"/>
      <c r="YN68" s="1004"/>
      <c r="YO68" s="1004"/>
      <c r="YP68" s="1004"/>
      <c r="YQ68" s="1004"/>
      <c r="YR68" s="1004"/>
      <c r="YS68" s="1004"/>
      <c r="YT68" s="1004"/>
      <c r="YU68" s="1004"/>
      <c r="YV68" s="1004"/>
      <c r="YW68" s="1004"/>
      <c r="YX68" s="1004"/>
      <c r="YY68" s="1004"/>
      <c r="YZ68" s="1004"/>
      <c r="ZA68" s="1004"/>
      <c r="ZB68" s="1004"/>
      <c r="ZC68" s="1004"/>
      <c r="ZD68" s="1004"/>
      <c r="ZE68" s="1004"/>
      <c r="ZF68" s="1004"/>
      <c r="ZG68" s="1004"/>
      <c r="ZH68" s="1004"/>
      <c r="ZI68" s="1004"/>
      <c r="ZJ68" s="1004"/>
      <c r="ZK68" s="1004"/>
      <c r="ZL68" s="1004"/>
      <c r="ZM68" s="1004"/>
      <c r="ZN68" s="1004"/>
      <c r="ZO68" s="1004"/>
      <c r="ZP68" s="1004"/>
      <c r="ZQ68" s="1004"/>
      <c r="ZR68" s="1004"/>
      <c r="ZS68" s="1004"/>
      <c r="ZT68" s="1004"/>
      <c r="ZU68" s="1004"/>
      <c r="ZV68" s="1004"/>
      <c r="ZW68" s="1004"/>
      <c r="ZX68" s="1004"/>
      <c r="ZY68" s="1004"/>
      <c r="ZZ68" s="1004"/>
      <c r="AAA68" s="1004"/>
      <c r="AAB68" s="1004"/>
      <c r="AAC68" s="1004"/>
      <c r="AAD68" s="1004"/>
      <c r="AAE68" s="1004"/>
      <c r="AAF68" s="1004"/>
      <c r="AAG68" s="1004"/>
      <c r="AAH68" s="1004"/>
      <c r="AAI68" s="1004"/>
      <c r="AAJ68" s="1004"/>
      <c r="AAK68" s="1004"/>
      <c r="AAL68" s="1004"/>
      <c r="AAM68" s="1004"/>
      <c r="AAN68" s="1004"/>
      <c r="AAO68" s="1004"/>
      <c r="AAP68" s="1004"/>
      <c r="AAQ68" s="1004"/>
      <c r="AAR68" s="1004"/>
      <c r="AAS68" s="1004"/>
      <c r="AAT68" s="1004"/>
      <c r="AAU68" s="1004"/>
      <c r="AAV68" s="1004"/>
      <c r="AAW68" s="1004"/>
      <c r="AAX68" s="1004"/>
      <c r="AAY68" s="1004"/>
      <c r="AAZ68" s="1004"/>
      <c r="ABA68" s="1004"/>
      <c r="ABB68" s="1004"/>
      <c r="ABC68" s="1004"/>
      <c r="ABD68" s="1004"/>
      <c r="ABE68" s="1004"/>
      <c r="ABF68" s="1004"/>
      <c r="ABG68" s="1004"/>
      <c r="ABH68" s="1004"/>
      <c r="ABI68" s="1004"/>
      <c r="ABJ68" s="1004"/>
      <c r="ABK68" s="1004"/>
      <c r="ABL68" s="1004"/>
      <c r="ABM68" s="1004"/>
      <c r="ABN68" s="1004"/>
      <c r="ABO68" s="1004"/>
      <c r="ABP68" s="1004"/>
      <c r="ABQ68" s="1004"/>
      <c r="ABR68" s="1004"/>
    </row>
    <row r="69" spans="1:746" s="1" customFormat="1" ht="12" customHeight="1">
      <c r="A69" s="1252"/>
      <c r="B69" s="2929" t="s">
        <v>342</v>
      </c>
      <c r="C69" s="2930"/>
      <c r="D69" s="2930"/>
      <c r="E69" s="2930"/>
      <c r="F69" s="2930"/>
      <c r="G69" s="2930"/>
      <c r="H69" s="22"/>
      <c r="I69" s="1966"/>
      <c r="J69" s="368"/>
      <c r="K69" s="368"/>
      <c r="L69" s="368"/>
      <c r="M69" s="368"/>
      <c r="N69" s="368"/>
      <c r="O69" s="368"/>
      <c r="P69" s="368"/>
      <c r="Q69" s="368"/>
      <c r="R69" s="368"/>
      <c r="S69" s="368"/>
      <c r="T69" s="368"/>
      <c r="U69" s="220"/>
      <c r="V69" s="220"/>
      <c r="W69" s="220"/>
      <c r="X69" s="220"/>
      <c r="Y69" s="220"/>
      <c r="Z69" s="220"/>
      <c r="AA69" s="220"/>
      <c r="AB69" s="220"/>
      <c r="AC69" s="220"/>
      <c r="AD69" s="220"/>
      <c r="AE69" s="220"/>
      <c r="AF69" s="220"/>
      <c r="AG69" s="2203"/>
      <c r="AH69" s="95"/>
      <c r="AI69" s="95"/>
      <c r="AJ69" s="424">
        <f>IF(fx!$C$57=1,SUMIF(fx!I$57:T$57,1,I69:T69),IF(fx!$C$57=2,SUMIF(fx!O$57:AF$57,1,O69:AF69)))</f>
        <v>0</v>
      </c>
      <c r="AK69" s="415"/>
      <c r="AL69" s="425">
        <f>IF(fx!$C$57=1,SUM(U69:AF69),0)</f>
        <v>0</v>
      </c>
      <c r="AM69" s="1005"/>
      <c r="AN69" s="1005"/>
      <c r="AO69" s="1945"/>
      <c r="AP69" s="1935"/>
      <c r="AQ69" s="1936"/>
      <c r="AR69" s="1941"/>
      <c r="AS69" s="1941"/>
      <c r="AT69" s="1941"/>
      <c r="AU69" s="1941"/>
      <c r="AV69" s="1941"/>
      <c r="AW69" s="1941"/>
      <c r="AX69" s="1941"/>
      <c r="AY69" s="1941"/>
      <c r="AZ69" s="1941"/>
      <c r="BA69" s="1941"/>
      <c r="BB69" s="1941"/>
      <c r="BC69" s="1941"/>
      <c r="BD69" s="1941"/>
      <c r="BE69" s="1941"/>
      <c r="BF69" s="1941"/>
      <c r="BG69" s="1941"/>
      <c r="BH69" s="1941"/>
      <c r="BI69" s="1941"/>
      <c r="BJ69" s="1941"/>
      <c r="BK69" s="1941"/>
      <c r="BL69" s="1941"/>
      <c r="BM69" s="1941"/>
      <c r="BN69" s="1941"/>
      <c r="BO69" s="1941"/>
      <c r="BP69" s="1004"/>
      <c r="BQ69" s="1004"/>
      <c r="BR69" s="1004"/>
      <c r="BS69" s="1004"/>
      <c r="BT69" s="1004"/>
      <c r="BU69" s="1004"/>
      <c r="BV69" s="1004"/>
      <c r="BW69" s="1004"/>
      <c r="BX69" s="1004"/>
      <c r="BY69" s="1004"/>
      <c r="BZ69" s="1004"/>
      <c r="CA69" s="1004"/>
      <c r="CB69" s="1004"/>
      <c r="CC69" s="1004"/>
      <c r="CD69" s="1004"/>
      <c r="CE69" s="1004"/>
      <c r="CF69" s="1004"/>
      <c r="CG69" s="1004"/>
      <c r="CH69" s="1004"/>
      <c r="CI69" s="1004"/>
      <c r="CJ69" s="1004"/>
      <c r="CK69" s="1004"/>
      <c r="CL69" s="1004"/>
      <c r="CM69" s="1004"/>
      <c r="CN69" s="1004"/>
      <c r="CO69" s="1004"/>
      <c r="CP69" s="1004"/>
      <c r="CQ69" s="1004"/>
      <c r="CR69" s="1004"/>
      <c r="CS69" s="1004"/>
      <c r="CT69" s="1004"/>
      <c r="CU69" s="1004"/>
      <c r="CV69" s="1004"/>
      <c r="CW69" s="1004"/>
      <c r="CX69" s="1004"/>
      <c r="CY69" s="1004"/>
      <c r="CZ69" s="1004"/>
      <c r="DA69" s="1004"/>
      <c r="DB69" s="1004"/>
      <c r="DC69" s="1004"/>
      <c r="DD69" s="1004"/>
      <c r="DE69" s="1004"/>
      <c r="DF69" s="1004"/>
      <c r="DG69" s="1004"/>
      <c r="DH69" s="1004"/>
      <c r="DI69" s="1004"/>
      <c r="DJ69" s="1004"/>
      <c r="DK69" s="1004"/>
      <c r="DL69" s="1004"/>
      <c r="DM69" s="1004"/>
      <c r="DN69" s="1004"/>
      <c r="DO69" s="1004"/>
      <c r="DP69" s="1004"/>
      <c r="DQ69" s="1004"/>
      <c r="DR69" s="1004"/>
      <c r="DS69" s="1004"/>
      <c r="DT69" s="1004"/>
      <c r="DU69" s="1004"/>
      <c r="DV69" s="1004"/>
      <c r="DW69" s="1004"/>
      <c r="DX69" s="1004"/>
      <c r="DY69" s="1004"/>
      <c r="DZ69" s="1004"/>
      <c r="EA69" s="1004"/>
      <c r="EB69" s="1004"/>
      <c r="EC69" s="1004"/>
      <c r="ED69" s="1004"/>
      <c r="EE69" s="1004"/>
      <c r="EF69" s="1004"/>
      <c r="EG69" s="1004"/>
      <c r="EH69" s="1004"/>
      <c r="EI69" s="1004"/>
      <c r="EJ69" s="1004"/>
      <c r="EK69" s="1004"/>
      <c r="EL69" s="1004"/>
      <c r="EM69" s="1004"/>
      <c r="EN69" s="1004"/>
      <c r="EO69" s="1004"/>
      <c r="EP69" s="1004"/>
      <c r="EQ69" s="1004"/>
      <c r="ER69" s="1004"/>
      <c r="ES69" s="1004"/>
      <c r="ET69" s="1004"/>
      <c r="EU69" s="1004"/>
      <c r="EV69" s="1004"/>
      <c r="EW69" s="1004"/>
      <c r="EX69" s="1004"/>
      <c r="EY69" s="1004"/>
      <c r="EZ69" s="1004"/>
      <c r="FA69" s="1004"/>
      <c r="FB69" s="1004"/>
      <c r="FC69" s="1004"/>
      <c r="FD69" s="1004"/>
      <c r="FE69" s="1004"/>
      <c r="FF69" s="1004"/>
      <c r="FG69" s="1004"/>
      <c r="FH69" s="1004"/>
      <c r="FI69" s="1004"/>
      <c r="FJ69" s="1004"/>
      <c r="FK69" s="1004"/>
      <c r="FL69" s="1004"/>
      <c r="FM69" s="1004"/>
      <c r="FN69" s="1004"/>
      <c r="FO69" s="1004"/>
      <c r="FP69" s="1004"/>
      <c r="FQ69" s="1004"/>
      <c r="FR69" s="1004"/>
      <c r="FS69" s="1004"/>
      <c r="FT69" s="1004"/>
      <c r="FU69" s="1004"/>
      <c r="FV69" s="1004"/>
      <c r="FW69" s="1004"/>
      <c r="FX69" s="1004"/>
      <c r="FY69" s="1004"/>
      <c r="FZ69" s="1004"/>
      <c r="GA69" s="1004"/>
      <c r="GB69" s="1004"/>
      <c r="GC69" s="1004"/>
      <c r="GD69" s="1004"/>
      <c r="GE69" s="1004"/>
      <c r="GF69" s="1004"/>
      <c r="GG69" s="1004"/>
      <c r="GH69" s="1004"/>
      <c r="GI69" s="1004"/>
      <c r="GJ69" s="1004"/>
      <c r="GK69" s="1004"/>
      <c r="GL69" s="1004"/>
      <c r="GM69" s="1004"/>
      <c r="GN69" s="1004"/>
      <c r="GO69" s="1004"/>
      <c r="GP69" s="1004"/>
      <c r="GQ69" s="1004"/>
      <c r="GR69" s="1004"/>
      <c r="GS69" s="1004"/>
      <c r="GT69" s="1004"/>
      <c r="GU69" s="1004"/>
      <c r="GV69" s="1004"/>
      <c r="GW69" s="1004"/>
      <c r="GX69" s="1004"/>
      <c r="GY69" s="1004"/>
      <c r="GZ69" s="1004"/>
      <c r="HA69" s="1004"/>
      <c r="HB69" s="1004"/>
      <c r="HC69" s="1004"/>
      <c r="HD69" s="1004"/>
      <c r="HE69" s="1004"/>
      <c r="HF69" s="1004"/>
      <c r="HG69" s="1004"/>
      <c r="HH69" s="1004"/>
      <c r="HI69" s="1004"/>
      <c r="HJ69" s="1004"/>
      <c r="HK69" s="1004"/>
      <c r="HL69" s="1004"/>
      <c r="HM69" s="1004"/>
      <c r="HN69" s="1004"/>
      <c r="HO69" s="1004"/>
      <c r="HP69" s="1004"/>
      <c r="HQ69" s="1004"/>
      <c r="HR69" s="1004"/>
      <c r="HS69" s="1004"/>
      <c r="HT69" s="1004"/>
      <c r="HU69" s="1004"/>
      <c r="HV69" s="1004"/>
      <c r="HW69" s="1004"/>
      <c r="HX69" s="1004"/>
      <c r="HY69" s="1004"/>
      <c r="HZ69" s="1004"/>
      <c r="IA69" s="1004"/>
      <c r="IB69" s="1004"/>
      <c r="IC69" s="1004"/>
      <c r="ID69" s="1004"/>
      <c r="IE69" s="1004"/>
      <c r="IF69" s="1004"/>
      <c r="IG69" s="1004"/>
      <c r="IH69" s="1004"/>
      <c r="II69" s="1004"/>
      <c r="IJ69" s="1004"/>
      <c r="IK69" s="1004"/>
      <c r="IL69" s="1004"/>
      <c r="IM69" s="1004"/>
      <c r="IN69" s="1004"/>
      <c r="IO69" s="1004"/>
      <c r="IP69" s="1004"/>
      <c r="IQ69" s="1004"/>
      <c r="IR69" s="1004"/>
      <c r="IS69" s="1004"/>
      <c r="IT69" s="1004"/>
      <c r="IU69" s="1004"/>
      <c r="IV69" s="1004"/>
      <c r="IW69" s="1004"/>
      <c r="IX69" s="1004"/>
      <c r="IY69" s="1004"/>
      <c r="IZ69" s="1004"/>
      <c r="JA69" s="1004"/>
      <c r="JB69" s="1004"/>
      <c r="JC69" s="1004"/>
      <c r="JD69" s="1004"/>
      <c r="JE69" s="1004"/>
      <c r="JF69" s="1004"/>
      <c r="JG69" s="1004"/>
      <c r="JH69" s="1004"/>
      <c r="JI69" s="1004"/>
      <c r="JJ69" s="1004"/>
      <c r="JK69" s="1004"/>
      <c r="JL69" s="1004"/>
      <c r="JM69" s="1004"/>
      <c r="JN69" s="1004"/>
      <c r="JO69" s="1004"/>
      <c r="JP69" s="1004"/>
      <c r="JQ69" s="1004"/>
      <c r="JR69" s="1004"/>
      <c r="JS69" s="1004"/>
      <c r="JT69" s="1004"/>
      <c r="JU69" s="1004"/>
      <c r="JV69" s="1004"/>
      <c r="JW69" s="1004"/>
      <c r="JX69" s="1004"/>
      <c r="JY69" s="1004"/>
      <c r="JZ69" s="1004"/>
      <c r="KA69" s="1004"/>
      <c r="KB69" s="1004"/>
      <c r="KC69" s="1004"/>
      <c r="KD69" s="1004"/>
      <c r="KE69" s="1004"/>
      <c r="KF69" s="1004"/>
      <c r="KG69" s="1004"/>
      <c r="KH69" s="1004"/>
      <c r="KI69" s="1004"/>
      <c r="KJ69" s="1004"/>
      <c r="KK69" s="1004"/>
      <c r="KL69" s="1004"/>
      <c r="KM69" s="1004"/>
      <c r="KN69" s="1004"/>
      <c r="KO69" s="1004"/>
      <c r="KP69" s="1004"/>
      <c r="KQ69" s="1004"/>
      <c r="KR69" s="1004"/>
      <c r="KS69" s="1004"/>
      <c r="KT69" s="1004"/>
      <c r="KU69" s="1004"/>
      <c r="KV69" s="1004"/>
      <c r="KW69" s="1004"/>
      <c r="KX69" s="1004"/>
      <c r="KY69" s="1004"/>
      <c r="KZ69" s="1004"/>
      <c r="LA69" s="1004"/>
      <c r="LB69" s="1004"/>
      <c r="LC69" s="1004"/>
      <c r="LD69" s="1004"/>
      <c r="LE69" s="1004"/>
      <c r="LF69" s="1004"/>
      <c r="LG69" s="1004"/>
      <c r="LH69" s="1004"/>
      <c r="LI69" s="1004"/>
      <c r="LJ69" s="1004"/>
      <c r="LK69" s="1004"/>
      <c r="LL69" s="1004"/>
      <c r="LM69" s="1004"/>
      <c r="LN69" s="1004"/>
      <c r="LO69" s="1004"/>
      <c r="LP69" s="1004"/>
      <c r="LQ69" s="1004"/>
      <c r="LR69" s="1004"/>
      <c r="LS69" s="1004"/>
      <c r="LT69" s="1004"/>
      <c r="LU69" s="1004"/>
      <c r="LV69" s="1004"/>
      <c r="LW69" s="1004"/>
      <c r="LX69" s="1004"/>
      <c r="LY69" s="1004"/>
      <c r="LZ69" s="1004"/>
      <c r="MA69" s="1004"/>
      <c r="MB69" s="1004"/>
      <c r="MC69" s="1004"/>
      <c r="MD69" s="1004"/>
      <c r="ME69" s="1004"/>
      <c r="MF69" s="1004"/>
      <c r="MG69" s="1004"/>
      <c r="MH69" s="1004"/>
      <c r="MI69" s="1004"/>
      <c r="MJ69" s="1004"/>
      <c r="MK69" s="1004"/>
      <c r="ML69" s="1004"/>
      <c r="MM69" s="1004"/>
      <c r="MN69" s="1004"/>
      <c r="MO69" s="1004"/>
      <c r="MP69" s="1004"/>
      <c r="MQ69" s="1004"/>
      <c r="MR69" s="1004"/>
      <c r="MS69" s="1004"/>
      <c r="MT69" s="1004"/>
      <c r="MU69" s="1004"/>
      <c r="MV69" s="1004"/>
      <c r="MW69" s="1004"/>
      <c r="MX69" s="1004"/>
      <c r="MY69" s="1004"/>
      <c r="MZ69" s="1004"/>
      <c r="NA69" s="1004"/>
      <c r="NB69" s="1004"/>
      <c r="NC69" s="1004"/>
      <c r="ND69" s="1004"/>
      <c r="NE69" s="1004"/>
      <c r="NF69" s="1004"/>
      <c r="NG69" s="1004"/>
      <c r="NH69" s="1004"/>
      <c r="NI69" s="1004"/>
      <c r="NJ69" s="1004"/>
      <c r="NK69" s="1004"/>
      <c r="NL69" s="1004"/>
      <c r="NM69" s="1004"/>
      <c r="NN69" s="1004"/>
      <c r="NO69" s="1004"/>
      <c r="NP69" s="1004"/>
      <c r="NQ69" s="1004"/>
      <c r="NR69" s="1004"/>
      <c r="NS69" s="1004"/>
      <c r="NT69" s="1004"/>
      <c r="NU69" s="1004"/>
      <c r="NV69" s="1004"/>
      <c r="NW69" s="1004"/>
      <c r="NX69" s="1004"/>
      <c r="NY69" s="1004"/>
      <c r="NZ69" s="1004"/>
      <c r="OA69" s="1004"/>
      <c r="OB69" s="1004"/>
      <c r="OC69" s="1004"/>
      <c r="OD69" s="1004"/>
      <c r="OE69" s="1004"/>
      <c r="OF69" s="1004"/>
      <c r="OG69" s="1004"/>
      <c r="OH69" s="1004"/>
      <c r="OI69" s="1004"/>
      <c r="OJ69" s="1004"/>
      <c r="OK69" s="1004"/>
      <c r="OL69" s="1004"/>
      <c r="OM69" s="1004"/>
      <c r="ON69" s="1004"/>
      <c r="OO69" s="1004"/>
      <c r="OP69" s="1004"/>
      <c r="OQ69" s="1004"/>
      <c r="OR69" s="1004"/>
      <c r="OS69" s="1004"/>
      <c r="OT69" s="1004"/>
      <c r="OU69" s="1004"/>
      <c r="OV69" s="1004"/>
      <c r="OW69" s="1004"/>
      <c r="OX69" s="1004"/>
      <c r="OY69" s="1004"/>
      <c r="OZ69" s="1004"/>
      <c r="PA69" s="1004"/>
      <c r="PB69" s="1004"/>
      <c r="PC69" s="1004"/>
      <c r="PD69" s="1004"/>
      <c r="PE69" s="1004"/>
      <c r="PF69" s="1004"/>
      <c r="PG69" s="1004"/>
      <c r="PH69" s="1004"/>
      <c r="PI69" s="1004"/>
      <c r="PJ69" s="1004"/>
      <c r="PK69" s="1004"/>
      <c r="PL69" s="1004"/>
      <c r="PM69" s="1004"/>
      <c r="PN69" s="1004"/>
      <c r="PO69" s="1004"/>
      <c r="PP69" s="1004"/>
      <c r="PQ69" s="1004"/>
      <c r="PR69" s="1004"/>
      <c r="PS69" s="1004"/>
      <c r="PT69" s="1004"/>
      <c r="PU69" s="1004"/>
      <c r="PV69" s="1004"/>
      <c r="PW69" s="1004"/>
      <c r="PX69" s="1004"/>
      <c r="PY69" s="1004"/>
      <c r="PZ69" s="1004"/>
      <c r="QA69" s="1004"/>
      <c r="QB69" s="1004"/>
      <c r="QC69" s="1004"/>
      <c r="QD69" s="1004"/>
      <c r="QE69" s="1004"/>
      <c r="QF69" s="1004"/>
      <c r="QG69" s="1004"/>
      <c r="QH69" s="1004"/>
      <c r="QI69" s="1004"/>
      <c r="QJ69" s="1004"/>
      <c r="QK69" s="1004"/>
      <c r="QL69" s="1004"/>
      <c r="QM69" s="1004"/>
      <c r="QN69" s="1004"/>
      <c r="QO69" s="1004"/>
      <c r="QP69" s="1004"/>
      <c r="QQ69" s="1004"/>
      <c r="QR69" s="1004"/>
      <c r="QS69" s="1004"/>
      <c r="QT69" s="1004"/>
      <c r="QU69" s="1004"/>
      <c r="QV69" s="1004"/>
      <c r="QW69" s="1004"/>
      <c r="QX69" s="1004"/>
      <c r="QY69" s="1004"/>
      <c r="QZ69" s="1004"/>
      <c r="RA69" s="1004"/>
      <c r="RB69" s="1004"/>
      <c r="RC69" s="1004"/>
      <c r="RD69" s="1004"/>
      <c r="RE69" s="1004"/>
      <c r="RF69" s="1004"/>
      <c r="RG69" s="1004"/>
      <c r="RH69" s="1004"/>
      <c r="RI69" s="1004"/>
      <c r="RJ69" s="1004"/>
      <c r="RK69" s="1004"/>
      <c r="RL69" s="1004"/>
      <c r="RM69" s="1004"/>
      <c r="RN69" s="1004"/>
      <c r="RO69" s="1004"/>
      <c r="RP69" s="1004"/>
      <c r="RQ69" s="1004"/>
      <c r="RR69" s="1004"/>
      <c r="RS69" s="1004"/>
      <c r="RT69" s="1004"/>
      <c r="RU69" s="1004"/>
      <c r="RV69" s="1004"/>
      <c r="RW69" s="1004"/>
      <c r="RX69" s="1004"/>
      <c r="RY69" s="1004"/>
      <c r="RZ69" s="1004"/>
      <c r="SA69" s="1004"/>
      <c r="SB69" s="1004"/>
      <c r="SC69" s="1004"/>
      <c r="SD69" s="1004"/>
      <c r="SE69" s="1004"/>
      <c r="SF69" s="1004"/>
      <c r="SG69" s="1004"/>
      <c r="SH69" s="1004"/>
      <c r="SI69" s="1004"/>
      <c r="SJ69" s="1004"/>
      <c r="SK69" s="1004"/>
      <c r="SL69" s="1004"/>
      <c r="SM69" s="1004"/>
      <c r="SN69" s="1004"/>
      <c r="SO69" s="1004"/>
      <c r="SP69" s="1004"/>
      <c r="SQ69" s="1004"/>
      <c r="SR69" s="1004"/>
      <c r="SS69" s="1004"/>
      <c r="ST69" s="1004"/>
      <c r="SU69" s="1004"/>
      <c r="SV69" s="1004"/>
      <c r="SW69" s="1004"/>
      <c r="SX69" s="1004"/>
      <c r="SY69" s="1004"/>
      <c r="SZ69" s="1004"/>
      <c r="TA69" s="1004"/>
      <c r="TB69" s="1004"/>
      <c r="TC69" s="1004"/>
      <c r="TD69" s="1004"/>
      <c r="TE69" s="1004"/>
      <c r="TF69" s="1004"/>
      <c r="TG69" s="1004"/>
      <c r="TH69" s="1004"/>
      <c r="TI69" s="1004"/>
      <c r="TJ69" s="1004"/>
      <c r="TK69" s="1004"/>
      <c r="TL69" s="1004"/>
      <c r="TM69" s="1004"/>
      <c r="TN69" s="1004"/>
      <c r="TO69" s="1004"/>
      <c r="TP69" s="1004"/>
      <c r="TQ69" s="1004"/>
      <c r="TR69" s="1004"/>
      <c r="TS69" s="1004"/>
      <c r="TT69" s="1004"/>
      <c r="TU69" s="1004"/>
      <c r="TV69" s="1004"/>
      <c r="TW69" s="1004"/>
      <c r="TX69" s="1004"/>
      <c r="TY69" s="1004"/>
      <c r="TZ69" s="1004"/>
      <c r="UA69" s="1004"/>
      <c r="UB69" s="1004"/>
      <c r="UC69" s="1004"/>
      <c r="UD69" s="1004"/>
      <c r="UE69" s="1004"/>
      <c r="UF69" s="1004"/>
      <c r="UG69" s="1004"/>
      <c r="UH69" s="1004"/>
      <c r="UI69" s="1004"/>
      <c r="UJ69" s="1004"/>
      <c r="UK69" s="1004"/>
      <c r="UL69" s="1004"/>
      <c r="UM69" s="1004"/>
      <c r="UN69" s="1004"/>
      <c r="UO69" s="1004"/>
      <c r="UP69" s="1004"/>
      <c r="UQ69" s="1004"/>
      <c r="UR69" s="1004"/>
      <c r="US69" s="1004"/>
      <c r="UT69" s="1004"/>
      <c r="UU69" s="1004"/>
      <c r="UV69" s="1004"/>
      <c r="UW69" s="1004"/>
      <c r="UX69" s="1004"/>
      <c r="UY69" s="1004"/>
      <c r="UZ69" s="1004"/>
      <c r="VA69" s="1004"/>
      <c r="VB69" s="1004"/>
      <c r="VC69" s="1004"/>
      <c r="VD69" s="1004"/>
      <c r="VE69" s="1004"/>
      <c r="VF69" s="1004"/>
      <c r="VG69" s="1004"/>
      <c r="VH69" s="1004"/>
      <c r="VI69" s="1004"/>
      <c r="VJ69" s="1004"/>
      <c r="VK69" s="1004"/>
      <c r="VL69" s="1004"/>
      <c r="VM69" s="1004"/>
      <c r="VN69" s="1004"/>
      <c r="VO69" s="1004"/>
      <c r="VP69" s="1004"/>
      <c r="VQ69" s="1004"/>
      <c r="VR69" s="1004"/>
      <c r="VS69" s="1004"/>
      <c r="VT69" s="1004"/>
      <c r="VU69" s="1004"/>
      <c r="VV69" s="1004"/>
      <c r="VW69" s="1004"/>
      <c r="VX69" s="1004"/>
      <c r="VY69" s="1004"/>
      <c r="VZ69" s="1004"/>
      <c r="WA69" s="1004"/>
      <c r="WB69" s="1004"/>
      <c r="WC69" s="1004"/>
      <c r="WD69" s="1004"/>
      <c r="WE69" s="1004"/>
      <c r="WF69" s="1004"/>
      <c r="WG69" s="1004"/>
      <c r="WH69" s="1004"/>
      <c r="WI69" s="1004"/>
      <c r="WJ69" s="1004"/>
      <c r="WK69" s="1004"/>
      <c r="WL69" s="1004"/>
      <c r="WM69" s="1004"/>
      <c r="WN69" s="1004"/>
      <c r="WO69" s="1004"/>
      <c r="WP69" s="1004"/>
      <c r="WQ69" s="1004"/>
      <c r="WR69" s="1004"/>
      <c r="WS69" s="1004"/>
      <c r="WT69" s="1004"/>
      <c r="WU69" s="1004"/>
      <c r="WV69" s="1004"/>
      <c r="WW69" s="1004"/>
      <c r="WX69" s="1004"/>
      <c r="WY69" s="1004"/>
      <c r="WZ69" s="1004"/>
      <c r="XA69" s="1004"/>
      <c r="XB69" s="1004"/>
      <c r="XC69" s="1004"/>
      <c r="XD69" s="1004"/>
      <c r="XE69" s="1004"/>
      <c r="XF69" s="1004"/>
      <c r="XG69" s="1004"/>
      <c r="XH69" s="1004"/>
      <c r="XI69" s="1004"/>
      <c r="XJ69" s="1004"/>
      <c r="XK69" s="1004"/>
      <c r="XL69" s="1004"/>
      <c r="XM69" s="1004"/>
      <c r="XN69" s="1004"/>
      <c r="XO69" s="1004"/>
      <c r="XP69" s="1004"/>
      <c r="XQ69" s="1004"/>
      <c r="XR69" s="1004"/>
      <c r="XS69" s="1004"/>
      <c r="XT69" s="1004"/>
      <c r="XU69" s="1004"/>
      <c r="XV69" s="1004"/>
      <c r="XW69" s="1004"/>
      <c r="XX69" s="1004"/>
      <c r="XY69" s="1004"/>
      <c r="XZ69" s="1004"/>
      <c r="YA69" s="1004"/>
      <c r="YB69" s="1004"/>
      <c r="YC69" s="1004"/>
      <c r="YD69" s="1004"/>
      <c r="YE69" s="1004"/>
      <c r="YF69" s="1004"/>
      <c r="YG69" s="1004"/>
      <c r="YH69" s="1004"/>
      <c r="YI69" s="1004"/>
      <c r="YJ69" s="1004"/>
      <c r="YK69" s="1004"/>
      <c r="YL69" s="1004"/>
      <c r="YM69" s="1004"/>
      <c r="YN69" s="1004"/>
      <c r="YO69" s="1004"/>
      <c r="YP69" s="1004"/>
      <c r="YQ69" s="1004"/>
      <c r="YR69" s="1004"/>
      <c r="YS69" s="1004"/>
      <c r="YT69" s="1004"/>
      <c r="YU69" s="1004"/>
      <c r="YV69" s="1004"/>
      <c r="YW69" s="1004"/>
      <c r="YX69" s="1004"/>
      <c r="YY69" s="1004"/>
      <c r="YZ69" s="1004"/>
      <c r="ZA69" s="1004"/>
      <c r="ZB69" s="1004"/>
      <c r="ZC69" s="1004"/>
      <c r="ZD69" s="1004"/>
      <c r="ZE69" s="1004"/>
      <c r="ZF69" s="1004"/>
      <c r="ZG69" s="1004"/>
      <c r="ZH69" s="1004"/>
      <c r="ZI69" s="1004"/>
      <c r="ZJ69" s="1004"/>
      <c r="ZK69" s="1004"/>
      <c r="ZL69" s="1004"/>
      <c r="ZM69" s="1004"/>
      <c r="ZN69" s="1004"/>
      <c r="ZO69" s="1004"/>
      <c r="ZP69" s="1004"/>
      <c r="ZQ69" s="1004"/>
      <c r="ZR69" s="1004"/>
      <c r="ZS69" s="1004"/>
      <c r="ZT69" s="1004"/>
      <c r="ZU69" s="1004"/>
      <c r="ZV69" s="1004"/>
      <c r="ZW69" s="1004"/>
      <c r="ZX69" s="1004"/>
      <c r="ZY69" s="1004"/>
      <c r="ZZ69" s="1004"/>
      <c r="AAA69" s="1004"/>
      <c r="AAB69" s="1004"/>
      <c r="AAC69" s="1004"/>
      <c r="AAD69" s="1004"/>
      <c r="AAE69" s="1004"/>
      <c r="AAF69" s="1004"/>
      <c r="AAG69" s="1004"/>
      <c r="AAH69" s="1004"/>
      <c r="AAI69" s="1004"/>
      <c r="AAJ69" s="1004"/>
      <c r="AAK69" s="1004"/>
      <c r="AAL69" s="1004"/>
      <c r="AAM69" s="1004"/>
      <c r="AAN69" s="1004"/>
      <c r="AAO69" s="1004"/>
      <c r="AAP69" s="1004"/>
      <c r="AAQ69" s="1004"/>
      <c r="AAR69" s="1004"/>
      <c r="AAS69" s="1004"/>
      <c r="AAT69" s="1004"/>
      <c r="AAU69" s="1004"/>
      <c r="AAV69" s="1004"/>
      <c r="AAW69" s="1004"/>
      <c r="AAX69" s="1004"/>
      <c r="AAY69" s="1004"/>
      <c r="AAZ69" s="1004"/>
      <c r="ABA69" s="1004"/>
      <c r="ABB69" s="1004"/>
      <c r="ABC69" s="1004"/>
      <c r="ABD69" s="1004"/>
      <c r="ABE69" s="1004"/>
      <c r="ABF69" s="1004"/>
      <c r="ABG69" s="1004"/>
      <c r="ABH69" s="1004"/>
      <c r="ABI69" s="1004"/>
      <c r="ABJ69" s="1004"/>
      <c r="ABK69" s="1004"/>
      <c r="ABL69" s="1004"/>
      <c r="ABM69" s="1004"/>
      <c r="ABN69" s="1004"/>
      <c r="ABO69" s="1004"/>
      <c r="ABP69" s="1004"/>
      <c r="ABQ69" s="1004"/>
      <c r="ABR69" s="1004"/>
    </row>
    <row r="70" spans="1:746" s="1" customFormat="1" ht="12" hidden="1" customHeight="1">
      <c r="A70" s="1253"/>
      <c r="B70" s="2957" t="s">
        <v>342</v>
      </c>
      <c r="C70" s="2958"/>
      <c r="D70" s="1631"/>
      <c r="E70" s="1631"/>
      <c r="F70" s="2930"/>
      <c r="G70" s="2930"/>
      <c r="H70" s="22"/>
      <c r="I70" s="1966"/>
      <c r="J70" s="809"/>
      <c r="K70" s="809"/>
      <c r="L70" s="809"/>
      <c r="M70" s="809"/>
      <c r="N70" s="809"/>
      <c r="O70" s="809"/>
      <c r="P70" s="809"/>
      <c r="Q70" s="809"/>
      <c r="R70" s="809"/>
      <c r="S70" s="809"/>
      <c r="T70" s="809"/>
      <c r="U70" s="220"/>
      <c r="V70" s="220"/>
      <c r="W70" s="220"/>
      <c r="X70" s="220"/>
      <c r="Y70" s="220"/>
      <c r="Z70" s="220"/>
      <c r="AA70" s="220"/>
      <c r="AB70" s="220"/>
      <c r="AC70" s="220"/>
      <c r="AD70" s="220"/>
      <c r="AE70" s="220"/>
      <c r="AF70" s="220"/>
      <c r="AG70" s="2203"/>
      <c r="AH70" s="95"/>
      <c r="AI70" s="95"/>
      <c r="AJ70" s="424">
        <f>IF(fx!$C$57=1,SUMIF(fx!I$57:T$57,1,I70:T70),IF(fx!$C$57=2,SUMIF(fx!O$57:AF$57,1,O70:AF70)))</f>
        <v>0</v>
      </c>
      <c r="AK70" s="415"/>
      <c r="AL70" s="425">
        <f>IF(fx!$C$57=1,SUM(U70:AF70),0)</f>
        <v>0</v>
      </c>
      <c r="AM70" s="1005"/>
      <c r="AN70" s="352"/>
      <c r="AO70" s="1945"/>
      <c r="AP70" s="1935"/>
      <c r="AQ70" s="1936"/>
      <c r="AR70" s="1941"/>
      <c r="AS70" s="1941"/>
      <c r="AT70" s="1941"/>
      <c r="AU70" s="1941"/>
      <c r="AV70" s="1941"/>
      <c r="AW70" s="1941"/>
      <c r="AX70" s="1941"/>
      <c r="AY70" s="1941"/>
      <c r="AZ70" s="1941"/>
      <c r="BA70" s="1941"/>
      <c r="BB70" s="1941"/>
      <c r="BC70" s="1941"/>
      <c r="BD70" s="1941"/>
      <c r="BE70" s="1941"/>
      <c r="BF70" s="1941"/>
      <c r="BG70" s="1941"/>
      <c r="BH70" s="1941"/>
      <c r="BI70" s="1941"/>
      <c r="BJ70" s="1941"/>
      <c r="BK70" s="1941"/>
      <c r="BL70" s="1941"/>
      <c r="BM70" s="1941"/>
      <c r="BN70" s="1941"/>
      <c r="BO70" s="1941"/>
      <c r="BP70" s="1004"/>
      <c r="BQ70" s="1004"/>
      <c r="BR70" s="1004"/>
      <c r="BS70" s="1004"/>
      <c r="BT70" s="1004"/>
      <c r="BU70" s="1004"/>
      <c r="BV70" s="1004"/>
      <c r="BW70" s="1004"/>
      <c r="BX70" s="1004"/>
      <c r="BY70" s="1004"/>
      <c r="BZ70" s="1004"/>
      <c r="CA70" s="1004"/>
      <c r="CB70" s="1004"/>
      <c r="CC70" s="1004"/>
      <c r="CD70" s="1004"/>
      <c r="CE70" s="1004"/>
      <c r="CF70" s="1004"/>
      <c r="CG70" s="1004"/>
      <c r="CH70" s="1004"/>
      <c r="CI70" s="1004"/>
      <c r="CJ70" s="1004"/>
      <c r="CK70" s="1004"/>
      <c r="CL70" s="1004"/>
      <c r="CM70" s="1004"/>
      <c r="CN70" s="1004"/>
      <c r="CO70" s="1004"/>
      <c r="CP70" s="1004"/>
      <c r="CQ70" s="1004"/>
      <c r="CR70" s="1004"/>
      <c r="CS70" s="1004"/>
      <c r="CT70" s="1004"/>
      <c r="CU70" s="1004"/>
      <c r="CV70" s="1004"/>
      <c r="CW70" s="1004"/>
      <c r="CX70" s="1004"/>
      <c r="CY70" s="1004"/>
      <c r="CZ70" s="1004"/>
      <c r="DA70" s="1004"/>
      <c r="DB70" s="1004"/>
      <c r="DC70" s="1004"/>
      <c r="DD70" s="1004"/>
      <c r="DE70" s="1004"/>
      <c r="DF70" s="1004"/>
      <c r="DG70" s="1004"/>
      <c r="DH70" s="1004"/>
      <c r="DI70" s="1004"/>
      <c r="DJ70" s="1004"/>
      <c r="DK70" s="1004"/>
      <c r="DL70" s="1004"/>
      <c r="DM70" s="1004"/>
      <c r="DN70" s="1004"/>
      <c r="DO70" s="1004"/>
      <c r="DP70" s="1004"/>
      <c r="DQ70" s="1004"/>
      <c r="DR70" s="1004"/>
      <c r="DS70" s="1004"/>
      <c r="DT70" s="1004"/>
      <c r="DU70" s="1004"/>
      <c r="DV70" s="1004"/>
      <c r="DW70" s="1004"/>
      <c r="DX70" s="1004"/>
      <c r="DY70" s="1004"/>
      <c r="DZ70" s="1004"/>
      <c r="EA70" s="1004"/>
      <c r="EB70" s="1004"/>
      <c r="EC70" s="1004"/>
      <c r="ED70" s="1004"/>
      <c r="EE70" s="1004"/>
      <c r="EF70" s="1004"/>
      <c r="EG70" s="1004"/>
      <c r="EH70" s="1004"/>
      <c r="EI70" s="1004"/>
      <c r="EJ70" s="1004"/>
      <c r="EK70" s="1004"/>
      <c r="EL70" s="1004"/>
      <c r="EM70" s="1004"/>
      <c r="EN70" s="1004"/>
      <c r="EO70" s="1004"/>
      <c r="EP70" s="1004"/>
      <c r="EQ70" s="1004"/>
      <c r="ER70" s="1004"/>
      <c r="ES70" s="1004"/>
      <c r="ET70" s="1004"/>
      <c r="EU70" s="1004"/>
      <c r="EV70" s="1004"/>
      <c r="EW70" s="1004"/>
      <c r="EX70" s="1004"/>
      <c r="EY70" s="1004"/>
      <c r="EZ70" s="1004"/>
      <c r="FA70" s="1004"/>
      <c r="FB70" s="1004"/>
      <c r="FC70" s="1004"/>
      <c r="FD70" s="1004"/>
      <c r="FE70" s="1004"/>
      <c r="FF70" s="1004"/>
      <c r="FG70" s="1004"/>
      <c r="FH70" s="1004"/>
      <c r="FI70" s="1004"/>
      <c r="FJ70" s="1004"/>
      <c r="FK70" s="1004"/>
      <c r="FL70" s="1004"/>
      <c r="FM70" s="1004"/>
      <c r="FN70" s="1004"/>
      <c r="FO70" s="1004"/>
      <c r="FP70" s="1004"/>
      <c r="FQ70" s="1004"/>
      <c r="FR70" s="1004"/>
      <c r="FS70" s="1004"/>
      <c r="FT70" s="1004"/>
      <c r="FU70" s="1004"/>
      <c r="FV70" s="1004"/>
      <c r="FW70" s="1004"/>
      <c r="FX70" s="1004"/>
      <c r="FY70" s="1004"/>
      <c r="FZ70" s="1004"/>
      <c r="GA70" s="1004"/>
      <c r="GB70" s="1004"/>
      <c r="GC70" s="1004"/>
      <c r="GD70" s="1004"/>
      <c r="GE70" s="1004"/>
      <c r="GF70" s="1004"/>
      <c r="GG70" s="1004"/>
      <c r="GH70" s="1004"/>
      <c r="GI70" s="1004"/>
      <c r="GJ70" s="1004"/>
      <c r="GK70" s="1004"/>
      <c r="GL70" s="1004"/>
      <c r="GM70" s="1004"/>
      <c r="GN70" s="1004"/>
      <c r="GO70" s="1004"/>
      <c r="GP70" s="1004"/>
      <c r="GQ70" s="1004"/>
      <c r="GR70" s="1004"/>
      <c r="GS70" s="1004"/>
      <c r="GT70" s="1004"/>
      <c r="GU70" s="1004"/>
      <c r="GV70" s="1004"/>
      <c r="GW70" s="1004"/>
      <c r="GX70" s="1004"/>
      <c r="GY70" s="1004"/>
      <c r="GZ70" s="1004"/>
      <c r="HA70" s="1004"/>
      <c r="HB70" s="1004"/>
      <c r="HC70" s="1004"/>
      <c r="HD70" s="1004"/>
      <c r="HE70" s="1004"/>
      <c r="HF70" s="1004"/>
      <c r="HG70" s="1004"/>
      <c r="HH70" s="1004"/>
      <c r="HI70" s="1004"/>
      <c r="HJ70" s="1004"/>
      <c r="HK70" s="1004"/>
      <c r="HL70" s="1004"/>
      <c r="HM70" s="1004"/>
      <c r="HN70" s="1004"/>
      <c r="HO70" s="1004"/>
      <c r="HP70" s="1004"/>
      <c r="HQ70" s="1004"/>
      <c r="HR70" s="1004"/>
      <c r="HS70" s="1004"/>
      <c r="HT70" s="1004"/>
      <c r="HU70" s="1004"/>
      <c r="HV70" s="1004"/>
      <c r="HW70" s="1004"/>
      <c r="HX70" s="1004"/>
      <c r="HY70" s="1004"/>
      <c r="HZ70" s="1004"/>
      <c r="IA70" s="1004"/>
      <c r="IB70" s="1004"/>
      <c r="IC70" s="1004"/>
      <c r="ID70" s="1004"/>
      <c r="IE70" s="1004"/>
      <c r="IF70" s="1004"/>
      <c r="IG70" s="1004"/>
      <c r="IH70" s="1004"/>
      <c r="II70" s="1004"/>
      <c r="IJ70" s="1004"/>
      <c r="IK70" s="1004"/>
      <c r="IL70" s="1004"/>
      <c r="IM70" s="1004"/>
      <c r="IN70" s="1004"/>
      <c r="IO70" s="1004"/>
      <c r="IP70" s="1004"/>
      <c r="IQ70" s="1004"/>
      <c r="IR70" s="1004"/>
      <c r="IS70" s="1004"/>
      <c r="IT70" s="1004"/>
      <c r="IU70" s="1004"/>
      <c r="IV70" s="1004"/>
      <c r="IW70" s="1004"/>
      <c r="IX70" s="1004"/>
      <c r="IY70" s="1004"/>
      <c r="IZ70" s="1004"/>
      <c r="JA70" s="1004"/>
      <c r="JB70" s="1004"/>
      <c r="JC70" s="1004"/>
      <c r="JD70" s="1004"/>
      <c r="JE70" s="1004"/>
      <c r="JF70" s="1004"/>
      <c r="JG70" s="1004"/>
      <c r="JH70" s="1004"/>
      <c r="JI70" s="1004"/>
      <c r="JJ70" s="1004"/>
      <c r="JK70" s="1004"/>
      <c r="JL70" s="1004"/>
      <c r="JM70" s="1004"/>
      <c r="JN70" s="1004"/>
      <c r="JO70" s="1004"/>
      <c r="JP70" s="1004"/>
      <c r="JQ70" s="1004"/>
      <c r="JR70" s="1004"/>
      <c r="JS70" s="1004"/>
      <c r="JT70" s="1004"/>
      <c r="JU70" s="1004"/>
      <c r="JV70" s="1004"/>
      <c r="JW70" s="1004"/>
      <c r="JX70" s="1004"/>
      <c r="JY70" s="1004"/>
      <c r="JZ70" s="1004"/>
      <c r="KA70" s="1004"/>
      <c r="KB70" s="1004"/>
      <c r="KC70" s="1004"/>
      <c r="KD70" s="1004"/>
      <c r="KE70" s="1004"/>
      <c r="KF70" s="1004"/>
      <c r="KG70" s="1004"/>
      <c r="KH70" s="1004"/>
      <c r="KI70" s="1004"/>
      <c r="KJ70" s="1004"/>
      <c r="KK70" s="1004"/>
      <c r="KL70" s="1004"/>
      <c r="KM70" s="1004"/>
      <c r="KN70" s="1004"/>
      <c r="KO70" s="1004"/>
      <c r="KP70" s="1004"/>
      <c r="KQ70" s="1004"/>
      <c r="KR70" s="1004"/>
      <c r="KS70" s="1004"/>
      <c r="KT70" s="1004"/>
      <c r="KU70" s="1004"/>
      <c r="KV70" s="1004"/>
      <c r="KW70" s="1004"/>
      <c r="KX70" s="1004"/>
      <c r="KY70" s="1004"/>
      <c r="KZ70" s="1004"/>
      <c r="LA70" s="1004"/>
      <c r="LB70" s="1004"/>
      <c r="LC70" s="1004"/>
      <c r="LD70" s="1004"/>
      <c r="LE70" s="1004"/>
      <c r="LF70" s="1004"/>
      <c r="LG70" s="1004"/>
      <c r="LH70" s="1004"/>
      <c r="LI70" s="1004"/>
      <c r="LJ70" s="1004"/>
      <c r="LK70" s="1004"/>
      <c r="LL70" s="1004"/>
      <c r="LM70" s="1004"/>
      <c r="LN70" s="1004"/>
      <c r="LO70" s="1004"/>
      <c r="LP70" s="1004"/>
      <c r="LQ70" s="1004"/>
      <c r="LR70" s="1004"/>
      <c r="LS70" s="1004"/>
      <c r="LT70" s="1004"/>
      <c r="LU70" s="1004"/>
      <c r="LV70" s="1004"/>
      <c r="LW70" s="1004"/>
      <c r="LX70" s="1004"/>
      <c r="LY70" s="1004"/>
      <c r="LZ70" s="1004"/>
      <c r="MA70" s="1004"/>
      <c r="MB70" s="1004"/>
      <c r="MC70" s="1004"/>
      <c r="MD70" s="1004"/>
      <c r="ME70" s="1004"/>
      <c r="MF70" s="1004"/>
      <c r="MG70" s="1004"/>
      <c r="MH70" s="1004"/>
      <c r="MI70" s="1004"/>
      <c r="MJ70" s="1004"/>
      <c r="MK70" s="1004"/>
      <c r="ML70" s="1004"/>
      <c r="MM70" s="1004"/>
      <c r="MN70" s="1004"/>
      <c r="MO70" s="1004"/>
      <c r="MP70" s="1004"/>
      <c r="MQ70" s="1004"/>
      <c r="MR70" s="1004"/>
      <c r="MS70" s="1004"/>
      <c r="MT70" s="1004"/>
      <c r="MU70" s="1004"/>
      <c r="MV70" s="1004"/>
      <c r="MW70" s="1004"/>
      <c r="MX70" s="1004"/>
      <c r="MY70" s="1004"/>
      <c r="MZ70" s="1004"/>
      <c r="NA70" s="1004"/>
      <c r="NB70" s="1004"/>
      <c r="NC70" s="1004"/>
      <c r="ND70" s="1004"/>
      <c r="NE70" s="1004"/>
      <c r="NF70" s="1004"/>
      <c r="NG70" s="1004"/>
      <c r="NH70" s="1004"/>
      <c r="NI70" s="1004"/>
      <c r="NJ70" s="1004"/>
      <c r="NK70" s="1004"/>
      <c r="NL70" s="1004"/>
      <c r="NM70" s="1004"/>
      <c r="NN70" s="1004"/>
      <c r="NO70" s="1004"/>
      <c r="NP70" s="1004"/>
      <c r="NQ70" s="1004"/>
      <c r="NR70" s="1004"/>
      <c r="NS70" s="1004"/>
      <c r="NT70" s="1004"/>
      <c r="NU70" s="1004"/>
      <c r="NV70" s="1004"/>
      <c r="NW70" s="1004"/>
      <c r="NX70" s="1004"/>
      <c r="NY70" s="1004"/>
      <c r="NZ70" s="1004"/>
      <c r="OA70" s="1004"/>
      <c r="OB70" s="1004"/>
      <c r="OC70" s="1004"/>
      <c r="OD70" s="1004"/>
      <c r="OE70" s="1004"/>
      <c r="OF70" s="1004"/>
      <c r="OG70" s="1004"/>
      <c r="OH70" s="1004"/>
      <c r="OI70" s="1004"/>
      <c r="OJ70" s="1004"/>
      <c r="OK70" s="1004"/>
      <c r="OL70" s="1004"/>
      <c r="OM70" s="1004"/>
      <c r="ON70" s="1004"/>
      <c r="OO70" s="1004"/>
      <c r="OP70" s="1004"/>
      <c r="OQ70" s="1004"/>
      <c r="OR70" s="1004"/>
      <c r="OS70" s="1004"/>
      <c r="OT70" s="1004"/>
      <c r="OU70" s="1004"/>
      <c r="OV70" s="1004"/>
      <c r="OW70" s="1004"/>
      <c r="OX70" s="1004"/>
      <c r="OY70" s="1004"/>
      <c r="OZ70" s="1004"/>
      <c r="PA70" s="1004"/>
      <c r="PB70" s="1004"/>
      <c r="PC70" s="1004"/>
      <c r="PD70" s="1004"/>
      <c r="PE70" s="1004"/>
      <c r="PF70" s="1004"/>
      <c r="PG70" s="1004"/>
      <c r="PH70" s="1004"/>
      <c r="PI70" s="1004"/>
      <c r="PJ70" s="1004"/>
      <c r="PK70" s="1004"/>
      <c r="PL70" s="1004"/>
      <c r="PM70" s="1004"/>
      <c r="PN70" s="1004"/>
      <c r="PO70" s="1004"/>
      <c r="PP70" s="1004"/>
      <c r="PQ70" s="1004"/>
      <c r="PR70" s="1004"/>
      <c r="PS70" s="1004"/>
      <c r="PT70" s="1004"/>
      <c r="PU70" s="1004"/>
      <c r="PV70" s="1004"/>
      <c r="PW70" s="1004"/>
      <c r="PX70" s="1004"/>
      <c r="PY70" s="1004"/>
      <c r="PZ70" s="1004"/>
      <c r="QA70" s="1004"/>
      <c r="QB70" s="1004"/>
      <c r="QC70" s="1004"/>
      <c r="QD70" s="1004"/>
      <c r="QE70" s="1004"/>
      <c r="QF70" s="1004"/>
      <c r="QG70" s="1004"/>
      <c r="QH70" s="1004"/>
      <c r="QI70" s="1004"/>
      <c r="QJ70" s="1004"/>
      <c r="QK70" s="1004"/>
      <c r="QL70" s="1004"/>
      <c r="QM70" s="1004"/>
      <c r="QN70" s="1004"/>
      <c r="QO70" s="1004"/>
      <c r="QP70" s="1004"/>
      <c r="QQ70" s="1004"/>
      <c r="QR70" s="1004"/>
      <c r="QS70" s="1004"/>
      <c r="QT70" s="1004"/>
      <c r="QU70" s="1004"/>
      <c r="QV70" s="1004"/>
      <c r="QW70" s="1004"/>
      <c r="QX70" s="1004"/>
      <c r="QY70" s="1004"/>
      <c r="QZ70" s="1004"/>
      <c r="RA70" s="1004"/>
      <c r="RB70" s="1004"/>
      <c r="RC70" s="1004"/>
      <c r="RD70" s="1004"/>
      <c r="RE70" s="1004"/>
      <c r="RF70" s="1004"/>
      <c r="RG70" s="1004"/>
      <c r="RH70" s="1004"/>
      <c r="RI70" s="1004"/>
      <c r="RJ70" s="1004"/>
      <c r="RK70" s="1004"/>
      <c r="RL70" s="1004"/>
      <c r="RM70" s="1004"/>
      <c r="RN70" s="1004"/>
      <c r="RO70" s="1004"/>
      <c r="RP70" s="1004"/>
      <c r="RQ70" s="1004"/>
      <c r="RR70" s="1004"/>
      <c r="RS70" s="1004"/>
      <c r="RT70" s="1004"/>
      <c r="RU70" s="1004"/>
      <c r="RV70" s="1004"/>
      <c r="RW70" s="1004"/>
      <c r="RX70" s="1004"/>
      <c r="RY70" s="1004"/>
      <c r="RZ70" s="1004"/>
      <c r="SA70" s="1004"/>
      <c r="SB70" s="1004"/>
      <c r="SC70" s="1004"/>
      <c r="SD70" s="1004"/>
      <c r="SE70" s="1004"/>
      <c r="SF70" s="1004"/>
      <c r="SG70" s="1004"/>
      <c r="SH70" s="1004"/>
      <c r="SI70" s="1004"/>
      <c r="SJ70" s="1004"/>
      <c r="SK70" s="1004"/>
      <c r="SL70" s="1004"/>
      <c r="SM70" s="1004"/>
      <c r="SN70" s="1004"/>
      <c r="SO70" s="1004"/>
      <c r="SP70" s="1004"/>
      <c r="SQ70" s="1004"/>
      <c r="SR70" s="1004"/>
      <c r="SS70" s="1004"/>
      <c r="ST70" s="1004"/>
      <c r="SU70" s="1004"/>
      <c r="SV70" s="1004"/>
      <c r="SW70" s="1004"/>
      <c r="SX70" s="1004"/>
      <c r="SY70" s="1004"/>
      <c r="SZ70" s="1004"/>
      <c r="TA70" s="1004"/>
      <c r="TB70" s="1004"/>
      <c r="TC70" s="1004"/>
      <c r="TD70" s="1004"/>
      <c r="TE70" s="1004"/>
      <c r="TF70" s="1004"/>
      <c r="TG70" s="1004"/>
      <c r="TH70" s="1004"/>
      <c r="TI70" s="1004"/>
      <c r="TJ70" s="1004"/>
      <c r="TK70" s="1004"/>
      <c r="TL70" s="1004"/>
      <c r="TM70" s="1004"/>
      <c r="TN70" s="1004"/>
      <c r="TO70" s="1004"/>
      <c r="TP70" s="1004"/>
      <c r="TQ70" s="1004"/>
      <c r="TR70" s="1004"/>
      <c r="TS70" s="1004"/>
      <c r="TT70" s="1004"/>
      <c r="TU70" s="1004"/>
      <c r="TV70" s="1004"/>
      <c r="TW70" s="1004"/>
      <c r="TX70" s="1004"/>
      <c r="TY70" s="1004"/>
      <c r="TZ70" s="1004"/>
      <c r="UA70" s="1004"/>
      <c r="UB70" s="1004"/>
      <c r="UC70" s="1004"/>
      <c r="UD70" s="1004"/>
      <c r="UE70" s="1004"/>
      <c r="UF70" s="1004"/>
      <c r="UG70" s="1004"/>
      <c r="UH70" s="1004"/>
      <c r="UI70" s="1004"/>
      <c r="UJ70" s="1004"/>
      <c r="UK70" s="1004"/>
      <c r="UL70" s="1004"/>
      <c r="UM70" s="1004"/>
      <c r="UN70" s="1004"/>
      <c r="UO70" s="1004"/>
      <c r="UP70" s="1004"/>
      <c r="UQ70" s="1004"/>
      <c r="UR70" s="1004"/>
      <c r="US70" s="1004"/>
      <c r="UT70" s="1004"/>
      <c r="UU70" s="1004"/>
      <c r="UV70" s="1004"/>
      <c r="UW70" s="1004"/>
      <c r="UX70" s="1004"/>
      <c r="UY70" s="1004"/>
      <c r="UZ70" s="1004"/>
      <c r="VA70" s="1004"/>
      <c r="VB70" s="1004"/>
      <c r="VC70" s="1004"/>
      <c r="VD70" s="1004"/>
      <c r="VE70" s="1004"/>
      <c r="VF70" s="1004"/>
      <c r="VG70" s="1004"/>
      <c r="VH70" s="1004"/>
      <c r="VI70" s="1004"/>
      <c r="VJ70" s="1004"/>
      <c r="VK70" s="1004"/>
      <c r="VL70" s="1004"/>
      <c r="VM70" s="1004"/>
      <c r="VN70" s="1004"/>
      <c r="VO70" s="1004"/>
      <c r="VP70" s="1004"/>
      <c r="VQ70" s="1004"/>
      <c r="VR70" s="1004"/>
      <c r="VS70" s="1004"/>
      <c r="VT70" s="1004"/>
      <c r="VU70" s="1004"/>
      <c r="VV70" s="1004"/>
      <c r="VW70" s="1004"/>
      <c r="VX70" s="1004"/>
      <c r="VY70" s="1004"/>
      <c r="VZ70" s="1004"/>
      <c r="WA70" s="1004"/>
      <c r="WB70" s="1004"/>
      <c r="WC70" s="1004"/>
      <c r="WD70" s="1004"/>
      <c r="WE70" s="1004"/>
      <c r="WF70" s="1004"/>
      <c r="WG70" s="1004"/>
      <c r="WH70" s="1004"/>
      <c r="WI70" s="1004"/>
      <c r="WJ70" s="1004"/>
      <c r="WK70" s="1004"/>
      <c r="WL70" s="1004"/>
      <c r="WM70" s="1004"/>
      <c r="WN70" s="1004"/>
      <c r="WO70" s="1004"/>
      <c r="WP70" s="1004"/>
      <c r="WQ70" s="1004"/>
      <c r="WR70" s="1004"/>
      <c r="WS70" s="1004"/>
      <c r="WT70" s="1004"/>
      <c r="WU70" s="1004"/>
      <c r="WV70" s="1004"/>
      <c r="WW70" s="1004"/>
      <c r="WX70" s="1004"/>
      <c r="WY70" s="1004"/>
      <c r="WZ70" s="1004"/>
      <c r="XA70" s="1004"/>
      <c r="XB70" s="1004"/>
      <c r="XC70" s="1004"/>
      <c r="XD70" s="1004"/>
      <c r="XE70" s="1004"/>
      <c r="XF70" s="1004"/>
      <c r="XG70" s="1004"/>
      <c r="XH70" s="1004"/>
      <c r="XI70" s="1004"/>
      <c r="XJ70" s="1004"/>
      <c r="XK70" s="1004"/>
      <c r="XL70" s="1004"/>
      <c r="XM70" s="1004"/>
      <c r="XN70" s="1004"/>
      <c r="XO70" s="1004"/>
      <c r="XP70" s="1004"/>
      <c r="XQ70" s="1004"/>
      <c r="XR70" s="1004"/>
      <c r="XS70" s="1004"/>
      <c r="XT70" s="1004"/>
      <c r="XU70" s="1004"/>
      <c r="XV70" s="1004"/>
      <c r="XW70" s="1004"/>
      <c r="XX70" s="1004"/>
      <c r="XY70" s="1004"/>
      <c r="XZ70" s="1004"/>
      <c r="YA70" s="1004"/>
      <c r="YB70" s="1004"/>
      <c r="YC70" s="1004"/>
      <c r="YD70" s="1004"/>
      <c r="YE70" s="1004"/>
      <c r="YF70" s="1004"/>
      <c r="YG70" s="1004"/>
      <c r="YH70" s="1004"/>
      <c r="YI70" s="1004"/>
      <c r="YJ70" s="1004"/>
      <c r="YK70" s="1004"/>
      <c r="YL70" s="1004"/>
      <c r="YM70" s="1004"/>
      <c r="YN70" s="1004"/>
      <c r="YO70" s="1004"/>
      <c r="YP70" s="1004"/>
      <c r="YQ70" s="1004"/>
      <c r="YR70" s="1004"/>
      <c r="YS70" s="1004"/>
      <c r="YT70" s="1004"/>
      <c r="YU70" s="1004"/>
      <c r="YV70" s="1004"/>
      <c r="YW70" s="1004"/>
      <c r="YX70" s="1004"/>
      <c r="YY70" s="1004"/>
      <c r="YZ70" s="1004"/>
      <c r="ZA70" s="1004"/>
      <c r="ZB70" s="1004"/>
      <c r="ZC70" s="1004"/>
      <c r="ZD70" s="1004"/>
      <c r="ZE70" s="1004"/>
      <c r="ZF70" s="1004"/>
      <c r="ZG70" s="1004"/>
      <c r="ZH70" s="1004"/>
      <c r="ZI70" s="1004"/>
      <c r="ZJ70" s="1004"/>
      <c r="ZK70" s="1004"/>
      <c r="ZL70" s="1004"/>
      <c r="ZM70" s="1004"/>
      <c r="ZN70" s="1004"/>
      <c r="ZO70" s="1004"/>
      <c r="ZP70" s="1004"/>
      <c r="ZQ70" s="1004"/>
      <c r="ZR70" s="1004"/>
      <c r="ZS70" s="1004"/>
      <c r="ZT70" s="1004"/>
      <c r="ZU70" s="1004"/>
      <c r="ZV70" s="1004"/>
      <c r="ZW70" s="1004"/>
      <c r="ZX70" s="1004"/>
      <c r="ZY70" s="1004"/>
      <c r="ZZ70" s="1004"/>
      <c r="AAA70" s="1004"/>
      <c r="AAB70" s="1004"/>
      <c r="AAC70" s="1004"/>
      <c r="AAD70" s="1004"/>
      <c r="AAE70" s="1004"/>
      <c r="AAF70" s="1004"/>
      <c r="AAG70" s="1004"/>
      <c r="AAH70" s="1004"/>
      <c r="AAI70" s="1004"/>
      <c r="AAJ70" s="1004"/>
      <c r="AAK70" s="1004"/>
      <c r="AAL70" s="1004"/>
      <c r="AAM70" s="1004"/>
      <c r="AAN70" s="1004"/>
      <c r="AAO70" s="1004"/>
      <c r="AAP70" s="1004"/>
      <c r="AAQ70" s="1004"/>
      <c r="AAR70" s="1004"/>
      <c r="AAS70" s="1004"/>
      <c r="AAT70" s="1004"/>
      <c r="AAU70" s="1004"/>
      <c r="AAV70" s="1004"/>
      <c r="AAW70" s="1004"/>
      <c r="AAX70" s="1004"/>
      <c r="AAY70" s="1004"/>
      <c r="AAZ70" s="1004"/>
      <c r="ABA70" s="1004"/>
      <c r="ABB70" s="1004"/>
      <c r="ABC70" s="1004"/>
      <c r="ABD70" s="1004"/>
      <c r="ABE70" s="1004"/>
      <c r="ABF70" s="1004"/>
      <c r="ABG70" s="1004"/>
      <c r="ABH70" s="1004"/>
      <c r="ABI70" s="1004"/>
      <c r="ABJ70" s="1004"/>
      <c r="ABK70" s="1004"/>
      <c r="ABL70" s="1004"/>
      <c r="ABM70" s="1004"/>
      <c r="ABN70" s="1004"/>
      <c r="ABO70" s="1004"/>
      <c r="ABP70" s="1004"/>
      <c r="ABQ70" s="1004"/>
      <c r="ABR70" s="1004"/>
    </row>
    <row r="71" spans="1:746" s="1" customFormat="1" ht="12" hidden="1" customHeight="1">
      <c r="A71" s="1253"/>
      <c r="B71" s="2957" t="s">
        <v>342</v>
      </c>
      <c r="C71" s="2958"/>
      <c r="D71" s="1631"/>
      <c r="E71" s="1631"/>
      <c r="F71" s="2930"/>
      <c r="G71" s="2930"/>
      <c r="H71" s="22"/>
      <c r="I71" s="1966"/>
      <c r="J71" s="809"/>
      <c r="K71" s="809"/>
      <c r="L71" s="809"/>
      <c r="M71" s="809"/>
      <c r="N71" s="809"/>
      <c r="O71" s="809"/>
      <c r="P71" s="809"/>
      <c r="Q71" s="809"/>
      <c r="R71" s="809"/>
      <c r="S71" s="809"/>
      <c r="T71" s="809"/>
      <c r="U71" s="220"/>
      <c r="V71" s="220"/>
      <c r="W71" s="220"/>
      <c r="X71" s="220"/>
      <c r="Y71" s="220"/>
      <c r="Z71" s="220"/>
      <c r="AA71" s="220"/>
      <c r="AB71" s="220"/>
      <c r="AC71" s="220"/>
      <c r="AD71" s="220"/>
      <c r="AE71" s="220"/>
      <c r="AF71" s="220"/>
      <c r="AG71" s="2203"/>
      <c r="AH71" s="95"/>
      <c r="AI71" s="95"/>
      <c r="AJ71" s="424">
        <f>IF(fx!$C$57=1,SUMIF(fx!I$57:T$57,1,I71:T71),IF(fx!$C$57=2,SUMIF(fx!O$57:AF$57,1,O71:AF71)))</f>
        <v>0</v>
      </c>
      <c r="AK71" s="415"/>
      <c r="AL71" s="425">
        <f>IF(fx!$C$57=1,SUM(U71:AF71),0)</f>
        <v>0</v>
      </c>
      <c r="AM71" s="1005"/>
      <c r="AN71" s="352"/>
      <c r="AO71" s="1945"/>
      <c r="AP71" s="1935"/>
      <c r="AQ71" s="1936"/>
      <c r="AR71" s="1941"/>
      <c r="AS71" s="1941"/>
      <c r="AT71" s="1941"/>
      <c r="AU71" s="1941"/>
      <c r="AV71" s="1941"/>
      <c r="AW71" s="1941"/>
      <c r="AX71" s="1941"/>
      <c r="AY71" s="1941"/>
      <c r="AZ71" s="1941"/>
      <c r="BA71" s="1941"/>
      <c r="BB71" s="1941"/>
      <c r="BC71" s="1941"/>
      <c r="BD71" s="1941"/>
      <c r="BE71" s="1941"/>
      <c r="BF71" s="1941"/>
      <c r="BG71" s="1941"/>
      <c r="BH71" s="1941"/>
      <c r="BI71" s="1941"/>
      <c r="BJ71" s="1941"/>
      <c r="BK71" s="1941"/>
      <c r="BL71" s="1941"/>
      <c r="BM71" s="1941"/>
      <c r="BN71" s="1941"/>
      <c r="BO71" s="1941"/>
      <c r="BP71" s="1004"/>
      <c r="BQ71" s="1004"/>
      <c r="BR71" s="1004"/>
      <c r="BS71" s="1004"/>
      <c r="BT71" s="1004"/>
      <c r="BU71" s="1004"/>
      <c r="BV71" s="1004"/>
      <c r="BW71" s="1004"/>
      <c r="BX71" s="1004"/>
      <c r="BY71" s="1004"/>
      <c r="BZ71" s="1004"/>
      <c r="CA71" s="1004"/>
      <c r="CB71" s="1004"/>
      <c r="CC71" s="1004"/>
      <c r="CD71" s="1004"/>
      <c r="CE71" s="1004"/>
      <c r="CF71" s="1004"/>
      <c r="CG71" s="1004"/>
      <c r="CH71" s="1004"/>
      <c r="CI71" s="1004"/>
      <c r="CJ71" s="1004"/>
      <c r="CK71" s="1004"/>
      <c r="CL71" s="1004"/>
      <c r="CM71" s="1004"/>
      <c r="CN71" s="1004"/>
      <c r="CO71" s="1004"/>
      <c r="CP71" s="1004"/>
      <c r="CQ71" s="1004"/>
      <c r="CR71" s="1004"/>
      <c r="CS71" s="1004"/>
      <c r="CT71" s="1004"/>
      <c r="CU71" s="1004"/>
      <c r="CV71" s="1004"/>
      <c r="CW71" s="1004"/>
      <c r="CX71" s="1004"/>
      <c r="CY71" s="1004"/>
      <c r="CZ71" s="1004"/>
      <c r="DA71" s="1004"/>
      <c r="DB71" s="1004"/>
      <c r="DC71" s="1004"/>
      <c r="DD71" s="1004"/>
      <c r="DE71" s="1004"/>
      <c r="DF71" s="1004"/>
      <c r="DG71" s="1004"/>
      <c r="DH71" s="1004"/>
      <c r="DI71" s="1004"/>
      <c r="DJ71" s="1004"/>
      <c r="DK71" s="1004"/>
      <c r="DL71" s="1004"/>
      <c r="DM71" s="1004"/>
      <c r="DN71" s="1004"/>
      <c r="DO71" s="1004"/>
      <c r="DP71" s="1004"/>
      <c r="DQ71" s="1004"/>
      <c r="DR71" s="1004"/>
      <c r="DS71" s="1004"/>
      <c r="DT71" s="1004"/>
      <c r="DU71" s="1004"/>
      <c r="DV71" s="1004"/>
      <c r="DW71" s="1004"/>
      <c r="DX71" s="1004"/>
      <c r="DY71" s="1004"/>
      <c r="DZ71" s="1004"/>
      <c r="EA71" s="1004"/>
      <c r="EB71" s="1004"/>
      <c r="EC71" s="1004"/>
      <c r="ED71" s="1004"/>
      <c r="EE71" s="1004"/>
      <c r="EF71" s="1004"/>
      <c r="EG71" s="1004"/>
      <c r="EH71" s="1004"/>
      <c r="EI71" s="1004"/>
      <c r="EJ71" s="1004"/>
      <c r="EK71" s="1004"/>
      <c r="EL71" s="1004"/>
      <c r="EM71" s="1004"/>
      <c r="EN71" s="1004"/>
      <c r="EO71" s="1004"/>
      <c r="EP71" s="1004"/>
      <c r="EQ71" s="1004"/>
      <c r="ER71" s="1004"/>
      <c r="ES71" s="1004"/>
      <c r="ET71" s="1004"/>
      <c r="EU71" s="1004"/>
      <c r="EV71" s="1004"/>
      <c r="EW71" s="1004"/>
      <c r="EX71" s="1004"/>
      <c r="EY71" s="1004"/>
      <c r="EZ71" s="1004"/>
      <c r="FA71" s="1004"/>
      <c r="FB71" s="1004"/>
      <c r="FC71" s="1004"/>
      <c r="FD71" s="1004"/>
      <c r="FE71" s="1004"/>
      <c r="FF71" s="1004"/>
      <c r="FG71" s="1004"/>
      <c r="FH71" s="1004"/>
      <c r="FI71" s="1004"/>
      <c r="FJ71" s="1004"/>
      <c r="FK71" s="1004"/>
      <c r="FL71" s="1004"/>
      <c r="FM71" s="1004"/>
      <c r="FN71" s="1004"/>
      <c r="FO71" s="1004"/>
      <c r="FP71" s="1004"/>
      <c r="FQ71" s="1004"/>
      <c r="FR71" s="1004"/>
      <c r="FS71" s="1004"/>
      <c r="FT71" s="1004"/>
      <c r="FU71" s="1004"/>
      <c r="FV71" s="1004"/>
      <c r="FW71" s="1004"/>
      <c r="FX71" s="1004"/>
      <c r="FY71" s="1004"/>
      <c r="FZ71" s="1004"/>
      <c r="GA71" s="1004"/>
      <c r="GB71" s="1004"/>
      <c r="GC71" s="1004"/>
      <c r="GD71" s="1004"/>
      <c r="GE71" s="1004"/>
      <c r="GF71" s="1004"/>
      <c r="GG71" s="1004"/>
      <c r="GH71" s="1004"/>
      <c r="GI71" s="1004"/>
      <c r="GJ71" s="1004"/>
      <c r="GK71" s="1004"/>
      <c r="GL71" s="1004"/>
      <c r="GM71" s="1004"/>
      <c r="GN71" s="1004"/>
      <c r="GO71" s="1004"/>
      <c r="GP71" s="1004"/>
      <c r="GQ71" s="1004"/>
      <c r="GR71" s="1004"/>
      <c r="GS71" s="1004"/>
      <c r="GT71" s="1004"/>
      <c r="GU71" s="1004"/>
      <c r="GV71" s="1004"/>
      <c r="GW71" s="1004"/>
      <c r="GX71" s="1004"/>
      <c r="GY71" s="1004"/>
      <c r="GZ71" s="1004"/>
      <c r="HA71" s="1004"/>
      <c r="HB71" s="1004"/>
      <c r="HC71" s="1004"/>
      <c r="HD71" s="1004"/>
      <c r="HE71" s="1004"/>
      <c r="HF71" s="1004"/>
      <c r="HG71" s="1004"/>
      <c r="HH71" s="1004"/>
      <c r="HI71" s="1004"/>
      <c r="HJ71" s="1004"/>
      <c r="HK71" s="1004"/>
      <c r="HL71" s="1004"/>
      <c r="HM71" s="1004"/>
      <c r="HN71" s="1004"/>
      <c r="HO71" s="1004"/>
      <c r="HP71" s="1004"/>
      <c r="HQ71" s="1004"/>
      <c r="HR71" s="1004"/>
      <c r="HS71" s="1004"/>
      <c r="HT71" s="1004"/>
      <c r="HU71" s="1004"/>
      <c r="HV71" s="1004"/>
      <c r="HW71" s="1004"/>
      <c r="HX71" s="1004"/>
      <c r="HY71" s="1004"/>
      <c r="HZ71" s="1004"/>
      <c r="IA71" s="1004"/>
      <c r="IB71" s="1004"/>
      <c r="IC71" s="1004"/>
      <c r="ID71" s="1004"/>
      <c r="IE71" s="1004"/>
      <c r="IF71" s="1004"/>
      <c r="IG71" s="1004"/>
      <c r="IH71" s="1004"/>
      <c r="II71" s="1004"/>
      <c r="IJ71" s="1004"/>
      <c r="IK71" s="1004"/>
      <c r="IL71" s="1004"/>
      <c r="IM71" s="1004"/>
      <c r="IN71" s="1004"/>
      <c r="IO71" s="1004"/>
      <c r="IP71" s="1004"/>
      <c r="IQ71" s="1004"/>
      <c r="IR71" s="1004"/>
      <c r="IS71" s="1004"/>
      <c r="IT71" s="1004"/>
      <c r="IU71" s="1004"/>
      <c r="IV71" s="1004"/>
      <c r="IW71" s="1004"/>
      <c r="IX71" s="1004"/>
      <c r="IY71" s="1004"/>
      <c r="IZ71" s="1004"/>
      <c r="JA71" s="1004"/>
      <c r="JB71" s="1004"/>
      <c r="JC71" s="1004"/>
      <c r="JD71" s="1004"/>
      <c r="JE71" s="1004"/>
      <c r="JF71" s="1004"/>
      <c r="JG71" s="1004"/>
      <c r="JH71" s="1004"/>
      <c r="JI71" s="1004"/>
      <c r="JJ71" s="1004"/>
      <c r="JK71" s="1004"/>
      <c r="JL71" s="1004"/>
      <c r="JM71" s="1004"/>
      <c r="JN71" s="1004"/>
      <c r="JO71" s="1004"/>
      <c r="JP71" s="1004"/>
      <c r="JQ71" s="1004"/>
      <c r="JR71" s="1004"/>
      <c r="JS71" s="1004"/>
      <c r="JT71" s="1004"/>
      <c r="JU71" s="1004"/>
      <c r="JV71" s="1004"/>
      <c r="JW71" s="1004"/>
      <c r="JX71" s="1004"/>
      <c r="JY71" s="1004"/>
      <c r="JZ71" s="1004"/>
      <c r="KA71" s="1004"/>
      <c r="KB71" s="1004"/>
      <c r="KC71" s="1004"/>
      <c r="KD71" s="1004"/>
      <c r="KE71" s="1004"/>
      <c r="KF71" s="1004"/>
      <c r="KG71" s="1004"/>
      <c r="KH71" s="1004"/>
      <c r="KI71" s="1004"/>
      <c r="KJ71" s="1004"/>
      <c r="KK71" s="1004"/>
      <c r="KL71" s="1004"/>
      <c r="KM71" s="1004"/>
      <c r="KN71" s="1004"/>
      <c r="KO71" s="1004"/>
      <c r="KP71" s="1004"/>
      <c r="KQ71" s="1004"/>
      <c r="KR71" s="1004"/>
      <c r="KS71" s="1004"/>
      <c r="KT71" s="1004"/>
      <c r="KU71" s="1004"/>
      <c r="KV71" s="1004"/>
      <c r="KW71" s="1004"/>
      <c r="KX71" s="1004"/>
      <c r="KY71" s="1004"/>
      <c r="KZ71" s="1004"/>
      <c r="LA71" s="1004"/>
      <c r="LB71" s="1004"/>
      <c r="LC71" s="1004"/>
      <c r="LD71" s="1004"/>
      <c r="LE71" s="1004"/>
      <c r="LF71" s="1004"/>
      <c r="LG71" s="1004"/>
      <c r="LH71" s="1004"/>
      <c r="LI71" s="1004"/>
      <c r="LJ71" s="1004"/>
      <c r="LK71" s="1004"/>
      <c r="LL71" s="1004"/>
      <c r="LM71" s="1004"/>
      <c r="LN71" s="1004"/>
      <c r="LO71" s="1004"/>
      <c r="LP71" s="1004"/>
      <c r="LQ71" s="1004"/>
      <c r="LR71" s="1004"/>
      <c r="LS71" s="1004"/>
      <c r="LT71" s="1004"/>
      <c r="LU71" s="1004"/>
      <c r="LV71" s="1004"/>
      <c r="LW71" s="1004"/>
      <c r="LX71" s="1004"/>
      <c r="LY71" s="1004"/>
      <c r="LZ71" s="1004"/>
      <c r="MA71" s="1004"/>
      <c r="MB71" s="1004"/>
      <c r="MC71" s="1004"/>
      <c r="MD71" s="1004"/>
      <c r="ME71" s="1004"/>
      <c r="MF71" s="1004"/>
      <c r="MG71" s="1004"/>
      <c r="MH71" s="1004"/>
      <c r="MI71" s="1004"/>
      <c r="MJ71" s="1004"/>
      <c r="MK71" s="1004"/>
      <c r="ML71" s="1004"/>
      <c r="MM71" s="1004"/>
      <c r="MN71" s="1004"/>
      <c r="MO71" s="1004"/>
      <c r="MP71" s="1004"/>
      <c r="MQ71" s="1004"/>
      <c r="MR71" s="1004"/>
      <c r="MS71" s="1004"/>
      <c r="MT71" s="1004"/>
      <c r="MU71" s="1004"/>
      <c r="MV71" s="1004"/>
      <c r="MW71" s="1004"/>
      <c r="MX71" s="1004"/>
      <c r="MY71" s="1004"/>
      <c r="MZ71" s="1004"/>
      <c r="NA71" s="1004"/>
      <c r="NB71" s="1004"/>
      <c r="NC71" s="1004"/>
      <c r="ND71" s="1004"/>
      <c r="NE71" s="1004"/>
      <c r="NF71" s="1004"/>
      <c r="NG71" s="1004"/>
      <c r="NH71" s="1004"/>
      <c r="NI71" s="1004"/>
      <c r="NJ71" s="1004"/>
      <c r="NK71" s="1004"/>
      <c r="NL71" s="1004"/>
      <c r="NM71" s="1004"/>
      <c r="NN71" s="1004"/>
      <c r="NO71" s="1004"/>
      <c r="NP71" s="1004"/>
      <c r="NQ71" s="1004"/>
      <c r="NR71" s="1004"/>
      <c r="NS71" s="1004"/>
      <c r="NT71" s="1004"/>
      <c r="NU71" s="1004"/>
      <c r="NV71" s="1004"/>
      <c r="NW71" s="1004"/>
      <c r="NX71" s="1004"/>
      <c r="NY71" s="1004"/>
      <c r="NZ71" s="1004"/>
      <c r="OA71" s="1004"/>
      <c r="OB71" s="1004"/>
      <c r="OC71" s="1004"/>
      <c r="OD71" s="1004"/>
      <c r="OE71" s="1004"/>
      <c r="OF71" s="1004"/>
      <c r="OG71" s="1004"/>
      <c r="OH71" s="1004"/>
      <c r="OI71" s="1004"/>
      <c r="OJ71" s="1004"/>
      <c r="OK71" s="1004"/>
      <c r="OL71" s="1004"/>
      <c r="OM71" s="1004"/>
      <c r="ON71" s="1004"/>
      <c r="OO71" s="1004"/>
      <c r="OP71" s="1004"/>
      <c r="OQ71" s="1004"/>
      <c r="OR71" s="1004"/>
      <c r="OS71" s="1004"/>
      <c r="OT71" s="1004"/>
      <c r="OU71" s="1004"/>
      <c r="OV71" s="1004"/>
      <c r="OW71" s="1004"/>
      <c r="OX71" s="1004"/>
      <c r="OY71" s="1004"/>
      <c r="OZ71" s="1004"/>
      <c r="PA71" s="1004"/>
      <c r="PB71" s="1004"/>
      <c r="PC71" s="1004"/>
      <c r="PD71" s="1004"/>
      <c r="PE71" s="1004"/>
      <c r="PF71" s="1004"/>
      <c r="PG71" s="1004"/>
      <c r="PH71" s="1004"/>
      <c r="PI71" s="1004"/>
      <c r="PJ71" s="1004"/>
      <c r="PK71" s="1004"/>
      <c r="PL71" s="1004"/>
      <c r="PM71" s="1004"/>
      <c r="PN71" s="1004"/>
      <c r="PO71" s="1004"/>
      <c r="PP71" s="1004"/>
      <c r="PQ71" s="1004"/>
      <c r="PR71" s="1004"/>
      <c r="PS71" s="1004"/>
      <c r="PT71" s="1004"/>
      <c r="PU71" s="1004"/>
      <c r="PV71" s="1004"/>
      <c r="PW71" s="1004"/>
      <c r="PX71" s="1004"/>
      <c r="PY71" s="1004"/>
      <c r="PZ71" s="1004"/>
      <c r="QA71" s="1004"/>
      <c r="QB71" s="1004"/>
      <c r="QC71" s="1004"/>
      <c r="QD71" s="1004"/>
      <c r="QE71" s="1004"/>
      <c r="QF71" s="1004"/>
      <c r="QG71" s="1004"/>
      <c r="QH71" s="1004"/>
      <c r="QI71" s="1004"/>
      <c r="QJ71" s="1004"/>
      <c r="QK71" s="1004"/>
      <c r="QL71" s="1004"/>
      <c r="QM71" s="1004"/>
      <c r="QN71" s="1004"/>
      <c r="QO71" s="1004"/>
      <c r="QP71" s="1004"/>
      <c r="QQ71" s="1004"/>
      <c r="QR71" s="1004"/>
      <c r="QS71" s="1004"/>
      <c r="QT71" s="1004"/>
      <c r="QU71" s="1004"/>
      <c r="QV71" s="1004"/>
      <c r="QW71" s="1004"/>
      <c r="QX71" s="1004"/>
      <c r="QY71" s="1004"/>
      <c r="QZ71" s="1004"/>
      <c r="RA71" s="1004"/>
      <c r="RB71" s="1004"/>
      <c r="RC71" s="1004"/>
      <c r="RD71" s="1004"/>
      <c r="RE71" s="1004"/>
      <c r="RF71" s="1004"/>
      <c r="RG71" s="1004"/>
      <c r="RH71" s="1004"/>
      <c r="RI71" s="1004"/>
      <c r="RJ71" s="1004"/>
      <c r="RK71" s="1004"/>
      <c r="RL71" s="1004"/>
      <c r="RM71" s="1004"/>
      <c r="RN71" s="1004"/>
      <c r="RO71" s="1004"/>
      <c r="RP71" s="1004"/>
      <c r="RQ71" s="1004"/>
      <c r="RR71" s="1004"/>
      <c r="RS71" s="1004"/>
      <c r="RT71" s="1004"/>
      <c r="RU71" s="1004"/>
      <c r="RV71" s="1004"/>
      <c r="RW71" s="1004"/>
      <c r="RX71" s="1004"/>
      <c r="RY71" s="1004"/>
      <c r="RZ71" s="1004"/>
      <c r="SA71" s="1004"/>
      <c r="SB71" s="1004"/>
      <c r="SC71" s="1004"/>
      <c r="SD71" s="1004"/>
      <c r="SE71" s="1004"/>
      <c r="SF71" s="1004"/>
      <c r="SG71" s="1004"/>
      <c r="SH71" s="1004"/>
      <c r="SI71" s="1004"/>
      <c r="SJ71" s="1004"/>
      <c r="SK71" s="1004"/>
      <c r="SL71" s="1004"/>
      <c r="SM71" s="1004"/>
      <c r="SN71" s="1004"/>
      <c r="SO71" s="1004"/>
      <c r="SP71" s="1004"/>
      <c r="SQ71" s="1004"/>
      <c r="SR71" s="1004"/>
      <c r="SS71" s="1004"/>
      <c r="ST71" s="1004"/>
      <c r="SU71" s="1004"/>
      <c r="SV71" s="1004"/>
      <c r="SW71" s="1004"/>
      <c r="SX71" s="1004"/>
      <c r="SY71" s="1004"/>
      <c r="SZ71" s="1004"/>
      <c r="TA71" s="1004"/>
      <c r="TB71" s="1004"/>
      <c r="TC71" s="1004"/>
      <c r="TD71" s="1004"/>
      <c r="TE71" s="1004"/>
      <c r="TF71" s="1004"/>
      <c r="TG71" s="1004"/>
      <c r="TH71" s="1004"/>
      <c r="TI71" s="1004"/>
      <c r="TJ71" s="1004"/>
      <c r="TK71" s="1004"/>
      <c r="TL71" s="1004"/>
      <c r="TM71" s="1004"/>
      <c r="TN71" s="1004"/>
      <c r="TO71" s="1004"/>
      <c r="TP71" s="1004"/>
      <c r="TQ71" s="1004"/>
      <c r="TR71" s="1004"/>
      <c r="TS71" s="1004"/>
      <c r="TT71" s="1004"/>
      <c r="TU71" s="1004"/>
      <c r="TV71" s="1004"/>
      <c r="TW71" s="1004"/>
      <c r="TX71" s="1004"/>
      <c r="TY71" s="1004"/>
      <c r="TZ71" s="1004"/>
      <c r="UA71" s="1004"/>
      <c r="UB71" s="1004"/>
      <c r="UC71" s="1004"/>
      <c r="UD71" s="1004"/>
      <c r="UE71" s="1004"/>
      <c r="UF71" s="1004"/>
      <c r="UG71" s="1004"/>
      <c r="UH71" s="1004"/>
      <c r="UI71" s="1004"/>
      <c r="UJ71" s="1004"/>
      <c r="UK71" s="1004"/>
      <c r="UL71" s="1004"/>
      <c r="UM71" s="1004"/>
      <c r="UN71" s="1004"/>
      <c r="UO71" s="1004"/>
      <c r="UP71" s="1004"/>
      <c r="UQ71" s="1004"/>
      <c r="UR71" s="1004"/>
      <c r="US71" s="1004"/>
      <c r="UT71" s="1004"/>
      <c r="UU71" s="1004"/>
      <c r="UV71" s="1004"/>
      <c r="UW71" s="1004"/>
      <c r="UX71" s="1004"/>
      <c r="UY71" s="1004"/>
      <c r="UZ71" s="1004"/>
      <c r="VA71" s="1004"/>
      <c r="VB71" s="1004"/>
      <c r="VC71" s="1004"/>
      <c r="VD71" s="1004"/>
      <c r="VE71" s="1004"/>
      <c r="VF71" s="1004"/>
      <c r="VG71" s="1004"/>
      <c r="VH71" s="1004"/>
      <c r="VI71" s="1004"/>
      <c r="VJ71" s="1004"/>
      <c r="VK71" s="1004"/>
      <c r="VL71" s="1004"/>
      <c r="VM71" s="1004"/>
      <c r="VN71" s="1004"/>
      <c r="VO71" s="1004"/>
      <c r="VP71" s="1004"/>
      <c r="VQ71" s="1004"/>
      <c r="VR71" s="1004"/>
      <c r="VS71" s="1004"/>
      <c r="VT71" s="1004"/>
      <c r="VU71" s="1004"/>
      <c r="VV71" s="1004"/>
      <c r="VW71" s="1004"/>
      <c r="VX71" s="1004"/>
      <c r="VY71" s="1004"/>
      <c r="VZ71" s="1004"/>
      <c r="WA71" s="1004"/>
      <c r="WB71" s="1004"/>
      <c r="WC71" s="1004"/>
      <c r="WD71" s="1004"/>
      <c r="WE71" s="1004"/>
      <c r="WF71" s="1004"/>
      <c r="WG71" s="1004"/>
      <c r="WH71" s="1004"/>
      <c r="WI71" s="1004"/>
      <c r="WJ71" s="1004"/>
      <c r="WK71" s="1004"/>
      <c r="WL71" s="1004"/>
      <c r="WM71" s="1004"/>
      <c r="WN71" s="1004"/>
      <c r="WO71" s="1004"/>
      <c r="WP71" s="1004"/>
      <c r="WQ71" s="1004"/>
      <c r="WR71" s="1004"/>
      <c r="WS71" s="1004"/>
      <c r="WT71" s="1004"/>
      <c r="WU71" s="1004"/>
      <c r="WV71" s="1004"/>
      <c r="WW71" s="1004"/>
      <c r="WX71" s="1004"/>
      <c r="WY71" s="1004"/>
      <c r="WZ71" s="1004"/>
      <c r="XA71" s="1004"/>
      <c r="XB71" s="1004"/>
      <c r="XC71" s="1004"/>
      <c r="XD71" s="1004"/>
      <c r="XE71" s="1004"/>
      <c r="XF71" s="1004"/>
      <c r="XG71" s="1004"/>
      <c r="XH71" s="1004"/>
      <c r="XI71" s="1004"/>
      <c r="XJ71" s="1004"/>
      <c r="XK71" s="1004"/>
      <c r="XL71" s="1004"/>
      <c r="XM71" s="1004"/>
      <c r="XN71" s="1004"/>
      <c r="XO71" s="1004"/>
      <c r="XP71" s="1004"/>
      <c r="XQ71" s="1004"/>
      <c r="XR71" s="1004"/>
      <c r="XS71" s="1004"/>
      <c r="XT71" s="1004"/>
      <c r="XU71" s="1004"/>
      <c r="XV71" s="1004"/>
      <c r="XW71" s="1004"/>
      <c r="XX71" s="1004"/>
      <c r="XY71" s="1004"/>
      <c r="XZ71" s="1004"/>
      <c r="YA71" s="1004"/>
      <c r="YB71" s="1004"/>
      <c r="YC71" s="1004"/>
      <c r="YD71" s="1004"/>
      <c r="YE71" s="1004"/>
      <c r="YF71" s="1004"/>
      <c r="YG71" s="1004"/>
      <c r="YH71" s="1004"/>
      <c r="YI71" s="1004"/>
      <c r="YJ71" s="1004"/>
      <c r="YK71" s="1004"/>
      <c r="YL71" s="1004"/>
      <c r="YM71" s="1004"/>
      <c r="YN71" s="1004"/>
      <c r="YO71" s="1004"/>
      <c r="YP71" s="1004"/>
      <c r="YQ71" s="1004"/>
      <c r="YR71" s="1004"/>
      <c r="YS71" s="1004"/>
      <c r="YT71" s="1004"/>
      <c r="YU71" s="1004"/>
      <c r="YV71" s="1004"/>
      <c r="YW71" s="1004"/>
      <c r="YX71" s="1004"/>
      <c r="YY71" s="1004"/>
      <c r="YZ71" s="1004"/>
      <c r="ZA71" s="1004"/>
      <c r="ZB71" s="1004"/>
      <c r="ZC71" s="1004"/>
      <c r="ZD71" s="1004"/>
      <c r="ZE71" s="1004"/>
      <c r="ZF71" s="1004"/>
      <c r="ZG71" s="1004"/>
      <c r="ZH71" s="1004"/>
      <c r="ZI71" s="1004"/>
      <c r="ZJ71" s="1004"/>
      <c r="ZK71" s="1004"/>
      <c r="ZL71" s="1004"/>
      <c r="ZM71" s="1004"/>
      <c r="ZN71" s="1004"/>
      <c r="ZO71" s="1004"/>
      <c r="ZP71" s="1004"/>
      <c r="ZQ71" s="1004"/>
      <c r="ZR71" s="1004"/>
      <c r="ZS71" s="1004"/>
      <c r="ZT71" s="1004"/>
      <c r="ZU71" s="1004"/>
      <c r="ZV71" s="1004"/>
      <c r="ZW71" s="1004"/>
      <c r="ZX71" s="1004"/>
      <c r="ZY71" s="1004"/>
      <c r="ZZ71" s="1004"/>
      <c r="AAA71" s="1004"/>
      <c r="AAB71" s="1004"/>
      <c r="AAC71" s="1004"/>
      <c r="AAD71" s="1004"/>
      <c r="AAE71" s="1004"/>
      <c r="AAF71" s="1004"/>
      <c r="AAG71" s="1004"/>
      <c r="AAH71" s="1004"/>
      <c r="AAI71" s="1004"/>
      <c r="AAJ71" s="1004"/>
      <c r="AAK71" s="1004"/>
      <c r="AAL71" s="1004"/>
      <c r="AAM71" s="1004"/>
      <c r="AAN71" s="1004"/>
      <c r="AAO71" s="1004"/>
      <c r="AAP71" s="1004"/>
      <c r="AAQ71" s="1004"/>
      <c r="AAR71" s="1004"/>
      <c r="AAS71" s="1004"/>
      <c r="AAT71" s="1004"/>
      <c r="AAU71" s="1004"/>
      <c r="AAV71" s="1004"/>
      <c r="AAW71" s="1004"/>
      <c r="AAX71" s="1004"/>
      <c r="AAY71" s="1004"/>
      <c r="AAZ71" s="1004"/>
      <c r="ABA71" s="1004"/>
      <c r="ABB71" s="1004"/>
      <c r="ABC71" s="1004"/>
      <c r="ABD71" s="1004"/>
      <c r="ABE71" s="1004"/>
      <c r="ABF71" s="1004"/>
      <c r="ABG71" s="1004"/>
      <c r="ABH71" s="1004"/>
      <c r="ABI71" s="1004"/>
      <c r="ABJ71" s="1004"/>
      <c r="ABK71" s="1004"/>
      <c r="ABL71" s="1004"/>
      <c r="ABM71" s="1004"/>
      <c r="ABN71" s="1004"/>
      <c r="ABO71" s="1004"/>
      <c r="ABP71" s="1004"/>
      <c r="ABQ71" s="1004"/>
      <c r="ABR71" s="1004"/>
    </row>
    <row r="72" spans="1:746" s="1" customFormat="1" ht="12" hidden="1" customHeight="1">
      <c r="A72" s="1253"/>
      <c r="B72" s="2957" t="s">
        <v>342</v>
      </c>
      <c r="C72" s="2958"/>
      <c r="D72" s="1631"/>
      <c r="E72" s="1631"/>
      <c r="F72" s="2930"/>
      <c r="G72" s="2930"/>
      <c r="H72" s="22"/>
      <c r="I72" s="1966"/>
      <c r="J72" s="809"/>
      <c r="K72" s="809"/>
      <c r="L72" s="809"/>
      <c r="M72" s="809"/>
      <c r="N72" s="809"/>
      <c r="O72" s="809"/>
      <c r="P72" s="809"/>
      <c r="Q72" s="809"/>
      <c r="R72" s="809"/>
      <c r="S72" s="809"/>
      <c r="T72" s="809"/>
      <c r="U72" s="220"/>
      <c r="V72" s="220"/>
      <c r="W72" s="220"/>
      <c r="X72" s="220"/>
      <c r="Y72" s="220"/>
      <c r="Z72" s="220"/>
      <c r="AA72" s="220"/>
      <c r="AB72" s="220"/>
      <c r="AC72" s="220"/>
      <c r="AD72" s="220"/>
      <c r="AE72" s="220"/>
      <c r="AF72" s="220"/>
      <c r="AG72" s="2203"/>
      <c r="AH72" s="95"/>
      <c r="AI72" s="95"/>
      <c r="AJ72" s="424">
        <f>IF(fx!$C$57=1,SUMIF(fx!I$57:T$57,1,I72:T72),IF(fx!$C$57=2,SUMIF(fx!O$57:AF$57,1,O72:AF72)))</f>
        <v>0</v>
      </c>
      <c r="AK72" s="415"/>
      <c r="AL72" s="425">
        <f>IF(fx!$C$57=1,SUM(U72:AF72),0)</f>
        <v>0</v>
      </c>
      <c r="AM72" s="1005"/>
      <c r="AN72" s="352"/>
      <c r="AO72" s="1945"/>
      <c r="AP72" s="1935"/>
      <c r="AQ72" s="1936"/>
      <c r="AR72" s="1941"/>
      <c r="AS72" s="1941"/>
      <c r="AT72" s="1941"/>
      <c r="AU72" s="1941"/>
      <c r="AV72" s="1941"/>
      <c r="AW72" s="1941"/>
      <c r="AX72" s="1941"/>
      <c r="AY72" s="1941"/>
      <c r="AZ72" s="1941"/>
      <c r="BA72" s="1941"/>
      <c r="BB72" s="1941"/>
      <c r="BC72" s="1941"/>
      <c r="BD72" s="1941"/>
      <c r="BE72" s="1941"/>
      <c r="BF72" s="1941"/>
      <c r="BG72" s="1941"/>
      <c r="BH72" s="1941"/>
      <c r="BI72" s="1941"/>
      <c r="BJ72" s="1941"/>
      <c r="BK72" s="1941"/>
      <c r="BL72" s="1941"/>
      <c r="BM72" s="1941"/>
      <c r="BN72" s="1941"/>
      <c r="BO72" s="1941"/>
      <c r="BP72" s="1004"/>
      <c r="BQ72" s="1004"/>
      <c r="BR72" s="1004"/>
      <c r="BS72" s="1004"/>
      <c r="BT72" s="1004"/>
      <c r="BU72" s="1004"/>
      <c r="BV72" s="1004"/>
      <c r="BW72" s="1004"/>
      <c r="BX72" s="1004"/>
      <c r="BY72" s="1004"/>
      <c r="BZ72" s="1004"/>
      <c r="CA72" s="1004"/>
      <c r="CB72" s="1004"/>
      <c r="CC72" s="1004"/>
      <c r="CD72" s="1004"/>
      <c r="CE72" s="1004"/>
      <c r="CF72" s="1004"/>
      <c r="CG72" s="1004"/>
      <c r="CH72" s="1004"/>
      <c r="CI72" s="1004"/>
      <c r="CJ72" s="1004"/>
      <c r="CK72" s="1004"/>
      <c r="CL72" s="1004"/>
      <c r="CM72" s="1004"/>
      <c r="CN72" s="1004"/>
      <c r="CO72" s="1004"/>
      <c r="CP72" s="1004"/>
      <c r="CQ72" s="1004"/>
      <c r="CR72" s="1004"/>
      <c r="CS72" s="1004"/>
      <c r="CT72" s="1004"/>
      <c r="CU72" s="1004"/>
      <c r="CV72" s="1004"/>
      <c r="CW72" s="1004"/>
      <c r="CX72" s="1004"/>
      <c r="CY72" s="1004"/>
      <c r="CZ72" s="1004"/>
      <c r="DA72" s="1004"/>
      <c r="DB72" s="1004"/>
      <c r="DC72" s="1004"/>
      <c r="DD72" s="1004"/>
      <c r="DE72" s="1004"/>
      <c r="DF72" s="1004"/>
      <c r="DG72" s="1004"/>
      <c r="DH72" s="1004"/>
      <c r="DI72" s="1004"/>
      <c r="DJ72" s="1004"/>
      <c r="DK72" s="1004"/>
      <c r="DL72" s="1004"/>
      <c r="DM72" s="1004"/>
      <c r="DN72" s="1004"/>
      <c r="DO72" s="1004"/>
      <c r="DP72" s="1004"/>
      <c r="DQ72" s="1004"/>
      <c r="DR72" s="1004"/>
      <c r="DS72" s="1004"/>
      <c r="DT72" s="1004"/>
      <c r="DU72" s="1004"/>
      <c r="DV72" s="1004"/>
      <c r="DW72" s="1004"/>
      <c r="DX72" s="1004"/>
      <c r="DY72" s="1004"/>
      <c r="DZ72" s="1004"/>
      <c r="EA72" s="1004"/>
      <c r="EB72" s="1004"/>
      <c r="EC72" s="1004"/>
      <c r="ED72" s="1004"/>
      <c r="EE72" s="1004"/>
      <c r="EF72" s="1004"/>
      <c r="EG72" s="1004"/>
      <c r="EH72" s="1004"/>
      <c r="EI72" s="1004"/>
      <c r="EJ72" s="1004"/>
      <c r="EK72" s="1004"/>
      <c r="EL72" s="1004"/>
      <c r="EM72" s="1004"/>
      <c r="EN72" s="1004"/>
      <c r="EO72" s="1004"/>
      <c r="EP72" s="1004"/>
      <c r="EQ72" s="1004"/>
      <c r="ER72" s="1004"/>
      <c r="ES72" s="1004"/>
      <c r="ET72" s="1004"/>
      <c r="EU72" s="1004"/>
      <c r="EV72" s="1004"/>
      <c r="EW72" s="1004"/>
      <c r="EX72" s="1004"/>
      <c r="EY72" s="1004"/>
      <c r="EZ72" s="1004"/>
      <c r="FA72" s="1004"/>
      <c r="FB72" s="1004"/>
      <c r="FC72" s="1004"/>
      <c r="FD72" s="1004"/>
      <c r="FE72" s="1004"/>
      <c r="FF72" s="1004"/>
      <c r="FG72" s="1004"/>
      <c r="FH72" s="1004"/>
      <c r="FI72" s="1004"/>
      <c r="FJ72" s="1004"/>
      <c r="FK72" s="1004"/>
      <c r="FL72" s="1004"/>
      <c r="FM72" s="1004"/>
      <c r="FN72" s="1004"/>
      <c r="FO72" s="1004"/>
      <c r="FP72" s="1004"/>
      <c r="FQ72" s="1004"/>
      <c r="FR72" s="1004"/>
      <c r="FS72" s="1004"/>
      <c r="FT72" s="1004"/>
      <c r="FU72" s="1004"/>
      <c r="FV72" s="1004"/>
      <c r="FW72" s="1004"/>
      <c r="FX72" s="1004"/>
      <c r="FY72" s="1004"/>
      <c r="FZ72" s="1004"/>
      <c r="GA72" s="1004"/>
      <c r="GB72" s="1004"/>
      <c r="GC72" s="1004"/>
      <c r="GD72" s="1004"/>
      <c r="GE72" s="1004"/>
      <c r="GF72" s="1004"/>
      <c r="GG72" s="1004"/>
      <c r="GH72" s="1004"/>
      <c r="GI72" s="1004"/>
      <c r="GJ72" s="1004"/>
      <c r="GK72" s="1004"/>
      <c r="GL72" s="1004"/>
      <c r="GM72" s="1004"/>
      <c r="GN72" s="1004"/>
      <c r="GO72" s="1004"/>
      <c r="GP72" s="1004"/>
      <c r="GQ72" s="1004"/>
      <c r="GR72" s="1004"/>
      <c r="GS72" s="1004"/>
      <c r="GT72" s="1004"/>
      <c r="GU72" s="1004"/>
      <c r="GV72" s="1004"/>
      <c r="GW72" s="1004"/>
      <c r="GX72" s="1004"/>
      <c r="GY72" s="1004"/>
      <c r="GZ72" s="1004"/>
      <c r="HA72" s="1004"/>
      <c r="HB72" s="1004"/>
      <c r="HC72" s="1004"/>
      <c r="HD72" s="1004"/>
      <c r="HE72" s="1004"/>
      <c r="HF72" s="1004"/>
      <c r="HG72" s="1004"/>
      <c r="HH72" s="1004"/>
      <c r="HI72" s="1004"/>
      <c r="HJ72" s="1004"/>
      <c r="HK72" s="1004"/>
      <c r="HL72" s="1004"/>
      <c r="HM72" s="1004"/>
      <c r="HN72" s="1004"/>
      <c r="HO72" s="1004"/>
      <c r="HP72" s="1004"/>
      <c r="HQ72" s="1004"/>
      <c r="HR72" s="1004"/>
      <c r="HS72" s="1004"/>
      <c r="HT72" s="1004"/>
      <c r="HU72" s="1004"/>
      <c r="HV72" s="1004"/>
      <c r="HW72" s="1004"/>
      <c r="HX72" s="1004"/>
      <c r="HY72" s="1004"/>
      <c r="HZ72" s="1004"/>
      <c r="IA72" s="1004"/>
      <c r="IB72" s="1004"/>
      <c r="IC72" s="1004"/>
      <c r="ID72" s="1004"/>
      <c r="IE72" s="1004"/>
      <c r="IF72" s="1004"/>
      <c r="IG72" s="1004"/>
      <c r="IH72" s="1004"/>
      <c r="II72" s="1004"/>
      <c r="IJ72" s="1004"/>
      <c r="IK72" s="1004"/>
      <c r="IL72" s="1004"/>
      <c r="IM72" s="1004"/>
      <c r="IN72" s="1004"/>
      <c r="IO72" s="1004"/>
      <c r="IP72" s="1004"/>
      <c r="IQ72" s="1004"/>
      <c r="IR72" s="1004"/>
      <c r="IS72" s="1004"/>
      <c r="IT72" s="1004"/>
      <c r="IU72" s="1004"/>
      <c r="IV72" s="1004"/>
      <c r="IW72" s="1004"/>
      <c r="IX72" s="1004"/>
      <c r="IY72" s="1004"/>
      <c r="IZ72" s="1004"/>
      <c r="JA72" s="1004"/>
      <c r="JB72" s="1004"/>
      <c r="JC72" s="1004"/>
      <c r="JD72" s="1004"/>
      <c r="JE72" s="1004"/>
      <c r="JF72" s="1004"/>
      <c r="JG72" s="1004"/>
      <c r="JH72" s="1004"/>
      <c r="JI72" s="1004"/>
      <c r="JJ72" s="1004"/>
      <c r="JK72" s="1004"/>
      <c r="JL72" s="1004"/>
      <c r="JM72" s="1004"/>
      <c r="JN72" s="1004"/>
      <c r="JO72" s="1004"/>
      <c r="JP72" s="1004"/>
      <c r="JQ72" s="1004"/>
      <c r="JR72" s="1004"/>
      <c r="JS72" s="1004"/>
      <c r="JT72" s="1004"/>
      <c r="JU72" s="1004"/>
      <c r="JV72" s="1004"/>
      <c r="JW72" s="1004"/>
      <c r="JX72" s="1004"/>
      <c r="JY72" s="1004"/>
      <c r="JZ72" s="1004"/>
      <c r="KA72" s="1004"/>
      <c r="KB72" s="1004"/>
      <c r="KC72" s="1004"/>
      <c r="KD72" s="1004"/>
      <c r="KE72" s="1004"/>
      <c r="KF72" s="1004"/>
      <c r="KG72" s="1004"/>
      <c r="KH72" s="1004"/>
      <c r="KI72" s="1004"/>
      <c r="KJ72" s="1004"/>
      <c r="KK72" s="1004"/>
      <c r="KL72" s="1004"/>
      <c r="KM72" s="1004"/>
      <c r="KN72" s="1004"/>
      <c r="KO72" s="1004"/>
      <c r="KP72" s="1004"/>
      <c r="KQ72" s="1004"/>
      <c r="KR72" s="1004"/>
      <c r="KS72" s="1004"/>
      <c r="KT72" s="1004"/>
      <c r="KU72" s="1004"/>
      <c r="KV72" s="1004"/>
      <c r="KW72" s="1004"/>
      <c r="KX72" s="1004"/>
      <c r="KY72" s="1004"/>
      <c r="KZ72" s="1004"/>
      <c r="LA72" s="1004"/>
      <c r="LB72" s="1004"/>
      <c r="LC72" s="1004"/>
      <c r="LD72" s="1004"/>
      <c r="LE72" s="1004"/>
      <c r="LF72" s="1004"/>
      <c r="LG72" s="1004"/>
      <c r="LH72" s="1004"/>
      <c r="LI72" s="1004"/>
      <c r="LJ72" s="1004"/>
      <c r="LK72" s="1004"/>
      <c r="LL72" s="1004"/>
      <c r="LM72" s="1004"/>
      <c r="LN72" s="1004"/>
      <c r="LO72" s="1004"/>
      <c r="LP72" s="1004"/>
      <c r="LQ72" s="1004"/>
      <c r="LR72" s="1004"/>
      <c r="LS72" s="1004"/>
      <c r="LT72" s="1004"/>
      <c r="LU72" s="1004"/>
      <c r="LV72" s="1004"/>
      <c r="LW72" s="1004"/>
      <c r="LX72" s="1004"/>
      <c r="LY72" s="1004"/>
      <c r="LZ72" s="1004"/>
      <c r="MA72" s="1004"/>
      <c r="MB72" s="1004"/>
      <c r="MC72" s="1004"/>
      <c r="MD72" s="1004"/>
      <c r="ME72" s="1004"/>
      <c r="MF72" s="1004"/>
      <c r="MG72" s="1004"/>
      <c r="MH72" s="1004"/>
      <c r="MI72" s="1004"/>
      <c r="MJ72" s="1004"/>
      <c r="MK72" s="1004"/>
      <c r="ML72" s="1004"/>
      <c r="MM72" s="1004"/>
      <c r="MN72" s="1004"/>
      <c r="MO72" s="1004"/>
      <c r="MP72" s="1004"/>
      <c r="MQ72" s="1004"/>
      <c r="MR72" s="1004"/>
      <c r="MS72" s="1004"/>
      <c r="MT72" s="1004"/>
      <c r="MU72" s="1004"/>
      <c r="MV72" s="1004"/>
      <c r="MW72" s="1004"/>
      <c r="MX72" s="1004"/>
      <c r="MY72" s="1004"/>
      <c r="MZ72" s="1004"/>
      <c r="NA72" s="1004"/>
      <c r="NB72" s="1004"/>
      <c r="NC72" s="1004"/>
      <c r="ND72" s="1004"/>
      <c r="NE72" s="1004"/>
      <c r="NF72" s="1004"/>
      <c r="NG72" s="1004"/>
      <c r="NH72" s="1004"/>
      <c r="NI72" s="1004"/>
      <c r="NJ72" s="1004"/>
      <c r="NK72" s="1004"/>
      <c r="NL72" s="1004"/>
      <c r="NM72" s="1004"/>
      <c r="NN72" s="1004"/>
      <c r="NO72" s="1004"/>
      <c r="NP72" s="1004"/>
      <c r="NQ72" s="1004"/>
      <c r="NR72" s="1004"/>
      <c r="NS72" s="1004"/>
      <c r="NT72" s="1004"/>
      <c r="NU72" s="1004"/>
      <c r="NV72" s="1004"/>
      <c r="NW72" s="1004"/>
      <c r="NX72" s="1004"/>
      <c r="NY72" s="1004"/>
      <c r="NZ72" s="1004"/>
      <c r="OA72" s="1004"/>
      <c r="OB72" s="1004"/>
      <c r="OC72" s="1004"/>
      <c r="OD72" s="1004"/>
      <c r="OE72" s="1004"/>
      <c r="OF72" s="1004"/>
      <c r="OG72" s="1004"/>
      <c r="OH72" s="1004"/>
      <c r="OI72" s="1004"/>
      <c r="OJ72" s="1004"/>
      <c r="OK72" s="1004"/>
      <c r="OL72" s="1004"/>
      <c r="OM72" s="1004"/>
      <c r="ON72" s="1004"/>
      <c r="OO72" s="1004"/>
      <c r="OP72" s="1004"/>
      <c r="OQ72" s="1004"/>
      <c r="OR72" s="1004"/>
      <c r="OS72" s="1004"/>
      <c r="OT72" s="1004"/>
      <c r="OU72" s="1004"/>
      <c r="OV72" s="1004"/>
      <c r="OW72" s="1004"/>
      <c r="OX72" s="1004"/>
      <c r="OY72" s="1004"/>
      <c r="OZ72" s="1004"/>
      <c r="PA72" s="1004"/>
      <c r="PB72" s="1004"/>
      <c r="PC72" s="1004"/>
      <c r="PD72" s="1004"/>
      <c r="PE72" s="1004"/>
      <c r="PF72" s="1004"/>
      <c r="PG72" s="1004"/>
      <c r="PH72" s="1004"/>
      <c r="PI72" s="1004"/>
      <c r="PJ72" s="1004"/>
      <c r="PK72" s="1004"/>
      <c r="PL72" s="1004"/>
      <c r="PM72" s="1004"/>
      <c r="PN72" s="1004"/>
      <c r="PO72" s="1004"/>
      <c r="PP72" s="1004"/>
      <c r="PQ72" s="1004"/>
      <c r="PR72" s="1004"/>
      <c r="PS72" s="1004"/>
      <c r="PT72" s="1004"/>
      <c r="PU72" s="1004"/>
      <c r="PV72" s="1004"/>
      <c r="PW72" s="1004"/>
      <c r="PX72" s="1004"/>
      <c r="PY72" s="1004"/>
      <c r="PZ72" s="1004"/>
      <c r="QA72" s="1004"/>
      <c r="QB72" s="1004"/>
      <c r="QC72" s="1004"/>
      <c r="QD72" s="1004"/>
      <c r="QE72" s="1004"/>
      <c r="QF72" s="1004"/>
      <c r="QG72" s="1004"/>
      <c r="QH72" s="1004"/>
      <c r="QI72" s="1004"/>
      <c r="QJ72" s="1004"/>
      <c r="QK72" s="1004"/>
      <c r="QL72" s="1004"/>
      <c r="QM72" s="1004"/>
      <c r="QN72" s="1004"/>
      <c r="QO72" s="1004"/>
      <c r="QP72" s="1004"/>
      <c r="QQ72" s="1004"/>
      <c r="QR72" s="1004"/>
      <c r="QS72" s="1004"/>
      <c r="QT72" s="1004"/>
      <c r="QU72" s="1004"/>
      <c r="QV72" s="1004"/>
      <c r="QW72" s="1004"/>
      <c r="QX72" s="1004"/>
      <c r="QY72" s="1004"/>
      <c r="QZ72" s="1004"/>
      <c r="RA72" s="1004"/>
      <c r="RB72" s="1004"/>
      <c r="RC72" s="1004"/>
      <c r="RD72" s="1004"/>
      <c r="RE72" s="1004"/>
      <c r="RF72" s="1004"/>
      <c r="RG72" s="1004"/>
      <c r="RH72" s="1004"/>
      <c r="RI72" s="1004"/>
      <c r="RJ72" s="1004"/>
      <c r="RK72" s="1004"/>
      <c r="RL72" s="1004"/>
      <c r="RM72" s="1004"/>
      <c r="RN72" s="1004"/>
      <c r="RO72" s="1004"/>
      <c r="RP72" s="1004"/>
      <c r="RQ72" s="1004"/>
      <c r="RR72" s="1004"/>
      <c r="RS72" s="1004"/>
      <c r="RT72" s="1004"/>
      <c r="RU72" s="1004"/>
      <c r="RV72" s="1004"/>
      <c r="RW72" s="1004"/>
      <c r="RX72" s="1004"/>
      <c r="RY72" s="1004"/>
      <c r="RZ72" s="1004"/>
      <c r="SA72" s="1004"/>
      <c r="SB72" s="1004"/>
      <c r="SC72" s="1004"/>
      <c r="SD72" s="1004"/>
      <c r="SE72" s="1004"/>
      <c r="SF72" s="1004"/>
      <c r="SG72" s="1004"/>
      <c r="SH72" s="1004"/>
      <c r="SI72" s="1004"/>
      <c r="SJ72" s="1004"/>
      <c r="SK72" s="1004"/>
      <c r="SL72" s="1004"/>
      <c r="SM72" s="1004"/>
      <c r="SN72" s="1004"/>
      <c r="SO72" s="1004"/>
      <c r="SP72" s="1004"/>
      <c r="SQ72" s="1004"/>
      <c r="SR72" s="1004"/>
      <c r="SS72" s="1004"/>
      <c r="ST72" s="1004"/>
      <c r="SU72" s="1004"/>
      <c r="SV72" s="1004"/>
      <c r="SW72" s="1004"/>
      <c r="SX72" s="1004"/>
      <c r="SY72" s="1004"/>
      <c r="SZ72" s="1004"/>
      <c r="TA72" s="1004"/>
      <c r="TB72" s="1004"/>
      <c r="TC72" s="1004"/>
      <c r="TD72" s="1004"/>
      <c r="TE72" s="1004"/>
      <c r="TF72" s="1004"/>
      <c r="TG72" s="1004"/>
      <c r="TH72" s="1004"/>
      <c r="TI72" s="1004"/>
      <c r="TJ72" s="1004"/>
      <c r="TK72" s="1004"/>
      <c r="TL72" s="1004"/>
      <c r="TM72" s="1004"/>
      <c r="TN72" s="1004"/>
      <c r="TO72" s="1004"/>
      <c r="TP72" s="1004"/>
      <c r="TQ72" s="1004"/>
      <c r="TR72" s="1004"/>
      <c r="TS72" s="1004"/>
      <c r="TT72" s="1004"/>
      <c r="TU72" s="1004"/>
      <c r="TV72" s="1004"/>
      <c r="TW72" s="1004"/>
      <c r="TX72" s="1004"/>
      <c r="TY72" s="1004"/>
      <c r="TZ72" s="1004"/>
      <c r="UA72" s="1004"/>
      <c r="UB72" s="1004"/>
      <c r="UC72" s="1004"/>
      <c r="UD72" s="1004"/>
      <c r="UE72" s="1004"/>
      <c r="UF72" s="1004"/>
      <c r="UG72" s="1004"/>
      <c r="UH72" s="1004"/>
      <c r="UI72" s="1004"/>
      <c r="UJ72" s="1004"/>
      <c r="UK72" s="1004"/>
      <c r="UL72" s="1004"/>
      <c r="UM72" s="1004"/>
      <c r="UN72" s="1004"/>
      <c r="UO72" s="1004"/>
      <c r="UP72" s="1004"/>
      <c r="UQ72" s="1004"/>
      <c r="UR72" s="1004"/>
      <c r="US72" s="1004"/>
      <c r="UT72" s="1004"/>
      <c r="UU72" s="1004"/>
      <c r="UV72" s="1004"/>
      <c r="UW72" s="1004"/>
      <c r="UX72" s="1004"/>
      <c r="UY72" s="1004"/>
      <c r="UZ72" s="1004"/>
      <c r="VA72" s="1004"/>
      <c r="VB72" s="1004"/>
      <c r="VC72" s="1004"/>
      <c r="VD72" s="1004"/>
      <c r="VE72" s="1004"/>
      <c r="VF72" s="1004"/>
      <c r="VG72" s="1004"/>
      <c r="VH72" s="1004"/>
      <c r="VI72" s="1004"/>
      <c r="VJ72" s="1004"/>
      <c r="VK72" s="1004"/>
      <c r="VL72" s="1004"/>
      <c r="VM72" s="1004"/>
      <c r="VN72" s="1004"/>
      <c r="VO72" s="1004"/>
      <c r="VP72" s="1004"/>
      <c r="VQ72" s="1004"/>
      <c r="VR72" s="1004"/>
      <c r="VS72" s="1004"/>
      <c r="VT72" s="1004"/>
      <c r="VU72" s="1004"/>
      <c r="VV72" s="1004"/>
      <c r="VW72" s="1004"/>
      <c r="VX72" s="1004"/>
      <c r="VY72" s="1004"/>
      <c r="VZ72" s="1004"/>
      <c r="WA72" s="1004"/>
      <c r="WB72" s="1004"/>
      <c r="WC72" s="1004"/>
      <c r="WD72" s="1004"/>
      <c r="WE72" s="1004"/>
      <c r="WF72" s="1004"/>
      <c r="WG72" s="1004"/>
      <c r="WH72" s="1004"/>
      <c r="WI72" s="1004"/>
      <c r="WJ72" s="1004"/>
      <c r="WK72" s="1004"/>
      <c r="WL72" s="1004"/>
      <c r="WM72" s="1004"/>
      <c r="WN72" s="1004"/>
      <c r="WO72" s="1004"/>
      <c r="WP72" s="1004"/>
      <c r="WQ72" s="1004"/>
      <c r="WR72" s="1004"/>
      <c r="WS72" s="1004"/>
      <c r="WT72" s="1004"/>
      <c r="WU72" s="1004"/>
      <c r="WV72" s="1004"/>
      <c r="WW72" s="1004"/>
      <c r="WX72" s="1004"/>
      <c r="WY72" s="1004"/>
      <c r="WZ72" s="1004"/>
      <c r="XA72" s="1004"/>
      <c r="XB72" s="1004"/>
      <c r="XC72" s="1004"/>
      <c r="XD72" s="1004"/>
      <c r="XE72" s="1004"/>
      <c r="XF72" s="1004"/>
      <c r="XG72" s="1004"/>
      <c r="XH72" s="1004"/>
      <c r="XI72" s="1004"/>
      <c r="XJ72" s="1004"/>
      <c r="XK72" s="1004"/>
      <c r="XL72" s="1004"/>
      <c r="XM72" s="1004"/>
      <c r="XN72" s="1004"/>
      <c r="XO72" s="1004"/>
      <c r="XP72" s="1004"/>
      <c r="XQ72" s="1004"/>
      <c r="XR72" s="1004"/>
      <c r="XS72" s="1004"/>
      <c r="XT72" s="1004"/>
      <c r="XU72" s="1004"/>
      <c r="XV72" s="1004"/>
      <c r="XW72" s="1004"/>
      <c r="XX72" s="1004"/>
      <c r="XY72" s="1004"/>
      <c r="XZ72" s="1004"/>
      <c r="YA72" s="1004"/>
      <c r="YB72" s="1004"/>
      <c r="YC72" s="1004"/>
      <c r="YD72" s="1004"/>
      <c r="YE72" s="1004"/>
      <c r="YF72" s="1004"/>
      <c r="YG72" s="1004"/>
      <c r="YH72" s="1004"/>
      <c r="YI72" s="1004"/>
      <c r="YJ72" s="1004"/>
      <c r="YK72" s="1004"/>
      <c r="YL72" s="1004"/>
      <c r="YM72" s="1004"/>
      <c r="YN72" s="1004"/>
      <c r="YO72" s="1004"/>
      <c r="YP72" s="1004"/>
      <c r="YQ72" s="1004"/>
      <c r="YR72" s="1004"/>
      <c r="YS72" s="1004"/>
      <c r="YT72" s="1004"/>
      <c r="YU72" s="1004"/>
      <c r="YV72" s="1004"/>
      <c r="YW72" s="1004"/>
      <c r="YX72" s="1004"/>
      <c r="YY72" s="1004"/>
      <c r="YZ72" s="1004"/>
      <c r="ZA72" s="1004"/>
      <c r="ZB72" s="1004"/>
      <c r="ZC72" s="1004"/>
      <c r="ZD72" s="1004"/>
      <c r="ZE72" s="1004"/>
      <c r="ZF72" s="1004"/>
      <c r="ZG72" s="1004"/>
      <c r="ZH72" s="1004"/>
      <c r="ZI72" s="1004"/>
      <c r="ZJ72" s="1004"/>
      <c r="ZK72" s="1004"/>
      <c r="ZL72" s="1004"/>
      <c r="ZM72" s="1004"/>
      <c r="ZN72" s="1004"/>
      <c r="ZO72" s="1004"/>
      <c r="ZP72" s="1004"/>
      <c r="ZQ72" s="1004"/>
      <c r="ZR72" s="1004"/>
      <c r="ZS72" s="1004"/>
      <c r="ZT72" s="1004"/>
      <c r="ZU72" s="1004"/>
      <c r="ZV72" s="1004"/>
      <c r="ZW72" s="1004"/>
      <c r="ZX72" s="1004"/>
      <c r="ZY72" s="1004"/>
      <c r="ZZ72" s="1004"/>
      <c r="AAA72" s="1004"/>
      <c r="AAB72" s="1004"/>
      <c r="AAC72" s="1004"/>
      <c r="AAD72" s="1004"/>
      <c r="AAE72" s="1004"/>
      <c r="AAF72" s="1004"/>
      <c r="AAG72" s="1004"/>
      <c r="AAH72" s="1004"/>
      <c r="AAI72" s="1004"/>
      <c r="AAJ72" s="1004"/>
      <c r="AAK72" s="1004"/>
      <c r="AAL72" s="1004"/>
      <c r="AAM72" s="1004"/>
      <c r="AAN72" s="1004"/>
      <c r="AAO72" s="1004"/>
      <c r="AAP72" s="1004"/>
      <c r="AAQ72" s="1004"/>
      <c r="AAR72" s="1004"/>
      <c r="AAS72" s="1004"/>
      <c r="AAT72" s="1004"/>
      <c r="AAU72" s="1004"/>
      <c r="AAV72" s="1004"/>
      <c r="AAW72" s="1004"/>
      <c r="AAX72" s="1004"/>
      <c r="AAY72" s="1004"/>
      <c r="AAZ72" s="1004"/>
      <c r="ABA72" s="1004"/>
      <c r="ABB72" s="1004"/>
      <c r="ABC72" s="1004"/>
      <c r="ABD72" s="1004"/>
      <c r="ABE72" s="1004"/>
      <c r="ABF72" s="1004"/>
      <c r="ABG72" s="1004"/>
      <c r="ABH72" s="1004"/>
      <c r="ABI72" s="1004"/>
      <c r="ABJ72" s="1004"/>
      <c r="ABK72" s="1004"/>
      <c r="ABL72" s="1004"/>
      <c r="ABM72" s="1004"/>
      <c r="ABN72" s="1004"/>
      <c r="ABO72" s="1004"/>
      <c r="ABP72" s="1004"/>
      <c r="ABQ72" s="1004"/>
      <c r="ABR72" s="1004"/>
    </row>
    <row r="73" spans="1:746" s="1" customFormat="1" ht="12" hidden="1" customHeight="1">
      <c r="A73" s="1253"/>
      <c r="B73" s="2957" t="s">
        <v>342</v>
      </c>
      <c r="C73" s="2958"/>
      <c r="D73" s="1631"/>
      <c r="E73" s="1631"/>
      <c r="F73" s="2930"/>
      <c r="G73" s="2930"/>
      <c r="H73" s="22"/>
      <c r="I73" s="2364"/>
      <c r="J73" s="809"/>
      <c r="K73" s="809"/>
      <c r="L73" s="809"/>
      <c r="M73" s="809"/>
      <c r="N73" s="809"/>
      <c r="O73" s="809"/>
      <c r="P73" s="809"/>
      <c r="Q73" s="809"/>
      <c r="R73" s="809"/>
      <c r="S73" s="809"/>
      <c r="T73" s="809"/>
      <c r="U73" s="220"/>
      <c r="V73" s="220"/>
      <c r="W73" s="220"/>
      <c r="X73" s="220"/>
      <c r="Y73" s="220"/>
      <c r="Z73" s="220"/>
      <c r="AA73" s="220"/>
      <c r="AB73" s="220"/>
      <c r="AC73" s="220"/>
      <c r="AD73" s="220"/>
      <c r="AE73" s="220"/>
      <c r="AF73" s="220"/>
      <c r="AG73" s="2203"/>
      <c r="AH73" s="95"/>
      <c r="AI73" s="95"/>
      <c r="AJ73" s="424">
        <f>IF(fx!$C$57=1,SUMIF(fx!I$57:T$57,1,I73:T73),IF(fx!$C$57=2,SUMIF(fx!O$57:AF$57,1,O73:AF73)))</f>
        <v>0</v>
      </c>
      <c r="AK73" s="415"/>
      <c r="AL73" s="425">
        <f>IF(fx!$C$57=1,SUM(U73:AF73),0)</f>
        <v>0</v>
      </c>
      <c r="AM73" s="1005"/>
      <c r="AN73" s="352"/>
      <c r="AO73" s="1945"/>
      <c r="AP73" s="1935"/>
      <c r="AQ73" s="1936"/>
      <c r="AR73" s="1941"/>
      <c r="AS73" s="1941"/>
      <c r="AT73" s="1941"/>
      <c r="AU73" s="1941"/>
      <c r="AV73" s="1941"/>
      <c r="AW73" s="1941"/>
      <c r="AX73" s="1941"/>
      <c r="AY73" s="1941"/>
      <c r="AZ73" s="1941"/>
      <c r="BA73" s="1941"/>
      <c r="BB73" s="1941"/>
      <c r="BC73" s="1941"/>
      <c r="BD73" s="1941"/>
      <c r="BE73" s="1941"/>
      <c r="BF73" s="1941"/>
      <c r="BG73" s="1941"/>
      <c r="BH73" s="1941"/>
      <c r="BI73" s="1941"/>
      <c r="BJ73" s="1941"/>
      <c r="BK73" s="1941"/>
      <c r="BL73" s="1941"/>
      <c r="BM73" s="1941"/>
      <c r="BN73" s="1941"/>
      <c r="BO73" s="1941"/>
      <c r="BP73" s="1004"/>
      <c r="BQ73" s="1004"/>
      <c r="BR73" s="1004"/>
      <c r="BS73" s="1004"/>
      <c r="BT73" s="1004"/>
      <c r="BU73" s="1004"/>
      <c r="BV73" s="1004"/>
      <c r="BW73" s="1004"/>
      <c r="BX73" s="1004"/>
      <c r="BY73" s="1004"/>
      <c r="BZ73" s="1004"/>
      <c r="CA73" s="1004"/>
      <c r="CB73" s="1004"/>
      <c r="CC73" s="1004"/>
      <c r="CD73" s="1004"/>
      <c r="CE73" s="1004"/>
      <c r="CF73" s="1004"/>
      <c r="CG73" s="1004"/>
      <c r="CH73" s="1004"/>
      <c r="CI73" s="1004"/>
      <c r="CJ73" s="1004"/>
      <c r="CK73" s="1004"/>
      <c r="CL73" s="1004"/>
      <c r="CM73" s="1004"/>
      <c r="CN73" s="1004"/>
      <c r="CO73" s="1004"/>
      <c r="CP73" s="1004"/>
      <c r="CQ73" s="1004"/>
      <c r="CR73" s="1004"/>
      <c r="CS73" s="1004"/>
      <c r="CT73" s="1004"/>
      <c r="CU73" s="1004"/>
      <c r="CV73" s="1004"/>
      <c r="CW73" s="1004"/>
      <c r="CX73" s="1004"/>
      <c r="CY73" s="1004"/>
      <c r="CZ73" s="1004"/>
      <c r="DA73" s="1004"/>
      <c r="DB73" s="1004"/>
      <c r="DC73" s="1004"/>
      <c r="DD73" s="1004"/>
      <c r="DE73" s="1004"/>
      <c r="DF73" s="1004"/>
      <c r="DG73" s="1004"/>
      <c r="DH73" s="1004"/>
      <c r="DI73" s="1004"/>
      <c r="DJ73" s="1004"/>
      <c r="DK73" s="1004"/>
      <c r="DL73" s="1004"/>
      <c r="DM73" s="1004"/>
      <c r="DN73" s="1004"/>
      <c r="DO73" s="1004"/>
      <c r="DP73" s="1004"/>
      <c r="DQ73" s="1004"/>
      <c r="DR73" s="1004"/>
      <c r="DS73" s="1004"/>
      <c r="DT73" s="1004"/>
      <c r="DU73" s="1004"/>
      <c r="DV73" s="1004"/>
      <c r="DW73" s="1004"/>
      <c r="DX73" s="1004"/>
      <c r="DY73" s="1004"/>
      <c r="DZ73" s="1004"/>
      <c r="EA73" s="1004"/>
      <c r="EB73" s="1004"/>
      <c r="EC73" s="1004"/>
      <c r="ED73" s="1004"/>
      <c r="EE73" s="1004"/>
      <c r="EF73" s="1004"/>
      <c r="EG73" s="1004"/>
      <c r="EH73" s="1004"/>
      <c r="EI73" s="1004"/>
      <c r="EJ73" s="1004"/>
      <c r="EK73" s="1004"/>
      <c r="EL73" s="1004"/>
      <c r="EM73" s="1004"/>
      <c r="EN73" s="1004"/>
      <c r="EO73" s="1004"/>
      <c r="EP73" s="1004"/>
      <c r="EQ73" s="1004"/>
      <c r="ER73" s="1004"/>
      <c r="ES73" s="1004"/>
      <c r="ET73" s="1004"/>
      <c r="EU73" s="1004"/>
      <c r="EV73" s="1004"/>
      <c r="EW73" s="1004"/>
      <c r="EX73" s="1004"/>
      <c r="EY73" s="1004"/>
      <c r="EZ73" s="1004"/>
      <c r="FA73" s="1004"/>
      <c r="FB73" s="1004"/>
      <c r="FC73" s="1004"/>
      <c r="FD73" s="1004"/>
      <c r="FE73" s="1004"/>
      <c r="FF73" s="1004"/>
      <c r="FG73" s="1004"/>
      <c r="FH73" s="1004"/>
      <c r="FI73" s="1004"/>
      <c r="FJ73" s="1004"/>
      <c r="FK73" s="1004"/>
      <c r="FL73" s="1004"/>
      <c r="FM73" s="1004"/>
      <c r="FN73" s="1004"/>
      <c r="FO73" s="1004"/>
      <c r="FP73" s="1004"/>
      <c r="FQ73" s="1004"/>
      <c r="FR73" s="1004"/>
      <c r="FS73" s="1004"/>
      <c r="FT73" s="1004"/>
      <c r="FU73" s="1004"/>
      <c r="FV73" s="1004"/>
      <c r="FW73" s="1004"/>
      <c r="FX73" s="1004"/>
      <c r="FY73" s="1004"/>
      <c r="FZ73" s="1004"/>
      <c r="GA73" s="1004"/>
      <c r="GB73" s="1004"/>
      <c r="GC73" s="1004"/>
      <c r="GD73" s="1004"/>
      <c r="GE73" s="1004"/>
      <c r="GF73" s="1004"/>
      <c r="GG73" s="1004"/>
      <c r="GH73" s="1004"/>
      <c r="GI73" s="1004"/>
      <c r="GJ73" s="1004"/>
      <c r="GK73" s="1004"/>
      <c r="GL73" s="1004"/>
      <c r="GM73" s="1004"/>
      <c r="GN73" s="1004"/>
      <c r="GO73" s="1004"/>
      <c r="GP73" s="1004"/>
      <c r="GQ73" s="1004"/>
      <c r="GR73" s="1004"/>
      <c r="GS73" s="1004"/>
      <c r="GT73" s="1004"/>
      <c r="GU73" s="1004"/>
      <c r="GV73" s="1004"/>
      <c r="GW73" s="1004"/>
      <c r="GX73" s="1004"/>
      <c r="GY73" s="1004"/>
      <c r="GZ73" s="1004"/>
      <c r="HA73" s="1004"/>
      <c r="HB73" s="1004"/>
      <c r="HC73" s="1004"/>
      <c r="HD73" s="1004"/>
      <c r="HE73" s="1004"/>
      <c r="HF73" s="1004"/>
      <c r="HG73" s="1004"/>
      <c r="HH73" s="1004"/>
      <c r="HI73" s="1004"/>
      <c r="HJ73" s="1004"/>
      <c r="HK73" s="1004"/>
      <c r="HL73" s="1004"/>
      <c r="HM73" s="1004"/>
      <c r="HN73" s="1004"/>
      <c r="HO73" s="1004"/>
      <c r="HP73" s="1004"/>
      <c r="HQ73" s="1004"/>
      <c r="HR73" s="1004"/>
      <c r="HS73" s="1004"/>
      <c r="HT73" s="1004"/>
      <c r="HU73" s="1004"/>
      <c r="HV73" s="1004"/>
      <c r="HW73" s="1004"/>
      <c r="HX73" s="1004"/>
      <c r="HY73" s="1004"/>
      <c r="HZ73" s="1004"/>
      <c r="IA73" s="1004"/>
      <c r="IB73" s="1004"/>
      <c r="IC73" s="1004"/>
      <c r="ID73" s="1004"/>
      <c r="IE73" s="1004"/>
      <c r="IF73" s="1004"/>
      <c r="IG73" s="1004"/>
      <c r="IH73" s="1004"/>
      <c r="II73" s="1004"/>
      <c r="IJ73" s="1004"/>
      <c r="IK73" s="1004"/>
      <c r="IL73" s="1004"/>
      <c r="IM73" s="1004"/>
      <c r="IN73" s="1004"/>
      <c r="IO73" s="1004"/>
      <c r="IP73" s="1004"/>
      <c r="IQ73" s="1004"/>
      <c r="IR73" s="1004"/>
      <c r="IS73" s="1004"/>
      <c r="IT73" s="1004"/>
      <c r="IU73" s="1004"/>
      <c r="IV73" s="1004"/>
      <c r="IW73" s="1004"/>
      <c r="IX73" s="1004"/>
      <c r="IY73" s="1004"/>
      <c r="IZ73" s="1004"/>
      <c r="JA73" s="1004"/>
      <c r="JB73" s="1004"/>
      <c r="JC73" s="1004"/>
      <c r="JD73" s="1004"/>
      <c r="JE73" s="1004"/>
      <c r="JF73" s="1004"/>
      <c r="JG73" s="1004"/>
      <c r="JH73" s="1004"/>
      <c r="JI73" s="1004"/>
      <c r="JJ73" s="1004"/>
      <c r="JK73" s="1004"/>
      <c r="JL73" s="1004"/>
      <c r="JM73" s="1004"/>
      <c r="JN73" s="1004"/>
      <c r="JO73" s="1004"/>
      <c r="JP73" s="1004"/>
      <c r="JQ73" s="1004"/>
      <c r="JR73" s="1004"/>
      <c r="JS73" s="1004"/>
      <c r="JT73" s="1004"/>
      <c r="JU73" s="1004"/>
      <c r="JV73" s="1004"/>
      <c r="JW73" s="1004"/>
      <c r="JX73" s="1004"/>
      <c r="JY73" s="1004"/>
      <c r="JZ73" s="1004"/>
      <c r="KA73" s="1004"/>
      <c r="KB73" s="1004"/>
      <c r="KC73" s="1004"/>
      <c r="KD73" s="1004"/>
      <c r="KE73" s="1004"/>
      <c r="KF73" s="1004"/>
      <c r="KG73" s="1004"/>
      <c r="KH73" s="1004"/>
      <c r="KI73" s="1004"/>
      <c r="KJ73" s="1004"/>
      <c r="KK73" s="1004"/>
      <c r="KL73" s="1004"/>
      <c r="KM73" s="1004"/>
      <c r="KN73" s="1004"/>
      <c r="KO73" s="1004"/>
      <c r="KP73" s="1004"/>
      <c r="KQ73" s="1004"/>
      <c r="KR73" s="1004"/>
      <c r="KS73" s="1004"/>
      <c r="KT73" s="1004"/>
      <c r="KU73" s="1004"/>
      <c r="KV73" s="1004"/>
      <c r="KW73" s="1004"/>
      <c r="KX73" s="1004"/>
      <c r="KY73" s="1004"/>
      <c r="KZ73" s="1004"/>
      <c r="LA73" s="1004"/>
      <c r="LB73" s="1004"/>
      <c r="LC73" s="1004"/>
      <c r="LD73" s="1004"/>
      <c r="LE73" s="1004"/>
      <c r="LF73" s="1004"/>
      <c r="LG73" s="1004"/>
      <c r="LH73" s="1004"/>
      <c r="LI73" s="1004"/>
      <c r="LJ73" s="1004"/>
      <c r="LK73" s="1004"/>
      <c r="LL73" s="1004"/>
      <c r="LM73" s="1004"/>
      <c r="LN73" s="1004"/>
      <c r="LO73" s="1004"/>
      <c r="LP73" s="1004"/>
      <c r="LQ73" s="1004"/>
      <c r="LR73" s="1004"/>
      <c r="LS73" s="1004"/>
      <c r="LT73" s="1004"/>
      <c r="LU73" s="1004"/>
      <c r="LV73" s="1004"/>
      <c r="LW73" s="1004"/>
      <c r="LX73" s="1004"/>
      <c r="LY73" s="1004"/>
      <c r="LZ73" s="1004"/>
      <c r="MA73" s="1004"/>
      <c r="MB73" s="1004"/>
      <c r="MC73" s="1004"/>
      <c r="MD73" s="1004"/>
      <c r="ME73" s="1004"/>
      <c r="MF73" s="1004"/>
      <c r="MG73" s="1004"/>
      <c r="MH73" s="1004"/>
      <c r="MI73" s="1004"/>
      <c r="MJ73" s="1004"/>
      <c r="MK73" s="1004"/>
      <c r="ML73" s="1004"/>
      <c r="MM73" s="1004"/>
      <c r="MN73" s="1004"/>
      <c r="MO73" s="1004"/>
      <c r="MP73" s="1004"/>
      <c r="MQ73" s="1004"/>
      <c r="MR73" s="1004"/>
      <c r="MS73" s="1004"/>
      <c r="MT73" s="1004"/>
      <c r="MU73" s="1004"/>
      <c r="MV73" s="1004"/>
      <c r="MW73" s="1004"/>
      <c r="MX73" s="1004"/>
      <c r="MY73" s="1004"/>
      <c r="MZ73" s="1004"/>
      <c r="NA73" s="1004"/>
      <c r="NB73" s="1004"/>
      <c r="NC73" s="1004"/>
      <c r="ND73" s="1004"/>
      <c r="NE73" s="1004"/>
      <c r="NF73" s="1004"/>
      <c r="NG73" s="1004"/>
      <c r="NH73" s="1004"/>
      <c r="NI73" s="1004"/>
      <c r="NJ73" s="1004"/>
      <c r="NK73" s="1004"/>
      <c r="NL73" s="1004"/>
      <c r="NM73" s="1004"/>
      <c r="NN73" s="1004"/>
      <c r="NO73" s="1004"/>
      <c r="NP73" s="1004"/>
      <c r="NQ73" s="1004"/>
      <c r="NR73" s="1004"/>
      <c r="NS73" s="1004"/>
      <c r="NT73" s="1004"/>
      <c r="NU73" s="1004"/>
      <c r="NV73" s="1004"/>
      <c r="NW73" s="1004"/>
      <c r="NX73" s="1004"/>
      <c r="NY73" s="1004"/>
      <c r="NZ73" s="1004"/>
      <c r="OA73" s="1004"/>
      <c r="OB73" s="1004"/>
      <c r="OC73" s="1004"/>
      <c r="OD73" s="1004"/>
      <c r="OE73" s="1004"/>
      <c r="OF73" s="1004"/>
      <c r="OG73" s="1004"/>
      <c r="OH73" s="1004"/>
      <c r="OI73" s="1004"/>
      <c r="OJ73" s="1004"/>
      <c r="OK73" s="1004"/>
      <c r="OL73" s="1004"/>
      <c r="OM73" s="1004"/>
      <c r="ON73" s="1004"/>
      <c r="OO73" s="1004"/>
      <c r="OP73" s="1004"/>
      <c r="OQ73" s="1004"/>
      <c r="OR73" s="1004"/>
      <c r="OS73" s="1004"/>
      <c r="OT73" s="1004"/>
      <c r="OU73" s="1004"/>
      <c r="OV73" s="1004"/>
      <c r="OW73" s="1004"/>
      <c r="OX73" s="1004"/>
      <c r="OY73" s="1004"/>
      <c r="OZ73" s="1004"/>
      <c r="PA73" s="1004"/>
      <c r="PB73" s="1004"/>
      <c r="PC73" s="1004"/>
      <c r="PD73" s="1004"/>
      <c r="PE73" s="1004"/>
      <c r="PF73" s="1004"/>
      <c r="PG73" s="1004"/>
      <c r="PH73" s="1004"/>
      <c r="PI73" s="1004"/>
      <c r="PJ73" s="1004"/>
      <c r="PK73" s="1004"/>
      <c r="PL73" s="1004"/>
      <c r="PM73" s="1004"/>
      <c r="PN73" s="1004"/>
      <c r="PO73" s="1004"/>
      <c r="PP73" s="1004"/>
      <c r="PQ73" s="1004"/>
      <c r="PR73" s="1004"/>
      <c r="PS73" s="1004"/>
      <c r="PT73" s="1004"/>
      <c r="PU73" s="1004"/>
      <c r="PV73" s="1004"/>
      <c r="PW73" s="1004"/>
      <c r="PX73" s="1004"/>
      <c r="PY73" s="1004"/>
      <c r="PZ73" s="1004"/>
      <c r="QA73" s="1004"/>
      <c r="QB73" s="1004"/>
      <c r="QC73" s="1004"/>
      <c r="QD73" s="1004"/>
      <c r="QE73" s="1004"/>
      <c r="QF73" s="1004"/>
      <c r="QG73" s="1004"/>
      <c r="QH73" s="1004"/>
      <c r="QI73" s="1004"/>
      <c r="QJ73" s="1004"/>
      <c r="QK73" s="1004"/>
      <c r="QL73" s="1004"/>
      <c r="QM73" s="1004"/>
      <c r="QN73" s="1004"/>
      <c r="QO73" s="1004"/>
      <c r="QP73" s="1004"/>
      <c r="QQ73" s="1004"/>
      <c r="QR73" s="1004"/>
      <c r="QS73" s="1004"/>
      <c r="QT73" s="1004"/>
      <c r="QU73" s="1004"/>
      <c r="QV73" s="1004"/>
      <c r="QW73" s="1004"/>
      <c r="QX73" s="1004"/>
      <c r="QY73" s="1004"/>
      <c r="QZ73" s="1004"/>
      <c r="RA73" s="1004"/>
      <c r="RB73" s="1004"/>
      <c r="RC73" s="1004"/>
      <c r="RD73" s="1004"/>
      <c r="RE73" s="1004"/>
      <c r="RF73" s="1004"/>
      <c r="RG73" s="1004"/>
      <c r="RH73" s="1004"/>
      <c r="RI73" s="1004"/>
      <c r="RJ73" s="1004"/>
      <c r="RK73" s="1004"/>
      <c r="RL73" s="1004"/>
      <c r="RM73" s="1004"/>
      <c r="RN73" s="1004"/>
      <c r="RO73" s="1004"/>
      <c r="RP73" s="1004"/>
      <c r="RQ73" s="1004"/>
      <c r="RR73" s="1004"/>
      <c r="RS73" s="1004"/>
      <c r="RT73" s="1004"/>
      <c r="RU73" s="1004"/>
      <c r="RV73" s="1004"/>
      <c r="RW73" s="1004"/>
      <c r="RX73" s="1004"/>
      <c r="RY73" s="1004"/>
      <c r="RZ73" s="1004"/>
      <c r="SA73" s="1004"/>
      <c r="SB73" s="1004"/>
      <c r="SC73" s="1004"/>
      <c r="SD73" s="1004"/>
      <c r="SE73" s="1004"/>
      <c r="SF73" s="1004"/>
      <c r="SG73" s="1004"/>
      <c r="SH73" s="1004"/>
      <c r="SI73" s="1004"/>
      <c r="SJ73" s="1004"/>
      <c r="SK73" s="1004"/>
      <c r="SL73" s="1004"/>
      <c r="SM73" s="1004"/>
      <c r="SN73" s="1004"/>
      <c r="SO73" s="1004"/>
      <c r="SP73" s="1004"/>
      <c r="SQ73" s="1004"/>
      <c r="SR73" s="1004"/>
      <c r="SS73" s="1004"/>
      <c r="ST73" s="1004"/>
      <c r="SU73" s="1004"/>
      <c r="SV73" s="1004"/>
      <c r="SW73" s="1004"/>
      <c r="SX73" s="1004"/>
      <c r="SY73" s="1004"/>
      <c r="SZ73" s="1004"/>
      <c r="TA73" s="1004"/>
      <c r="TB73" s="1004"/>
      <c r="TC73" s="1004"/>
      <c r="TD73" s="1004"/>
      <c r="TE73" s="1004"/>
      <c r="TF73" s="1004"/>
      <c r="TG73" s="1004"/>
      <c r="TH73" s="1004"/>
      <c r="TI73" s="1004"/>
      <c r="TJ73" s="1004"/>
      <c r="TK73" s="1004"/>
      <c r="TL73" s="1004"/>
      <c r="TM73" s="1004"/>
      <c r="TN73" s="1004"/>
      <c r="TO73" s="1004"/>
      <c r="TP73" s="1004"/>
      <c r="TQ73" s="1004"/>
      <c r="TR73" s="1004"/>
      <c r="TS73" s="1004"/>
      <c r="TT73" s="1004"/>
      <c r="TU73" s="1004"/>
      <c r="TV73" s="1004"/>
      <c r="TW73" s="1004"/>
      <c r="TX73" s="1004"/>
      <c r="TY73" s="1004"/>
      <c r="TZ73" s="1004"/>
      <c r="UA73" s="1004"/>
      <c r="UB73" s="1004"/>
      <c r="UC73" s="1004"/>
      <c r="UD73" s="1004"/>
      <c r="UE73" s="1004"/>
      <c r="UF73" s="1004"/>
      <c r="UG73" s="1004"/>
      <c r="UH73" s="1004"/>
      <c r="UI73" s="1004"/>
      <c r="UJ73" s="1004"/>
      <c r="UK73" s="1004"/>
      <c r="UL73" s="1004"/>
      <c r="UM73" s="1004"/>
      <c r="UN73" s="1004"/>
      <c r="UO73" s="1004"/>
      <c r="UP73" s="1004"/>
      <c r="UQ73" s="1004"/>
      <c r="UR73" s="1004"/>
      <c r="US73" s="1004"/>
      <c r="UT73" s="1004"/>
      <c r="UU73" s="1004"/>
      <c r="UV73" s="1004"/>
      <c r="UW73" s="1004"/>
      <c r="UX73" s="1004"/>
      <c r="UY73" s="1004"/>
      <c r="UZ73" s="1004"/>
      <c r="VA73" s="1004"/>
      <c r="VB73" s="1004"/>
      <c r="VC73" s="1004"/>
      <c r="VD73" s="1004"/>
      <c r="VE73" s="1004"/>
      <c r="VF73" s="1004"/>
      <c r="VG73" s="1004"/>
      <c r="VH73" s="1004"/>
      <c r="VI73" s="1004"/>
      <c r="VJ73" s="1004"/>
      <c r="VK73" s="1004"/>
      <c r="VL73" s="1004"/>
      <c r="VM73" s="1004"/>
      <c r="VN73" s="1004"/>
      <c r="VO73" s="1004"/>
      <c r="VP73" s="1004"/>
      <c r="VQ73" s="1004"/>
      <c r="VR73" s="1004"/>
      <c r="VS73" s="1004"/>
      <c r="VT73" s="1004"/>
      <c r="VU73" s="1004"/>
      <c r="VV73" s="1004"/>
      <c r="VW73" s="1004"/>
      <c r="VX73" s="1004"/>
      <c r="VY73" s="1004"/>
      <c r="VZ73" s="1004"/>
      <c r="WA73" s="1004"/>
      <c r="WB73" s="1004"/>
      <c r="WC73" s="1004"/>
      <c r="WD73" s="1004"/>
      <c r="WE73" s="1004"/>
      <c r="WF73" s="1004"/>
      <c r="WG73" s="1004"/>
      <c r="WH73" s="1004"/>
      <c r="WI73" s="1004"/>
      <c r="WJ73" s="1004"/>
      <c r="WK73" s="1004"/>
      <c r="WL73" s="1004"/>
      <c r="WM73" s="1004"/>
      <c r="WN73" s="1004"/>
      <c r="WO73" s="1004"/>
      <c r="WP73" s="1004"/>
      <c r="WQ73" s="1004"/>
      <c r="WR73" s="1004"/>
      <c r="WS73" s="1004"/>
      <c r="WT73" s="1004"/>
      <c r="WU73" s="1004"/>
      <c r="WV73" s="1004"/>
      <c r="WW73" s="1004"/>
      <c r="WX73" s="1004"/>
      <c r="WY73" s="1004"/>
      <c r="WZ73" s="1004"/>
      <c r="XA73" s="1004"/>
      <c r="XB73" s="1004"/>
      <c r="XC73" s="1004"/>
      <c r="XD73" s="1004"/>
      <c r="XE73" s="1004"/>
      <c r="XF73" s="1004"/>
      <c r="XG73" s="1004"/>
      <c r="XH73" s="1004"/>
      <c r="XI73" s="1004"/>
      <c r="XJ73" s="1004"/>
      <c r="XK73" s="1004"/>
      <c r="XL73" s="1004"/>
      <c r="XM73" s="1004"/>
      <c r="XN73" s="1004"/>
      <c r="XO73" s="1004"/>
      <c r="XP73" s="1004"/>
      <c r="XQ73" s="1004"/>
      <c r="XR73" s="1004"/>
      <c r="XS73" s="1004"/>
      <c r="XT73" s="1004"/>
      <c r="XU73" s="1004"/>
      <c r="XV73" s="1004"/>
      <c r="XW73" s="1004"/>
      <c r="XX73" s="1004"/>
      <c r="XY73" s="1004"/>
      <c r="XZ73" s="1004"/>
      <c r="YA73" s="1004"/>
      <c r="YB73" s="1004"/>
      <c r="YC73" s="1004"/>
      <c r="YD73" s="1004"/>
      <c r="YE73" s="1004"/>
      <c r="YF73" s="1004"/>
      <c r="YG73" s="1004"/>
      <c r="YH73" s="1004"/>
      <c r="YI73" s="1004"/>
      <c r="YJ73" s="1004"/>
      <c r="YK73" s="1004"/>
      <c r="YL73" s="1004"/>
      <c r="YM73" s="1004"/>
      <c r="YN73" s="1004"/>
      <c r="YO73" s="1004"/>
      <c r="YP73" s="1004"/>
      <c r="YQ73" s="1004"/>
      <c r="YR73" s="1004"/>
      <c r="YS73" s="1004"/>
      <c r="YT73" s="1004"/>
      <c r="YU73" s="1004"/>
      <c r="YV73" s="1004"/>
      <c r="YW73" s="1004"/>
      <c r="YX73" s="1004"/>
      <c r="YY73" s="1004"/>
      <c r="YZ73" s="1004"/>
      <c r="ZA73" s="1004"/>
      <c r="ZB73" s="1004"/>
      <c r="ZC73" s="1004"/>
      <c r="ZD73" s="1004"/>
      <c r="ZE73" s="1004"/>
      <c r="ZF73" s="1004"/>
      <c r="ZG73" s="1004"/>
      <c r="ZH73" s="1004"/>
      <c r="ZI73" s="1004"/>
      <c r="ZJ73" s="1004"/>
      <c r="ZK73" s="1004"/>
      <c r="ZL73" s="1004"/>
      <c r="ZM73" s="1004"/>
      <c r="ZN73" s="1004"/>
      <c r="ZO73" s="1004"/>
      <c r="ZP73" s="1004"/>
      <c r="ZQ73" s="1004"/>
      <c r="ZR73" s="1004"/>
      <c r="ZS73" s="1004"/>
      <c r="ZT73" s="1004"/>
      <c r="ZU73" s="1004"/>
      <c r="ZV73" s="1004"/>
      <c r="ZW73" s="1004"/>
      <c r="ZX73" s="1004"/>
      <c r="ZY73" s="1004"/>
      <c r="ZZ73" s="1004"/>
      <c r="AAA73" s="1004"/>
      <c r="AAB73" s="1004"/>
      <c r="AAC73" s="1004"/>
      <c r="AAD73" s="1004"/>
      <c r="AAE73" s="1004"/>
      <c r="AAF73" s="1004"/>
      <c r="AAG73" s="1004"/>
      <c r="AAH73" s="1004"/>
      <c r="AAI73" s="1004"/>
      <c r="AAJ73" s="1004"/>
      <c r="AAK73" s="1004"/>
      <c r="AAL73" s="1004"/>
      <c r="AAM73" s="1004"/>
      <c r="AAN73" s="1004"/>
      <c r="AAO73" s="1004"/>
      <c r="AAP73" s="1004"/>
      <c r="AAQ73" s="1004"/>
      <c r="AAR73" s="1004"/>
      <c r="AAS73" s="1004"/>
      <c r="AAT73" s="1004"/>
      <c r="AAU73" s="1004"/>
      <c r="AAV73" s="1004"/>
      <c r="AAW73" s="1004"/>
      <c r="AAX73" s="1004"/>
      <c r="AAY73" s="1004"/>
      <c r="AAZ73" s="1004"/>
      <c r="ABA73" s="1004"/>
      <c r="ABB73" s="1004"/>
      <c r="ABC73" s="1004"/>
      <c r="ABD73" s="1004"/>
      <c r="ABE73" s="1004"/>
      <c r="ABF73" s="1004"/>
      <c r="ABG73" s="1004"/>
      <c r="ABH73" s="1004"/>
      <c r="ABI73" s="1004"/>
      <c r="ABJ73" s="1004"/>
      <c r="ABK73" s="1004"/>
      <c r="ABL73" s="1004"/>
      <c r="ABM73" s="1004"/>
      <c r="ABN73" s="1004"/>
      <c r="ABO73" s="1004"/>
      <c r="ABP73" s="1004"/>
      <c r="ABQ73" s="1004"/>
      <c r="ABR73" s="1004"/>
    </row>
    <row r="74" spans="1:746" s="1" customFormat="1" ht="12" hidden="1" customHeight="1">
      <c r="A74" s="1253"/>
      <c r="B74" s="2957" t="s">
        <v>342</v>
      </c>
      <c r="C74" s="2958"/>
      <c r="D74" s="1631"/>
      <c r="E74" s="1631"/>
      <c r="F74" s="2930"/>
      <c r="G74" s="2930"/>
      <c r="H74" s="22"/>
      <c r="I74" s="2364"/>
      <c r="J74" s="809"/>
      <c r="K74" s="809"/>
      <c r="L74" s="809"/>
      <c r="M74" s="809"/>
      <c r="N74" s="809"/>
      <c r="O74" s="809"/>
      <c r="P74" s="809"/>
      <c r="Q74" s="809"/>
      <c r="R74" s="809"/>
      <c r="S74" s="809"/>
      <c r="T74" s="809"/>
      <c r="U74" s="220"/>
      <c r="V74" s="220"/>
      <c r="W74" s="220"/>
      <c r="X74" s="220"/>
      <c r="Y74" s="220"/>
      <c r="Z74" s="220"/>
      <c r="AA74" s="220"/>
      <c r="AB74" s="220"/>
      <c r="AC74" s="220"/>
      <c r="AD74" s="220"/>
      <c r="AE74" s="220"/>
      <c r="AF74" s="220"/>
      <c r="AG74" s="2203"/>
      <c r="AH74" s="95"/>
      <c r="AI74" s="95"/>
      <c r="AJ74" s="424">
        <f>IF(fx!$C$57=1,SUMIF(fx!I$57:T$57,1,I74:T74),IF(fx!$C$57=2,SUMIF(fx!O$57:AF$57,1,O74:AF74)))</f>
        <v>0</v>
      </c>
      <c r="AK74" s="415"/>
      <c r="AL74" s="425">
        <f>IF(fx!$C$57=1,SUM(U74:AF74),0)</f>
        <v>0</v>
      </c>
      <c r="AM74" s="1005"/>
      <c r="AN74" s="352"/>
      <c r="AO74" s="1945"/>
      <c r="AP74" s="1935"/>
      <c r="AQ74" s="1936"/>
      <c r="AR74" s="1941"/>
      <c r="AS74" s="1941"/>
      <c r="AT74" s="1941"/>
      <c r="AU74" s="1941"/>
      <c r="AV74" s="1941"/>
      <c r="AW74" s="1941"/>
      <c r="AX74" s="1941"/>
      <c r="AY74" s="1941"/>
      <c r="AZ74" s="1941"/>
      <c r="BA74" s="1941"/>
      <c r="BB74" s="1941"/>
      <c r="BC74" s="1941"/>
      <c r="BD74" s="1941"/>
      <c r="BE74" s="1941"/>
      <c r="BF74" s="1941"/>
      <c r="BG74" s="1941"/>
      <c r="BH74" s="1941"/>
      <c r="BI74" s="1941"/>
      <c r="BJ74" s="1941"/>
      <c r="BK74" s="1941"/>
      <c r="BL74" s="1941"/>
      <c r="BM74" s="1941"/>
      <c r="BN74" s="1941"/>
      <c r="BO74" s="1941"/>
      <c r="BP74" s="1004"/>
      <c r="BQ74" s="1004"/>
      <c r="BR74" s="1004"/>
      <c r="BS74" s="1004"/>
      <c r="BT74" s="1004"/>
      <c r="BU74" s="1004"/>
      <c r="BV74" s="1004"/>
      <c r="BW74" s="1004"/>
      <c r="BX74" s="1004"/>
      <c r="BY74" s="1004"/>
      <c r="BZ74" s="1004"/>
      <c r="CA74" s="1004"/>
      <c r="CB74" s="1004"/>
      <c r="CC74" s="1004"/>
      <c r="CD74" s="1004"/>
      <c r="CE74" s="1004"/>
      <c r="CF74" s="1004"/>
      <c r="CG74" s="1004"/>
      <c r="CH74" s="1004"/>
      <c r="CI74" s="1004"/>
      <c r="CJ74" s="1004"/>
      <c r="CK74" s="1004"/>
      <c r="CL74" s="1004"/>
      <c r="CM74" s="1004"/>
      <c r="CN74" s="1004"/>
      <c r="CO74" s="1004"/>
      <c r="CP74" s="1004"/>
      <c r="CQ74" s="1004"/>
      <c r="CR74" s="1004"/>
      <c r="CS74" s="1004"/>
      <c r="CT74" s="1004"/>
      <c r="CU74" s="1004"/>
      <c r="CV74" s="1004"/>
      <c r="CW74" s="1004"/>
      <c r="CX74" s="1004"/>
      <c r="CY74" s="1004"/>
      <c r="CZ74" s="1004"/>
      <c r="DA74" s="1004"/>
      <c r="DB74" s="1004"/>
      <c r="DC74" s="1004"/>
      <c r="DD74" s="1004"/>
      <c r="DE74" s="1004"/>
      <c r="DF74" s="1004"/>
      <c r="DG74" s="1004"/>
      <c r="DH74" s="1004"/>
      <c r="DI74" s="1004"/>
      <c r="DJ74" s="1004"/>
      <c r="DK74" s="1004"/>
      <c r="DL74" s="1004"/>
      <c r="DM74" s="1004"/>
      <c r="DN74" s="1004"/>
      <c r="DO74" s="1004"/>
      <c r="DP74" s="1004"/>
      <c r="DQ74" s="1004"/>
      <c r="DR74" s="1004"/>
      <c r="DS74" s="1004"/>
      <c r="DT74" s="1004"/>
      <c r="DU74" s="1004"/>
      <c r="DV74" s="1004"/>
      <c r="DW74" s="1004"/>
      <c r="DX74" s="1004"/>
      <c r="DY74" s="1004"/>
      <c r="DZ74" s="1004"/>
      <c r="EA74" s="1004"/>
      <c r="EB74" s="1004"/>
      <c r="EC74" s="1004"/>
      <c r="ED74" s="1004"/>
      <c r="EE74" s="1004"/>
      <c r="EF74" s="1004"/>
      <c r="EG74" s="1004"/>
      <c r="EH74" s="1004"/>
      <c r="EI74" s="1004"/>
      <c r="EJ74" s="1004"/>
      <c r="EK74" s="1004"/>
      <c r="EL74" s="1004"/>
      <c r="EM74" s="1004"/>
      <c r="EN74" s="1004"/>
      <c r="EO74" s="1004"/>
      <c r="EP74" s="1004"/>
      <c r="EQ74" s="1004"/>
      <c r="ER74" s="1004"/>
      <c r="ES74" s="1004"/>
      <c r="ET74" s="1004"/>
      <c r="EU74" s="1004"/>
      <c r="EV74" s="1004"/>
      <c r="EW74" s="1004"/>
      <c r="EX74" s="1004"/>
      <c r="EY74" s="1004"/>
      <c r="EZ74" s="1004"/>
      <c r="FA74" s="1004"/>
      <c r="FB74" s="1004"/>
      <c r="FC74" s="1004"/>
      <c r="FD74" s="1004"/>
      <c r="FE74" s="1004"/>
      <c r="FF74" s="1004"/>
      <c r="FG74" s="1004"/>
      <c r="FH74" s="1004"/>
      <c r="FI74" s="1004"/>
      <c r="FJ74" s="1004"/>
      <c r="FK74" s="1004"/>
      <c r="FL74" s="1004"/>
      <c r="FM74" s="1004"/>
      <c r="FN74" s="1004"/>
      <c r="FO74" s="1004"/>
      <c r="FP74" s="1004"/>
      <c r="FQ74" s="1004"/>
      <c r="FR74" s="1004"/>
      <c r="FS74" s="1004"/>
      <c r="FT74" s="1004"/>
      <c r="FU74" s="1004"/>
      <c r="FV74" s="1004"/>
      <c r="FW74" s="1004"/>
      <c r="FX74" s="1004"/>
      <c r="FY74" s="1004"/>
      <c r="FZ74" s="1004"/>
      <c r="GA74" s="1004"/>
      <c r="GB74" s="1004"/>
      <c r="GC74" s="1004"/>
      <c r="GD74" s="1004"/>
      <c r="GE74" s="1004"/>
      <c r="GF74" s="1004"/>
      <c r="GG74" s="1004"/>
      <c r="GH74" s="1004"/>
      <c r="GI74" s="1004"/>
      <c r="GJ74" s="1004"/>
      <c r="GK74" s="1004"/>
      <c r="GL74" s="1004"/>
      <c r="GM74" s="1004"/>
      <c r="GN74" s="1004"/>
      <c r="GO74" s="1004"/>
      <c r="GP74" s="1004"/>
      <c r="GQ74" s="1004"/>
      <c r="GR74" s="1004"/>
      <c r="GS74" s="1004"/>
      <c r="GT74" s="1004"/>
      <c r="GU74" s="1004"/>
      <c r="GV74" s="1004"/>
      <c r="GW74" s="1004"/>
      <c r="GX74" s="1004"/>
      <c r="GY74" s="1004"/>
      <c r="GZ74" s="1004"/>
      <c r="HA74" s="1004"/>
      <c r="HB74" s="1004"/>
      <c r="HC74" s="1004"/>
      <c r="HD74" s="1004"/>
      <c r="HE74" s="1004"/>
      <c r="HF74" s="1004"/>
      <c r="HG74" s="1004"/>
      <c r="HH74" s="1004"/>
      <c r="HI74" s="1004"/>
      <c r="HJ74" s="1004"/>
      <c r="HK74" s="1004"/>
      <c r="HL74" s="1004"/>
      <c r="HM74" s="1004"/>
      <c r="HN74" s="1004"/>
      <c r="HO74" s="1004"/>
      <c r="HP74" s="1004"/>
      <c r="HQ74" s="1004"/>
      <c r="HR74" s="1004"/>
      <c r="HS74" s="1004"/>
      <c r="HT74" s="1004"/>
      <c r="HU74" s="1004"/>
      <c r="HV74" s="1004"/>
      <c r="HW74" s="1004"/>
      <c r="HX74" s="1004"/>
      <c r="HY74" s="1004"/>
      <c r="HZ74" s="1004"/>
      <c r="IA74" s="1004"/>
      <c r="IB74" s="1004"/>
      <c r="IC74" s="1004"/>
      <c r="ID74" s="1004"/>
      <c r="IE74" s="1004"/>
      <c r="IF74" s="1004"/>
      <c r="IG74" s="1004"/>
      <c r="IH74" s="1004"/>
      <c r="II74" s="1004"/>
      <c r="IJ74" s="1004"/>
      <c r="IK74" s="1004"/>
      <c r="IL74" s="1004"/>
      <c r="IM74" s="1004"/>
      <c r="IN74" s="1004"/>
      <c r="IO74" s="1004"/>
      <c r="IP74" s="1004"/>
      <c r="IQ74" s="1004"/>
      <c r="IR74" s="1004"/>
      <c r="IS74" s="1004"/>
      <c r="IT74" s="1004"/>
      <c r="IU74" s="1004"/>
      <c r="IV74" s="1004"/>
      <c r="IW74" s="1004"/>
      <c r="IX74" s="1004"/>
      <c r="IY74" s="1004"/>
      <c r="IZ74" s="1004"/>
      <c r="JA74" s="1004"/>
      <c r="JB74" s="1004"/>
      <c r="JC74" s="1004"/>
      <c r="JD74" s="1004"/>
      <c r="JE74" s="1004"/>
      <c r="JF74" s="1004"/>
      <c r="JG74" s="1004"/>
      <c r="JH74" s="1004"/>
      <c r="JI74" s="1004"/>
      <c r="JJ74" s="1004"/>
      <c r="JK74" s="1004"/>
      <c r="JL74" s="1004"/>
      <c r="JM74" s="1004"/>
      <c r="JN74" s="1004"/>
      <c r="JO74" s="1004"/>
      <c r="JP74" s="1004"/>
      <c r="JQ74" s="1004"/>
      <c r="JR74" s="1004"/>
      <c r="JS74" s="1004"/>
      <c r="JT74" s="1004"/>
      <c r="JU74" s="1004"/>
      <c r="JV74" s="1004"/>
      <c r="JW74" s="1004"/>
      <c r="JX74" s="1004"/>
      <c r="JY74" s="1004"/>
      <c r="JZ74" s="1004"/>
      <c r="KA74" s="1004"/>
      <c r="KB74" s="1004"/>
      <c r="KC74" s="1004"/>
      <c r="KD74" s="1004"/>
      <c r="KE74" s="1004"/>
      <c r="KF74" s="1004"/>
      <c r="KG74" s="1004"/>
      <c r="KH74" s="1004"/>
      <c r="KI74" s="1004"/>
      <c r="KJ74" s="1004"/>
      <c r="KK74" s="1004"/>
      <c r="KL74" s="1004"/>
      <c r="KM74" s="1004"/>
      <c r="KN74" s="1004"/>
      <c r="KO74" s="1004"/>
      <c r="KP74" s="1004"/>
      <c r="KQ74" s="1004"/>
      <c r="KR74" s="1004"/>
      <c r="KS74" s="1004"/>
      <c r="KT74" s="1004"/>
      <c r="KU74" s="1004"/>
      <c r="KV74" s="1004"/>
      <c r="KW74" s="1004"/>
      <c r="KX74" s="1004"/>
      <c r="KY74" s="1004"/>
      <c r="KZ74" s="1004"/>
      <c r="LA74" s="1004"/>
      <c r="LB74" s="1004"/>
      <c r="LC74" s="1004"/>
      <c r="LD74" s="1004"/>
      <c r="LE74" s="1004"/>
      <c r="LF74" s="1004"/>
      <c r="LG74" s="1004"/>
      <c r="LH74" s="1004"/>
      <c r="LI74" s="1004"/>
      <c r="LJ74" s="1004"/>
      <c r="LK74" s="1004"/>
      <c r="LL74" s="1004"/>
      <c r="LM74" s="1004"/>
      <c r="LN74" s="1004"/>
      <c r="LO74" s="1004"/>
      <c r="LP74" s="1004"/>
      <c r="LQ74" s="1004"/>
      <c r="LR74" s="1004"/>
      <c r="LS74" s="1004"/>
      <c r="LT74" s="1004"/>
      <c r="LU74" s="1004"/>
      <c r="LV74" s="1004"/>
      <c r="LW74" s="1004"/>
      <c r="LX74" s="1004"/>
      <c r="LY74" s="1004"/>
      <c r="LZ74" s="1004"/>
      <c r="MA74" s="1004"/>
      <c r="MB74" s="1004"/>
      <c r="MC74" s="1004"/>
      <c r="MD74" s="1004"/>
      <c r="ME74" s="1004"/>
      <c r="MF74" s="1004"/>
      <c r="MG74" s="1004"/>
      <c r="MH74" s="1004"/>
      <c r="MI74" s="1004"/>
      <c r="MJ74" s="1004"/>
      <c r="MK74" s="1004"/>
      <c r="ML74" s="1004"/>
      <c r="MM74" s="1004"/>
      <c r="MN74" s="1004"/>
      <c r="MO74" s="1004"/>
      <c r="MP74" s="1004"/>
      <c r="MQ74" s="1004"/>
      <c r="MR74" s="1004"/>
      <c r="MS74" s="1004"/>
      <c r="MT74" s="1004"/>
      <c r="MU74" s="1004"/>
      <c r="MV74" s="1004"/>
      <c r="MW74" s="1004"/>
      <c r="MX74" s="1004"/>
      <c r="MY74" s="1004"/>
      <c r="MZ74" s="1004"/>
      <c r="NA74" s="1004"/>
      <c r="NB74" s="1004"/>
      <c r="NC74" s="1004"/>
      <c r="ND74" s="1004"/>
      <c r="NE74" s="1004"/>
      <c r="NF74" s="1004"/>
      <c r="NG74" s="1004"/>
      <c r="NH74" s="1004"/>
      <c r="NI74" s="1004"/>
      <c r="NJ74" s="1004"/>
      <c r="NK74" s="1004"/>
      <c r="NL74" s="1004"/>
      <c r="NM74" s="1004"/>
      <c r="NN74" s="1004"/>
      <c r="NO74" s="1004"/>
      <c r="NP74" s="1004"/>
      <c r="NQ74" s="1004"/>
      <c r="NR74" s="1004"/>
      <c r="NS74" s="1004"/>
      <c r="NT74" s="1004"/>
      <c r="NU74" s="1004"/>
      <c r="NV74" s="1004"/>
      <c r="NW74" s="1004"/>
      <c r="NX74" s="1004"/>
      <c r="NY74" s="1004"/>
      <c r="NZ74" s="1004"/>
      <c r="OA74" s="1004"/>
      <c r="OB74" s="1004"/>
      <c r="OC74" s="1004"/>
      <c r="OD74" s="1004"/>
      <c r="OE74" s="1004"/>
      <c r="OF74" s="1004"/>
      <c r="OG74" s="1004"/>
      <c r="OH74" s="1004"/>
      <c r="OI74" s="1004"/>
      <c r="OJ74" s="1004"/>
      <c r="OK74" s="1004"/>
      <c r="OL74" s="1004"/>
      <c r="OM74" s="1004"/>
      <c r="ON74" s="1004"/>
      <c r="OO74" s="1004"/>
      <c r="OP74" s="1004"/>
      <c r="OQ74" s="1004"/>
      <c r="OR74" s="1004"/>
      <c r="OS74" s="1004"/>
      <c r="OT74" s="1004"/>
      <c r="OU74" s="1004"/>
      <c r="OV74" s="1004"/>
      <c r="OW74" s="1004"/>
      <c r="OX74" s="1004"/>
      <c r="OY74" s="1004"/>
      <c r="OZ74" s="1004"/>
      <c r="PA74" s="1004"/>
      <c r="PB74" s="1004"/>
      <c r="PC74" s="1004"/>
      <c r="PD74" s="1004"/>
      <c r="PE74" s="1004"/>
      <c r="PF74" s="1004"/>
      <c r="PG74" s="1004"/>
      <c r="PH74" s="1004"/>
      <c r="PI74" s="1004"/>
      <c r="PJ74" s="1004"/>
      <c r="PK74" s="1004"/>
      <c r="PL74" s="1004"/>
      <c r="PM74" s="1004"/>
      <c r="PN74" s="1004"/>
      <c r="PO74" s="1004"/>
      <c r="PP74" s="1004"/>
      <c r="PQ74" s="1004"/>
      <c r="PR74" s="1004"/>
      <c r="PS74" s="1004"/>
      <c r="PT74" s="1004"/>
      <c r="PU74" s="1004"/>
      <c r="PV74" s="1004"/>
      <c r="PW74" s="1004"/>
      <c r="PX74" s="1004"/>
      <c r="PY74" s="1004"/>
      <c r="PZ74" s="1004"/>
      <c r="QA74" s="1004"/>
      <c r="QB74" s="1004"/>
      <c r="QC74" s="1004"/>
      <c r="QD74" s="1004"/>
      <c r="QE74" s="1004"/>
      <c r="QF74" s="1004"/>
      <c r="QG74" s="1004"/>
      <c r="QH74" s="1004"/>
      <c r="QI74" s="1004"/>
      <c r="QJ74" s="1004"/>
      <c r="QK74" s="1004"/>
      <c r="QL74" s="1004"/>
      <c r="QM74" s="1004"/>
      <c r="QN74" s="1004"/>
      <c r="QO74" s="1004"/>
      <c r="QP74" s="1004"/>
      <c r="QQ74" s="1004"/>
      <c r="QR74" s="1004"/>
      <c r="QS74" s="1004"/>
      <c r="QT74" s="1004"/>
      <c r="QU74" s="1004"/>
      <c r="QV74" s="1004"/>
      <c r="QW74" s="1004"/>
      <c r="QX74" s="1004"/>
      <c r="QY74" s="1004"/>
      <c r="QZ74" s="1004"/>
      <c r="RA74" s="1004"/>
      <c r="RB74" s="1004"/>
      <c r="RC74" s="1004"/>
      <c r="RD74" s="1004"/>
      <c r="RE74" s="1004"/>
      <c r="RF74" s="1004"/>
      <c r="RG74" s="1004"/>
      <c r="RH74" s="1004"/>
      <c r="RI74" s="1004"/>
      <c r="RJ74" s="1004"/>
      <c r="RK74" s="1004"/>
      <c r="RL74" s="1004"/>
      <c r="RM74" s="1004"/>
      <c r="RN74" s="1004"/>
      <c r="RO74" s="1004"/>
      <c r="RP74" s="1004"/>
      <c r="RQ74" s="1004"/>
      <c r="RR74" s="1004"/>
      <c r="RS74" s="1004"/>
      <c r="RT74" s="1004"/>
      <c r="RU74" s="1004"/>
      <c r="RV74" s="1004"/>
      <c r="RW74" s="1004"/>
      <c r="RX74" s="1004"/>
      <c r="RY74" s="1004"/>
      <c r="RZ74" s="1004"/>
      <c r="SA74" s="1004"/>
      <c r="SB74" s="1004"/>
      <c r="SC74" s="1004"/>
      <c r="SD74" s="1004"/>
      <c r="SE74" s="1004"/>
      <c r="SF74" s="1004"/>
      <c r="SG74" s="1004"/>
      <c r="SH74" s="1004"/>
      <c r="SI74" s="1004"/>
      <c r="SJ74" s="1004"/>
      <c r="SK74" s="1004"/>
      <c r="SL74" s="1004"/>
      <c r="SM74" s="1004"/>
      <c r="SN74" s="1004"/>
      <c r="SO74" s="1004"/>
      <c r="SP74" s="1004"/>
      <c r="SQ74" s="1004"/>
      <c r="SR74" s="1004"/>
      <c r="SS74" s="1004"/>
      <c r="ST74" s="1004"/>
      <c r="SU74" s="1004"/>
      <c r="SV74" s="1004"/>
      <c r="SW74" s="1004"/>
      <c r="SX74" s="1004"/>
      <c r="SY74" s="1004"/>
      <c r="SZ74" s="1004"/>
      <c r="TA74" s="1004"/>
      <c r="TB74" s="1004"/>
      <c r="TC74" s="1004"/>
      <c r="TD74" s="1004"/>
      <c r="TE74" s="1004"/>
      <c r="TF74" s="1004"/>
      <c r="TG74" s="1004"/>
      <c r="TH74" s="1004"/>
      <c r="TI74" s="1004"/>
      <c r="TJ74" s="1004"/>
      <c r="TK74" s="1004"/>
      <c r="TL74" s="1004"/>
      <c r="TM74" s="1004"/>
      <c r="TN74" s="1004"/>
      <c r="TO74" s="1004"/>
      <c r="TP74" s="1004"/>
      <c r="TQ74" s="1004"/>
      <c r="TR74" s="1004"/>
      <c r="TS74" s="1004"/>
      <c r="TT74" s="1004"/>
      <c r="TU74" s="1004"/>
      <c r="TV74" s="1004"/>
      <c r="TW74" s="1004"/>
      <c r="TX74" s="1004"/>
      <c r="TY74" s="1004"/>
      <c r="TZ74" s="1004"/>
      <c r="UA74" s="1004"/>
      <c r="UB74" s="1004"/>
      <c r="UC74" s="1004"/>
      <c r="UD74" s="1004"/>
      <c r="UE74" s="1004"/>
      <c r="UF74" s="1004"/>
      <c r="UG74" s="1004"/>
      <c r="UH74" s="1004"/>
      <c r="UI74" s="1004"/>
      <c r="UJ74" s="1004"/>
      <c r="UK74" s="1004"/>
      <c r="UL74" s="1004"/>
      <c r="UM74" s="1004"/>
      <c r="UN74" s="1004"/>
      <c r="UO74" s="1004"/>
      <c r="UP74" s="1004"/>
      <c r="UQ74" s="1004"/>
      <c r="UR74" s="1004"/>
      <c r="US74" s="1004"/>
      <c r="UT74" s="1004"/>
      <c r="UU74" s="1004"/>
      <c r="UV74" s="1004"/>
      <c r="UW74" s="1004"/>
      <c r="UX74" s="1004"/>
      <c r="UY74" s="1004"/>
      <c r="UZ74" s="1004"/>
      <c r="VA74" s="1004"/>
      <c r="VB74" s="1004"/>
      <c r="VC74" s="1004"/>
      <c r="VD74" s="1004"/>
      <c r="VE74" s="1004"/>
      <c r="VF74" s="1004"/>
      <c r="VG74" s="1004"/>
      <c r="VH74" s="1004"/>
      <c r="VI74" s="1004"/>
      <c r="VJ74" s="1004"/>
      <c r="VK74" s="1004"/>
      <c r="VL74" s="1004"/>
      <c r="VM74" s="1004"/>
      <c r="VN74" s="1004"/>
      <c r="VO74" s="1004"/>
      <c r="VP74" s="1004"/>
      <c r="VQ74" s="1004"/>
      <c r="VR74" s="1004"/>
      <c r="VS74" s="1004"/>
      <c r="VT74" s="1004"/>
      <c r="VU74" s="1004"/>
      <c r="VV74" s="1004"/>
      <c r="VW74" s="1004"/>
      <c r="VX74" s="1004"/>
      <c r="VY74" s="1004"/>
      <c r="VZ74" s="1004"/>
      <c r="WA74" s="1004"/>
      <c r="WB74" s="1004"/>
      <c r="WC74" s="1004"/>
      <c r="WD74" s="1004"/>
      <c r="WE74" s="1004"/>
      <c r="WF74" s="1004"/>
      <c r="WG74" s="1004"/>
      <c r="WH74" s="1004"/>
      <c r="WI74" s="1004"/>
      <c r="WJ74" s="1004"/>
      <c r="WK74" s="1004"/>
      <c r="WL74" s="1004"/>
      <c r="WM74" s="1004"/>
      <c r="WN74" s="1004"/>
      <c r="WO74" s="1004"/>
      <c r="WP74" s="1004"/>
      <c r="WQ74" s="1004"/>
      <c r="WR74" s="1004"/>
      <c r="WS74" s="1004"/>
      <c r="WT74" s="1004"/>
      <c r="WU74" s="1004"/>
      <c r="WV74" s="1004"/>
      <c r="WW74" s="1004"/>
      <c r="WX74" s="1004"/>
      <c r="WY74" s="1004"/>
      <c r="WZ74" s="1004"/>
      <c r="XA74" s="1004"/>
      <c r="XB74" s="1004"/>
      <c r="XC74" s="1004"/>
      <c r="XD74" s="1004"/>
      <c r="XE74" s="1004"/>
      <c r="XF74" s="1004"/>
      <c r="XG74" s="1004"/>
      <c r="XH74" s="1004"/>
      <c r="XI74" s="1004"/>
      <c r="XJ74" s="1004"/>
      <c r="XK74" s="1004"/>
      <c r="XL74" s="1004"/>
      <c r="XM74" s="1004"/>
      <c r="XN74" s="1004"/>
      <c r="XO74" s="1004"/>
      <c r="XP74" s="1004"/>
      <c r="XQ74" s="1004"/>
      <c r="XR74" s="1004"/>
      <c r="XS74" s="1004"/>
      <c r="XT74" s="1004"/>
      <c r="XU74" s="1004"/>
      <c r="XV74" s="1004"/>
      <c r="XW74" s="1004"/>
      <c r="XX74" s="1004"/>
      <c r="XY74" s="1004"/>
      <c r="XZ74" s="1004"/>
      <c r="YA74" s="1004"/>
      <c r="YB74" s="1004"/>
      <c r="YC74" s="1004"/>
      <c r="YD74" s="1004"/>
      <c r="YE74" s="1004"/>
      <c r="YF74" s="1004"/>
      <c r="YG74" s="1004"/>
      <c r="YH74" s="1004"/>
      <c r="YI74" s="1004"/>
      <c r="YJ74" s="1004"/>
      <c r="YK74" s="1004"/>
      <c r="YL74" s="1004"/>
      <c r="YM74" s="1004"/>
      <c r="YN74" s="1004"/>
      <c r="YO74" s="1004"/>
      <c r="YP74" s="1004"/>
      <c r="YQ74" s="1004"/>
      <c r="YR74" s="1004"/>
      <c r="YS74" s="1004"/>
      <c r="YT74" s="1004"/>
      <c r="YU74" s="1004"/>
      <c r="YV74" s="1004"/>
      <c r="YW74" s="1004"/>
      <c r="YX74" s="1004"/>
      <c r="YY74" s="1004"/>
      <c r="YZ74" s="1004"/>
      <c r="ZA74" s="1004"/>
      <c r="ZB74" s="1004"/>
      <c r="ZC74" s="1004"/>
      <c r="ZD74" s="1004"/>
      <c r="ZE74" s="1004"/>
      <c r="ZF74" s="1004"/>
      <c r="ZG74" s="1004"/>
      <c r="ZH74" s="1004"/>
      <c r="ZI74" s="1004"/>
      <c r="ZJ74" s="1004"/>
      <c r="ZK74" s="1004"/>
      <c r="ZL74" s="1004"/>
      <c r="ZM74" s="1004"/>
      <c r="ZN74" s="1004"/>
      <c r="ZO74" s="1004"/>
      <c r="ZP74" s="1004"/>
      <c r="ZQ74" s="1004"/>
      <c r="ZR74" s="1004"/>
      <c r="ZS74" s="1004"/>
      <c r="ZT74" s="1004"/>
      <c r="ZU74" s="1004"/>
      <c r="ZV74" s="1004"/>
      <c r="ZW74" s="1004"/>
      <c r="ZX74" s="1004"/>
      <c r="ZY74" s="1004"/>
      <c r="ZZ74" s="1004"/>
      <c r="AAA74" s="1004"/>
      <c r="AAB74" s="1004"/>
      <c r="AAC74" s="1004"/>
      <c r="AAD74" s="1004"/>
      <c r="AAE74" s="1004"/>
      <c r="AAF74" s="1004"/>
      <c r="AAG74" s="1004"/>
      <c r="AAH74" s="1004"/>
      <c r="AAI74" s="1004"/>
      <c r="AAJ74" s="1004"/>
      <c r="AAK74" s="1004"/>
      <c r="AAL74" s="1004"/>
      <c r="AAM74" s="1004"/>
      <c r="AAN74" s="1004"/>
      <c r="AAO74" s="1004"/>
      <c r="AAP74" s="1004"/>
      <c r="AAQ74" s="1004"/>
      <c r="AAR74" s="1004"/>
      <c r="AAS74" s="1004"/>
      <c r="AAT74" s="1004"/>
      <c r="AAU74" s="1004"/>
      <c r="AAV74" s="1004"/>
      <c r="AAW74" s="1004"/>
      <c r="AAX74" s="1004"/>
      <c r="AAY74" s="1004"/>
      <c r="AAZ74" s="1004"/>
      <c r="ABA74" s="1004"/>
      <c r="ABB74" s="1004"/>
      <c r="ABC74" s="1004"/>
      <c r="ABD74" s="1004"/>
      <c r="ABE74" s="1004"/>
      <c r="ABF74" s="1004"/>
      <c r="ABG74" s="1004"/>
      <c r="ABH74" s="1004"/>
      <c r="ABI74" s="1004"/>
      <c r="ABJ74" s="1004"/>
      <c r="ABK74" s="1004"/>
      <c r="ABL74" s="1004"/>
      <c r="ABM74" s="1004"/>
      <c r="ABN74" s="1004"/>
      <c r="ABO74" s="1004"/>
      <c r="ABP74" s="1004"/>
      <c r="ABQ74" s="1004"/>
      <c r="ABR74" s="1004"/>
    </row>
    <row r="75" spans="1:746" s="1" customFormat="1" ht="12.9" hidden="1" customHeight="1">
      <c r="A75" s="1253"/>
      <c r="B75" s="2957" t="s">
        <v>342</v>
      </c>
      <c r="C75" s="2958"/>
      <c r="D75" s="799"/>
      <c r="E75" s="1631"/>
      <c r="F75" s="2930"/>
      <c r="G75" s="2930"/>
      <c r="H75" s="22"/>
      <c r="I75" s="2364"/>
      <c r="J75" s="809"/>
      <c r="K75" s="809"/>
      <c r="L75" s="809"/>
      <c r="M75" s="809"/>
      <c r="N75" s="809"/>
      <c r="O75" s="809"/>
      <c r="P75" s="809"/>
      <c r="Q75" s="809"/>
      <c r="R75" s="809"/>
      <c r="S75" s="809"/>
      <c r="T75" s="809"/>
      <c r="U75" s="220"/>
      <c r="V75" s="220"/>
      <c r="W75" s="220"/>
      <c r="X75" s="220"/>
      <c r="Y75" s="220"/>
      <c r="Z75" s="220"/>
      <c r="AA75" s="220"/>
      <c r="AB75" s="220"/>
      <c r="AC75" s="220"/>
      <c r="AD75" s="220"/>
      <c r="AE75" s="220"/>
      <c r="AF75" s="220"/>
      <c r="AG75" s="2203"/>
      <c r="AH75" s="95"/>
      <c r="AI75" s="95"/>
      <c r="AJ75" s="424">
        <f>IF(fx!$C$57=1,SUMIF(fx!I$57:T$57,1,I75:T75),IF(fx!$C$57=2,SUMIF(fx!O$57:AF$57,1,O75:AF75)))</f>
        <v>0</v>
      </c>
      <c r="AK75" s="415"/>
      <c r="AL75" s="425">
        <f>IF(fx!$C$57=1,SUM(U75:AF75),0)</f>
        <v>0</v>
      </c>
      <c r="AM75" s="1005"/>
      <c r="AN75" s="352"/>
      <c r="AO75" s="1945"/>
      <c r="AP75" s="1935"/>
      <c r="AQ75" s="1936"/>
      <c r="AR75" s="1941"/>
      <c r="AS75" s="1941"/>
      <c r="AT75" s="1941"/>
      <c r="AU75" s="1941"/>
      <c r="AV75" s="1941"/>
      <c r="AW75" s="1941"/>
      <c r="AX75" s="1941"/>
      <c r="AY75" s="1941"/>
      <c r="AZ75" s="1941"/>
      <c r="BA75" s="1941"/>
      <c r="BB75" s="1941"/>
      <c r="BC75" s="1941"/>
      <c r="BD75" s="1941"/>
      <c r="BE75" s="1941"/>
      <c r="BF75" s="1941"/>
      <c r="BG75" s="1941"/>
      <c r="BH75" s="1941"/>
      <c r="BI75" s="1941"/>
      <c r="BJ75" s="1941"/>
      <c r="BK75" s="1941"/>
      <c r="BL75" s="1941"/>
      <c r="BM75" s="1941"/>
      <c r="BN75" s="1941"/>
      <c r="BO75" s="1941"/>
      <c r="BP75" s="1004"/>
      <c r="BQ75" s="1004"/>
      <c r="BR75" s="1004"/>
      <c r="BS75" s="1004"/>
      <c r="BT75" s="1004"/>
      <c r="BU75" s="1004"/>
      <c r="BV75" s="1004"/>
      <c r="BW75" s="1004"/>
      <c r="BX75" s="1004"/>
      <c r="BY75" s="1004"/>
      <c r="BZ75" s="1004"/>
      <c r="CA75" s="1004"/>
      <c r="CB75" s="1004"/>
      <c r="CC75" s="1004"/>
      <c r="CD75" s="1004"/>
      <c r="CE75" s="1004"/>
      <c r="CF75" s="1004"/>
      <c r="CG75" s="1004"/>
      <c r="CH75" s="1004"/>
      <c r="CI75" s="1004"/>
      <c r="CJ75" s="1004"/>
      <c r="CK75" s="1004"/>
      <c r="CL75" s="1004"/>
      <c r="CM75" s="1004"/>
      <c r="CN75" s="1004"/>
      <c r="CO75" s="1004"/>
      <c r="CP75" s="1004"/>
      <c r="CQ75" s="1004"/>
      <c r="CR75" s="1004"/>
      <c r="CS75" s="1004"/>
      <c r="CT75" s="1004"/>
      <c r="CU75" s="1004"/>
      <c r="CV75" s="1004"/>
      <c r="CW75" s="1004"/>
      <c r="CX75" s="1004"/>
      <c r="CY75" s="1004"/>
      <c r="CZ75" s="1004"/>
      <c r="DA75" s="1004"/>
      <c r="DB75" s="1004"/>
      <c r="DC75" s="1004"/>
      <c r="DD75" s="1004"/>
      <c r="DE75" s="1004"/>
      <c r="DF75" s="1004"/>
      <c r="DG75" s="1004"/>
      <c r="DH75" s="1004"/>
      <c r="DI75" s="1004"/>
      <c r="DJ75" s="1004"/>
      <c r="DK75" s="1004"/>
      <c r="DL75" s="1004"/>
      <c r="DM75" s="1004"/>
      <c r="DN75" s="1004"/>
      <c r="DO75" s="1004"/>
      <c r="DP75" s="1004"/>
      <c r="DQ75" s="1004"/>
      <c r="DR75" s="1004"/>
      <c r="DS75" s="1004"/>
      <c r="DT75" s="1004"/>
      <c r="DU75" s="1004"/>
      <c r="DV75" s="1004"/>
      <c r="DW75" s="1004"/>
      <c r="DX75" s="1004"/>
      <c r="DY75" s="1004"/>
      <c r="DZ75" s="1004"/>
      <c r="EA75" s="1004"/>
      <c r="EB75" s="1004"/>
      <c r="EC75" s="1004"/>
      <c r="ED75" s="1004"/>
      <c r="EE75" s="1004"/>
      <c r="EF75" s="1004"/>
      <c r="EG75" s="1004"/>
      <c r="EH75" s="1004"/>
      <c r="EI75" s="1004"/>
      <c r="EJ75" s="1004"/>
      <c r="EK75" s="1004"/>
      <c r="EL75" s="1004"/>
      <c r="EM75" s="1004"/>
      <c r="EN75" s="1004"/>
      <c r="EO75" s="1004"/>
      <c r="EP75" s="1004"/>
      <c r="EQ75" s="1004"/>
      <c r="ER75" s="1004"/>
      <c r="ES75" s="1004"/>
      <c r="ET75" s="1004"/>
      <c r="EU75" s="1004"/>
      <c r="EV75" s="1004"/>
      <c r="EW75" s="1004"/>
      <c r="EX75" s="1004"/>
      <c r="EY75" s="1004"/>
      <c r="EZ75" s="1004"/>
      <c r="FA75" s="1004"/>
      <c r="FB75" s="1004"/>
      <c r="FC75" s="1004"/>
      <c r="FD75" s="1004"/>
      <c r="FE75" s="1004"/>
      <c r="FF75" s="1004"/>
      <c r="FG75" s="1004"/>
      <c r="FH75" s="1004"/>
      <c r="FI75" s="1004"/>
      <c r="FJ75" s="1004"/>
      <c r="FK75" s="1004"/>
      <c r="FL75" s="1004"/>
      <c r="FM75" s="1004"/>
      <c r="FN75" s="1004"/>
      <c r="FO75" s="1004"/>
      <c r="FP75" s="1004"/>
      <c r="FQ75" s="1004"/>
      <c r="FR75" s="1004"/>
      <c r="FS75" s="1004"/>
      <c r="FT75" s="1004"/>
      <c r="FU75" s="1004"/>
      <c r="FV75" s="1004"/>
      <c r="FW75" s="1004"/>
      <c r="FX75" s="1004"/>
      <c r="FY75" s="1004"/>
      <c r="FZ75" s="1004"/>
      <c r="GA75" s="1004"/>
      <c r="GB75" s="1004"/>
      <c r="GC75" s="1004"/>
      <c r="GD75" s="1004"/>
      <c r="GE75" s="1004"/>
      <c r="GF75" s="1004"/>
      <c r="GG75" s="1004"/>
      <c r="GH75" s="1004"/>
      <c r="GI75" s="1004"/>
      <c r="GJ75" s="1004"/>
      <c r="GK75" s="1004"/>
      <c r="GL75" s="1004"/>
      <c r="GM75" s="1004"/>
      <c r="GN75" s="1004"/>
      <c r="GO75" s="1004"/>
      <c r="GP75" s="1004"/>
      <c r="GQ75" s="1004"/>
      <c r="GR75" s="1004"/>
      <c r="GS75" s="1004"/>
      <c r="GT75" s="1004"/>
      <c r="GU75" s="1004"/>
      <c r="GV75" s="1004"/>
      <c r="GW75" s="1004"/>
      <c r="GX75" s="1004"/>
      <c r="GY75" s="1004"/>
      <c r="GZ75" s="1004"/>
      <c r="HA75" s="1004"/>
      <c r="HB75" s="1004"/>
      <c r="HC75" s="1004"/>
      <c r="HD75" s="1004"/>
      <c r="HE75" s="1004"/>
      <c r="HF75" s="1004"/>
      <c r="HG75" s="1004"/>
      <c r="HH75" s="1004"/>
      <c r="HI75" s="1004"/>
      <c r="HJ75" s="1004"/>
      <c r="HK75" s="1004"/>
      <c r="HL75" s="1004"/>
      <c r="HM75" s="1004"/>
      <c r="HN75" s="1004"/>
      <c r="HO75" s="1004"/>
      <c r="HP75" s="1004"/>
      <c r="HQ75" s="1004"/>
      <c r="HR75" s="1004"/>
      <c r="HS75" s="1004"/>
      <c r="HT75" s="1004"/>
      <c r="HU75" s="1004"/>
      <c r="HV75" s="1004"/>
      <c r="HW75" s="1004"/>
      <c r="HX75" s="1004"/>
      <c r="HY75" s="1004"/>
      <c r="HZ75" s="1004"/>
      <c r="IA75" s="1004"/>
      <c r="IB75" s="1004"/>
      <c r="IC75" s="1004"/>
      <c r="ID75" s="1004"/>
      <c r="IE75" s="1004"/>
      <c r="IF75" s="1004"/>
      <c r="IG75" s="1004"/>
      <c r="IH75" s="1004"/>
      <c r="II75" s="1004"/>
      <c r="IJ75" s="1004"/>
      <c r="IK75" s="1004"/>
      <c r="IL75" s="1004"/>
      <c r="IM75" s="1004"/>
      <c r="IN75" s="1004"/>
      <c r="IO75" s="1004"/>
      <c r="IP75" s="1004"/>
      <c r="IQ75" s="1004"/>
      <c r="IR75" s="1004"/>
      <c r="IS75" s="1004"/>
      <c r="IT75" s="1004"/>
      <c r="IU75" s="1004"/>
      <c r="IV75" s="1004"/>
      <c r="IW75" s="1004"/>
      <c r="IX75" s="1004"/>
      <c r="IY75" s="1004"/>
      <c r="IZ75" s="1004"/>
      <c r="JA75" s="1004"/>
      <c r="JB75" s="1004"/>
      <c r="JC75" s="1004"/>
      <c r="JD75" s="1004"/>
      <c r="JE75" s="1004"/>
      <c r="JF75" s="1004"/>
      <c r="JG75" s="1004"/>
      <c r="JH75" s="1004"/>
      <c r="JI75" s="1004"/>
      <c r="JJ75" s="1004"/>
      <c r="JK75" s="1004"/>
      <c r="JL75" s="1004"/>
      <c r="JM75" s="1004"/>
      <c r="JN75" s="1004"/>
      <c r="JO75" s="1004"/>
      <c r="JP75" s="1004"/>
      <c r="JQ75" s="1004"/>
      <c r="JR75" s="1004"/>
      <c r="JS75" s="1004"/>
      <c r="JT75" s="1004"/>
      <c r="JU75" s="1004"/>
      <c r="JV75" s="1004"/>
      <c r="JW75" s="1004"/>
      <c r="JX75" s="1004"/>
      <c r="JY75" s="1004"/>
      <c r="JZ75" s="1004"/>
      <c r="KA75" s="1004"/>
      <c r="KB75" s="1004"/>
      <c r="KC75" s="1004"/>
      <c r="KD75" s="1004"/>
      <c r="KE75" s="1004"/>
      <c r="KF75" s="1004"/>
      <c r="KG75" s="1004"/>
      <c r="KH75" s="1004"/>
      <c r="KI75" s="1004"/>
      <c r="KJ75" s="1004"/>
      <c r="KK75" s="1004"/>
      <c r="KL75" s="1004"/>
      <c r="KM75" s="1004"/>
      <c r="KN75" s="1004"/>
      <c r="KO75" s="1004"/>
      <c r="KP75" s="1004"/>
      <c r="KQ75" s="1004"/>
      <c r="KR75" s="1004"/>
      <c r="KS75" s="1004"/>
      <c r="KT75" s="1004"/>
      <c r="KU75" s="1004"/>
      <c r="KV75" s="1004"/>
      <c r="KW75" s="1004"/>
      <c r="KX75" s="1004"/>
      <c r="KY75" s="1004"/>
      <c r="KZ75" s="1004"/>
      <c r="LA75" s="1004"/>
      <c r="LB75" s="1004"/>
      <c r="LC75" s="1004"/>
      <c r="LD75" s="1004"/>
      <c r="LE75" s="1004"/>
      <c r="LF75" s="1004"/>
      <c r="LG75" s="1004"/>
      <c r="LH75" s="1004"/>
      <c r="LI75" s="1004"/>
      <c r="LJ75" s="1004"/>
      <c r="LK75" s="1004"/>
      <c r="LL75" s="1004"/>
      <c r="LM75" s="1004"/>
      <c r="LN75" s="1004"/>
      <c r="LO75" s="1004"/>
      <c r="LP75" s="1004"/>
      <c r="LQ75" s="1004"/>
      <c r="LR75" s="1004"/>
      <c r="LS75" s="1004"/>
      <c r="LT75" s="1004"/>
      <c r="LU75" s="1004"/>
      <c r="LV75" s="1004"/>
      <c r="LW75" s="1004"/>
      <c r="LX75" s="1004"/>
      <c r="LY75" s="1004"/>
      <c r="LZ75" s="1004"/>
      <c r="MA75" s="1004"/>
      <c r="MB75" s="1004"/>
      <c r="MC75" s="1004"/>
      <c r="MD75" s="1004"/>
      <c r="ME75" s="1004"/>
      <c r="MF75" s="1004"/>
      <c r="MG75" s="1004"/>
      <c r="MH75" s="1004"/>
      <c r="MI75" s="1004"/>
      <c r="MJ75" s="1004"/>
      <c r="MK75" s="1004"/>
      <c r="ML75" s="1004"/>
      <c r="MM75" s="1004"/>
      <c r="MN75" s="1004"/>
      <c r="MO75" s="1004"/>
      <c r="MP75" s="1004"/>
      <c r="MQ75" s="1004"/>
      <c r="MR75" s="1004"/>
      <c r="MS75" s="1004"/>
      <c r="MT75" s="1004"/>
      <c r="MU75" s="1004"/>
      <c r="MV75" s="1004"/>
      <c r="MW75" s="1004"/>
      <c r="MX75" s="1004"/>
      <c r="MY75" s="1004"/>
      <c r="MZ75" s="1004"/>
      <c r="NA75" s="1004"/>
      <c r="NB75" s="1004"/>
      <c r="NC75" s="1004"/>
      <c r="ND75" s="1004"/>
      <c r="NE75" s="1004"/>
      <c r="NF75" s="1004"/>
      <c r="NG75" s="1004"/>
      <c r="NH75" s="1004"/>
      <c r="NI75" s="1004"/>
      <c r="NJ75" s="1004"/>
      <c r="NK75" s="1004"/>
      <c r="NL75" s="1004"/>
      <c r="NM75" s="1004"/>
      <c r="NN75" s="1004"/>
      <c r="NO75" s="1004"/>
      <c r="NP75" s="1004"/>
      <c r="NQ75" s="1004"/>
      <c r="NR75" s="1004"/>
      <c r="NS75" s="1004"/>
      <c r="NT75" s="1004"/>
      <c r="NU75" s="1004"/>
      <c r="NV75" s="1004"/>
      <c r="NW75" s="1004"/>
      <c r="NX75" s="1004"/>
      <c r="NY75" s="1004"/>
      <c r="NZ75" s="1004"/>
      <c r="OA75" s="1004"/>
      <c r="OB75" s="1004"/>
      <c r="OC75" s="1004"/>
      <c r="OD75" s="1004"/>
      <c r="OE75" s="1004"/>
      <c r="OF75" s="1004"/>
      <c r="OG75" s="1004"/>
      <c r="OH75" s="1004"/>
      <c r="OI75" s="1004"/>
      <c r="OJ75" s="1004"/>
      <c r="OK75" s="1004"/>
      <c r="OL75" s="1004"/>
      <c r="OM75" s="1004"/>
      <c r="ON75" s="1004"/>
      <c r="OO75" s="1004"/>
      <c r="OP75" s="1004"/>
      <c r="OQ75" s="1004"/>
      <c r="OR75" s="1004"/>
      <c r="OS75" s="1004"/>
      <c r="OT75" s="1004"/>
      <c r="OU75" s="1004"/>
      <c r="OV75" s="1004"/>
      <c r="OW75" s="1004"/>
      <c r="OX75" s="1004"/>
      <c r="OY75" s="1004"/>
      <c r="OZ75" s="1004"/>
      <c r="PA75" s="1004"/>
      <c r="PB75" s="1004"/>
      <c r="PC75" s="1004"/>
      <c r="PD75" s="1004"/>
      <c r="PE75" s="1004"/>
      <c r="PF75" s="1004"/>
      <c r="PG75" s="1004"/>
      <c r="PH75" s="1004"/>
      <c r="PI75" s="1004"/>
      <c r="PJ75" s="1004"/>
      <c r="PK75" s="1004"/>
      <c r="PL75" s="1004"/>
      <c r="PM75" s="1004"/>
      <c r="PN75" s="1004"/>
      <c r="PO75" s="1004"/>
      <c r="PP75" s="1004"/>
      <c r="PQ75" s="1004"/>
      <c r="PR75" s="1004"/>
      <c r="PS75" s="1004"/>
      <c r="PT75" s="1004"/>
      <c r="PU75" s="1004"/>
      <c r="PV75" s="1004"/>
      <c r="PW75" s="1004"/>
      <c r="PX75" s="1004"/>
      <c r="PY75" s="1004"/>
      <c r="PZ75" s="1004"/>
      <c r="QA75" s="1004"/>
      <c r="QB75" s="1004"/>
      <c r="QC75" s="1004"/>
      <c r="QD75" s="1004"/>
      <c r="QE75" s="1004"/>
      <c r="QF75" s="1004"/>
      <c r="QG75" s="1004"/>
      <c r="QH75" s="1004"/>
      <c r="QI75" s="1004"/>
      <c r="QJ75" s="1004"/>
      <c r="QK75" s="1004"/>
      <c r="QL75" s="1004"/>
      <c r="QM75" s="1004"/>
      <c r="QN75" s="1004"/>
      <c r="QO75" s="1004"/>
      <c r="QP75" s="1004"/>
      <c r="QQ75" s="1004"/>
      <c r="QR75" s="1004"/>
      <c r="QS75" s="1004"/>
      <c r="QT75" s="1004"/>
      <c r="QU75" s="1004"/>
      <c r="QV75" s="1004"/>
      <c r="QW75" s="1004"/>
      <c r="QX75" s="1004"/>
      <c r="QY75" s="1004"/>
      <c r="QZ75" s="1004"/>
      <c r="RA75" s="1004"/>
      <c r="RB75" s="1004"/>
      <c r="RC75" s="1004"/>
      <c r="RD75" s="1004"/>
      <c r="RE75" s="1004"/>
      <c r="RF75" s="1004"/>
      <c r="RG75" s="1004"/>
      <c r="RH75" s="1004"/>
      <c r="RI75" s="1004"/>
      <c r="RJ75" s="1004"/>
      <c r="RK75" s="1004"/>
      <c r="RL75" s="1004"/>
      <c r="RM75" s="1004"/>
      <c r="RN75" s="1004"/>
      <c r="RO75" s="1004"/>
      <c r="RP75" s="1004"/>
      <c r="RQ75" s="1004"/>
      <c r="RR75" s="1004"/>
      <c r="RS75" s="1004"/>
      <c r="RT75" s="1004"/>
      <c r="RU75" s="1004"/>
      <c r="RV75" s="1004"/>
      <c r="RW75" s="1004"/>
      <c r="RX75" s="1004"/>
      <c r="RY75" s="1004"/>
      <c r="RZ75" s="1004"/>
      <c r="SA75" s="1004"/>
      <c r="SB75" s="1004"/>
      <c r="SC75" s="1004"/>
      <c r="SD75" s="1004"/>
      <c r="SE75" s="1004"/>
      <c r="SF75" s="1004"/>
      <c r="SG75" s="1004"/>
      <c r="SH75" s="1004"/>
      <c r="SI75" s="1004"/>
      <c r="SJ75" s="1004"/>
      <c r="SK75" s="1004"/>
      <c r="SL75" s="1004"/>
      <c r="SM75" s="1004"/>
      <c r="SN75" s="1004"/>
      <c r="SO75" s="1004"/>
      <c r="SP75" s="1004"/>
      <c r="SQ75" s="1004"/>
      <c r="SR75" s="1004"/>
      <c r="SS75" s="1004"/>
      <c r="ST75" s="1004"/>
      <c r="SU75" s="1004"/>
      <c r="SV75" s="1004"/>
      <c r="SW75" s="1004"/>
      <c r="SX75" s="1004"/>
      <c r="SY75" s="1004"/>
      <c r="SZ75" s="1004"/>
      <c r="TA75" s="1004"/>
      <c r="TB75" s="1004"/>
      <c r="TC75" s="1004"/>
      <c r="TD75" s="1004"/>
      <c r="TE75" s="1004"/>
      <c r="TF75" s="1004"/>
      <c r="TG75" s="1004"/>
      <c r="TH75" s="1004"/>
      <c r="TI75" s="1004"/>
      <c r="TJ75" s="1004"/>
      <c r="TK75" s="1004"/>
      <c r="TL75" s="1004"/>
      <c r="TM75" s="1004"/>
      <c r="TN75" s="1004"/>
      <c r="TO75" s="1004"/>
      <c r="TP75" s="1004"/>
      <c r="TQ75" s="1004"/>
      <c r="TR75" s="1004"/>
      <c r="TS75" s="1004"/>
      <c r="TT75" s="1004"/>
      <c r="TU75" s="1004"/>
      <c r="TV75" s="1004"/>
      <c r="TW75" s="1004"/>
      <c r="TX75" s="1004"/>
      <c r="TY75" s="1004"/>
      <c r="TZ75" s="1004"/>
      <c r="UA75" s="1004"/>
      <c r="UB75" s="1004"/>
      <c r="UC75" s="1004"/>
      <c r="UD75" s="1004"/>
      <c r="UE75" s="1004"/>
      <c r="UF75" s="1004"/>
      <c r="UG75" s="1004"/>
      <c r="UH75" s="1004"/>
      <c r="UI75" s="1004"/>
      <c r="UJ75" s="1004"/>
      <c r="UK75" s="1004"/>
      <c r="UL75" s="1004"/>
      <c r="UM75" s="1004"/>
      <c r="UN75" s="1004"/>
      <c r="UO75" s="1004"/>
      <c r="UP75" s="1004"/>
      <c r="UQ75" s="1004"/>
      <c r="UR75" s="1004"/>
      <c r="US75" s="1004"/>
      <c r="UT75" s="1004"/>
      <c r="UU75" s="1004"/>
      <c r="UV75" s="1004"/>
      <c r="UW75" s="1004"/>
      <c r="UX75" s="1004"/>
      <c r="UY75" s="1004"/>
      <c r="UZ75" s="1004"/>
      <c r="VA75" s="1004"/>
      <c r="VB75" s="1004"/>
      <c r="VC75" s="1004"/>
      <c r="VD75" s="1004"/>
      <c r="VE75" s="1004"/>
      <c r="VF75" s="1004"/>
      <c r="VG75" s="1004"/>
      <c r="VH75" s="1004"/>
      <c r="VI75" s="1004"/>
      <c r="VJ75" s="1004"/>
      <c r="VK75" s="1004"/>
      <c r="VL75" s="1004"/>
      <c r="VM75" s="1004"/>
      <c r="VN75" s="1004"/>
      <c r="VO75" s="1004"/>
      <c r="VP75" s="1004"/>
      <c r="VQ75" s="1004"/>
      <c r="VR75" s="1004"/>
      <c r="VS75" s="1004"/>
      <c r="VT75" s="1004"/>
      <c r="VU75" s="1004"/>
      <c r="VV75" s="1004"/>
      <c r="VW75" s="1004"/>
      <c r="VX75" s="1004"/>
      <c r="VY75" s="1004"/>
      <c r="VZ75" s="1004"/>
      <c r="WA75" s="1004"/>
      <c r="WB75" s="1004"/>
      <c r="WC75" s="1004"/>
      <c r="WD75" s="1004"/>
      <c r="WE75" s="1004"/>
      <c r="WF75" s="1004"/>
      <c r="WG75" s="1004"/>
      <c r="WH75" s="1004"/>
      <c r="WI75" s="1004"/>
      <c r="WJ75" s="1004"/>
      <c r="WK75" s="1004"/>
      <c r="WL75" s="1004"/>
      <c r="WM75" s="1004"/>
      <c r="WN75" s="1004"/>
      <c r="WO75" s="1004"/>
      <c r="WP75" s="1004"/>
      <c r="WQ75" s="1004"/>
      <c r="WR75" s="1004"/>
      <c r="WS75" s="1004"/>
      <c r="WT75" s="1004"/>
      <c r="WU75" s="1004"/>
      <c r="WV75" s="1004"/>
      <c r="WW75" s="1004"/>
      <c r="WX75" s="1004"/>
      <c r="WY75" s="1004"/>
      <c r="WZ75" s="1004"/>
      <c r="XA75" s="1004"/>
      <c r="XB75" s="1004"/>
      <c r="XC75" s="1004"/>
      <c r="XD75" s="1004"/>
      <c r="XE75" s="1004"/>
      <c r="XF75" s="1004"/>
      <c r="XG75" s="1004"/>
      <c r="XH75" s="1004"/>
      <c r="XI75" s="1004"/>
      <c r="XJ75" s="1004"/>
      <c r="XK75" s="1004"/>
      <c r="XL75" s="1004"/>
      <c r="XM75" s="1004"/>
      <c r="XN75" s="1004"/>
      <c r="XO75" s="1004"/>
      <c r="XP75" s="1004"/>
      <c r="XQ75" s="1004"/>
      <c r="XR75" s="1004"/>
      <c r="XS75" s="1004"/>
      <c r="XT75" s="1004"/>
      <c r="XU75" s="1004"/>
      <c r="XV75" s="1004"/>
      <c r="XW75" s="1004"/>
      <c r="XX75" s="1004"/>
      <c r="XY75" s="1004"/>
      <c r="XZ75" s="1004"/>
      <c r="YA75" s="1004"/>
      <c r="YB75" s="1004"/>
      <c r="YC75" s="1004"/>
      <c r="YD75" s="1004"/>
      <c r="YE75" s="1004"/>
      <c r="YF75" s="1004"/>
      <c r="YG75" s="1004"/>
      <c r="YH75" s="1004"/>
      <c r="YI75" s="1004"/>
      <c r="YJ75" s="1004"/>
      <c r="YK75" s="1004"/>
      <c r="YL75" s="1004"/>
      <c r="YM75" s="1004"/>
      <c r="YN75" s="1004"/>
      <c r="YO75" s="1004"/>
      <c r="YP75" s="1004"/>
      <c r="YQ75" s="1004"/>
      <c r="YR75" s="1004"/>
      <c r="YS75" s="1004"/>
      <c r="YT75" s="1004"/>
      <c r="YU75" s="1004"/>
      <c r="YV75" s="1004"/>
      <c r="YW75" s="1004"/>
      <c r="YX75" s="1004"/>
      <c r="YY75" s="1004"/>
      <c r="YZ75" s="1004"/>
      <c r="ZA75" s="1004"/>
      <c r="ZB75" s="1004"/>
      <c r="ZC75" s="1004"/>
      <c r="ZD75" s="1004"/>
      <c r="ZE75" s="1004"/>
      <c r="ZF75" s="1004"/>
      <c r="ZG75" s="1004"/>
      <c r="ZH75" s="1004"/>
      <c r="ZI75" s="1004"/>
      <c r="ZJ75" s="1004"/>
      <c r="ZK75" s="1004"/>
      <c r="ZL75" s="1004"/>
      <c r="ZM75" s="1004"/>
      <c r="ZN75" s="1004"/>
      <c r="ZO75" s="1004"/>
      <c r="ZP75" s="1004"/>
      <c r="ZQ75" s="1004"/>
      <c r="ZR75" s="1004"/>
      <c r="ZS75" s="1004"/>
      <c r="ZT75" s="1004"/>
      <c r="ZU75" s="1004"/>
      <c r="ZV75" s="1004"/>
      <c r="ZW75" s="1004"/>
      <c r="ZX75" s="1004"/>
      <c r="ZY75" s="1004"/>
      <c r="ZZ75" s="1004"/>
      <c r="AAA75" s="1004"/>
      <c r="AAB75" s="1004"/>
      <c r="AAC75" s="1004"/>
      <c r="AAD75" s="1004"/>
      <c r="AAE75" s="1004"/>
      <c r="AAF75" s="1004"/>
      <c r="AAG75" s="1004"/>
      <c r="AAH75" s="1004"/>
      <c r="AAI75" s="1004"/>
      <c r="AAJ75" s="1004"/>
      <c r="AAK75" s="1004"/>
      <c r="AAL75" s="1004"/>
      <c r="AAM75" s="1004"/>
      <c r="AAN75" s="1004"/>
      <c r="AAO75" s="1004"/>
      <c r="AAP75" s="1004"/>
      <c r="AAQ75" s="1004"/>
      <c r="AAR75" s="1004"/>
      <c r="AAS75" s="1004"/>
      <c r="AAT75" s="1004"/>
      <c r="AAU75" s="1004"/>
      <c r="AAV75" s="1004"/>
      <c r="AAW75" s="1004"/>
      <c r="AAX75" s="1004"/>
      <c r="AAY75" s="1004"/>
      <c r="AAZ75" s="1004"/>
      <c r="ABA75" s="1004"/>
      <c r="ABB75" s="1004"/>
      <c r="ABC75" s="1004"/>
      <c r="ABD75" s="1004"/>
      <c r="ABE75" s="1004"/>
      <c r="ABF75" s="1004"/>
      <c r="ABG75" s="1004"/>
      <c r="ABH75" s="1004"/>
      <c r="ABI75" s="1004"/>
      <c r="ABJ75" s="1004"/>
      <c r="ABK75" s="1004"/>
      <c r="ABL75" s="1004"/>
      <c r="ABM75" s="1004"/>
      <c r="ABN75" s="1004"/>
      <c r="ABO75" s="1004"/>
      <c r="ABP75" s="1004"/>
      <c r="ABQ75" s="1004"/>
      <c r="ABR75" s="1004"/>
    </row>
    <row r="76" spans="1:746" s="1" customFormat="1" ht="12.9" customHeight="1">
      <c r="A76" s="1254"/>
      <c r="B76" s="584" t="s">
        <v>339</v>
      </c>
      <c r="C76" s="574"/>
      <c r="D76" s="575"/>
      <c r="E76" s="576"/>
      <c r="F76" s="2949"/>
      <c r="G76" s="2949"/>
      <c r="H76" s="2531" t="b">
        <f>IF(fx!G327=2,IF(SUM(I66:T75)&gt;SUM(I76:T76),1,0))</f>
        <v>0</v>
      </c>
      <c r="I76" s="2575">
        <f>IF(fx!$G$327=1,I59,IF(fx!$G$327=2,SUM(I66:I75)*fx!I57,IF(fx!$G$327=3,I33*$M$63*fx!I57)))</f>
        <v>0</v>
      </c>
      <c r="J76" s="2194">
        <f>IF(fx!$G$327=1,J59,IF(fx!$G$327=2,SUM(J66:J75)*fx!J57,IF(fx!$G$327=3,J33*$M$63*fx!J57)))</f>
        <v>0</v>
      </c>
      <c r="K76" s="2194">
        <f>IF(fx!$G$327=1,K59,IF(fx!$G$327=2,SUM(K66:K75)*fx!K57,IF(fx!$G$327=3,K33*$M$63*fx!K57)))</f>
        <v>0</v>
      </c>
      <c r="L76" s="2194">
        <f>IF(fx!$G$327=1,L59,IF(fx!$G$327=2,SUM(L66:L75)*fx!L57,IF(fx!$G$327=3,L33*$M$63*fx!L57)))</f>
        <v>0</v>
      </c>
      <c r="M76" s="2194">
        <f>IF(fx!$G$327=1,M59,IF(fx!$G$327=2,SUM(M66:M75)*fx!M57,IF(fx!$G$327=3,M33*$M$63*fx!M57)))</f>
        <v>0</v>
      </c>
      <c r="N76" s="2194">
        <f>IF(fx!$G$327=1,N59,IF(fx!$G$327=2,SUM(N66:N75)*fx!N57,IF(fx!$G$327=3,N33*$M$63*fx!N57)))</f>
        <v>0</v>
      </c>
      <c r="O76" s="2194">
        <f>IF(fx!$G$327=1,O59,IF(fx!$G$327=2,SUM(O66:O75)*fx!O57,IF(fx!$G$327=3,O33*$M$63*fx!O57)))</f>
        <v>0</v>
      </c>
      <c r="P76" s="2194">
        <f>IF(fx!$G$327=1,P59,IF(fx!$G$327=2,SUM(P66:P75)*fx!P57,IF(fx!$G$327=3,P33*$M$63*fx!P57)))</f>
        <v>0</v>
      </c>
      <c r="Q76" s="2194">
        <f>IF(fx!$G$327=1,Q59,IF(fx!$G$327=2,SUM(Q66:Q75)*fx!Q57,IF(fx!$G$327=3,Q33*$M$63*fx!Q57)))</f>
        <v>0</v>
      </c>
      <c r="R76" s="2194">
        <f>IF(fx!$G$327=1,R59,IF(fx!$G$327=2,SUM(R66:R75)*fx!R57,IF(fx!$G$327=3,R33*$M$63*fx!R57)))</f>
        <v>0</v>
      </c>
      <c r="S76" s="2194">
        <f>IF(fx!$G$327=1,S59,IF(fx!$G$327=2,SUM(S66:S75)*fx!S57,IF(fx!$G$327=3,S33*$M$63*fx!S57)))</f>
        <v>0</v>
      </c>
      <c r="T76" s="2194">
        <f>IF(fx!$G$327=1,T59,IF(fx!$G$327=2,SUM(T66:T75)*fx!T57,IF(fx!$G$327=3,T33*$M$63*fx!T57)))</f>
        <v>0</v>
      </c>
      <c r="U76" s="2194">
        <f>IF(fx!$G$327=1,U59,IF(fx!$G$327=2,SUM(U66:U75)*fx!U57,IF(fx!$G$327=3,U33*$Y$63*fx!U57)))</f>
        <v>0</v>
      </c>
      <c r="V76" s="2194">
        <f>IF(fx!$G$327=1,V59,IF(fx!$G$327=2,SUM(V66:V75)*fx!V57,IF(fx!$G$327=3,V33*$Y$63*fx!V57)))</f>
        <v>0</v>
      </c>
      <c r="W76" s="2194">
        <f>IF(fx!$G$327=1,W59,IF(fx!$G$327=2,SUM(W66:W75)*fx!W57,IF(fx!$G$327=3,W33*$Y$63*fx!W57)))</f>
        <v>0</v>
      </c>
      <c r="X76" s="2194">
        <f>IF(fx!$G$327=1,X59,IF(fx!$G$327=2,SUM(X66:X75)*fx!X57,IF(fx!$G$327=3,X33*$Y$63*fx!X57)))</f>
        <v>0</v>
      </c>
      <c r="Y76" s="2194">
        <f>IF(fx!$G$327=1,Y59,IF(fx!$G$327=2,SUM(Y66:Y75)*fx!Y57,IF(fx!$G$327=3,Y33*$Y$63*fx!Y57)))</f>
        <v>0</v>
      </c>
      <c r="Z76" s="2194">
        <f>IF(fx!$G$327=1,Z59,IF(fx!$G$327=2,SUM(Z66:Z75)*fx!Z57,IF(fx!$G$327=3,Z33*$Y$63*fx!Z57)))</f>
        <v>0</v>
      </c>
      <c r="AA76" s="2194">
        <f>IF(fx!$G$327=1,AA59,IF(fx!$G$327=2,SUM(AA66:AA75)*fx!AA57,IF(fx!$G$327=3,AA33*$Y$63*fx!AA57)))</f>
        <v>0</v>
      </c>
      <c r="AB76" s="2194">
        <f>IF(fx!$G$327=1,AB59,IF(fx!$G$327=2,SUM(AB66:AB75)*fx!AB57,IF(fx!$G$327=3,AB33*$Y$63*fx!AB57)))</f>
        <v>0</v>
      </c>
      <c r="AC76" s="2194">
        <f>IF(fx!$G$327=1,AC59,IF(fx!$G$327=2,SUM(AC66:AC75)*fx!AC57,IF(fx!$G$327=3,AC33*$Y$63*fx!AC57)))</f>
        <v>0</v>
      </c>
      <c r="AD76" s="2194">
        <f>IF(fx!$G$327=1,AD59,IF(fx!$G$327=2,SUM(AD66:AD75)*fx!AD57,IF(fx!$G$327=3,AD33*$Y$63*fx!AD57)))</f>
        <v>0</v>
      </c>
      <c r="AE76" s="2194">
        <f>IF(fx!$G$327=1,AE59,IF(fx!$G$327=2,SUM(AE66:AE75)*fx!AE57,IF(fx!$G$327=3,AE33*$Y$63*fx!AE57)))</f>
        <v>0</v>
      </c>
      <c r="AF76" s="2194">
        <f>IF(fx!$G$327=1,AF59,IF(fx!$G$327=2,SUM(AF66:AF75)*fx!AF57,IF(fx!$G$327=3,AF33*$Y$63*fx!AF57)))</f>
        <v>0</v>
      </c>
      <c r="AG76" s="6"/>
      <c r="AH76" s="6"/>
      <c r="AI76" s="6"/>
      <c r="AJ76" s="424">
        <f>IF(fx!$C$57=1,SUM(I76:T76),IF(fx!$C$57=2,SUM(O76:AF76)))</f>
        <v>0</v>
      </c>
      <c r="AK76" s="423"/>
      <c r="AL76" s="425">
        <f>IF(fx!$C$57=1,SUM(U76:AF76),0)</f>
        <v>0</v>
      </c>
      <c r="AM76" s="1005"/>
      <c r="AN76" s="352"/>
      <c r="AO76" s="1945"/>
      <c r="AP76" s="1935"/>
      <c r="AQ76" s="1936"/>
      <c r="AR76" s="1941"/>
      <c r="AS76" s="1941"/>
      <c r="AT76" s="1941"/>
      <c r="AU76" s="1941"/>
      <c r="AV76" s="1941"/>
      <c r="AW76" s="1941"/>
      <c r="AX76" s="1941"/>
      <c r="AY76" s="1941"/>
      <c r="AZ76" s="1941"/>
      <c r="BA76" s="1941"/>
      <c r="BB76" s="1941"/>
      <c r="BC76" s="1941"/>
      <c r="BD76" s="1941"/>
      <c r="BE76" s="1941"/>
      <c r="BF76" s="1941"/>
      <c r="BG76" s="1941"/>
      <c r="BH76" s="1941"/>
      <c r="BI76" s="1941"/>
      <c r="BJ76" s="1941"/>
      <c r="BK76" s="1941"/>
      <c r="BL76" s="1941"/>
      <c r="BM76" s="1941"/>
      <c r="BN76" s="1941"/>
      <c r="BO76" s="1941"/>
      <c r="BP76" s="1004"/>
      <c r="BQ76" s="1004"/>
      <c r="BR76" s="1004"/>
      <c r="BS76" s="1004"/>
      <c r="BT76" s="1004"/>
      <c r="BU76" s="1004"/>
      <c r="BV76" s="1004"/>
      <c r="BW76" s="1004"/>
      <c r="BX76" s="1004"/>
      <c r="BY76" s="1004"/>
      <c r="BZ76" s="1004"/>
      <c r="CA76" s="1004"/>
      <c r="CB76" s="1004"/>
      <c r="CC76" s="1004"/>
      <c r="CD76" s="1004"/>
      <c r="CE76" s="1004"/>
      <c r="CF76" s="1004"/>
      <c r="CG76" s="1004"/>
      <c r="CH76" s="1004"/>
      <c r="CI76" s="1004"/>
      <c r="CJ76" s="1004"/>
      <c r="CK76" s="1004"/>
      <c r="CL76" s="1004"/>
      <c r="CM76" s="1004"/>
      <c r="CN76" s="1004"/>
      <c r="CO76" s="1004"/>
      <c r="CP76" s="1004"/>
      <c r="CQ76" s="1004"/>
      <c r="CR76" s="1004"/>
      <c r="CS76" s="1004"/>
      <c r="CT76" s="1004"/>
      <c r="CU76" s="1004"/>
      <c r="CV76" s="1004"/>
      <c r="CW76" s="1004"/>
      <c r="CX76" s="1004"/>
      <c r="CY76" s="1004"/>
      <c r="CZ76" s="1004"/>
      <c r="DA76" s="1004"/>
      <c r="DB76" s="1004"/>
      <c r="DC76" s="1004"/>
      <c r="DD76" s="1004"/>
      <c r="DE76" s="1004"/>
      <c r="DF76" s="1004"/>
      <c r="DG76" s="1004"/>
      <c r="DH76" s="1004"/>
      <c r="DI76" s="1004"/>
      <c r="DJ76" s="1004"/>
      <c r="DK76" s="1004"/>
      <c r="DL76" s="1004"/>
      <c r="DM76" s="1004"/>
      <c r="DN76" s="1004"/>
      <c r="DO76" s="1004"/>
      <c r="DP76" s="1004"/>
      <c r="DQ76" s="1004"/>
      <c r="DR76" s="1004"/>
      <c r="DS76" s="1004"/>
      <c r="DT76" s="1004"/>
      <c r="DU76" s="1004"/>
      <c r="DV76" s="1004"/>
      <c r="DW76" s="1004"/>
      <c r="DX76" s="1004"/>
      <c r="DY76" s="1004"/>
      <c r="DZ76" s="1004"/>
      <c r="EA76" s="1004"/>
      <c r="EB76" s="1004"/>
      <c r="EC76" s="1004"/>
      <c r="ED76" s="1004"/>
      <c r="EE76" s="1004"/>
      <c r="EF76" s="1004"/>
      <c r="EG76" s="1004"/>
      <c r="EH76" s="1004"/>
      <c r="EI76" s="1004"/>
      <c r="EJ76" s="1004"/>
      <c r="EK76" s="1004"/>
      <c r="EL76" s="1004"/>
      <c r="EM76" s="1004"/>
      <c r="EN76" s="1004"/>
      <c r="EO76" s="1004"/>
      <c r="EP76" s="1004"/>
      <c r="EQ76" s="1004"/>
      <c r="ER76" s="1004"/>
      <c r="ES76" s="1004"/>
      <c r="ET76" s="1004"/>
      <c r="EU76" s="1004"/>
      <c r="EV76" s="1004"/>
      <c r="EW76" s="1004"/>
      <c r="EX76" s="1004"/>
      <c r="EY76" s="1004"/>
      <c r="EZ76" s="1004"/>
      <c r="FA76" s="1004"/>
      <c r="FB76" s="1004"/>
      <c r="FC76" s="1004"/>
      <c r="FD76" s="1004"/>
      <c r="FE76" s="1004"/>
      <c r="FF76" s="1004"/>
      <c r="FG76" s="1004"/>
      <c r="FH76" s="1004"/>
      <c r="FI76" s="1004"/>
      <c r="FJ76" s="1004"/>
      <c r="FK76" s="1004"/>
      <c r="FL76" s="1004"/>
      <c r="FM76" s="1004"/>
      <c r="FN76" s="1004"/>
      <c r="FO76" s="1004"/>
      <c r="FP76" s="1004"/>
      <c r="FQ76" s="1004"/>
      <c r="FR76" s="1004"/>
      <c r="FS76" s="1004"/>
      <c r="FT76" s="1004"/>
      <c r="FU76" s="1004"/>
      <c r="FV76" s="1004"/>
      <c r="FW76" s="1004"/>
      <c r="FX76" s="1004"/>
      <c r="FY76" s="1004"/>
      <c r="FZ76" s="1004"/>
      <c r="GA76" s="1004"/>
      <c r="GB76" s="1004"/>
      <c r="GC76" s="1004"/>
      <c r="GD76" s="1004"/>
      <c r="GE76" s="1004"/>
      <c r="GF76" s="1004"/>
      <c r="GG76" s="1004"/>
      <c r="GH76" s="1004"/>
      <c r="GI76" s="1004"/>
      <c r="GJ76" s="1004"/>
      <c r="GK76" s="1004"/>
      <c r="GL76" s="1004"/>
      <c r="GM76" s="1004"/>
      <c r="GN76" s="1004"/>
      <c r="GO76" s="1004"/>
      <c r="GP76" s="1004"/>
      <c r="GQ76" s="1004"/>
      <c r="GR76" s="1004"/>
      <c r="GS76" s="1004"/>
      <c r="GT76" s="1004"/>
      <c r="GU76" s="1004"/>
      <c r="GV76" s="1004"/>
      <c r="GW76" s="1004"/>
      <c r="GX76" s="1004"/>
      <c r="GY76" s="1004"/>
      <c r="GZ76" s="1004"/>
      <c r="HA76" s="1004"/>
      <c r="HB76" s="1004"/>
      <c r="HC76" s="1004"/>
      <c r="HD76" s="1004"/>
      <c r="HE76" s="1004"/>
      <c r="HF76" s="1004"/>
      <c r="HG76" s="1004"/>
      <c r="HH76" s="1004"/>
      <c r="HI76" s="1004"/>
      <c r="HJ76" s="1004"/>
      <c r="HK76" s="1004"/>
      <c r="HL76" s="1004"/>
      <c r="HM76" s="1004"/>
      <c r="HN76" s="1004"/>
      <c r="HO76" s="1004"/>
      <c r="HP76" s="1004"/>
      <c r="HQ76" s="1004"/>
      <c r="HR76" s="1004"/>
      <c r="HS76" s="1004"/>
      <c r="HT76" s="1004"/>
      <c r="HU76" s="1004"/>
      <c r="HV76" s="1004"/>
      <c r="HW76" s="1004"/>
      <c r="HX76" s="1004"/>
      <c r="HY76" s="1004"/>
      <c r="HZ76" s="1004"/>
      <c r="IA76" s="1004"/>
      <c r="IB76" s="1004"/>
      <c r="IC76" s="1004"/>
      <c r="ID76" s="1004"/>
      <c r="IE76" s="1004"/>
      <c r="IF76" s="1004"/>
      <c r="IG76" s="1004"/>
      <c r="IH76" s="1004"/>
      <c r="II76" s="1004"/>
      <c r="IJ76" s="1004"/>
      <c r="IK76" s="1004"/>
      <c r="IL76" s="1004"/>
      <c r="IM76" s="1004"/>
      <c r="IN76" s="1004"/>
      <c r="IO76" s="1004"/>
      <c r="IP76" s="1004"/>
      <c r="IQ76" s="1004"/>
      <c r="IR76" s="1004"/>
      <c r="IS76" s="1004"/>
      <c r="IT76" s="1004"/>
      <c r="IU76" s="1004"/>
      <c r="IV76" s="1004"/>
      <c r="IW76" s="1004"/>
      <c r="IX76" s="1004"/>
      <c r="IY76" s="1004"/>
      <c r="IZ76" s="1004"/>
      <c r="JA76" s="1004"/>
      <c r="JB76" s="1004"/>
      <c r="JC76" s="1004"/>
      <c r="JD76" s="1004"/>
      <c r="JE76" s="1004"/>
      <c r="JF76" s="1004"/>
      <c r="JG76" s="1004"/>
      <c r="JH76" s="1004"/>
      <c r="JI76" s="1004"/>
      <c r="JJ76" s="1004"/>
      <c r="JK76" s="1004"/>
      <c r="JL76" s="1004"/>
      <c r="JM76" s="1004"/>
      <c r="JN76" s="1004"/>
      <c r="JO76" s="1004"/>
      <c r="JP76" s="1004"/>
      <c r="JQ76" s="1004"/>
      <c r="JR76" s="1004"/>
      <c r="JS76" s="1004"/>
      <c r="JT76" s="1004"/>
      <c r="JU76" s="1004"/>
      <c r="JV76" s="1004"/>
      <c r="JW76" s="1004"/>
      <c r="JX76" s="1004"/>
      <c r="JY76" s="1004"/>
      <c r="JZ76" s="1004"/>
      <c r="KA76" s="1004"/>
      <c r="KB76" s="1004"/>
      <c r="KC76" s="1004"/>
      <c r="KD76" s="1004"/>
      <c r="KE76" s="1004"/>
      <c r="KF76" s="1004"/>
      <c r="KG76" s="1004"/>
      <c r="KH76" s="1004"/>
      <c r="KI76" s="1004"/>
      <c r="KJ76" s="1004"/>
      <c r="KK76" s="1004"/>
      <c r="KL76" s="1004"/>
      <c r="KM76" s="1004"/>
      <c r="KN76" s="1004"/>
      <c r="KO76" s="1004"/>
      <c r="KP76" s="1004"/>
      <c r="KQ76" s="1004"/>
      <c r="KR76" s="1004"/>
      <c r="KS76" s="1004"/>
      <c r="KT76" s="1004"/>
      <c r="KU76" s="1004"/>
      <c r="KV76" s="1004"/>
      <c r="KW76" s="1004"/>
      <c r="KX76" s="1004"/>
      <c r="KY76" s="1004"/>
      <c r="KZ76" s="1004"/>
      <c r="LA76" s="1004"/>
      <c r="LB76" s="1004"/>
      <c r="LC76" s="1004"/>
      <c r="LD76" s="1004"/>
      <c r="LE76" s="1004"/>
      <c r="LF76" s="1004"/>
      <c r="LG76" s="1004"/>
      <c r="LH76" s="1004"/>
      <c r="LI76" s="1004"/>
      <c r="LJ76" s="1004"/>
      <c r="LK76" s="1004"/>
      <c r="LL76" s="1004"/>
      <c r="LM76" s="1004"/>
      <c r="LN76" s="1004"/>
      <c r="LO76" s="1004"/>
      <c r="LP76" s="1004"/>
      <c r="LQ76" s="1004"/>
      <c r="LR76" s="1004"/>
      <c r="LS76" s="1004"/>
      <c r="LT76" s="1004"/>
      <c r="LU76" s="1004"/>
      <c r="LV76" s="1004"/>
      <c r="LW76" s="1004"/>
      <c r="LX76" s="1004"/>
      <c r="LY76" s="1004"/>
      <c r="LZ76" s="1004"/>
      <c r="MA76" s="1004"/>
      <c r="MB76" s="1004"/>
      <c r="MC76" s="1004"/>
      <c r="MD76" s="1004"/>
      <c r="ME76" s="1004"/>
      <c r="MF76" s="1004"/>
      <c r="MG76" s="1004"/>
      <c r="MH76" s="1004"/>
      <c r="MI76" s="1004"/>
      <c r="MJ76" s="1004"/>
      <c r="MK76" s="1004"/>
      <c r="ML76" s="1004"/>
      <c r="MM76" s="1004"/>
      <c r="MN76" s="1004"/>
      <c r="MO76" s="1004"/>
      <c r="MP76" s="1004"/>
      <c r="MQ76" s="1004"/>
      <c r="MR76" s="1004"/>
      <c r="MS76" s="1004"/>
      <c r="MT76" s="1004"/>
      <c r="MU76" s="1004"/>
      <c r="MV76" s="1004"/>
      <c r="MW76" s="1004"/>
      <c r="MX76" s="1004"/>
      <c r="MY76" s="1004"/>
      <c r="MZ76" s="1004"/>
      <c r="NA76" s="1004"/>
      <c r="NB76" s="1004"/>
      <c r="NC76" s="1004"/>
      <c r="ND76" s="1004"/>
      <c r="NE76" s="1004"/>
      <c r="NF76" s="1004"/>
      <c r="NG76" s="1004"/>
      <c r="NH76" s="1004"/>
      <c r="NI76" s="1004"/>
      <c r="NJ76" s="1004"/>
      <c r="NK76" s="1004"/>
      <c r="NL76" s="1004"/>
      <c r="NM76" s="1004"/>
      <c r="NN76" s="1004"/>
      <c r="NO76" s="1004"/>
      <c r="NP76" s="1004"/>
      <c r="NQ76" s="1004"/>
      <c r="NR76" s="1004"/>
      <c r="NS76" s="1004"/>
      <c r="NT76" s="1004"/>
      <c r="NU76" s="1004"/>
      <c r="NV76" s="1004"/>
      <c r="NW76" s="1004"/>
      <c r="NX76" s="1004"/>
      <c r="NY76" s="1004"/>
      <c r="NZ76" s="1004"/>
      <c r="OA76" s="1004"/>
      <c r="OB76" s="1004"/>
      <c r="OC76" s="1004"/>
      <c r="OD76" s="1004"/>
      <c r="OE76" s="1004"/>
      <c r="OF76" s="1004"/>
      <c r="OG76" s="1004"/>
      <c r="OH76" s="1004"/>
      <c r="OI76" s="1004"/>
      <c r="OJ76" s="1004"/>
      <c r="OK76" s="1004"/>
      <c r="OL76" s="1004"/>
      <c r="OM76" s="1004"/>
      <c r="ON76" s="1004"/>
      <c r="OO76" s="1004"/>
      <c r="OP76" s="1004"/>
      <c r="OQ76" s="1004"/>
      <c r="OR76" s="1004"/>
      <c r="OS76" s="1004"/>
      <c r="OT76" s="1004"/>
      <c r="OU76" s="1004"/>
      <c r="OV76" s="1004"/>
      <c r="OW76" s="1004"/>
      <c r="OX76" s="1004"/>
      <c r="OY76" s="1004"/>
      <c r="OZ76" s="1004"/>
      <c r="PA76" s="1004"/>
      <c r="PB76" s="1004"/>
      <c r="PC76" s="1004"/>
      <c r="PD76" s="1004"/>
      <c r="PE76" s="1004"/>
      <c r="PF76" s="1004"/>
      <c r="PG76" s="1004"/>
      <c r="PH76" s="1004"/>
      <c r="PI76" s="1004"/>
      <c r="PJ76" s="1004"/>
      <c r="PK76" s="1004"/>
      <c r="PL76" s="1004"/>
      <c r="PM76" s="1004"/>
      <c r="PN76" s="1004"/>
      <c r="PO76" s="1004"/>
      <c r="PP76" s="1004"/>
      <c r="PQ76" s="1004"/>
      <c r="PR76" s="1004"/>
      <c r="PS76" s="1004"/>
      <c r="PT76" s="1004"/>
      <c r="PU76" s="1004"/>
      <c r="PV76" s="1004"/>
      <c r="PW76" s="1004"/>
      <c r="PX76" s="1004"/>
      <c r="PY76" s="1004"/>
      <c r="PZ76" s="1004"/>
      <c r="QA76" s="1004"/>
      <c r="QB76" s="1004"/>
      <c r="QC76" s="1004"/>
      <c r="QD76" s="1004"/>
      <c r="QE76" s="1004"/>
      <c r="QF76" s="1004"/>
      <c r="QG76" s="1004"/>
      <c r="QH76" s="1004"/>
      <c r="QI76" s="1004"/>
      <c r="QJ76" s="1004"/>
      <c r="QK76" s="1004"/>
      <c r="QL76" s="1004"/>
      <c r="QM76" s="1004"/>
      <c r="QN76" s="1004"/>
      <c r="QO76" s="1004"/>
      <c r="QP76" s="1004"/>
      <c r="QQ76" s="1004"/>
      <c r="QR76" s="1004"/>
      <c r="QS76" s="1004"/>
      <c r="QT76" s="1004"/>
      <c r="QU76" s="1004"/>
      <c r="QV76" s="1004"/>
      <c r="QW76" s="1004"/>
      <c r="QX76" s="1004"/>
      <c r="QY76" s="1004"/>
      <c r="QZ76" s="1004"/>
      <c r="RA76" s="1004"/>
      <c r="RB76" s="1004"/>
      <c r="RC76" s="1004"/>
      <c r="RD76" s="1004"/>
      <c r="RE76" s="1004"/>
      <c r="RF76" s="1004"/>
      <c r="RG76" s="1004"/>
      <c r="RH76" s="1004"/>
      <c r="RI76" s="1004"/>
      <c r="RJ76" s="1004"/>
      <c r="RK76" s="1004"/>
      <c r="RL76" s="1004"/>
      <c r="RM76" s="1004"/>
      <c r="RN76" s="1004"/>
      <c r="RO76" s="1004"/>
      <c r="RP76" s="1004"/>
      <c r="RQ76" s="1004"/>
      <c r="RR76" s="1004"/>
      <c r="RS76" s="1004"/>
      <c r="RT76" s="1004"/>
      <c r="RU76" s="1004"/>
      <c r="RV76" s="1004"/>
      <c r="RW76" s="1004"/>
      <c r="RX76" s="1004"/>
      <c r="RY76" s="1004"/>
      <c r="RZ76" s="1004"/>
      <c r="SA76" s="1004"/>
      <c r="SB76" s="1004"/>
      <c r="SC76" s="1004"/>
      <c r="SD76" s="1004"/>
      <c r="SE76" s="1004"/>
      <c r="SF76" s="1004"/>
      <c r="SG76" s="1004"/>
      <c r="SH76" s="1004"/>
      <c r="SI76" s="1004"/>
      <c r="SJ76" s="1004"/>
      <c r="SK76" s="1004"/>
      <c r="SL76" s="1004"/>
      <c r="SM76" s="1004"/>
      <c r="SN76" s="1004"/>
      <c r="SO76" s="1004"/>
      <c r="SP76" s="1004"/>
      <c r="SQ76" s="1004"/>
      <c r="SR76" s="1004"/>
      <c r="SS76" s="1004"/>
      <c r="ST76" s="1004"/>
      <c r="SU76" s="1004"/>
      <c r="SV76" s="1004"/>
      <c r="SW76" s="1004"/>
      <c r="SX76" s="1004"/>
      <c r="SY76" s="1004"/>
      <c r="SZ76" s="1004"/>
      <c r="TA76" s="1004"/>
      <c r="TB76" s="1004"/>
      <c r="TC76" s="1004"/>
      <c r="TD76" s="1004"/>
      <c r="TE76" s="1004"/>
      <c r="TF76" s="1004"/>
      <c r="TG76" s="1004"/>
      <c r="TH76" s="1004"/>
      <c r="TI76" s="1004"/>
      <c r="TJ76" s="1004"/>
      <c r="TK76" s="1004"/>
      <c r="TL76" s="1004"/>
      <c r="TM76" s="1004"/>
      <c r="TN76" s="1004"/>
      <c r="TO76" s="1004"/>
      <c r="TP76" s="1004"/>
      <c r="TQ76" s="1004"/>
      <c r="TR76" s="1004"/>
      <c r="TS76" s="1004"/>
      <c r="TT76" s="1004"/>
      <c r="TU76" s="1004"/>
      <c r="TV76" s="1004"/>
      <c r="TW76" s="1004"/>
      <c r="TX76" s="1004"/>
      <c r="TY76" s="1004"/>
      <c r="TZ76" s="1004"/>
      <c r="UA76" s="1004"/>
      <c r="UB76" s="1004"/>
      <c r="UC76" s="1004"/>
      <c r="UD76" s="1004"/>
      <c r="UE76" s="1004"/>
      <c r="UF76" s="1004"/>
      <c r="UG76" s="1004"/>
      <c r="UH76" s="1004"/>
      <c r="UI76" s="1004"/>
      <c r="UJ76" s="1004"/>
      <c r="UK76" s="1004"/>
      <c r="UL76" s="1004"/>
      <c r="UM76" s="1004"/>
      <c r="UN76" s="1004"/>
      <c r="UO76" s="1004"/>
      <c r="UP76" s="1004"/>
      <c r="UQ76" s="1004"/>
      <c r="UR76" s="1004"/>
      <c r="US76" s="1004"/>
      <c r="UT76" s="1004"/>
      <c r="UU76" s="1004"/>
      <c r="UV76" s="1004"/>
      <c r="UW76" s="1004"/>
      <c r="UX76" s="1004"/>
      <c r="UY76" s="1004"/>
      <c r="UZ76" s="1004"/>
      <c r="VA76" s="1004"/>
      <c r="VB76" s="1004"/>
      <c r="VC76" s="1004"/>
      <c r="VD76" s="1004"/>
      <c r="VE76" s="1004"/>
      <c r="VF76" s="1004"/>
      <c r="VG76" s="1004"/>
      <c r="VH76" s="1004"/>
      <c r="VI76" s="1004"/>
      <c r="VJ76" s="1004"/>
      <c r="VK76" s="1004"/>
      <c r="VL76" s="1004"/>
      <c r="VM76" s="1004"/>
      <c r="VN76" s="1004"/>
      <c r="VO76" s="1004"/>
      <c r="VP76" s="1004"/>
      <c r="VQ76" s="1004"/>
      <c r="VR76" s="1004"/>
      <c r="VS76" s="1004"/>
      <c r="VT76" s="1004"/>
      <c r="VU76" s="1004"/>
      <c r="VV76" s="1004"/>
      <c r="VW76" s="1004"/>
      <c r="VX76" s="1004"/>
      <c r="VY76" s="1004"/>
      <c r="VZ76" s="1004"/>
      <c r="WA76" s="1004"/>
      <c r="WB76" s="1004"/>
      <c r="WC76" s="1004"/>
      <c r="WD76" s="1004"/>
      <c r="WE76" s="1004"/>
      <c r="WF76" s="1004"/>
      <c r="WG76" s="1004"/>
      <c r="WH76" s="1004"/>
      <c r="WI76" s="1004"/>
      <c r="WJ76" s="1004"/>
      <c r="WK76" s="1004"/>
      <c r="WL76" s="1004"/>
      <c r="WM76" s="1004"/>
      <c r="WN76" s="1004"/>
      <c r="WO76" s="1004"/>
      <c r="WP76" s="1004"/>
      <c r="WQ76" s="1004"/>
      <c r="WR76" s="1004"/>
      <c r="WS76" s="1004"/>
      <c r="WT76" s="1004"/>
      <c r="WU76" s="1004"/>
      <c r="WV76" s="1004"/>
      <c r="WW76" s="1004"/>
      <c r="WX76" s="1004"/>
      <c r="WY76" s="1004"/>
      <c r="WZ76" s="1004"/>
      <c r="XA76" s="1004"/>
      <c r="XB76" s="1004"/>
      <c r="XC76" s="1004"/>
      <c r="XD76" s="1004"/>
      <c r="XE76" s="1004"/>
      <c r="XF76" s="1004"/>
      <c r="XG76" s="1004"/>
      <c r="XH76" s="1004"/>
      <c r="XI76" s="1004"/>
      <c r="XJ76" s="1004"/>
      <c r="XK76" s="1004"/>
      <c r="XL76" s="1004"/>
      <c r="XM76" s="1004"/>
      <c r="XN76" s="1004"/>
      <c r="XO76" s="1004"/>
      <c r="XP76" s="1004"/>
      <c r="XQ76" s="1004"/>
      <c r="XR76" s="1004"/>
      <c r="XS76" s="1004"/>
      <c r="XT76" s="1004"/>
      <c r="XU76" s="1004"/>
      <c r="XV76" s="1004"/>
      <c r="XW76" s="1004"/>
      <c r="XX76" s="1004"/>
      <c r="XY76" s="1004"/>
      <c r="XZ76" s="1004"/>
      <c r="YA76" s="1004"/>
      <c r="YB76" s="1004"/>
      <c r="YC76" s="1004"/>
      <c r="YD76" s="1004"/>
      <c r="YE76" s="1004"/>
      <c r="YF76" s="1004"/>
      <c r="YG76" s="1004"/>
      <c r="YH76" s="1004"/>
      <c r="YI76" s="1004"/>
      <c r="YJ76" s="1004"/>
      <c r="YK76" s="1004"/>
      <c r="YL76" s="1004"/>
      <c r="YM76" s="1004"/>
      <c r="YN76" s="1004"/>
      <c r="YO76" s="1004"/>
      <c r="YP76" s="1004"/>
      <c r="YQ76" s="1004"/>
      <c r="YR76" s="1004"/>
      <c r="YS76" s="1004"/>
      <c r="YT76" s="1004"/>
      <c r="YU76" s="1004"/>
      <c r="YV76" s="1004"/>
      <c r="YW76" s="1004"/>
      <c r="YX76" s="1004"/>
      <c r="YY76" s="1004"/>
      <c r="YZ76" s="1004"/>
      <c r="ZA76" s="1004"/>
      <c r="ZB76" s="1004"/>
      <c r="ZC76" s="1004"/>
      <c r="ZD76" s="1004"/>
      <c r="ZE76" s="1004"/>
      <c r="ZF76" s="1004"/>
      <c r="ZG76" s="1004"/>
      <c r="ZH76" s="1004"/>
      <c r="ZI76" s="1004"/>
      <c r="ZJ76" s="1004"/>
      <c r="ZK76" s="1004"/>
      <c r="ZL76" s="1004"/>
      <c r="ZM76" s="1004"/>
      <c r="ZN76" s="1004"/>
      <c r="ZO76" s="1004"/>
      <c r="ZP76" s="1004"/>
      <c r="ZQ76" s="1004"/>
      <c r="ZR76" s="1004"/>
      <c r="ZS76" s="1004"/>
      <c r="ZT76" s="1004"/>
      <c r="ZU76" s="1004"/>
      <c r="ZV76" s="1004"/>
      <c r="ZW76" s="1004"/>
      <c r="ZX76" s="1004"/>
      <c r="ZY76" s="1004"/>
      <c r="ZZ76" s="1004"/>
      <c r="AAA76" s="1004"/>
      <c r="AAB76" s="1004"/>
      <c r="AAC76" s="1004"/>
      <c r="AAD76" s="1004"/>
      <c r="AAE76" s="1004"/>
      <c r="AAF76" s="1004"/>
      <c r="AAG76" s="1004"/>
      <c r="AAH76" s="1004"/>
      <c r="AAI76" s="1004"/>
      <c r="AAJ76" s="1004"/>
      <c r="AAK76" s="1004"/>
      <c r="AAL76" s="1004"/>
      <c r="AAM76" s="1004"/>
      <c r="AAN76" s="1004"/>
      <c r="AAO76" s="1004"/>
      <c r="AAP76" s="1004"/>
      <c r="AAQ76" s="1004"/>
      <c r="AAR76" s="1004"/>
      <c r="AAS76" s="1004"/>
      <c r="AAT76" s="1004"/>
      <c r="AAU76" s="1004"/>
      <c r="AAV76" s="1004"/>
      <c r="AAW76" s="1004"/>
      <c r="AAX76" s="1004"/>
      <c r="AAY76" s="1004"/>
      <c r="AAZ76" s="1004"/>
      <c r="ABA76" s="1004"/>
      <c r="ABB76" s="1004"/>
      <c r="ABC76" s="1004"/>
      <c r="ABD76" s="1004"/>
      <c r="ABE76" s="1004"/>
      <c r="ABF76" s="1004"/>
      <c r="ABG76" s="1004"/>
      <c r="ABH76" s="1004"/>
      <c r="ABI76" s="1004"/>
      <c r="ABJ76" s="1004"/>
      <c r="ABK76" s="1004"/>
      <c r="ABL76" s="1004"/>
      <c r="ABM76" s="1004"/>
      <c r="ABN76" s="1004"/>
      <c r="ABO76" s="1004"/>
      <c r="ABP76" s="1004"/>
      <c r="ABQ76" s="1004"/>
      <c r="ABR76" s="1004"/>
    </row>
    <row r="77" spans="1:746" s="1" customFormat="1" ht="12.9" customHeight="1">
      <c r="A77" s="926"/>
      <c r="B77" s="1788"/>
      <c r="C77" s="1308"/>
      <c r="D77" s="1789"/>
      <c r="E77" s="1308"/>
      <c r="F77" s="1308"/>
      <c r="G77" s="1309"/>
      <c r="H77" s="1844" t="str">
        <f>IF(H76=1,"Budgetera från och med startmånad !","")</f>
        <v/>
      </c>
      <c r="I77" s="2576" t="str">
        <f>IF(AND(SUM(I11:T14)=0,SUM(I37:T40)=0),"Budgetera på detta ARBETSBLAD! Granska och skriv ut på flikarna högerut, Resultatbudget_Helår osv.",0)</f>
        <v>Budgetera på detta ARBETSBLAD! Granska och skriv ut på flikarna högerut, Resultatbudget_Helår osv.</v>
      </c>
      <c r="J77" s="1779"/>
      <c r="K77" s="1779"/>
      <c r="L77" s="1779"/>
      <c r="M77" s="1779"/>
      <c r="N77" s="1779"/>
      <c r="O77" s="1779"/>
      <c r="P77" s="1779"/>
      <c r="Q77" s="1779"/>
      <c r="R77" s="1779"/>
      <c r="S77" s="1779"/>
      <c r="T77" s="2715"/>
      <c r="U77" s="2716"/>
      <c r="V77" s="1791"/>
      <c r="W77" s="1791"/>
      <c r="X77" s="1791"/>
      <c r="Y77" s="1791"/>
      <c r="Z77" s="1791"/>
      <c r="AA77" s="1791"/>
      <c r="AB77" s="1791"/>
      <c r="AC77" s="1791"/>
      <c r="AD77" s="1791"/>
      <c r="AE77" s="1791"/>
      <c r="AF77" s="1792"/>
      <c r="AG77" s="1786"/>
      <c r="AH77" s="1315"/>
      <c r="AI77" s="1315"/>
      <c r="AJ77" s="1282"/>
      <c r="AK77" s="1282"/>
      <c r="AL77" s="1282"/>
      <c r="AM77" s="1005"/>
      <c r="AN77" s="1015"/>
      <c r="AO77" s="1945"/>
      <c r="AP77" s="1935"/>
      <c r="AQ77" s="1936"/>
      <c r="AR77" s="1941"/>
      <c r="AS77" s="1941"/>
      <c r="AT77" s="1941"/>
      <c r="AU77" s="1941"/>
      <c r="AV77" s="1941"/>
      <c r="AW77" s="1941"/>
      <c r="AX77" s="1941"/>
      <c r="AY77" s="1941"/>
      <c r="AZ77" s="1941"/>
      <c r="BA77" s="1941"/>
      <c r="BB77" s="1941"/>
      <c r="BC77" s="1941"/>
      <c r="BD77" s="1941"/>
      <c r="BE77" s="1941"/>
      <c r="BF77" s="1941"/>
      <c r="BG77" s="1941"/>
      <c r="BH77" s="1941"/>
      <c r="BI77" s="1941"/>
      <c r="BJ77" s="1941"/>
      <c r="BK77" s="1941"/>
      <c r="BL77" s="1941"/>
      <c r="BM77" s="1941"/>
      <c r="BN77" s="1941"/>
      <c r="BO77" s="1941"/>
      <c r="BP77" s="1004"/>
      <c r="BQ77" s="1004"/>
      <c r="BR77" s="1004"/>
      <c r="BS77" s="1004"/>
      <c r="BT77" s="1004"/>
      <c r="BU77" s="1004"/>
      <c r="BV77" s="1004"/>
      <c r="BW77" s="1004"/>
      <c r="BX77" s="1004"/>
      <c r="BY77" s="1004"/>
      <c r="BZ77" s="1004"/>
      <c r="CA77" s="1004"/>
      <c r="CB77" s="1004"/>
      <c r="CC77" s="1004"/>
      <c r="CD77" s="1004"/>
      <c r="CE77" s="1004"/>
      <c r="CF77" s="1004"/>
      <c r="CG77" s="1004"/>
      <c r="CH77" s="1004"/>
      <c r="CI77" s="1004"/>
      <c r="CJ77" s="1004"/>
      <c r="CK77" s="1004"/>
      <c r="CL77" s="1004"/>
      <c r="CM77" s="1004"/>
      <c r="CN77" s="1004"/>
      <c r="CO77" s="1004"/>
      <c r="CP77" s="1004"/>
      <c r="CQ77" s="1004"/>
      <c r="CR77" s="1004"/>
      <c r="CS77" s="1004"/>
      <c r="CT77" s="1004"/>
      <c r="CU77" s="1004"/>
      <c r="CV77" s="1004"/>
      <c r="CW77" s="1004"/>
      <c r="CX77" s="1004"/>
      <c r="CY77" s="1004"/>
      <c r="CZ77" s="1004"/>
      <c r="DA77" s="1004"/>
      <c r="DB77" s="1004"/>
      <c r="DC77" s="1004"/>
      <c r="DD77" s="1004"/>
      <c r="DE77" s="1004"/>
      <c r="DF77" s="1004"/>
      <c r="DG77" s="1004"/>
      <c r="DH77" s="1004"/>
      <c r="DI77" s="1004"/>
      <c r="DJ77" s="1004"/>
      <c r="DK77" s="1004"/>
      <c r="DL77" s="1004"/>
      <c r="DM77" s="1004"/>
      <c r="DN77" s="1004"/>
      <c r="DO77" s="1004"/>
      <c r="DP77" s="1004"/>
      <c r="DQ77" s="1004"/>
      <c r="DR77" s="1004"/>
      <c r="DS77" s="1004"/>
      <c r="DT77" s="1004"/>
      <c r="DU77" s="1004"/>
      <c r="DV77" s="1004"/>
      <c r="DW77" s="1004"/>
      <c r="DX77" s="1004"/>
      <c r="DY77" s="1004"/>
      <c r="DZ77" s="1004"/>
      <c r="EA77" s="1004"/>
      <c r="EB77" s="1004"/>
      <c r="EC77" s="1004"/>
      <c r="ED77" s="1004"/>
      <c r="EE77" s="1004"/>
      <c r="EF77" s="1004"/>
      <c r="EG77" s="1004"/>
      <c r="EH77" s="1004"/>
      <c r="EI77" s="1004"/>
      <c r="EJ77" s="1004"/>
      <c r="EK77" s="1004"/>
      <c r="EL77" s="1004"/>
      <c r="EM77" s="1004"/>
      <c r="EN77" s="1004"/>
      <c r="EO77" s="1004"/>
      <c r="EP77" s="1004"/>
      <c r="EQ77" s="1004"/>
      <c r="ER77" s="1004"/>
      <c r="ES77" s="1004"/>
      <c r="ET77" s="1004"/>
      <c r="EU77" s="1004"/>
      <c r="EV77" s="1004"/>
      <c r="EW77" s="1004"/>
      <c r="EX77" s="1004"/>
      <c r="EY77" s="1004"/>
      <c r="EZ77" s="1004"/>
      <c r="FA77" s="1004"/>
      <c r="FB77" s="1004"/>
      <c r="FC77" s="1004"/>
      <c r="FD77" s="1004"/>
      <c r="FE77" s="1004"/>
      <c r="FF77" s="1004"/>
      <c r="FG77" s="1004"/>
      <c r="FH77" s="1004"/>
      <c r="FI77" s="1004"/>
      <c r="FJ77" s="1004"/>
      <c r="FK77" s="1004"/>
      <c r="FL77" s="1004"/>
      <c r="FM77" s="1004"/>
      <c r="FN77" s="1004"/>
      <c r="FO77" s="1004"/>
      <c r="FP77" s="1004"/>
      <c r="FQ77" s="1004"/>
      <c r="FR77" s="1004"/>
      <c r="FS77" s="1004"/>
      <c r="FT77" s="1004"/>
      <c r="FU77" s="1004"/>
      <c r="FV77" s="1004"/>
      <c r="FW77" s="1004"/>
      <c r="FX77" s="1004"/>
      <c r="FY77" s="1004"/>
      <c r="FZ77" s="1004"/>
      <c r="GA77" s="1004"/>
      <c r="GB77" s="1004"/>
      <c r="GC77" s="1004"/>
      <c r="GD77" s="1004"/>
      <c r="GE77" s="1004"/>
      <c r="GF77" s="1004"/>
      <c r="GG77" s="1004"/>
      <c r="GH77" s="1004"/>
      <c r="GI77" s="1004"/>
      <c r="GJ77" s="1004"/>
      <c r="GK77" s="1004"/>
      <c r="GL77" s="1004"/>
      <c r="GM77" s="1004"/>
      <c r="GN77" s="1004"/>
      <c r="GO77" s="1004"/>
      <c r="GP77" s="1004"/>
      <c r="GQ77" s="1004"/>
      <c r="GR77" s="1004"/>
      <c r="GS77" s="1004"/>
      <c r="GT77" s="1004"/>
      <c r="GU77" s="1004"/>
      <c r="GV77" s="1004"/>
      <c r="GW77" s="1004"/>
      <c r="GX77" s="1004"/>
      <c r="GY77" s="1004"/>
      <c r="GZ77" s="1004"/>
      <c r="HA77" s="1004"/>
      <c r="HB77" s="1004"/>
      <c r="HC77" s="1004"/>
      <c r="HD77" s="1004"/>
      <c r="HE77" s="1004"/>
      <c r="HF77" s="1004"/>
      <c r="HG77" s="1004"/>
      <c r="HH77" s="1004"/>
      <c r="HI77" s="1004"/>
      <c r="HJ77" s="1004"/>
      <c r="HK77" s="1004"/>
      <c r="HL77" s="1004"/>
      <c r="HM77" s="1004"/>
      <c r="HN77" s="1004"/>
      <c r="HO77" s="1004"/>
      <c r="HP77" s="1004"/>
      <c r="HQ77" s="1004"/>
      <c r="HR77" s="1004"/>
      <c r="HS77" s="1004"/>
      <c r="HT77" s="1004"/>
      <c r="HU77" s="1004"/>
      <c r="HV77" s="1004"/>
      <c r="HW77" s="1004"/>
      <c r="HX77" s="1004"/>
      <c r="HY77" s="1004"/>
      <c r="HZ77" s="1004"/>
      <c r="IA77" s="1004"/>
      <c r="IB77" s="1004"/>
      <c r="IC77" s="1004"/>
      <c r="ID77" s="1004"/>
      <c r="IE77" s="1004"/>
      <c r="IF77" s="1004"/>
      <c r="IG77" s="1004"/>
      <c r="IH77" s="1004"/>
      <c r="II77" s="1004"/>
      <c r="IJ77" s="1004"/>
      <c r="IK77" s="1004"/>
      <c r="IL77" s="1004"/>
      <c r="IM77" s="1004"/>
      <c r="IN77" s="1004"/>
      <c r="IO77" s="1004"/>
      <c r="IP77" s="1004"/>
      <c r="IQ77" s="1004"/>
      <c r="IR77" s="1004"/>
      <c r="IS77" s="1004"/>
      <c r="IT77" s="1004"/>
      <c r="IU77" s="1004"/>
      <c r="IV77" s="1004"/>
      <c r="IW77" s="1004"/>
      <c r="IX77" s="1004"/>
      <c r="IY77" s="1004"/>
      <c r="IZ77" s="1004"/>
      <c r="JA77" s="1004"/>
      <c r="JB77" s="1004"/>
      <c r="JC77" s="1004"/>
      <c r="JD77" s="1004"/>
      <c r="JE77" s="1004"/>
      <c r="JF77" s="1004"/>
      <c r="JG77" s="1004"/>
      <c r="JH77" s="1004"/>
      <c r="JI77" s="1004"/>
      <c r="JJ77" s="1004"/>
      <c r="JK77" s="1004"/>
      <c r="JL77" s="1004"/>
      <c r="JM77" s="1004"/>
      <c r="JN77" s="1004"/>
      <c r="JO77" s="1004"/>
      <c r="JP77" s="1004"/>
      <c r="JQ77" s="1004"/>
      <c r="JR77" s="1004"/>
      <c r="JS77" s="1004"/>
      <c r="JT77" s="1004"/>
      <c r="JU77" s="1004"/>
      <c r="JV77" s="1004"/>
      <c r="JW77" s="1004"/>
      <c r="JX77" s="1004"/>
      <c r="JY77" s="1004"/>
      <c r="JZ77" s="1004"/>
      <c r="KA77" s="1004"/>
      <c r="KB77" s="1004"/>
      <c r="KC77" s="1004"/>
      <c r="KD77" s="1004"/>
      <c r="KE77" s="1004"/>
      <c r="KF77" s="1004"/>
      <c r="KG77" s="1004"/>
      <c r="KH77" s="1004"/>
      <c r="KI77" s="1004"/>
      <c r="KJ77" s="1004"/>
      <c r="KK77" s="1004"/>
      <c r="KL77" s="1004"/>
      <c r="KM77" s="1004"/>
      <c r="KN77" s="1004"/>
      <c r="KO77" s="1004"/>
      <c r="KP77" s="1004"/>
      <c r="KQ77" s="1004"/>
      <c r="KR77" s="1004"/>
      <c r="KS77" s="1004"/>
      <c r="KT77" s="1004"/>
      <c r="KU77" s="1004"/>
      <c r="KV77" s="1004"/>
      <c r="KW77" s="1004"/>
      <c r="KX77" s="1004"/>
      <c r="KY77" s="1004"/>
      <c r="KZ77" s="1004"/>
      <c r="LA77" s="1004"/>
      <c r="LB77" s="1004"/>
      <c r="LC77" s="1004"/>
      <c r="LD77" s="1004"/>
      <c r="LE77" s="1004"/>
      <c r="LF77" s="1004"/>
      <c r="LG77" s="1004"/>
      <c r="LH77" s="1004"/>
      <c r="LI77" s="1004"/>
      <c r="LJ77" s="1004"/>
      <c r="LK77" s="1004"/>
      <c r="LL77" s="1004"/>
      <c r="LM77" s="1004"/>
      <c r="LN77" s="1004"/>
      <c r="LO77" s="1004"/>
      <c r="LP77" s="1004"/>
      <c r="LQ77" s="1004"/>
      <c r="LR77" s="1004"/>
      <c r="LS77" s="1004"/>
      <c r="LT77" s="1004"/>
      <c r="LU77" s="1004"/>
      <c r="LV77" s="1004"/>
      <c r="LW77" s="1004"/>
      <c r="LX77" s="1004"/>
      <c r="LY77" s="1004"/>
      <c r="LZ77" s="1004"/>
      <c r="MA77" s="1004"/>
      <c r="MB77" s="1004"/>
      <c r="MC77" s="1004"/>
      <c r="MD77" s="1004"/>
      <c r="ME77" s="1004"/>
      <c r="MF77" s="1004"/>
      <c r="MG77" s="1004"/>
      <c r="MH77" s="1004"/>
      <c r="MI77" s="1004"/>
      <c r="MJ77" s="1004"/>
      <c r="MK77" s="1004"/>
      <c r="ML77" s="1004"/>
      <c r="MM77" s="1004"/>
      <c r="MN77" s="1004"/>
      <c r="MO77" s="1004"/>
      <c r="MP77" s="1004"/>
      <c r="MQ77" s="1004"/>
      <c r="MR77" s="1004"/>
      <c r="MS77" s="1004"/>
      <c r="MT77" s="1004"/>
      <c r="MU77" s="1004"/>
      <c r="MV77" s="1004"/>
      <c r="MW77" s="1004"/>
      <c r="MX77" s="1004"/>
      <c r="MY77" s="1004"/>
      <c r="MZ77" s="1004"/>
      <c r="NA77" s="1004"/>
      <c r="NB77" s="1004"/>
      <c r="NC77" s="1004"/>
      <c r="ND77" s="1004"/>
      <c r="NE77" s="1004"/>
      <c r="NF77" s="1004"/>
      <c r="NG77" s="1004"/>
      <c r="NH77" s="1004"/>
      <c r="NI77" s="1004"/>
      <c r="NJ77" s="1004"/>
      <c r="NK77" s="1004"/>
      <c r="NL77" s="1004"/>
      <c r="NM77" s="1004"/>
      <c r="NN77" s="1004"/>
      <c r="NO77" s="1004"/>
      <c r="NP77" s="1004"/>
      <c r="NQ77" s="1004"/>
      <c r="NR77" s="1004"/>
      <c r="NS77" s="1004"/>
      <c r="NT77" s="1004"/>
      <c r="NU77" s="1004"/>
      <c r="NV77" s="1004"/>
      <c r="NW77" s="1004"/>
      <c r="NX77" s="1004"/>
      <c r="NY77" s="1004"/>
      <c r="NZ77" s="1004"/>
      <c r="OA77" s="1004"/>
      <c r="OB77" s="1004"/>
      <c r="OC77" s="1004"/>
      <c r="OD77" s="1004"/>
      <c r="OE77" s="1004"/>
      <c r="OF77" s="1004"/>
      <c r="OG77" s="1004"/>
      <c r="OH77" s="1004"/>
      <c r="OI77" s="1004"/>
      <c r="OJ77" s="1004"/>
      <c r="OK77" s="1004"/>
      <c r="OL77" s="1004"/>
      <c r="OM77" s="1004"/>
      <c r="ON77" s="1004"/>
      <c r="OO77" s="1004"/>
      <c r="OP77" s="1004"/>
      <c r="OQ77" s="1004"/>
      <c r="OR77" s="1004"/>
      <c r="OS77" s="1004"/>
      <c r="OT77" s="1004"/>
      <c r="OU77" s="1004"/>
      <c r="OV77" s="1004"/>
      <c r="OW77" s="1004"/>
      <c r="OX77" s="1004"/>
      <c r="OY77" s="1004"/>
      <c r="OZ77" s="1004"/>
      <c r="PA77" s="1004"/>
      <c r="PB77" s="1004"/>
      <c r="PC77" s="1004"/>
      <c r="PD77" s="1004"/>
      <c r="PE77" s="1004"/>
      <c r="PF77" s="1004"/>
      <c r="PG77" s="1004"/>
      <c r="PH77" s="1004"/>
      <c r="PI77" s="1004"/>
      <c r="PJ77" s="1004"/>
      <c r="PK77" s="1004"/>
      <c r="PL77" s="1004"/>
      <c r="PM77" s="1004"/>
      <c r="PN77" s="1004"/>
      <c r="PO77" s="1004"/>
      <c r="PP77" s="1004"/>
      <c r="PQ77" s="1004"/>
      <c r="PR77" s="1004"/>
      <c r="PS77" s="1004"/>
      <c r="PT77" s="1004"/>
      <c r="PU77" s="1004"/>
      <c r="PV77" s="1004"/>
      <c r="PW77" s="1004"/>
      <c r="PX77" s="1004"/>
      <c r="PY77" s="1004"/>
      <c r="PZ77" s="1004"/>
      <c r="QA77" s="1004"/>
      <c r="QB77" s="1004"/>
      <c r="QC77" s="1004"/>
      <c r="QD77" s="1004"/>
      <c r="QE77" s="1004"/>
      <c r="QF77" s="1004"/>
      <c r="QG77" s="1004"/>
      <c r="QH77" s="1004"/>
      <c r="QI77" s="1004"/>
      <c r="QJ77" s="1004"/>
      <c r="QK77" s="1004"/>
      <c r="QL77" s="1004"/>
      <c r="QM77" s="1004"/>
      <c r="QN77" s="1004"/>
      <c r="QO77" s="1004"/>
      <c r="QP77" s="1004"/>
      <c r="QQ77" s="1004"/>
      <c r="QR77" s="1004"/>
      <c r="QS77" s="1004"/>
      <c r="QT77" s="1004"/>
      <c r="QU77" s="1004"/>
      <c r="QV77" s="1004"/>
      <c r="QW77" s="1004"/>
      <c r="QX77" s="1004"/>
      <c r="QY77" s="1004"/>
      <c r="QZ77" s="1004"/>
      <c r="RA77" s="1004"/>
      <c r="RB77" s="1004"/>
      <c r="RC77" s="1004"/>
      <c r="RD77" s="1004"/>
      <c r="RE77" s="1004"/>
      <c r="RF77" s="1004"/>
      <c r="RG77" s="1004"/>
      <c r="RH77" s="1004"/>
      <c r="RI77" s="1004"/>
      <c r="RJ77" s="1004"/>
      <c r="RK77" s="1004"/>
      <c r="RL77" s="1004"/>
      <c r="RM77" s="1004"/>
      <c r="RN77" s="1004"/>
      <c r="RO77" s="1004"/>
      <c r="RP77" s="1004"/>
      <c r="RQ77" s="1004"/>
      <c r="RR77" s="1004"/>
      <c r="RS77" s="1004"/>
      <c r="RT77" s="1004"/>
      <c r="RU77" s="1004"/>
      <c r="RV77" s="1004"/>
      <c r="RW77" s="1004"/>
      <c r="RX77" s="1004"/>
      <c r="RY77" s="1004"/>
      <c r="RZ77" s="1004"/>
      <c r="SA77" s="1004"/>
      <c r="SB77" s="1004"/>
      <c r="SC77" s="1004"/>
      <c r="SD77" s="1004"/>
      <c r="SE77" s="1004"/>
      <c r="SF77" s="1004"/>
      <c r="SG77" s="1004"/>
      <c r="SH77" s="1004"/>
      <c r="SI77" s="1004"/>
      <c r="SJ77" s="1004"/>
      <c r="SK77" s="1004"/>
      <c r="SL77" s="1004"/>
      <c r="SM77" s="1004"/>
      <c r="SN77" s="1004"/>
      <c r="SO77" s="1004"/>
      <c r="SP77" s="1004"/>
      <c r="SQ77" s="1004"/>
      <c r="SR77" s="1004"/>
      <c r="SS77" s="1004"/>
      <c r="ST77" s="1004"/>
      <c r="SU77" s="1004"/>
      <c r="SV77" s="1004"/>
      <c r="SW77" s="1004"/>
      <c r="SX77" s="1004"/>
      <c r="SY77" s="1004"/>
      <c r="SZ77" s="1004"/>
      <c r="TA77" s="1004"/>
      <c r="TB77" s="1004"/>
      <c r="TC77" s="1004"/>
      <c r="TD77" s="1004"/>
      <c r="TE77" s="1004"/>
      <c r="TF77" s="1004"/>
      <c r="TG77" s="1004"/>
      <c r="TH77" s="1004"/>
      <c r="TI77" s="1004"/>
      <c r="TJ77" s="1004"/>
      <c r="TK77" s="1004"/>
      <c r="TL77" s="1004"/>
      <c r="TM77" s="1004"/>
      <c r="TN77" s="1004"/>
      <c r="TO77" s="1004"/>
      <c r="TP77" s="1004"/>
      <c r="TQ77" s="1004"/>
      <c r="TR77" s="1004"/>
      <c r="TS77" s="1004"/>
      <c r="TT77" s="1004"/>
      <c r="TU77" s="1004"/>
      <c r="TV77" s="1004"/>
      <c r="TW77" s="1004"/>
      <c r="TX77" s="1004"/>
      <c r="TY77" s="1004"/>
      <c r="TZ77" s="1004"/>
      <c r="UA77" s="1004"/>
      <c r="UB77" s="1004"/>
      <c r="UC77" s="1004"/>
      <c r="UD77" s="1004"/>
      <c r="UE77" s="1004"/>
      <c r="UF77" s="1004"/>
      <c r="UG77" s="1004"/>
      <c r="UH77" s="1004"/>
      <c r="UI77" s="1004"/>
      <c r="UJ77" s="1004"/>
      <c r="UK77" s="1004"/>
      <c r="UL77" s="1004"/>
      <c r="UM77" s="1004"/>
      <c r="UN77" s="1004"/>
      <c r="UO77" s="1004"/>
      <c r="UP77" s="1004"/>
      <c r="UQ77" s="1004"/>
      <c r="UR77" s="1004"/>
      <c r="US77" s="1004"/>
      <c r="UT77" s="1004"/>
      <c r="UU77" s="1004"/>
      <c r="UV77" s="1004"/>
      <c r="UW77" s="1004"/>
      <c r="UX77" s="1004"/>
      <c r="UY77" s="1004"/>
      <c r="UZ77" s="1004"/>
      <c r="VA77" s="1004"/>
      <c r="VB77" s="1004"/>
      <c r="VC77" s="1004"/>
      <c r="VD77" s="1004"/>
      <c r="VE77" s="1004"/>
      <c r="VF77" s="1004"/>
      <c r="VG77" s="1004"/>
      <c r="VH77" s="1004"/>
      <c r="VI77" s="1004"/>
      <c r="VJ77" s="1004"/>
      <c r="VK77" s="1004"/>
      <c r="VL77" s="1004"/>
      <c r="VM77" s="1004"/>
      <c r="VN77" s="1004"/>
      <c r="VO77" s="1004"/>
      <c r="VP77" s="1004"/>
      <c r="VQ77" s="1004"/>
      <c r="VR77" s="1004"/>
      <c r="VS77" s="1004"/>
      <c r="VT77" s="1004"/>
      <c r="VU77" s="1004"/>
      <c r="VV77" s="1004"/>
      <c r="VW77" s="1004"/>
      <c r="VX77" s="1004"/>
      <c r="VY77" s="1004"/>
      <c r="VZ77" s="1004"/>
      <c r="WA77" s="1004"/>
      <c r="WB77" s="1004"/>
      <c r="WC77" s="1004"/>
      <c r="WD77" s="1004"/>
      <c r="WE77" s="1004"/>
      <c r="WF77" s="1004"/>
      <c r="WG77" s="1004"/>
      <c r="WH77" s="1004"/>
      <c r="WI77" s="1004"/>
      <c r="WJ77" s="1004"/>
      <c r="WK77" s="1004"/>
      <c r="WL77" s="1004"/>
      <c r="WM77" s="1004"/>
      <c r="WN77" s="1004"/>
      <c r="WO77" s="1004"/>
      <c r="WP77" s="1004"/>
      <c r="WQ77" s="1004"/>
      <c r="WR77" s="1004"/>
      <c r="WS77" s="1004"/>
      <c r="WT77" s="1004"/>
      <c r="WU77" s="1004"/>
      <c r="WV77" s="1004"/>
      <c r="WW77" s="1004"/>
      <c r="WX77" s="1004"/>
      <c r="WY77" s="1004"/>
      <c r="WZ77" s="1004"/>
      <c r="XA77" s="1004"/>
      <c r="XB77" s="1004"/>
      <c r="XC77" s="1004"/>
      <c r="XD77" s="1004"/>
      <c r="XE77" s="1004"/>
      <c r="XF77" s="1004"/>
      <c r="XG77" s="1004"/>
      <c r="XH77" s="1004"/>
      <c r="XI77" s="1004"/>
      <c r="XJ77" s="1004"/>
      <c r="XK77" s="1004"/>
      <c r="XL77" s="1004"/>
      <c r="XM77" s="1004"/>
      <c r="XN77" s="1004"/>
      <c r="XO77" s="1004"/>
      <c r="XP77" s="1004"/>
      <c r="XQ77" s="1004"/>
      <c r="XR77" s="1004"/>
      <c r="XS77" s="1004"/>
      <c r="XT77" s="1004"/>
      <c r="XU77" s="1004"/>
      <c r="XV77" s="1004"/>
      <c r="XW77" s="1004"/>
      <c r="XX77" s="1004"/>
      <c r="XY77" s="1004"/>
      <c r="XZ77" s="1004"/>
      <c r="YA77" s="1004"/>
      <c r="YB77" s="1004"/>
      <c r="YC77" s="1004"/>
      <c r="YD77" s="1004"/>
      <c r="YE77" s="1004"/>
      <c r="YF77" s="1004"/>
      <c r="YG77" s="1004"/>
      <c r="YH77" s="1004"/>
      <c r="YI77" s="1004"/>
      <c r="YJ77" s="1004"/>
      <c r="YK77" s="1004"/>
      <c r="YL77" s="1004"/>
      <c r="YM77" s="1004"/>
      <c r="YN77" s="1004"/>
      <c r="YO77" s="1004"/>
      <c r="YP77" s="1004"/>
      <c r="YQ77" s="1004"/>
      <c r="YR77" s="1004"/>
      <c r="YS77" s="1004"/>
      <c r="YT77" s="1004"/>
      <c r="YU77" s="1004"/>
      <c r="YV77" s="1004"/>
      <c r="YW77" s="1004"/>
      <c r="YX77" s="1004"/>
      <c r="YY77" s="1004"/>
      <c r="YZ77" s="1004"/>
      <c r="ZA77" s="1004"/>
      <c r="ZB77" s="1004"/>
      <c r="ZC77" s="1004"/>
      <c r="ZD77" s="1004"/>
      <c r="ZE77" s="1004"/>
      <c r="ZF77" s="1004"/>
      <c r="ZG77" s="1004"/>
      <c r="ZH77" s="1004"/>
      <c r="ZI77" s="1004"/>
      <c r="ZJ77" s="1004"/>
      <c r="ZK77" s="1004"/>
      <c r="ZL77" s="1004"/>
      <c r="ZM77" s="1004"/>
      <c r="ZN77" s="1004"/>
      <c r="ZO77" s="1004"/>
      <c r="ZP77" s="1004"/>
      <c r="ZQ77" s="1004"/>
      <c r="ZR77" s="1004"/>
      <c r="ZS77" s="1004"/>
      <c r="ZT77" s="1004"/>
      <c r="ZU77" s="1004"/>
      <c r="ZV77" s="1004"/>
      <c r="ZW77" s="1004"/>
      <c r="ZX77" s="1004"/>
      <c r="ZY77" s="1004"/>
      <c r="ZZ77" s="1004"/>
      <c r="AAA77" s="1004"/>
      <c r="AAB77" s="1004"/>
      <c r="AAC77" s="1004"/>
      <c r="AAD77" s="1004"/>
      <c r="AAE77" s="1004"/>
      <c r="AAF77" s="1004"/>
      <c r="AAG77" s="1004"/>
      <c r="AAH77" s="1004"/>
      <c r="AAI77" s="1004"/>
      <c r="AAJ77" s="1004"/>
      <c r="AAK77" s="1004"/>
      <c r="AAL77" s="1004"/>
      <c r="AAM77" s="1004"/>
      <c r="AAN77" s="1004"/>
      <c r="AAO77" s="1004"/>
      <c r="AAP77" s="1004"/>
      <c r="AAQ77" s="1004"/>
      <c r="AAR77" s="1004"/>
      <c r="AAS77" s="1004"/>
      <c r="AAT77" s="1004"/>
      <c r="AAU77" s="1004"/>
      <c r="AAV77" s="1004"/>
      <c r="AAW77" s="1004"/>
      <c r="AAX77" s="1004"/>
      <c r="AAY77" s="1004"/>
      <c r="AAZ77" s="1004"/>
      <c r="ABA77" s="1004"/>
      <c r="ABB77" s="1004"/>
      <c r="ABC77" s="1004"/>
      <c r="ABD77" s="1004"/>
      <c r="ABE77" s="1004"/>
      <c r="ABF77" s="1004"/>
      <c r="ABG77" s="1004"/>
      <c r="ABH77" s="1004"/>
      <c r="ABI77" s="1004"/>
      <c r="ABJ77" s="1004"/>
      <c r="ABK77" s="1004"/>
      <c r="ABL77" s="1004"/>
      <c r="ABM77" s="1004"/>
      <c r="ABN77" s="1004"/>
      <c r="ABO77" s="1004"/>
      <c r="ABP77" s="1004"/>
      <c r="ABQ77" s="1004"/>
      <c r="ABR77" s="1004"/>
    </row>
    <row r="78" spans="1:746" s="1" customFormat="1" ht="12.9" customHeight="1">
      <c r="A78" s="926"/>
      <c r="B78" s="555" t="s">
        <v>1061</v>
      </c>
      <c r="C78" s="556"/>
      <c r="D78" s="557"/>
      <c r="E78" s="558"/>
      <c r="F78" s="559"/>
      <c r="G78" s="560"/>
      <c r="H78" s="2166"/>
      <c r="I78" s="2577">
        <f t="shared" ref="I78:AF78" si="3">I33-I76</f>
        <v>0</v>
      </c>
      <c r="J78" s="181">
        <f t="shared" si="3"/>
        <v>0</v>
      </c>
      <c r="K78" s="181">
        <f t="shared" si="3"/>
        <v>0</v>
      </c>
      <c r="L78" s="181">
        <f t="shared" si="3"/>
        <v>0</v>
      </c>
      <c r="M78" s="181">
        <f t="shared" si="3"/>
        <v>0</v>
      </c>
      <c r="N78" s="181">
        <f t="shared" si="3"/>
        <v>0</v>
      </c>
      <c r="O78" s="181">
        <f t="shared" si="3"/>
        <v>0</v>
      </c>
      <c r="P78" s="181">
        <f t="shared" si="3"/>
        <v>0</v>
      </c>
      <c r="Q78" s="181">
        <f t="shared" si="3"/>
        <v>0</v>
      </c>
      <c r="R78" s="181">
        <f t="shared" si="3"/>
        <v>0</v>
      </c>
      <c r="S78" s="181">
        <f t="shared" si="3"/>
        <v>0</v>
      </c>
      <c r="T78" s="181">
        <f t="shared" si="3"/>
        <v>0</v>
      </c>
      <c r="U78" s="181">
        <f t="shared" si="3"/>
        <v>0</v>
      </c>
      <c r="V78" s="181">
        <f t="shared" si="3"/>
        <v>0</v>
      </c>
      <c r="W78" s="181">
        <f t="shared" si="3"/>
        <v>0</v>
      </c>
      <c r="X78" s="181">
        <f t="shared" si="3"/>
        <v>0</v>
      </c>
      <c r="Y78" s="181">
        <f t="shared" si="3"/>
        <v>0</v>
      </c>
      <c r="Z78" s="181">
        <f t="shared" si="3"/>
        <v>0</v>
      </c>
      <c r="AA78" s="181">
        <f t="shared" si="3"/>
        <v>0</v>
      </c>
      <c r="AB78" s="181">
        <f t="shared" si="3"/>
        <v>0</v>
      </c>
      <c r="AC78" s="181">
        <f t="shared" si="3"/>
        <v>0</v>
      </c>
      <c r="AD78" s="181">
        <f t="shared" si="3"/>
        <v>0</v>
      </c>
      <c r="AE78" s="181">
        <f t="shared" si="3"/>
        <v>0</v>
      </c>
      <c r="AF78" s="181">
        <f t="shared" si="3"/>
        <v>0</v>
      </c>
      <c r="AG78" s="2210"/>
      <c r="AH78" s="6"/>
      <c r="AI78" s="6"/>
      <c r="AJ78" s="424">
        <f>AJ33-AJ84</f>
        <v>0</v>
      </c>
      <c r="AK78" s="423"/>
      <c r="AL78" s="425">
        <f>AL33-AL84</f>
        <v>0</v>
      </c>
      <c r="AM78" s="1009"/>
      <c r="AN78" s="1017"/>
      <c r="AO78" s="1945"/>
      <c r="AP78" s="1935"/>
      <c r="AQ78" s="1936"/>
      <c r="AR78" s="1941"/>
      <c r="AS78" s="1941"/>
      <c r="AT78" s="1941"/>
      <c r="AU78" s="1941"/>
      <c r="AV78" s="1941"/>
      <c r="AW78" s="1941"/>
      <c r="AX78" s="1941"/>
      <c r="AY78" s="1941"/>
      <c r="AZ78" s="1941"/>
      <c r="BA78" s="1941"/>
      <c r="BB78" s="1941"/>
      <c r="BC78" s="1941"/>
      <c r="BD78" s="1941"/>
      <c r="BE78" s="1941"/>
      <c r="BF78" s="1941"/>
      <c r="BG78" s="1941"/>
      <c r="BH78" s="1941"/>
      <c r="BI78" s="1941"/>
      <c r="BJ78" s="1941"/>
      <c r="BK78" s="1941"/>
      <c r="BL78" s="1941"/>
      <c r="BM78" s="1941"/>
      <c r="BN78" s="1941"/>
      <c r="BO78" s="1941"/>
      <c r="BP78" s="1004"/>
      <c r="BQ78" s="1004"/>
      <c r="BR78" s="1004"/>
      <c r="BS78" s="1004"/>
      <c r="BT78" s="1004"/>
      <c r="BU78" s="1004"/>
      <c r="BV78" s="1004"/>
      <c r="BW78" s="1004"/>
      <c r="BX78" s="1004"/>
      <c r="BY78" s="1004"/>
      <c r="BZ78" s="1004"/>
      <c r="CA78" s="1004"/>
      <c r="CB78" s="1004"/>
      <c r="CC78" s="1004"/>
      <c r="CD78" s="1004"/>
      <c r="CE78" s="1004"/>
      <c r="CF78" s="1004"/>
      <c r="CG78" s="1004"/>
      <c r="CH78" s="1004"/>
      <c r="CI78" s="1004"/>
      <c r="CJ78" s="1004"/>
      <c r="CK78" s="1004"/>
      <c r="CL78" s="1004"/>
      <c r="CM78" s="1004"/>
      <c r="CN78" s="1004"/>
      <c r="CO78" s="1004"/>
      <c r="CP78" s="1004"/>
      <c r="CQ78" s="1004"/>
      <c r="CR78" s="1004"/>
      <c r="CS78" s="1004"/>
      <c r="CT78" s="1004"/>
      <c r="CU78" s="1004"/>
      <c r="CV78" s="1004"/>
      <c r="CW78" s="1004"/>
      <c r="CX78" s="1004"/>
      <c r="CY78" s="1004"/>
      <c r="CZ78" s="1004"/>
      <c r="DA78" s="1004"/>
      <c r="DB78" s="1004"/>
      <c r="DC78" s="1004"/>
      <c r="DD78" s="1004"/>
      <c r="DE78" s="1004"/>
      <c r="DF78" s="1004"/>
      <c r="DG78" s="1004"/>
      <c r="DH78" s="1004"/>
      <c r="DI78" s="1004"/>
      <c r="DJ78" s="1004"/>
      <c r="DK78" s="1004"/>
      <c r="DL78" s="1004"/>
      <c r="DM78" s="1004"/>
      <c r="DN78" s="1004"/>
      <c r="DO78" s="1004"/>
      <c r="DP78" s="1004"/>
      <c r="DQ78" s="1004"/>
      <c r="DR78" s="1004"/>
      <c r="DS78" s="1004"/>
      <c r="DT78" s="1004"/>
      <c r="DU78" s="1004"/>
      <c r="DV78" s="1004"/>
      <c r="DW78" s="1004"/>
      <c r="DX78" s="1004"/>
      <c r="DY78" s="1004"/>
      <c r="DZ78" s="1004"/>
      <c r="EA78" s="1004"/>
      <c r="EB78" s="1004"/>
      <c r="EC78" s="1004"/>
      <c r="ED78" s="1004"/>
      <c r="EE78" s="1004"/>
      <c r="EF78" s="1004"/>
      <c r="EG78" s="1004"/>
      <c r="EH78" s="1004"/>
      <c r="EI78" s="1004"/>
      <c r="EJ78" s="1004"/>
      <c r="EK78" s="1004"/>
      <c r="EL78" s="1004"/>
      <c r="EM78" s="1004"/>
      <c r="EN78" s="1004"/>
      <c r="EO78" s="1004"/>
      <c r="EP78" s="1004"/>
      <c r="EQ78" s="1004"/>
      <c r="ER78" s="1004"/>
      <c r="ES78" s="1004"/>
      <c r="ET78" s="1004"/>
      <c r="EU78" s="1004"/>
      <c r="EV78" s="1004"/>
      <c r="EW78" s="1004"/>
      <c r="EX78" s="1004"/>
      <c r="EY78" s="1004"/>
      <c r="EZ78" s="1004"/>
      <c r="FA78" s="1004"/>
      <c r="FB78" s="1004"/>
      <c r="FC78" s="1004"/>
      <c r="FD78" s="1004"/>
      <c r="FE78" s="1004"/>
      <c r="FF78" s="1004"/>
      <c r="FG78" s="1004"/>
      <c r="FH78" s="1004"/>
      <c r="FI78" s="1004"/>
      <c r="FJ78" s="1004"/>
      <c r="FK78" s="1004"/>
      <c r="FL78" s="1004"/>
      <c r="FM78" s="1004"/>
      <c r="FN78" s="1004"/>
      <c r="FO78" s="1004"/>
      <c r="FP78" s="1004"/>
      <c r="FQ78" s="1004"/>
      <c r="FR78" s="1004"/>
      <c r="FS78" s="1004"/>
      <c r="FT78" s="1004"/>
      <c r="FU78" s="1004"/>
      <c r="FV78" s="1004"/>
      <c r="FW78" s="1004"/>
      <c r="FX78" s="1004"/>
      <c r="FY78" s="1004"/>
      <c r="FZ78" s="1004"/>
      <c r="GA78" s="1004"/>
      <c r="GB78" s="1004"/>
      <c r="GC78" s="1004"/>
      <c r="GD78" s="1004"/>
      <c r="GE78" s="1004"/>
      <c r="GF78" s="1004"/>
      <c r="GG78" s="1004"/>
      <c r="GH78" s="1004"/>
      <c r="GI78" s="1004"/>
      <c r="GJ78" s="1004"/>
      <c r="GK78" s="1004"/>
      <c r="GL78" s="1004"/>
      <c r="GM78" s="1004"/>
      <c r="GN78" s="1004"/>
      <c r="GO78" s="1004"/>
      <c r="GP78" s="1004"/>
      <c r="GQ78" s="1004"/>
      <c r="GR78" s="1004"/>
      <c r="GS78" s="1004"/>
      <c r="GT78" s="1004"/>
      <c r="GU78" s="1004"/>
      <c r="GV78" s="1004"/>
      <c r="GW78" s="1004"/>
      <c r="GX78" s="1004"/>
      <c r="GY78" s="1004"/>
      <c r="GZ78" s="1004"/>
      <c r="HA78" s="1004"/>
      <c r="HB78" s="1004"/>
      <c r="HC78" s="1004"/>
      <c r="HD78" s="1004"/>
      <c r="HE78" s="1004"/>
      <c r="HF78" s="1004"/>
      <c r="HG78" s="1004"/>
      <c r="HH78" s="1004"/>
      <c r="HI78" s="1004"/>
      <c r="HJ78" s="1004"/>
      <c r="HK78" s="1004"/>
      <c r="HL78" s="1004"/>
      <c r="HM78" s="1004"/>
      <c r="HN78" s="1004"/>
      <c r="HO78" s="1004"/>
      <c r="HP78" s="1004"/>
      <c r="HQ78" s="1004"/>
      <c r="HR78" s="1004"/>
      <c r="HS78" s="1004"/>
      <c r="HT78" s="1004"/>
      <c r="HU78" s="1004"/>
      <c r="HV78" s="1004"/>
      <c r="HW78" s="1004"/>
      <c r="HX78" s="1004"/>
      <c r="HY78" s="1004"/>
      <c r="HZ78" s="1004"/>
      <c r="IA78" s="1004"/>
      <c r="IB78" s="1004"/>
      <c r="IC78" s="1004"/>
      <c r="ID78" s="1004"/>
      <c r="IE78" s="1004"/>
      <c r="IF78" s="1004"/>
      <c r="IG78" s="1004"/>
      <c r="IH78" s="1004"/>
      <c r="II78" s="1004"/>
      <c r="IJ78" s="1004"/>
      <c r="IK78" s="1004"/>
      <c r="IL78" s="1004"/>
      <c r="IM78" s="1004"/>
      <c r="IN78" s="1004"/>
      <c r="IO78" s="1004"/>
      <c r="IP78" s="1004"/>
      <c r="IQ78" s="1004"/>
      <c r="IR78" s="1004"/>
      <c r="IS78" s="1004"/>
      <c r="IT78" s="1004"/>
      <c r="IU78" s="1004"/>
      <c r="IV78" s="1004"/>
      <c r="IW78" s="1004"/>
      <c r="IX78" s="1004"/>
      <c r="IY78" s="1004"/>
      <c r="IZ78" s="1004"/>
      <c r="JA78" s="1004"/>
      <c r="JB78" s="1004"/>
      <c r="JC78" s="1004"/>
      <c r="JD78" s="1004"/>
      <c r="JE78" s="1004"/>
      <c r="JF78" s="1004"/>
      <c r="JG78" s="1004"/>
      <c r="JH78" s="1004"/>
      <c r="JI78" s="1004"/>
      <c r="JJ78" s="1004"/>
      <c r="JK78" s="1004"/>
      <c r="JL78" s="1004"/>
      <c r="JM78" s="1004"/>
      <c r="JN78" s="1004"/>
      <c r="JO78" s="1004"/>
      <c r="JP78" s="1004"/>
      <c r="JQ78" s="1004"/>
      <c r="JR78" s="1004"/>
      <c r="JS78" s="1004"/>
      <c r="JT78" s="1004"/>
      <c r="JU78" s="1004"/>
      <c r="JV78" s="1004"/>
      <c r="JW78" s="1004"/>
      <c r="JX78" s="1004"/>
      <c r="JY78" s="1004"/>
      <c r="JZ78" s="1004"/>
      <c r="KA78" s="1004"/>
      <c r="KB78" s="1004"/>
      <c r="KC78" s="1004"/>
      <c r="KD78" s="1004"/>
      <c r="KE78" s="1004"/>
      <c r="KF78" s="1004"/>
      <c r="KG78" s="1004"/>
      <c r="KH78" s="1004"/>
      <c r="KI78" s="1004"/>
      <c r="KJ78" s="1004"/>
      <c r="KK78" s="1004"/>
      <c r="KL78" s="1004"/>
      <c r="KM78" s="1004"/>
      <c r="KN78" s="1004"/>
      <c r="KO78" s="1004"/>
      <c r="KP78" s="1004"/>
      <c r="KQ78" s="1004"/>
      <c r="KR78" s="1004"/>
      <c r="KS78" s="1004"/>
      <c r="KT78" s="1004"/>
      <c r="KU78" s="1004"/>
      <c r="KV78" s="1004"/>
      <c r="KW78" s="1004"/>
      <c r="KX78" s="1004"/>
      <c r="KY78" s="1004"/>
      <c r="KZ78" s="1004"/>
      <c r="LA78" s="1004"/>
      <c r="LB78" s="1004"/>
      <c r="LC78" s="1004"/>
      <c r="LD78" s="1004"/>
      <c r="LE78" s="1004"/>
      <c r="LF78" s="1004"/>
      <c r="LG78" s="1004"/>
      <c r="LH78" s="1004"/>
      <c r="LI78" s="1004"/>
      <c r="LJ78" s="1004"/>
      <c r="LK78" s="1004"/>
      <c r="LL78" s="1004"/>
      <c r="LM78" s="1004"/>
      <c r="LN78" s="1004"/>
      <c r="LO78" s="1004"/>
      <c r="LP78" s="1004"/>
      <c r="LQ78" s="1004"/>
      <c r="LR78" s="1004"/>
      <c r="LS78" s="1004"/>
      <c r="LT78" s="1004"/>
      <c r="LU78" s="1004"/>
      <c r="LV78" s="1004"/>
      <c r="LW78" s="1004"/>
      <c r="LX78" s="1004"/>
      <c r="LY78" s="1004"/>
      <c r="LZ78" s="1004"/>
      <c r="MA78" s="1004"/>
      <c r="MB78" s="1004"/>
      <c r="MC78" s="1004"/>
      <c r="MD78" s="1004"/>
      <c r="ME78" s="1004"/>
      <c r="MF78" s="1004"/>
      <c r="MG78" s="1004"/>
      <c r="MH78" s="1004"/>
      <c r="MI78" s="1004"/>
      <c r="MJ78" s="1004"/>
      <c r="MK78" s="1004"/>
      <c r="ML78" s="1004"/>
      <c r="MM78" s="1004"/>
      <c r="MN78" s="1004"/>
      <c r="MO78" s="1004"/>
      <c r="MP78" s="1004"/>
      <c r="MQ78" s="1004"/>
      <c r="MR78" s="1004"/>
      <c r="MS78" s="1004"/>
      <c r="MT78" s="1004"/>
      <c r="MU78" s="1004"/>
      <c r="MV78" s="1004"/>
      <c r="MW78" s="1004"/>
      <c r="MX78" s="1004"/>
      <c r="MY78" s="1004"/>
      <c r="MZ78" s="1004"/>
      <c r="NA78" s="1004"/>
      <c r="NB78" s="1004"/>
      <c r="NC78" s="1004"/>
      <c r="ND78" s="1004"/>
      <c r="NE78" s="1004"/>
      <c r="NF78" s="1004"/>
      <c r="NG78" s="1004"/>
      <c r="NH78" s="1004"/>
      <c r="NI78" s="1004"/>
      <c r="NJ78" s="1004"/>
      <c r="NK78" s="1004"/>
      <c r="NL78" s="1004"/>
      <c r="NM78" s="1004"/>
      <c r="NN78" s="1004"/>
      <c r="NO78" s="1004"/>
      <c r="NP78" s="1004"/>
      <c r="NQ78" s="1004"/>
      <c r="NR78" s="1004"/>
      <c r="NS78" s="1004"/>
      <c r="NT78" s="1004"/>
      <c r="NU78" s="1004"/>
      <c r="NV78" s="1004"/>
      <c r="NW78" s="1004"/>
      <c r="NX78" s="1004"/>
      <c r="NY78" s="1004"/>
      <c r="NZ78" s="1004"/>
      <c r="OA78" s="1004"/>
      <c r="OB78" s="1004"/>
      <c r="OC78" s="1004"/>
      <c r="OD78" s="1004"/>
      <c r="OE78" s="1004"/>
      <c r="OF78" s="1004"/>
      <c r="OG78" s="1004"/>
      <c r="OH78" s="1004"/>
      <c r="OI78" s="1004"/>
      <c r="OJ78" s="1004"/>
      <c r="OK78" s="1004"/>
      <c r="OL78" s="1004"/>
      <c r="OM78" s="1004"/>
      <c r="ON78" s="1004"/>
      <c r="OO78" s="1004"/>
      <c r="OP78" s="1004"/>
      <c r="OQ78" s="1004"/>
      <c r="OR78" s="1004"/>
      <c r="OS78" s="1004"/>
      <c r="OT78" s="1004"/>
      <c r="OU78" s="1004"/>
      <c r="OV78" s="1004"/>
      <c r="OW78" s="1004"/>
      <c r="OX78" s="1004"/>
      <c r="OY78" s="1004"/>
      <c r="OZ78" s="1004"/>
      <c r="PA78" s="1004"/>
      <c r="PB78" s="1004"/>
      <c r="PC78" s="1004"/>
      <c r="PD78" s="1004"/>
      <c r="PE78" s="1004"/>
      <c r="PF78" s="1004"/>
      <c r="PG78" s="1004"/>
      <c r="PH78" s="1004"/>
      <c r="PI78" s="1004"/>
      <c r="PJ78" s="1004"/>
      <c r="PK78" s="1004"/>
      <c r="PL78" s="1004"/>
      <c r="PM78" s="1004"/>
      <c r="PN78" s="1004"/>
      <c r="PO78" s="1004"/>
      <c r="PP78" s="1004"/>
      <c r="PQ78" s="1004"/>
      <c r="PR78" s="1004"/>
      <c r="PS78" s="1004"/>
      <c r="PT78" s="1004"/>
      <c r="PU78" s="1004"/>
      <c r="PV78" s="1004"/>
      <c r="PW78" s="1004"/>
      <c r="PX78" s="1004"/>
      <c r="PY78" s="1004"/>
      <c r="PZ78" s="1004"/>
      <c r="QA78" s="1004"/>
      <c r="QB78" s="1004"/>
      <c r="QC78" s="1004"/>
      <c r="QD78" s="1004"/>
      <c r="QE78" s="1004"/>
      <c r="QF78" s="1004"/>
      <c r="QG78" s="1004"/>
      <c r="QH78" s="1004"/>
      <c r="QI78" s="1004"/>
      <c r="QJ78" s="1004"/>
      <c r="QK78" s="1004"/>
      <c r="QL78" s="1004"/>
      <c r="QM78" s="1004"/>
      <c r="QN78" s="1004"/>
      <c r="QO78" s="1004"/>
      <c r="QP78" s="1004"/>
      <c r="QQ78" s="1004"/>
      <c r="QR78" s="1004"/>
      <c r="QS78" s="1004"/>
      <c r="QT78" s="1004"/>
      <c r="QU78" s="1004"/>
      <c r="QV78" s="1004"/>
      <c r="QW78" s="1004"/>
      <c r="QX78" s="1004"/>
      <c r="QY78" s="1004"/>
      <c r="QZ78" s="1004"/>
      <c r="RA78" s="1004"/>
      <c r="RB78" s="1004"/>
      <c r="RC78" s="1004"/>
      <c r="RD78" s="1004"/>
      <c r="RE78" s="1004"/>
      <c r="RF78" s="1004"/>
      <c r="RG78" s="1004"/>
      <c r="RH78" s="1004"/>
      <c r="RI78" s="1004"/>
      <c r="RJ78" s="1004"/>
      <c r="RK78" s="1004"/>
      <c r="RL78" s="1004"/>
      <c r="RM78" s="1004"/>
      <c r="RN78" s="1004"/>
      <c r="RO78" s="1004"/>
      <c r="RP78" s="1004"/>
      <c r="RQ78" s="1004"/>
      <c r="RR78" s="1004"/>
      <c r="RS78" s="1004"/>
      <c r="RT78" s="1004"/>
      <c r="RU78" s="1004"/>
      <c r="RV78" s="1004"/>
      <c r="RW78" s="1004"/>
      <c r="RX78" s="1004"/>
      <c r="RY78" s="1004"/>
      <c r="RZ78" s="1004"/>
      <c r="SA78" s="1004"/>
      <c r="SB78" s="1004"/>
      <c r="SC78" s="1004"/>
      <c r="SD78" s="1004"/>
      <c r="SE78" s="1004"/>
      <c r="SF78" s="1004"/>
      <c r="SG78" s="1004"/>
      <c r="SH78" s="1004"/>
      <c r="SI78" s="1004"/>
      <c r="SJ78" s="1004"/>
      <c r="SK78" s="1004"/>
      <c r="SL78" s="1004"/>
      <c r="SM78" s="1004"/>
      <c r="SN78" s="1004"/>
      <c r="SO78" s="1004"/>
      <c r="SP78" s="1004"/>
      <c r="SQ78" s="1004"/>
      <c r="SR78" s="1004"/>
      <c r="SS78" s="1004"/>
      <c r="ST78" s="1004"/>
      <c r="SU78" s="1004"/>
      <c r="SV78" s="1004"/>
      <c r="SW78" s="1004"/>
      <c r="SX78" s="1004"/>
      <c r="SY78" s="1004"/>
      <c r="SZ78" s="1004"/>
      <c r="TA78" s="1004"/>
      <c r="TB78" s="1004"/>
      <c r="TC78" s="1004"/>
      <c r="TD78" s="1004"/>
      <c r="TE78" s="1004"/>
      <c r="TF78" s="1004"/>
      <c r="TG78" s="1004"/>
      <c r="TH78" s="1004"/>
      <c r="TI78" s="1004"/>
      <c r="TJ78" s="1004"/>
      <c r="TK78" s="1004"/>
      <c r="TL78" s="1004"/>
      <c r="TM78" s="1004"/>
      <c r="TN78" s="1004"/>
      <c r="TO78" s="1004"/>
      <c r="TP78" s="1004"/>
      <c r="TQ78" s="1004"/>
      <c r="TR78" s="1004"/>
      <c r="TS78" s="1004"/>
      <c r="TT78" s="1004"/>
      <c r="TU78" s="1004"/>
      <c r="TV78" s="1004"/>
      <c r="TW78" s="1004"/>
      <c r="TX78" s="1004"/>
      <c r="TY78" s="1004"/>
      <c r="TZ78" s="1004"/>
      <c r="UA78" s="1004"/>
      <c r="UB78" s="1004"/>
      <c r="UC78" s="1004"/>
      <c r="UD78" s="1004"/>
      <c r="UE78" s="1004"/>
      <c r="UF78" s="1004"/>
      <c r="UG78" s="1004"/>
      <c r="UH78" s="1004"/>
      <c r="UI78" s="1004"/>
      <c r="UJ78" s="1004"/>
      <c r="UK78" s="1004"/>
      <c r="UL78" s="1004"/>
      <c r="UM78" s="1004"/>
      <c r="UN78" s="1004"/>
      <c r="UO78" s="1004"/>
      <c r="UP78" s="1004"/>
      <c r="UQ78" s="1004"/>
      <c r="UR78" s="1004"/>
      <c r="US78" s="1004"/>
      <c r="UT78" s="1004"/>
      <c r="UU78" s="1004"/>
      <c r="UV78" s="1004"/>
      <c r="UW78" s="1004"/>
      <c r="UX78" s="1004"/>
      <c r="UY78" s="1004"/>
      <c r="UZ78" s="1004"/>
      <c r="VA78" s="1004"/>
      <c r="VB78" s="1004"/>
      <c r="VC78" s="1004"/>
      <c r="VD78" s="1004"/>
      <c r="VE78" s="1004"/>
      <c r="VF78" s="1004"/>
      <c r="VG78" s="1004"/>
      <c r="VH78" s="1004"/>
      <c r="VI78" s="1004"/>
      <c r="VJ78" s="1004"/>
      <c r="VK78" s="1004"/>
      <c r="VL78" s="1004"/>
      <c r="VM78" s="1004"/>
      <c r="VN78" s="1004"/>
      <c r="VO78" s="1004"/>
      <c r="VP78" s="1004"/>
      <c r="VQ78" s="1004"/>
      <c r="VR78" s="1004"/>
      <c r="VS78" s="1004"/>
      <c r="VT78" s="1004"/>
      <c r="VU78" s="1004"/>
      <c r="VV78" s="1004"/>
      <c r="VW78" s="1004"/>
      <c r="VX78" s="1004"/>
      <c r="VY78" s="1004"/>
      <c r="VZ78" s="1004"/>
      <c r="WA78" s="1004"/>
      <c r="WB78" s="1004"/>
      <c r="WC78" s="1004"/>
      <c r="WD78" s="1004"/>
      <c r="WE78" s="1004"/>
      <c r="WF78" s="1004"/>
      <c r="WG78" s="1004"/>
      <c r="WH78" s="1004"/>
      <c r="WI78" s="1004"/>
      <c r="WJ78" s="1004"/>
      <c r="WK78" s="1004"/>
      <c r="WL78" s="1004"/>
      <c r="WM78" s="1004"/>
      <c r="WN78" s="1004"/>
      <c r="WO78" s="1004"/>
      <c r="WP78" s="1004"/>
      <c r="WQ78" s="1004"/>
      <c r="WR78" s="1004"/>
      <c r="WS78" s="1004"/>
      <c r="WT78" s="1004"/>
      <c r="WU78" s="1004"/>
      <c r="WV78" s="1004"/>
      <c r="WW78" s="1004"/>
      <c r="WX78" s="1004"/>
      <c r="WY78" s="1004"/>
      <c r="WZ78" s="1004"/>
      <c r="XA78" s="1004"/>
      <c r="XB78" s="1004"/>
      <c r="XC78" s="1004"/>
      <c r="XD78" s="1004"/>
      <c r="XE78" s="1004"/>
      <c r="XF78" s="1004"/>
      <c r="XG78" s="1004"/>
      <c r="XH78" s="1004"/>
      <c r="XI78" s="1004"/>
      <c r="XJ78" s="1004"/>
      <c r="XK78" s="1004"/>
      <c r="XL78" s="1004"/>
      <c r="XM78" s="1004"/>
      <c r="XN78" s="1004"/>
      <c r="XO78" s="1004"/>
      <c r="XP78" s="1004"/>
      <c r="XQ78" s="1004"/>
      <c r="XR78" s="1004"/>
      <c r="XS78" s="1004"/>
      <c r="XT78" s="1004"/>
      <c r="XU78" s="1004"/>
      <c r="XV78" s="1004"/>
      <c r="XW78" s="1004"/>
      <c r="XX78" s="1004"/>
      <c r="XY78" s="1004"/>
      <c r="XZ78" s="1004"/>
      <c r="YA78" s="1004"/>
      <c r="YB78" s="1004"/>
      <c r="YC78" s="1004"/>
      <c r="YD78" s="1004"/>
      <c r="YE78" s="1004"/>
      <c r="YF78" s="1004"/>
      <c r="YG78" s="1004"/>
      <c r="YH78" s="1004"/>
      <c r="YI78" s="1004"/>
      <c r="YJ78" s="1004"/>
      <c r="YK78" s="1004"/>
      <c r="YL78" s="1004"/>
      <c r="YM78" s="1004"/>
      <c r="YN78" s="1004"/>
      <c r="YO78" s="1004"/>
      <c r="YP78" s="1004"/>
      <c r="YQ78" s="1004"/>
      <c r="YR78" s="1004"/>
      <c r="YS78" s="1004"/>
      <c r="YT78" s="1004"/>
      <c r="YU78" s="1004"/>
      <c r="YV78" s="1004"/>
      <c r="YW78" s="1004"/>
      <c r="YX78" s="1004"/>
      <c r="YY78" s="1004"/>
      <c r="YZ78" s="1004"/>
      <c r="ZA78" s="1004"/>
      <c r="ZB78" s="1004"/>
      <c r="ZC78" s="1004"/>
      <c r="ZD78" s="1004"/>
      <c r="ZE78" s="1004"/>
      <c r="ZF78" s="1004"/>
      <c r="ZG78" s="1004"/>
      <c r="ZH78" s="1004"/>
      <c r="ZI78" s="1004"/>
      <c r="ZJ78" s="1004"/>
      <c r="ZK78" s="1004"/>
      <c r="ZL78" s="1004"/>
      <c r="ZM78" s="1004"/>
      <c r="ZN78" s="1004"/>
      <c r="ZO78" s="1004"/>
      <c r="ZP78" s="1004"/>
      <c r="ZQ78" s="1004"/>
      <c r="ZR78" s="1004"/>
      <c r="ZS78" s="1004"/>
      <c r="ZT78" s="1004"/>
      <c r="ZU78" s="1004"/>
      <c r="ZV78" s="1004"/>
      <c r="ZW78" s="1004"/>
      <c r="ZX78" s="1004"/>
      <c r="ZY78" s="1004"/>
      <c r="ZZ78" s="1004"/>
      <c r="AAA78" s="1004"/>
      <c r="AAB78" s="1004"/>
      <c r="AAC78" s="1004"/>
      <c r="AAD78" s="1004"/>
      <c r="AAE78" s="1004"/>
      <c r="AAF78" s="1004"/>
      <c r="AAG78" s="1004"/>
      <c r="AAH78" s="1004"/>
      <c r="AAI78" s="1004"/>
      <c r="AAJ78" s="1004"/>
      <c r="AAK78" s="1004"/>
      <c r="AAL78" s="1004"/>
      <c r="AAM78" s="1004"/>
      <c r="AAN78" s="1004"/>
      <c r="AAO78" s="1004"/>
      <c r="AAP78" s="1004"/>
      <c r="AAQ78" s="1004"/>
      <c r="AAR78" s="1004"/>
      <c r="AAS78" s="1004"/>
      <c r="AAT78" s="1004"/>
      <c r="AAU78" s="1004"/>
      <c r="AAV78" s="1004"/>
      <c r="AAW78" s="1004"/>
      <c r="AAX78" s="1004"/>
      <c r="AAY78" s="1004"/>
      <c r="AAZ78" s="1004"/>
      <c r="ABA78" s="1004"/>
      <c r="ABB78" s="1004"/>
      <c r="ABC78" s="1004"/>
      <c r="ABD78" s="1004"/>
      <c r="ABE78" s="1004"/>
      <c r="ABF78" s="1004"/>
      <c r="ABG78" s="1004"/>
      <c r="ABH78" s="1004"/>
      <c r="ABI78" s="1004"/>
      <c r="ABJ78" s="1004"/>
      <c r="ABK78" s="1004"/>
      <c r="ABL78" s="1004"/>
      <c r="ABM78" s="1004"/>
      <c r="ABN78" s="1004"/>
      <c r="ABO78" s="1004"/>
      <c r="ABP78" s="1004"/>
      <c r="ABQ78" s="1004"/>
      <c r="ABR78" s="1004"/>
    </row>
    <row r="79" spans="1:746" s="1" customFormat="1" ht="12.75" customHeight="1">
      <c r="A79" s="926"/>
      <c r="B79" s="561"/>
      <c r="C79" s="562"/>
      <c r="D79" s="563"/>
      <c r="E79" s="564"/>
      <c r="F79" s="565"/>
      <c r="G79" s="566" t="s">
        <v>193</v>
      </c>
      <c r="H79" s="2533"/>
      <c r="I79" s="182">
        <f t="shared" ref="I79:AF79" si="4">IF(I33=0,0,I78/I33)</f>
        <v>0</v>
      </c>
      <c r="J79" s="182">
        <f t="shared" si="4"/>
        <v>0</v>
      </c>
      <c r="K79" s="182">
        <f t="shared" si="4"/>
        <v>0</v>
      </c>
      <c r="L79" s="182">
        <f t="shared" si="4"/>
        <v>0</v>
      </c>
      <c r="M79" s="182">
        <f t="shared" si="4"/>
        <v>0</v>
      </c>
      <c r="N79" s="182">
        <f t="shared" si="4"/>
        <v>0</v>
      </c>
      <c r="O79" s="182">
        <f t="shared" si="4"/>
        <v>0</v>
      </c>
      <c r="P79" s="182">
        <f t="shared" si="4"/>
        <v>0</v>
      </c>
      <c r="Q79" s="182">
        <f t="shared" si="4"/>
        <v>0</v>
      </c>
      <c r="R79" s="182">
        <f t="shared" si="4"/>
        <v>0</v>
      </c>
      <c r="S79" s="182">
        <f t="shared" si="4"/>
        <v>0</v>
      </c>
      <c r="T79" s="182">
        <f t="shared" si="4"/>
        <v>0</v>
      </c>
      <c r="U79" s="182">
        <f t="shared" si="4"/>
        <v>0</v>
      </c>
      <c r="V79" s="182">
        <f t="shared" si="4"/>
        <v>0</v>
      </c>
      <c r="W79" s="182">
        <f t="shared" si="4"/>
        <v>0</v>
      </c>
      <c r="X79" s="182">
        <f t="shared" si="4"/>
        <v>0</v>
      </c>
      <c r="Y79" s="182">
        <f t="shared" si="4"/>
        <v>0</v>
      </c>
      <c r="Z79" s="182">
        <f t="shared" si="4"/>
        <v>0</v>
      </c>
      <c r="AA79" s="182">
        <f t="shared" si="4"/>
        <v>0</v>
      </c>
      <c r="AB79" s="182">
        <f t="shared" si="4"/>
        <v>0</v>
      </c>
      <c r="AC79" s="182">
        <f t="shared" si="4"/>
        <v>0</v>
      </c>
      <c r="AD79" s="182">
        <f t="shared" si="4"/>
        <v>0</v>
      </c>
      <c r="AE79" s="182">
        <f t="shared" si="4"/>
        <v>0</v>
      </c>
      <c r="AF79" s="182">
        <f t="shared" si="4"/>
        <v>0</v>
      </c>
      <c r="AG79" s="2211"/>
      <c r="AH79" s="110"/>
      <c r="AI79" s="110"/>
      <c r="AJ79" s="426">
        <f>IF(AJ33=0,0,AJ78/AJ33)</f>
        <v>0</v>
      </c>
      <c r="AK79" s="427"/>
      <c r="AL79" s="428">
        <f>IF(AL33=0,0,AL78/AL33)</f>
        <v>0</v>
      </c>
      <c r="AM79" s="1009"/>
      <c r="AN79" s="1017"/>
      <c r="AO79" s="1945"/>
      <c r="AP79" s="1935"/>
      <c r="AQ79" s="1936"/>
      <c r="AR79" s="1941"/>
      <c r="AS79" s="1941"/>
      <c r="AT79" s="1941"/>
      <c r="AU79" s="1941"/>
      <c r="AV79" s="1941"/>
      <c r="AW79" s="1941"/>
      <c r="AX79" s="1941"/>
      <c r="AY79" s="1941"/>
      <c r="AZ79" s="1941"/>
      <c r="BA79" s="1941"/>
      <c r="BB79" s="1941"/>
      <c r="BC79" s="1941"/>
      <c r="BD79" s="1941"/>
      <c r="BE79" s="1941"/>
      <c r="BF79" s="1941"/>
      <c r="BG79" s="1941"/>
      <c r="BH79" s="1941"/>
      <c r="BI79" s="1941"/>
      <c r="BJ79" s="1941"/>
      <c r="BK79" s="1941"/>
      <c r="BL79" s="1941"/>
      <c r="BM79" s="1941"/>
      <c r="BN79" s="1941"/>
      <c r="BO79" s="1941"/>
      <c r="BP79" s="1004"/>
      <c r="BQ79" s="1004"/>
      <c r="BR79" s="1004"/>
      <c r="BS79" s="1004"/>
      <c r="BT79" s="1004"/>
      <c r="BU79" s="1004"/>
      <c r="BV79" s="1004"/>
      <c r="BW79" s="1004"/>
      <c r="BX79" s="1004"/>
      <c r="BY79" s="1004"/>
      <c r="BZ79" s="1004"/>
      <c r="CA79" s="1004"/>
      <c r="CB79" s="1004"/>
      <c r="CC79" s="1004"/>
      <c r="CD79" s="1004"/>
      <c r="CE79" s="1004"/>
      <c r="CF79" s="1004"/>
      <c r="CG79" s="1004"/>
      <c r="CH79" s="1004"/>
      <c r="CI79" s="1004"/>
      <c r="CJ79" s="1004"/>
      <c r="CK79" s="1004"/>
      <c r="CL79" s="1004"/>
      <c r="CM79" s="1004"/>
      <c r="CN79" s="1004"/>
      <c r="CO79" s="1004"/>
      <c r="CP79" s="1004"/>
      <c r="CQ79" s="1004"/>
      <c r="CR79" s="1004"/>
      <c r="CS79" s="1004"/>
      <c r="CT79" s="1004"/>
      <c r="CU79" s="1004"/>
      <c r="CV79" s="1004"/>
      <c r="CW79" s="1004"/>
      <c r="CX79" s="1004"/>
      <c r="CY79" s="1004"/>
      <c r="CZ79" s="1004"/>
      <c r="DA79" s="1004"/>
      <c r="DB79" s="1004"/>
      <c r="DC79" s="1004"/>
      <c r="DD79" s="1004"/>
      <c r="DE79" s="1004"/>
      <c r="DF79" s="1004"/>
      <c r="DG79" s="1004"/>
      <c r="DH79" s="1004"/>
      <c r="DI79" s="1004"/>
      <c r="DJ79" s="1004"/>
      <c r="DK79" s="1004"/>
      <c r="DL79" s="1004"/>
      <c r="DM79" s="1004"/>
      <c r="DN79" s="1004"/>
      <c r="DO79" s="1004"/>
      <c r="DP79" s="1004"/>
      <c r="DQ79" s="1004"/>
      <c r="DR79" s="1004"/>
      <c r="DS79" s="1004"/>
      <c r="DT79" s="1004"/>
      <c r="DU79" s="1004"/>
      <c r="DV79" s="1004"/>
      <c r="DW79" s="1004"/>
      <c r="DX79" s="1004"/>
      <c r="DY79" s="1004"/>
      <c r="DZ79" s="1004"/>
      <c r="EA79" s="1004"/>
      <c r="EB79" s="1004"/>
      <c r="EC79" s="1004"/>
      <c r="ED79" s="1004"/>
      <c r="EE79" s="1004"/>
      <c r="EF79" s="1004"/>
      <c r="EG79" s="1004"/>
      <c r="EH79" s="1004"/>
      <c r="EI79" s="1004"/>
      <c r="EJ79" s="1004"/>
      <c r="EK79" s="1004"/>
      <c r="EL79" s="1004"/>
      <c r="EM79" s="1004"/>
      <c r="EN79" s="1004"/>
      <c r="EO79" s="1004"/>
      <c r="EP79" s="1004"/>
      <c r="EQ79" s="1004"/>
      <c r="ER79" s="1004"/>
      <c r="ES79" s="1004"/>
      <c r="ET79" s="1004"/>
      <c r="EU79" s="1004"/>
      <c r="EV79" s="1004"/>
      <c r="EW79" s="1004"/>
      <c r="EX79" s="1004"/>
      <c r="EY79" s="1004"/>
      <c r="EZ79" s="1004"/>
      <c r="FA79" s="1004"/>
      <c r="FB79" s="1004"/>
      <c r="FC79" s="1004"/>
      <c r="FD79" s="1004"/>
      <c r="FE79" s="1004"/>
      <c r="FF79" s="1004"/>
      <c r="FG79" s="1004"/>
      <c r="FH79" s="1004"/>
      <c r="FI79" s="1004"/>
      <c r="FJ79" s="1004"/>
      <c r="FK79" s="1004"/>
      <c r="FL79" s="1004"/>
      <c r="FM79" s="1004"/>
      <c r="FN79" s="1004"/>
      <c r="FO79" s="1004"/>
      <c r="FP79" s="1004"/>
      <c r="FQ79" s="1004"/>
      <c r="FR79" s="1004"/>
      <c r="FS79" s="1004"/>
      <c r="FT79" s="1004"/>
      <c r="FU79" s="1004"/>
      <c r="FV79" s="1004"/>
      <c r="FW79" s="1004"/>
      <c r="FX79" s="1004"/>
      <c r="FY79" s="1004"/>
      <c r="FZ79" s="1004"/>
      <c r="GA79" s="1004"/>
      <c r="GB79" s="1004"/>
      <c r="GC79" s="1004"/>
      <c r="GD79" s="1004"/>
      <c r="GE79" s="1004"/>
      <c r="GF79" s="1004"/>
      <c r="GG79" s="1004"/>
      <c r="GH79" s="1004"/>
      <c r="GI79" s="1004"/>
      <c r="GJ79" s="1004"/>
      <c r="GK79" s="1004"/>
      <c r="GL79" s="1004"/>
      <c r="GM79" s="1004"/>
      <c r="GN79" s="1004"/>
      <c r="GO79" s="1004"/>
      <c r="GP79" s="1004"/>
      <c r="GQ79" s="1004"/>
      <c r="GR79" s="1004"/>
      <c r="GS79" s="1004"/>
      <c r="GT79" s="1004"/>
      <c r="GU79" s="1004"/>
      <c r="GV79" s="1004"/>
      <c r="GW79" s="1004"/>
      <c r="GX79" s="1004"/>
      <c r="GY79" s="1004"/>
      <c r="GZ79" s="1004"/>
      <c r="HA79" s="1004"/>
      <c r="HB79" s="1004"/>
      <c r="HC79" s="1004"/>
      <c r="HD79" s="1004"/>
      <c r="HE79" s="1004"/>
      <c r="HF79" s="1004"/>
      <c r="HG79" s="1004"/>
      <c r="HH79" s="1004"/>
      <c r="HI79" s="1004"/>
      <c r="HJ79" s="1004"/>
      <c r="HK79" s="1004"/>
      <c r="HL79" s="1004"/>
      <c r="HM79" s="1004"/>
      <c r="HN79" s="1004"/>
      <c r="HO79" s="1004"/>
      <c r="HP79" s="1004"/>
      <c r="HQ79" s="1004"/>
      <c r="HR79" s="1004"/>
      <c r="HS79" s="1004"/>
      <c r="HT79" s="1004"/>
      <c r="HU79" s="1004"/>
      <c r="HV79" s="1004"/>
      <c r="HW79" s="1004"/>
      <c r="HX79" s="1004"/>
      <c r="HY79" s="1004"/>
      <c r="HZ79" s="1004"/>
      <c r="IA79" s="1004"/>
      <c r="IB79" s="1004"/>
      <c r="IC79" s="1004"/>
      <c r="ID79" s="1004"/>
      <c r="IE79" s="1004"/>
      <c r="IF79" s="1004"/>
      <c r="IG79" s="1004"/>
      <c r="IH79" s="1004"/>
      <c r="II79" s="1004"/>
      <c r="IJ79" s="1004"/>
      <c r="IK79" s="1004"/>
      <c r="IL79" s="1004"/>
      <c r="IM79" s="1004"/>
      <c r="IN79" s="1004"/>
      <c r="IO79" s="1004"/>
      <c r="IP79" s="1004"/>
      <c r="IQ79" s="1004"/>
      <c r="IR79" s="1004"/>
      <c r="IS79" s="1004"/>
      <c r="IT79" s="1004"/>
      <c r="IU79" s="1004"/>
      <c r="IV79" s="1004"/>
      <c r="IW79" s="1004"/>
      <c r="IX79" s="1004"/>
      <c r="IY79" s="1004"/>
      <c r="IZ79" s="1004"/>
      <c r="JA79" s="1004"/>
      <c r="JB79" s="1004"/>
      <c r="JC79" s="1004"/>
      <c r="JD79" s="1004"/>
      <c r="JE79" s="1004"/>
      <c r="JF79" s="1004"/>
      <c r="JG79" s="1004"/>
      <c r="JH79" s="1004"/>
      <c r="JI79" s="1004"/>
      <c r="JJ79" s="1004"/>
      <c r="JK79" s="1004"/>
      <c r="JL79" s="1004"/>
      <c r="JM79" s="1004"/>
      <c r="JN79" s="1004"/>
      <c r="JO79" s="1004"/>
      <c r="JP79" s="1004"/>
      <c r="JQ79" s="1004"/>
      <c r="JR79" s="1004"/>
      <c r="JS79" s="1004"/>
      <c r="JT79" s="1004"/>
      <c r="JU79" s="1004"/>
      <c r="JV79" s="1004"/>
      <c r="JW79" s="1004"/>
      <c r="JX79" s="1004"/>
      <c r="JY79" s="1004"/>
      <c r="JZ79" s="1004"/>
      <c r="KA79" s="1004"/>
      <c r="KB79" s="1004"/>
      <c r="KC79" s="1004"/>
      <c r="KD79" s="1004"/>
      <c r="KE79" s="1004"/>
      <c r="KF79" s="1004"/>
      <c r="KG79" s="1004"/>
      <c r="KH79" s="1004"/>
      <c r="KI79" s="1004"/>
      <c r="KJ79" s="1004"/>
      <c r="KK79" s="1004"/>
      <c r="KL79" s="1004"/>
      <c r="KM79" s="1004"/>
      <c r="KN79" s="1004"/>
      <c r="KO79" s="1004"/>
      <c r="KP79" s="1004"/>
      <c r="KQ79" s="1004"/>
      <c r="KR79" s="1004"/>
      <c r="KS79" s="1004"/>
      <c r="KT79" s="1004"/>
      <c r="KU79" s="1004"/>
      <c r="KV79" s="1004"/>
      <c r="KW79" s="1004"/>
      <c r="KX79" s="1004"/>
      <c r="KY79" s="1004"/>
      <c r="KZ79" s="1004"/>
      <c r="LA79" s="1004"/>
      <c r="LB79" s="1004"/>
      <c r="LC79" s="1004"/>
      <c r="LD79" s="1004"/>
      <c r="LE79" s="1004"/>
      <c r="LF79" s="1004"/>
      <c r="LG79" s="1004"/>
      <c r="LH79" s="1004"/>
      <c r="LI79" s="1004"/>
      <c r="LJ79" s="1004"/>
      <c r="LK79" s="1004"/>
      <c r="LL79" s="1004"/>
      <c r="LM79" s="1004"/>
      <c r="LN79" s="1004"/>
      <c r="LO79" s="1004"/>
      <c r="LP79" s="1004"/>
      <c r="LQ79" s="1004"/>
      <c r="LR79" s="1004"/>
      <c r="LS79" s="1004"/>
      <c r="LT79" s="1004"/>
      <c r="LU79" s="1004"/>
      <c r="LV79" s="1004"/>
      <c r="LW79" s="1004"/>
      <c r="LX79" s="1004"/>
      <c r="LY79" s="1004"/>
      <c r="LZ79" s="1004"/>
      <c r="MA79" s="1004"/>
      <c r="MB79" s="1004"/>
      <c r="MC79" s="1004"/>
      <c r="MD79" s="1004"/>
      <c r="ME79" s="1004"/>
      <c r="MF79" s="1004"/>
      <c r="MG79" s="1004"/>
      <c r="MH79" s="1004"/>
      <c r="MI79" s="1004"/>
      <c r="MJ79" s="1004"/>
      <c r="MK79" s="1004"/>
      <c r="ML79" s="1004"/>
      <c r="MM79" s="1004"/>
      <c r="MN79" s="1004"/>
      <c r="MO79" s="1004"/>
      <c r="MP79" s="1004"/>
      <c r="MQ79" s="1004"/>
      <c r="MR79" s="1004"/>
      <c r="MS79" s="1004"/>
      <c r="MT79" s="1004"/>
      <c r="MU79" s="1004"/>
      <c r="MV79" s="1004"/>
      <c r="MW79" s="1004"/>
      <c r="MX79" s="1004"/>
      <c r="MY79" s="1004"/>
      <c r="MZ79" s="1004"/>
      <c r="NA79" s="1004"/>
      <c r="NB79" s="1004"/>
      <c r="NC79" s="1004"/>
      <c r="ND79" s="1004"/>
      <c r="NE79" s="1004"/>
      <c r="NF79" s="1004"/>
      <c r="NG79" s="1004"/>
      <c r="NH79" s="1004"/>
      <c r="NI79" s="1004"/>
      <c r="NJ79" s="1004"/>
      <c r="NK79" s="1004"/>
      <c r="NL79" s="1004"/>
      <c r="NM79" s="1004"/>
      <c r="NN79" s="1004"/>
      <c r="NO79" s="1004"/>
      <c r="NP79" s="1004"/>
      <c r="NQ79" s="1004"/>
      <c r="NR79" s="1004"/>
      <c r="NS79" s="1004"/>
      <c r="NT79" s="1004"/>
      <c r="NU79" s="1004"/>
      <c r="NV79" s="1004"/>
      <c r="NW79" s="1004"/>
      <c r="NX79" s="1004"/>
      <c r="NY79" s="1004"/>
      <c r="NZ79" s="1004"/>
      <c r="OA79" s="1004"/>
      <c r="OB79" s="1004"/>
      <c r="OC79" s="1004"/>
      <c r="OD79" s="1004"/>
      <c r="OE79" s="1004"/>
      <c r="OF79" s="1004"/>
      <c r="OG79" s="1004"/>
      <c r="OH79" s="1004"/>
      <c r="OI79" s="1004"/>
      <c r="OJ79" s="1004"/>
      <c r="OK79" s="1004"/>
      <c r="OL79" s="1004"/>
      <c r="OM79" s="1004"/>
      <c r="ON79" s="1004"/>
      <c r="OO79" s="1004"/>
      <c r="OP79" s="1004"/>
      <c r="OQ79" s="1004"/>
      <c r="OR79" s="1004"/>
      <c r="OS79" s="1004"/>
      <c r="OT79" s="1004"/>
      <c r="OU79" s="1004"/>
      <c r="OV79" s="1004"/>
      <c r="OW79" s="1004"/>
      <c r="OX79" s="1004"/>
      <c r="OY79" s="1004"/>
      <c r="OZ79" s="1004"/>
      <c r="PA79" s="1004"/>
      <c r="PB79" s="1004"/>
      <c r="PC79" s="1004"/>
      <c r="PD79" s="1004"/>
      <c r="PE79" s="1004"/>
      <c r="PF79" s="1004"/>
      <c r="PG79" s="1004"/>
      <c r="PH79" s="1004"/>
      <c r="PI79" s="1004"/>
      <c r="PJ79" s="1004"/>
      <c r="PK79" s="1004"/>
      <c r="PL79" s="1004"/>
      <c r="PM79" s="1004"/>
      <c r="PN79" s="1004"/>
      <c r="PO79" s="1004"/>
      <c r="PP79" s="1004"/>
      <c r="PQ79" s="1004"/>
      <c r="PR79" s="1004"/>
      <c r="PS79" s="1004"/>
      <c r="PT79" s="1004"/>
      <c r="PU79" s="1004"/>
      <c r="PV79" s="1004"/>
      <c r="PW79" s="1004"/>
      <c r="PX79" s="1004"/>
      <c r="PY79" s="1004"/>
      <c r="PZ79" s="1004"/>
      <c r="QA79" s="1004"/>
      <c r="QB79" s="1004"/>
      <c r="QC79" s="1004"/>
      <c r="QD79" s="1004"/>
      <c r="QE79" s="1004"/>
      <c r="QF79" s="1004"/>
      <c r="QG79" s="1004"/>
      <c r="QH79" s="1004"/>
      <c r="QI79" s="1004"/>
      <c r="QJ79" s="1004"/>
      <c r="QK79" s="1004"/>
      <c r="QL79" s="1004"/>
      <c r="QM79" s="1004"/>
      <c r="QN79" s="1004"/>
      <c r="QO79" s="1004"/>
      <c r="QP79" s="1004"/>
      <c r="QQ79" s="1004"/>
      <c r="QR79" s="1004"/>
      <c r="QS79" s="1004"/>
      <c r="QT79" s="1004"/>
      <c r="QU79" s="1004"/>
      <c r="QV79" s="1004"/>
      <c r="QW79" s="1004"/>
      <c r="QX79" s="1004"/>
      <c r="QY79" s="1004"/>
      <c r="QZ79" s="1004"/>
      <c r="RA79" s="1004"/>
      <c r="RB79" s="1004"/>
      <c r="RC79" s="1004"/>
      <c r="RD79" s="1004"/>
      <c r="RE79" s="1004"/>
      <c r="RF79" s="1004"/>
      <c r="RG79" s="1004"/>
      <c r="RH79" s="1004"/>
      <c r="RI79" s="1004"/>
      <c r="RJ79" s="1004"/>
      <c r="RK79" s="1004"/>
      <c r="RL79" s="1004"/>
      <c r="RM79" s="1004"/>
      <c r="RN79" s="1004"/>
      <c r="RO79" s="1004"/>
      <c r="RP79" s="1004"/>
      <c r="RQ79" s="1004"/>
      <c r="RR79" s="1004"/>
      <c r="RS79" s="1004"/>
      <c r="RT79" s="1004"/>
      <c r="RU79" s="1004"/>
      <c r="RV79" s="1004"/>
      <c r="RW79" s="1004"/>
      <c r="RX79" s="1004"/>
      <c r="RY79" s="1004"/>
      <c r="RZ79" s="1004"/>
      <c r="SA79" s="1004"/>
      <c r="SB79" s="1004"/>
      <c r="SC79" s="1004"/>
      <c r="SD79" s="1004"/>
      <c r="SE79" s="1004"/>
      <c r="SF79" s="1004"/>
      <c r="SG79" s="1004"/>
      <c r="SH79" s="1004"/>
      <c r="SI79" s="1004"/>
      <c r="SJ79" s="1004"/>
      <c r="SK79" s="1004"/>
      <c r="SL79" s="1004"/>
      <c r="SM79" s="1004"/>
      <c r="SN79" s="1004"/>
      <c r="SO79" s="1004"/>
      <c r="SP79" s="1004"/>
      <c r="SQ79" s="1004"/>
      <c r="SR79" s="1004"/>
      <c r="SS79" s="1004"/>
      <c r="ST79" s="1004"/>
      <c r="SU79" s="1004"/>
      <c r="SV79" s="1004"/>
      <c r="SW79" s="1004"/>
      <c r="SX79" s="1004"/>
      <c r="SY79" s="1004"/>
      <c r="SZ79" s="1004"/>
      <c r="TA79" s="1004"/>
      <c r="TB79" s="1004"/>
      <c r="TC79" s="1004"/>
      <c r="TD79" s="1004"/>
      <c r="TE79" s="1004"/>
      <c r="TF79" s="1004"/>
      <c r="TG79" s="1004"/>
      <c r="TH79" s="1004"/>
      <c r="TI79" s="1004"/>
      <c r="TJ79" s="1004"/>
      <c r="TK79" s="1004"/>
      <c r="TL79" s="1004"/>
      <c r="TM79" s="1004"/>
      <c r="TN79" s="1004"/>
      <c r="TO79" s="1004"/>
      <c r="TP79" s="1004"/>
      <c r="TQ79" s="1004"/>
      <c r="TR79" s="1004"/>
      <c r="TS79" s="1004"/>
      <c r="TT79" s="1004"/>
      <c r="TU79" s="1004"/>
      <c r="TV79" s="1004"/>
      <c r="TW79" s="1004"/>
      <c r="TX79" s="1004"/>
      <c r="TY79" s="1004"/>
      <c r="TZ79" s="1004"/>
      <c r="UA79" s="1004"/>
      <c r="UB79" s="1004"/>
      <c r="UC79" s="1004"/>
      <c r="UD79" s="1004"/>
      <c r="UE79" s="1004"/>
      <c r="UF79" s="1004"/>
      <c r="UG79" s="1004"/>
      <c r="UH79" s="1004"/>
      <c r="UI79" s="1004"/>
      <c r="UJ79" s="1004"/>
      <c r="UK79" s="1004"/>
      <c r="UL79" s="1004"/>
      <c r="UM79" s="1004"/>
      <c r="UN79" s="1004"/>
      <c r="UO79" s="1004"/>
      <c r="UP79" s="1004"/>
      <c r="UQ79" s="1004"/>
      <c r="UR79" s="1004"/>
      <c r="US79" s="1004"/>
      <c r="UT79" s="1004"/>
      <c r="UU79" s="1004"/>
      <c r="UV79" s="1004"/>
      <c r="UW79" s="1004"/>
      <c r="UX79" s="1004"/>
      <c r="UY79" s="1004"/>
      <c r="UZ79" s="1004"/>
      <c r="VA79" s="1004"/>
      <c r="VB79" s="1004"/>
      <c r="VC79" s="1004"/>
      <c r="VD79" s="1004"/>
      <c r="VE79" s="1004"/>
      <c r="VF79" s="1004"/>
      <c r="VG79" s="1004"/>
      <c r="VH79" s="1004"/>
      <c r="VI79" s="1004"/>
      <c r="VJ79" s="1004"/>
      <c r="VK79" s="1004"/>
      <c r="VL79" s="1004"/>
      <c r="VM79" s="1004"/>
      <c r="VN79" s="1004"/>
      <c r="VO79" s="1004"/>
      <c r="VP79" s="1004"/>
      <c r="VQ79" s="1004"/>
      <c r="VR79" s="1004"/>
      <c r="VS79" s="1004"/>
      <c r="VT79" s="1004"/>
      <c r="VU79" s="1004"/>
      <c r="VV79" s="1004"/>
      <c r="VW79" s="1004"/>
      <c r="VX79" s="1004"/>
      <c r="VY79" s="1004"/>
      <c r="VZ79" s="1004"/>
      <c r="WA79" s="1004"/>
      <c r="WB79" s="1004"/>
      <c r="WC79" s="1004"/>
      <c r="WD79" s="1004"/>
      <c r="WE79" s="1004"/>
      <c r="WF79" s="1004"/>
      <c r="WG79" s="1004"/>
      <c r="WH79" s="1004"/>
      <c r="WI79" s="1004"/>
      <c r="WJ79" s="1004"/>
      <c r="WK79" s="1004"/>
      <c r="WL79" s="1004"/>
      <c r="WM79" s="1004"/>
      <c r="WN79" s="1004"/>
      <c r="WO79" s="1004"/>
      <c r="WP79" s="1004"/>
      <c r="WQ79" s="1004"/>
      <c r="WR79" s="1004"/>
      <c r="WS79" s="1004"/>
      <c r="WT79" s="1004"/>
      <c r="WU79" s="1004"/>
      <c r="WV79" s="1004"/>
      <c r="WW79" s="1004"/>
      <c r="WX79" s="1004"/>
      <c r="WY79" s="1004"/>
      <c r="WZ79" s="1004"/>
      <c r="XA79" s="1004"/>
      <c r="XB79" s="1004"/>
      <c r="XC79" s="1004"/>
      <c r="XD79" s="1004"/>
      <c r="XE79" s="1004"/>
      <c r="XF79" s="1004"/>
      <c r="XG79" s="1004"/>
      <c r="XH79" s="1004"/>
      <c r="XI79" s="1004"/>
      <c r="XJ79" s="1004"/>
      <c r="XK79" s="1004"/>
      <c r="XL79" s="1004"/>
      <c r="XM79" s="1004"/>
      <c r="XN79" s="1004"/>
      <c r="XO79" s="1004"/>
      <c r="XP79" s="1004"/>
      <c r="XQ79" s="1004"/>
      <c r="XR79" s="1004"/>
      <c r="XS79" s="1004"/>
      <c r="XT79" s="1004"/>
      <c r="XU79" s="1004"/>
      <c r="XV79" s="1004"/>
      <c r="XW79" s="1004"/>
      <c r="XX79" s="1004"/>
      <c r="XY79" s="1004"/>
      <c r="XZ79" s="1004"/>
      <c r="YA79" s="1004"/>
      <c r="YB79" s="1004"/>
      <c r="YC79" s="1004"/>
      <c r="YD79" s="1004"/>
      <c r="YE79" s="1004"/>
      <c r="YF79" s="1004"/>
      <c r="YG79" s="1004"/>
      <c r="YH79" s="1004"/>
      <c r="YI79" s="1004"/>
      <c r="YJ79" s="1004"/>
      <c r="YK79" s="1004"/>
      <c r="YL79" s="1004"/>
      <c r="YM79" s="1004"/>
      <c r="YN79" s="1004"/>
      <c r="YO79" s="1004"/>
      <c r="YP79" s="1004"/>
      <c r="YQ79" s="1004"/>
      <c r="YR79" s="1004"/>
      <c r="YS79" s="1004"/>
      <c r="YT79" s="1004"/>
      <c r="YU79" s="1004"/>
      <c r="YV79" s="1004"/>
      <c r="YW79" s="1004"/>
      <c r="YX79" s="1004"/>
      <c r="YY79" s="1004"/>
      <c r="YZ79" s="1004"/>
      <c r="ZA79" s="1004"/>
      <c r="ZB79" s="1004"/>
      <c r="ZC79" s="1004"/>
      <c r="ZD79" s="1004"/>
      <c r="ZE79" s="1004"/>
      <c r="ZF79" s="1004"/>
      <c r="ZG79" s="1004"/>
      <c r="ZH79" s="1004"/>
      <c r="ZI79" s="1004"/>
      <c r="ZJ79" s="1004"/>
      <c r="ZK79" s="1004"/>
      <c r="ZL79" s="1004"/>
      <c r="ZM79" s="1004"/>
      <c r="ZN79" s="1004"/>
      <c r="ZO79" s="1004"/>
      <c r="ZP79" s="1004"/>
      <c r="ZQ79" s="1004"/>
      <c r="ZR79" s="1004"/>
      <c r="ZS79" s="1004"/>
      <c r="ZT79" s="1004"/>
      <c r="ZU79" s="1004"/>
      <c r="ZV79" s="1004"/>
      <c r="ZW79" s="1004"/>
      <c r="ZX79" s="1004"/>
      <c r="ZY79" s="1004"/>
      <c r="ZZ79" s="1004"/>
      <c r="AAA79" s="1004"/>
      <c r="AAB79" s="1004"/>
      <c r="AAC79" s="1004"/>
      <c r="AAD79" s="1004"/>
      <c r="AAE79" s="1004"/>
      <c r="AAF79" s="1004"/>
      <c r="AAG79" s="1004"/>
      <c r="AAH79" s="1004"/>
      <c r="AAI79" s="1004"/>
      <c r="AAJ79" s="1004"/>
      <c r="AAK79" s="1004"/>
      <c r="AAL79" s="1004"/>
      <c r="AAM79" s="1004"/>
      <c r="AAN79" s="1004"/>
      <c r="AAO79" s="1004"/>
      <c r="AAP79" s="1004"/>
      <c r="AAQ79" s="1004"/>
      <c r="AAR79" s="1004"/>
      <c r="AAS79" s="1004"/>
      <c r="AAT79" s="1004"/>
      <c r="AAU79" s="1004"/>
      <c r="AAV79" s="1004"/>
      <c r="AAW79" s="1004"/>
      <c r="AAX79" s="1004"/>
      <c r="AAY79" s="1004"/>
      <c r="AAZ79" s="1004"/>
      <c r="ABA79" s="1004"/>
      <c r="ABB79" s="1004"/>
      <c r="ABC79" s="1004"/>
      <c r="ABD79" s="1004"/>
      <c r="ABE79" s="1004"/>
      <c r="ABF79" s="1004"/>
      <c r="ABG79" s="1004"/>
      <c r="ABH79" s="1004"/>
      <c r="ABI79" s="1004"/>
      <c r="ABJ79" s="1004"/>
      <c r="ABK79" s="1004"/>
      <c r="ABL79" s="1004"/>
      <c r="ABM79" s="1004"/>
      <c r="ABN79" s="1004"/>
      <c r="ABO79" s="1004"/>
      <c r="ABP79" s="1004"/>
      <c r="ABQ79" s="1004"/>
      <c r="ABR79" s="1004"/>
    </row>
    <row r="80" spans="1:746" s="1" customFormat="1" ht="12.75" customHeight="1">
      <c r="A80" s="926"/>
      <c r="B80" s="555" t="s">
        <v>1062</v>
      </c>
      <c r="C80" s="562"/>
      <c r="D80" s="563"/>
      <c r="E80" s="564"/>
      <c r="F80" s="565"/>
      <c r="G80" s="566"/>
      <c r="H80" s="2533"/>
      <c r="I80" s="2578">
        <f t="shared" ref="I80:AF80" si="5">I78+I273+I259+I287</f>
        <v>0</v>
      </c>
      <c r="J80" s="2195">
        <f t="shared" si="5"/>
        <v>0</v>
      </c>
      <c r="K80" s="2195">
        <f t="shared" si="5"/>
        <v>0</v>
      </c>
      <c r="L80" s="2195">
        <f t="shared" si="5"/>
        <v>0</v>
      </c>
      <c r="M80" s="2195">
        <f t="shared" si="5"/>
        <v>0</v>
      </c>
      <c r="N80" s="2195">
        <f t="shared" si="5"/>
        <v>0</v>
      </c>
      <c r="O80" s="2195">
        <f t="shared" si="5"/>
        <v>0</v>
      </c>
      <c r="P80" s="2195">
        <f t="shared" si="5"/>
        <v>0</v>
      </c>
      <c r="Q80" s="2195">
        <f t="shared" si="5"/>
        <v>0</v>
      </c>
      <c r="R80" s="2195">
        <f t="shared" si="5"/>
        <v>0</v>
      </c>
      <c r="S80" s="2195">
        <f t="shared" si="5"/>
        <v>0</v>
      </c>
      <c r="T80" s="2195">
        <f t="shared" si="5"/>
        <v>0</v>
      </c>
      <c r="U80" s="2195">
        <f t="shared" si="5"/>
        <v>0</v>
      </c>
      <c r="V80" s="2195">
        <f t="shared" si="5"/>
        <v>0</v>
      </c>
      <c r="W80" s="2195">
        <f t="shared" si="5"/>
        <v>0</v>
      </c>
      <c r="X80" s="2195">
        <f t="shared" si="5"/>
        <v>0</v>
      </c>
      <c r="Y80" s="2195">
        <f t="shared" si="5"/>
        <v>0</v>
      </c>
      <c r="Z80" s="2195">
        <f t="shared" si="5"/>
        <v>0</v>
      </c>
      <c r="AA80" s="2195">
        <f t="shared" si="5"/>
        <v>0</v>
      </c>
      <c r="AB80" s="2195">
        <f t="shared" si="5"/>
        <v>0</v>
      </c>
      <c r="AC80" s="2195">
        <f t="shared" si="5"/>
        <v>0</v>
      </c>
      <c r="AD80" s="2195">
        <f t="shared" si="5"/>
        <v>0</v>
      </c>
      <c r="AE80" s="2195">
        <f t="shared" si="5"/>
        <v>0</v>
      </c>
      <c r="AF80" s="2195">
        <f t="shared" si="5"/>
        <v>0</v>
      </c>
      <c r="AG80" s="2212"/>
      <c r="AH80" s="110"/>
      <c r="AI80" s="110"/>
      <c r="AJ80" s="429">
        <f>IF(fx!$C$57=1,SUMIF(fx!I$57:T$57,1,I80:T80),IF(fx!$C$57=2,SUMIF(fx!O$57:AF$57,1,O80:AF80)))</f>
        <v>0</v>
      </c>
      <c r="AK80" s="423"/>
      <c r="AL80" s="430">
        <f>IF(fx!$C$57=1,SUM(U80:AF80),0)</f>
        <v>0</v>
      </c>
      <c r="AM80" s="1009"/>
      <c r="AN80" s="1017"/>
      <c r="AO80" s="1945"/>
      <c r="AP80" s="1935"/>
      <c r="AQ80" s="1936"/>
      <c r="AR80" s="1941"/>
      <c r="AS80" s="1941"/>
      <c r="AT80" s="1941"/>
      <c r="AU80" s="1941"/>
      <c r="AV80" s="1941"/>
      <c r="AW80" s="1941"/>
      <c r="AX80" s="1941"/>
      <c r="AY80" s="1941"/>
      <c r="AZ80" s="1941"/>
      <c r="BA80" s="1941"/>
      <c r="BB80" s="1941"/>
      <c r="BC80" s="1941"/>
      <c r="BD80" s="1941"/>
      <c r="BE80" s="1941"/>
      <c r="BF80" s="1941"/>
      <c r="BG80" s="1941"/>
      <c r="BH80" s="1941"/>
      <c r="BI80" s="1941"/>
      <c r="BJ80" s="1941"/>
      <c r="BK80" s="1941"/>
      <c r="BL80" s="1941"/>
      <c r="BM80" s="1941"/>
      <c r="BN80" s="1941"/>
      <c r="BO80" s="1941"/>
      <c r="BP80" s="1004"/>
      <c r="BQ80" s="1004"/>
      <c r="BR80" s="1004"/>
      <c r="BS80" s="1004"/>
      <c r="BT80" s="1004"/>
      <c r="BU80" s="1004"/>
      <c r="BV80" s="1004"/>
      <c r="BW80" s="1004"/>
      <c r="BX80" s="1004"/>
      <c r="BY80" s="1004"/>
      <c r="BZ80" s="1004"/>
      <c r="CA80" s="1004"/>
      <c r="CB80" s="1004"/>
      <c r="CC80" s="1004"/>
      <c r="CD80" s="1004"/>
      <c r="CE80" s="1004"/>
      <c r="CF80" s="1004"/>
      <c r="CG80" s="1004"/>
      <c r="CH80" s="1004"/>
      <c r="CI80" s="1004"/>
      <c r="CJ80" s="1004"/>
      <c r="CK80" s="1004"/>
      <c r="CL80" s="1004"/>
      <c r="CM80" s="1004"/>
      <c r="CN80" s="1004"/>
      <c r="CO80" s="1004"/>
      <c r="CP80" s="1004"/>
      <c r="CQ80" s="1004"/>
      <c r="CR80" s="1004"/>
      <c r="CS80" s="1004"/>
      <c r="CT80" s="1004"/>
      <c r="CU80" s="1004"/>
      <c r="CV80" s="1004"/>
      <c r="CW80" s="1004"/>
      <c r="CX80" s="1004"/>
      <c r="CY80" s="1004"/>
      <c r="CZ80" s="1004"/>
      <c r="DA80" s="1004"/>
      <c r="DB80" s="1004"/>
      <c r="DC80" s="1004"/>
      <c r="DD80" s="1004"/>
      <c r="DE80" s="1004"/>
      <c r="DF80" s="1004"/>
      <c r="DG80" s="1004"/>
      <c r="DH80" s="1004"/>
      <c r="DI80" s="1004"/>
      <c r="DJ80" s="1004"/>
      <c r="DK80" s="1004"/>
      <c r="DL80" s="1004"/>
      <c r="DM80" s="1004"/>
      <c r="DN80" s="1004"/>
      <c r="DO80" s="1004"/>
      <c r="DP80" s="1004"/>
      <c r="DQ80" s="1004"/>
      <c r="DR80" s="1004"/>
      <c r="DS80" s="1004"/>
      <c r="DT80" s="1004"/>
      <c r="DU80" s="1004"/>
      <c r="DV80" s="1004"/>
      <c r="DW80" s="1004"/>
      <c r="DX80" s="1004"/>
      <c r="DY80" s="1004"/>
      <c r="DZ80" s="1004"/>
      <c r="EA80" s="1004"/>
      <c r="EB80" s="1004"/>
      <c r="EC80" s="1004"/>
      <c r="ED80" s="1004"/>
      <c r="EE80" s="1004"/>
      <c r="EF80" s="1004"/>
      <c r="EG80" s="1004"/>
      <c r="EH80" s="1004"/>
      <c r="EI80" s="1004"/>
      <c r="EJ80" s="1004"/>
      <c r="EK80" s="1004"/>
      <c r="EL80" s="1004"/>
      <c r="EM80" s="1004"/>
      <c r="EN80" s="1004"/>
      <c r="EO80" s="1004"/>
      <c r="EP80" s="1004"/>
      <c r="EQ80" s="1004"/>
      <c r="ER80" s="1004"/>
      <c r="ES80" s="1004"/>
      <c r="ET80" s="1004"/>
      <c r="EU80" s="1004"/>
      <c r="EV80" s="1004"/>
      <c r="EW80" s="1004"/>
      <c r="EX80" s="1004"/>
      <c r="EY80" s="1004"/>
      <c r="EZ80" s="1004"/>
      <c r="FA80" s="1004"/>
      <c r="FB80" s="1004"/>
      <c r="FC80" s="1004"/>
      <c r="FD80" s="1004"/>
      <c r="FE80" s="1004"/>
      <c r="FF80" s="1004"/>
      <c r="FG80" s="1004"/>
      <c r="FH80" s="1004"/>
      <c r="FI80" s="1004"/>
      <c r="FJ80" s="1004"/>
      <c r="FK80" s="1004"/>
      <c r="FL80" s="1004"/>
      <c r="FM80" s="1004"/>
      <c r="FN80" s="1004"/>
      <c r="FO80" s="1004"/>
      <c r="FP80" s="1004"/>
      <c r="FQ80" s="1004"/>
      <c r="FR80" s="1004"/>
      <c r="FS80" s="1004"/>
      <c r="FT80" s="1004"/>
      <c r="FU80" s="1004"/>
      <c r="FV80" s="1004"/>
      <c r="FW80" s="1004"/>
      <c r="FX80" s="1004"/>
      <c r="FY80" s="1004"/>
      <c r="FZ80" s="1004"/>
      <c r="GA80" s="1004"/>
      <c r="GB80" s="1004"/>
      <c r="GC80" s="1004"/>
      <c r="GD80" s="1004"/>
      <c r="GE80" s="1004"/>
      <c r="GF80" s="1004"/>
      <c r="GG80" s="1004"/>
      <c r="GH80" s="1004"/>
      <c r="GI80" s="1004"/>
      <c r="GJ80" s="1004"/>
      <c r="GK80" s="1004"/>
      <c r="GL80" s="1004"/>
      <c r="GM80" s="1004"/>
      <c r="GN80" s="1004"/>
      <c r="GO80" s="1004"/>
      <c r="GP80" s="1004"/>
      <c r="GQ80" s="1004"/>
      <c r="GR80" s="1004"/>
      <c r="GS80" s="1004"/>
      <c r="GT80" s="1004"/>
      <c r="GU80" s="1004"/>
      <c r="GV80" s="1004"/>
      <c r="GW80" s="1004"/>
      <c r="GX80" s="1004"/>
      <c r="GY80" s="1004"/>
      <c r="GZ80" s="1004"/>
      <c r="HA80" s="1004"/>
      <c r="HB80" s="1004"/>
      <c r="HC80" s="1004"/>
      <c r="HD80" s="1004"/>
      <c r="HE80" s="1004"/>
      <c r="HF80" s="1004"/>
      <c r="HG80" s="1004"/>
      <c r="HH80" s="1004"/>
      <c r="HI80" s="1004"/>
      <c r="HJ80" s="1004"/>
      <c r="HK80" s="1004"/>
      <c r="HL80" s="1004"/>
      <c r="HM80" s="1004"/>
      <c r="HN80" s="1004"/>
      <c r="HO80" s="1004"/>
      <c r="HP80" s="1004"/>
      <c r="HQ80" s="1004"/>
      <c r="HR80" s="1004"/>
      <c r="HS80" s="1004"/>
      <c r="HT80" s="1004"/>
      <c r="HU80" s="1004"/>
      <c r="HV80" s="1004"/>
      <c r="HW80" s="1004"/>
      <c r="HX80" s="1004"/>
      <c r="HY80" s="1004"/>
      <c r="HZ80" s="1004"/>
      <c r="IA80" s="1004"/>
      <c r="IB80" s="1004"/>
      <c r="IC80" s="1004"/>
      <c r="ID80" s="1004"/>
      <c r="IE80" s="1004"/>
      <c r="IF80" s="1004"/>
      <c r="IG80" s="1004"/>
      <c r="IH80" s="1004"/>
      <c r="II80" s="1004"/>
      <c r="IJ80" s="1004"/>
      <c r="IK80" s="1004"/>
      <c r="IL80" s="1004"/>
      <c r="IM80" s="1004"/>
      <c r="IN80" s="1004"/>
      <c r="IO80" s="1004"/>
      <c r="IP80" s="1004"/>
      <c r="IQ80" s="1004"/>
      <c r="IR80" s="1004"/>
      <c r="IS80" s="1004"/>
      <c r="IT80" s="1004"/>
      <c r="IU80" s="1004"/>
      <c r="IV80" s="1004"/>
      <c r="IW80" s="1004"/>
      <c r="IX80" s="1004"/>
      <c r="IY80" s="1004"/>
      <c r="IZ80" s="1004"/>
      <c r="JA80" s="1004"/>
      <c r="JB80" s="1004"/>
      <c r="JC80" s="1004"/>
      <c r="JD80" s="1004"/>
      <c r="JE80" s="1004"/>
      <c r="JF80" s="1004"/>
      <c r="JG80" s="1004"/>
      <c r="JH80" s="1004"/>
      <c r="JI80" s="1004"/>
      <c r="JJ80" s="1004"/>
      <c r="JK80" s="1004"/>
      <c r="JL80" s="1004"/>
      <c r="JM80" s="1004"/>
      <c r="JN80" s="1004"/>
      <c r="JO80" s="1004"/>
      <c r="JP80" s="1004"/>
      <c r="JQ80" s="1004"/>
      <c r="JR80" s="1004"/>
      <c r="JS80" s="1004"/>
      <c r="JT80" s="1004"/>
      <c r="JU80" s="1004"/>
      <c r="JV80" s="1004"/>
      <c r="JW80" s="1004"/>
      <c r="JX80" s="1004"/>
      <c r="JY80" s="1004"/>
      <c r="JZ80" s="1004"/>
      <c r="KA80" s="1004"/>
      <c r="KB80" s="1004"/>
      <c r="KC80" s="1004"/>
      <c r="KD80" s="1004"/>
      <c r="KE80" s="1004"/>
      <c r="KF80" s="1004"/>
      <c r="KG80" s="1004"/>
      <c r="KH80" s="1004"/>
      <c r="KI80" s="1004"/>
      <c r="KJ80" s="1004"/>
      <c r="KK80" s="1004"/>
      <c r="KL80" s="1004"/>
      <c r="KM80" s="1004"/>
      <c r="KN80" s="1004"/>
      <c r="KO80" s="1004"/>
      <c r="KP80" s="1004"/>
      <c r="KQ80" s="1004"/>
      <c r="KR80" s="1004"/>
      <c r="KS80" s="1004"/>
      <c r="KT80" s="1004"/>
      <c r="KU80" s="1004"/>
      <c r="KV80" s="1004"/>
      <c r="KW80" s="1004"/>
      <c r="KX80" s="1004"/>
      <c r="KY80" s="1004"/>
      <c r="KZ80" s="1004"/>
      <c r="LA80" s="1004"/>
      <c r="LB80" s="1004"/>
      <c r="LC80" s="1004"/>
      <c r="LD80" s="1004"/>
      <c r="LE80" s="1004"/>
      <c r="LF80" s="1004"/>
      <c r="LG80" s="1004"/>
      <c r="LH80" s="1004"/>
      <c r="LI80" s="1004"/>
      <c r="LJ80" s="1004"/>
      <c r="LK80" s="1004"/>
      <c r="LL80" s="1004"/>
      <c r="LM80" s="1004"/>
      <c r="LN80" s="1004"/>
      <c r="LO80" s="1004"/>
      <c r="LP80" s="1004"/>
      <c r="LQ80" s="1004"/>
      <c r="LR80" s="1004"/>
      <c r="LS80" s="1004"/>
      <c r="LT80" s="1004"/>
      <c r="LU80" s="1004"/>
      <c r="LV80" s="1004"/>
      <c r="LW80" s="1004"/>
      <c r="LX80" s="1004"/>
      <c r="LY80" s="1004"/>
      <c r="LZ80" s="1004"/>
      <c r="MA80" s="1004"/>
      <c r="MB80" s="1004"/>
      <c r="MC80" s="1004"/>
      <c r="MD80" s="1004"/>
      <c r="ME80" s="1004"/>
      <c r="MF80" s="1004"/>
      <c r="MG80" s="1004"/>
      <c r="MH80" s="1004"/>
      <c r="MI80" s="1004"/>
      <c r="MJ80" s="1004"/>
      <c r="MK80" s="1004"/>
      <c r="ML80" s="1004"/>
      <c r="MM80" s="1004"/>
      <c r="MN80" s="1004"/>
      <c r="MO80" s="1004"/>
      <c r="MP80" s="1004"/>
      <c r="MQ80" s="1004"/>
      <c r="MR80" s="1004"/>
      <c r="MS80" s="1004"/>
      <c r="MT80" s="1004"/>
      <c r="MU80" s="1004"/>
      <c r="MV80" s="1004"/>
      <c r="MW80" s="1004"/>
      <c r="MX80" s="1004"/>
      <c r="MY80" s="1004"/>
      <c r="MZ80" s="1004"/>
      <c r="NA80" s="1004"/>
      <c r="NB80" s="1004"/>
      <c r="NC80" s="1004"/>
      <c r="ND80" s="1004"/>
      <c r="NE80" s="1004"/>
      <c r="NF80" s="1004"/>
      <c r="NG80" s="1004"/>
      <c r="NH80" s="1004"/>
      <c r="NI80" s="1004"/>
      <c r="NJ80" s="1004"/>
      <c r="NK80" s="1004"/>
      <c r="NL80" s="1004"/>
      <c r="NM80" s="1004"/>
      <c r="NN80" s="1004"/>
      <c r="NO80" s="1004"/>
      <c r="NP80" s="1004"/>
      <c r="NQ80" s="1004"/>
      <c r="NR80" s="1004"/>
      <c r="NS80" s="1004"/>
      <c r="NT80" s="1004"/>
      <c r="NU80" s="1004"/>
      <c r="NV80" s="1004"/>
      <c r="NW80" s="1004"/>
      <c r="NX80" s="1004"/>
      <c r="NY80" s="1004"/>
      <c r="NZ80" s="1004"/>
      <c r="OA80" s="1004"/>
      <c r="OB80" s="1004"/>
      <c r="OC80" s="1004"/>
      <c r="OD80" s="1004"/>
      <c r="OE80" s="1004"/>
      <c r="OF80" s="1004"/>
      <c r="OG80" s="1004"/>
      <c r="OH80" s="1004"/>
      <c r="OI80" s="1004"/>
      <c r="OJ80" s="1004"/>
      <c r="OK80" s="1004"/>
      <c r="OL80" s="1004"/>
      <c r="OM80" s="1004"/>
      <c r="ON80" s="1004"/>
      <c r="OO80" s="1004"/>
      <c r="OP80" s="1004"/>
      <c r="OQ80" s="1004"/>
      <c r="OR80" s="1004"/>
      <c r="OS80" s="1004"/>
      <c r="OT80" s="1004"/>
      <c r="OU80" s="1004"/>
      <c r="OV80" s="1004"/>
      <c r="OW80" s="1004"/>
      <c r="OX80" s="1004"/>
      <c r="OY80" s="1004"/>
      <c r="OZ80" s="1004"/>
      <c r="PA80" s="1004"/>
      <c r="PB80" s="1004"/>
      <c r="PC80" s="1004"/>
      <c r="PD80" s="1004"/>
      <c r="PE80" s="1004"/>
      <c r="PF80" s="1004"/>
      <c r="PG80" s="1004"/>
      <c r="PH80" s="1004"/>
      <c r="PI80" s="1004"/>
      <c r="PJ80" s="1004"/>
      <c r="PK80" s="1004"/>
      <c r="PL80" s="1004"/>
      <c r="PM80" s="1004"/>
      <c r="PN80" s="1004"/>
      <c r="PO80" s="1004"/>
      <c r="PP80" s="1004"/>
      <c r="PQ80" s="1004"/>
      <c r="PR80" s="1004"/>
      <c r="PS80" s="1004"/>
      <c r="PT80" s="1004"/>
      <c r="PU80" s="1004"/>
      <c r="PV80" s="1004"/>
      <c r="PW80" s="1004"/>
      <c r="PX80" s="1004"/>
      <c r="PY80" s="1004"/>
      <c r="PZ80" s="1004"/>
      <c r="QA80" s="1004"/>
      <c r="QB80" s="1004"/>
      <c r="QC80" s="1004"/>
      <c r="QD80" s="1004"/>
      <c r="QE80" s="1004"/>
      <c r="QF80" s="1004"/>
      <c r="QG80" s="1004"/>
      <c r="QH80" s="1004"/>
      <c r="QI80" s="1004"/>
      <c r="QJ80" s="1004"/>
      <c r="QK80" s="1004"/>
      <c r="QL80" s="1004"/>
      <c r="QM80" s="1004"/>
      <c r="QN80" s="1004"/>
      <c r="QO80" s="1004"/>
      <c r="QP80" s="1004"/>
      <c r="QQ80" s="1004"/>
      <c r="QR80" s="1004"/>
      <c r="QS80" s="1004"/>
      <c r="QT80" s="1004"/>
      <c r="QU80" s="1004"/>
      <c r="QV80" s="1004"/>
      <c r="QW80" s="1004"/>
      <c r="QX80" s="1004"/>
      <c r="QY80" s="1004"/>
      <c r="QZ80" s="1004"/>
      <c r="RA80" s="1004"/>
      <c r="RB80" s="1004"/>
      <c r="RC80" s="1004"/>
      <c r="RD80" s="1004"/>
      <c r="RE80" s="1004"/>
      <c r="RF80" s="1004"/>
      <c r="RG80" s="1004"/>
      <c r="RH80" s="1004"/>
      <c r="RI80" s="1004"/>
      <c r="RJ80" s="1004"/>
      <c r="RK80" s="1004"/>
      <c r="RL80" s="1004"/>
      <c r="RM80" s="1004"/>
      <c r="RN80" s="1004"/>
      <c r="RO80" s="1004"/>
      <c r="RP80" s="1004"/>
      <c r="RQ80" s="1004"/>
      <c r="RR80" s="1004"/>
      <c r="RS80" s="1004"/>
      <c r="RT80" s="1004"/>
      <c r="RU80" s="1004"/>
      <c r="RV80" s="1004"/>
      <c r="RW80" s="1004"/>
      <c r="RX80" s="1004"/>
      <c r="RY80" s="1004"/>
      <c r="RZ80" s="1004"/>
      <c r="SA80" s="1004"/>
      <c r="SB80" s="1004"/>
      <c r="SC80" s="1004"/>
      <c r="SD80" s="1004"/>
      <c r="SE80" s="1004"/>
      <c r="SF80" s="1004"/>
      <c r="SG80" s="1004"/>
      <c r="SH80" s="1004"/>
      <c r="SI80" s="1004"/>
      <c r="SJ80" s="1004"/>
      <c r="SK80" s="1004"/>
      <c r="SL80" s="1004"/>
      <c r="SM80" s="1004"/>
      <c r="SN80" s="1004"/>
      <c r="SO80" s="1004"/>
      <c r="SP80" s="1004"/>
      <c r="SQ80" s="1004"/>
      <c r="SR80" s="1004"/>
      <c r="SS80" s="1004"/>
      <c r="ST80" s="1004"/>
      <c r="SU80" s="1004"/>
      <c r="SV80" s="1004"/>
      <c r="SW80" s="1004"/>
      <c r="SX80" s="1004"/>
      <c r="SY80" s="1004"/>
      <c r="SZ80" s="1004"/>
      <c r="TA80" s="1004"/>
      <c r="TB80" s="1004"/>
      <c r="TC80" s="1004"/>
      <c r="TD80" s="1004"/>
      <c r="TE80" s="1004"/>
      <c r="TF80" s="1004"/>
      <c r="TG80" s="1004"/>
      <c r="TH80" s="1004"/>
      <c r="TI80" s="1004"/>
      <c r="TJ80" s="1004"/>
      <c r="TK80" s="1004"/>
      <c r="TL80" s="1004"/>
      <c r="TM80" s="1004"/>
      <c r="TN80" s="1004"/>
      <c r="TO80" s="1004"/>
      <c r="TP80" s="1004"/>
      <c r="TQ80" s="1004"/>
      <c r="TR80" s="1004"/>
      <c r="TS80" s="1004"/>
      <c r="TT80" s="1004"/>
      <c r="TU80" s="1004"/>
      <c r="TV80" s="1004"/>
      <c r="TW80" s="1004"/>
      <c r="TX80" s="1004"/>
      <c r="TY80" s="1004"/>
      <c r="TZ80" s="1004"/>
      <c r="UA80" s="1004"/>
      <c r="UB80" s="1004"/>
      <c r="UC80" s="1004"/>
      <c r="UD80" s="1004"/>
      <c r="UE80" s="1004"/>
      <c r="UF80" s="1004"/>
      <c r="UG80" s="1004"/>
      <c r="UH80" s="1004"/>
      <c r="UI80" s="1004"/>
      <c r="UJ80" s="1004"/>
      <c r="UK80" s="1004"/>
      <c r="UL80" s="1004"/>
      <c r="UM80" s="1004"/>
      <c r="UN80" s="1004"/>
      <c r="UO80" s="1004"/>
      <c r="UP80" s="1004"/>
      <c r="UQ80" s="1004"/>
      <c r="UR80" s="1004"/>
      <c r="US80" s="1004"/>
      <c r="UT80" s="1004"/>
      <c r="UU80" s="1004"/>
      <c r="UV80" s="1004"/>
      <c r="UW80" s="1004"/>
      <c r="UX80" s="1004"/>
      <c r="UY80" s="1004"/>
      <c r="UZ80" s="1004"/>
      <c r="VA80" s="1004"/>
      <c r="VB80" s="1004"/>
      <c r="VC80" s="1004"/>
      <c r="VD80" s="1004"/>
      <c r="VE80" s="1004"/>
      <c r="VF80" s="1004"/>
      <c r="VG80" s="1004"/>
      <c r="VH80" s="1004"/>
      <c r="VI80" s="1004"/>
      <c r="VJ80" s="1004"/>
      <c r="VK80" s="1004"/>
      <c r="VL80" s="1004"/>
      <c r="VM80" s="1004"/>
      <c r="VN80" s="1004"/>
      <c r="VO80" s="1004"/>
      <c r="VP80" s="1004"/>
      <c r="VQ80" s="1004"/>
      <c r="VR80" s="1004"/>
      <c r="VS80" s="1004"/>
      <c r="VT80" s="1004"/>
      <c r="VU80" s="1004"/>
      <c r="VV80" s="1004"/>
      <c r="VW80" s="1004"/>
      <c r="VX80" s="1004"/>
      <c r="VY80" s="1004"/>
      <c r="VZ80" s="1004"/>
      <c r="WA80" s="1004"/>
      <c r="WB80" s="1004"/>
      <c r="WC80" s="1004"/>
      <c r="WD80" s="1004"/>
      <c r="WE80" s="1004"/>
      <c r="WF80" s="1004"/>
      <c r="WG80" s="1004"/>
      <c r="WH80" s="1004"/>
      <c r="WI80" s="1004"/>
      <c r="WJ80" s="1004"/>
      <c r="WK80" s="1004"/>
      <c r="WL80" s="1004"/>
      <c r="WM80" s="1004"/>
      <c r="WN80" s="1004"/>
      <c r="WO80" s="1004"/>
      <c r="WP80" s="1004"/>
      <c r="WQ80" s="1004"/>
      <c r="WR80" s="1004"/>
      <c r="WS80" s="1004"/>
      <c r="WT80" s="1004"/>
      <c r="WU80" s="1004"/>
      <c r="WV80" s="1004"/>
      <c r="WW80" s="1004"/>
      <c r="WX80" s="1004"/>
      <c r="WY80" s="1004"/>
      <c r="WZ80" s="1004"/>
      <c r="XA80" s="1004"/>
      <c r="XB80" s="1004"/>
      <c r="XC80" s="1004"/>
      <c r="XD80" s="1004"/>
      <c r="XE80" s="1004"/>
      <c r="XF80" s="1004"/>
      <c r="XG80" s="1004"/>
      <c r="XH80" s="1004"/>
      <c r="XI80" s="1004"/>
      <c r="XJ80" s="1004"/>
      <c r="XK80" s="1004"/>
      <c r="XL80" s="1004"/>
      <c r="XM80" s="1004"/>
      <c r="XN80" s="1004"/>
      <c r="XO80" s="1004"/>
      <c r="XP80" s="1004"/>
      <c r="XQ80" s="1004"/>
      <c r="XR80" s="1004"/>
      <c r="XS80" s="1004"/>
      <c r="XT80" s="1004"/>
      <c r="XU80" s="1004"/>
      <c r="XV80" s="1004"/>
      <c r="XW80" s="1004"/>
      <c r="XX80" s="1004"/>
      <c r="XY80" s="1004"/>
      <c r="XZ80" s="1004"/>
      <c r="YA80" s="1004"/>
      <c r="YB80" s="1004"/>
      <c r="YC80" s="1004"/>
      <c r="YD80" s="1004"/>
      <c r="YE80" s="1004"/>
      <c r="YF80" s="1004"/>
      <c r="YG80" s="1004"/>
      <c r="YH80" s="1004"/>
      <c r="YI80" s="1004"/>
      <c r="YJ80" s="1004"/>
      <c r="YK80" s="1004"/>
      <c r="YL80" s="1004"/>
      <c r="YM80" s="1004"/>
      <c r="YN80" s="1004"/>
      <c r="YO80" s="1004"/>
      <c r="YP80" s="1004"/>
      <c r="YQ80" s="1004"/>
      <c r="YR80" s="1004"/>
      <c r="YS80" s="1004"/>
      <c r="YT80" s="1004"/>
      <c r="YU80" s="1004"/>
      <c r="YV80" s="1004"/>
      <c r="YW80" s="1004"/>
      <c r="YX80" s="1004"/>
      <c r="YY80" s="1004"/>
      <c r="YZ80" s="1004"/>
      <c r="ZA80" s="1004"/>
      <c r="ZB80" s="1004"/>
      <c r="ZC80" s="1004"/>
      <c r="ZD80" s="1004"/>
      <c r="ZE80" s="1004"/>
      <c r="ZF80" s="1004"/>
      <c r="ZG80" s="1004"/>
      <c r="ZH80" s="1004"/>
      <c r="ZI80" s="1004"/>
      <c r="ZJ80" s="1004"/>
      <c r="ZK80" s="1004"/>
      <c r="ZL80" s="1004"/>
      <c r="ZM80" s="1004"/>
      <c r="ZN80" s="1004"/>
      <c r="ZO80" s="1004"/>
      <c r="ZP80" s="1004"/>
      <c r="ZQ80" s="1004"/>
      <c r="ZR80" s="1004"/>
      <c r="ZS80" s="1004"/>
      <c r="ZT80" s="1004"/>
      <c r="ZU80" s="1004"/>
      <c r="ZV80" s="1004"/>
      <c r="ZW80" s="1004"/>
      <c r="ZX80" s="1004"/>
      <c r="ZY80" s="1004"/>
      <c r="ZZ80" s="1004"/>
      <c r="AAA80" s="1004"/>
      <c r="AAB80" s="1004"/>
      <c r="AAC80" s="1004"/>
      <c r="AAD80" s="1004"/>
      <c r="AAE80" s="1004"/>
      <c r="AAF80" s="1004"/>
      <c r="AAG80" s="1004"/>
      <c r="AAH80" s="1004"/>
      <c r="AAI80" s="1004"/>
      <c r="AAJ80" s="1004"/>
      <c r="AAK80" s="1004"/>
      <c r="AAL80" s="1004"/>
      <c r="AAM80" s="1004"/>
      <c r="AAN80" s="1004"/>
      <c r="AAO80" s="1004"/>
      <c r="AAP80" s="1004"/>
      <c r="AAQ80" s="1004"/>
      <c r="AAR80" s="1004"/>
      <c r="AAS80" s="1004"/>
      <c r="AAT80" s="1004"/>
      <c r="AAU80" s="1004"/>
      <c r="AAV80" s="1004"/>
      <c r="AAW80" s="1004"/>
      <c r="AAX80" s="1004"/>
      <c r="AAY80" s="1004"/>
      <c r="AAZ80" s="1004"/>
      <c r="ABA80" s="1004"/>
      <c r="ABB80" s="1004"/>
      <c r="ABC80" s="1004"/>
      <c r="ABD80" s="1004"/>
      <c r="ABE80" s="1004"/>
      <c r="ABF80" s="1004"/>
      <c r="ABG80" s="1004"/>
      <c r="ABH80" s="1004"/>
      <c r="ABI80" s="1004"/>
      <c r="ABJ80" s="1004"/>
      <c r="ABK80" s="1004"/>
      <c r="ABL80" s="1004"/>
      <c r="ABM80" s="1004"/>
      <c r="ABN80" s="1004"/>
      <c r="ABO80" s="1004"/>
      <c r="ABP80" s="1004"/>
      <c r="ABQ80" s="1004"/>
      <c r="ABR80" s="1004"/>
    </row>
    <row r="81" spans="1:746" s="1" customFormat="1" ht="12.75" customHeight="1">
      <c r="A81" s="924"/>
      <c r="B81" s="1793"/>
      <c r="C81" s="1789"/>
      <c r="D81" s="1789"/>
      <c r="E81" s="1789"/>
      <c r="F81" s="1789"/>
      <c r="G81" s="1794"/>
      <c r="H81" s="2534"/>
      <c r="I81" s="2570" t="str">
        <f>IF(fx!I$57=0,"&gt;&gt;",IF($L$4=I$6,"","Välj 1-12 i P4"))</f>
        <v/>
      </c>
      <c r="J81" s="1843" t="str">
        <f>IF(fx!J$57=0,"&gt;&gt;",IF($L$4=J$6,"Startmånad",""))</f>
        <v/>
      </c>
      <c r="K81" s="1843" t="str">
        <f>IF(fx!K$57=0,"&gt;&gt;",IF($L$4=K$6,"Startmånad",""))</f>
        <v/>
      </c>
      <c r="L81" s="1843" t="str">
        <f>IF(fx!L$57=0,"&gt;&gt;",IF($L$4=L$6,"Startmånad",""))</f>
        <v/>
      </c>
      <c r="M81" s="1843" t="str">
        <f>IF(fx!M$57=0,"&gt;&gt;",IF($L$4=M$6,"Startmånad",""))</f>
        <v/>
      </c>
      <c r="N81" s="1843" t="str">
        <f>IF(fx!N$57=0,"&gt;&gt;",IF($L$4=N$6,"Startmånad",""))</f>
        <v/>
      </c>
      <c r="O81" s="1843" t="str">
        <f>IF(AND(fx!$C$57=1,fx!O$57=0),"&gt;&gt;",IF(AND(fx!$C$57=1,$L$4=$O$6),"Startmånad",IF(AND(fx!$C$57=2,$L$4&lt;7),"Välj 7-12 i P4",IF(AND(fx!$C$57=2,$L$4=$O$6),"Startmånad",IF(AND(fx!$C$57=2,$L$4&gt;$O$6),"&gt;&gt;","")))))</f>
        <v/>
      </c>
      <c r="P81" s="1843" t="str">
        <f>IF(fx!P$57=0,"&gt;&gt;",IF($L$4=P$6,"Startmånad",""))</f>
        <v/>
      </c>
      <c r="Q81" s="1843" t="str">
        <f>IF(fx!Q$57=0,"&gt;&gt;",IF($L$4=Q$6,"Startmånad",""))</f>
        <v/>
      </c>
      <c r="R81" s="1843" t="str">
        <f>IF(fx!R$57=0,"&gt;&gt;",IF($L$4=R$6,"Startmånad",""))</f>
        <v/>
      </c>
      <c r="S81" s="1843" t="str">
        <f>IF(fx!S$57=0,"&gt;&gt;",IF($L$4=S$6,"Startmånad",""))</f>
        <v/>
      </c>
      <c r="T81" s="2717" t="str">
        <f>IF(fx!T$57=0,"&gt;&gt;",IF($L$4=T$6,"Startmånad",""))</f>
        <v/>
      </c>
      <c r="U81" s="2716"/>
      <c r="V81" s="1790"/>
      <c r="W81" s="1790"/>
      <c r="X81" s="1790"/>
      <c r="Y81" s="1790"/>
      <c r="Z81" s="1790"/>
      <c r="AA81" s="1790"/>
      <c r="AB81" s="1790"/>
      <c r="AC81" s="1790"/>
      <c r="AD81" s="1790"/>
      <c r="AE81" s="1790"/>
      <c r="AF81" s="1795"/>
      <c r="AG81" s="1786"/>
      <c r="AH81" s="1315"/>
      <c r="AI81" s="1315"/>
      <c r="AJ81" s="1498"/>
      <c r="AK81" s="1557"/>
      <c r="AL81" s="1498"/>
      <c r="AM81" s="1009"/>
      <c r="AN81" s="1015"/>
      <c r="AO81" s="1945"/>
      <c r="AP81" s="1935"/>
      <c r="AQ81" s="1936"/>
      <c r="AR81" s="1941"/>
      <c r="AS81" s="1941"/>
      <c r="AT81" s="1941"/>
      <c r="AU81" s="1941"/>
      <c r="AV81" s="1941"/>
      <c r="AW81" s="1941"/>
      <c r="AX81" s="1941"/>
      <c r="AY81" s="1941"/>
      <c r="AZ81" s="1941"/>
      <c r="BA81" s="1941"/>
      <c r="BB81" s="1941"/>
      <c r="BC81" s="1941"/>
      <c r="BD81" s="1941"/>
      <c r="BE81" s="1941"/>
      <c r="BF81" s="1941"/>
      <c r="BG81" s="1941"/>
      <c r="BH81" s="1941"/>
      <c r="BI81" s="1941"/>
      <c r="BJ81" s="1941"/>
      <c r="BK81" s="1941"/>
      <c r="BL81" s="1941"/>
      <c r="BM81" s="1941"/>
      <c r="BN81" s="1941"/>
      <c r="BO81" s="1941"/>
      <c r="BP81" s="1004"/>
      <c r="BQ81" s="1004"/>
      <c r="BR81" s="1004"/>
      <c r="BS81" s="1004"/>
      <c r="BT81" s="1004"/>
      <c r="BU81" s="1004"/>
      <c r="BV81" s="1004"/>
      <c r="BW81" s="1004"/>
      <c r="BX81" s="1004"/>
      <c r="BY81" s="1004"/>
      <c r="BZ81" s="1004"/>
      <c r="CA81" s="1004"/>
      <c r="CB81" s="1004"/>
      <c r="CC81" s="1004"/>
      <c r="CD81" s="1004"/>
      <c r="CE81" s="1004"/>
      <c r="CF81" s="1004"/>
      <c r="CG81" s="1004"/>
      <c r="CH81" s="1004"/>
      <c r="CI81" s="1004"/>
      <c r="CJ81" s="1004"/>
      <c r="CK81" s="1004"/>
      <c r="CL81" s="1004"/>
      <c r="CM81" s="1004"/>
      <c r="CN81" s="1004"/>
      <c r="CO81" s="1004"/>
      <c r="CP81" s="1004"/>
      <c r="CQ81" s="1004"/>
      <c r="CR81" s="1004"/>
      <c r="CS81" s="1004"/>
      <c r="CT81" s="1004"/>
      <c r="CU81" s="1004"/>
      <c r="CV81" s="1004"/>
      <c r="CW81" s="1004"/>
      <c r="CX81" s="1004"/>
      <c r="CY81" s="1004"/>
      <c r="CZ81" s="1004"/>
      <c r="DA81" s="1004"/>
      <c r="DB81" s="1004"/>
      <c r="DC81" s="1004"/>
      <c r="DD81" s="1004"/>
      <c r="DE81" s="1004"/>
      <c r="DF81" s="1004"/>
      <c r="DG81" s="1004"/>
      <c r="DH81" s="1004"/>
      <c r="DI81" s="1004"/>
      <c r="DJ81" s="1004"/>
      <c r="DK81" s="1004"/>
      <c r="DL81" s="1004"/>
      <c r="DM81" s="1004"/>
      <c r="DN81" s="1004"/>
      <c r="DO81" s="1004"/>
      <c r="DP81" s="1004"/>
      <c r="DQ81" s="1004"/>
      <c r="DR81" s="1004"/>
      <c r="DS81" s="1004"/>
      <c r="DT81" s="1004"/>
      <c r="DU81" s="1004"/>
      <c r="DV81" s="1004"/>
      <c r="DW81" s="1004"/>
      <c r="DX81" s="1004"/>
      <c r="DY81" s="1004"/>
      <c r="DZ81" s="1004"/>
      <c r="EA81" s="1004"/>
      <c r="EB81" s="1004"/>
      <c r="EC81" s="1004"/>
      <c r="ED81" s="1004"/>
      <c r="EE81" s="1004"/>
      <c r="EF81" s="1004"/>
      <c r="EG81" s="1004"/>
      <c r="EH81" s="1004"/>
      <c r="EI81" s="1004"/>
      <c r="EJ81" s="1004"/>
      <c r="EK81" s="1004"/>
      <c r="EL81" s="1004"/>
      <c r="EM81" s="1004"/>
      <c r="EN81" s="1004"/>
      <c r="EO81" s="1004"/>
      <c r="EP81" s="1004"/>
      <c r="EQ81" s="1004"/>
      <c r="ER81" s="1004"/>
      <c r="ES81" s="1004"/>
      <c r="ET81" s="1004"/>
      <c r="EU81" s="1004"/>
      <c r="EV81" s="1004"/>
      <c r="EW81" s="1004"/>
      <c r="EX81" s="1004"/>
      <c r="EY81" s="1004"/>
      <c r="EZ81" s="1004"/>
      <c r="FA81" s="1004"/>
      <c r="FB81" s="1004"/>
      <c r="FC81" s="1004"/>
      <c r="FD81" s="1004"/>
      <c r="FE81" s="1004"/>
      <c r="FF81" s="1004"/>
      <c r="FG81" s="1004"/>
      <c r="FH81" s="1004"/>
      <c r="FI81" s="1004"/>
      <c r="FJ81" s="1004"/>
      <c r="FK81" s="1004"/>
      <c r="FL81" s="1004"/>
      <c r="FM81" s="1004"/>
      <c r="FN81" s="1004"/>
      <c r="FO81" s="1004"/>
      <c r="FP81" s="1004"/>
      <c r="FQ81" s="1004"/>
      <c r="FR81" s="1004"/>
      <c r="FS81" s="1004"/>
      <c r="FT81" s="1004"/>
      <c r="FU81" s="1004"/>
      <c r="FV81" s="1004"/>
      <c r="FW81" s="1004"/>
      <c r="FX81" s="1004"/>
      <c r="FY81" s="1004"/>
      <c r="FZ81" s="1004"/>
      <c r="GA81" s="1004"/>
      <c r="GB81" s="1004"/>
      <c r="GC81" s="1004"/>
      <c r="GD81" s="1004"/>
      <c r="GE81" s="1004"/>
      <c r="GF81" s="1004"/>
      <c r="GG81" s="1004"/>
      <c r="GH81" s="1004"/>
      <c r="GI81" s="1004"/>
      <c r="GJ81" s="1004"/>
      <c r="GK81" s="1004"/>
      <c r="GL81" s="1004"/>
      <c r="GM81" s="1004"/>
      <c r="GN81" s="1004"/>
      <c r="GO81" s="1004"/>
      <c r="GP81" s="1004"/>
      <c r="GQ81" s="1004"/>
      <c r="GR81" s="1004"/>
      <c r="GS81" s="1004"/>
      <c r="GT81" s="1004"/>
      <c r="GU81" s="1004"/>
      <c r="GV81" s="1004"/>
      <c r="GW81" s="1004"/>
      <c r="GX81" s="1004"/>
      <c r="GY81" s="1004"/>
      <c r="GZ81" s="1004"/>
      <c r="HA81" s="1004"/>
      <c r="HB81" s="1004"/>
      <c r="HC81" s="1004"/>
      <c r="HD81" s="1004"/>
      <c r="HE81" s="1004"/>
      <c r="HF81" s="1004"/>
      <c r="HG81" s="1004"/>
      <c r="HH81" s="1004"/>
      <c r="HI81" s="1004"/>
      <c r="HJ81" s="1004"/>
      <c r="HK81" s="1004"/>
      <c r="HL81" s="1004"/>
      <c r="HM81" s="1004"/>
      <c r="HN81" s="1004"/>
      <c r="HO81" s="1004"/>
      <c r="HP81" s="1004"/>
      <c r="HQ81" s="1004"/>
      <c r="HR81" s="1004"/>
      <c r="HS81" s="1004"/>
      <c r="HT81" s="1004"/>
      <c r="HU81" s="1004"/>
      <c r="HV81" s="1004"/>
      <c r="HW81" s="1004"/>
      <c r="HX81" s="1004"/>
      <c r="HY81" s="1004"/>
      <c r="HZ81" s="1004"/>
      <c r="IA81" s="1004"/>
      <c r="IB81" s="1004"/>
      <c r="IC81" s="1004"/>
      <c r="ID81" s="1004"/>
      <c r="IE81" s="1004"/>
      <c r="IF81" s="1004"/>
      <c r="IG81" s="1004"/>
      <c r="IH81" s="1004"/>
      <c r="II81" s="1004"/>
      <c r="IJ81" s="1004"/>
      <c r="IK81" s="1004"/>
      <c r="IL81" s="1004"/>
      <c r="IM81" s="1004"/>
      <c r="IN81" s="1004"/>
      <c r="IO81" s="1004"/>
      <c r="IP81" s="1004"/>
      <c r="IQ81" s="1004"/>
      <c r="IR81" s="1004"/>
      <c r="IS81" s="1004"/>
      <c r="IT81" s="1004"/>
      <c r="IU81" s="1004"/>
      <c r="IV81" s="1004"/>
      <c r="IW81" s="1004"/>
      <c r="IX81" s="1004"/>
      <c r="IY81" s="1004"/>
      <c r="IZ81" s="1004"/>
      <c r="JA81" s="1004"/>
      <c r="JB81" s="1004"/>
      <c r="JC81" s="1004"/>
      <c r="JD81" s="1004"/>
      <c r="JE81" s="1004"/>
      <c r="JF81" s="1004"/>
      <c r="JG81" s="1004"/>
      <c r="JH81" s="1004"/>
      <c r="JI81" s="1004"/>
      <c r="JJ81" s="1004"/>
      <c r="JK81" s="1004"/>
      <c r="JL81" s="1004"/>
      <c r="JM81" s="1004"/>
      <c r="JN81" s="1004"/>
      <c r="JO81" s="1004"/>
      <c r="JP81" s="1004"/>
      <c r="JQ81" s="1004"/>
      <c r="JR81" s="1004"/>
      <c r="JS81" s="1004"/>
      <c r="JT81" s="1004"/>
      <c r="JU81" s="1004"/>
      <c r="JV81" s="1004"/>
      <c r="JW81" s="1004"/>
      <c r="JX81" s="1004"/>
      <c r="JY81" s="1004"/>
      <c r="JZ81" s="1004"/>
      <c r="KA81" s="1004"/>
      <c r="KB81" s="1004"/>
      <c r="KC81" s="1004"/>
      <c r="KD81" s="1004"/>
      <c r="KE81" s="1004"/>
      <c r="KF81" s="1004"/>
      <c r="KG81" s="1004"/>
      <c r="KH81" s="1004"/>
      <c r="KI81" s="1004"/>
      <c r="KJ81" s="1004"/>
      <c r="KK81" s="1004"/>
      <c r="KL81" s="1004"/>
      <c r="KM81" s="1004"/>
      <c r="KN81" s="1004"/>
      <c r="KO81" s="1004"/>
      <c r="KP81" s="1004"/>
      <c r="KQ81" s="1004"/>
      <c r="KR81" s="1004"/>
      <c r="KS81" s="1004"/>
      <c r="KT81" s="1004"/>
      <c r="KU81" s="1004"/>
      <c r="KV81" s="1004"/>
      <c r="KW81" s="1004"/>
      <c r="KX81" s="1004"/>
      <c r="KY81" s="1004"/>
      <c r="KZ81" s="1004"/>
      <c r="LA81" s="1004"/>
      <c r="LB81" s="1004"/>
      <c r="LC81" s="1004"/>
      <c r="LD81" s="1004"/>
      <c r="LE81" s="1004"/>
      <c r="LF81" s="1004"/>
      <c r="LG81" s="1004"/>
      <c r="LH81" s="1004"/>
      <c r="LI81" s="1004"/>
      <c r="LJ81" s="1004"/>
      <c r="LK81" s="1004"/>
      <c r="LL81" s="1004"/>
      <c r="LM81" s="1004"/>
      <c r="LN81" s="1004"/>
      <c r="LO81" s="1004"/>
      <c r="LP81" s="1004"/>
      <c r="LQ81" s="1004"/>
      <c r="LR81" s="1004"/>
      <c r="LS81" s="1004"/>
      <c r="LT81" s="1004"/>
      <c r="LU81" s="1004"/>
      <c r="LV81" s="1004"/>
      <c r="LW81" s="1004"/>
      <c r="LX81" s="1004"/>
      <c r="LY81" s="1004"/>
      <c r="LZ81" s="1004"/>
      <c r="MA81" s="1004"/>
      <c r="MB81" s="1004"/>
      <c r="MC81" s="1004"/>
      <c r="MD81" s="1004"/>
      <c r="ME81" s="1004"/>
      <c r="MF81" s="1004"/>
      <c r="MG81" s="1004"/>
      <c r="MH81" s="1004"/>
      <c r="MI81" s="1004"/>
      <c r="MJ81" s="1004"/>
      <c r="MK81" s="1004"/>
      <c r="ML81" s="1004"/>
      <c r="MM81" s="1004"/>
      <c r="MN81" s="1004"/>
      <c r="MO81" s="1004"/>
      <c r="MP81" s="1004"/>
      <c r="MQ81" s="1004"/>
      <c r="MR81" s="1004"/>
      <c r="MS81" s="1004"/>
      <c r="MT81" s="1004"/>
      <c r="MU81" s="1004"/>
      <c r="MV81" s="1004"/>
      <c r="MW81" s="1004"/>
      <c r="MX81" s="1004"/>
      <c r="MY81" s="1004"/>
      <c r="MZ81" s="1004"/>
      <c r="NA81" s="1004"/>
      <c r="NB81" s="1004"/>
      <c r="NC81" s="1004"/>
      <c r="ND81" s="1004"/>
      <c r="NE81" s="1004"/>
      <c r="NF81" s="1004"/>
      <c r="NG81" s="1004"/>
      <c r="NH81" s="1004"/>
      <c r="NI81" s="1004"/>
      <c r="NJ81" s="1004"/>
      <c r="NK81" s="1004"/>
      <c r="NL81" s="1004"/>
      <c r="NM81" s="1004"/>
      <c r="NN81" s="1004"/>
      <c r="NO81" s="1004"/>
      <c r="NP81" s="1004"/>
      <c r="NQ81" s="1004"/>
      <c r="NR81" s="1004"/>
      <c r="NS81" s="1004"/>
      <c r="NT81" s="1004"/>
      <c r="NU81" s="1004"/>
      <c r="NV81" s="1004"/>
      <c r="NW81" s="1004"/>
      <c r="NX81" s="1004"/>
      <c r="NY81" s="1004"/>
      <c r="NZ81" s="1004"/>
      <c r="OA81" s="1004"/>
      <c r="OB81" s="1004"/>
      <c r="OC81" s="1004"/>
      <c r="OD81" s="1004"/>
      <c r="OE81" s="1004"/>
      <c r="OF81" s="1004"/>
      <c r="OG81" s="1004"/>
      <c r="OH81" s="1004"/>
      <c r="OI81" s="1004"/>
      <c r="OJ81" s="1004"/>
      <c r="OK81" s="1004"/>
      <c r="OL81" s="1004"/>
      <c r="OM81" s="1004"/>
      <c r="ON81" s="1004"/>
      <c r="OO81" s="1004"/>
      <c r="OP81" s="1004"/>
      <c r="OQ81" s="1004"/>
      <c r="OR81" s="1004"/>
      <c r="OS81" s="1004"/>
      <c r="OT81" s="1004"/>
      <c r="OU81" s="1004"/>
      <c r="OV81" s="1004"/>
      <c r="OW81" s="1004"/>
      <c r="OX81" s="1004"/>
      <c r="OY81" s="1004"/>
      <c r="OZ81" s="1004"/>
      <c r="PA81" s="1004"/>
      <c r="PB81" s="1004"/>
      <c r="PC81" s="1004"/>
      <c r="PD81" s="1004"/>
      <c r="PE81" s="1004"/>
      <c r="PF81" s="1004"/>
      <c r="PG81" s="1004"/>
      <c r="PH81" s="1004"/>
      <c r="PI81" s="1004"/>
      <c r="PJ81" s="1004"/>
      <c r="PK81" s="1004"/>
      <c r="PL81" s="1004"/>
      <c r="PM81" s="1004"/>
      <c r="PN81" s="1004"/>
      <c r="PO81" s="1004"/>
      <c r="PP81" s="1004"/>
      <c r="PQ81" s="1004"/>
      <c r="PR81" s="1004"/>
      <c r="PS81" s="1004"/>
      <c r="PT81" s="1004"/>
      <c r="PU81" s="1004"/>
      <c r="PV81" s="1004"/>
      <c r="PW81" s="1004"/>
      <c r="PX81" s="1004"/>
      <c r="PY81" s="1004"/>
      <c r="PZ81" s="1004"/>
      <c r="QA81" s="1004"/>
      <c r="QB81" s="1004"/>
      <c r="QC81" s="1004"/>
      <c r="QD81" s="1004"/>
      <c r="QE81" s="1004"/>
      <c r="QF81" s="1004"/>
      <c r="QG81" s="1004"/>
      <c r="QH81" s="1004"/>
      <c r="QI81" s="1004"/>
      <c r="QJ81" s="1004"/>
      <c r="QK81" s="1004"/>
      <c r="QL81" s="1004"/>
      <c r="QM81" s="1004"/>
      <c r="QN81" s="1004"/>
      <c r="QO81" s="1004"/>
      <c r="QP81" s="1004"/>
      <c r="QQ81" s="1004"/>
      <c r="QR81" s="1004"/>
      <c r="QS81" s="1004"/>
      <c r="QT81" s="1004"/>
      <c r="QU81" s="1004"/>
      <c r="QV81" s="1004"/>
      <c r="QW81" s="1004"/>
      <c r="QX81" s="1004"/>
      <c r="QY81" s="1004"/>
      <c r="QZ81" s="1004"/>
      <c r="RA81" s="1004"/>
      <c r="RB81" s="1004"/>
      <c r="RC81" s="1004"/>
      <c r="RD81" s="1004"/>
      <c r="RE81" s="1004"/>
      <c r="RF81" s="1004"/>
      <c r="RG81" s="1004"/>
      <c r="RH81" s="1004"/>
      <c r="RI81" s="1004"/>
      <c r="RJ81" s="1004"/>
      <c r="RK81" s="1004"/>
      <c r="RL81" s="1004"/>
      <c r="RM81" s="1004"/>
      <c r="RN81" s="1004"/>
      <c r="RO81" s="1004"/>
      <c r="RP81" s="1004"/>
      <c r="RQ81" s="1004"/>
      <c r="RR81" s="1004"/>
      <c r="RS81" s="1004"/>
      <c r="RT81" s="1004"/>
      <c r="RU81" s="1004"/>
      <c r="RV81" s="1004"/>
      <c r="RW81" s="1004"/>
      <c r="RX81" s="1004"/>
      <c r="RY81" s="1004"/>
      <c r="RZ81" s="1004"/>
      <c r="SA81" s="1004"/>
      <c r="SB81" s="1004"/>
      <c r="SC81" s="1004"/>
      <c r="SD81" s="1004"/>
      <c r="SE81" s="1004"/>
      <c r="SF81" s="1004"/>
      <c r="SG81" s="1004"/>
      <c r="SH81" s="1004"/>
      <c r="SI81" s="1004"/>
      <c r="SJ81" s="1004"/>
      <c r="SK81" s="1004"/>
      <c r="SL81" s="1004"/>
      <c r="SM81" s="1004"/>
      <c r="SN81" s="1004"/>
      <c r="SO81" s="1004"/>
      <c r="SP81" s="1004"/>
      <c r="SQ81" s="1004"/>
      <c r="SR81" s="1004"/>
      <c r="SS81" s="1004"/>
      <c r="ST81" s="1004"/>
      <c r="SU81" s="1004"/>
      <c r="SV81" s="1004"/>
      <c r="SW81" s="1004"/>
      <c r="SX81" s="1004"/>
      <c r="SY81" s="1004"/>
      <c r="SZ81" s="1004"/>
      <c r="TA81" s="1004"/>
      <c r="TB81" s="1004"/>
      <c r="TC81" s="1004"/>
      <c r="TD81" s="1004"/>
      <c r="TE81" s="1004"/>
      <c r="TF81" s="1004"/>
      <c r="TG81" s="1004"/>
      <c r="TH81" s="1004"/>
      <c r="TI81" s="1004"/>
      <c r="TJ81" s="1004"/>
      <c r="TK81" s="1004"/>
      <c r="TL81" s="1004"/>
      <c r="TM81" s="1004"/>
      <c r="TN81" s="1004"/>
      <c r="TO81" s="1004"/>
      <c r="TP81" s="1004"/>
      <c r="TQ81" s="1004"/>
      <c r="TR81" s="1004"/>
      <c r="TS81" s="1004"/>
      <c r="TT81" s="1004"/>
      <c r="TU81" s="1004"/>
      <c r="TV81" s="1004"/>
      <c r="TW81" s="1004"/>
      <c r="TX81" s="1004"/>
      <c r="TY81" s="1004"/>
      <c r="TZ81" s="1004"/>
      <c r="UA81" s="1004"/>
      <c r="UB81" s="1004"/>
      <c r="UC81" s="1004"/>
      <c r="UD81" s="1004"/>
      <c r="UE81" s="1004"/>
      <c r="UF81" s="1004"/>
      <c r="UG81" s="1004"/>
      <c r="UH81" s="1004"/>
      <c r="UI81" s="1004"/>
      <c r="UJ81" s="1004"/>
      <c r="UK81" s="1004"/>
      <c r="UL81" s="1004"/>
      <c r="UM81" s="1004"/>
      <c r="UN81" s="1004"/>
      <c r="UO81" s="1004"/>
      <c r="UP81" s="1004"/>
      <c r="UQ81" s="1004"/>
      <c r="UR81" s="1004"/>
      <c r="US81" s="1004"/>
      <c r="UT81" s="1004"/>
      <c r="UU81" s="1004"/>
      <c r="UV81" s="1004"/>
      <c r="UW81" s="1004"/>
      <c r="UX81" s="1004"/>
      <c r="UY81" s="1004"/>
      <c r="UZ81" s="1004"/>
      <c r="VA81" s="1004"/>
      <c r="VB81" s="1004"/>
      <c r="VC81" s="1004"/>
      <c r="VD81" s="1004"/>
      <c r="VE81" s="1004"/>
      <c r="VF81" s="1004"/>
      <c r="VG81" s="1004"/>
      <c r="VH81" s="1004"/>
      <c r="VI81" s="1004"/>
      <c r="VJ81" s="1004"/>
      <c r="VK81" s="1004"/>
      <c r="VL81" s="1004"/>
      <c r="VM81" s="1004"/>
      <c r="VN81" s="1004"/>
      <c r="VO81" s="1004"/>
      <c r="VP81" s="1004"/>
      <c r="VQ81" s="1004"/>
      <c r="VR81" s="1004"/>
      <c r="VS81" s="1004"/>
      <c r="VT81" s="1004"/>
      <c r="VU81" s="1004"/>
      <c r="VV81" s="1004"/>
      <c r="VW81" s="1004"/>
      <c r="VX81" s="1004"/>
      <c r="VY81" s="1004"/>
      <c r="VZ81" s="1004"/>
      <c r="WA81" s="1004"/>
      <c r="WB81" s="1004"/>
      <c r="WC81" s="1004"/>
      <c r="WD81" s="1004"/>
      <c r="WE81" s="1004"/>
      <c r="WF81" s="1004"/>
      <c r="WG81" s="1004"/>
      <c r="WH81" s="1004"/>
      <c r="WI81" s="1004"/>
      <c r="WJ81" s="1004"/>
      <c r="WK81" s="1004"/>
      <c r="WL81" s="1004"/>
      <c r="WM81" s="1004"/>
      <c r="WN81" s="1004"/>
      <c r="WO81" s="1004"/>
      <c r="WP81" s="1004"/>
      <c r="WQ81" s="1004"/>
      <c r="WR81" s="1004"/>
      <c r="WS81" s="1004"/>
      <c r="WT81" s="1004"/>
      <c r="WU81" s="1004"/>
      <c r="WV81" s="1004"/>
      <c r="WW81" s="1004"/>
      <c r="WX81" s="1004"/>
      <c r="WY81" s="1004"/>
      <c r="WZ81" s="1004"/>
      <c r="XA81" s="1004"/>
      <c r="XB81" s="1004"/>
      <c r="XC81" s="1004"/>
      <c r="XD81" s="1004"/>
      <c r="XE81" s="1004"/>
      <c r="XF81" s="1004"/>
      <c r="XG81" s="1004"/>
      <c r="XH81" s="1004"/>
      <c r="XI81" s="1004"/>
      <c r="XJ81" s="1004"/>
      <c r="XK81" s="1004"/>
      <c r="XL81" s="1004"/>
      <c r="XM81" s="1004"/>
      <c r="XN81" s="1004"/>
      <c r="XO81" s="1004"/>
      <c r="XP81" s="1004"/>
      <c r="XQ81" s="1004"/>
      <c r="XR81" s="1004"/>
      <c r="XS81" s="1004"/>
      <c r="XT81" s="1004"/>
      <c r="XU81" s="1004"/>
      <c r="XV81" s="1004"/>
      <c r="XW81" s="1004"/>
      <c r="XX81" s="1004"/>
      <c r="XY81" s="1004"/>
      <c r="XZ81" s="1004"/>
      <c r="YA81" s="1004"/>
      <c r="YB81" s="1004"/>
      <c r="YC81" s="1004"/>
      <c r="YD81" s="1004"/>
      <c r="YE81" s="1004"/>
      <c r="YF81" s="1004"/>
      <c r="YG81" s="1004"/>
      <c r="YH81" s="1004"/>
      <c r="YI81" s="1004"/>
      <c r="YJ81" s="1004"/>
      <c r="YK81" s="1004"/>
      <c r="YL81" s="1004"/>
      <c r="YM81" s="1004"/>
      <c r="YN81" s="1004"/>
      <c r="YO81" s="1004"/>
      <c r="YP81" s="1004"/>
      <c r="YQ81" s="1004"/>
      <c r="YR81" s="1004"/>
      <c r="YS81" s="1004"/>
      <c r="YT81" s="1004"/>
      <c r="YU81" s="1004"/>
      <c r="YV81" s="1004"/>
      <c r="YW81" s="1004"/>
      <c r="YX81" s="1004"/>
      <c r="YY81" s="1004"/>
      <c r="YZ81" s="1004"/>
      <c r="ZA81" s="1004"/>
      <c r="ZB81" s="1004"/>
      <c r="ZC81" s="1004"/>
      <c r="ZD81" s="1004"/>
      <c r="ZE81" s="1004"/>
      <c r="ZF81" s="1004"/>
      <c r="ZG81" s="1004"/>
      <c r="ZH81" s="1004"/>
      <c r="ZI81" s="1004"/>
      <c r="ZJ81" s="1004"/>
      <c r="ZK81" s="1004"/>
      <c r="ZL81" s="1004"/>
      <c r="ZM81" s="1004"/>
      <c r="ZN81" s="1004"/>
      <c r="ZO81" s="1004"/>
      <c r="ZP81" s="1004"/>
      <c r="ZQ81" s="1004"/>
      <c r="ZR81" s="1004"/>
      <c r="ZS81" s="1004"/>
      <c r="ZT81" s="1004"/>
      <c r="ZU81" s="1004"/>
      <c r="ZV81" s="1004"/>
      <c r="ZW81" s="1004"/>
      <c r="ZX81" s="1004"/>
      <c r="ZY81" s="1004"/>
      <c r="ZZ81" s="1004"/>
      <c r="AAA81" s="1004"/>
      <c r="AAB81" s="1004"/>
      <c r="AAC81" s="1004"/>
      <c r="AAD81" s="1004"/>
      <c r="AAE81" s="1004"/>
      <c r="AAF81" s="1004"/>
      <c r="AAG81" s="1004"/>
      <c r="AAH81" s="1004"/>
      <c r="AAI81" s="1004"/>
      <c r="AAJ81" s="1004"/>
      <c r="AAK81" s="1004"/>
      <c r="AAL81" s="1004"/>
      <c r="AAM81" s="1004"/>
      <c r="AAN81" s="1004"/>
      <c r="AAO81" s="1004"/>
      <c r="AAP81" s="1004"/>
      <c r="AAQ81" s="1004"/>
      <c r="AAR81" s="1004"/>
      <c r="AAS81" s="1004"/>
      <c r="AAT81" s="1004"/>
      <c r="AAU81" s="1004"/>
      <c r="AAV81" s="1004"/>
      <c r="AAW81" s="1004"/>
      <c r="AAX81" s="1004"/>
      <c r="AAY81" s="1004"/>
      <c r="AAZ81" s="1004"/>
      <c r="ABA81" s="1004"/>
      <c r="ABB81" s="1004"/>
      <c r="ABC81" s="1004"/>
      <c r="ABD81" s="1004"/>
      <c r="ABE81" s="1004"/>
      <c r="ABF81" s="1004"/>
      <c r="ABG81" s="1004"/>
      <c r="ABH81" s="1004"/>
      <c r="ABI81" s="1004"/>
      <c r="ABJ81" s="1004"/>
      <c r="ABK81" s="1004"/>
      <c r="ABL81" s="1004"/>
      <c r="ABM81" s="1004"/>
      <c r="ABN81" s="1004"/>
      <c r="ABO81" s="1004"/>
      <c r="ABP81" s="1004"/>
      <c r="ABQ81" s="1004"/>
      <c r="ABR81" s="1004"/>
    </row>
    <row r="82" spans="1:746" s="1" customFormat="1" ht="12.75" customHeight="1">
      <c r="A82" s="924"/>
      <c r="B82" s="547" t="s">
        <v>180</v>
      </c>
      <c r="C82" s="548"/>
      <c r="D82" s="548"/>
      <c r="E82" s="548"/>
      <c r="F82" s="548"/>
      <c r="G82" s="548"/>
      <c r="H82" s="548"/>
      <c r="I82" s="2579" t="str">
        <f>IF(AND(fx!$C$57=2,$L$4&lt;7),"Välj startmånad 7-12","")</f>
        <v/>
      </c>
      <c r="J82" s="184"/>
      <c r="K82" s="184"/>
      <c r="L82" s="184"/>
      <c r="M82" s="184"/>
      <c r="N82" s="184"/>
      <c r="O82" s="184"/>
      <c r="P82" s="184"/>
      <c r="Q82" s="184"/>
      <c r="R82" s="184"/>
      <c r="S82" s="184"/>
      <c r="T82" s="977"/>
      <c r="U82" s="976"/>
      <c r="V82" s="183" t="str">
        <f>IF(AND(fx!$C$57=2,$L$4&lt;7),"Välj startmånad 7-12","")</f>
        <v/>
      </c>
      <c r="W82" s="184"/>
      <c r="X82" s="184"/>
      <c r="Y82" s="184"/>
      <c r="Z82" s="184"/>
      <c r="AA82" s="184"/>
      <c r="AB82" s="184"/>
      <c r="AC82" s="184"/>
      <c r="AD82" s="184"/>
      <c r="AE82" s="184"/>
      <c r="AF82" s="185"/>
      <c r="AG82" s="2213"/>
      <c r="AH82" s="5"/>
      <c r="AI82" s="5"/>
      <c r="AJ82" s="1045"/>
      <c r="AK82" s="1045"/>
      <c r="AL82" s="1045"/>
      <c r="AM82" s="1019"/>
      <c r="AN82" s="1018"/>
      <c r="AO82" s="1945"/>
      <c r="AP82" s="1935"/>
      <c r="AQ82" s="1936"/>
      <c r="AR82" s="1941"/>
      <c r="AS82" s="1941"/>
      <c r="AT82" s="1941"/>
      <c r="AU82" s="1941"/>
      <c r="AV82" s="1941"/>
      <c r="AW82" s="1941"/>
      <c r="AX82" s="1941"/>
      <c r="AY82" s="1941"/>
      <c r="AZ82" s="1941"/>
      <c r="BA82" s="1941"/>
      <c r="BB82" s="1941"/>
      <c r="BC82" s="1941"/>
      <c r="BD82" s="1941"/>
      <c r="BE82" s="1941"/>
      <c r="BF82" s="1941"/>
      <c r="BG82" s="1941"/>
      <c r="BH82" s="1941"/>
      <c r="BI82" s="1941"/>
      <c r="BJ82" s="1941"/>
      <c r="BK82" s="1941"/>
      <c r="BL82" s="1941"/>
      <c r="BM82" s="1941"/>
      <c r="BN82" s="1941"/>
      <c r="BO82" s="1941"/>
      <c r="BP82" s="1004"/>
      <c r="BQ82" s="1004"/>
      <c r="BR82" s="1004"/>
      <c r="BS82" s="1004"/>
      <c r="BT82" s="1004"/>
      <c r="BU82" s="1004"/>
      <c r="BV82" s="1004"/>
      <c r="BW82" s="1004"/>
      <c r="BX82" s="1004"/>
      <c r="BY82" s="1004"/>
      <c r="BZ82" s="1004"/>
      <c r="CA82" s="1004"/>
      <c r="CB82" s="1004"/>
      <c r="CC82" s="1004"/>
      <c r="CD82" s="1004"/>
      <c r="CE82" s="1004"/>
      <c r="CF82" s="1004"/>
      <c r="CG82" s="1004"/>
      <c r="CH82" s="1004"/>
      <c r="CI82" s="1004"/>
      <c r="CJ82" s="1004"/>
      <c r="CK82" s="1004"/>
      <c r="CL82" s="1004"/>
      <c r="CM82" s="1004"/>
      <c r="CN82" s="1004"/>
      <c r="CO82" s="1004"/>
      <c r="CP82" s="1004"/>
      <c r="CQ82" s="1004"/>
      <c r="CR82" s="1004"/>
      <c r="CS82" s="1004"/>
      <c r="CT82" s="1004"/>
      <c r="CU82" s="1004"/>
      <c r="CV82" s="1004"/>
      <c r="CW82" s="1004"/>
      <c r="CX82" s="1004"/>
      <c r="CY82" s="1004"/>
      <c r="CZ82" s="1004"/>
      <c r="DA82" s="1004"/>
      <c r="DB82" s="1004"/>
      <c r="DC82" s="1004"/>
      <c r="DD82" s="1004"/>
      <c r="DE82" s="1004"/>
      <c r="DF82" s="1004"/>
      <c r="DG82" s="1004"/>
      <c r="DH82" s="1004"/>
      <c r="DI82" s="1004"/>
      <c r="DJ82" s="1004"/>
      <c r="DK82" s="1004"/>
      <c r="DL82" s="1004"/>
      <c r="DM82" s="1004"/>
      <c r="DN82" s="1004"/>
      <c r="DO82" s="1004"/>
      <c r="DP82" s="1004"/>
      <c r="DQ82" s="1004"/>
      <c r="DR82" s="1004"/>
      <c r="DS82" s="1004"/>
      <c r="DT82" s="1004"/>
      <c r="DU82" s="1004"/>
      <c r="DV82" s="1004"/>
      <c r="DW82" s="1004"/>
      <c r="DX82" s="1004"/>
      <c r="DY82" s="1004"/>
      <c r="DZ82" s="1004"/>
      <c r="EA82" s="1004"/>
      <c r="EB82" s="1004"/>
      <c r="EC82" s="1004"/>
      <c r="ED82" s="1004"/>
      <c r="EE82" s="1004"/>
      <c r="EF82" s="1004"/>
      <c r="EG82" s="1004"/>
      <c r="EH82" s="1004"/>
      <c r="EI82" s="1004"/>
      <c r="EJ82" s="1004"/>
      <c r="EK82" s="1004"/>
      <c r="EL82" s="1004"/>
      <c r="EM82" s="1004"/>
      <c r="EN82" s="1004"/>
      <c r="EO82" s="1004"/>
      <c r="EP82" s="1004"/>
      <c r="EQ82" s="1004"/>
      <c r="ER82" s="1004"/>
      <c r="ES82" s="1004"/>
      <c r="ET82" s="1004"/>
      <c r="EU82" s="1004"/>
      <c r="EV82" s="1004"/>
      <c r="EW82" s="1004"/>
      <c r="EX82" s="1004"/>
      <c r="EY82" s="1004"/>
      <c r="EZ82" s="1004"/>
      <c r="FA82" s="1004"/>
      <c r="FB82" s="1004"/>
      <c r="FC82" s="1004"/>
      <c r="FD82" s="1004"/>
      <c r="FE82" s="1004"/>
      <c r="FF82" s="1004"/>
      <c r="FG82" s="1004"/>
      <c r="FH82" s="1004"/>
      <c r="FI82" s="1004"/>
      <c r="FJ82" s="1004"/>
      <c r="FK82" s="1004"/>
      <c r="FL82" s="1004"/>
      <c r="FM82" s="1004"/>
      <c r="FN82" s="1004"/>
      <c r="FO82" s="1004"/>
      <c r="FP82" s="1004"/>
      <c r="FQ82" s="1004"/>
      <c r="FR82" s="1004"/>
      <c r="FS82" s="1004"/>
      <c r="FT82" s="1004"/>
      <c r="FU82" s="1004"/>
      <c r="FV82" s="1004"/>
      <c r="FW82" s="1004"/>
      <c r="FX82" s="1004"/>
      <c r="FY82" s="1004"/>
      <c r="FZ82" s="1004"/>
      <c r="GA82" s="1004"/>
      <c r="GB82" s="1004"/>
      <c r="GC82" s="1004"/>
      <c r="GD82" s="1004"/>
      <c r="GE82" s="1004"/>
      <c r="GF82" s="1004"/>
      <c r="GG82" s="1004"/>
      <c r="GH82" s="1004"/>
      <c r="GI82" s="1004"/>
      <c r="GJ82" s="1004"/>
      <c r="GK82" s="1004"/>
      <c r="GL82" s="1004"/>
      <c r="GM82" s="1004"/>
      <c r="GN82" s="1004"/>
      <c r="GO82" s="1004"/>
      <c r="GP82" s="1004"/>
      <c r="GQ82" s="1004"/>
      <c r="GR82" s="1004"/>
      <c r="GS82" s="1004"/>
      <c r="GT82" s="1004"/>
      <c r="GU82" s="1004"/>
      <c r="GV82" s="1004"/>
      <c r="GW82" s="1004"/>
      <c r="GX82" s="1004"/>
      <c r="GY82" s="1004"/>
      <c r="GZ82" s="1004"/>
      <c r="HA82" s="1004"/>
      <c r="HB82" s="1004"/>
      <c r="HC82" s="1004"/>
      <c r="HD82" s="1004"/>
      <c r="HE82" s="1004"/>
      <c r="HF82" s="1004"/>
      <c r="HG82" s="1004"/>
      <c r="HH82" s="1004"/>
      <c r="HI82" s="1004"/>
      <c r="HJ82" s="1004"/>
      <c r="HK82" s="1004"/>
      <c r="HL82" s="1004"/>
      <c r="HM82" s="1004"/>
      <c r="HN82" s="1004"/>
      <c r="HO82" s="1004"/>
      <c r="HP82" s="1004"/>
      <c r="HQ82" s="1004"/>
      <c r="HR82" s="1004"/>
      <c r="HS82" s="1004"/>
      <c r="HT82" s="1004"/>
      <c r="HU82" s="1004"/>
      <c r="HV82" s="1004"/>
      <c r="HW82" s="1004"/>
      <c r="HX82" s="1004"/>
      <c r="HY82" s="1004"/>
      <c r="HZ82" s="1004"/>
      <c r="IA82" s="1004"/>
      <c r="IB82" s="1004"/>
      <c r="IC82" s="1004"/>
      <c r="ID82" s="1004"/>
      <c r="IE82" s="1004"/>
      <c r="IF82" s="1004"/>
      <c r="IG82" s="1004"/>
      <c r="IH82" s="1004"/>
      <c r="II82" s="1004"/>
      <c r="IJ82" s="1004"/>
      <c r="IK82" s="1004"/>
      <c r="IL82" s="1004"/>
      <c r="IM82" s="1004"/>
      <c r="IN82" s="1004"/>
      <c r="IO82" s="1004"/>
      <c r="IP82" s="1004"/>
      <c r="IQ82" s="1004"/>
      <c r="IR82" s="1004"/>
      <c r="IS82" s="1004"/>
      <c r="IT82" s="1004"/>
      <c r="IU82" s="1004"/>
      <c r="IV82" s="1004"/>
      <c r="IW82" s="1004"/>
      <c r="IX82" s="1004"/>
      <c r="IY82" s="1004"/>
      <c r="IZ82" s="1004"/>
      <c r="JA82" s="1004"/>
      <c r="JB82" s="1004"/>
      <c r="JC82" s="1004"/>
      <c r="JD82" s="1004"/>
      <c r="JE82" s="1004"/>
      <c r="JF82" s="1004"/>
      <c r="JG82" s="1004"/>
      <c r="JH82" s="1004"/>
      <c r="JI82" s="1004"/>
      <c r="JJ82" s="1004"/>
      <c r="JK82" s="1004"/>
      <c r="JL82" s="1004"/>
      <c r="JM82" s="1004"/>
      <c r="JN82" s="1004"/>
      <c r="JO82" s="1004"/>
      <c r="JP82" s="1004"/>
      <c r="JQ82" s="1004"/>
      <c r="JR82" s="1004"/>
      <c r="JS82" s="1004"/>
      <c r="JT82" s="1004"/>
      <c r="JU82" s="1004"/>
      <c r="JV82" s="1004"/>
      <c r="JW82" s="1004"/>
      <c r="JX82" s="1004"/>
      <c r="JY82" s="1004"/>
      <c r="JZ82" s="1004"/>
      <c r="KA82" s="1004"/>
      <c r="KB82" s="1004"/>
      <c r="KC82" s="1004"/>
      <c r="KD82" s="1004"/>
      <c r="KE82" s="1004"/>
      <c r="KF82" s="1004"/>
      <c r="KG82" s="1004"/>
      <c r="KH82" s="1004"/>
      <c r="KI82" s="1004"/>
      <c r="KJ82" s="1004"/>
      <c r="KK82" s="1004"/>
      <c r="KL82" s="1004"/>
      <c r="KM82" s="1004"/>
      <c r="KN82" s="1004"/>
      <c r="KO82" s="1004"/>
      <c r="KP82" s="1004"/>
      <c r="KQ82" s="1004"/>
      <c r="KR82" s="1004"/>
      <c r="KS82" s="1004"/>
      <c r="KT82" s="1004"/>
      <c r="KU82" s="1004"/>
      <c r="KV82" s="1004"/>
      <c r="KW82" s="1004"/>
      <c r="KX82" s="1004"/>
      <c r="KY82" s="1004"/>
      <c r="KZ82" s="1004"/>
      <c r="LA82" s="1004"/>
      <c r="LB82" s="1004"/>
      <c r="LC82" s="1004"/>
      <c r="LD82" s="1004"/>
      <c r="LE82" s="1004"/>
      <c r="LF82" s="1004"/>
      <c r="LG82" s="1004"/>
      <c r="LH82" s="1004"/>
      <c r="LI82" s="1004"/>
      <c r="LJ82" s="1004"/>
      <c r="LK82" s="1004"/>
      <c r="LL82" s="1004"/>
      <c r="LM82" s="1004"/>
      <c r="LN82" s="1004"/>
      <c r="LO82" s="1004"/>
      <c r="LP82" s="1004"/>
      <c r="LQ82" s="1004"/>
      <c r="LR82" s="1004"/>
      <c r="LS82" s="1004"/>
      <c r="LT82" s="1004"/>
      <c r="LU82" s="1004"/>
      <c r="LV82" s="1004"/>
      <c r="LW82" s="1004"/>
      <c r="LX82" s="1004"/>
      <c r="LY82" s="1004"/>
      <c r="LZ82" s="1004"/>
      <c r="MA82" s="1004"/>
      <c r="MB82" s="1004"/>
      <c r="MC82" s="1004"/>
      <c r="MD82" s="1004"/>
      <c r="ME82" s="1004"/>
      <c r="MF82" s="1004"/>
      <c r="MG82" s="1004"/>
      <c r="MH82" s="1004"/>
      <c r="MI82" s="1004"/>
      <c r="MJ82" s="1004"/>
      <c r="MK82" s="1004"/>
      <c r="ML82" s="1004"/>
      <c r="MM82" s="1004"/>
      <c r="MN82" s="1004"/>
      <c r="MO82" s="1004"/>
      <c r="MP82" s="1004"/>
      <c r="MQ82" s="1004"/>
      <c r="MR82" s="1004"/>
      <c r="MS82" s="1004"/>
      <c r="MT82" s="1004"/>
      <c r="MU82" s="1004"/>
      <c r="MV82" s="1004"/>
      <c r="MW82" s="1004"/>
      <c r="MX82" s="1004"/>
      <c r="MY82" s="1004"/>
      <c r="MZ82" s="1004"/>
      <c r="NA82" s="1004"/>
      <c r="NB82" s="1004"/>
      <c r="NC82" s="1004"/>
      <c r="ND82" s="1004"/>
      <c r="NE82" s="1004"/>
      <c r="NF82" s="1004"/>
      <c r="NG82" s="1004"/>
      <c r="NH82" s="1004"/>
      <c r="NI82" s="1004"/>
      <c r="NJ82" s="1004"/>
      <c r="NK82" s="1004"/>
      <c r="NL82" s="1004"/>
      <c r="NM82" s="1004"/>
      <c r="NN82" s="1004"/>
      <c r="NO82" s="1004"/>
      <c r="NP82" s="1004"/>
      <c r="NQ82" s="1004"/>
      <c r="NR82" s="1004"/>
      <c r="NS82" s="1004"/>
      <c r="NT82" s="1004"/>
      <c r="NU82" s="1004"/>
      <c r="NV82" s="1004"/>
      <c r="NW82" s="1004"/>
      <c r="NX82" s="1004"/>
      <c r="NY82" s="1004"/>
      <c r="NZ82" s="1004"/>
      <c r="OA82" s="1004"/>
      <c r="OB82" s="1004"/>
      <c r="OC82" s="1004"/>
      <c r="OD82" s="1004"/>
      <c r="OE82" s="1004"/>
      <c r="OF82" s="1004"/>
      <c r="OG82" s="1004"/>
      <c r="OH82" s="1004"/>
      <c r="OI82" s="1004"/>
      <c r="OJ82" s="1004"/>
      <c r="OK82" s="1004"/>
      <c r="OL82" s="1004"/>
      <c r="OM82" s="1004"/>
      <c r="ON82" s="1004"/>
      <c r="OO82" s="1004"/>
      <c r="OP82" s="1004"/>
      <c r="OQ82" s="1004"/>
      <c r="OR82" s="1004"/>
      <c r="OS82" s="1004"/>
      <c r="OT82" s="1004"/>
      <c r="OU82" s="1004"/>
      <c r="OV82" s="1004"/>
      <c r="OW82" s="1004"/>
      <c r="OX82" s="1004"/>
      <c r="OY82" s="1004"/>
      <c r="OZ82" s="1004"/>
      <c r="PA82" s="1004"/>
      <c r="PB82" s="1004"/>
      <c r="PC82" s="1004"/>
      <c r="PD82" s="1004"/>
      <c r="PE82" s="1004"/>
      <c r="PF82" s="1004"/>
      <c r="PG82" s="1004"/>
      <c r="PH82" s="1004"/>
      <c r="PI82" s="1004"/>
      <c r="PJ82" s="1004"/>
      <c r="PK82" s="1004"/>
      <c r="PL82" s="1004"/>
      <c r="PM82" s="1004"/>
      <c r="PN82" s="1004"/>
      <c r="PO82" s="1004"/>
      <c r="PP82" s="1004"/>
      <c r="PQ82" s="1004"/>
      <c r="PR82" s="1004"/>
      <c r="PS82" s="1004"/>
      <c r="PT82" s="1004"/>
      <c r="PU82" s="1004"/>
      <c r="PV82" s="1004"/>
      <c r="PW82" s="1004"/>
      <c r="PX82" s="1004"/>
      <c r="PY82" s="1004"/>
      <c r="PZ82" s="1004"/>
      <c r="QA82" s="1004"/>
      <c r="QB82" s="1004"/>
      <c r="QC82" s="1004"/>
      <c r="QD82" s="1004"/>
      <c r="QE82" s="1004"/>
      <c r="QF82" s="1004"/>
      <c r="QG82" s="1004"/>
      <c r="QH82" s="1004"/>
      <c r="QI82" s="1004"/>
      <c r="QJ82" s="1004"/>
      <c r="QK82" s="1004"/>
      <c r="QL82" s="1004"/>
      <c r="QM82" s="1004"/>
      <c r="QN82" s="1004"/>
      <c r="QO82" s="1004"/>
      <c r="QP82" s="1004"/>
      <c r="QQ82" s="1004"/>
      <c r="QR82" s="1004"/>
      <c r="QS82" s="1004"/>
      <c r="QT82" s="1004"/>
      <c r="QU82" s="1004"/>
      <c r="QV82" s="1004"/>
      <c r="QW82" s="1004"/>
      <c r="QX82" s="1004"/>
      <c r="QY82" s="1004"/>
      <c r="QZ82" s="1004"/>
      <c r="RA82" s="1004"/>
      <c r="RB82" s="1004"/>
      <c r="RC82" s="1004"/>
      <c r="RD82" s="1004"/>
      <c r="RE82" s="1004"/>
      <c r="RF82" s="1004"/>
      <c r="RG82" s="1004"/>
      <c r="RH82" s="1004"/>
      <c r="RI82" s="1004"/>
      <c r="RJ82" s="1004"/>
      <c r="RK82" s="1004"/>
      <c r="RL82" s="1004"/>
      <c r="RM82" s="1004"/>
      <c r="RN82" s="1004"/>
      <c r="RO82" s="1004"/>
      <c r="RP82" s="1004"/>
      <c r="RQ82" s="1004"/>
      <c r="RR82" s="1004"/>
      <c r="RS82" s="1004"/>
      <c r="RT82" s="1004"/>
      <c r="RU82" s="1004"/>
      <c r="RV82" s="1004"/>
      <c r="RW82" s="1004"/>
      <c r="RX82" s="1004"/>
      <c r="RY82" s="1004"/>
      <c r="RZ82" s="1004"/>
      <c r="SA82" s="1004"/>
      <c r="SB82" s="1004"/>
      <c r="SC82" s="1004"/>
      <c r="SD82" s="1004"/>
      <c r="SE82" s="1004"/>
      <c r="SF82" s="1004"/>
      <c r="SG82" s="1004"/>
      <c r="SH82" s="1004"/>
      <c r="SI82" s="1004"/>
      <c r="SJ82" s="1004"/>
      <c r="SK82" s="1004"/>
      <c r="SL82" s="1004"/>
      <c r="SM82" s="1004"/>
      <c r="SN82" s="1004"/>
      <c r="SO82" s="1004"/>
      <c r="SP82" s="1004"/>
      <c r="SQ82" s="1004"/>
      <c r="SR82" s="1004"/>
      <c r="SS82" s="1004"/>
      <c r="ST82" s="1004"/>
      <c r="SU82" s="1004"/>
      <c r="SV82" s="1004"/>
      <c r="SW82" s="1004"/>
      <c r="SX82" s="1004"/>
      <c r="SY82" s="1004"/>
      <c r="SZ82" s="1004"/>
      <c r="TA82" s="1004"/>
      <c r="TB82" s="1004"/>
      <c r="TC82" s="1004"/>
      <c r="TD82" s="1004"/>
      <c r="TE82" s="1004"/>
      <c r="TF82" s="1004"/>
      <c r="TG82" s="1004"/>
      <c r="TH82" s="1004"/>
      <c r="TI82" s="1004"/>
      <c r="TJ82" s="1004"/>
      <c r="TK82" s="1004"/>
      <c r="TL82" s="1004"/>
      <c r="TM82" s="1004"/>
      <c r="TN82" s="1004"/>
      <c r="TO82" s="1004"/>
      <c r="TP82" s="1004"/>
      <c r="TQ82" s="1004"/>
      <c r="TR82" s="1004"/>
      <c r="TS82" s="1004"/>
      <c r="TT82" s="1004"/>
      <c r="TU82" s="1004"/>
      <c r="TV82" s="1004"/>
      <c r="TW82" s="1004"/>
      <c r="TX82" s="1004"/>
      <c r="TY82" s="1004"/>
      <c r="TZ82" s="1004"/>
      <c r="UA82" s="1004"/>
      <c r="UB82" s="1004"/>
      <c r="UC82" s="1004"/>
      <c r="UD82" s="1004"/>
      <c r="UE82" s="1004"/>
      <c r="UF82" s="1004"/>
      <c r="UG82" s="1004"/>
      <c r="UH82" s="1004"/>
      <c r="UI82" s="1004"/>
      <c r="UJ82" s="1004"/>
      <c r="UK82" s="1004"/>
      <c r="UL82" s="1004"/>
      <c r="UM82" s="1004"/>
      <c r="UN82" s="1004"/>
      <c r="UO82" s="1004"/>
      <c r="UP82" s="1004"/>
      <c r="UQ82" s="1004"/>
      <c r="UR82" s="1004"/>
      <c r="US82" s="1004"/>
      <c r="UT82" s="1004"/>
      <c r="UU82" s="1004"/>
      <c r="UV82" s="1004"/>
      <c r="UW82" s="1004"/>
      <c r="UX82" s="1004"/>
      <c r="UY82" s="1004"/>
      <c r="UZ82" s="1004"/>
      <c r="VA82" s="1004"/>
      <c r="VB82" s="1004"/>
      <c r="VC82" s="1004"/>
      <c r="VD82" s="1004"/>
      <c r="VE82" s="1004"/>
      <c r="VF82" s="1004"/>
      <c r="VG82" s="1004"/>
      <c r="VH82" s="1004"/>
      <c r="VI82" s="1004"/>
      <c r="VJ82" s="1004"/>
      <c r="VK82" s="1004"/>
      <c r="VL82" s="1004"/>
      <c r="VM82" s="1004"/>
      <c r="VN82" s="1004"/>
      <c r="VO82" s="1004"/>
      <c r="VP82" s="1004"/>
      <c r="VQ82" s="1004"/>
      <c r="VR82" s="1004"/>
      <c r="VS82" s="1004"/>
      <c r="VT82" s="1004"/>
      <c r="VU82" s="1004"/>
      <c r="VV82" s="1004"/>
      <c r="VW82" s="1004"/>
      <c r="VX82" s="1004"/>
      <c r="VY82" s="1004"/>
      <c r="VZ82" s="1004"/>
      <c r="WA82" s="1004"/>
      <c r="WB82" s="1004"/>
      <c r="WC82" s="1004"/>
      <c r="WD82" s="1004"/>
      <c r="WE82" s="1004"/>
      <c r="WF82" s="1004"/>
      <c r="WG82" s="1004"/>
      <c r="WH82" s="1004"/>
      <c r="WI82" s="1004"/>
      <c r="WJ82" s="1004"/>
      <c r="WK82" s="1004"/>
      <c r="WL82" s="1004"/>
      <c r="WM82" s="1004"/>
      <c r="WN82" s="1004"/>
      <c r="WO82" s="1004"/>
      <c r="WP82" s="1004"/>
      <c r="WQ82" s="1004"/>
      <c r="WR82" s="1004"/>
      <c r="WS82" s="1004"/>
      <c r="WT82" s="1004"/>
      <c r="WU82" s="1004"/>
      <c r="WV82" s="1004"/>
      <c r="WW82" s="1004"/>
      <c r="WX82" s="1004"/>
      <c r="WY82" s="1004"/>
      <c r="WZ82" s="1004"/>
      <c r="XA82" s="1004"/>
      <c r="XB82" s="1004"/>
      <c r="XC82" s="1004"/>
      <c r="XD82" s="1004"/>
      <c r="XE82" s="1004"/>
      <c r="XF82" s="1004"/>
      <c r="XG82" s="1004"/>
      <c r="XH82" s="1004"/>
      <c r="XI82" s="1004"/>
      <c r="XJ82" s="1004"/>
      <c r="XK82" s="1004"/>
      <c r="XL82" s="1004"/>
      <c r="XM82" s="1004"/>
      <c r="XN82" s="1004"/>
      <c r="XO82" s="1004"/>
      <c r="XP82" s="1004"/>
      <c r="XQ82" s="1004"/>
      <c r="XR82" s="1004"/>
      <c r="XS82" s="1004"/>
      <c r="XT82" s="1004"/>
      <c r="XU82" s="1004"/>
      <c r="XV82" s="1004"/>
      <c r="XW82" s="1004"/>
      <c r="XX82" s="1004"/>
      <c r="XY82" s="1004"/>
      <c r="XZ82" s="1004"/>
      <c r="YA82" s="1004"/>
      <c r="YB82" s="1004"/>
      <c r="YC82" s="1004"/>
      <c r="YD82" s="1004"/>
      <c r="YE82" s="1004"/>
      <c r="YF82" s="1004"/>
      <c r="YG82" s="1004"/>
      <c r="YH82" s="1004"/>
      <c r="YI82" s="1004"/>
      <c r="YJ82" s="1004"/>
      <c r="YK82" s="1004"/>
      <c r="YL82" s="1004"/>
      <c r="YM82" s="1004"/>
      <c r="YN82" s="1004"/>
      <c r="YO82" s="1004"/>
      <c r="YP82" s="1004"/>
      <c r="YQ82" s="1004"/>
      <c r="YR82" s="1004"/>
      <c r="YS82" s="1004"/>
      <c r="YT82" s="1004"/>
      <c r="YU82" s="1004"/>
      <c r="YV82" s="1004"/>
      <c r="YW82" s="1004"/>
      <c r="YX82" s="1004"/>
      <c r="YY82" s="1004"/>
      <c r="YZ82" s="1004"/>
      <c r="ZA82" s="1004"/>
      <c r="ZB82" s="1004"/>
      <c r="ZC82" s="1004"/>
      <c r="ZD82" s="1004"/>
      <c r="ZE82" s="1004"/>
      <c r="ZF82" s="1004"/>
      <c r="ZG82" s="1004"/>
      <c r="ZH82" s="1004"/>
      <c r="ZI82" s="1004"/>
      <c r="ZJ82" s="1004"/>
      <c r="ZK82" s="1004"/>
      <c r="ZL82" s="1004"/>
      <c r="ZM82" s="1004"/>
      <c r="ZN82" s="1004"/>
      <c r="ZO82" s="1004"/>
      <c r="ZP82" s="1004"/>
      <c r="ZQ82" s="1004"/>
      <c r="ZR82" s="1004"/>
      <c r="ZS82" s="1004"/>
      <c r="ZT82" s="1004"/>
      <c r="ZU82" s="1004"/>
      <c r="ZV82" s="1004"/>
      <c r="ZW82" s="1004"/>
      <c r="ZX82" s="1004"/>
      <c r="ZY82" s="1004"/>
      <c r="ZZ82" s="1004"/>
      <c r="AAA82" s="1004"/>
      <c r="AAB82" s="1004"/>
      <c r="AAC82" s="1004"/>
      <c r="AAD82" s="1004"/>
      <c r="AAE82" s="1004"/>
      <c r="AAF82" s="1004"/>
      <c r="AAG82" s="1004"/>
      <c r="AAH82" s="1004"/>
      <c r="AAI82" s="1004"/>
      <c r="AAJ82" s="1004"/>
      <c r="AAK82" s="1004"/>
      <c r="AAL82" s="1004"/>
      <c r="AAM82" s="1004"/>
      <c r="AAN82" s="1004"/>
      <c r="AAO82" s="1004"/>
      <c r="AAP82" s="1004"/>
      <c r="AAQ82" s="1004"/>
      <c r="AAR82" s="1004"/>
      <c r="AAS82" s="1004"/>
      <c r="AAT82" s="1004"/>
      <c r="AAU82" s="1004"/>
      <c r="AAV82" s="1004"/>
      <c r="AAW82" s="1004"/>
      <c r="AAX82" s="1004"/>
      <c r="AAY82" s="1004"/>
      <c r="AAZ82" s="1004"/>
      <c r="ABA82" s="1004"/>
      <c r="ABB82" s="1004"/>
      <c r="ABC82" s="1004"/>
      <c r="ABD82" s="1004"/>
      <c r="ABE82" s="1004"/>
      <c r="ABF82" s="1004"/>
      <c r="ABG82" s="1004"/>
      <c r="ABH82" s="1004"/>
      <c r="ABI82" s="1004"/>
      <c r="ABJ82" s="1004"/>
      <c r="ABK82" s="1004"/>
      <c r="ABL82" s="1004"/>
      <c r="ABM82" s="1004"/>
      <c r="ABN82" s="1004"/>
      <c r="ABO82" s="1004"/>
      <c r="ABP82" s="1004"/>
      <c r="ABQ82" s="1004"/>
      <c r="ABR82" s="1004"/>
    </row>
    <row r="83" spans="1:746" s="1" customFormat="1" ht="12.75" customHeight="1">
      <c r="A83" s="924"/>
      <c r="B83" s="549" t="s">
        <v>202</v>
      </c>
      <c r="C83" s="550"/>
      <c r="D83" s="551"/>
      <c r="E83" s="552"/>
      <c r="F83" s="553"/>
      <c r="G83" s="552"/>
      <c r="H83" s="552"/>
      <c r="I83" s="181">
        <f>I59</f>
        <v>0</v>
      </c>
      <c r="J83" s="186">
        <f t="shared" ref="J83:AF83" si="6">J59</f>
        <v>0</v>
      </c>
      <c r="K83" s="186">
        <f t="shared" si="6"/>
        <v>0</v>
      </c>
      <c r="L83" s="186">
        <f t="shared" si="6"/>
        <v>0</v>
      </c>
      <c r="M83" s="186">
        <f t="shared" si="6"/>
        <v>0</v>
      </c>
      <c r="N83" s="186">
        <f t="shared" si="6"/>
        <v>0</v>
      </c>
      <c r="O83" s="186">
        <f t="shared" si="6"/>
        <v>0</v>
      </c>
      <c r="P83" s="186">
        <f t="shared" si="6"/>
        <v>0</v>
      </c>
      <c r="Q83" s="186">
        <f t="shared" si="6"/>
        <v>0</v>
      </c>
      <c r="R83" s="186">
        <f t="shared" si="6"/>
        <v>0</v>
      </c>
      <c r="S83" s="186">
        <f t="shared" si="6"/>
        <v>0</v>
      </c>
      <c r="T83" s="186">
        <f t="shared" si="6"/>
        <v>0</v>
      </c>
      <c r="U83" s="186">
        <f t="shared" si="6"/>
        <v>0</v>
      </c>
      <c r="V83" s="186">
        <f t="shared" si="6"/>
        <v>0</v>
      </c>
      <c r="W83" s="186">
        <f t="shared" si="6"/>
        <v>0</v>
      </c>
      <c r="X83" s="186">
        <f t="shared" si="6"/>
        <v>0</v>
      </c>
      <c r="Y83" s="186">
        <f t="shared" si="6"/>
        <v>0</v>
      </c>
      <c r="Z83" s="186">
        <f t="shared" si="6"/>
        <v>0</v>
      </c>
      <c r="AA83" s="186">
        <f t="shared" si="6"/>
        <v>0</v>
      </c>
      <c r="AB83" s="186">
        <f t="shared" si="6"/>
        <v>0</v>
      </c>
      <c r="AC83" s="186">
        <f t="shared" si="6"/>
        <v>0</v>
      </c>
      <c r="AD83" s="186">
        <f t="shared" si="6"/>
        <v>0</v>
      </c>
      <c r="AE83" s="186">
        <f t="shared" si="6"/>
        <v>0</v>
      </c>
      <c r="AF83" s="186">
        <f t="shared" si="6"/>
        <v>0</v>
      </c>
      <c r="AG83" s="2210"/>
      <c r="AH83" s="5"/>
      <c r="AI83" s="5"/>
      <c r="AJ83" s="429">
        <f>IF(fx!C57=1,SUM(I83:T83),SUM(O83:AF83))</f>
        <v>0</v>
      </c>
      <c r="AK83" s="423"/>
      <c r="AL83" s="430">
        <f>IF(fx!C57=1,SUM(U83:AF83),0)</f>
        <v>0</v>
      </c>
      <c r="AM83" s="1019"/>
      <c r="AN83" s="1020"/>
      <c r="AO83" s="1945"/>
      <c r="AP83" s="1935"/>
      <c r="AQ83" s="1936"/>
      <c r="AR83" s="1941"/>
      <c r="AS83" s="1941"/>
      <c r="AT83" s="1941"/>
      <c r="AU83" s="1941"/>
      <c r="AV83" s="1941"/>
      <c r="AW83" s="1941"/>
      <c r="AX83" s="1941"/>
      <c r="AY83" s="1941"/>
      <c r="AZ83" s="1941"/>
      <c r="BA83" s="1941"/>
      <c r="BB83" s="1941"/>
      <c r="BC83" s="1941"/>
      <c r="BD83" s="1941"/>
      <c r="BE83" s="1941"/>
      <c r="BF83" s="1941"/>
      <c r="BG83" s="1941"/>
      <c r="BH83" s="1941"/>
      <c r="BI83" s="1941"/>
      <c r="BJ83" s="1941"/>
      <c r="BK83" s="1941"/>
      <c r="BL83" s="1941"/>
      <c r="BM83" s="1941"/>
      <c r="BN83" s="1941"/>
      <c r="BO83" s="1941"/>
      <c r="BP83" s="1004"/>
      <c r="BQ83" s="1004"/>
      <c r="BR83" s="1004"/>
      <c r="BS83" s="1004"/>
      <c r="BT83" s="1004"/>
      <c r="BU83" s="1004"/>
      <c r="BV83" s="1004"/>
      <c r="BW83" s="1004"/>
      <c r="BX83" s="1004"/>
      <c r="BY83" s="1004"/>
      <c r="BZ83" s="1004"/>
      <c r="CA83" s="1004"/>
      <c r="CB83" s="1004"/>
      <c r="CC83" s="1004"/>
      <c r="CD83" s="1004"/>
      <c r="CE83" s="1004"/>
      <c r="CF83" s="1004"/>
      <c r="CG83" s="1004"/>
      <c r="CH83" s="1004"/>
      <c r="CI83" s="1004"/>
      <c r="CJ83" s="1004"/>
      <c r="CK83" s="1004"/>
      <c r="CL83" s="1004"/>
      <c r="CM83" s="1004"/>
      <c r="CN83" s="1004"/>
      <c r="CO83" s="1004"/>
      <c r="CP83" s="1004"/>
      <c r="CQ83" s="1004"/>
      <c r="CR83" s="1004"/>
      <c r="CS83" s="1004"/>
      <c r="CT83" s="1004"/>
      <c r="CU83" s="1004"/>
      <c r="CV83" s="1004"/>
      <c r="CW83" s="1004"/>
      <c r="CX83" s="1004"/>
      <c r="CY83" s="1004"/>
      <c r="CZ83" s="1004"/>
      <c r="DA83" s="1004"/>
      <c r="DB83" s="1004"/>
      <c r="DC83" s="1004"/>
      <c r="DD83" s="1004"/>
      <c r="DE83" s="1004"/>
      <c r="DF83" s="1004"/>
      <c r="DG83" s="1004"/>
      <c r="DH83" s="1004"/>
      <c r="DI83" s="1004"/>
      <c r="DJ83" s="1004"/>
      <c r="DK83" s="1004"/>
      <c r="DL83" s="1004"/>
      <c r="DM83" s="1004"/>
      <c r="DN83" s="1004"/>
      <c r="DO83" s="1004"/>
      <c r="DP83" s="1004"/>
      <c r="DQ83" s="1004"/>
      <c r="DR83" s="1004"/>
      <c r="DS83" s="1004"/>
      <c r="DT83" s="1004"/>
      <c r="DU83" s="1004"/>
      <c r="DV83" s="1004"/>
      <c r="DW83" s="1004"/>
      <c r="DX83" s="1004"/>
      <c r="DY83" s="1004"/>
      <c r="DZ83" s="1004"/>
      <c r="EA83" s="1004"/>
      <c r="EB83" s="1004"/>
      <c r="EC83" s="1004"/>
      <c r="ED83" s="1004"/>
      <c r="EE83" s="1004"/>
      <c r="EF83" s="1004"/>
      <c r="EG83" s="1004"/>
      <c r="EH83" s="1004"/>
      <c r="EI83" s="1004"/>
      <c r="EJ83" s="1004"/>
      <c r="EK83" s="1004"/>
      <c r="EL83" s="1004"/>
      <c r="EM83" s="1004"/>
      <c r="EN83" s="1004"/>
      <c r="EO83" s="1004"/>
      <c r="EP83" s="1004"/>
      <c r="EQ83" s="1004"/>
      <c r="ER83" s="1004"/>
      <c r="ES83" s="1004"/>
      <c r="ET83" s="1004"/>
      <c r="EU83" s="1004"/>
      <c r="EV83" s="1004"/>
      <c r="EW83" s="1004"/>
      <c r="EX83" s="1004"/>
      <c r="EY83" s="1004"/>
      <c r="EZ83" s="1004"/>
      <c r="FA83" s="1004"/>
      <c r="FB83" s="1004"/>
      <c r="FC83" s="1004"/>
      <c r="FD83" s="1004"/>
      <c r="FE83" s="1004"/>
      <c r="FF83" s="1004"/>
      <c r="FG83" s="1004"/>
      <c r="FH83" s="1004"/>
      <c r="FI83" s="1004"/>
      <c r="FJ83" s="1004"/>
      <c r="FK83" s="1004"/>
      <c r="FL83" s="1004"/>
      <c r="FM83" s="1004"/>
      <c r="FN83" s="1004"/>
      <c r="FO83" s="1004"/>
      <c r="FP83" s="1004"/>
      <c r="FQ83" s="1004"/>
      <c r="FR83" s="1004"/>
      <c r="FS83" s="1004"/>
      <c r="FT83" s="1004"/>
      <c r="FU83" s="1004"/>
      <c r="FV83" s="1004"/>
      <c r="FW83" s="1004"/>
      <c r="FX83" s="1004"/>
      <c r="FY83" s="1004"/>
      <c r="FZ83" s="1004"/>
      <c r="GA83" s="1004"/>
      <c r="GB83" s="1004"/>
      <c r="GC83" s="1004"/>
      <c r="GD83" s="1004"/>
      <c r="GE83" s="1004"/>
      <c r="GF83" s="1004"/>
      <c r="GG83" s="1004"/>
      <c r="GH83" s="1004"/>
      <c r="GI83" s="1004"/>
      <c r="GJ83" s="1004"/>
      <c r="GK83" s="1004"/>
      <c r="GL83" s="1004"/>
      <c r="GM83" s="1004"/>
      <c r="GN83" s="1004"/>
      <c r="GO83" s="1004"/>
      <c r="GP83" s="1004"/>
      <c r="GQ83" s="1004"/>
      <c r="GR83" s="1004"/>
      <c r="GS83" s="1004"/>
      <c r="GT83" s="1004"/>
      <c r="GU83" s="1004"/>
      <c r="GV83" s="1004"/>
      <c r="GW83" s="1004"/>
      <c r="GX83" s="1004"/>
      <c r="GY83" s="1004"/>
      <c r="GZ83" s="1004"/>
      <c r="HA83" s="1004"/>
      <c r="HB83" s="1004"/>
      <c r="HC83" s="1004"/>
      <c r="HD83" s="1004"/>
      <c r="HE83" s="1004"/>
      <c r="HF83" s="1004"/>
      <c r="HG83" s="1004"/>
      <c r="HH83" s="1004"/>
      <c r="HI83" s="1004"/>
      <c r="HJ83" s="1004"/>
      <c r="HK83" s="1004"/>
      <c r="HL83" s="1004"/>
      <c r="HM83" s="1004"/>
      <c r="HN83" s="1004"/>
      <c r="HO83" s="1004"/>
      <c r="HP83" s="1004"/>
      <c r="HQ83" s="1004"/>
      <c r="HR83" s="1004"/>
      <c r="HS83" s="1004"/>
      <c r="HT83" s="1004"/>
      <c r="HU83" s="1004"/>
      <c r="HV83" s="1004"/>
      <c r="HW83" s="1004"/>
      <c r="HX83" s="1004"/>
      <c r="HY83" s="1004"/>
      <c r="HZ83" s="1004"/>
      <c r="IA83" s="1004"/>
      <c r="IB83" s="1004"/>
      <c r="IC83" s="1004"/>
      <c r="ID83" s="1004"/>
      <c r="IE83" s="1004"/>
      <c r="IF83" s="1004"/>
      <c r="IG83" s="1004"/>
      <c r="IH83" s="1004"/>
      <c r="II83" s="1004"/>
      <c r="IJ83" s="1004"/>
      <c r="IK83" s="1004"/>
      <c r="IL83" s="1004"/>
      <c r="IM83" s="1004"/>
      <c r="IN83" s="1004"/>
      <c r="IO83" s="1004"/>
      <c r="IP83" s="1004"/>
      <c r="IQ83" s="1004"/>
      <c r="IR83" s="1004"/>
      <c r="IS83" s="1004"/>
      <c r="IT83" s="1004"/>
      <c r="IU83" s="1004"/>
      <c r="IV83" s="1004"/>
      <c r="IW83" s="1004"/>
      <c r="IX83" s="1004"/>
      <c r="IY83" s="1004"/>
      <c r="IZ83" s="1004"/>
      <c r="JA83" s="1004"/>
      <c r="JB83" s="1004"/>
      <c r="JC83" s="1004"/>
      <c r="JD83" s="1004"/>
      <c r="JE83" s="1004"/>
      <c r="JF83" s="1004"/>
      <c r="JG83" s="1004"/>
      <c r="JH83" s="1004"/>
      <c r="JI83" s="1004"/>
      <c r="JJ83" s="1004"/>
      <c r="JK83" s="1004"/>
      <c r="JL83" s="1004"/>
      <c r="JM83" s="1004"/>
      <c r="JN83" s="1004"/>
      <c r="JO83" s="1004"/>
      <c r="JP83" s="1004"/>
      <c r="JQ83" s="1004"/>
      <c r="JR83" s="1004"/>
      <c r="JS83" s="1004"/>
      <c r="JT83" s="1004"/>
      <c r="JU83" s="1004"/>
      <c r="JV83" s="1004"/>
      <c r="JW83" s="1004"/>
      <c r="JX83" s="1004"/>
      <c r="JY83" s="1004"/>
      <c r="JZ83" s="1004"/>
      <c r="KA83" s="1004"/>
      <c r="KB83" s="1004"/>
      <c r="KC83" s="1004"/>
      <c r="KD83" s="1004"/>
      <c r="KE83" s="1004"/>
      <c r="KF83" s="1004"/>
      <c r="KG83" s="1004"/>
      <c r="KH83" s="1004"/>
      <c r="KI83" s="1004"/>
      <c r="KJ83" s="1004"/>
      <c r="KK83" s="1004"/>
      <c r="KL83" s="1004"/>
      <c r="KM83" s="1004"/>
      <c r="KN83" s="1004"/>
      <c r="KO83" s="1004"/>
      <c r="KP83" s="1004"/>
      <c r="KQ83" s="1004"/>
      <c r="KR83" s="1004"/>
      <c r="KS83" s="1004"/>
      <c r="KT83" s="1004"/>
      <c r="KU83" s="1004"/>
      <c r="KV83" s="1004"/>
      <c r="KW83" s="1004"/>
      <c r="KX83" s="1004"/>
      <c r="KY83" s="1004"/>
      <c r="KZ83" s="1004"/>
      <c r="LA83" s="1004"/>
      <c r="LB83" s="1004"/>
      <c r="LC83" s="1004"/>
      <c r="LD83" s="1004"/>
      <c r="LE83" s="1004"/>
      <c r="LF83" s="1004"/>
      <c r="LG83" s="1004"/>
      <c r="LH83" s="1004"/>
      <c r="LI83" s="1004"/>
      <c r="LJ83" s="1004"/>
      <c r="LK83" s="1004"/>
      <c r="LL83" s="1004"/>
      <c r="LM83" s="1004"/>
      <c r="LN83" s="1004"/>
      <c r="LO83" s="1004"/>
      <c r="LP83" s="1004"/>
      <c r="LQ83" s="1004"/>
      <c r="LR83" s="1004"/>
      <c r="LS83" s="1004"/>
      <c r="LT83" s="1004"/>
      <c r="LU83" s="1004"/>
      <c r="LV83" s="1004"/>
      <c r="LW83" s="1004"/>
      <c r="LX83" s="1004"/>
      <c r="LY83" s="1004"/>
      <c r="LZ83" s="1004"/>
      <c r="MA83" s="1004"/>
      <c r="MB83" s="1004"/>
      <c r="MC83" s="1004"/>
      <c r="MD83" s="1004"/>
      <c r="ME83" s="1004"/>
      <c r="MF83" s="1004"/>
      <c r="MG83" s="1004"/>
      <c r="MH83" s="1004"/>
      <c r="MI83" s="1004"/>
      <c r="MJ83" s="1004"/>
      <c r="MK83" s="1004"/>
      <c r="ML83" s="1004"/>
      <c r="MM83" s="1004"/>
      <c r="MN83" s="1004"/>
      <c r="MO83" s="1004"/>
      <c r="MP83" s="1004"/>
      <c r="MQ83" s="1004"/>
      <c r="MR83" s="1004"/>
      <c r="MS83" s="1004"/>
      <c r="MT83" s="1004"/>
      <c r="MU83" s="1004"/>
      <c r="MV83" s="1004"/>
      <c r="MW83" s="1004"/>
      <c r="MX83" s="1004"/>
      <c r="MY83" s="1004"/>
      <c r="MZ83" s="1004"/>
      <c r="NA83" s="1004"/>
      <c r="NB83" s="1004"/>
      <c r="NC83" s="1004"/>
      <c r="ND83" s="1004"/>
      <c r="NE83" s="1004"/>
      <c r="NF83" s="1004"/>
      <c r="NG83" s="1004"/>
      <c r="NH83" s="1004"/>
      <c r="NI83" s="1004"/>
      <c r="NJ83" s="1004"/>
      <c r="NK83" s="1004"/>
      <c r="NL83" s="1004"/>
      <c r="NM83" s="1004"/>
      <c r="NN83" s="1004"/>
      <c r="NO83" s="1004"/>
      <c r="NP83" s="1004"/>
      <c r="NQ83" s="1004"/>
      <c r="NR83" s="1004"/>
      <c r="NS83" s="1004"/>
      <c r="NT83" s="1004"/>
      <c r="NU83" s="1004"/>
      <c r="NV83" s="1004"/>
      <c r="NW83" s="1004"/>
      <c r="NX83" s="1004"/>
      <c r="NY83" s="1004"/>
      <c r="NZ83" s="1004"/>
      <c r="OA83" s="1004"/>
      <c r="OB83" s="1004"/>
      <c r="OC83" s="1004"/>
      <c r="OD83" s="1004"/>
      <c r="OE83" s="1004"/>
      <c r="OF83" s="1004"/>
      <c r="OG83" s="1004"/>
      <c r="OH83" s="1004"/>
      <c r="OI83" s="1004"/>
      <c r="OJ83" s="1004"/>
      <c r="OK83" s="1004"/>
      <c r="OL83" s="1004"/>
      <c r="OM83" s="1004"/>
      <c r="ON83" s="1004"/>
      <c r="OO83" s="1004"/>
      <c r="OP83" s="1004"/>
      <c r="OQ83" s="1004"/>
      <c r="OR83" s="1004"/>
      <c r="OS83" s="1004"/>
      <c r="OT83" s="1004"/>
      <c r="OU83" s="1004"/>
      <c r="OV83" s="1004"/>
      <c r="OW83" s="1004"/>
      <c r="OX83" s="1004"/>
      <c r="OY83" s="1004"/>
      <c r="OZ83" s="1004"/>
      <c r="PA83" s="1004"/>
      <c r="PB83" s="1004"/>
      <c r="PC83" s="1004"/>
      <c r="PD83" s="1004"/>
      <c r="PE83" s="1004"/>
      <c r="PF83" s="1004"/>
      <c r="PG83" s="1004"/>
      <c r="PH83" s="1004"/>
      <c r="PI83" s="1004"/>
      <c r="PJ83" s="1004"/>
      <c r="PK83" s="1004"/>
      <c r="PL83" s="1004"/>
      <c r="PM83" s="1004"/>
      <c r="PN83" s="1004"/>
      <c r="PO83" s="1004"/>
      <c r="PP83" s="1004"/>
      <c r="PQ83" s="1004"/>
      <c r="PR83" s="1004"/>
      <c r="PS83" s="1004"/>
      <c r="PT83" s="1004"/>
      <c r="PU83" s="1004"/>
      <c r="PV83" s="1004"/>
      <c r="PW83" s="1004"/>
      <c r="PX83" s="1004"/>
      <c r="PY83" s="1004"/>
      <c r="PZ83" s="1004"/>
      <c r="QA83" s="1004"/>
      <c r="QB83" s="1004"/>
      <c r="QC83" s="1004"/>
      <c r="QD83" s="1004"/>
      <c r="QE83" s="1004"/>
      <c r="QF83" s="1004"/>
      <c r="QG83" s="1004"/>
      <c r="QH83" s="1004"/>
      <c r="QI83" s="1004"/>
      <c r="QJ83" s="1004"/>
      <c r="QK83" s="1004"/>
      <c r="QL83" s="1004"/>
      <c r="QM83" s="1004"/>
      <c r="QN83" s="1004"/>
      <c r="QO83" s="1004"/>
      <c r="QP83" s="1004"/>
      <c r="QQ83" s="1004"/>
      <c r="QR83" s="1004"/>
      <c r="QS83" s="1004"/>
      <c r="QT83" s="1004"/>
      <c r="QU83" s="1004"/>
      <c r="QV83" s="1004"/>
      <c r="QW83" s="1004"/>
      <c r="QX83" s="1004"/>
      <c r="QY83" s="1004"/>
      <c r="QZ83" s="1004"/>
      <c r="RA83" s="1004"/>
      <c r="RB83" s="1004"/>
      <c r="RC83" s="1004"/>
      <c r="RD83" s="1004"/>
      <c r="RE83" s="1004"/>
      <c r="RF83" s="1004"/>
      <c r="RG83" s="1004"/>
      <c r="RH83" s="1004"/>
      <c r="RI83" s="1004"/>
      <c r="RJ83" s="1004"/>
      <c r="RK83" s="1004"/>
      <c r="RL83" s="1004"/>
      <c r="RM83" s="1004"/>
      <c r="RN83" s="1004"/>
      <c r="RO83" s="1004"/>
      <c r="RP83" s="1004"/>
      <c r="RQ83" s="1004"/>
      <c r="RR83" s="1004"/>
      <c r="RS83" s="1004"/>
      <c r="RT83" s="1004"/>
      <c r="RU83" s="1004"/>
      <c r="RV83" s="1004"/>
      <c r="RW83" s="1004"/>
      <c r="RX83" s="1004"/>
      <c r="RY83" s="1004"/>
      <c r="RZ83" s="1004"/>
      <c r="SA83" s="1004"/>
      <c r="SB83" s="1004"/>
      <c r="SC83" s="1004"/>
      <c r="SD83" s="1004"/>
      <c r="SE83" s="1004"/>
      <c r="SF83" s="1004"/>
      <c r="SG83" s="1004"/>
      <c r="SH83" s="1004"/>
      <c r="SI83" s="1004"/>
      <c r="SJ83" s="1004"/>
      <c r="SK83" s="1004"/>
      <c r="SL83" s="1004"/>
      <c r="SM83" s="1004"/>
      <c r="SN83" s="1004"/>
      <c r="SO83" s="1004"/>
      <c r="SP83" s="1004"/>
      <c r="SQ83" s="1004"/>
      <c r="SR83" s="1004"/>
      <c r="SS83" s="1004"/>
      <c r="ST83" s="1004"/>
      <c r="SU83" s="1004"/>
      <c r="SV83" s="1004"/>
      <c r="SW83" s="1004"/>
      <c r="SX83" s="1004"/>
      <c r="SY83" s="1004"/>
      <c r="SZ83" s="1004"/>
      <c r="TA83" s="1004"/>
      <c r="TB83" s="1004"/>
      <c r="TC83" s="1004"/>
      <c r="TD83" s="1004"/>
      <c r="TE83" s="1004"/>
      <c r="TF83" s="1004"/>
      <c r="TG83" s="1004"/>
      <c r="TH83" s="1004"/>
      <c r="TI83" s="1004"/>
      <c r="TJ83" s="1004"/>
      <c r="TK83" s="1004"/>
      <c r="TL83" s="1004"/>
      <c r="TM83" s="1004"/>
      <c r="TN83" s="1004"/>
      <c r="TO83" s="1004"/>
      <c r="TP83" s="1004"/>
      <c r="TQ83" s="1004"/>
      <c r="TR83" s="1004"/>
      <c r="TS83" s="1004"/>
      <c r="TT83" s="1004"/>
      <c r="TU83" s="1004"/>
      <c r="TV83" s="1004"/>
      <c r="TW83" s="1004"/>
      <c r="TX83" s="1004"/>
      <c r="TY83" s="1004"/>
      <c r="TZ83" s="1004"/>
      <c r="UA83" s="1004"/>
      <c r="UB83" s="1004"/>
      <c r="UC83" s="1004"/>
      <c r="UD83" s="1004"/>
      <c r="UE83" s="1004"/>
      <c r="UF83" s="1004"/>
      <c r="UG83" s="1004"/>
      <c r="UH83" s="1004"/>
      <c r="UI83" s="1004"/>
      <c r="UJ83" s="1004"/>
      <c r="UK83" s="1004"/>
      <c r="UL83" s="1004"/>
      <c r="UM83" s="1004"/>
      <c r="UN83" s="1004"/>
      <c r="UO83" s="1004"/>
      <c r="UP83" s="1004"/>
      <c r="UQ83" s="1004"/>
      <c r="UR83" s="1004"/>
      <c r="US83" s="1004"/>
      <c r="UT83" s="1004"/>
      <c r="UU83" s="1004"/>
      <c r="UV83" s="1004"/>
      <c r="UW83" s="1004"/>
      <c r="UX83" s="1004"/>
      <c r="UY83" s="1004"/>
      <c r="UZ83" s="1004"/>
      <c r="VA83" s="1004"/>
      <c r="VB83" s="1004"/>
      <c r="VC83" s="1004"/>
      <c r="VD83" s="1004"/>
      <c r="VE83" s="1004"/>
      <c r="VF83" s="1004"/>
      <c r="VG83" s="1004"/>
      <c r="VH83" s="1004"/>
      <c r="VI83" s="1004"/>
      <c r="VJ83" s="1004"/>
      <c r="VK83" s="1004"/>
      <c r="VL83" s="1004"/>
      <c r="VM83" s="1004"/>
      <c r="VN83" s="1004"/>
      <c r="VO83" s="1004"/>
      <c r="VP83" s="1004"/>
      <c r="VQ83" s="1004"/>
      <c r="VR83" s="1004"/>
      <c r="VS83" s="1004"/>
      <c r="VT83" s="1004"/>
      <c r="VU83" s="1004"/>
      <c r="VV83" s="1004"/>
      <c r="VW83" s="1004"/>
      <c r="VX83" s="1004"/>
      <c r="VY83" s="1004"/>
      <c r="VZ83" s="1004"/>
      <c r="WA83" s="1004"/>
      <c r="WB83" s="1004"/>
      <c r="WC83" s="1004"/>
      <c r="WD83" s="1004"/>
      <c r="WE83" s="1004"/>
      <c r="WF83" s="1004"/>
      <c r="WG83" s="1004"/>
      <c r="WH83" s="1004"/>
      <c r="WI83" s="1004"/>
      <c r="WJ83" s="1004"/>
      <c r="WK83" s="1004"/>
      <c r="WL83" s="1004"/>
      <c r="WM83" s="1004"/>
      <c r="WN83" s="1004"/>
      <c r="WO83" s="1004"/>
      <c r="WP83" s="1004"/>
      <c r="WQ83" s="1004"/>
      <c r="WR83" s="1004"/>
      <c r="WS83" s="1004"/>
      <c r="WT83" s="1004"/>
      <c r="WU83" s="1004"/>
      <c r="WV83" s="1004"/>
      <c r="WW83" s="1004"/>
      <c r="WX83" s="1004"/>
      <c r="WY83" s="1004"/>
      <c r="WZ83" s="1004"/>
      <c r="XA83" s="1004"/>
      <c r="XB83" s="1004"/>
      <c r="XC83" s="1004"/>
      <c r="XD83" s="1004"/>
      <c r="XE83" s="1004"/>
      <c r="XF83" s="1004"/>
      <c r="XG83" s="1004"/>
      <c r="XH83" s="1004"/>
      <c r="XI83" s="1004"/>
      <c r="XJ83" s="1004"/>
      <c r="XK83" s="1004"/>
      <c r="XL83" s="1004"/>
      <c r="XM83" s="1004"/>
      <c r="XN83" s="1004"/>
      <c r="XO83" s="1004"/>
      <c r="XP83" s="1004"/>
      <c r="XQ83" s="1004"/>
      <c r="XR83" s="1004"/>
      <c r="XS83" s="1004"/>
      <c r="XT83" s="1004"/>
      <c r="XU83" s="1004"/>
      <c r="XV83" s="1004"/>
      <c r="XW83" s="1004"/>
      <c r="XX83" s="1004"/>
      <c r="XY83" s="1004"/>
      <c r="XZ83" s="1004"/>
      <c r="YA83" s="1004"/>
      <c r="YB83" s="1004"/>
      <c r="YC83" s="1004"/>
      <c r="YD83" s="1004"/>
      <c r="YE83" s="1004"/>
      <c r="YF83" s="1004"/>
      <c r="YG83" s="1004"/>
      <c r="YH83" s="1004"/>
      <c r="YI83" s="1004"/>
      <c r="YJ83" s="1004"/>
      <c r="YK83" s="1004"/>
      <c r="YL83" s="1004"/>
      <c r="YM83" s="1004"/>
      <c r="YN83" s="1004"/>
      <c r="YO83" s="1004"/>
      <c r="YP83" s="1004"/>
      <c r="YQ83" s="1004"/>
      <c r="YR83" s="1004"/>
      <c r="YS83" s="1004"/>
      <c r="YT83" s="1004"/>
      <c r="YU83" s="1004"/>
      <c r="YV83" s="1004"/>
      <c r="YW83" s="1004"/>
      <c r="YX83" s="1004"/>
      <c r="YY83" s="1004"/>
      <c r="YZ83" s="1004"/>
      <c r="ZA83" s="1004"/>
      <c r="ZB83" s="1004"/>
      <c r="ZC83" s="1004"/>
      <c r="ZD83" s="1004"/>
      <c r="ZE83" s="1004"/>
      <c r="ZF83" s="1004"/>
      <c r="ZG83" s="1004"/>
      <c r="ZH83" s="1004"/>
      <c r="ZI83" s="1004"/>
      <c r="ZJ83" s="1004"/>
      <c r="ZK83" s="1004"/>
      <c r="ZL83" s="1004"/>
      <c r="ZM83" s="1004"/>
      <c r="ZN83" s="1004"/>
      <c r="ZO83" s="1004"/>
      <c r="ZP83" s="1004"/>
      <c r="ZQ83" s="1004"/>
      <c r="ZR83" s="1004"/>
      <c r="ZS83" s="1004"/>
      <c r="ZT83" s="1004"/>
      <c r="ZU83" s="1004"/>
      <c r="ZV83" s="1004"/>
      <c r="ZW83" s="1004"/>
      <c r="ZX83" s="1004"/>
      <c r="ZY83" s="1004"/>
      <c r="ZZ83" s="1004"/>
      <c r="AAA83" s="1004"/>
      <c r="AAB83" s="1004"/>
      <c r="AAC83" s="1004"/>
      <c r="AAD83" s="1004"/>
      <c r="AAE83" s="1004"/>
      <c r="AAF83" s="1004"/>
      <c r="AAG83" s="1004"/>
      <c r="AAH83" s="1004"/>
      <c r="AAI83" s="1004"/>
      <c r="AAJ83" s="1004"/>
      <c r="AAK83" s="1004"/>
      <c r="AAL83" s="1004"/>
      <c r="AAM83" s="1004"/>
      <c r="AAN83" s="1004"/>
      <c r="AAO83" s="1004"/>
      <c r="AAP83" s="1004"/>
      <c r="AAQ83" s="1004"/>
      <c r="AAR83" s="1004"/>
      <c r="AAS83" s="1004"/>
      <c r="AAT83" s="1004"/>
      <c r="AAU83" s="1004"/>
      <c r="AAV83" s="1004"/>
      <c r="AAW83" s="1004"/>
      <c r="AAX83" s="1004"/>
      <c r="AAY83" s="1004"/>
      <c r="AAZ83" s="1004"/>
      <c r="ABA83" s="1004"/>
      <c r="ABB83" s="1004"/>
      <c r="ABC83" s="1004"/>
      <c r="ABD83" s="1004"/>
      <c r="ABE83" s="1004"/>
      <c r="ABF83" s="1004"/>
      <c r="ABG83" s="1004"/>
      <c r="ABH83" s="1004"/>
      <c r="ABI83" s="1004"/>
      <c r="ABJ83" s="1004"/>
      <c r="ABK83" s="1004"/>
      <c r="ABL83" s="1004"/>
      <c r="ABM83" s="1004"/>
      <c r="ABN83" s="1004"/>
      <c r="ABO83" s="1004"/>
      <c r="ABP83" s="1004"/>
      <c r="ABQ83" s="1004"/>
      <c r="ABR83" s="1004"/>
    </row>
    <row r="84" spans="1:746" s="1" customFormat="1" ht="12.75" customHeight="1">
      <c r="A84" s="924"/>
      <c r="B84" s="549" t="s">
        <v>179</v>
      </c>
      <c r="C84" s="550"/>
      <c r="D84" s="551"/>
      <c r="E84" s="3019"/>
      <c r="F84" s="3019"/>
      <c r="G84" s="3019"/>
      <c r="H84" s="552"/>
      <c r="I84" s="181">
        <f>I76</f>
        <v>0</v>
      </c>
      <c r="J84" s="186">
        <f t="shared" ref="J84:AF84" si="7">J76</f>
        <v>0</v>
      </c>
      <c r="K84" s="186">
        <f t="shared" si="7"/>
        <v>0</v>
      </c>
      <c r="L84" s="186">
        <f t="shared" si="7"/>
        <v>0</v>
      </c>
      <c r="M84" s="186">
        <f t="shared" si="7"/>
        <v>0</v>
      </c>
      <c r="N84" s="186">
        <f t="shared" si="7"/>
        <v>0</v>
      </c>
      <c r="O84" s="186">
        <f t="shared" si="7"/>
        <v>0</v>
      </c>
      <c r="P84" s="186">
        <f t="shared" si="7"/>
        <v>0</v>
      </c>
      <c r="Q84" s="186">
        <f t="shared" si="7"/>
        <v>0</v>
      </c>
      <c r="R84" s="186">
        <f t="shared" si="7"/>
        <v>0</v>
      </c>
      <c r="S84" s="186">
        <f t="shared" si="7"/>
        <v>0</v>
      </c>
      <c r="T84" s="186">
        <f t="shared" si="7"/>
        <v>0</v>
      </c>
      <c r="U84" s="186">
        <f t="shared" si="7"/>
        <v>0</v>
      </c>
      <c r="V84" s="186">
        <f t="shared" si="7"/>
        <v>0</v>
      </c>
      <c r="W84" s="186">
        <f t="shared" si="7"/>
        <v>0</v>
      </c>
      <c r="X84" s="186">
        <f t="shared" si="7"/>
        <v>0</v>
      </c>
      <c r="Y84" s="186">
        <f t="shared" si="7"/>
        <v>0</v>
      </c>
      <c r="Z84" s="186">
        <f t="shared" si="7"/>
        <v>0</v>
      </c>
      <c r="AA84" s="186">
        <f t="shared" si="7"/>
        <v>0</v>
      </c>
      <c r="AB84" s="186">
        <f t="shared" si="7"/>
        <v>0</v>
      </c>
      <c r="AC84" s="186">
        <f t="shared" si="7"/>
        <v>0</v>
      </c>
      <c r="AD84" s="186">
        <f t="shared" si="7"/>
        <v>0</v>
      </c>
      <c r="AE84" s="186">
        <f t="shared" si="7"/>
        <v>0</v>
      </c>
      <c r="AF84" s="186">
        <f t="shared" si="7"/>
        <v>0</v>
      </c>
      <c r="AG84" s="2210"/>
      <c r="AH84" s="5"/>
      <c r="AI84" s="5"/>
      <c r="AJ84" s="429">
        <f>IF(fx!C57=1,SUM(I84:T84),SUM(O84:AF84))</f>
        <v>0</v>
      </c>
      <c r="AK84" s="423"/>
      <c r="AL84" s="430">
        <f>IF(fx!C57=1,SUM(U84:AF84),0)</f>
        <v>0</v>
      </c>
      <c r="AM84" s="1019"/>
      <c r="AN84" s="1917"/>
      <c r="AO84" s="1945"/>
      <c r="AP84" s="1935"/>
      <c r="AQ84" s="1936"/>
      <c r="AR84" s="1941"/>
      <c r="AS84" s="1941"/>
      <c r="AT84" s="1941"/>
      <c r="AU84" s="1941"/>
      <c r="AV84" s="1941"/>
      <c r="AW84" s="1941"/>
      <c r="AX84" s="1941"/>
      <c r="AY84" s="1941"/>
      <c r="AZ84" s="1941"/>
      <c r="BA84" s="1941"/>
      <c r="BB84" s="1941"/>
      <c r="BC84" s="1941"/>
      <c r="BD84" s="1941"/>
      <c r="BE84" s="1941"/>
      <c r="BF84" s="1941"/>
      <c r="BG84" s="1941"/>
      <c r="BH84" s="1941"/>
      <c r="BI84" s="1941"/>
      <c r="BJ84" s="1941"/>
      <c r="BK84" s="1941"/>
      <c r="BL84" s="1941"/>
      <c r="BM84" s="1941"/>
      <c r="BN84" s="1941"/>
      <c r="BO84" s="1941"/>
      <c r="BP84" s="1004"/>
      <c r="BQ84" s="1004"/>
      <c r="BR84" s="1004"/>
      <c r="BS84" s="1004"/>
      <c r="BT84" s="1004"/>
      <c r="BU84" s="1004"/>
      <c r="BV84" s="1004"/>
      <c r="BW84" s="1004"/>
      <c r="BX84" s="1004"/>
      <c r="BY84" s="1004"/>
      <c r="BZ84" s="1004"/>
      <c r="CA84" s="1004"/>
      <c r="CB84" s="1004"/>
      <c r="CC84" s="1004"/>
      <c r="CD84" s="1004"/>
      <c r="CE84" s="1004"/>
      <c r="CF84" s="1004"/>
      <c r="CG84" s="1004"/>
      <c r="CH84" s="1004"/>
      <c r="CI84" s="1004"/>
      <c r="CJ84" s="1004"/>
      <c r="CK84" s="1004"/>
      <c r="CL84" s="1004"/>
      <c r="CM84" s="1004"/>
      <c r="CN84" s="1004"/>
      <c r="CO84" s="1004"/>
      <c r="CP84" s="1004"/>
      <c r="CQ84" s="1004"/>
      <c r="CR84" s="1004"/>
      <c r="CS84" s="1004"/>
      <c r="CT84" s="1004"/>
      <c r="CU84" s="1004"/>
      <c r="CV84" s="1004"/>
      <c r="CW84" s="1004"/>
      <c r="CX84" s="1004"/>
      <c r="CY84" s="1004"/>
      <c r="CZ84" s="1004"/>
      <c r="DA84" s="1004"/>
      <c r="DB84" s="1004"/>
      <c r="DC84" s="1004"/>
      <c r="DD84" s="1004"/>
      <c r="DE84" s="1004"/>
      <c r="DF84" s="1004"/>
      <c r="DG84" s="1004"/>
      <c r="DH84" s="1004"/>
      <c r="DI84" s="1004"/>
      <c r="DJ84" s="1004"/>
      <c r="DK84" s="1004"/>
      <c r="DL84" s="1004"/>
      <c r="DM84" s="1004"/>
      <c r="DN84" s="1004"/>
      <c r="DO84" s="1004"/>
      <c r="DP84" s="1004"/>
      <c r="DQ84" s="1004"/>
      <c r="DR84" s="1004"/>
      <c r="DS84" s="1004"/>
      <c r="DT84" s="1004"/>
      <c r="DU84" s="1004"/>
      <c r="DV84" s="1004"/>
      <c r="DW84" s="1004"/>
      <c r="DX84" s="1004"/>
      <c r="DY84" s="1004"/>
      <c r="DZ84" s="1004"/>
      <c r="EA84" s="1004"/>
      <c r="EB84" s="1004"/>
      <c r="EC84" s="1004"/>
      <c r="ED84" s="1004"/>
      <c r="EE84" s="1004"/>
      <c r="EF84" s="1004"/>
      <c r="EG84" s="1004"/>
      <c r="EH84" s="1004"/>
      <c r="EI84" s="1004"/>
      <c r="EJ84" s="1004"/>
      <c r="EK84" s="1004"/>
      <c r="EL84" s="1004"/>
      <c r="EM84" s="1004"/>
      <c r="EN84" s="1004"/>
      <c r="EO84" s="1004"/>
      <c r="EP84" s="1004"/>
      <c r="EQ84" s="1004"/>
      <c r="ER84" s="1004"/>
      <c r="ES84" s="1004"/>
      <c r="ET84" s="1004"/>
      <c r="EU84" s="1004"/>
      <c r="EV84" s="1004"/>
      <c r="EW84" s="1004"/>
      <c r="EX84" s="1004"/>
      <c r="EY84" s="1004"/>
      <c r="EZ84" s="1004"/>
      <c r="FA84" s="1004"/>
      <c r="FB84" s="1004"/>
      <c r="FC84" s="1004"/>
      <c r="FD84" s="1004"/>
      <c r="FE84" s="1004"/>
      <c r="FF84" s="1004"/>
      <c r="FG84" s="1004"/>
      <c r="FH84" s="1004"/>
      <c r="FI84" s="1004"/>
      <c r="FJ84" s="1004"/>
      <c r="FK84" s="1004"/>
      <c r="FL84" s="1004"/>
      <c r="FM84" s="1004"/>
      <c r="FN84" s="1004"/>
      <c r="FO84" s="1004"/>
      <c r="FP84" s="1004"/>
      <c r="FQ84" s="1004"/>
      <c r="FR84" s="1004"/>
      <c r="FS84" s="1004"/>
      <c r="FT84" s="1004"/>
      <c r="FU84" s="1004"/>
      <c r="FV84" s="1004"/>
      <c r="FW84" s="1004"/>
      <c r="FX84" s="1004"/>
      <c r="FY84" s="1004"/>
      <c r="FZ84" s="1004"/>
      <c r="GA84" s="1004"/>
      <c r="GB84" s="1004"/>
      <c r="GC84" s="1004"/>
      <c r="GD84" s="1004"/>
      <c r="GE84" s="1004"/>
      <c r="GF84" s="1004"/>
      <c r="GG84" s="1004"/>
      <c r="GH84" s="1004"/>
      <c r="GI84" s="1004"/>
      <c r="GJ84" s="1004"/>
      <c r="GK84" s="1004"/>
      <c r="GL84" s="1004"/>
      <c r="GM84" s="1004"/>
      <c r="GN84" s="1004"/>
      <c r="GO84" s="1004"/>
      <c r="GP84" s="1004"/>
      <c r="GQ84" s="1004"/>
      <c r="GR84" s="1004"/>
      <c r="GS84" s="1004"/>
      <c r="GT84" s="1004"/>
      <c r="GU84" s="1004"/>
      <c r="GV84" s="1004"/>
      <c r="GW84" s="1004"/>
      <c r="GX84" s="1004"/>
      <c r="GY84" s="1004"/>
      <c r="GZ84" s="1004"/>
      <c r="HA84" s="1004"/>
      <c r="HB84" s="1004"/>
      <c r="HC84" s="1004"/>
      <c r="HD84" s="1004"/>
      <c r="HE84" s="1004"/>
      <c r="HF84" s="1004"/>
      <c r="HG84" s="1004"/>
      <c r="HH84" s="1004"/>
      <c r="HI84" s="1004"/>
      <c r="HJ84" s="1004"/>
      <c r="HK84" s="1004"/>
      <c r="HL84" s="1004"/>
      <c r="HM84" s="1004"/>
      <c r="HN84" s="1004"/>
      <c r="HO84" s="1004"/>
      <c r="HP84" s="1004"/>
      <c r="HQ84" s="1004"/>
      <c r="HR84" s="1004"/>
      <c r="HS84" s="1004"/>
      <c r="HT84" s="1004"/>
      <c r="HU84" s="1004"/>
      <c r="HV84" s="1004"/>
      <c r="HW84" s="1004"/>
      <c r="HX84" s="1004"/>
      <c r="HY84" s="1004"/>
      <c r="HZ84" s="1004"/>
      <c r="IA84" s="1004"/>
      <c r="IB84" s="1004"/>
      <c r="IC84" s="1004"/>
      <c r="ID84" s="1004"/>
      <c r="IE84" s="1004"/>
      <c r="IF84" s="1004"/>
      <c r="IG84" s="1004"/>
      <c r="IH84" s="1004"/>
      <c r="II84" s="1004"/>
      <c r="IJ84" s="1004"/>
      <c r="IK84" s="1004"/>
      <c r="IL84" s="1004"/>
      <c r="IM84" s="1004"/>
      <c r="IN84" s="1004"/>
      <c r="IO84" s="1004"/>
      <c r="IP84" s="1004"/>
      <c r="IQ84" s="1004"/>
      <c r="IR84" s="1004"/>
      <c r="IS84" s="1004"/>
      <c r="IT84" s="1004"/>
      <c r="IU84" s="1004"/>
      <c r="IV84" s="1004"/>
      <c r="IW84" s="1004"/>
      <c r="IX84" s="1004"/>
      <c r="IY84" s="1004"/>
      <c r="IZ84" s="1004"/>
      <c r="JA84" s="1004"/>
      <c r="JB84" s="1004"/>
      <c r="JC84" s="1004"/>
      <c r="JD84" s="1004"/>
      <c r="JE84" s="1004"/>
      <c r="JF84" s="1004"/>
      <c r="JG84" s="1004"/>
      <c r="JH84" s="1004"/>
      <c r="JI84" s="1004"/>
      <c r="JJ84" s="1004"/>
      <c r="JK84" s="1004"/>
      <c r="JL84" s="1004"/>
      <c r="JM84" s="1004"/>
      <c r="JN84" s="1004"/>
      <c r="JO84" s="1004"/>
      <c r="JP84" s="1004"/>
      <c r="JQ84" s="1004"/>
      <c r="JR84" s="1004"/>
      <c r="JS84" s="1004"/>
      <c r="JT84" s="1004"/>
      <c r="JU84" s="1004"/>
      <c r="JV84" s="1004"/>
      <c r="JW84" s="1004"/>
      <c r="JX84" s="1004"/>
      <c r="JY84" s="1004"/>
      <c r="JZ84" s="1004"/>
      <c r="KA84" s="1004"/>
      <c r="KB84" s="1004"/>
      <c r="KC84" s="1004"/>
      <c r="KD84" s="1004"/>
      <c r="KE84" s="1004"/>
      <c r="KF84" s="1004"/>
      <c r="KG84" s="1004"/>
      <c r="KH84" s="1004"/>
      <c r="KI84" s="1004"/>
      <c r="KJ84" s="1004"/>
      <c r="KK84" s="1004"/>
      <c r="KL84" s="1004"/>
      <c r="KM84" s="1004"/>
      <c r="KN84" s="1004"/>
      <c r="KO84" s="1004"/>
      <c r="KP84" s="1004"/>
      <c r="KQ84" s="1004"/>
      <c r="KR84" s="1004"/>
      <c r="KS84" s="1004"/>
      <c r="KT84" s="1004"/>
      <c r="KU84" s="1004"/>
      <c r="KV84" s="1004"/>
      <c r="KW84" s="1004"/>
      <c r="KX84" s="1004"/>
      <c r="KY84" s="1004"/>
      <c r="KZ84" s="1004"/>
      <c r="LA84" s="1004"/>
      <c r="LB84" s="1004"/>
      <c r="LC84" s="1004"/>
      <c r="LD84" s="1004"/>
      <c r="LE84" s="1004"/>
      <c r="LF84" s="1004"/>
      <c r="LG84" s="1004"/>
      <c r="LH84" s="1004"/>
      <c r="LI84" s="1004"/>
      <c r="LJ84" s="1004"/>
      <c r="LK84" s="1004"/>
      <c r="LL84" s="1004"/>
      <c r="LM84" s="1004"/>
      <c r="LN84" s="1004"/>
      <c r="LO84" s="1004"/>
      <c r="LP84" s="1004"/>
      <c r="LQ84" s="1004"/>
      <c r="LR84" s="1004"/>
      <c r="LS84" s="1004"/>
      <c r="LT84" s="1004"/>
      <c r="LU84" s="1004"/>
      <c r="LV84" s="1004"/>
      <c r="LW84" s="1004"/>
      <c r="LX84" s="1004"/>
      <c r="LY84" s="1004"/>
      <c r="LZ84" s="1004"/>
      <c r="MA84" s="1004"/>
      <c r="MB84" s="1004"/>
      <c r="MC84" s="1004"/>
      <c r="MD84" s="1004"/>
      <c r="ME84" s="1004"/>
      <c r="MF84" s="1004"/>
      <c r="MG84" s="1004"/>
      <c r="MH84" s="1004"/>
      <c r="MI84" s="1004"/>
      <c r="MJ84" s="1004"/>
      <c r="MK84" s="1004"/>
      <c r="ML84" s="1004"/>
      <c r="MM84" s="1004"/>
      <c r="MN84" s="1004"/>
      <c r="MO84" s="1004"/>
      <c r="MP84" s="1004"/>
      <c r="MQ84" s="1004"/>
      <c r="MR84" s="1004"/>
      <c r="MS84" s="1004"/>
      <c r="MT84" s="1004"/>
      <c r="MU84" s="1004"/>
      <c r="MV84" s="1004"/>
      <c r="MW84" s="1004"/>
      <c r="MX84" s="1004"/>
      <c r="MY84" s="1004"/>
      <c r="MZ84" s="1004"/>
      <c r="NA84" s="1004"/>
      <c r="NB84" s="1004"/>
      <c r="NC84" s="1004"/>
      <c r="ND84" s="1004"/>
      <c r="NE84" s="1004"/>
      <c r="NF84" s="1004"/>
      <c r="NG84" s="1004"/>
      <c r="NH84" s="1004"/>
      <c r="NI84" s="1004"/>
      <c r="NJ84" s="1004"/>
      <c r="NK84" s="1004"/>
      <c r="NL84" s="1004"/>
      <c r="NM84" s="1004"/>
      <c r="NN84" s="1004"/>
      <c r="NO84" s="1004"/>
      <c r="NP84" s="1004"/>
      <c r="NQ84" s="1004"/>
      <c r="NR84" s="1004"/>
      <c r="NS84" s="1004"/>
      <c r="NT84" s="1004"/>
      <c r="NU84" s="1004"/>
      <c r="NV84" s="1004"/>
      <c r="NW84" s="1004"/>
      <c r="NX84" s="1004"/>
      <c r="NY84" s="1004"/>
      <c r="NZ84" s="1004"/>
      <c r="OA84" s="1004"/>
      <c r="OB84" s="1004"/>
      <c r="OC84" s="1004"/>
      <c r="OD84" s="1004"/>
      <c r="OE84" s="1004"/>
      <c r="OF84" s="1004"/>
      <c r="OG84" s="1004"/>
      <c r="OH84" s="1004"/>
      <c r="OI84" s="1004"/>
      <c r="OJ84" s="1004"/>
      <c r="OK84" s="1004"/>
      <c r="OL84" s="1004"/>
      <c r="OM84" s="1004"/>
      <c r="ON84" s="1004"/>
      <c r="OO84" s="1004"/>
      <c r="OP84" s="1004"/>
      <c r="OQ84" s="1004"/>
      <c r="OR84" s="1004"/>
      <c r="OS84" s="1004"/>
      <c r="OT84" s="1004"/>
      <c r="OU84" s="1004"/>
      <c r="OV84" s="1004"/>
      <c r="OW84" s="1004"/>
      <c r="OX84" s="1004"/>
      <c r="OY84" s="1004"/>
      <c r="OZ84" s="1004"/>
      <c r="PA84" s="1004"/>
      <c r="PB84" s="1004"/>
      <c r="PC84" s="1004"/>
      <c r="PD84" s="1004"/>
      <c r="PE84" s="1004"/>
      <c r="PF84" s="1004"/>
      <c r="PG84" s="1004"/>
      <c r="PH84" s="1004"/>
      <c r="PI84" s="1004"/>
      <c r="PJ84" s="1004"/>
      <c r="PK84" s="1004"/>
      <c r="PL84" s="1004"/>
      <c r="PM84" s="1004"/>
      <c r="PN84" s="1004"/>
      <c r="PO84" s="1004"/>
      <c r="PP84" s="1004"/>
      <c r="PQ84" s="1004"/>
      <c r="PR84" s="1004"/>
      <c r="PS84" s="1004"/>
      <c r="PT84" s="1004"/>
      <c r="PU84" s="1004"/>
      <c r="PV84" s="1004"/>
      <c r="PW84" s="1004"/>
      <c r="PX84" s="1004"/>
      <c r="PY84" s="1004"/>
      <c r="PZ84" s="1004"/>
      <c r="QA84" s="1004"/>
      <c r="QB84" s="1004"/>
      <c r="QC84" s="1004"/>
      <c r="QD84" s="1004"/>
      <c r="QE84" s="1004"/>
      <c r="QF84" s="1004"/>
      <c r="QG84" s="1004"/>
      <c r="QH84" s="1004"/>
      <c r="QI84" s="1004"/>
      <c r="QJ84" s="1004"/>
      <c r="QK84" s="1004"/>
      <c r="QL84" s="1004"/>
      <c r="QM84" s="1004"/>
      <c r="QN84" s="1004"/>
      <c r="QO84" s="1004"/>
      <c r="QP84" s="1004"/>
      <c r="QQ84" s="1004"/>
      <c r="QR84" s="1004"/>
      <c r="QS84" s="1004"/>
      <c r="QT84" s="1004"/>
      <c r="QU84" s="1004"/>
      <c r="QV84" s="1004"/>
      <c r="QW84" s="1004"/>
      <c r="QX84" s="1004"/>
      <c r="QY84" s="1004"/>
      <c r="QZ84" s="1004"/>
      <c r="RA84" s="1004"/>
      <c r="RB84" s="1004"/>
      <c r="RC84" s="1004"/>
      <c r="RD84" s="1004"/>
      <c r="RE84" s="1004"/>
      <c r="RF84" s="1004"/>
      <c r="RG84" s="1004"/>
      <c r="RH84" s="1004"/>
      <c r="RI84" s="1004"/>
      <c r="RJ84" s="1004"/>
      <c r="RK84" s="1004"/>
      <c r="RL84" s="1004"/>
      <c r="RM84" s="1004"/>
      <c r="RN84" s="1004"/>
      <c r="RO84" s="1004"/>
      <c r="RP84" s="1004"/>
      <c r="RQ84" s="1004"/>
      <c r="RR84" s="1004"/>
      <c r="RS84" s="1004"/>
      <c r="RT84" s="1004"/>
      <c r="RU84" s="1004"/>
      <c r="RV84" s="1004"/>
      <c r="RW84" s="1004"/>
      <c r="RX84" s="1004"/>
      <c r="RY84" s="1004"/>
      <c r="RZ84" s="1004"/>
      <c r="SA84" s="1004"/>
      <c r="SB84" s="1004"/>
      <c r="SC84" s="1004"/>
      <c r="SD84" s="1004"/>
      <c r="SE84" s="1004"/>
      <c r="SF84" s="1004"/>
      <c r="SG84" s="1004"/>
      <c r="SH84" s="1004"/>
      <c r="SI84" s="1004"/>
      <c r="SJ84" s="1004"/>
      <c r="SK84" s="1004"/>
      <c r="SL84" s="1004"/>
      <c r="SM84" s="1004"/>
      <c r="SN84" s="1004"/>
      <c r="SO84" s="1004"/>
      <c r="SP84" s="1004"/>
      <c r="SQ84" s="1004"/>
      <c r="SR84" s="1004"/>
      <c r="SS84" s="1004"/>
      <c r="ST84" s="1004"/>
      <c r="SU84" s="1004"/>
      <c r="SV84" s="1004"/>
      <c r="SW84" s="1004"/>
      <c r="SX84" s="1004"/>
      <c r="SY84" s="1004"/>
      <c r="SZ84" s="1004"/>
      <c r="TA84" s="1004"/>
      <c r="TB84" s="1004"/>
      <c r="TC84" s="1004"/>
      <c r="TD84" s="1004"/>
      <c r="TE84" s="1004"/>
      <c r="TF84" s="1004"/>
      <c r="TG84" s="1004"/>
      <c r="TH84" s="1004"/>
      <c r="TI84" s="1004"/>
      <c r="TJ84" s="1004"/>
      <c r="TK84" s="1004"/>
      <c r="TL84" s="1004"/>
      <c r="TM84" s="1004"/>
      <c r="TN84" s="1004"/>
      <c r="TO84" s="1004"/>
      <c r="TP84" s="1004"/>
      <c r="TQ84" s="1004"/>
      <c r="TR84" s="1004"/>
      <c r="TS84" s="1004"/>
      <c r="TT84" s="1004"/>
      <c r="TU84" s="1004"/>
      <c r="TV84" s="1004"/>
      <c r="TW84" s="1004"/>
      <c r="TX84" s="1004"/>
      <c r="TY84" s="1004"/>
      <c r="TZ84" s="1004"/>
      <c r="UA84" s="1004"/>
      <c r="UB84" s="1004"/>
      <c r="UC84" s="1004"/>
      <c r="UD84" s="1004"/>
      <c r="UE84" s="1004"/>
      <c r="UF84" s="1004"/>
      <c r="UG84" s="1004"/>
      <c r="UH84" s="1004"/>
      <c r="UI84" s="1004"/>
      <c r="UJ84" s="1004"/>
      <c r="UK84" s="1004"/>
      <c r="UL84" s="1004"/>
      <c r="UM84" s="1004"/>
      <c r="UN84" s="1004"/>
      <c r="UO84" s="1004"/>
      <c r="UP84" s="1004"/>
      <c r="UQ84" s="1004"/>
      <c r="UR84" s="1004"/>
      <c r="US84" s="1004"/>
      <c r="UT84" s="1004"/>
      <c r="UU84" s="1004"/>
      <c r="UV84" s="1004"/>
      <c r="UW84" s="1004"/>
      <c r="UX84" s="1004"/>
      <c r="UY84" s="1004"/>
      <c r="UZ84" s="1004"/>
      <c r="VA84" s="1004"/>
      <c r="VB84" s="1004"/>
      <c r="VC84" s="1004"/>
      <c r="VD84" s="1004"/>
      <c r="VE84" s="1004"/>
      <c r="VF84" s="1004"/>
      <c r="VG84" s="1004"/>
      <c r="VH84" s="1004"/>
      <c r="VI84" s="1004"/>
      <c r="VJ84" s="1004"/>
      <c r="VK84" s="1004"/>
      <c r="VL84" s="1004"/>
      <c r="VM84" s="1004"/>
      <c r="VN84" s="1004"/>
      <c r="VO84" s="1004"/>
      <c r="VP84" s="1004"/>
      <c r="VQ84" s="1004"/>
      <c r="VR84" s="1004"/>
      <c r="VS84" s="1004"/>
      <c r="VT84" s="1004"/>
      <c r="VU84" s="1004"/>
      <c r="VV84" s="1004"/>
      <c r="VW84" s="1004"/>
      <c r="VX84" s="1004"/>
      <c r="VY84" s="1004"/>
      <c r="VZ84" s="1004"/>
      <c r="WA84" s="1004"/>
      <c r="WB84" s="1004"/>
      <c r="WC84" s="1004"/>
      <c r="WD84" s="1004"/>
      <c r="WE84" s="1004"/>
      <c r="WF84" s="1004"/>
      <c r="WG84" s="1004"/>
      <c r="WH84" s="1004"/>
      <c r="WI84" s="1004"/>
      <c r="WJ84" s="1004"/>
      <c r="WK84" s="1004"/>
      <c r="WL84" s="1004"/>
      <c r="WM84" s="1004"/>
      <c r="WN84" s="1004"/>
      <c r="WO84" s="1004"/>
      <c r="WP84" s="1004"/>
      <c r="WQ84" s="1004"/>
      <c r="WR84" s="1004"/>
      <c r="WS84" s="1004"/>
      <c r="WT84" s="1004"/>
      <c r="WU84" s="1004"/>
      <c r="WV84" s="1004"/>
      <c r="WW84" s="1004"/>
      <c r="WX84" s="1004"/>
      <c r="WY84" s="1004"/>
      <c r="WZ84" s="1004"/>
      <c r="XA84" s="1004"/>
      <c r="XB84" s="1004"/>
      <c r="XC84" s="1004"/>
      <c r="XD84" s="1004"/>
      <c r="XE84" s="1004"/>
      <c r="XF84" s="1004"/>
      <c r="XG84" s="1004"/>
      <c r="XH84" s="1004"/>
      <c r="XI84" s="1004"/>
      <c r="XJ84" s="1004"/>
      <c r="XK84" s="1004"/>
      <c r="XL84" s="1004"/>
      <c r="XM84" s="1004"/>
      <c r="XN84" s="1004"/>
      <c r="XO84" s="1004"/>
      <c r="XP84" s="1004"/>
      <c r="XQ84" s="1004"/>
      <c r="XR84" s="1004"/>
      <c r="XS84" s="1004"/>
      <c r="XT84" s="1004"/>
      <c r="XU84" s="1004"/>
      <c r="XV84" s="1004"/>
      <c r="XW84" s="1004"/>
      <c r="XX84" s="1004"/>
      <c r="XY84" s="1004"/>
      <c r="XZ84" s="1004"/>
      <c r="YA84" s="1004"/>
      <c r="YB84" s="1004"/>
      <c r="YC84" s="1004"/>
      <c r="YD84" s="1004"/>
      <c r="YE84" s="1004"/>
      <c r="YF84" s="1004"/>
      <c r="YG84" s="1004"/>
      <c r="YH84" s="1004"/>
      <c r="YI84" s="1004"/>
      <c r="YJ84" s="1004"/>
      <c r="YK84" s="1004"/>
      <c r="YL84" s="1004"/>
      <c r="YM84" s="1004"/>
      <c r="YN84" s="1004"/>
      <c r="YO84" s="1004"/>
      <c r="YP84" s="1004"/>
      <c r="YQ84" s="1004"/>
      <c r="YR84" s="1004"/>
      <c r="YS84" s="1004"/>
      <c r="YT84" s="1004"/>
      <c r="YU84" s="1004"/>
      <c r="YV84" s="1004"/>
      <c r="YW84" s="1004"/>
      <c r="YX84" s="1004"/>
      <c r="YY84" s="1004"/>
      <c r="YZ84" s="1004"/>
      <c r="ZA84" s="1004"/>
      <c r="ZB84" s="1004"/>
      <c r="ZC84" s="1004"/>
      <c r="ZD84" s="1004"/>
      <c r="ZE84" s="1004"/>
      <c r="ZF84" s="1004"/>
      <c r="ZG84" s="1004"/>
      <c r="ZH84" s="1004"/>
      <c r="ZI84" s="1004"/>
      <c r="ZJ84" s="1004"/>
      <c r="ZK84" s="1004"/>
      <c r="ZL84" s="1004"/>
      <c r="ZM84" s="1004"/>
      <c r="ZN84" s="1004"/>
      <c r="ZO84" s="1004"/>
      <c r="ZP84" s="1004"/>
      <c r="ZQ84" s="1004"/>
      <c r="ZR84" s="1004"/>
      <c r="ZS84" s="1004"/>
      <c r="ZT84" s="1004"/>
      <c r="ZU84" s="1004"/>
      <c r="ZV84" s="1004"/>
      <c r="ZW84" s="1004"/>
      <c r="ZX84" s="1004"/>
      <c r="ZY84" s="1004"/>
      <c r="ZZ84" s="1004"/>
      <c r="AAA84" s="1004"/>
      <c r="AAB84" s="1004"/>
      <c r="AAC84" s="1004"/>
      <c r="AAD84" s="1004"/>
      <c r="AAE84" s="1004"/>
      <c r="AAF84" s="1004"/>
      <c r="AAG84" s="1004"/>
      <c r="AAH84" s="1004"/>
      <c r="AAI84" s="1004"/>
      <c r="AAJ84" s="1004"/>
      <c r="AAK84" s="1004"/>
      <c r="AAL84" s="1004"/>
      <c r="AAM84" s="1004"/>
      <c r="AAN84" s="1004"/>
      <c r="AAO84" s="1004"/>
      <c r="AAP84" s="1004"/>
      <c r="AAQ84" s="1004"/>
      <c r="AAR84" s="1004"/>
      <c r="AAS84" s="1004"/>
      <c r="AAT84" s="1004"/>
      <c r="AAU84" s="1004"/>
      <c r="AAV84" s="1004"/>
      <c r="AAW84" s="1004"/>
      <c r="AAX84" s="1004"/>
      <c r="AAY84" s="1004"/>
      <c r="AAZ84" s="1004"/>
      <c r="ABA84" s="1004"/>
      <c r="ABB84" s="1004"/>
      <c r="ABC84" s="1004"/>
      <c r="ABD84" s="1004"/>
      <c r="ABE84" s="1004"/>
      <c r="ABF84" s="1004"/>
      <c r="ABG84" s="1004"/>
      <c r="ABH84" s="1004"/>
      <c r="ABI84" s="1004"/>
      <c r="ABJ84" s="1004"/>
      <c r="ABK84" s="1004"/>
      <c r="ABL84" s="1004"/>
      <c r="ABM84" s="1004"/>
      <c r="ABN84" s="1004"/>
      <c r="ABO84" s="1004"/>
      <c r="ABP84" s="1004"/>
      <c r="ABQ84" s="1004"/>
      <c r="ABR84" s="1004"/>
    </row>
    <row r="85" spans="1:746" s="1" customFormat="1" ht="12.75" customHeight="1">
      <c r="A85" s="924"/>
      <c r="B85" s="554" t="s">
        <v>758</v>
      </c>
      <c r="C85" s="792" t="s">
        <v>752</v>
      </c>
      <c r="D85" s="146"/>
      <c r="E85" s="3033">
        <f>fx!C433</f>
        <v>0</v>
      </c>
      <c r="F85" s="3034"/>
      <c r="G85" s="3035"/>
      <c r="H85" s="2167"/>
      <c r="I85" s="2580">
        <f>IF(fx!I57=1,$E$85+I59-I76+I234,0)</f>
        <v>0</v>
      </c>
      <c r="J85" s="1769">
        <f>IF(AND(fx!I57=0,fx!J57=0),0,IF(AND(fx!I57=1,fx!J57=1),I85+J83-J84+J234,IF(AND(fx!I57=0,fx!J57=1),$E$85+J83-J84+J234)))</f>
        <v>0</v>
      </c>
      <c r="K85" s="1769">
        <f>IF(AND(fx!J57=0,fx!K57=0),0,IF(AND(fx!J57=1,fx!K57=1),J85+K83-K84+K234,IF(AND(fx!J57=0,fx!K57=1),$E$85+K83-K84+K234)))</f>
        <v>0</v>
      </c>
      <c r="L85" s="1769">
        <f>IF(AND(fx!K57=0,fx!L57=0),0,IF(AND(fx!K57=1,fx!L57=1),K85+L83-L84+L234,IF(AND(fx!K57=0,fx!L57=1),$E$85+L83-L84+L234)))</f>
        <v>0</v>
      </c>
      <c r="M85" s="1769">
        <f>IF(AND(fx!L57=0,fx!M57=0),0,IF(AND(fx!L57=1,fx!M57=1),L85+M83-M84+M234,IF(AND(fx!L57=0,fx!M57=1),$E$85+M83-M84+M234)))</f>
        <v>0</v>
      </c>
      <c r="N85" s="1769">
        <f>IF(AND(fx!M57=0,fx!N57=0),0,IF(AND(fx!M57=1,fx!N57=1),M85+N83-N84+N234,IF(AND(fx!M57=0,fx!N57=1),$E$85+N83-N84+N234)))</f>
        <v>0</v>
      </c>
      <c r="O85" s="1769">
        <f>IF(AND(fx!N57=0,fx!O57=0),0,IF(AND(fx!N57=1,fx!O57=1),N85+O83-O84+O234,IF(AND(fx!N57=0,fx!O57=1),$E$85+O83-O84+O234)))</f>
        <v>0</v>
      </c>
      <c r="P85" s="1769">
        <f>IF(AND(fx!O57=0,fx!P57=0),0,IF(AND(fx!O57=1,fx!P57=1),O85+P83-P84+P234,IF(AND(fx!O57=0,fx!P57=1),$E$85+P83-P84+P234)))</f>
        <v>0</v>
      </c>
      <c r="Q85" s="1769">
        <f>IF(AND(fx!P57=0,fx!Q57=0),0,IF(AND(fx!P57=1,fx!Q57=1),P85+Q83-Q84+Q234,IF(AND(fx!P57=0,fx!Q57=1),$E$85+Q83-Q84+Q234)))</f>
        <v>0</v>
      </c>
      <c r="R85" s="1769">
        <f>IF(AND(fx!Q57=0,fx!R57=0),0,IF(AND(fx!Q57=1,fx!R57=1),Q85+R83-R84+R234,IF(AND(fx!Q57=0,fx!R57=1),$E$85+R83-R84+R234)))</f>
        <v>0</v>
      </c>
      <c r="S85" s="1769">
        <f>IF(AND(fx!R57=0,fx!S57=0),0,IF(AND(fx!R57=1,fx!S57=1),R85+S83-S84+S234,IF(AND(fx!R57=0,fx!S57=1),$E$85+S83-S84+S234)))</f>
        <v>0</v>
      </c>
      <c r="T85" s="1769">
        <f>IF(AND(fx!S57=0,fx!T57=0),0,IF(AND(fx!S57=1,fx!T57=1),S85+T83-T84+T234,IF(AND(fx!S57=0,fx!T57=1),$E$85+T83-T84+T234)))</f>
        <v>0</v>
      </c>
      <c r="U85" s="1769">
        <f>T85+U83-U84+U234</f>
        <v>0</v>
      </c>
      <c r="V85" s="1769">
        <f t="shared" ref="V85:Y85" si="8">U85+V83-V84+V234</f>
        <v>0</v>
      </c>
      <c r="W85" s="1769">
        <f t="shared" si="8"/>
        <v>0</v>
      </c>
      <c r="X85" s="1769">
        <f t="shared" si="8"/>
        <v>0</v>
      </c>
      <c r="Y85" s="1769">
        <f t="shared" si="8"/>
        <v>0</v>
      </c>
      <c r="Z85" s="1769">
        <f t="shared" ref="Z85" si="9">Y85+Z83-Z84+Z234</f>
        <v>0</v>
      </c>
      <c r="AA85" s="1769">
        <f t="shared" ref="AA85" si="10">Z85+AA83-AA84+AA234</f>
        <v>0</v>
      </c>
      <c r="AB85" s="1769">
        <f t="shared" ref="AB85:AC85" si="11">AA85+AB83-AB84+AB234</f>
        <v>0</v>
      </c>
      <c r="AC85" s="1769">
        <f t="shared" si="11"/>
        <v>0</v>
      </c>
      <c r="AD85" s="1769">
        <f t="shared" ref="AD85" si="12">AC85+AD83-AD84+AD234</f>
        <v>0</v>
      </c>
      <c r="AE85" s="1769">
        <f t="shared" ref="AE85" si="13">AD85+AE83-AE84+AE234</f>
        <v>0</v>
      </c>
      <c r="AF85" s="1769">
        <f t="shared" ref="AF85" si="14">AE85+AF83-AF84+AF234</f>
        <v>0</v>
      </c>
      <c r="AG85" s="2214"/>
      <c r="AH85" s="5"/>
      <c r="AI85" s="5"/>
      <c r="AJ85" s="431">
        <f>IF(fx!C57=1,T85,AF85)</f>
        <v>0</v>
      </c>
      <c r="AK85" s="423"/>
      <c r="AL85" s="432">
        <f>IF(fx!C57=1,AF85,0)</f>
        <v>0</v>
      </c>
      <c r="AM85" s="1019"/>
      <c r="AN85" s="1918"/>
      <c r="AO85" s="1945"/>
      <c r="AP85" s="1935"/>
      <c r="AQ85" s="1936"/>
      <c r="AR85" s="1941"/>
      <c r="AS85" s="1941"/>
      <c r="AT85" s="1941"/>
      <c r="AU85" s="1941"/>
      <c r="AV85" s="1941"/>
      <c r="AW85" s="1941"/>
      <c r="AX85" s="1941"/>
      <c r="AY85" s="1941"/>
      <c r="AZ85" s="1941"/>
      <c r="BA85" s="1941"/>
      <c r="BB85" s="1941"/>
      <c r="BC85" s="1941"/>
      <c r="BD85" s="1941"/>
      <c r="BE85" s="1941"/>
      <c r="BF85" s="1941"/>
      <c r="BG85" s="1941"/>
      <c r="BH85" s="1941"/>
      <c r="BI85" s="1941"/>
      <c r="BJ85" s="1941"/>
      <c r="BK85" s="1941"/>
      <c r="BL85" s="1941"/>
      <c r="BM85" s="1941"/>
      <c r="BN85" s="1941"/>
      <c r="BO85" s="1941"/>
      <c r="BP85" s="1004"/>
      <c r="BQ85" s="1004"/>
      <c r="BR85" s="1004"/>
      <c r="BS85" s="1004"/>
      <c r="BT85" s="1004"/>
      <c r="BU85" s="1004"/>
      <c r="BV85" s="1004"/>
      <c r="BW85" s="1004"/>
      <c r="BX85" s="1004"/>
      <c r="BY85" s="1004"/>
      <c r="BZ85" s="1004"/>
      <c r="CA85" s="1004"/>
      <c r="CB85" s="1004"/>
      <c r="CC85" s="1004"/>
      <c r="CD85" s="1004"/>
      <c r="CE85" s="1004"/>
      <c r="CF85" s="1004"/>
      <c r="CG85" s="1004"/>
      <c r="CH85" s="1004"/>
      <c r="CI85" s="1004"/>
      <c r="CJ85" s="1004"/>
      <c r="CK85" s="1004"/>
      <c r="CL85" s="1004"/>
      <c r="CM85" s="1004"/>
      <c r="CN85" s="1004"/>
      <c r="CO85" s="1004"/>
      <c r="CP85" s="1004"/>
      <c r="CQ85" s="1004"/>
      <c r="CR85" s="1004"/>
      <c r="CS85" s="1004"/>
      <c r="CT85" s="1004"/>
      <c r="CU85" s="1004"/>
      <c r="CV85" s="1004"/>
      <c r="CW85" s="1004"/>
      <c r="CX85" s="1004"/>
      <c r="CY85" s="1004"/>
      <c r="CZ85" s="1004"/>
      <c r="DA85" s="1004"/>
      <c r="DB85" s="1004"/>
      <c r="DC85" s="1004"/>
      <c r="DD85" s="1004"/>
      <c r="DE85" s="1004"/>
      <c r="DF85" s="1004"/>
      <c r="DG85" s="1004"/>
      <c r="DH85" s="1004"/>
      <c r="DI85" s="1004"/>
      <c r="DJ85" s="1004"/>
      <c r="DK85" s="1004"/>
      <c r="DL85" s="1004"/>
      <c r="DM85" s="1004"/>
      <c r="DN85" s="1004"/>
      <c r="DO85" s="1004"/>
      <c r="DP85" s="1004"/>
      <c r="DQ85" s="1004"/>
      <c r="DR85" s="1004"/>
      <c r="DS85" s="1004"/>
      <c r="DT85" s="1004"/>
      <c r="DU85" s="1004"/>
      <c r="DV85" s="1004"/>
      <c r="DW85" s="1004"/>
      <c r="DX85" s="1004"/>
      <c r="DY85" s="1004"/>
      <c r="DZ85" s="1004"/>
      <c r="EA85" s="1004"/>
      <c r="EB85" s="1004"/>
      <c r="EC85" s="1004"/>
      <c r="ED85" s="1004"/>
      <c r="EE85" s="1004"/>
      <c r="EF85" s="1004"/>
      <c r="EG85" s="1004"/>
      <c r="EH85" s="1004"/>
      <c r="EI85" s="1004"/>
      <c r="EJ85" s="1004"/>
      <c r="EK85" s="1004"/>
      <c r="EL85" s="1004"/>
      <c r="EM85" s="1004"/>
      <c r="EN85" s="1004"/>
      <c r="EO85" s="1004"/>
      <c r="EP85" s="1004"/>
      <c r="EQ85" s="1004"/>
      <c r="ER85" s="1004"/>
      <c r="ES85" s="1004"/>
      <c r="ET85" s="1004"/>
      <c r="EU85" s="1004"/>
      <c r="EV85" s="1004"/>
      <c r="EW85" s="1004"/>
      <c r="EX85" s="1004"/>
      <c r="EY85" s="1004"/>
      <c r="EZ85" s="1004"/>
      <c r="FA85" s="1004"/>
      <c r="FB85" s="1004"/>
      <c r="FC85" s="1004"/>
      <c r="FD85" s="1004"/>
      <c r="FE85" s="1004"/>
      <c r="FF85" s="1004"/>
      <c r="FG85" s="1004"/>
      <c r="FH85" s="1004"/>
      <c r="FI85" s="1004"/>
      <c r="FJ85" s="1004"/>
      <c r="FK85" s="1004"/>
      <c r="FL85" s="1004"/>
      <c r="FM85" s="1004"/>
      <c r="FN85" s="1004"/>
      <c r="FO85" s="1004"/>
      <c r="FP85" s="1004"/>
      <c r="FQ85" s="1004"/>
      <c r="FR85" s="1004"/>
      <c r="FS85" s="1004"/>
      <c r="FT85" s="1004"/>
      <c r="FU85" s="1004"/>
      <c r="FV85" s="1004"/>
      <c r="FW85" s="1004"/>
      <c r="FX85" s="1004"/>
      <c r="FY85" s="1004"/>
      <c r="FZ85" s="1004"/>
      <c r="GA85" s="1004"/>
      <c r="GB85" s="1004"/>
      <c r="GC85" s="1004"/>
      <c r="GD85" s="1004"/>
      <c r="GE85" s="1004"/>
      <c r="GF85" s="1004"/>
      <c r="GG85" s="1004"/>
      <c r="GH85" s="1004"/>
      <c r="GI85" s="1004"/>
      <c r="GJ85" s="1004"/>
      <c r="GK85" s="1004"/>
      <c r="GL85" s="1004"/>
      <c r="GM85" s="1004"/>
      <c r="GN85" s="1004"/>
      <c r="GO85" s="1004"/>
      <c r="GP85" s="1004"/>
      <c r="GQ85" s="1004"/>
      <c r="GR85" s="1004"/>
      <c r="GS85" s="1004"/>
      <c r="GT85" s="1004"/>
      <c r="GU85" s="1004"/>
      <c r="GV85" s="1004"/>
      <c r="GW85" s="1004"/>
      <c r="GX85" s="1004"/>
      <c r="GY85" s="1004"/>
      <c r="GZ85" s="1004"/>
      <c r="HA85" s="1004"/>
      <c r="HB85" s="1004"/>
      <c r="HC85" s="1004"/>
      <c r="HD85" s="1004"/>
      <c r="HE85" s="1004"/>
      <c r="HF85" s="1004"/>
      <c r="HG85" s="1004"/>
      <c r="HH85" s="1004"/>
      <c r="HI85" s="1004"/>
      <c r="HJ85" s="1004"/>
      <c r="HK85" s="1004"/>
      <c r="HL85" s="1004"/>
      <c r="HM85" s="1004"/>
      <c r="HN85" s="1004"/>
      <c r="HO85" s="1004"/>
      <c r="HP85" s="1004"/>
      <c r="HQ85" s="1004"/>
      <c r="HR85" s="1004"/>
      <c r="HS85" s="1004"/>
      <c r="HT85" s="1004"/>
      <c r="HU85" s="1004"/>
      <c r="HV85" s="1004"/>
      <c r="HW85" s="1004"/>
      <c r="HX85" s="1004"/>
      <c r="HY85" s="1004"/>
      <c r="HZ85" s="1004"/>
      <c r="IA85" s="1004"/>
      <c r="IB85" s="1004"/>
      <c r="IC85" s="1004"/>
      <c r="ID85" s="1004"/>
      <c r="IE85" s="1004"/>
      <c r="IF85" s="1004"/>
      <c r="IG85" s="1004"/>
      <c r="IH85" s="1004"/>
      <c r="II85" s="1004"/>
      <c r="IJ85" s="1004"/>
      <c r="IK85" s="1004"/>
      <c r="IL85" s="1004"/>
      <c r="IM85" s="1004"/>
      <c r="IN85" s="1004"/>
      <c r="IO85" s="1004"/>
      <c r="IP85" s="1004"/>
      <c r="IQ85" s="1004"/>
      <c r="IR85" s="1004"/>
      <c r="IS85" s="1004"/>
      <c r="IT85" s="1004"/>
      <c r="IU85" s="1004"/>
      <c r="IV85" s="1004"/>
      <c r="IW85" s="1004"/>
      <c r="IX85" s="1004"/>
      <c r="IY85" s="1004"/>
      <c r="IZ85" s="1004"/>
      <c r="JA85" s="1004"/>
      <c r="JB85" s="1004"/>
      <c r="JC85" s="1004"/>
      <c r="JD85" s="1004"/>
      <c r="JE85" s="1004"/>
      <c r="JF85" s="1004"/>
      <c r="JG85" s="1004"/>
      <c r="JH85" s="1004"/>
      <c r="JI85" s="1004"/>
      <c r="JJ85" s="1004"/>
      <c r="JK85" s="1004"/>
      <c r="JL85" s="1004"/>
      <c r="JM85" s="1004"/>
      <c r="JN85" s="1004"/>
      <c r="JO85" s="1004"/>
      <c r="JP85" s="1004"/>
      <c r="JQ85" s="1004"/>
      <c r="JR85" s="1004"/>
      <c r="JS85" s="1004"/>
      <c r="JT85" s="1004"/>
      <c r="JU85" s="1004"/>
      <c r="JV85" s="1004"/>
      <c r="JW85" s="1004"/>
      <c r="JX85" s="1004"/>
      <c r="JY85" s="1004"/>
      <c r="JZ85" s="1004"/>
      <c r="KA85" s="1004"/>
      <c r="KB85" s="1004"/>
      <c r="KC85" s="1004"/>
      <c r="KD85" s="1004"/>
      <c r="KE85" s="1004"/>
      <c r="KF85" s="1004"/>
      <c r="KG85" s="1004"/>
      <c r="KH85" s="1004"/>
      <c r="KI85" s="1004"/>
      <c r="KJ85" s="1004"/>
      <c r="KK85" s="1004"/>
      <c r="KL85" s="1004"/>
      <c r="KM85" s="1004"/>
      <c r="KN85" s="1004"/>
      <c r="KO85" s="1004"/>
      <c r="KP85" s="1004"/>
      <c r="KQ85" s="1004"/>
      <c r="KR85" s="1004"/>
      <c r="KS85" s="1004"/>
      <c r="KT85" s="1004"/>
      <c r="KU85" s="1004"/>
      <c r="KV85" s="1004"/>
      <c r="KW85" s="1004"/>
      <c r="KX85" s="1004"/>
      <c r="KY85" s="1004"/>
      <c r="KZ85" s="1004"/>
      <c r="LA85" s="1004"/>
      <c r="LB85" s="1004"/>
      <c r="LC85" s="1004"/>
      <c r="LD85" s="1004"/>
      <c r="LE85" s="1004"/>
      <c r="LF85" s="1004"/>
      <c r="LG85" s="1004"/>
      <c r="LH85" s="1004"/>
      <c r="LI85" s="1004"/>
      <c r="LJ85" s="1004"/>
      <c r="LK85" s="1004"/>
      <c r="LL85" s="1004"/>
      <c r="LM85" s="1004"/>
      <c r="LN85" s="1004"/>
      <c r="LO85" s="1004"/>
      <c r="LP85" s="1004"/>
      <c r="LQ85" s="1004"/>
      <c r="LR85" s="1004"/>
      <c r="LS85" s="1004"/>
      <c r="LT85" s="1004"/>
      <c r="LU85" s="1004"/>
      <c r="LV85" s="1004"/>
      <c r="LW85" s="1004"/>
      <c r="LX85" s="1004"/>
      <c r="LY85" s="1004"/>
      <c r="LZ85" s="1004"/>
      <c r="MA85" s="1004"/>
      <c r="MB85" s="1004"/>
      <c r="MC85" s="1004"/>
      <c r="MD85" s="1004"/>
      <c r="ME85" s="1004"/>
      <c r="MF85" s="1004"/>
      <c r="MG85" s="1004"/>
      <c r="MH85" s="1004"/>
      <c r="MI85" s="1004"/>
      <c r="MJ85" s="1004"/>
      <c r="MK85" s="1004"/>
      <c r="ML85" s="1004"/>
      <c r="MM85" s="1004"/>
      <c r="MN85" s="1004"/>
      <c r="MO85" s="1004"/>
      <c r="MP85" s="1004"/>
      <c r="MQ85" s="1004"/>
      <c r="MR85" s="1004"/>
      <c r="MS85" s="1004"/>
      <c r="MT85" s="1004"/>
      <c r="MU85" s="1004"/>
      <c r="MV85" s="1004"/>
      <c r="MW85" s="1004"/>
      <c r="MX85" s="1004"/>
      <c r="MY85" s="1004"/>
      <c r="MZ85" s="1004"/>
      <c r="NA85" s="1004"/>
      <c r="NB85" s="1004"/>
      <c r="NC85" s="1004"/>
      <c r="ND85" s="1004"/>
      <c r="NE85" s="1004"/>
      <c r="NF85" s="1004"/>
      <c r="NG85" s="1004"/>
      <c r="NH85" s="1004"/>
      <c r="NI85" s="1004"/>
      <c r="NJ85" s="1004"/>
      <c r="NK85" s="1004"/>
      <c r="NL85" s="1004"/>
      <c r="NM85" s="1004"/>
      <c r="NN85" s="1004"/>
      <c r="NO85" s="1004"/>
      <c r="NP85" s="1004"/>
      <c r="NQ85" s="1004"/>
      <c r="NR85" s="1004"/>
      <c r="NS85" s="1004"/>
      <c r="NT85" s="1004"/>
      <c r="NU85" s="1004"/>
      <c r="NV85" s="1004"/>
      <c r="NW85" s="1004"/>
      <c r="NX85" s="1004"/>
      <c r="NY85" s="1004"/>
      <c r="NZ85" s="1004"/>
      <c r="OA85" s="1004"/>
      <c r="OB85" s="1004"/>
      <c r="OC85" s="1004"/>
      <c r="OD85" s="1004"/>
      <c r="OE85" s="1004"/>
      <c r="OF85" s="1004"/>
      <c r="OG85" s="1004"/>
      <c r="OH85" s="1004"/>
      <c r="OI85" s="1004"/>
      <c r="OJ85" s="1004"/>
      <c r="OK85" s="1004"/>
      <c r="OL85" s="1004"/>
      <c r="OM85" s="1004"/>
      <c r="ON85" s="1004"/>
      <c r="OO85" s="1004"/>
      <c r="OP85" s="1004"/>
      <c r="OQ85" s="1004"/>
      <c r="OR85" s="1004"/>
      <c r="OS85" s="1004"/>
      <c r="OT85" s="1004"/>
      <c r="OU85" s="1004"/>
      <c r="OV85" s="1004"/>
      <c r="OW85" s="1004"/>
      <c r="OX85" s="1004"/>
      <c r="OY85" s="1004"/>
      <c r="OZ85" s="1004"/>
      <c r="PA85" s="1004"/>
      <c r="PB85" s="1004"/>
      <c r="PC85" s="1004"/>
      <c r="PD85" s="1004"/>
      <c r="PE85" s="1004"/>
      <c r="PF85" s="1004"/>
      <c r="PG85" s="1004"/>
      <c r="PH85" s="1004"/>
      <c r="PI85" s="1004"/>
      <c r="PJ85" s="1004"/>
      <c r="PK85" s="1004"/>
      <c r="PL85" s="1004"/>
      <c r="PM85" s="1004"/>
      <c r="PN85" s="1004"/>
      <c r="PO85" s="1004"/>
      <c r="PP85" s="1004"/>
      <c r="PQ85" s="1004"/>
      <c r="PR85" s="1004"/>
      <c r="PS85" s="1004"/>
      <c r="PT85" s="1004"/>
      <c r="PU85" s="1004"/>
      <c r="PV85" s="1004"/>
      <c r="PW85" s="1004"/>
      <c r="PX85" s="1004"/>
      <c r="PY85" s="1004"/>
      <c r="PZ85" s="1004"/>
      <c r="QA85" s="1004"/>
      <c r="QB85" s="1004"/>
      <c r="QC85" s="1004"/>
      <c r="QD85" s="1004"/>
      <c r="QE85" s="1004"/>
      <c r="QF85" s="1004"/>
      <c r="QG85" s="1004"/>
      <c r="QH85" s="1004"/>
      <c r="QI85" s="1004"/>
      <c r="QJ85" s="1004"/>
      <c r="QK85" s="1004"/>
      <c r="QL85" s="1004"/>
      <c r="QM85" s="1004"/>
      <c r="QN85" s="1004"/>
      <c r="QO85" s="1004"/>
      <c r="QP85" s="1004"/>
      <c r="QQ85" s="1004"/>
      <c r="QR85" s="1004"/>
      <c r="QS85" s="1004"/>
      <c r="QT85" s="1004"/>
      <c r="QU85" s="1004"/>
      <c r="QV85" s="1004"/>
      <c r="QW85" s="1004"/>
      <c r="QX85" s="1004"/>
      <c r="QY85" s="1004"/>
      <c r="QZ85" s="1004"/>
      <c r="RA85" s="1004"/>
      <c r="RB85" s="1004"/>
      <c r="RC85" s="1004"/>
      <c r="RD85" s="1004"/>
      <c r="RE85" s="1004"/>
      <c r="RF85" s="1004"/>
      <c r="RG85" s="1004"/>
      <c r="RH85" s="1004"/>
      <c r="RI85" s="1004"/>
      <c r="RJ85" s="1004"/>
      <c r="RK85" s="1004"/>
      <c r="RL85" s="1004"/>
      <c r="RM85" s="1004"/>
      <c r="RN85" s="1004"/>
      <c r="RO85" s="1004"/>
      <c r="RP85" s="1004"/>
      <c r="RQ85" s="1004"/>
      <c r="RR85" s="1004"/>
      <c r="RS85" s="1004"/>
      <c r="RT85" s="1004"/>
      <c r="RU85" s="1004"/>
      <c r="RV85" s="1004"/>
      <c r="RW85" s="1004"/>
      <c r="RX85" s="1004"/>
      <c r="RY85" s="1004"/>
      <c r="RZ85" s="1004"/>
      <c r="SA85" s="1004"/>
      <c r="SB85" s="1004"/>
      <c r="SC85" s="1004"/>
      <c r="SD85" s="1004"/>
      <c r="SE85" s="1004"/>
      <c r="SF85" s="1004"/>
      <c r="SG85" s="1004"/>
      <c r="SH85" s="1004"/>
      <c r="SI85" s="1004"/>
      <c r="SJ85" s="1004"/>
      <c r="SK85" s="1004"/>
      <c r="SL85" s="1004"/>
      <c r="SM85" s="1004"/>
      <c r="SN85" s="1004"/>
      <c r="SO85" s="1004"/>
      <c r="SP85" s="1004"/>
      <c r="SQ85" s="1004"/>
      <c r="SR85" s="1004"/>
      <c r="SS85" s="1004"/>
      <c r="ST85" s="1004"/>
      <c r="SU85" s="1004"/>
      <c r="SV85" s="1004"/>
      <c r="SW85" s="1004"/>
      <c r="SX85" s="1004"/>
      <c r="SY85" s="1004"/>
      <c r="SZ85" s="1004"/>
      <c r="TA85" s="1004"/>
      <c r="TB85" s="1004"/>
      <c r="TC85" s="1004"/>
      <c r="TD85" s="1004"/>
      <c r="TE85" s="1004"/>
      <c r="TF85" s="1004"/>
      <c r="TG85" s="1004"/>
      <c r="TH85" s="1004"/>
      <c r="TI85" s="1004"/>
      <c r="TJ85" s="1004"/>
      <c r="TK85" s="1004"/>
      <c r="TL85" s="1004"/>
      <c r="TM85" s="1004"/>
      <c r="TN85" s="1004"/>
      <c r="TO85" s="1004"/>
      <c r="TP85" s="1004"/>
      <c r="TQ85" s="1004"/>
      <c r="TR85" s="1004"/>
      <c r="TS85" s="1004"/>
      <c r="TT85" s="1004"/>
      <c r="TU85" s="1004"/>
      <c r="TV85" s="1004"/>
      <c r="TW85" s="1004"/>
      <c r="TX85" s="1004"/>
      <c r="TY85" s="1004"/>
      <c r="TZ85" s="1004"/>
      <c r="UA85" s="1004"/>
      <c r="UB85" s="1004"/>
      <c r="UC85" s="1004"/>
      <c r="UD85" s="1004"/>
      <c r="UE85" s="1004"/>
      <c r="UF85" s="1004"/>
      <c r="UG85" s="1004"/>
      <c r="UH85" s="1004"/>
      <c r="UI85" s="1004"/>
      <c r="UJ85" s="1004"/>
      <c r="UK85" s="1004"/>
      <c r="UL85" s="1004"/>
      <c r="UM85" s="1004"/>
      <c r="UN85" s="1004"/>
      <c r="UO85" s="1004"/>
      <c r="UP85" s="1004"/>
      <c r="UQ85" s="1004"/>
      <c r="UR85" s="1004"/>
      <c r="US85" s="1004"/>
      <c r="UT85" s="1004"/>
      <c r="UU85" s="1004"/>
      <c r="UV85" s="1004"/>
      <c r="UW85" s="1004"/>
      <c r="UX85" s="1004"/>
      <c r="UY85" s="1004"/>
      <c r="UZ85" s="1004"/>
      <c r="VA85" s="1004"/>
      <c r="VB85" s="1004"/>
      <c r="VC85" s="1004"/>
      <c r="VD85" s="1004"/>
      <c r="VE85" s="1004"/>
      <c r="VF85" s="1004"/>
      <c r="VG85" s="1004"/>
      <c r="VH85" s="1004"/>
      <c r="VI85" s="1004"/>
      <c r="VJ85" s="1004"/>
      <c r="VK85" s="1004"/>
      <c r="VL85" s="1004"/>
      <c r="VM85" s="1004"/>
      <c r="VN85" s="1004"/>
      <c r="VO85" s="1004"/>
      <c r="VP85" s="1004"/>
      <c r="VQ85" s="1004"/>
      <c r="VR85" s="1004"/>
      <c r="VS85" s="1004"/>
      <c r="VT85" s="1004"/>
      <c r="VU85" s="1004"/>
      <c r="VV85" s="1004"/>
      <c r="VW85" s="1004"/>
      <c r="VX85" s="1004"/>
      <c r="VY85" s="1004"/>
      <c r="VZ85" s="1004"/>
      <c r="WA85" s="1004"/>
      <c r="WB85" s="1004"/>
      <c r="WC85" s="1004"/>
      <c r="WD85" s="1004"/>
      <c r="WE85" s="1004"/>
      <c r="WF85" s="1004"/>
      <c r="WG85" s="1004"/>
      <c r="WH85" s="1004"/>
      <c r="WI85" s="1004"/>
      <c r="WJ85" s="1004"/>
      <c r="WK85" s="1004"/>
      <c r="WL85" s="1004"/>
      <c r="WM85" s="1004"/>
      <c r="WN85" s="1004"/>
      <c r="WO85" s="1004"/>
      <c r="WP85" s="1004"/>
      <c r="WQ85" s="1004"/>
      <c r="WR85" s="1004"/>
      <c r="WS85" s="1004"/>
      <c r="WT85" s="1004"/>
      <c r="WU85" s="1004"/>
      <c r="WV85" s="1004"/>
      <c r="WW85" s="1004"/>
      <c r="WX85" s="1004"/>
      <c r="WY85" s="1004"/>
      <c r="WZ85" s="1004"/>
      <c r="XA85" s="1004"/>
      <c r="XB85" s="1004"/>
      <c r="XC85" s="1004"/>
      <c r="XD85" s="1004"/>
      <c r="XE85" s="1004"/>
      <c r="XF85" s="1004"/>
      <c r="XG85" s="1004"/>
      <c r="XH85" s="1004"/>
      <c r="XI85" s="1004"/>
      <c r="XJ85" s="1004"/>
      <c r="XK85" s="1004"/>
      <c r="XL85" s="1004"/>
      <c r="XM85" s="1004"/>
      <c r="XN85" s="1004"/>
      <c r="XO85" s="1004"/>
      <c r="XP85" s="1004"/>
      <c r="XQ85" s="1004"/>
      <c r="XR85" s="1004"/>
      <c r="XS85" s="1004"/>
      <c r="XT85" s="1004"/>
      <c r="XU85" s="1004"/>
      <c r="XV85" s="1004"/>
      <c r="XW85" s="1004"/>
      <c r="XX85" s="1004"/>
      <c r="XY85" s="1004"/>
      <c r="XZ85" s="1004"/>
      <c r="YA85" s="1004"/>
      <c r="YB85" s="1004"/>
      <c r="YC85" s="1004"/>
      <c r="YD85" s="1004"/>
      <c r="YE85" s="1004"/>
      <c r="YF85" s="1004"/>
      <c r="YG85" s="1004"/>
      <c r="YH85" s="1004"/>
      <c r="YI85" s="1004"/>
      <c r="YJ85" s="1004"/>
      <c r="YK85" s="1004"/>
      <c r="YL85" s="1004"/>
      <c r="YM85" s="1004"/>
      <c r="YN85" s="1004"/>
      <c r="YO85" s="1004"/>
      <c r="YP85" s="1004"/>
      <c r="YQ85" s="1004"/>
      <c r="YR85" s="1004"/>
      <c r="YS85" s="1004"/>
      <c r="YT85" s="1004"/>
      <c r="YU85" s="1004"/>
      <c r="YV85" s="1004"/>
      <c r="YW85" s="1004"/>
      <c r="YX85" s="1004"/>
      <c r="YY85" s="1004"/>
      <c r="YZ85" s="1004"/>
      <c r="ZA85" s="1004"/>
      <c r="ZB85" s="1004"/>
      <c r="ZC85" s="1004"/>
      <c r="ZD85" s="1004"/>
      <c r="ZE85" s="1004"/>
      <c r="ZF85" s="1004"/>
      <c r="ZG85" s="1004"/>
      <c r="ZH85" s="1004"/>
      <c r="ZI85" s="1004"/>
      <c r="ZJ85" s="1004"/>
      <c r="ZK85" s="1004"/>
      <c r="ZL85" s="1004"/>
      <c r="ZM85" s="1004"/>
      <c r="ZN85" s="1004"/>
      <c r="ZO85" s="1004"/>
      <c r="ZP85" s="1004"/>
      <c r="ZQ85" s="1004"/>
      <c r="ZR85" s="1004"/>
      <c r="ZS85" s="1004"/>
      <c r="ZT85" s="1004"/>
      <c r="ZU85" s="1004"/>
      <c r="ZV85" s="1004"/>
      <c r="ZW85" s="1004"/>
      <c r="ZX85" s="1004"/>
      <c r="ZY85" s="1004"/>
      <c r="ZZ85" s="1004"/>
      <c r="AAA85" s="1004"/>
      <c r="AAB85" s="1004"/>
      <c r="AAC85" s="1004"/>
      <c r="AAD85" s="1004"/>
      <c r="AAE85" s="1004"/>
      <c r="AAF85" s="1004"/>
      <c r="AAG85" s="1004"/>
      <c r="AAH85" s="1004"/>
      <c r="AAI85" s="1004"/>
      <c r="AAJ85" s="1004"/>
      <c r="AAK85" s="1004"/>
      <c r="AAL85" s="1004"/>
      <c r="AAM85" s="1004"/>
      <c r="AAN85" s="1004"/>
      <c r="AAO85" s="1004"/>
      <c r="AAP85" s="1004"/>
      <c r="AAQ85" s="1004"/>
      <c r="AAR85" s="1004"/>
      <c r="AAS85" s="1004"/>
      <c r="AAT85" s="1004"/>
      <c r="AAU85" s="1004"/>
      <c r="AAV85" s="1004"/>
      <c r="AAW85" s="1004"/>
      <c r="AAX85" s="1004"/>
      <c r="AAY85" s="1004"/>
      <c r="AAZ85" s="1004"/>
      <c r="ABA85" s="1004"/>
      <c r="ABB85" s="1004"/>
      <c r="ABC85" s="1004"/>
      <c r="ABD85" s="1004"/>
      <c r="ABE85" s="1004"/>
      <c r="ABF85" s="1004"/>
      <c r="ABG85" s="1004"/>
      <c r="ABH85" s="1004"/>
      <c r="ABI85" s="1004"/>
      <c r="ABJ85" s="1004"/>
      <c r="ABK85" s="1004"/>
      <c r="ABL85" s="1004"/>
      <c r="ABM85" s="1004"/>
      <c r="ABN85" s="1004"/>
      <c r="ABO85" s="1004"/>
      <c r="ABP85" s="1004"/>
      <c r="ABQ85" s="1004"/>
      <c r="ABR85" s="1004"/>
    </row>
    <row r="86" spans="1:746" s="1" customFormat="1" ht="12.75" customHeight="1">
      <c r="A86" s="927"/>
      <c r="B86" s="1793"/>
      <c r="C86" s="1796"/>
      <c r="D86" s="1796"/>
      <c r="E86" s="1308"/>
      <c r="F86" s="1308"/>
      <c r="G86" s="1309"/>
      <c r="H86" s="1844"/>
      <c r="I86" s="2570" t="str">
        <f>IF(fx!I$57=0,"&gt;&gt;",IF($L$4=I$6,"","Välj 1-12 i P4"))</f>
        <v/>
      </c>
      <c r="J86" s="1843" t="str">
        <f>IF(fx!J$57=0,"&gt;&gt;",IF($L$4=J$6,"Startmånad",""))</f>
        <v/>
      </c>
      <c r="K86" s="1843" t="str">
        <f>IF(fx!K$57=0,"&gt;&gt;",IF($L$4=K$6,"Startmånad",""))</f>
        <v/>
      </c>
      <c r="L86" s="1843" t="str">
        <f>IF(fx!L$57=0,"&gt;&gt;",IF($L$4=L$6,"Startmånad",""))</f>
        <v/>
      </c>
      <c r="M86" s="1843" t="str">
        <f>IF(fx!M$57=0,"&gt;&gt;",IF($L$4=M$6,"Startmånad",""))</f>
        <v/>
      </c>
      <c r="N86" s="1843" t="str">
        <f>IF(fx!N$57=0,"&gt;&gt;",IF($L$4=N$6,"Startmånad",""))</f>
        <v/>
      </c>
      <c r="O86" s="1843" t="str">
        <f>IF(AND(fx!$C$57=1,fx!O$57=0),"&gt;&gt;",IF(AND(fx!$C$57=1,$L$4=$O$6),"Startmånad",IF(AND(fx!$C$57=2,$L$4&lt;7),"Välj 7-12 i P4",IF(AND(fx!$C$57=2,$L$4=$O$6),"Startmånad",IF(AND(fx!$C$57=2,$L$4&gt;$O$6),"&gt;&gt;","")))))</f>
        <v/>
      </c>
      <c r="P86" s="1843" t="str">
        <f>IF(fx!P$57=0,"&gt;&gt;",IF($L$4=P$6,"Startmånad",""))</f>
        <v/>
      </c>
      <c r="Q86" s="1843" t="str">
        <f>IF(fx!Q$57=0,"&gt;&gt;",IF($L$4=Q$6,"Startmånad",""))</f>
        <v/>
      </c>
      <c r="R86" s="1843" t="str">
        <f>IF(fx!R$57=0,"&gt;&gt;",IF($L$4=R$6,"Startmånad",""))</f>
        <v/>
      </c>
      <c r="S86" s="1843" t="str">
        <f>IF(fx!S$57=0,"&gt;&gt;",IF($L$4=S$6,"Startmånad",""))</f>
        <v/>
      </c>
      <c r="T86" s="2717" t="str">
        <f>IF(fx!T$57=0,"&gt;&gt;",IF($L$4=T$6,"Startmånad",""))</f>
        <v/>
      </c>
      <c r="U86" s="2716"/>
      <c r="V86" s="1786"/>
      <c r="W86" s="1786"/>
      <c r="X86" s="1786"/>
      <c r="Y86" s="1786"/>
      <c r="Z86" s="1786"/>
      <c r="AA86" s="1786"/>
      <c r="AB86" s="1786"/>
      <c r="AC86" s="1786"/>
      <c r="AD86" s="1786"/>
      <c r="AE86" s="1786"/>
      <c r="AF86" s="1787"/>
      <c r="AG86" s="1786"/>
      <c r="AH86" s="1315"/>
      <c r="AI86" s="1315"/>
      <c r="AJ86" s="1282"/>
      <c r="AK86" s="1282"/>
      <c r="AL86" s="1282"/>
      <c r="AM86" s="1021"/>
      <c r="AN86" s="1015"/>
      <c r="AO86" s="1945"/>
      <c r="AP86" s="1935"/>
      <c r="AQ86" s="1936"/>
      <c r="AR86" s="1941"/>
      <c r="AS86" s="1941"/>
      <c r="AT86" s="1941"/>
      <c r="AU86" s="1941"/>
      <c r="AV86" s="1941"/>
      <c r="AW86" s="1941"/>
      <c r="AX86" s="1941"/>
      <c r="AY86" s="1941"/>
      <c r="AZ86" s="1941"/>
      <c r="BA86" s="1941"/>
      <c r="BB86" s="1941"/>
      <c r="BC86" s="1941"/>
      <c r="BD86" s="1941"/>
      <c r="BE86" s="1941"/>
      <c r="BF86" s="1941"/>
      <c r="BG86" s="1941"/>
      <c r="BH86" s="1941"/>
      <c r="BI86" s="1941"/>
      <c r="BJ86" s="1941"/>
      <c r="BK86" s="1941"/>
      <c r="BL86" s="1941"/>
      <c r="BM86" s="1941"/>
      <c r="BN86" s="1941"/>
      <c r="BO86" s="1941"/>
      <c r="BP86" s="1004"/>
      <c r="BQ86" s="1004"/>
      <c r="BR86" s="1004"/>
      <c r="BS86" s="1004"/>
      <c r="BT86" s="1004"/>
      <c r="BU86" s="1004"/>
      <c r="BV86" s="1004"/>
      <c r="BW86" s="1004"/>
      <c r="BX86" s="1004"/>
      <c r="BY86" s="1004"/>
      <c r="BZ86" s="1004"/>
      <c r="CA86" s="1004"/>
      <c r="CB86" s="1004"/>
      <c r="CC86" s="1004"/>
      <c r="CD86" s="1004"/>
      <c r="CE86" s="1004"/>
      <c r="CF86" s="1004"/>
      <c r="CG86" s="1004"/>
      <c r="CH86" s="1004"/>
      <c r="CI86" s="1004"/>
      <c r="CJ86" s="1004"/>
      <c r="CK86" s="1004"/>
      <c r="CL86" s="1004"/>
      <c r="CM86" s="1004"/>
      <c r="CN86" s="1004"/>
      <c r="CO86" s="1004"/>
      <c r="CP86" s="1004"/>
      <c r="CQ86" s="1004"/>
      <c r="CR86" s="1004"/>
      <c r="CS86" s="1004"/>
      <c r="CT86" s="1004"/>
      <c r="CU86" s="1004"/>
      <c r="CV86" s="1004"/>
      <c r="CW86" s="1004"/>
      <c r="CX86" s="1004"/>
      <c r="CY86" s="1004"/>
      <c r="CZ86" s="1004"/>
      <c r="DA86" s="1004"/>
      <c r="DB86" s="1004"/>
      <c r="DC86" s="1004"/>
      <c r="DD86" s="1004"/>
      <c r="DE86" s="1004"/>
      <c r="DF86" s="1004"/>
      <c r="DG86" s="1004"/>
      <c r="DH86" s="1004"/>
      <c r="DI86" s="1004"/>
      <c r="DJ86" s="1004"/>
      <c r="DK86" s="1004"/>
      <c r="DL86" s="1004"/>
      <c r="DM86" s="1004"/>
      <c r="DN86" s="1004"/>
      <c r="DO86" s="1004"/>
      <c r="DP86" s="1004"/>
      <c r="DQ86" s="1004"/>
      <c r="DR86" s="1004"/>
      <c r="DS86" s="1004"/>
      <c r="DT86" s="1004"/>
      <c r="DU86" s="1004"/>
      <c r="DV86" s="1004"/>
      <c r="DW86" s="1004"/>
      <c r="DX86" s="1004"/>
      <c r="DY86" s="1004"/>
      <c r="DZ86" s="1004"/>
      <c r="EA86" s="1004"/>
      <c r="EB86" s="1004"/>
      <c r="EC86" s="1004"/>
      <c r="ED86" s="1004"/>
      <c r="EE86" s="1004"/>
      <c r="EF86" s="1004"/>
      <c r="EG86" s="1004"/>
      <c r="EH86" s="1004"/>
      <c r="EI86" s="1004"/>
      <c r="EJ86" s="1004"/>
      <c r="EK86" s="1004"/>
      <c r="EL86" s="1004"/>
      <c r="EM86" s="1004"/>
      <c r="EN86" s="1004"/>
      <c r="EO86" s="1004"/>
      <c r="EP86" s="1004"/>
      <c r="EQ86" s="1004"/>
      <c r="ER86" s="1004"/>
      <c r="ES86" s="1004"/>
      <c r="ET86" s="1004"/>
      <c r="EU86" s="1004"/>
      <c r="EV86" s="1004"/>
      <c r="EW86" s="1004"/>
      <c r="EX86" s="1004"/>
      <c r="EY86" s="1004"/>
      <c r="EZ86" s="1004"/>
      <c r="FA86" s="1004"/>
      <c r="FB86" s="1004"/>
      <c r="FC86" s="1004"/>
      <c r="FD86" s="1004"/>
      <c r="FE86" s="1004"/>
      <c r="FF86" s="1004"/>
      <c r="FG86" s="1004"/>
      <c r="FH86" s="1004"/>
      <c r="FI86" s="1004"/>
      <c r="FJ86" s="1004"/>
      <c r="FK86" s="1004"/>
      <c r="FL86" s="1004"/>
      <c r="FM86" s="1004"/>
      <c r="FN86" s="1004"/>
      <c r="FO86" s="1004"/>
      <c r="FP86" s="1004"/>
      <c r="FQ86" s="1004"/>
      <c r="FR86" s="1004"/>
      <c r="FS86" s="1004"/>
      <c r="FT86" s="1004"/>
      <c r="FU86" s="1004"/>
      <c r="FV86" s="1004"/>
      <c r="FW86" s="1004"/>
      <c r="FX86" s="1004"/>
      <c r="FY86" s="1004"/>
      <c r="FZ86" s="1004"/>
      <c r="GA86" s="1004"/>
      <c r="GB86" s="1004"/>
      <c r="GC86" s="1004"/>
      <c r="GD86" s="1004"/>
      <c r="GE86" s="1004"/>
      <c r="GF86" s="1004"/>
      <c r="GG86" s="1004"/>
      <c r="GH86" s="1004"/>
      <c r="GI86" s="1004"/>
      <c r="GJ86" s="1004"/>
      <c r="GK86" s="1004"/>
      <c r="GL86" s="1004"/>
      <c r="GM86" s="1004"/>
      <c r="GN86" s="1004"/>
      <c r="GO86" s="1004"/>
      <c r="GP86" s="1004"/>
      <c r="GQ86" s="1004"/>
      <c r="GR86" s="1004"/>
      <c r="GS86" s="1004"/>
      <c r="GT86" s="1004"/>
      <c r="GU86" s="1004"/>
      <c r="GV86" s="1004"/>
      <c r="GW86" s="1004"/>
      <c r="GX86" s="1004"/>
      <c r="GY86" s="1004"/>
      <c r="GZ86" s="1004"/>
      <c r="HA86" s="1004"/>
      <c r="HB86" s="1004"/>
      <c r="HC86" s="1004"/>
      <c r="HD86" s="1004"/>
      <c r="HE86" s="1004"/>
      <c r="HF86" s="1004"/>
      <c r="HG86" s="1004"/>
      <c r="HH86" s="1004"/>
      <c r="HI86" s="1004"/>
      <c r="HJ86" s="1004"/>
      <c r="HK86" s="1004"/>
      <c r="HL86" s="1004"/>
      <c r="HM86" s="1004"/>
      <c r="HN86" s="1004"/>
      <c r="HO86" s="1004"/>
      <c r="HP86" s="1004"/>
      <c r="HQ86" s="1004"/>
      <c r="HR86" s="1004"/>
      <c r="HS86" s="1004"/>
      <c r="HT86" s="1004"/>
      <c r="HU86" s="1004"/>
      <c r="HV86" s="1004"/>
      <c r="HW86" s="1004"/>
      <c r="HX86" s="1004"/>
      <c r="HY86" s="1004"/>
      <c r="HZ86" s="1004"/>
      <c r="IA86" s="1004"/>
      <c r="IB86" s="1004"/>
      <c r="IC86" s="1004"/>
      <c r="ID86" s="1004"/>
      <c r="IE86" s="1004"/>
      <c r="IF86" s="1004"/>
      <c r="IG86" s="1004"/>
      <c r="IH86" s="1004"/>
      <c r="II86" s="1004"/>
      <c r="IJ86" s="1004"/>
      <c r="IK86" s="1004"/>
      <c r="IL86" s="1004"/>
      <c r="IM86" s="1004"/>
      <c r="IN86" s="1004"/>
      <c r="IO86" s="1004"/>
      <c r="IP86" s="1004"/>
      <c r="IQ86" s="1004"/>
      <c r="IR86" s="1004"/>
      <c r="IS86" s="1004"/>
      <c r="IT86" s="1004"/>
      <c r="IU86" s="1004"/>
      <c r="IV86" s="1004"/>
      <c r="IW86" s="1004"/>
      <c r="IX86" s="1004"/>
      <c r="IY86" s="1004"/>
      <c r="IZ86" s="1004"/>
      <c r="JA86" s="1004"/>
      <c r="JB86" s="1004"/>
      <c r="JC86" s="1004"/>
      <c r="JD86" s="1004"/>
      <c r="JE86" s="1004"/>
      <c r="JF86" s="1004"/>
      <c r="JG86" s="1004"/>
      <c r="JH86" s="1004"/>
      <c r="JI86" s="1004"/>
      <c r="JJ86" s="1004"/>
      <c r="JK86" s="1004"/>
      <c r="JL86" s="1004"/>
      <c r="JM86" s="1004"/>
      <c r="JN86" s="1004"/>
      <c r="JO86" s="1004"/>
      <c r="JP86" s="1004"/>
      <c r="JQ86" s="1004"/>
      <c r="JR86" s="1004"/>
      <c r="JS86" s="1004"/>
      <c r="JT86" s="1004"/>
      <c r="JU86" s="1004"/>
      <c r="JV86" s="1004"/>
      <c r="JW86" s="1004"/>
      <c r="JX86" s="1004"/>
      <c r="JY86" s="1004"/>
      <c r="JZ86" s="1004"/>
      <c r="KA86" s="1004"/>
      <c r="KB86" s="1004"/>
      <c r="KC86" s="1004"/>
      <c r="KD86" s="1004"/>
      <c r="KE86" s="1004"/>
      <c r="KF86" s="1004"/>
      <c r="KG86" s="1004"/>
      <c r="KH86" s="1004"/>
      <c r="KI86" s="1004"/>
      <c r="KJ86" s="1004"/>
      <c r="KK86" s="1004"/>
      <c r="KL86" s="1004"/>
      <c r="KM86" s="1004"/>
      <c r="KN86" s="1004"/>
      <c r="KO86" s="1004"/>
      <c r="KP86" s="1004"/>
      <c r="KQ86" s="1004"/>
      <c r="KR86" s="1004"/>
      <c r="KS86" s="1004"/>
      <c r="KT86" s="1004"/>
      <c r="KU86" s="1004"/>
      <c r="KV86" s="1004"/>
      <c r="KW86" s="1004"/>
      <c r="KX86" s="1004"/>
      <c r="KY86" s="1004"/>
      <c r="KZ86" s="1004"/>
      <c r="LA86" s="1004"/>
      <c r="LB86" s="1004"/>
      <c r="LC86" s="1004"/>
      <c r="LD86" s="1004"/>
      <c r="LE86" s="1004"/>
      <c r="LF86" s="1004"/>
      <c r="LG86" s="1004"/>
      <c r="LH86" s="1004"/>
      <c r="LI86" s="1004"/>
      <c r="LJ86" s="1004"/>
      <c r="LK86" s="1004"/>
      <c r="LL86" s="1004"/>
      <c r="LM86" s="1004"/>
      <c r="LN86" s="1004"/>
      <c r="LO86" s="1004"/>
      <c r="LP86" s="1004"/>
      <c r="LQ86" s="1004"/>
      <c r="LR86" s="1004"/>
      <c r="LS86" s="1004"/>
      <c r="LT86" s="1004"/>
      <c r="LU86" s="1004"/>
      <c r="LV86" s="1004"/>
      <c r="LW86" s="1004"/>
      <c r="LX86" s="1004"/>
      <c r="LY86" s="1004"/>
      <c r="LZ86" s="1004"/>
      <c r="MA86" s="1004"/>
      <c r="MB86" s="1004"/>
      <c r="MC86" s="1004"/>
      <c r="MD86" s="1004"/>
      <c r="ME86" s="1004"/>
      <c r="MF86" s="1004"/>
      <c r="MG86" s="1004"/>
      <c r="MH86" s="1004"/>
      <c r="MI86" s="1004"/>
      <c r="MJ86" s="1004"/>
      <c r="MK86" s="1004"/>
      <c r="ML86" s="1004"/>
      <c r="MM86" s="1004"/>
      <c r="MN86" s="1004"/>
      <c r="MO86" s="1004"/>
      <c r="MP86" s="1004"/>
      <c r="MQ86" s="1004"/>
      <c r="MR86" s="1004"/>
      <c r="MS86" s="1004"/>
      <c r="MT86" s="1004"/>
      <c r="MU86" s="1004"/>
      <c r="MV86" s="1004"/>
      <c r="MW86" s="1004"/>
      <c r="MX86" s="1004"/>
      <c r="MY86" s="1004"/>
      <c r="MZ86" s="1004"/>
      <c r="NA86" s="1004"/>
      <c r="NB86" s="1004"/>
      <c r="NC86" s="1004"/>
      <c r="ND86" s="1004"/>
      <c r="NE86" s="1004"/>
      <c r="NF86" s="1004"/>
      <c r="NG86" s="1004"/>
      <c r="NH86" s="1004"/>
      <c r="NI86" s="1004"/>
      <c r="NJ86" s="1004"/>
      <c r="NK86" s="1004"/>
      <c r="NL86" s="1004"/>
      <c r="NM86" s="1004"/>
      <c r="NN86" s="1004"/>
      <c r="NO86" s="1004"/>
      <c r="NP86" s="1004"/>
      <c r="NQ86" s="1004"/>
      <c r="NR86" s="1004"/>
      <c r="NS86" s="1004"/>
      <c r="NT86" s="1004"/>
      <c r="NU86" s="1004"/>
      <c r="NV86" s="1004"/>
      <c r="NW86" s="1004"/>
      <c r="NX86" s="1004"/>
      <c r="NY86" s="1004"/>
      <c r="NZ86" s="1004"/>
      <c r="OA86" s="1004"/>
      <c r="OB86" s="1004"/>
      <c r="OC86" s="1004"/>
      <c r="OD86" s="1004"/>
      <c r="OE86" s="1004"/>
      <c r="OF86" s="1004"/>
      <c r="OG86" s="1004"/>
      <c r="OH86" s="1004"/>
      <c r="OI86" s="1004"/>
      <c r="OJ86" s="1004"/>
      <c r="OK86" s="1004"/>
      <c r="OL86" s="1004"/>
      <c r="OM86" s="1004"/>
      <c r="ON86" s="1004"/>
      <c r="OO86" s="1004"/>
      <c r="OP86" s="1004"/>
      <c r="OQ86" s="1004"/>
      <c r="OR86" s="1004"/>
      <c r="OS86" s="1004"/>
      <c r="OT86" s="1004"/>
      <c r="OU86" s="1004"/>
      <c r="OV86" s="1004"/>
      <c r="OW86" s="1004"/>
      <c r="OX86" s="1004"/>
      <c r="OY86" s="1004"/>
      <c r="OZ86" s="1004"/>
      <c r="PA86" s="1004"/>
      <c r="PB86" s="1004"/>
      <c r="PC86" s="1004"/>
      <c r="PD86" s="1004"/>
      <c r="PE86" s="1004"/>
      <c r="PF86" s="1004"/>
      <c r="PG86" s="1004"/>
      <c r="PH86" s="1004"/>
      <c r="PI86" s="1004"/>
      <c r="PJ86" s="1004"/>
      <c r="PK86" s="1004"/>
      <c r="PL86" s="1004"/>
      <c r="PM86" s="1004"/>
      <c r="PN86" s="1004"/>
      <c r="PO86" s="1004"/>
      <c r="PP86" s="1004"/>
      <c r="PQ86" s="1004"/>
      <c r="PR86" s="1004"/>
      <c r="PS86" s="1004"/>
      <c r="PT86" s="1004"/>
      <c r="PU86" s="1004"/>
      <c r="PV86" s="1004"/>
      <c r="PW86" s="1004"/>
      <c r="PX86" s="1004"/>
      <c r="PY86" s="1004"/>
      <c r="PZ86" s="1004"/>
      <c r="QA86" s="1004"/>
      <c r="QB86" s="1004"/>
      <c r="QC86" s="1004"/>
      <c r="QD86" s="1004"/>
      <c r="QE86" s="1004"/>
      <c r="QF86" s="1004"/>
      <c r="QG86" s="1004"/>
      <c r="QH86" s="1004"/>
      <c r="QI86" s="1004"/>
      <c r="QJ86" s="1004"/>
      <c r="QK86" s="1004"/>
      <c r="QL86" s="1004"/>
      <c r="QM86" s="1004"/>
      <c r="QN86" s="1004"/>
      <c r="QO86" s="1004"/>
      <c r="QP86" s="1004"/>
      <c r="QQ86" s="1004"/>
      <c r="QR86" s="1004"/>
      <c r="QS86" s="1004"/>
      <c r="QT86" s="1004"/>
      <c r="QU86" s="1004"/>
      <c r="QV86" s="1004"/>
      <c r="QW86" s="1004"/>
      <c r="QX86" s="1004"/>
      <c r="QY86" s="1004"/>
      <c r="QZ86" s="1004"/>
      <c r="RA86" s="1004"/>
      <c r="RB86" s="1004"/>
      <c r="RC86" s="1004"/>
      <c r="RD86" s="1004"/>
      <c r="RE86" s="1004"/>
      <c r="RF86" s="1004"/>
      <c r="RG86" s="1004"/>
      <c r="RH86" s="1004"/>
      <c r="RI86" s="1004"/>
      <c r="RJ86" s="1004"/>
      <c r="RK86" s="1004"/>
      <c r="RL86" s="1004"/>
      <c r="RM86" s="1004"/>
      <c r="RN86" s="1004"/>
      <c r="RO86" s="1004"/>
      <c r="RP86" s="1004"/>
      <c r="RQ86" s="1004"/>
      <c r="RR86" s="1004"/>
      <c r="RS86" s="1004"/>
      <c r="RT86" s="1004"/>
      <c r="RU86" s="1004"/>
      <c r="RV86" s="1004"/>
      <c r="RW86" s="1004"/>
      <c r="RX86" s="1004"/>
      <c r="RY86" s="1004"/>
      <c r="RZ86" s="1004"/>
      <c r="SA86" s="1004"/>
      <c r="SB86" s="1004"/>
      <c r="SC86" s="1004"/>
      <c r="SD86" s="1004"/>
      <c r="SE86" s="1004"/>
      <c r="SF86" s="1004"/>
      <c r="SG86" s="1004"/>
      <c r="SH86" s="1004"/>
      <c r="SI86" s="1004"/>
      <c r="SJ86" s="1004"/>
      <c r="SK86" s="1004"/>
      <c r="SL86" s="1004"/>
      <c r="SM86" s="1004"/>
      <c r="SN86" s="1004"/>
      <c r="SO86" s="1004"/>
      <c r="SP86" s="1004"/>
      <c r="SQ86" s="1004"/>
      <c r="SR86" s="1004"/>
      <c r="SS86" s="1004"/>
      <c r="ST86" s="1004"/>
      <c r="SU86" s="1004"/>
      <c r="SV86" s="1004"/>
      <c r="SW86" s="1004"/>
      <c r="SX86" s="1004"/>
      <c r="SY86" s="1004"/>
      <c r="SZ86" s="1004"/>
      <c r="TA86" s="1004"/>
      <c r="TB86" s="1004"/>
      <c r="TC86" s="1004"/>
      <c r="TD86" s="1004"/>
      <c r="TE86" s="1004"/>
      <c r="TF86" s="1004"/>
      <c r="TG86" s="1004"/>
      <c r="TH86" s="1004"/>
      <c r="TI86" s="1004"/>
      <c r="TJ86" s="1004"/>
      <c r="TK86" s="1004"/>
      <c r="TL86" s="1004"/>
      <c r="TM86" s="1004"/>
      <c r="TN86" s="1004"/>
      <c r="TO86" s="1004"/>
      <c r="TP86" s="1004"/>
      <c r="TQ86" s="1004"/>
      <c r="TR86" s="1004"/>
      <c r="TS86" s="1004"/>
      <c r="TT86" s="1004"/>
      <c r="TU86" s="1004"/>
      <c r="TV86" s="1004"/>
      <c r="TW86" s="1004"/>
      <c r="TX86" s="1004"/>
      <c r="TY86" s="1004"/>
      <c r="TZ86" s="1004"/>
      <c r="UA86" s="1004"/>
      <c r="UB86" s="1004"/>
      <c r="UC86" s="1004"/>
      <c r="UD86" s="1004"/>
      <c r="UE86" s="1004"/>
      <c r="UF86" s="1004"/>
      <c r="UG86" s="1004"/>
      <c r="UH86" s="1004"/>
      <c r="UI86" s="1004"/>
      <c r="UJ86" s="1004"/>
      <c r="UK86" s="1004"/>
      <c r="UL86" s="1004"/>
      <c r="UM86" s="1004"/>
      <c r="UN86" s="1004"/>
      <c r="UO86" s="1004"/>
      <c r="UP86" s="1004"/>
      <c r="UQ86" s="1004"/>
      <c r="UR86" s="1004"/>
      <c r="US86" s="1004"/>
      <c r="UT86" s="1004"/>
      <c r="UU86" s="1004"/>
      <c r="UV86" s="1004"/>
      <c r="UW86" s="1004"/>
      <c r="UX86" s="1004"/>
      <c r="UY86" s="1004"/>
      <c r="UZ86" s="1004"/>
      <c r="VA86" s="1004"/>
      <c r="VB86" s="1004"/>
      <c r="VC86" s="1004"/>
      <c r="VD86" s="1004"/>
      <c r="VE86" s="1004"/>
      <c r="VF86" s="1004"/>
      <c r="VG86" s="1004"/>
      <c r="VH86" s="1004"/>
      <c r="VI86" s="1004"/>
      <c r="VJ86" s="1004"/>
      <c r="VK86" s="1004"/>
      <c r="VL86" s="1004"/>
      <c r="VM86" s="1004"/>
      <c r="VN86" s="1004"/>
      <c r="VO86" s="1004"/>
      <c r="VP86" s="1004"/>
      <c r="VQ86" s="1004"/>
      <c r="VR86" s="1004"/>
      <c r="VS86" s="1004"/>
      <c r="VT86" s="1004"/>
      <c r="VU86" s="1004"/>
      <c r="VV86" s="1004"/>
      <c r="VW86" s="1004"/>
      <c r="VX86" s="1004"/>
      <c r="VY86" s="1004"/>
      <c r="VZ86" s="1004"/>
      <c r="WA86" s="1004"/>
      <c r="WB86" s="1004"/>
      <c r="WC86" s="1004"/>
      <c r="WD86" s="1004"/>
      <c r="WE86" s="1004"/>
      <c r="WF86" s="1004"/>
      <c r="WG86" s="1004"/>
      <c r="WH86" s="1004"/>
      <c r="WI86" s="1004"/>
      <c r="WJ86" s="1004"/>
      <c r="WK86" s="1004"/>
      <c r="WL86" s="1004"/>
      <c r="WM86" s="1004"/>
      <c r="WN86" s="1004"/>
      <c r="WO86" s="1004"/>
      <c r="WP86" s="1004"/>
      <c r="WQ86" s="1004"/>
      <c r="WR86" s="1004"/>
      <c r="WS86" s="1004"/>
      <c r="WT86" s="1004"/>
      <c r="WU86" s="1004"/>
      <c r="WV86" s="1004"/>
      <c r="WW86" s="1004"/>
      <c r="WX86" s="1004"/>
      <c r="WY86" s="1004"/>
      <c r="WZ86" s="1004"/>
      <c r="XA86" s="1004"/>
      <c r="XB86" s="1004"/>
      <c r="XC86" s="1004"/>
      <c r="XD86" s="1004"/>
      <c r="XE86" s="1004"/>
      <c r="XF86" s="1004"/>
      <c r="XG86" s="1004"/>
      <c r="XH86" s="1004"/>
      <c r="XI86" s="1004"/>
      <c r="XJ86" s="1004"/>
      <c r="XK86" s="1004"/>
      <c r="XL86" s="1004"/>
      <c r="XM86" s="1004"/>
      <c r="XN86" s="1004"/>
      <c r="XO86" s="1004"/>
      <c r="XP86" s="1004"/>
      <c r="XQ86" s="1004"/>
      <c r="XR86" s="1004"/>
      <c r="XS86" s="1004"/>
      <c r="XT86" s="1004"/>
      <c r="XU86" s="1004"/>
      <c r="XV86" s="1004"/>
      <c r="XW86" s="1004"/>
      <c r="XX86" s="1004"/>
      <c r="XY86" s="1004"/>
      <c r="XZ86" s="1004"/>
      <c r="YA86" s="1004"/>
      <c r="YB86" s="1004"/>
      <c r="YC86" s="1004"/>
      <c r="YD86" s="1004"/>
      <c r="YE86" s="1004"/>
      <c r="YF86" s="1004"/>
      <c r="YG86" s="1004"/>
      <c r="YH86" s="1004"/>
      <c r="YI86" s="1004"/>
      <c r="YJ86" s="1004"/>
      <c r="YK86" s="1004"/>
      <c r="YL86" s="1004"/>
      <c r="YM86" s="1004"/>
      <c r="YN86" s="1004"/>
      <c r="YO86" s="1004"/>
      <c r="YP86" s="1004"/>
      <c r="YQ86" s="1004"/>
      <c r="YR86" s="1004"/>
      <c r="YS86" s="1004"/>
      <c r="YT86" s="1004"/>
      <c r="YU86" s="1004"/>
      <c r="YV86" s="1004"/>
      <c r="YW86" s="1004"/>
      <c r="YX86" s="1004"/>
      <c r="YY86" s="1004"/>
      <c r="YZ86" s="1004"/>
      <c r="ZA86" s="1004"/>
      <c r="ZB86" s="1004"/>
      <c r="ZC86" s="1004"/>
      <c r="ZD86" s="1004"/>
      <c r="ZE86" s="1004"/>
      <c r="ZF86" s="1004"/>
      <c r="ZG86" s="1004"/>
      <c r="ZH86" s="1004"/>
      <c r="ZI86" s="1004"/>
      <c r="ZJ86" s="1004"/>
      <c r="ZK86" s="1004"/>
      <c r="ZL86" s="1004"/>
      <c r="ZM86" s="1004"/>
      <c r="ZN86" s="1004"/>
      <c r="ZO86" s="1004"/>
      <c r="ZP86" s="1004"/>
      <c r="ZQ86" s="1004"/>
      <c r="ZR86" s="1004"/>
      <c r="ZS86" s="1004"/>
      <c r="ZT86" s="1004"/>
      <c r="ZU86" s="1004"/>
      <c r="ZV86" s="1004"/>
      <c r="ZW86" s="1004"/>
      <c r="ZX86" s="1004"/>
      <c r="ZY86" s="1004"/>
      <c r="ZZ86" s="1004"/>
      <c r="AAA86" s="1004"/>
      <c r="AAB86" s="1004"/>
      <c r="AAC86" s="1004"/>
      <c r="AAD86" s="1004"/>
      <c r="AAE86" s="1004"/>
      <c r="AAF86" s="1004"/>
      <c r="AAG86" s="1004"/>
      <c r="AAH86" s="1004"/>
      <c r="AAI86" s="1004"/>
      <c r="AAJ86" s="1004"/>
      <c r="AAK86" s="1004"/>
      <c r="AAL86" s="1004"/>
      <c r="AAM86" s="1004"/>
      <c r="AAN86" s="1004"/>
      <c r="AAO86" s="1004"/>
      <c r="AAP86" s="1004"/>
      <c r="AAQ86" s="1004"/>
      <c r="AAR86" s="1004"/>
      <c r="AAS86" s="1004"/>
      <c r="AAT86" s="1004"/>
      <c r="AAU86" s="1004"/>
      <c r="AAV86" s="1004"/>
      <c r="AAW86" s="1004"/>
      <c r="AAX86" s="1004"/>
      <c r="AAY86" s="1004"/>
      <c r="AAZ86" s="1004"/>
      <c r="ABA86" s="1004"/>
      <c r="ABB86" s="1004"/>
      <c r="ABC86" s="1004"/>
      <c r="ABD86" s="1004"/>
      <c r="ABE86" s="1004"/>
      <c r="ABF86" s="1004"/>
      <c r="ABG86" s="1004"/>
      <c r="ABH86" s="1004"/>
      <c r="ABI86" s="1004"/>
      <c r="ABJ86" s="1004"/>
      <c r="ABK86" s="1004"/>
      <c r="ABL86" s="1004"/>
      <c r="ABM86" s="1004"/>
      <c r="ABN86" s="1004"/>
      <c r="ABO86" s="1004"/>
      <c r="ABP86" s="1004"/>
      <c r="ABQ86" s="1004"/>
      <c r="ABR86" s="1004"/>
    </row>
    <row r="87" spans="1:746" s="1" customFormat="1" ht="12.75" customHeight="1" thickBot="1">
      <c r="A87" s="926"/>
      <c r="B87" s="586" t="s">
        <v>173</v>
      </c>
      <c r="C87" s="870"/>
      <c r="D87" s="3036" t="s">
        <v>1051</v>
      </c>
      <c r="E87" s="3036"/>
      <c r="F87" s="3036"/>
      <c r="G87" s="1851" t="s">
        <v>1050</v>
      </c>
      <c r="H87" s="2161">
        <v>1</v>
      </c>
      <c r="I87" s="2581" t="s">
        <v>731</v>
      </c>
      <c r="J87" s="189"/>
      <c r="K87" s="189"/>
      <c r="L87" s="189"/>
      <c r="M87" s="189"/>
      <c r="N87" s="189"/>
      <c r="O87" s="189"/>
      <c r="P87" s="189"/>
      <c r="Q87" s="189"/>
      <c r="R87" s="189"/>
      <c r="S87" s="189"/>
      <c r="T87" s="983"/>
      <c r="U87" s="189"/>
      <c r="V87" s="189"/>
      <c r="W87" s="189"/>
      <c r="X87" s="189"/>
      <c r="Y87" s="189"/>
      <c r="Z87" s="189"/>
      <c r="AA87" s="189"/>
      <c r="AB87" s="189"/>
      <c r="AC87" s="189"/>
      <c r="AD87" s="189"/>
      <c r="AE87" s="189"/>
      <c r="AF87" s="186"/>
      <c r="AG87" s="2210"/>
      <c r="AH87" s="5"/>
      <c r="AI87" s="5"/>
      <c r="AJ87" s="1045"/>
      <c r="AK87" s="1045"/>
      <c r="AL87" s="1045"/>
      <c r="AM87" s="1021"/>
      <c r="AN87" s="1015"/>
      <c r="AO87" s="1945"/>
      <c r="AP87" s="1935"/>
      <c r="AQ87" s="1936"/>
      <c r="AR87" s="1941"/>
      <c r="AS87" s="1941"/>
      <c r="AT87" s="1941"/>
      <c r="AU87" s="1941"/>
      <c r="AV87" s="1941"/>
      <c r="AW87" s="1941"/>
      <c r="AX87" s="1941"/>
      <c r="AY87" s="1941"/>
      <c r="AZ87" s="1941"/>
      <c r="BA87" s="1941"/>
      <c r="BB87" s="1941"/>
      <c r="BC87" s="1941"/>
      <c r="BD87" s="1941"/>
      <c r="BE87" s="1941"/>
      <c r="BF87" s="1941"/>
      <c r="BG87" s="1941"/>
      <c r="BH87" s="1941"/>
      <c r="BI87" s="1941"/>
      <c r="BJ87" s="1941"/>
      <c r="BK87" s="1941"/>
      <c r="BL87" s="1941"/>
      <c r="BM87" s="1941"/>
      <c r="BN87" s="1941"/>
      <c r="BO87" s="1941"/>
      <c r="BP87" s="1004"/>
      <c r="BQ87" s="1004"/>
      <c r="BR87" s="1004"/>
      <c r="BS87" s="1004"/>
      <c r="BT87" s="1004"/>
      <c r="BU87" s="1004"/>
      <c r="BV87" s="1004"/>
      <c r="BW87" s="1004"/>
      <c r="BX87" s="1004"/>
      <c r="BY87" s="1004"/>
      <c r="BZ87" s="1004"/>
      <c r="CA87" s="1004"/>
      <c r="CB87" s="1004"/>
      <c r="CC87" s="1004"/>
      <c r="CD87" s="1004"/>
      <c r="CE87" s="1004"/>
      <c r="CF87" s="1004"/>
      <c r="CG87" s="1004"/>
      <c r="CH87" s="1004"/>
      <c r="CI87" s="1004"/>
      <c r="CJ87" s="1004"/>
      <c r="CK87" s="1004"/>
      <c r="CL87" s="1004"/>
      <c r="CM87" s="1004"/>
      <c r="CN87" s="1004"/>
      <c r="CO87" s="1004"/>
      <c r="CP87" s="1004"/>
      <c r="CQ87" s="1004"/>
      <c r="CR87" s="1004"/>
      <c r="CS87" s="1004"/>
      <c r="CT87" s="1004"/>
      <c r="CU87" s="1004"/>
      <c r="CV87" s="1004"/>
      <c r="CW87" s="1004"/>
      <c r="CX87" s="1004"/>
      <c r="CY87" s="1004"/>
      <c r="CZ87" s="1004"/>
      <c r="DA87" s="1004"/>
      <c r="DB87" s="1004"/>
      <c r="DC87" s="1004"/>
      <c r="DD87" s="1004"/>
      <c r="DE87" s="1004"/>
      <c r="DF87" s="1004"/>
      <c r="DG87" s="1004"/>
      <c r="DH87" s="1004"/>
      <c r="DI87" s="1004"/>
      <c r="DJ87" s="1004"/>
      <c r="DK87" s="1004"/>
      <c r="DL87" s="1004"/>
      <c r="DM87" s="1004"/>
      <c r="DN87" s="1004"/>
      <c r="DO87" s="1004"/>
      <c r="DP87" s="1004"/>
      <c r="DQ87" s="1004"/>
      <c r="DR87" s="1004"/>
      <c r="DS87" s="1004"/>
      <c r="DT87" s="1004"/>
      <c r="DU87" s="1004"/>
      <c r="DV87" s="1004"/>
      <c r="DW87" s="1004"/>
      <c r="DX87" s="1004"/>
      <c r="DY87" s="1004"/>
      <c r="DZ87" s="1004"/>
      <c r="EA87" s="1004"/>
      <c r="EB87" s="1004"/>
      <c r="EC87" s="1004"/>
      <c r="ED87" s="1004"/>
      <c r="EE87" s="1004"/>
      <c r="EF87" s="1004"/>
      <c r="EG87" s="1004"/>
      <c r="EH87" s="1004"/>
      <c r="EI87" s="1004"/>
      <c r="EJ87" s="1004"/>
      <c r="EK87" s="1004"/>
      <c r="EL87" s="1004"/>
      <c r="EM87" s="1004"/>
      <c r="EN87" s="1004"/>
      <c r="EO87" s="1004"/>
      <c r="EP87" s="1004"/>
      <c r="EQ87" s="1004"/>
      <c r="ER87" s="1004"/>
      <c r="ES87" s="1004"/>
      <c r="ET87" s="1004"/>
      <c r="EU87" s="1004"/>
      <c r="EV87" s="1004"/>
      <c r="EW87" s="1004"/>
      <c r="EX87" s="1004"/>
      <c r="EY87" s="1004"/>
      <c r="EZ87" s="1004"/>
      <c r="FA87" s="1004"/>
      <c r="FB87" s="1004"/>
      <c r="FC87" s="1004"/>
      <c r="FD87" s="1004"/>
      <c r="FE87" s="1004"/>
      <c r="FF87" s="1004"/>
      <c r="FG87" s="1004"/>
      <c r="FH87" s="1004"/>
      <c r="FI87" s="1004"/>
      <c r="FJ87" s="1004"/>
      <c r="FK87" s="1004"/>
      <c r="FL87" s="1004"/>
      <c r="FM87" s="1004"/>
      <c r="FN87" s="1004"/>
      <c r="FO87" s="1004"/>
      <c r="FP87" s="1004"/>
      <c r="FQ87" s="1004"/>
      <c r="FR87" s="1004"/>
      <c r="FS87" s="1004"/>
      <c r="FT87" s="1004"/>
      <c r="FU87" s="1004"/>
      <c r="FV87" s="1004"/>
      <c r="FW87" s="1004"/>
      <c r="FX87" s="1004"/>
      <c r="FY87" s="1004"/>
      <c r="FZ87" s="1004"/>
      <c r="GA87" s="1004"/>
      <c r="GB87" s="1004"/>
      <c r="GC87" s="1004"/>
      <c r="GD87" s="1004"/>
      <c r="GE87" s="1004"/>
      <c r="GF87" s="1004"/>
      <c r="GG87" s="1004"/>
      <c r="GH87" s="1004"/>
      <c r="GI87" s="1004"/>
      <c r="GJ87" s="1004"/>
      <c r="GK87" s="1004"/>
      <c r="GL87" s="1004"/>
      <c r="GM87" s="1004"/>
      <c r="GN87" s="1004"/>
      <c r="GO87" s="1004"/>
      <c r="GP87" s="1004"/>
      <c r="GQ87" s="1004"/>
      <c r="GR87" s="1004"/>
      <c r="GS87" s="1004"/>
      <c r="GT87" s="1004"/>
      <c r="GU87" s="1004"/>
      <c r="GV87" s="1004"/>
      <c r="GW87" s="1004"/>
      <c r="GX87" s="1004"/>
      <c r="GY87" s="1004"/>
      <c r="GZ87" s="1004"/>
      <c r="HA87" s="1004"/>
      <c r="HB87" s="1004"/>
      <c r="HC87" s="1004"/>
      <c r="HD87" s="1004"/>
      <c r="HE87" s="1004"/>
      <c r="HF87" s="1004"/>
      <c r="HG87" s="1004"/>
      <c r="HH87" s="1004"/>
      <c r="HI87" s="1004"/>
      <c r="HJ87" s="1004"/>
      <c r="HK87" s="1004"/>
      <c r="HL87" s="1004"/>
      <c r="HM87" s="1004"/>
      <c r="HN87" s="1004"/>
      <c r="HO87" s="1004"/>
      <c r="HP87" s="1004"/>
      <c r="HQ87" s="1004"/>
      <c r="HR87" s="1004"/>
      <c r="HS87" s="1004"/>
      <c r="HT87" s="1004"/>
      <c r="HU87" s="1004"/>
      <c r="HV87" s="1004"/>
      <c r="HW87" s="1004"/>
      <c r="HX87" s="1004"/>
      <c r="HY87" s="1004"/>
      <c r="HZ87" s="1004"/>
      <c r="IA87" s="1004"/>
      <c r="IB87" s="1004"/>
      <c r="IC87" s="1004"/>
      <c r="ID87" s="1004"/>
      <c r="IE87" s="1004"/>
      <c r="IF87" s="1004"/>
      <c r="IG87" s="1004"/>
      <c r="IH87" s="1004"/>
      <c r="II87" s="1004"/>
      <c r="IJ87" s="1004"/>
      <c r="IK87" s="1004"/>
      <c r="IL87" s="1004"/>
      <c r="IM87" s="1004"/>
      <c r="IN87" s="1004"/>
      <c r="IO87" s="1004"/>
      <c r="IP87" s="1004"/>
      <c r="IQ87" s="1004"/>
      <c r="IR87" s="1004"/>
      <c r="IS87" s="1004"/>
      <c r="IT87" s="1004"/>
      <c r="IU87" s="1004"/>
      <c r="IV87" s="1004"/>
      <c r="IW87" s="1004"/>
      <c r="IX87" s="1004"/>
      <c r="IY87" s="1004"/>
      <c r="IZ87" s="1004"/>
      <c r="JA87" s="1004"/>
      <c r="JB87" s="1004"/>
      <c r="JC87" s="1004"/>
      <c r="JD87" s="1004"/>
      <c r="JE87" s="1004"/>
      <c r="JF87" s="1004"/>
      <c r="JG87" s="1004"/>
      <c r="JH87" s="1004"/>
      <c r="JI87" s="1004"/>
      <c r="JJ87" s="1004"/>
      <c r="JK87" s="1004"/>
      <c r="JL87" s="1004"/>
      <c r="JM87" s="1004"/>
      <c r="JN87" s="1004"/>
      <c r="JO87" s="1004"/>
      <c r="JP87" s="1004"/>
      <c r="JQ87" s="1004"/>
      <c r="JR87" s="1004"/>
      <c r="JS87" s="1004"/>
      <c r="JT87" s="1004"/>
      <c r="JU87" s="1004"/>
      <c r="JV87" s="1004"/>
      <c r="JW87" s="1004"/>
      <c r="JX87" s="1004"/>
      <c r="JY87" s="1004"/>
      <c r="JZ87" s="1004"/>
      <c r="KA87" s="1004"/>
      <c r="KB87" s="1004"/>
      <c r="KC87" s="1004"/>
      <c r="KD87" s="1004"/>
      <c r="KE87" s="1004"/>
      <c r="KF87" s="1004"/>
      <c r="KG87" s="1004"/>
      <c r="KH87" s="1004"/>
      <c r="KI87" s="1004"/>
      <c r="KJ87" s="1004"/>
      <c r="KK87" s="1004"/>
      <c r="KL87" s="1004"/>
      <c r="KM87" s="1004"/>
      <c r="KN87" s="1004"/>
      <c r="KO87" s="1004"/>
      <c r="KP87" s="1004"/>
      <c r="KQ87" s="1004"/>
      <c r="KR87" s="1004"/>
      <c r="KS87" s="1004"/>
      <c r="KT87" s="1004"/>
      <c r="KU87" s="1004"/>
      <c r="KV87" s="1004"/>
      <c r="KW87" s="1004"/>
      <c r="KX87" s="1004"/>
      <c r="KY87" s="1004"/>
      <c r="KZ87" s="1004"/>
      <c r="LA87" s="1004"/>
      <c r="LB87" s="1004"/>
      <c r="LC87" s="1004"/>
      <c r="LD87" s="1004"/>
      <c r="LE87" s="1004"/>
      <c r="LF87" s="1004"/>
      <c r="LG87" s="1004"/>
      <c r="LH87" s="1004"/>
      <c r="LI87" s="1004"/>
      <c r="LJ87" s="1004"/>
      <c r="LK87" s="1004"/>
      <c r="LL87" s="1004"/>
      <c r="LM87" s="1004"/>
      <c r="LN87" s="1004"/>
      <c r="LO87" s="1004"/>
      <c r="LP87" s="1004"/>
      <c r="LQ87" s="1004"/>
      <c r="LR87" s="1004"/>
      <c r="LS87" s="1004"/>
      <c r="LT87" s="1004"/>
      <c r="LU87" s="1004"/>
      <c r="LV87" s="1004"/>
      <c r="LW87" s="1004"/>
      <c r="LX87" s="1004"/>
      <c r="LY87" s="1004"/>
      <c r="LZ87" s="1004"/>
      <c r="MA87" s="1004"/>
      <c r="MB87" s="1004"/>
      <c r="MC87" s="1004"/>
      <c r="MD87" s="1004"/>
      <c r="ME87" s="1004"/>
      <c r="MF87" s="1004"/>
      <c r="MG87" s="1004"/>
      <c r="MH87" s="1004"/>
      <c r="MI87" s="1004"/>
      <c r="MJ87" s="1004"/>
      <c r="MK87" s="1004"/>
      <c r="ML87" s="1004"/>
      <c r="MM87" s="1004"/>
      <c r="MN87" s="1004"/>
      <c r="MO87" s="1004"/>
      <c r="MP87" s="1004"/>
      <c r="MQ87" s="1004"/>
      <c r="MR87" s="1004"/>
      <c r="MS87" s="1004"/>
      <c r="MT87" s="1004"/>
      <c r="MU87" s="1004"/>
      <c r="MV87" s="1004"/>
      <c r="MW87" s="1004"/>
      <c r="MX87" s="1004"/>
      <c r="MY87" s="1004"/>
      <c r="MZ87" s="1004"/>
      <c r="NA87" s="1004"/>
      <c r="NB87" s="1004"/>
      <c r="NC87" s="1004"/>
      <c r="ND87" s="1004"/>
      <c r="NE87" s="1004"/>
      <c r="NF87" s="1004"/>
      <c r="NG87" s="1004"/>
      <c r="NH87" s="1004"/>
      <c r="NI87" s="1004"/>
      <c r="NJ87" s="1004"/>
      <c r="NK87" s="1004"/>
      <c r="NL87" s="1004"/>
      <c r="NM87" s="1004"/>
      <c r="NN87" s="1004"/>
      <c r="NO87" s="1004"/>
      <c r="NP87" s="1004"/>
      <c r="NQ87" s="1004"/>
      <c r="NR87" s="1004"/>
      <c r="NS87" s="1004"/>
      <c r="NT87" s="1004"/>
      <c r="NU87" s="1004"/>
      <c r="NV87" s="1004"/>
      <c r="NW87" s="1004"/>
      <c r="NX87" s="1004"/>
      <c r="NY87" s="1004"/>
      <c r="NZ87" s="1004"/>
      <c r="OA87" s="1004"/>
      <c r="OB87" s="1004"/>
      <c r="OC87" s="1004"/>
      <c r="OD87" s="1004"/>
      <c r="OE87" s="1004"/>
      <c r="OF87" s="1004"/>
      <c r="OG87" s="1004"/>
      <c r="OH87" s="1004"/>
      <c r="OI87" s="1004"/>
      <c r="OJ87" s="1004"/>
      <c r="OK87" s="1004"/>
      <c r="OL87" s="1004"/>
      <c r="OM87" s="1004"/>
      <c r="ON87" s="1004"/>
      <c r="OO87" s="1004"/>
      <c r="OP87" s="1004"/>
      <c r="OQ87" s="1004"/>
      <c r="OR87" s="1004"/>
      <c r="OS87" s="1004"/>
      <c r="OT87" s="1004"/>
      <c r="OU87" s="1004"/>
      <c r="OV87" s="1004"/>
      <c r="OW87" s="1004"/>
      <c r="OX87" s="1004"/>
      <c r="OY87" s="1004"/>
      <c r="OZ87" s="1004"/>
      <c r="PA87" s="1004"/>
      <c r="PB87" s="1004"/>
      <c r="PC87" s="1004"/>
      <c r="PD87" s="1004"/>
      <c r="PE87" s="1004"/>
      <c r="PF87" s="1004"/>
      <c r="PG87" s="1004"/>
      <c r="PH87" s="1004"/>
      <c r="PI87" s="1004"/>
      <c r="PJ87" s="1004"/>
      <c r="PK87" s="1004"/>
      <c r="PL87" s="1004"/>
      <c r="PM87" s="1004"/>
      <c r="PN87" s="1004"/>
      <c r="PO87" s="1004"/>
      <c r="PP87" s="1004"/>
      <c r="PQ87" s="1004"/>
      <c r="PR87" s="1004"/>
      <c r="PS87" s="1004"/>
      <c r="PT87" s="1004"/>
      <c r="PU87" s="1004"/>
      <c r="PV87" s="1004"/>
      <c r="PW87" s="1004"/>
      <c r="PX87" s="1004"/>
      <c r="PY87" s="1004"/>
      <c r="PZ87" s="1004"/>
      <c r="QA87" s="1004"/>
      <c r="QB87" s="1004"/>
      <c r="QC87" s="1004"/>
      <c r="QD87" s="1004"/>
      <c r="QE87" s="1004"/>
      <c r="QF87" s="1004"/>
      <c r="QG87" s="1004"/>
      <c r="QH87" s="1004"/>
      <c r="QI87" s="1004"/>
      <c r="QJ87" s="1004"/>
      <c r="QK87" s="1004"/>
      <c r="QL87" s="1004"/>
      <c r="QM87" s="1004"/>
      <c r="QN87" s="1004"/>
      <c r="QO87" s="1004"/>
      <c r="QP87" s="1004"/>
      <c r="QQ87" s="1004"/>
      <c r="QR87" s="1004"/>
      <c r="QS87" s="1004"/>
      <c r="QT87" s="1004"/>
      <c r="QU87" s="1004"/>
      <c r="QV87" s="1004"/>
      <c r="QW87" s="1004"/>
      <c r="QX87" s="1004"/>
      <c r="QY87" s="1004"/>
      <c r="QZ87" s="1004"/>
      <c r="RA87" s="1004"/>
      <c r="RB87" s="1004"/>
      <c r="RC87" s="1004"/>
      <c r="RD87" s="1004"/>
      <c r="RE87" s="1004"/>
      <c r="RF87" s="1004"/>
      <c r="RG87" s="1004"/>
      <c r="RH87" s="1004"/>
      <c r="RI87" s="1004"/>
      <c r="RJ87" s="1004"/>
      <c r="RK87" s="1004"/>
      <c r="RL87" s="1004"/>
      <c r="RM87" s="1004"/>
      <c r="RN87" s="1004"/>
      <c r="RO87" s="1004"/>
      <c r="RP87" s="1004"/>
      <c r="RQ87" s="1004"/>
      <c r="RR87" s="1004"/>
      <c r="RS87" s="1004"/>
      <c r="RT87" s="1004"/>
      <c r="RU87" s="1004"/>
      <c r="RV87" s="1004"/>
      <c r="RW87" s="1004"/>
      <c r="RX87" s="1004"/>
      <c r="RY87" s="1004"/>
      <c r="RZ87" s="1004"/>
      <c r="SA87" s="1004"/>
      <c r="SB87" s="1004"/>
      <c r="SC87" s="1004"/>
      <c r="SD87" s="1004"/>
      <c r="SE87" s="1004"/>
      <c r="SF87" s="1004"/>
      <c r="SG87" s="1004"/>
      <c r="SH87" s="1004"/>
      <c r="SI87" s="1004"/>
      <c r="SJ87" s="1004"/>
      <c r="SK87" s="1004"/>
      <c r="SL87" s="1004"/>
      <c r="SM87" s="1004"/>
      <c r="SN87" s="1004"/>
      <c r="SO87" s="1004"/>
      <c r="SP87" s="1004"/>
      <c r="SQ87" s="1004"/>
      <c r="SR87" s="1004"/>
      <c r="SS87" s="1004"/>
      <c r="ST87" s="1004"/>
      <c r="SU87" s="1004"/>
      <c r="SV87" s="1004"/>
      <c r="SW87" s="1004"/>
      <c r="SX87" s="1004"/>
      <c r="SY87" s="1004"/>
      <c r="SZ87" s="1004"/>
      <c r="TA87" s="1004"/>
      <c r="TB87" s="1004"/>
      <c r="TC87" s="1004"/>
      <c r="TD87" s="1004"/>
      <c r="TE87" s="1004"/>
      <c r="TF87" s="1004"/>
      <c r="TG87" s="1004"/>
      <c r="TH87" s="1004"/>
      <c r="TI87" s="1004"/>
      <c r="TJ87" s="1004"/>
      <c r="TK87" s="1004"/>
      <c r="TL87" s="1004"/>
      <c r="TM87" s="1004"/>
      <c r="TN87" s="1004"/>
      <c r="TO87" s="1004"/>
      <c r="TP87" s="1004"/>
      <c r="TQ87" s="1004"/>
      <c r="TR87" s="1004"/>
      <c r="TS87" s="1004"/>
      <c r="TT87" s="1004"/>
      <c r="TU87" s="1004"/>
      <c r="TV87" s="1004"/>
      <c r="TW87" s="1004"/>
      <c r="TX87" s="1004"/>
      <c r="TY87" s="1004"/>
      <c r="TZ87" s="1004"/>
      <c r="UA87" s="1004"/>
      <c r="UB87" s="1004"/>
      <c r="UC87" s="1004"/>
      <c r="UD87" s="1004"/>
      <c r="UE87" s="1004"/>
      <c r="UF87" s="1004"/>
      <c r="UG87" s="1004"/>
      <c r="UH87" s="1004"/>
      <c r="UI87" s="1004"/>
      <c r="UJ87" s="1004"/>
      <c r="UK87" s="1004"/>
      <c r="UL87" s="1004"/>
      <c r="UM87" s="1004"/>
      <c r="UN87" s="1004"/>
      <c r="UO87" s="1004"/>
      <c r="UP87" s="1004"/>
      <c r="UQ87" s="1004"/>
      <c r="UR87" s="1004"/>
      <c r="US87" s="1004"/>
      <c r="UT87" s="1004"/>
      <c r="UU87" s="1004"/>
      <c r="UV87" s="1004"/>
      <c r="UW87" s="1004"/>
      <c r="UX87" s="1004"/>
      <c r="UY87" s="1004"/>
      <c r="UZ87" s="1004"/>
      <c r="VA87" s="1004"/>
      <c r="VB87" s="1004"/>
      <c r="VC87" s="1004"/>
      <c r="VD87" s="1004"/>
      <c r="VE87" s="1004"/>
      <c r="VF87" s="1004"/>
      <c r="VG87" s="1004"/>
      <c r="VH87" s="1004"/>
      <c r="VI87" s="1004"/>
      <c r="VJ87" s="1004"/>
      <c r="VK87" s="1004"/>
      <c r="VL87" s="1004"/>
      <c r="VM87" s="1004"/>
      <c r="VN87" s="1004"/>
      <c r="VO87" s="1004"/>
      <c r="VP87" s="1004"/>
      <c r="VQ87" s="1004"/>
      <c r="VR87" s="1004"/>
      <c r="VS87" s="1004"/>
      <c r="VT87" s="1004"/>
      <c r="VU87" s="1004"/>
      <c r="VV87" s="1004"/>
      <c r="VW87" s="1004"/>
      <c r="VX87" s="1004"/>
      <c r="VY87" s="1004"/>
      <c r="VZ87" s="1004"/>
      <c r="WA87" s="1004"/>
      <c r="WB87" s="1004"/>
      <c r="WC87" s="1004"/>
      <c r="WD87" s="1004"/>
      <c r="WE87" s="1004"/>
      <c r="WF87" s="1004"/>
      <c r="WG87" s="1004"/>
      <c r="WH87" s="1004"/>
      <c r="WI87" s="1004"/>
      <c r="WJ87" s="1004"/>
      <c r="WK87" s="1004"/>
      <c r="WL87" s="1004"/>
      <c r="WM87" s="1004"/>
      <c r="WN87" s="1004"/>
      <c r="WO87" s="1004"/>
      <c r="WP87" s="1004"/>
      <c r="WQ87" s="1004"/>
      <c r="WR87" s="1004"/>
      <c r="WS87" s="1004"/>
      <c r="WT87" s="1004"/>
      <c r="WU87" s="1004"/>
      <c r="WV87" s="1004"/>
      <c r="WW87" s="1004"/>
      <c r="WX87" s="1004"/>
      <c r="WY87" s="1004"/>
      <c r="WZ87" s="1004"/>
      <c r="XA87" s="1004"/>
      <c r="XB87" s="1004"/>
      <c r="XC87" s="1004"/>
      <c r="XD87" s="1004"/>
      <c r="XE87" s="1004"/>
      <c r="XF87" s="1004"/>
      <c r="XG87" s="1004"/>
      <c r="XH87" s="1004"/>
      <c r="XI87" s="1004"/>
      <c r="XJ87" s="1004"/>
      <c r="XK87" s="1004"/>
      <c r="XL87" s="1004"/>
      <c r="XM87" s="1004"/>
      <c r="XN87" s="1004"/>
      <c r="XO87" s="1004"/>
      <c r="XP87" s="1004"/>
      <c r="XQ87" s="1004"/>
      <c r="XR87" s="1004"/>
      <c r="XS87" s="1004"/>
      <c r="XT87" s="1004"/>
      <c r="XU87" s="1004"/>
      <c r="XV87" s="1004"/>
      <c r="XW87" s="1004"/>
      <c r="XX87" s="1004"/>
      <c r="XY87" s="1004"/>
      <c r="XZ87" s="1004"/>
      <c r="YA87" s="1004"/>
      <c r="YB87" s="1004"/>
      <c r="YC87" s="1004"/>
      <c r="YD87" s="1004"/>
      <c r="YE87" s="1004"/>
      <c r="YF87" s="1004"/>
      <c r="YG87" s="1004"/>
      <c r="YH87" s="1004"/>
      <c r="YI87" s="1004"/>
      <c r="YJ87" s="1004"/>
      <c r="YK87" s="1004"/>
      <c r="YL87" s="1004"/>
      <c r="YM87" s="1004"/>
      <c r="YN87" s="1004"/>
      <c r="YO87" s="1004"/>
      <c r="YP87" s="1004"/>
      <c r="YQ87" s="1004"/>
      <c r="YR87" s="1004"/>
      <c r="YS87" s="1004"/>
      <c r="YT87" s="1004"/>
      <c r="YU87" s="1004"/>
      <c r="YV87" s="1004"/>
      <c r="YW87" s="1004"/>
      <c r="YX87" s="1004"/>
      <c r="YY87" s="1004"/>
      <c r="YZ87" s="1004"/>
      <c r="ZA87" s="1004"/>
      <c r="ZB87" s="1004"/>
      <c r="ZC87" s="1004"/>
      <c r="ZD87" s="1004"/>
      <c r="ZE87" s="1004"/>
      <c r="ZF87" s="1004"/>
      <c r="ZG87" s="1004"/>
      <c r="ZH87" s="1004"/>
      <c r="ZI87" s="1004"/>
      <c r="ZJ87" s="1004"/>
      <c r="ZK87" s="1004"/>
      <c r="ZL87" s="1004"/>
      <c r="ZM87" s="1004"/>
      <c r="ZN87" s="1004"/>
      <c r="ZO87" s="1004"/>
      <c r="ZP87" s="1004"/>
      <c r="ZQ87" s="1004"/>
      <c r="ZR87" s="1004"/>
      <c r="ZS87" s="1004"/>
      <c r="ZT87" s="1004"/>
      <c r="ZU87" s="1004"/>
      <c r="ZV87" s="1004"/>
      <c r="ZW87" s="1004"/>
      <c r="ZX87" s="1004"/>
      <c r="ZY87" s="1004"/>
      <c r="ZZ87" s="1004"/>
      <c r="AAA87" s="1004"/>
      <c r="AAB87" s="1004"/>
      <c r="AAC87" s="1004"/>
      <c r="AAD87" s="1004"/>
      <c r="AAE87" s="1004"/>
      <c r="AAF87" s="1004"/>
      <c r="AAG87" s="1004"/>
      <c r="AAH87" s="1004"/>
      <c r="AAI87" s="1004"/>
      <c r="AAJ87" s="1004"/>
      <c r="AAK87" s="1004"/>
      <c r="AAL87" s="1004"/>
      <c r="AAM87" s="1004"/>
      <c r="AAN87" s="1004"/>
      <c r="AAO87" s="1004"/>
      <c r="AAP87" s="1004"/>
      <c r="AAQ87" s="1004"/>
      <c r="AAR87" s="1004"/>
      <c r="AAS87" s="1004"/>
      <c r="AAT87" s="1004"/>
      <c r="AAU87" s="1004"/>
      <c r="AAV87" s="1004"/>
      <c r="AAW87" s="1004"/>
      <c r="AAX87" s="1004"/>
      <c r="AAY87" s="1004"/>
      <c r="AAZ87" s="1004"/>
      <c r="ABA87" s="1004"/>
      <c r="ABB87" s="1004"/>
      <c r="ABC87" s="1004"/>
      <c r="ABD87" s="1004"/>
      <c r="ABE87" s="1004"/>
      <c r="ABF87" s="1004"/>
      <c r="ABG87" s="1004"/>
      <c r="ABH87" s="1004"/>
      <c r="ABI87" s="1004"/>
      <c r="ABJ87" s="1004"/>
      <c r="ABK87" s="1004"/>
      <c r="ABL87" s="1004"/>
      <c r="ABM87" s="1004"/>
      <c r="ABN87" s="1004"/>
      <c r="ABO87" s="1004"/>
      <c r="ABP87" s="1004"/>
      <c r="ABQ87" s="1004"/>
      <c r="ABR87" s="1004"/>
    </row>
    <row r="88" spans="1:746" s="1" customFormat="1" ht="12.75" customHeight="1">
      <c r="A88" s="923"/>
      <c r="B88" s="1261" t="s">
        <v>936</v>
      </c>
      <c r="C88" s="1262"/>
      <c r="D88" s="1268"/>
      <c r="E88" s="1890">
        <v>0.31419999999999998</v>
      </c>
      <c r="F88" s="1853"/>
      <c r="G88" s="1888">
        <v>0.3</v>
      </c>
      <c r="H88" s="2168">
        <f>$H$87-G88</f>
        <v>0.7</v>
      </c>
      <c r="I88" s="875"/>
      <c r="J88" s="380"/>
      <c r="K88" s="380"/>
      <c r="L88" s="380"/>
      <c r="M88" s="380"/>
      <c r="N88" s="380"/>
      <c r="O88" s="380"/>
      <c r="P88" s="380"/>
      <c r="Q88" s="380"/>
      <c r="R88" s="380"/>
      <c r="S88" s="380"/>
      <c r="T88" s="368"/>
      <c r="U88" s="2196"/>
      <c r="V88" s="2196"/>
      <c r="W88" s="2196"/>
      <c r="X88" s="2196"/>
      <c r="Y88" s="2196"/>
      <c r="Z88" s="2196"/>
      <c r="AA88" s="2196"/>
      <c r="AB88" s="2196"/>
      <c r="AC88" s="2196"/>
      <c r="AD88" s="2196"/>
      <c r="AE88" s="2196"/>
      <c r="AF88" s="2196"/>
      <c r="AG88" s="2203"/>
      <c r="AH88" s="359"/>
      <c r="AI88" s="359"/>
      <c r="AJ88" s="1854">
        <f>IF(fx!$C$57=1,SUMIF(fx!I$57:T$57,1,I88:T88),IF(fx!$C$57=2,SUMIF(fx!O$57:AF$57,1,O88:AF88)))</f>
        <v>0</v>
      </c>
      <c r="AK88" s="434"/>
      <c r="AL88" s="1855">
        <f>IF(fx!$C$57=1,SUM(U88:AF88),0)</f>
        <v>0</v>
      </c>
      <c r="AM88" s="1021"/>
      <c r="AN88" s="1018"/>
      <c r="AO88" s="1945"/>
      <c r="AP88" s="1935"/>
      <c r="AQ88" s="1936"/>
      <c r="AR88" s="1941"/>
      <c r="AS88" s="1941"/>
      <c r="AT88" s="1941"/>
      <c r="AU88" s="1941"/>
      <c r="AV88" s="1941"/>
      <c r="AW88" s="1941"/>
      <c r="AX88" s="1941"/>
      <c r="AY88" s="1941"/>
      <c r="AZ88" s="1941"/>
      <c r="BA88" s="1941"/>
      <c r="BB88" s="1941"/>
      <c r="BC88" s="1941"/>
      <c r="BD88" s="1941"/>
      <c r="BE88" s="1941"/>
      <c r="BF88" s="1941"/>
      <c r="BG88" s="1941"/>
      <c r="BH88" s="1941"/>
      <c r="BI88" s="1941"/>
      <c r="BJ88" s="1941"/>
      <c r="BK88" s="1941"/>
      <c r="BL88" s="1941"/>
      <c r="BM88" s="1941"/>
      <c r="BN88" s="1941"/>
      <c r="BO88" s="1941"/>
      <c r="BP88" s="1004"/>
      <c r="BQ88" s="1004"/>
      <c r="BR88" s="1004"/>
      <c r="BS88" s="1004"/>
      <c r="BT88" s="1004"/>
      <c r="BU88" s="1004"/>
      <c r="BV88" s="1004"/>
      <c r="BW88" s="1004"/>
      <c r="BX88" s="1004"/>
      <c r="BY88" s="1004"/>
      <c r="BZ88" s="1004"/>
      <c r="CA88" s="1004"/>
      <c r="CB88" s="1004"/>
      <c r="CC88" s="1004"/>
      <c r="CD88" s="1004"/>
      <c r="CE88" s="1004"/>
      <c r="CF88" s="1004"/>
      <c r="CG88" s="1004"/>
      <c r="CH88" s="1004"/>
      <c r="CI88" s="1004"/>
      <c r="CJ88" s="1004"/>
      <c r="CK88" s="1004"/>
      <c r="CL88" s="1004"/>
      <c r="CM88" s="1004"/>
      <c r="CN88" s="1004"/>
      <c r="CO88" s="1004"/>
      <c r="CP88" s="1004"/>
      <c r="CQ88" s="1004"/>
      <c r="CR88" s="1004"/>
      <c r="CS88" s="1004"/>
      <c r="CT88" s="1004"/>
      <c r="CU88" s="1004"/>
      <c r="CV88" s="1004"/>
      <c r="CW88" s="1004"/>
      <c r="CX88" s="1004"/>
      <c r="CY88" s="1004"/>
      <c r="CZ88" s="1004"/>
      <c r="DA88" s="1004"/>
      <c r="DB88" s="1004"/>
      <c r="DC88" s="1004"/>
      <c r="DD88" s="1004"/>
      <c r="DE88" s="1004"/>
      <c r="DF88" s="1004"/>
      <c r="DG88" s="1004"/>
      <c r="DH88" s="1004"/>
      <c r="DI88" s="1004"/>
      <c r="DJ88" s="1004"/>
      <c r="DK88" s="1004"/>
      <c r="DL88" s="1004"/>
      <c r="DM88" s="1004"/>
      <c r="DN88" s="1004"/>
      <c r="DO88" s="1004"/>
      <c r="DP88" s="1004"/>
      <c r="DQ88" s="1004"/>
      <c r="DR88" s="1004"/>
      <c r="DS88" s="1004"/>
      <c r="DT88" s="1004"/>
      <c r="DU88" s="1004"/>
      <c r="DV88" s="1004"/>
      <c r="DW88" s="1004"/>
      <c r="DX88" s="1004"/>
      <c r="DY88" s="1004"/>
      <c r="DZ88" s="1004"/>
      <c r="EA88" s="1004"/>
      <c r="EB88" s="1004"/>
      <c r="EC88" s="1004"/>
      <c r="ED88" s="1004"/>
      <c r="EE88" s="1004"/>
      <c r="EF88" s="1004"/>
      <c r="EG88" s="1004"/>
      <c r="EH88" s="1004"/>
      <c r="EI88" s="1004"/>
      <c r="EJ88" s="1004"/>
      <c r="EK88" s="1004"/>
      <c r="EL88" s="1004"/>
      <c r="EM88" s="1004"/>
      <c r="EN88" s="1004"/>
      <c r="EO88" s="1004"/>
      <c r="EP88" s="1004"/>
      <c r="EQ88" s="1004"/>
      <c r="ER88" s="1004"/>
      <c r="ES88" s="1004"/>
      <c r="ET88" s="1004"/>
      <c r="EU88" s="1004"/>
      <c r="EV88" s="1004"/>
      <c r="EW88" s="1004"/>
      <c r="EX88" s="1004"/>
      <c r="EY88" s="1004"/>
      <c r="EZ88" s="1004"/>
      <c r="FA88" s="1004"/>
      <c r="FB88" s="1004"/>
      <c r="FC88" s="1004"/>
      <c r="FD88" s="1004"/>
      <c r="FE88" s="1004"/>
      <c r="FF88" s="1004"/>
      <c r="FG88" s="1004"/>
      <c r="FH88" s="1004"/>
      <c r="FI88" s="1004"/>
      <c r="FJ88" s="1004"/>
      <c r="FK88" s="1004"/>
      <c r="FL88" s="1004"/>
      <c r="FM88" s="1004"/>
      <c r="FN88" s="1004"/>
      <c r="FO88" s="1004"/>
      <c r="FP88" s="1004"/>
      <c r="FQ88" s="1004"/>
      <c r="FR88" s="1004"/>
      <c r="FS88" s="1004"/>
      <c r="FT88" s="1004"/>
      <c r="FU88" s="1004"/>
      <c r="FV88" s="1004"/>
      <c r="FW88" s="1004"/>
      <c r="FX88" s="1004"/>
      <c r="FY88" s="1004"/>
      <c r="FZ88" s="1004"/>
      <c r="GA88" s="1004"/>
      <c r="GB88" s="1004"/>
      <c r="GC88" s="1004"/>
      <c r="GD88" s="1004"/>
      <c r="GE88" s="1004"/>
      <c r="GF88" s="1004"/>
      <c r="GG88" s="1004"/>
      <c r="GH88" s="1004"/>
      <c r="GI88" s="1004"/>
      <c r="GJ88" s="1004"/>
      <c r="GK88" s="1004"/>
      <c r="GL88" s="1004"/>
      <c r="GM88" s="1004"/>
      <c r="GN88" s="1004"/>
      <c r="GO88" s="1004"/>
      <c r="GP88" s="1004"/>
      <c r="GQ88" s="1004"/>
      <c r="GR88" s="1004"/>
      <c r="GS88" s="1004"/>
      <c r="GT88" s="1004"/>
      <c r="GU88" s="1004"/>
      <c r="GV88" s="1004"/>
      <c r="GW88" s="1004"/>
      <c r="GX88" s="1004"/>
      <c r="GY88" s="1004"/>
      <c r="GZ88" s="1004"/>
      <c r="HA88" s="1004"/>
      <c r="HB88" s="1004"/>
      <c r="HC88" s="1004"/>
      <c r="HD88" s="1004"/>
      <c r="HE88" s="1004"/>
      <c r="HF88" s="1004"/>
      <c r="HG88" s="1004"/>
      <c r="HH88" s="1004"/>
      <c r="HI88" s="1004"/>
      <c r="HJ88" s="1004"/>
      <c r="HK88" s="1004"/>
      <c r="HL88" s="1004"/>
      <c r="HM88" s="1004"/>
      <c r="HN88" s="1004"/>
      <c r="HO88" s="1004"/>
      <c r="HP88" s="1004"/>
      <c r="HQ88" s="1004"/>
      <c r="HR88" s="1004"/>
      <c r="HS88" s="1004"/>
      <c r="HT88" s="1004"/>
      <c r="HU88" s="1004"/>
      <c r="HV88" s="1004"/>
      <c r="HW88" s="1004"/>
      <c r="HX88" s="1004"/>
      <c r="HY88" s="1004"/>
      <c r="HZ88" s="1004"/>
      <c r="IA88" s="1004"/>
      <c r="IB88" s="1004"/>
      <c r="IC88" s="1004"/>
      <c r="ID88" s="1004"/>
      <c r="IE88" s="1004"/>
      <c r="IF88" s="1004"/>
      <c r="IG88" s="1004"/>
      <c r="IH88" s="1004"/>
      <c r="II88" s="1004"/>
      <c r="IJ88" s="1004"/>
      <c r="IK88" s="1004"/>
      <c r="IL88" s="1004"/>
      <c r="IM88" s="1004"/>
      <c r="IN88" s="1004"/>
      <c r="IO88" s="1004"/>
      <c r="IP88" s="1004"/>
      <c r="IQ88" s="1004"/>
      <c r="IR88" s="1004"/>
      <c r="IS88" s="1004"/>
      <c r="IT88" s="1004"/>
      <c r="IU88" s="1004"/>
      <c r="IV88" s="1004"/>
      <c r="IW88" s="1004"/>
      <c r="IX88" s="1004"/>
      <c r="IY88" s="1004"/>
      <c r="IZ88" s="1004"/>
      <c r="JA88" s="1004"/>
      <c r="JB88" s="1004"/>
      <c r="JC88" s="1004"/>
      <c r="JD88" s="1004"/>
      <c r="JE88" s="1004"/>
      <c r="JF88" s="1004"/>
      <c r="JG88" s="1004"/>
      <c r="JH88" s="1004"/>
      <c r="JI88" s="1004"/>
      <c r="JJ88" s="1004"/>
      <c r="JK88" s="1004"/>
      <c r="JL88" s="1004"/>
      <c r="JM88" s="1004"/>
      <c r="JN88" s="1004"/>
      <c r="JO88" s="1004"/>
      <c r="JP88" s="1004"/>
      <c r="JQ88" s="1004"/>
      <c r="JR88" s="1004"/>
      <c r="JS88" s="1004"/>
      <c r="JT88" s="1004"/>
      <c r="JU88" s="1004"/>
      <c r="JV88" s="1004"/>
      <c r="JW88" s="1004"/>
      <c r="JX88" s="1004"/>
      <c r="JY88" s="1004"/>
      <c r="JZ88" s="1004"/>
      <c r="KA88" s="1004"/>
      <c r="KB88" s="1004"/>
      <c r="KC88" s="1004"/>
      <c r="KD88" s="1004"/>
      <c r="KE88" s="1004"/>
      <c r="KF88" s="1004"/>
      <c r="KG88" s="1004"/>
      <c r="KH88" s="1004"/>
      <c r="KI88" s="1004"/>
      <c r="KJ88" s="1004"/>
      <c r="KK88" s="1004"/>
      <c r="KL88" s="1004"/>
      <c r="KM88" s="1004"/>
      <c r="KN88" s="1004"/>
      <c r="KO88" s="1004"/>
      <c r="KP88" s="1004"/>
      <c r="KQ88" s="1004"/>
      <c r="KR88" s="1004"/>
      <c r="KS88" s="1004"/>
      <c r="KT88" s="1004"/>
      <c r="KU88" s="1004"/>
      <c r="KV88" s="1004"/>
      <c r="KW88" s="1004"/>
      <c r="KX88" s="1004"/>
      <c r="KY88" s="1004"/>
      <c r="KZ88" s="1004"/>
      <c r="LA88" s="1004"/>
      <c r="LB88" s="1004"/>
      <c r="LC88" s="1004"/>
      <c r="LD88" s="1004"/>
      <c r="LE88" s="1004"/>
      <c r="LF88" s="1004"/>
      <c r="LG88" s="1004"/>
      <c r="LH88" s="1004"/>
      <c r="LI88" s="1004"/>
      <c r="LJ88" s="1004"/>
      <c r="LK88" s="1004"/>
      <c r="LL88" s="1004"/>
      <c r="LM88" s="1004"/>
      <c r="LN88" s="1004"/>
      <c r="LO88" s="1004"/>
      <c r="LP88" s="1004"/>
      <c r="LQ88" s="1004"/>
      <c r="LR88" s="1004"/>
      <c r="LS88" s="1004"/>
      <c r="LT88" s="1004"/>
      <c r="LU88" s="1004"/>
      <c r="LV88" s="1004"/>
      <c r="LW88" s="1004"/>
      <c r="LX88" s="1004"/>
      <c r="LY88" s="1004"/>
      <c r="LZ88" s="1004"/>
      <c r="MA88" s="1004"/>
      <c r="MB88" s="1004"/>
      <c r="MC88" s="1004"/>
      <c r="MD88" s="1004"/>
      <c r="ME88" s="1004"/>
      <c r="MF88" s="1004"/>
      <c r="MG88" s="1004"/>
      <c r="MH88" s="1004"/>
      <c r="MI88" s="1004"/>
      <c r="MJ88" s="1004"/>
      <c r="MK88" s="1004"/>
      <c r="ML88" s="1004"/>
      <c r="MM88" s="1004"/>
      <c r="MN88" s="1004"/>
      <c r="MO88" s="1004"/>
      <c r="MP88" s="1004"/>
      <c r="MQ88" s="1004"/>
      <c r="MR88" s="1004"/>
      <c r="MS88" s="1004"/>
      <c r="MT88" s="1004"/>
      <c r="MU88" s="1004"/>
      <c r="MV88" s="1004"/>
      <c r="MW88" s="1004"/>
      <c r="MX88" s="1004"/>
      <c r="MY88" s="1004"/>
      <c r="MZ88" s="1004"/>
      <c r="NA88" s="1004"/>
      <c r="NB88" s="1004"/>
      <c r="NC88" s="1004"/>
      <c r="ND88" s="1004"/>
      <c r="NE88" s="1004"/>
      <c r="NF88" s="1004"/>
      <c r="NG88" s="1004"/>
      <c r="NH88" s="1004"/>
      <c r="NI88" s="1004"/>
      <c r="NJ88" s="1004"/>
      <c r="NK88" s="1004"/>
      <c r="NL88" s="1004"/>
      <c r="NM88" s="1004"/>
      <c r="NN88" s="1004"/>
      <c r="NO88" s="1004"/>
      <c r="NP88" s="1004"/>
      <c r="NQ88" s="1004"/>
      <c r="NR88" s="1004"/>
      <c r="NS88" s="1004"/>
      <c r="NT88" s="1004"/>
      <c r="NU88" s="1004"/>
      <c r="NV88" s="1004"/>
      <c r="NW88" s="1004"/>
      <c r="NX88" s="1004"/>
      <c r="NY88" s="1004"/>
      <c r="NZ88" s="1004"/>
      <c r="OA88" s="1004"/>
      <c r="OB88" s="1004"/>
      <c r="OC88" s="1004"/>
      <c r="OD88" s="1004"/>
      <c r="OE88" s="1004"/>
      <c r="OF88" s="1004"/>
      <c r="OG88" s="1004"/>
      <c r="OH88" s="1004"/>
      <c r="OI88" s="1004"/>
      <c r="OJ88" s="1004"/>
      <c r="OK88" s="1004"/>
      <c r="OL88" s="1004"/>
      <c r="OM88" s="1004"/>
      <c r="ON88" s="1004"/>
      <c r="OO88" s="1004"/>
      <c r="OP88" s="1004"/>
      <c r="OQ88" s="1004"/>
      <c r="OR88" s="1004"/>
      <c r="OS88" s="1004"/>
      <c r="OT88" s="1004"/>
      <c r="OU88" s="1004"/>
      <c r="OV88" s="1004"/>
      <c r="OW88" s="1004"/>
      <c r="OX88" s="1004"/>
      <c r="OY88" s="1004"/>
      <c r="OZ88" s="1004"/>
      <c r="PA88" s="1004"/>
      <c r="PB88" s="1004"/>
      <c r="PC88" s="1004"/>
      <c r="PD88" s="1004"/>
      <c r="PE88" s="1004"/>
      <c r="PF88" s="1004"/>
      <c r="PG88" s="1004"/>
      <c r="PH88" s="1004"/>
      <c r="PI88" s="1004"/>
      <c r="PJ88" s="1004"/>
      <c r="PK88" s="1004"/>
      <c r="PL88" s="1004"/>
      <c r="PM88" s="1004"/>
      <c r="PN88" s="1004"/>
      <c r="PO88" s="1004"/>
      <c r="PP88" s="1004"/>
      <c r="PQ88" s="1004"/>
      <c r="PR88" s="1004"/>
      <c r="PS88" s="1004"/>
      <c r="PT88" s="1004"/>
      <c r="PU88" s="1004"/>
      <c r="PV88" s="1004"/>
      <c r="PW88" s="1004"/>
      <c r="PX88" s="1004"/>
      <c r="PY88" s="1004"/>
      <c r="PZ88" s="1004"/>
      <c r="QA88" s="1004"/>
      <c r="QB88" s="1004"/>
      <c r="QC88" s="1004"/>
      <c r="QD88" s="1004"/>
      <c r="QE88" s="1004"/>
      <c r="QF88" s="1004"/>
      <c r="QG88" s="1004"/>
      <c r="QH88" s="1004"/>
      <c r="QI88" s="1004"/>
      <c r="QJ88" s="1004"/>
      <c r="QK88" s="1004"/>
      <c r="QL88" s="1004"/>
      <c r="QM88" s="1004"/>
      <c r="QN88" s="1004"/>
      <c r="QO88" s="1004"/>
      <c r="QP88" s="1004"/>
      <c r="QQ88" s="1004"/>
      <c r="QR88" s="1004"/>
      <c r="QS88" s="1004"/>
      <c r="QT88" s="1004"/>
      <c r="QU88" s="1004"/>
      <c r="QV88" s="1004"/>
      <c r="QW88" s="1004"/>
      <c r="QX88" s="1004"/>
      <c r="QY88" s="1004"/>
      <c r="QZ88" s="1004"/>
      <c r="RA88" s="1004"/>
      <c r="RB88" s="1004"/>
      <c r="RC88" s="1004"/>
      <c r="RD88" s="1004"/>
      <c r="RE88" s="1004"/>
      <c r="RF88" s="1004"/>
      <c r="RG88" s="1004"/>
      <c r="RH88" s="1004"/>
      <c r="RI88" s="1004"/>
      <c r="RJ88" s="1004"/>
      <c r="RK88" s="1004"/>
      <c r="RL88" s="1004"/>
      <c r="RM88" s="1004"/>
      <c r="RN88" s="1004"/>
      <c r="RO88" s="1004"/>
      <c r="RP88" s="1004"/>
      <c r="RQ88" s="1004"/>
      <c r="RR88" s="1004"/>
      <c r="RS88" s="1004"/>
      <c r="RT88" s="1004"/>
      <c r="RU88" s="1004"/>
      <c r="RV88" s="1004"/>
      <c r="RW88" s="1004"/>
      <c r="RX88" s="1004"/>
      <c r="RY88" s="1004"/>
      <c r="RZ88" s="1004"/>
      <c r="SA88" s="1004"/>
      <c r="SB88" s="1004"/>
      <c r="SC88" s="1004"/>
      <c r="SD88" s="1004"/>
      <c r="SE88" s="1004"/>
      <c r="SF88" s="1004"/>
      <c r="SG88" s="1004"/>
      <c r="SH88" s="1004"/>
      <c r="SI88" s="1004"/>
      <c r="SJ88" s="1004"/>
      <c r="SK88" s="1004"/>
      <c r="SL88" s="1004"/>
      <c r="SM88" s="1004"/>
      <c r="SN88" s="1004"/>
      <c r="SO88" s="1004"/>
      <c r="SP88" s="1004"/>
      <c r="SQ88" s="1004"/>
      <c r="SR88" s="1004"/>
      <c r="SS88" s="1004"/>
      <c r="ST88" s="1004"/>
      <c r="SU88" s="1004"/>
      <c r="SV88" s="1004"/>
      <c r="SW88" s="1004"/>
      <c r="SX88" s="1004"/>
      <c r="SY88" s="1004"/>
      <c r="SZ88" s="1004"/>
      <c r="TA88" s="1004"/>
      <c r="TB88" s="1004"/>
      <c r="TC88" s="1004"/>
      <c r="TD88" s="1004"/>
      <c r="TE88" s="1004"/>
      <c r="TF88" s="1004"/>
      <c r="TG88" s="1004"/>
      <c r="TH88" s="1004"/>
      <c r="TI88" s="1004"/>
      <c r="TJ88" s="1004"/>
      <c r="TK88" s="1004"/>
      <c r="TL88" s="1004"/>
      <c r="TM88" s="1004"/>
      <c r="TN88" s="1004"/>
      <c r="TO88" s="1004"/>
      <c r="TP88" s="1004"/>
      <c r="TQ88" s="1004"/>
      <c r="TR88" s="1004"/>
      <c r="TS88" s="1004"/>
      <c r="TT88" s="1004"/>
      <c r="TU88" s="1004"/>
      <c r="TV88" s="1004"/>
      <c r="TW88" s="1004"/>
      <c r="TX88" s="1004"/>
      <c r="TY88" s="1004"/>
      <c r="TZ88" s="1004"/>
      <c r="UA88" s="1004"/>
      <c r="UB88" s="1004"/>
      <c r="UC88" s="1004"/>
      <c r="UD88" s="1004"/>
      <c r="UE88" s="1004"/>
      <c r="UF88" s="1004"/>
      <c r="UG88" s="1004"/>
      <c r="UH88" s="1004"/>
      <c r="UI88" s="1004"/>
      <c r="UJ88" s="1004"/>
      <c r="UK88" s="1004"/>
      <c r="UL88" s="1004"/>
      <c r="UM88" s="1004"/>
      <c r="UN88" s="1004"/>
      <c r="UO88" s="1004"/>
      <c r="UP88" s="1004"/>
      <c r="UQ88" s="1004"/>
      <c r="UR88" s="1004"/>
      <c r="US88" s="1004"/>
      <c r="UT88" s="1004"/>
      <c r="UU88" s="1004"/>
      <c r="UV88" s="1004"/>
      <c r="UW88" s="1004"/>
      <c r="UX88" s="1004"/>
      <c r="UY88" s="1004"/>
      <c r="UZ88" s="1004"/>
      <c r="VA88" s="1004"/>
      <c r="VB88" s="1004"/>
      <c r="VC88" s="1004"/>
      <c r="VD88" s="1004"/>
      <c r="VE88" s="1004"/>
      <c r="VF88" s="1004"/>
      <c r="VG88" s="1004"/>
      <c r="VH88" s="1004"/>
      <c r="VI88" s="1004"/>
      <c r="VJ88" s="1004"/>
      <c r="VK88" s="1004"/>
      <c r="VL88" s="1004"/>
      <c r="VM88" s="1004"/>
      <c r="VN88" s="1004"/>
      <c r="VO88" s="1004"/>
      <c r="VP88" s="1004"/>
      <c r="VQ88" s="1004"/>
      <c r="VR88" s="1004"/>
      <c r="VS88" s="1004"/>
      <c r="VT88" s="1004"/>
      <c r="VU88" s="1004"/>
      <c r="VV88" s="1004"/>
      <c r="VW88" s="1004"/>
      <c r="VX88" s="1004"/>
      <c r="VY88" s="1004"/>
      <c r="VZ88" s="1004"/>
      <c r="WA88" s="1004"/>
      <c r="WB88" s="1004"/>
      <c r="WC88" s="1004"/>
      <c r="WD88" s="1004"/>
      <c r="WE88" s="1004"/>
      <c r="WF88" s="1004"/>
      <c r="WG88" s="1004"/>
      <c r="WH88" s="1004"/>
      <c r="WI88" s="1004"/>
      <c r="WJ88" s="1004"/>
      <c r="WK88" s="1004"/>
      <c r="WL88" s="1004"/>
      <c r="WM88" s="1004"/>
      <c r="WN88" s="1004"/>
      <c r="WO88" s="1004"/>
      <c r="WP88" s="1004"/>
      <c r="WQ88" s="1004"/>
      <c r="WR88" s="1004"/>
      <c r="WS88" s="1004"/>
      <c r="WT88" s="1004"/>
      <c r="WU88" s="1004"/>
      <c r="WV88" s="1004"/>
      <c r="WW88" s="1004"/>
      <c r="WX88" s="1004"/>
      <c r="WY88" s="1004"/>
      <c r="WZ88" s="1004"/>
      <c r="XA88" s="1004"/>
      <c r="XB88" s="1004"/>
      <c r="XC88" s="1004"/>
      <c r="XD88" s="1004"/>
      <c r="XE88" s="1004"/>
      <c r="XF88" s="1004"/>
      <c r="XG88" s="1004"/>
      <c r="XH88" s="1004"/>
      <c r="XI88" s="1004"/>
      <c r="XJ88" s="1004"/>
      <c r="XK88" s="1004"/>
      <c r="XL88" s="1004"/>
      <c r="XM88" s="1004"/>
      <c r="XN88" s="1004"/>
      <c r="XO88" s="1004"/>
      <c r="XP88" s="1004"/>
      <c r="XQ88" s="1004"/>
      <c r="XR88" s="1004"/>
      <c r="XS88" s="1004"/>
      <c r="XT88" s="1004"/>
      <c r="XU88" s="1004"/>
      <c r="XV88" s="1004"/>
      <c r="XW88" s="1004"/>
      <c r="XX88" s="1004"/>
      <c r="XY88" s="1004"/>
      <c r="XZ88" s="1004"/>
      <c r="YA88" s="1004"/>
      <c r="YB88" s="1004"/>
      <c r="YC88" s="1004"/>
      <c r="YD88" s="1004"/>
      <c r="YE88" s="1004"/>
      <c r="YF88" s="1004"/>
      <c r="YG88" s="1004"/>
      <c r="YH88" s="1004"/>
      <c r="YI88" s="1004"/>
      <c r="YJ88" s="1004"/>
      <c r="YK88" s="1004"/>
      <c r="YL88" s="1004"/>
      <c r="YM88" s="1004"/>
      <c r="YN88" s="1004"/>
      <c r="YO88" s="1004"/>
      <c r="YP88" s="1004"/>
      <c r="YQ88" s="1004"/>
      <c r="YR88" s="1004"/>
      <c r="YS88" s="1004"/>
      <c r="YT88" s="1004"/>
      <c r="YU88" s="1004"/>
      <c r="YV88" s="1004"/>
      <c r="YW88" s="1004"/>
      <c r="YX88" s="1004"/>
      <c r="YY88" s="1004"/>
      <c r="YZ88" s="1004"/>
      <c r="ZA88" s="1004"/>
      <c r="ZB88" s="1004"/>
      <c r="ZC88" s="1004"/>
      <c r="ZD88" s="1004"/>
      <c r="ZE88" s="1004"/>
      <c r="ZF88" s="1004"/>
      <c r="ZG88" s="1004"/>
      <c r="ZH88" s="1004"/>
      <c r="ZI88" s="1004"/>
      <c r="ZJ88" s="1004"/>
      <c r="ZK88" s="1004"/>
      <c r="ZL88" s="1004"/>
      <c r="ZM88" s="1004"/>
      <c r="ZN88" s="1004"/>
      <c r="ZO88" s="1004"/>
      <c r="ZP88" s="1004"/>
      <c r="ZQ88" s="1004"/>
      <c r="ZR88" s="1004"/>
      <c r="ZS88" s="1004"/>
      <c r="ZT88" s="1004"/>
      <c r="ZU88" s="1004"/>
      <c r="ZV88" s="1004"/>
      <c r="ZW88" s="1004"/>
      <c r="ZX88" s="1004"/>
      <c r="ZY88" s="1004"/>
      <c r="ZZ88" s="1004"/>
      <c r="AAA88" s="1004"/>
      <c r="AAB88" s="1004"/>
      <c r="AAC88" s="1004"/>
      <c r="AAD88" s="1004"/>
      <c r="AAE88" s="1004"/>
      <c r="AAF88" s="1004"/>
      <c r="AAG88" s="1004"/>
      <c r="AAH88" s="1004"/>
      <c r="AAI88" s="1004"/>
      <c r="AAJ88" s="1004"/>
      <c r="AAK88" s="1004"/>
      <c r="AAL88" s="1004"/>
      <c r="AAM88" s="1004"/>
      <c r="AAN88" s="1004"/>
      <c r="AAO88" s="1004"/>
      <c r="AAP88" s="1004"/>
      <c r="AAQ88" s="1004"/>
      <c r="AAR88" s="1004"/>
      <c r="AAS88" s="1004"/>
      <c r="AAT88" s="1004"/>
      <c r="AAU88" s="1004"/>
      <c r="AAV88" s="1004"/>
      <c r="AAW88" s="1004"/>
      <c r="AAX88" s="1004"/>
      <c r="AAY88" s="1004"/>
      <c r="AAZ88" s="1004"/>
      <c r="ABA88" s="1004"/>
      <c r="ABB88" s="1004"/>
      <c r="ABC88" s="1004"/>
      <c r="ABD88" s="1004"/>
      <c r="ABE88" s="1004"/>
      <c r="ABF88" s="1004"/>
      <c r="ABG88" s="1004"/>
      <c r="ABH88" s="1004"/>
      <c r="ABI88" s="1004"/>
      <c r="ABJ88" s="1004"/>
      <c r="ABK88" s="1004"/>
      <c r="ABL88" s="1004"/>
      <c r="ABM88" s="1004"/>
      <c r="ABN88" s="1004"/>
      <c r="ABO88" s="1004"/>
      <c r="ABP88" s="1004"/>
      <c r="ABQ88" s="1004"/>
      <c r="ABR88" s="1004"/>
    </row>
    <row r="89" spans="1:746" s="111" customFormat="1" ht="12.9" customHeight="1">
      <c r="A89" s="1252"/>
      <c r="B89" s="1261" t="s">
        <v>1041</v>
      </c>
      <c r="C89" s="1262"/>
      <c r="D89" s="1268"/>
      <c r="E89" s="1891">
        <v>0.31419999999999998</v>
      </c>
      <c r="F89" s="1853"/>
      <c r="G89" s="1889">
        <v>0.3</v>
      </c>
      <c r="H89" s="2168">
        <f t="shared" ref="H89:H97" si="15">$H$87-G89</f>
        <v>0.7</v>
      </c>
      <c r="I89" s="1966"/>
      <c r="J89" s="368"/>
      <c r="K89" s="368"/>
      <c r="L89" s="368"/>
      <c r="M89" s="368"/>
      <c r="N89" s="368"/>
      <c r="O89" s="368"/>
      <c r="P89" s="368"/>
      <c r="Q89" s="368"/>
      <c r="R89" s="368"/>
      <c r="S89" s="368"/>
      <c r="T89" s="368"/>
      <c r="U89" s="1885"/>
      <c r="V89" s="1885"/>
      <c r="W89" s="1885"/>
      <c r="X89" s="1885"/>
      <c r="Y89" s="1885"/>
      <c r="Z89" s="1885"/>
      <c r="AA89" s="1885"/>
      <c r="AB89" s="1885"/>
      <c r="AC89" s="1885"/>
      <c r="AD89" s="1885"/>
      <c r="AE89" s="1885"/>
      <c r="AF89" s="1885"/>
      <c r="AG89" s="2203"/>
      <c r="AH89" s="359"/>
      <c r="AI89" s="359"/>
      <c r="AJ89" s="1854">
        <f>IF(fx!$C$57=1,SUMIF(fx!I$57:T$57,1,I89:T89),IF(fx!$C$57=2,SUMIF(fx!O$57:AF$57,1,O89:AF89)))</f>
        <v>0</v>
      </c>
      <c r="AK89" s="434"/>
      <c r="AL89" s="1855">
        <f>IF(fx!$C$57=1,SUM(U89:AF89),0)</f>
        <v>0</v>
      </c>
      <c r="AM89" s="1021"/>
      <c r="AN89" s="1018"/>
      <c r="AO89" s="1945"/>
      <c r="AP89" s="1935"/>
      <c r="AQ89" s="1936"/>
      <c r="AR89" s="1941"/>
      <c r="AS89" s="1941"/>
      <c r="AT89" s="1941"/>
      <c r="AU89" s="1941"/>
      <c r="AV89" s="1941"/>
      <c r="AW89" s="1941"/>
      <c r="AX89" s="1941"/>
      <c r="AY89" s="1941"/>
      <c r="AZ89" s="1941"/>
      <c r="BA89" s="1941"/>
      <c r="BB89" s="1941"/>
      <c r="BC89" s="1941"/>
      <c r="BD89" s="1941"/>
      <c r="BE89" s="1941"/>
      <c r="BF89" s="1941"/>
      <c r="BG89" s="1941"/>
      <c r="BH89" s="1941"/>
      <c r="BI89" s="1941"/>
      <c r="BJ89" s="1941"/>
      <c r="BK89" s="1941"/>
      <c r="BL89" s="1941"/>
      <c r="BM89" s="1941"/>
      <c r="BN89" s="1941"/>
      <c r="BO89" s="1941"/>
      <c r="BP89" s="1009"/>
      <c r="BQ89" s="1009"/>
      <c r="BR89" s="1009"/>
      <c r="BS89" s="1009"/>
      <c r="BT89" s="1009"/>
      <c r="BU89" s="1009"/>
      <c r="BV89" s="1009"/>
      <c r="BW89" s="1009"/>
      <c r="BX89" s="1009"/>
      <c r="BY89" s="1009"/>
      <c r="BZ89" s="1009"/>
      <c r="CA89" s="1009"/>
      <c r="CB89" s="1009"/>
      <c r="CC89" s="1009"/>
      <c r="CD89" s="1009"/>
      <c r="CE89" s="1009"/>
      <c r="CF89" s="1009"/>
      <c r="CG89" s="1009"/>
      <c r="CH89" s="1009"/>
      <c r="CI89" s="1009"/>
      <c r="CJ89" s="1009"/>
      <c r="CK89" s="1009"/>
      <c r="CL89" s="1009"/>
      <c r="CM89" s="1009"/>
      <c r="CN89" s="1009"/>
      <c r="CO89" s="1009"/>
      <c r="CP89" s="1009"/>
      <c r="CQ89" s="1009"/>
      <c r="CR89" s="1009"/>
      <c r="CS89" s="1009"/>
      <c r="CT89" s="1009"/>
      <c r="CU89" s="1009"/>
      <c r="CV89" s="1009"/>
      <c r="CW89" s="1009"/>
      <c r="CX89" s="1009"/>
      <c r="CY89" s="1009"/>
      <c r="CZ89" s="1009"/>
      <c r="DA89" s="1009"/>
      <c r="DB89" s="1009"/>
      <c r="DC89" s="1009"/>
      <c r="DD89" s="1009"/>
      <c r="DE89" s="1009"/>
      <c r="DF89" s="1009"/>
      <c r="DG89" s="1009"/>
      <c r="DH89" s="1009"/>
      <c r="DI89" s="1009"/>
      <c r="DJ89" s="1009"/>
      <c r="DK89" s="1009"/>
      <c r="DL89" s="1009"/>
      <c r="DM89" s="1009"/>
      <c r="DN89" s="1009"/>
      <c r="DO89" s="1009"/>
      <c r="DP89" s="1009"/>
      <c r="DQ89" s="1009"/>
      <c r="DR89" s="1009"/>
      <c r="DS89" s="1009"/>
      <c r="DT89" s="1009"/>
      <c r="DU89" s="1009"/>
      <c r="DV89" s="1009"/>
      <c r="DW89" s="1009"/>
      <c r="DX89" s="1009"/>
      <c r="DY89" s="1009"/>
      <c r="DZ89" s="1009"/>
      <c r="EA89" s="1009"/>
      <c r="EB89" s="1009"/>
      <c r="EC89" s="1009"/>
      <c r="ED89" s="1009"/>
      <c r="EE89" s="1009"/>
      <c r="EF89" s="1009"/>
      <c r="EG89" s="1009"/>
      <c r="EH89" s="1009"/>
      <c r="EI89" s="1009"/>
      <c r="EJ89" s="1009"/>
      <c r="EK89" s="1009"/>
      <c r="EL89" s="1009"/>
      <c r="EM89" s="1009"/>
      <c r="EN89" s="1009"/>
      <c r="EO89" s="1009"/>
      <c r="EP89" s="1009"/>
      <c r="EQ89" s="1009"/>
      <c r="ER89" s="1009"/>
      <c r="ES89" s="1009"/>
      <c r="ET89" s="1009"/>
      <c r="EU89" s="1009"/>
      <c r="EV89" s="1009"/>
      <c r="EW89" s="1009"/>
      <c r="EX89" s="1009"/>
      <c r="EY89" s="1009"/>
      <c r="EZ89" s="1009"/>
      <c r="FA89" s="1009"/>
      <c r="FB89" s="1009"/>
      <c r="FC89" s="1009"/>
      <c r="FD89" s="1009"/>
      <c r="FE89" s="1009"/>
      <c r="FF89" s="1009"/>
      <c r="FG89" s="1009"/>
      <c r="FH89" s="1009"/>
      <c r="FI89" s="1009"/>
      <c r="FJ89" s="1009"/>
      <c r="FK89" s="1009"/>
      <c r="FL89" s="1009"/>
      <c r="FM89" s="1009"/>
      <c r="FN89" s="1009"/>
      <c r="FO89" s="1009"/>
      <c r="FP89" s="1009"/>
      <c r="FQ89" s="1009"/>
      <c r="FR89" s="1009"/>
      <c r="FS89" s="1009"/>
      <c r="FT89" s="1009"/>
      <c r="FU89" s="1009"/>
      <c r="FV89" s="1009"/>
      <c r="FW89" s="1009"/>
      <c r="FX89" s="1009"/>
      <c r="FY89" s="1009"/>
      <c r="FZ89" s="1009"/>
      <c r="GA89" s="1009"/>
      <c r="GB89" s="1009"/>
      <c r="GC89" s="1009"/>
      <c r="GD89" s="1009"/>
      <c r="GE89" s="1009"/>
      <c r="GF89" s="1009"/>
      <c r="GG89" s="1009"/>
      <c r="GH89" s="1009"/>
      <c r="GI89" s="1009"/>
      <c r="GJ89" s="1009"/>
      <c r="GK89" s="1009"/>
      <c r="GL89" s="1009"/>
      <c r="GM89" s="1009"/>
      <c r="GN89" s="1009"/>
      <c r="GO89" s="1009"/>
      <c r="GP89" s="1009"/>
      <c r="GQ89" s="1009"/>
      <c r="GR89" s="1009"/>
      <c r="GS89" s="1009"/>
      <c r="GT89" s="1009"/>
      <c r="GU89" s="1009"/>
      <c r="GV89" s="1009"/>
      <c r="GW89" s="1009"/>
      <c r="GX89" s="1009"/>
      <c r="GY89" s="1009"/>
      <c r="GZ89" s="1009"/>
      <c r="HA89" s="1009"/>
      <c r="HB89" s="1009"/>
      <c r="HC89" s="1009"/>
      <c r="HD89" s="1009"/>
      <c r="HE89" s="1009"/>
      <c r="HF89" s="1009"/>
      <c r="HG89" s="1009"/>
      <c r="HH89" s="1009"/>
      <c r="HI89" s="1009"/>
      <c r="HJ89" s="1009"/>
      <c r="HK89" s="1009"/>
      <c r="HL89" s="1009"/>
      <c r="HM89" s="1009"/>
      <c r="HN89" s="1009"/>
      <c r="HO89" s="1009"/>
      <c r="HP89" s="1009"/>
      <c r="HQ89" s="1009"/>
      <c r="HR89" s="1009"/>
      <c r="HS89" s="1009"/>
      <c r="HT89" s="1009"/>
      <c r="HU89" s="1009"/>
      <c r="HV89" s="1009"/>
      <c r="HW89" s="1009"/>
      <c r="HX89" s="1009"/>
      <c r="HY89" s="1009"/>
      <c r="HZ89" s="1009"/>
      <c r="IA89" s="1009"/>
      <c r="IB89" s="1009"/>
      <c r="IC89" s="1009"/>
      <c r="ID89" s="1009"/>
      <c r="IE89" s="1009"/>
      <c r="IF89" s="1009"/>
      <c r="IG89" s="1009"/>
      <c r="IH89" s="1009"/>
      <c r="II89" s="1009"/>
      <c r="IJ89" s="1009"/>
      <c r="IK89" s="1009"/>
      <c r="IL89" s="1009"/>
      <c r="IM89" s="1009"/>
      <c r="IN89" s="1009"/>
      <c r="IO89" s="1009"/>
      <c r="IP89" s="1009"/>
      <c r="IQ89" s="1009"/>
      <c r="IR89" s="1009"/>
      <c r="IS89" s="1009"/>
      <c r="IT89" s="1009"/>
      <c r="IU89" s="1009"/>
      <c r="IV89" s="1009"/>
      <c r="IW89" s="1009"/>
      <c r="IX89" s="1009"/>
      <c r="IY89" s="1009"/>
      <c r="IZ89" s="1009"/>
      <c r="JA89" s="1009"/>
      <c r="JB89" s="1009"/>
      <c r="JC89" s="1009"/>
      <c r="JD89" s="1009"/>
      <c r="JE89" s="1009"/>
      <c r="JF89" s="1009"/>
      <c r="JG89" s="1009"/>
      <c r="JH89" s="1009"/>
      <c r="JI89" s="1009"/>
      <c r="JJ89" s="1009"/>
      <c r="JK89" s="1009"/>
      <c r="JL89" s="1009"/>
      <c r="JM89" s="1009"/>
      <c r="JN89" s="1009"/>
      <c r="JO89" s="1009"/>
      <c r="JP89" s="1009"/>
      <c r="JQ89" s="1009"/>
      <c r="JR89" s="1009"/>
      <c r="JS89" s="1009"/>
      <c r="JT89" s="1009"/>
      <c r="JU89" s="1009"/>
      <c r="JV89" s="1009"/>
      <c r="JW89" s="1009"/>
      <c r="JX89" s="1009"/>
      <c r="JY89" s="1009"/>
      <c r="JZ89" s="1009"/>
      <c r="KA89" s="1009"/>
      <c r="KB89" s="1009"/>
      <c r="KC89" s="1009"/>
      <c r="KD89" s="1009"/>
      <c r="KE89" s="1009"/>
      <c r="KF89" s="1009"/>
      <c r="KG89" s="1009"/>
      <c r="KH89" s="1009"/>
      <c r="KI89" s="1009"/>
      <c r="KJ89" s="1009"/>
      <c r="KK89" s="1009"/>
      <c r="KL89" s="1009"/>
      <c r="KM89" s="1009"/>
      <c r="KN89" s="1009"/>
      <c r="KO89" s="1009"/>
      <c r="KP89" s="1009"/>
      <c r="KQ89" s="1009"/>
      <c r="KR89" s="1009"/>
      <c r="KS89" s="1009"/>
      <c r="KT89" s="1009"/>
      <c r="KU89" s="1009"/>
      <c r="KV89" s="1009"/>
      <c r="KW89" s="1009"/>
      <c r="KX89" s="1009"/>
      <c r="KY89" s="1009"/>
      <c r="KZ89" s="1009"/>
      <c r="LA89" s="1009"/>
      <c r="LB89" s="1009"/>
      <c r="LC89" s="1009"/>
      <c r="LD89" s="1009"/>
      <c r="LE89" s="1009"/>
      <c r="LF89" s="1009"/>
      <c r="LG89" s="1009"/>
      <c r="LH89" s="1009"/>
      <c r="LI89" s="1009"/>
      <c r="LJ89" s="1009"/>
      <c r="LK89" s="1009"/>
      <c r="LL89" s="1009"/>
      <c r="LM89" s="1009"/>
      <c r="LN89" s="1009"/>
      <c r="LO89" s="1009"/>
      <c r="LP89" s="1009"/>
      <c r="LQ89" s="1009"/>
      <c r="LR89" s="1009"/>
      <c r="LS89" s="1009"/>
      <c r="LT89" s="1009"/>
      <c r="LU89" s="1009"/>
      <c r="LV89" s="1009"/>
      <c r="LW89" s="1009"/>
      <c r="LX89" s="1009"/>
      <c r="LY89" s="1009"/>
      <c r="LZ89" s="1009"/>
      <c r="MA89" s="1009"/>
      <c r="MB89" s="1009"/>
      <c r="MC89" s="1009"/>
      <c r="MD89" s="1009"/>
      <c r="ME89" s="1009"/>
      <c r="MF89" s="1009"/>
      <c r="MG89" s="1009"/>
      <c r="MH89" s="1009"/>
      <c r="MI89" s="1009"/>
      <c r="MJ89" s="1009"/>
      <c r="MK89" s="1009"/>
      <c r="ML89" s="1009"/>
      <c r="MM89" s="1009"/>
      <c r="MN89" s="1009"/>
      <c r="MO89" s="1009"/>
      <c r="MP89" s="1009"/>
      <c r="MQ89" s="1009"/>
      <c r="MR89" s="1009"/>
      <c r="MS89" s="1009"/>
      <c r="MT89" s="1009"/>
      <c r="MU89" s="1009"/>
      <c r="MV89" s="1009"/>
      <c r="MW89" s="1009"/>
      <c r="MX89" s="1009"/>
      <c r="MY89" s="1009"/>
      <c r="MZ89" s="1009"/>
      <c r="NA89" s="1009"/>
      <c r="NB89" s="1009"/>
      <c r="NC89" s="1009"/>
      <c r="ND89" s="1009"/>
      <c r="NE89" s="1009"/>
      <c r="NF89" s="1009"/>
      <c r="NG89" s="1009"/>
      <c r="NH89" s="1009"/>
      <c r="NI89" s="1009"/>
      <c r="NJ89" s="1009"/>
      <c r="NK89" s="1009"/>
      <c r="NL89" s="1009"/>
      <c r="NM89" s="1009"/>
      <c r="NN89" s="1009"/>
      <c r="NO89" s="1009"/>
      <c r="NP89" s="1009"/>
      <c r="NQ89" s="1009"/>
      <c r="NR89" s="1009"/>
      <c r="NS89" s="1009"/>
      <c r="NT89" s="1009"/>
      <c r="NU89" s="1009"/>
      <c r="NV89" s="1009"/>
      <c r="NW89" s="1009"/>
      <c r="NX89" s="1009"/>
      <c r="NY89" s="1009"/>
      <c r="NZ89" s="1009"/>
      <c r="OA89" s="1009"/>
      <c r="OB89" s="1009"/>
      <c r="OC89" s="1009"/>
      <c r="OD89" s="1009"/>
      <c r="OE89" s="1009"/>
      <c r="OF89" s="1009"/>
      <c r="OG89" s="1009"/>
      <c r="OH89" s="1009"/>
      <c r="OI89" s="1009"/>
      <c r="OJ89" s="1009"/>
      <c r="OK89" s="1009"/>
      <c r="OL89" s="1009"/>
      <c r="OM89" s="1009"/>
      <c r="ON89" s="1009"/>
      <c r="OO89" s="1009"/>
      <c r="OP89" s="1009"/>
      <c r="OQ89" s="1009"/>
      <c r="OR89" s="1009"/>
      <c r="OS89" s="1009"/>
      <c r="OT89" s="1009"/>
      <c r="OU89" s="1009"/>
      <c r="OV89" s="1009"/>
      <c r="OW89" s="1009"/>
      <c r="OX89" s="1009"/>
      <c r="OY89" s="1009"/>
      <c r="OZ89" s="1009"/>
      <c r="PA89" s="1009"/>
      <c r="PB89" s="1009"/>
      <c r="PC89" s="1009"/>
      <c r="PD89" s="1009"/>
      <c r="PE89" s="1009"/>
      <c r="PF89" s="1009"/>
      <c r="PG89" s="1009"/>
      <c r="PH89" s="1009"/>
      <c r="PI89" s="1009"/>
      <c r="PJ89" s="1009"/>
      <c r="PK89" s="1009"/>
      <c r="PL89" s="1009"/>
      <c r="PM89" s="1009"/>
      <c r="PN89" s="1009"/>
      <c r="PO89" s="1009"/>
      <c r="PP89" s="1009"/>
      <c r="PQ89" s="1009"/>
      <c r="PR89" s="1009"/>
      <c r="PS89" s="1009"/>
      <c r="PT89" s="1009"/>
      <c r="PU89" s="1009"/>
      <c r="PV89" s="1009"/>
      <c r="PW89" s="1009"/>
      <c r="PX89" s="1009"/>
      <c r="PY89" s="1009"/>
      <c r="PZ89" s="1009"/>
      <c r="QA89" s="1009"/>
      <c r="QB89" s="1009"/>
      <c r="QC89" s="1009"/>
      <c r="QD89" s="1009"/>
      <c r="QE89" s="1009"/>
      <c r="QF89" s="1009"/>
      <c r="QG89" s="1009"/>
      <c r="QH89" s="1009"/>
      <c r="QI89" s="1009"/>
      <c r="QJ89" s="1009"/>
      <c r="QK89" s="1009"/>
      <c r="QL89" s="1009"/>
      <c r="QM89" s="1009"/>
      <c r="QN89" s="1009"/>
      <c r="QO89" s="1009"/>
      <c r="QP89" s="1009"/>
      <c r="QQ89" s="1009"/>
      <c r="QR89" s="1009"/>
      <c r="QS89" s="1009"/>
      <c r="QT89" s="1009"/>
      <c r="QU89" s="1009"/>
      <c r="QV89" s="1009"/>
      <c r="QW89" s="1009"/>
      <c r="QX89" s="1009"/>
      <c r="QY89" s="1009"/>
      <c r="QZ89" s="1009"/>
      <c r="RA89" s="1009"/>
      <c r="RB89" s="1009"/>
      <c r="RC89" s="1009"/>
      <c r="RD89" s="1009"/>
      <c r="RE89" s="1009"/>
      <c r="RF89" s="1009"/>
      <c r="RG89" s="1009"/>
      <c r="RH89" s="1009"/>
      <c r="RI89" s="1009"/>
      <c r="RJ89" s="1009"/>
      <c r="RK89" s="1009"/>
      <c r="RL89" s="1009"/>
      <c r="RM89" s="1009"/>
      <c r="RN89" s="1009"/>
      <c r="RO89" s="1009"/>
      <c r="RP89" s="1009"/>
      <c r="RQ89" s="1009"/>
      <c r="RR89" s="1009"/>
      <c r="RS89" s="1009"/>
      <c r="RT89" s="1009"/>
      <c r="RU89" s="1009"/>
      <c r="RV89" s="1009"/>
      <c r="RW89" s="1009"/>
      <c r="RX89" s="1009"/>
      <c r="RY89" s="1009"/>
      <c r="RZ89" s="1009"/>
      <c r="SA89" s="1009"/>
      <c r="SB89" s="1009"/>
      <c r="SC89" s="1009"/>
      <c r="SD89" s="1009"/>
      <c r="SE89" s="1009"/>
      <c r="SF89" s="1009"/>
      <c r="SG89" s="1009"/>
      <c r="SH89" s="1009"/>
      <c r="SI89" s="1009"/>
      <c r="SJ89" s="1009"/>
      <c r="SK89" s="1009"/>
      <c r="SL89" s="1009"/>
      <c r="SM89" s="1009"/>
      <c r="SN89" s="1009"/>
      <c r="SO89" s="1009"/>
      <c r="SP89" s="1009"/>
      <c r="SQ89" s="1009"/>
      <c r="SR89" s="1009"/>
      <c r="SS89" s="1009"/>
      <c r="ST89" s="1009"/>
      <c r="SU89" s="1009"/>
      <c r="SV89" s="1009"/>
      <c r="SW89" s="1009"/>
      <c r="SX89" s="1009"/>
      <c r="SY89" s="1009"/>
      <c r="SZ89" s="1009"/>
      <c r="TA89" s="1009"/>
      <c r="TB89" s="1009"/>
      <c r="TC89" s="1009"/>
      <c r="TD89" s="1009"/>
      <c r="TE89" s="1009"/>
      <c r="TF89" s="1009"/>
      <c r="TG89" s="1009"/>
      <c r="TH89" s="1009"/>
      <c r="TI89" s="1009"/>
      <c r="TJ89" s="1009"/>
      <c r="TK89" s="1009"/>
      <c r="TL89" s="1009"/>
      <c r="TM89" s="1009"/>
      <c r="TN89" s="1009"/>
      <c r="TO89" s="1009"/>
      <c r="TP89" s="1009"/>
      <c r="TQ89" s="1009"/>
      <c r="TR89" s="1009"/>
      <c r="TS89" s="1009"/>
      <c r="TT89" s="1009"/>
      <c r="TU89" s="1009"/>
      <c r="TV89" s="1009"/>
      <c r="TW89" s="1009"/>
      <c r="TX89" s="1009"/>
      <c r="TY89" s="1009"/>
      <c r="TZ89" s="1009"/>
      <c r="UA89" s="1009"/>
      <c r="UB89" s="1009"/>
      <c r="UC89" s="1009"/>
      <c r="UD89" s="1009"/>
      <c r="UE89" s="1009"/>
      <c r="UF89" s="1009"/>
      <c r="UG89" s="1009"/>
      <c r="UH89" s="1009"/>
      <c r="UI89" s="1009"/>
      <c r="UJ89" s="1009"/>
      <c r="UK89" s="1009"/>
      <c r="UL89" s="1009"/>
      <c r="UM89" s="1009"/>
      <c r="UN89" s="1009"/>
      <c r="UO89" s="1009"/>
      <c r="UP89" s="1009"/>
      <c r="UQ89" s="1009"/>
      <c r="UR89" s="1009"/>
      <c r="US89" s="1009"/>
      <c r="UT89" s="1009"/>
      <c r="UU89" s="1009"/>
      <c r="UV89" s="1009"/>
      <c r="UW89" s="1009"/>
      <c r="UX89" s="1009"/>
      <c r="UY89" s="1009"/>
      <c r="UZ89" s="1009"/>
      <c r="VA89" s="1009"/>
      <c r="VB89" s="1009"/>
      <c r="VC89" s="1009"/>
      <c r="VD89" s="1009"/>
      <c r="VE89" s="1009"/>
      <c r="VF89" s="1009"/>
      <c r="VG89" s="1009"/>
      <c r="VH89" s="1009"/>
      <c r="VI89" s="1009"/>
      <c r="VJ89" s="1009"/>
      <c r="VK89" s="1009"/>
      <c r="VL89" s="1009"/>
      <c r="VM89" s="1009"/>
      <c r="VN89" s="1009"/>
      <c r="VO89" s="1009"/>
      <c r="VP89" s="1009"/>
      <c r="VQ89" s="1009"/>
      <c r="VR89" s="1009"/>
      <c r="VS89" s="1009"/>
      <c r="VT89" s="1009"/>
      <c r="VU89" s="1009"/>
      <c r="VV89" s="1009"/>
      <c r="VW89" s="1009"/>
      <c r="VX89" s="1009"/>
      <c r="VY89" s="1009"/>
      <c r="VZ89" s="1009"/>
      <c r="WA89" s="1009"/>
      <c r="WB89" s="1009"/>
      <c r="WC89" s="1009"/>
      <c r="WD89" s="1009"/>
      <c r="WE89" s="1009"/>
      <c r="WF89" s="1009"/>
      <c r="WG89" s="1009"/>
      <c r="WH89" s="1009"/>
      <c r="WI89" s="1009"/>
      <c r="WJ89" s="1009"/>
      <c r="WK89" s="1009"/>
      <c r="WL89" s="1009"/>
      <c r="WM89" s="1009"/>
      <c r="WN89" s="1009"/>
      <c r="WO89" s="1009"/>
      <c r="WP89" s="1009"/>
      <c r="WQ89" s="1009"/>
      <c r="WR89" s="1009"/>
      <c r="WS89" s="1009"/>
      <c r="WT89" s="1009"/>
      <c r="WU89" s="1009"/>
      <c r="WV89" s="1009"/>
      <c r="WW89" s="1009"/>
      <c r="WX89" s="1009"/>
      <c r="WY89" s="1009"/>
      <c r="WZ89" s="1009"/>
      <c r="XA89" s="1009"/>
      <c r="XB89" s="1009"/>
      <c r="XC89" s="1009"/>
      <c r="XD89" s="1009"/>
      <c r="XE89" s="1009"/>
      <c r="XF89" s="1009"/>
      <c r="XG89" s="1009"/>
      <c r="XH89" s="1009"/>
      <c r="XI89" s="1009"/>
      <c r="XJ89" s="1009"/>
      <c r="XK89" s="1009"/>
      <c r="XL89" s="1009"/>
      <c r="XM89" s="1009"/>
      <c r="XN89" s="1009"/>
      <c r="XO89" s="1009"/>
      <c r="XP89" s="1009"/>
      <c r="XQ89" s="1009"/>
      <c r="XR89" s="1009"/>
      <c r="XS89" s="1009"/>
      <c r="XT89" s="1009"/>
      <c r="XU89" s="1009"/>
      <c r="XV89" s="1009"/>
      <c r="XW89" s="1009"/>
      <c r="XX89" s="1009"/>
      <c r="XY89" s="1009"/>
      <c r="XZ89" s="1009"/>
      <c r="YA89" s="1009"/>
      <c r="YB89" s="1009"/>
      <c r="YC89" s="1009"/>
      <c r="YD89" s="1009"/>
      <c r="YE89" s="1009"/>
      <c r="YF89" s="1009"/>
      <c r="YG89" s="1009"/>
      <c r="YH89" s="1009"/>
      <c r="YI89" s="1009"/>
      <c r="YJ89" s="1009"/>
      <c r="YK89" s="1009"/>
      <c r="YL89" s="1009"/>
      <c r="YM89" s="1009"/>
      <c r="YN89" s="1009"/>
      <c r="YO89" s="1009"/>
      <c r="YP89" s="1009"/>
      <c r="YQ89" s="1009"/>
      <c r="YR89" s="1009"/>
      <c r="YS89" s="1009"/>
      <c r="YT89" s="1009"/>
      <c r="YU89" s="1009"/>
      <c r="YV89" s="1009"/>
      <c r="YW89" s="1009"/>
      <c r="YX89" s="1009"/>
      <c r="YY89" s="1009"/>
      <c r="YZ89" s="1009"/>
      <c r="ZA89" s="1009"/>
      <c r="ZB89" s="1009"/>
      <c r="ZC89" s="1009"/>
      <c r="ZD89" s="1009"/>
      <c r="ZE89" s="1009"/>
      <c r="ZF89" s="1009"/>
      <c r="ZG89" s="1009"/>
      <c r="ZH89" s="1009"/>
      <c r="ZI89" s="1009"/>
      <c r="ZJ89" s="1009"/>
      <c r="ZK89" s="1009"/>
      <c r="ZL89" s="1009"/>
      <c r="ZM89" s="1009"/>
      <c r="ZN89" s="1009"/>
      <c r="ZO89" s="1009"/>
      <c r="ZP89" s="1009"/>
      <c r="ZQ89" s="1009"/>
      <c r="ZR89" s="1009"/>
      <c r="ZS89" s="1009"/>
      <c r="ZT89" s="1009"/>
      <c r="ZU89" s="1009"/>
      <c r="ZV89" s="1009"/>
      <c r="ZW89" s="1009"/>
      <c r="ZX89" s="1009"/>
      <c r="ZY89" s="1009"/>
      <c r="ZZ89" s="1009"/>
      <c r="AAA89" s="1009"/>
      <c r="AAB89" s="1009"/>
      <c r="AAC89" s="1009"/>
      <c r="AAD89" s="1009"/>
      <c r="AAE89" s="1009"/>
      <c r="AAF89" s="1009"/>
      <c r="AAG89" s="1009"/>
      <c r="AAH89" s="1009"/>
      <c r="AAI89" s="1009"/>
      <c r="AAJ89" s="1009"/>
      <c r="AAK89" s="1009"/>
      <c r="AAL89" s="1009"/>
      <c r="AAM89" s="1009"/>
      <c r="AAN89" s="1009"/>
      <c r="AAO89" s="1009"/>
      <c r="AAP89" s="1009"/>
      <c r="AAQ89" s="1009"/>
      <c r="AAR89" s="1009"/>
      <c r="AAS89" s="1009"/>
      <c r="AAT89" s="1009"/>
      <c r="AAU89" s="1009"/>
      <c r="AAV89" s="1009"/>
      <c r="AAW89" s="1009"/>
      <c r="AAX89" s="1009"/>
      <c r="AAY89" s="1009"/>
      <c r="AAZ89" s="1009"/>
      <c r="ABA89" s="1009"/>
      <c r="ABB89" s="1009"/>
      <c r="ABC89" s="1009"/>
      <c r="ABD89" s="1009"/>
      <c r="ABE89" s="1009"/>
      <c r="ABF89" s="1009"/>
      <c r="ABG89" s="1009"/>
      <c r="ABH89" s="1009"/>
      <c r="ABI89" s="1009"/>
      <c r="ABJ89" s="1009"/>
      <c r="ABK89" s="1009"/>
      <c r="ABL89" s="1009"/>
      <c r="ABM89" s="1009"/>
      <c r="ABN89" s="1009"/>
      <c r="ABO89" s="1009"/>
      <c r="ABP89" s="1009"/>
      <c r="ABQ89" s="1009"/>
      <c r="ABR89" s="1009"/>
    </row>
    <row r="90" spans="1:746" s="111" customFormat="1" ht="12.75" hidden="1" customHeight="1">
      <c r="A90" s="1252"/>
      <c r="B90" s="1261" t="s">
        <v>1042</v>
      </c>
      <c r="C90" s="1262"/>
      <c r="D90" s="1268"/>
      <c r="E90" s="1891">
        <v>0.31419999999999998</v>
      </c>
      <c r="F90" s="1853"/>
      <c r="G90" s="1889">
        <v>0.3</v>
      </c>
      <c r="H90" s="2168">
        <f t="shared" si="15"/>
        <v>0.7</v>
      </c>
      <c r="I90" s="1966"/>
      <c r="J90" s="368"/>
      <c r="K90" s="368"/>
      <c r="L90" s="368"/>
      <c r="M90" s="368"/>
      <c r="N90" s="368"/>
      <c r="O90" s="368"/>
      <c r="P90" s="368"/>
      <c r="Q90" s="368"/>
      <c r="R90" s="368"/>
      <c r="S90" s="368"/>
      <c r="T90" s="368"/>
      <c r="U90" s="1885"/>
      <c r="V90" s="1885"/>
      <c r="W90" s="1885"/>
      <c r="X90" s="1885"/>
      <c r="Y90" s="1885"/>
      <c r="Z90" s="1885"/>
      <c r="AA90" s="1885"/>
      <c r="AB90" s="1885"/>
      <c r="AC90" s="1885"/>
      <c r="AD90" s="1885"/>
      <c r="AE90" s="1885"/>
      <c r="AF90" s="1885"/>
      <c r="AG90" s="2203"/>
      <c r="AH90" s="359"/>
      <c r="AI90" s="359"/>
      <c r="AJ90" s="1854">
        <f>IF(fx!$C$57=1,SUMIF(fx!I$57:T$57,1,I90:T90),IF(fx!$C$57=2,SUMIF(fx!O$57:AF$57,1,O90:AF90)))</f>
        <v>0</v>
      </c>
      <c r="AK90" s="434"/>
      <c r="AL90" s="1855">
        <f>IF(fx!$C$57=1,SUM(U90:AF90),0)</f>
        <v>0</v>
      </c>
      <c r="AM90" s="1021"/>
      <c r="AN90" s="1018"/>
      <c r="AO90" s="1945"/>
      <c r="AP90" s="1935"/>
      <c r="AQ90" s="1936"/>
      <c r="AR90" s="1941"/>
      <c r="AS90" s="1941"/>
      <c r="AT90" s="1941"/>
      <c r="AU90" s="1941"/>
      <c r="AV90" s="1941"/>
      <c r="AW90" s="1941"/>
      <c r="AX90" s="1941"/>
      <c r="AY90" s="1941"/>
      <c r="AZ90" s="1941"/>
      <c r="BA90" s="1941"/>
      <c r="BB90" s="1941"/>
      <c r="BC90" s="1941"/>
      <c r="BD90" s="1941"/>
      <c r="BE90" s="1941"/>
      <c r="BF90" s="1941"/>
      <c r="BG90" s="1941"/>
      <c r="BH90" s="1941"/>
      <c r="BI90" s="1941"/>
      <c r="BJ90" s="1941"/>
      <c r="BK90" s="1941"/>
      <c r="BL90" s="1941"/>
      <c r="BM90" s="1941"/>
      <c r="BN90" s="1941"/>
      <c r="BO90" s="1941"/>
      <c r="BP90" s="1009"/>
      <c r="BQ90" s="1009"/>
      <c r="BR90" s="1009"/>
      <c r="BS90" s="1009"/>
      <c r="BT90" s="1009"/>
      <c r="BU90" s="1009"/>
      <c r="BV90" s="1009"/>
      <c r="BW90" s="1009"/>
      <c r="BX90" s="1009"/>
      <c r="BY90" s="1009"/>
      <c r="BZ90" s="1009"/>
      <c r="CA90" s="1009"/>
      <c r="CB90" s="1009"/>
      <c r="CC90" s="1009"/>
      <c r="CD90" s="1009"/>
      <c r="CE90" s="1009"/>
      <c r="CF90" s="1009"/>
      <c r="CG90" s="1009"/>
      <c r="CH90" s="1009"/>
      <c r="CI90" s="1009"/>
      <c r="CJ90" s="1009"/>
      <c r="CK90" s="1009"/>
      <c r="CL90" s="1009"/>
      <c r="CM90" s="1009"/>
      <c r="CN90" s="1009"/>
      <c r="CO90" s="1009"/>
      <c r="CP90" s="1009"/>
      <c r="CQ90" s="1009"/>
      <c r="CR90" s="1009"/>
      <c r="CS90" s="1009"/>
      <c r="CT90" s="1009"/>
      <c r="CU90" s="1009"/>
      <c r="CV90" s="1009"/>
      <c r="CW90" s="1009"/>
      <c r="CX90" s="1009"/>
      <c r="CY90" s="1009"/>
      <c r="CZ90" s="1009"/>
      <c r="DA90" s="1009"/>
      <c r="DB90" s="1009"/>
      <c r="DC90" s="1009"/>
      <c r="DD90" s="1009"/>
      <c r="DE90" s="1009"/>
      <c r="DF90" s="1009"/>
      <c r="DG90" s="1009"/>
      <c r="DH90" s="1009"/>
      <c r="DI90" s="1009"/>
      <c r="DJ90" s="1009"/>
      <c r="DK90" s="1009"/>
      <c r="DL90" s="1009"/>
      <c r="DM90" s="1009"/>
      <c r="DN90" s="1009"/>
      <c r="DO90" s="1009"/>
      <c r="DP90" s="1009"/>
      <c r="DQ90" s="1009"/>
      <c r="DR90" s="1009"/>
      <c r="DS90" s="1009"/>
      <c r="DT90" s="1009"/>
      <c r="DU90" s="1009"/>
      <c r="DV90" s="1009"/>
      <c r="DW90" s="1009"/>
      <c r="DX90" s="1009"/>
      <c r="DY90" s="1009"/>
      <c r="DZ90" s="1009"/>
      <c r="EA90" s="1009"/>
      <c r="EB90" s="1009"/>
      <c r="EC90" s="1009"/>
      <c r="ED90" s="1009"/>
      <c r="EE90" s="1009"/>
      <c r="EF90" s="1009"/>
      <c r="EG90" s="1009"/>
      <c r="EH90" s="1009"/>
      <c r="EI90" s="1009"/>
      <c r="EJ90" s="1009"/>
      <c r="EK90" s="1009"/>
      <c r="EL90" s="1009"/>
      <c r="EM90" s="1009"/>
      <c r="EN90" s="1009"/>
      <c r="EO90" s="1009"/>
      <c r="EP90" s="1009"/>
      <c r="EQ90" s="1009"/>
      <c r="ER90" s="1009"/>
      <c r="ES90" s="1009"/>
      <c r="ET90" s="1009"/>
      <c r="EU90" s="1009"/>
      <c r="EV90" s="1009"/>
      <c r="EW90" s="1009"/>
      <c r="EX90" s="1009"/>
      <c r="EY90" s="1009"/>
      <c r="EZ90" s="1009"/>
      <c r="FA90" s="1009"/>
      <c r="FB90" s="1009"/>
      <c r="FC90" s="1009"/>
      <c r="FD90" s="1009"/>
      <c r="FE90" s="1009"/>
      <c r="FF90" s="1009"/>
      <c r="FG90" s="1009"/>
      <c r="FH90" s="1009"/>
      <c r="FI90" s="1009"/>
      <c r="FJ90" s="1009"/>
      <c r="FK90" s="1009"/>
      <c r="FL90" s="1009"/>
      <c r="FM90" s="1009"/>
      <c r="FN90" s="1009"/>
      <c r="FO90" s="1009"/>
      <c r="FP90" s="1009"/>
      <c r="FQ90" s="1009"/>
      <c r="FR90" s="1009"/>
      <c r="FS90" s="1009"/>
      <c r="FT90" s="1009"/>
      <c r="FU90" s="1009"/>
      <c r="FV90" s="1009"/>
      <c r="FW90" s="1009"/>
      <c r="FX90" s="1009"/>
      <c r="FY90" s="1009"/>
      <c r="FZ90" s="1009"/>
      <c r="GA90" s="1009"/>
      <c r="GB90" s="1009"/>
      <c r="GC90" s="1009"/>
      <c r="GD90" s="1009"/>
      <c r="GE90" s="1009"/>
      <c r="GF90" s="1009"/>
      <c r="GG90" s="1009"/>
      <c r="GH90" s="1009"/>
      <c r="GI90" s="1009"/>
      <c r="GJ90" s="1009"/>
      <c r="GK90" s="1009"/>
      <c r="GL90" s="1009"/>
      <c r="GM90" s="1009"/>
      <c r="GN90" s="1009"/>
      <c r="GO90" s="1009"/>
      <c r="GP90" s="1009"/>
      <c r="GQ90" s="1009"/>
      <c r="GR90" s="1009"/>
      <c r="GS90" s="1009"/>
      <c r="GT90" s="1009"/>
      <c r="GU90" s="1009"/>
      <c r="GV90" s="1009"/>
      <c r="GW90" s="1009"/>
      <c r="GX90" s="1009"/>
      <c r="GY90" s="1009"/>
      <c r="GZ90" s="1009"/>
      <c r="HA90" s="1009"/>
      <c r="HB90" s="1009"/>
      <c r="HC90" s="1009"/>
      <c r="HD90" s="1009"/>
      <c r="HE90" s="1009"/>
      <c r="HF90" s="1009"/>
      <c r="HG90" s="1009"/>
      <c r="HH90" s="1009"/>
      <c r="HI90" s="1009"/>
      <c r="HJ90" s="1009"/>
      <c r="HK90" s="1009"/>
      <c r="HL90" s="1009"/>
      <c r="HM90" s="1009"/>
      <c r="HN90" s="1009"/>
      <c r="HO90" s="1009"/>
      <c r="HP90" s="1009"/>
      <c r="HQ90" s="1009"/>
      <c r="HR90" s="1009"/>
      <c r="HS90" s="1009"/>
      <c r="HT90" s="1009"/>
      <c r="HU90" s="1009"/>
      <c r="HV90" s="1009"/>
      <c r="HW90" s="1009"/>
      <c r="HX90" s="1009"/>
      <c r="HY90" s="1009"/>
      <c r="HZ90" s="1009"/>
      <c r="IA90" s="1009"/>
      <c r="IB90" s="1009"/>
      <c r="IC90" s="1009"/>
      <c r="ID90" s="1009"/>
      <c r="IE90" s="1009"/>
      <c r="IF90" s="1009"/>
      <c r="IG90" s="1009"/>
      <c r="IH90" s="1009"/>
      <c r="II90" s="1009"/>
      <c r="IJ90" s="1009"/>
      <c r="IK90" s="1009"/>
      <c r="IL90" s="1009"/>
      <c r="IM90" s="1009"/>
      <c r="IN90" s="1009"/>
      <c r="IO90" s="1009"/>
      <c r="IP90" s="1009"/>
      <c r="IQ90" s="1009"/>
      <c r="IR90" s="1009"/>
      <c r="IS90" s="1009"/>
      <c r="IT90" s="1009"/>
      <c r="IU90" s="1009"/>
      <c r="IV90" s="1009"/>
      <c r="IW90" s="1009"/>
      <c r="IX90" s="1009"/>
      <c r="IY90" s="1009"/>
      <c r="IZ90" s="1009"/>
      <c r="JA90" s="1009"/>
      <c r="JB90" s="1009"/>
      <c r="JC90" s="1009"/>
      <c r="JD90" s="1009"/>
      <c r="JE90" s="1009"/>
      <c r="JF90" s="1009"/>
      <c r="JG90" s="1009"/>
      <c r="JH90" s="1009"/>
      <c r="JI90" s="1009"/>
      <c r="JJ90" s="1009"/>
      <c r="JK90" s="1009"/>
      <c r="JL90" s="1009"/>
      <c r="JM90" s="1009"/>
      <c r="JN90" s="1009"/>
      <c r="JO90" s="1009"/>
      <c r="JP90" s="1009"/>
      <c r="JQ90" s="1009"/>
      <c r="JR90" s="1009"/>
      <c r="JS90" s="1009"/>
      <c r="JT90" s="1009"/>
      <c r="JU90" s="1009"/>
      <c r="JV90" s="1009"/>
      <c r="JW90" s="1009"/>
      <c r="JX90" s="1009"/>
      <c r="JY90" s="1009"/>
      <c r="JZ90" s="1009"/>
      <c r="KA90" s="1009"/>
      <c r="KB90" s="1009"/>
      <c r="KC90" s="1009"/>
      <c r="KD90" s="1009"/>
      <c r="KE90" s="1009"/>
      <c r="KF90" s="1009"/>
      <c r="KG90" s="1009"/>
      <c r="KH90" s="1009"/>
      <c r="KI90" s="1009"/>
      <c r="KJ90" s="1009"/>
      <c r="KK90" s="1009"/>
      <c r="KL90" s="1009"/>
      <c r="KM90" s="1009"/>
      <c r="KN90" s="1009"/>
      <c r="KO90" s="1009"/>
      <c r="KP90" s="1009"/>
      <c r="KQ90" s="1009"/>
      <c r="KR90" s="1009"/>
      <c r="KS90" s="1009"/>
      <c r="KT90" s="1009"/>
      <c r="KU90" s="1009"/>
      <c r="KV90" s="1009"/>
      <c r="KW90" s="1009"/>
      <c r="KX90" s="1009"/>
      <c r="KY90" s="1009"/>
      <c r="KZ90" s="1009"/>
      <c r="LA90" s="1009"/>
      <c r="LB90" s="1009"/>
      <c r="LC90" s="1009"/>
      <c r="LD90" s="1009"/>
      <c r="LE90" s="1009"/>
      <c r="LF90" s="1009"/>
      <c r="LG90" s="1009"/>
      <c r="LH90" s="1009"/>
      <c r="LI90" s="1009"/>
      <c r="LJ90" s="1009"/>
      <c r="LK90" s="1009"/>
      <c r="LL90" s="1009"/>
      <c r="LM90" s="1009"/>
      <c r="LN90" s="1009"/>
      <c r="LO90" s="1009"/>
      <c r="LP90" s="1009"/>
      <c r="LQ90" s="1009"/>
      <c r="LR90" s="1009"/>
      <c r="LS90" s="1009"/>
      <c r="LT90" s="1009"/>
      <c r="LU90" s="1009"/>
      <c r="LV90" s="1009"/>
      <c r="LW90" s="1009"/>
      <c r="LX90" s="1009"/>
      <c r="LY90" s="1009"/>
      <c r="LZ90" s="1009"/>
      <c r="MA90" s="1009"/>
      <c r="MB90" s="1009"/>
      <c r="MC90" s="1009"/>
      <c r="MD90" s="1009"/>
      <c r="ME90" s="1009"/>
      <c r="MF90" s="1009"/>
      <c r="MG90" s="1009"/>
      <c r="MH90" s="1009"/>
      <c r="MI90" s="1009"/>
      <c r="MJ90" s="1009"/>
      <c r="MK90" s="1009"/>
      <c r="ML90" s="1009"/>
      <c r="MM90" s="1009"/>
      <c r="MN90" s="1009"/>
      <c r="MO90" s="1009"/>
      <c r="MP90" s="1009"/>
      <c r="MQ90" s="1009"/>
      <c r="MR90" s="1009"/>
      <c r="MS90" s="1009"/>
      <c r="MT90" s="1009"/>
      <c r="MU90" s="1009"/>
      <c r="MV90" s="1009"/>
      <c r="MW90" s="1009"/>
      <c r="MX90" s="1009"/>
      <c r="MY90" s="1009"/>
      <c r="MZ90" s="1009"/>
      <c r="NA90" s="1009"/>
      <c r="NB90" s="1009"/>
      <c r="NC90" s="1009"/>
      <c r="ND90" s="1009"/>
      <c r="NE90" s="1009"/>
      <c r="NF90" s="1009"/>
      <c r="NG90" s="1009"/>
      <c r="NH90" s="1009"/>
      <c r="NI90" s="1009"/>
      <c r="NJ90" s="1009"/>
      <c r="NK90" s="1009"/>
      <c r="NL90" s="1009"/>
      <c r="NM90" s="1009"/>
      <c r="NN90" s="1009"/>
      <c r="NO90" s="1009"/>
      <c r="NP90" s="1009"/>
      <c r="NQ90" s="1009"/>
      <c r="NR90" s="1009"/>
      <c r="NS90" s="1009"/>
      <c r="NT90" s="1009"/>
      <c r="NU90" s="1009"/>
      <c r="NV90" s="1009"/>
      <c r="NW90" s="1009"/>
      <c r="NX90" s="1009"/>
      <c r="NY90" s="1009"/>
      <c r="NZ90" s="1009"/>
      <c r="OA90" s="1009"/>
      <c r="OB90" s="1009"/>
      <c r="OC90" s="1009"/>
      <c r="OD90" s="1009"/>
      <c r="OE90" s="1009"/>
      <c r="OF90" s="1009"/>
      <c r="OG90" s="1009"/>
      <c r="OH90" s="1009"/>
      <c r="OI90" s="1009"/>
      <c r="OJ90" s="1009"/>
      <c r="OK90" s="1009"/>
      <c r="OL90" s="1009"/>
      <c r="OM90" s="1009"/>
      <c r="ON90" s="1009"/>
      <c r="OO90" s="1009"/>
      <c r="OP90" s="1009"/>
      <c r="OQ90" s="1009"/>
      <c r="OR90" s="1009"/>
      <c r="OS90" s="1009"/>
      <c r="OT90" s="1009"/>
      <c r="OU90" s="1009"/>
      <c r="OV90" s="1009"/>
      <c r="OW90" s="1009"/>
      <c r="OX90" s="1009"/>
      <c r="OY90" s="1009"/>
      <c r="OZ90" s="1009"/>
      <c r="PA90" s="1009"/>
      <c r="PB90" s="1009"/>
      <c r="PC90" s="1009"/>
      <c r="PD90" s="1009"/>
      <c r="PE90" s="1009"/>
      <c r="PF90" s="1009"/>
      <c r="PG90" s="1009"/>
      <c r="PH90" s="1009"/>
      <c r="PI90" s="1009"/>
      <c r="PJ90" s="1009"/>
      <c r="PK90" s="1009"/>
      <c r="PL90" s="1009"/>
      <c r="PM90" s="1009"/>
      <c r="PN90" s="1009"/>
      <c r="PO90" s="1009"/>
      <c r="PP90" s="1009"/>
      <c r="PQ90" s="1009"/>
      <c r="PR90" s="1009"/>
      <c r="PS90" s="1009"/>
      <c r="PT90" s="1009"/>
      <c r="PU90" s="1009"/>
      <c r="PV90" s="1009"/>
      <c r="PW90" s="1009"/>
      <c r="PX90" s="1009"/>
      <c r="PY90" s="1009"/>
      <c r="PZ90" s="1009"/>
      <c r="QA90" s="1009"/>
      <c r="QB90" s="1009"/>
      <c r="QC90" s="1009"/>
      <c r="QD90" s="1009"/>
      <c r="QE90" s="1009"/>
      <c r="QF90" s="1009"/>
      <c r="QG90" s="1009"/>
      <c r="QH90" s="1009"/>
      <c r="QI90" s="1009"/>
      <c r="QJ90" s="1009"/>
      <c r="QK90" s="1009"/>
      <c r="QL90" s="1009"/>
      <c r="QM90" s="1009"/>
      <c r="QN90" s="1009"/>
      <c r="QO90" s="1009"/>
      <c r="QP90" s="1009"/>
      <c r="QQ90" s="1009"/>
      <c r="QR90" s="1009"/>
      <c r="QS90" s="1009"/>
      <c r="QT90" s="1009"/>
      <c r="QU90" s="1009"/>
      <c r="QV90" s="1009"/>
      <c r="QW90" s="1009"/>
      <c r="QX90" s="1009"/>
      <c r="QY90" s="1009"/>
      <c r="QZ90" s="1009"/>
      <c r="RA90" s="1009"/>
      <c r="RB90" s="1009"/>
      <c r="RC90" s="1009"/>
      <c r="RD90" s="1009"/>
      <c r="RE90" s="1009"/>
      <c r="RF90" s="1009"/>
      <c r="RG90" s="1009"/>
      <c r="RH90" s="1009"/>
      <c r="RI90" s="1009"/>
      <c r="RJ90" s="1009"/>
      <c r="RK90" s="1009"/>
      <c r="RL90" s="1009"/>
      <c r="RM90" s="1009"/>
      <c r="RN90" s="1009"/>
      <c r="RO90" s="1009"/>
      <c r="RP90" s="1009"/>
      <c r="RQ90" s="1009"/>
      <c r="RR90" s="1009"/>
      <c r="RS90" s="1009"/>
      <c r="RT90" s="1009"/>
      <c r="RU90" s="1009"/>
      <c r="RV90" s="1009"/>
      <c r="RW90" s="1009"/>
      <c r="RX90" s="1009"/>
      <c r="RY90" s="1009"/>
      <c r="RZ90" s="1009"/>
      <c r="SA90" s="1009"/>
      <c r="SB90" s="1009"/>
      <c r="SC90" s="1009"/>
      <c r="SD90" s="1009"/>
      <c r="SE90" s="1009"/>
      <c r="SF90" s="1009"/>
      <c r="SG90" s="1009"/>
      <c r="SH90" s="1009"/>
      <c r="SI90" s="1009"/>
      <c r="SJ90" s="1009"/>
      <c r="SK90" s="1009"/>
      <c r="SL90" s="1009"/>
      <c r="SM90" s="1009"/>
      <c r="SN90" s="1009"/>
      <c r="SO90" s="1009"/>
      <c r="SP90" s="1009"/>
      <c r="SQ90" s="1009"/>
      <c r="SR90" s="1009"/>
      <c r="SS90" s="1009"/>
      <c r="ST90" s="1009"/>
      <c r="SU90" s="1009"/>
      <c r="SV90" s="1009"/>
      <c r="SW90" s="1009"/>
      <c r="SX90" s="1009"/>
      <c r="SY90" s="1009"/>
      <c r="SZ90" s="1009"/>
      <c r="TA90" s="1009"/>
      <c r="TB90" s="1009"/>
      <c r="TC90" s="1009"/>
      <c r="TD90" s="1009"/>
      <c r="TE90" s="1009"/>
      <c r="TF90" s="1009"/>
      <c r="TG90" s="1009"/>
      <c r="TH90" s="1009"/>
      <c r="TI90" s="1009"/>
      <c r="TJ90" s="1009"/>
      <c r="TK90" s="1009"/>
      <c r="TL90" s="1009"/>
      <c r="TM90" s="1009"/>
      <c r="TN90" s="1009"/>
      <c r="TO90" s="1009"/>
      <c r="TP90" s="1009"/>
      <c r="TQ90" s="1009"/>
      <c r="TR90" s="1009"/>
      <c r="TS90" s="1009"/>
      <c r="TT90" s="1009"/>
      <c r="TU90" s="1009"/>
      <c r="TV90" s="1009"/>
      <c r="TW90" s="1009"/>
      <c r="TX90" s="1009"/>
      <c r="TY90" s="1009"/>
      <c r="TZ90" s="1009"/>
      <c r="UA90" s="1009"/>
      <c r="UB90" s="1009"/>
      <c r="UC90" s="1009"/>
      <c r="UD90" s="1009"/>
      <c r="UE90" s="1009"/>
      <c r="UF90" s="1009"/>
      <c r="UG90" s="1009"/>
      <c r="UH90" s="1009"/>
      <c r="UI90" s="1009"/>
      <c r="UJ90" s="1009"/>
      <c r="UK90" s="1009"/>
      <c r="UL90" s="1009"/>
      <c r="UM90" s="1009"/>
      <c r="UN90" s="1009"/>
      <c r="UO90" s="1009"/>
      <c r="UP90" s="1009"/>
      <c r="UQ90" s="1009"/>
      <c r="UR90" s="1009"/>
      <c r="US90" s="1009"/>
      <c r="UT90" s="1009"/>
      <c r="UU90" s="1009"/>
      <c r="UV90" s="1009"/>
      <c r="UW90" s="1009"/>
      <c r="UX90" s="1009"/>
      <c r="UY90" s="1009"/>
      <c r="UZ90" s="1009"/>
      <c r="VA90" s="1009"/>
      <c r="VB90" s="1009"/>
      <c r="VC90" s="1009"/>
      <c r="VD90" s="1009"/>
      <c r="VE90" s="1009"/>
      <c r="VF90" s="1009"/>
      <c r="VG90" s="1009"/>
      <c r="VH90" s="1009"/>
      <c r="VI90" s="1009"/>
      <c r="VJ90" s="1009"/>
      <c r="VK90" s="1009"/>
      <c r="VL90" s="1009"/>
      <c r="VM90" s="1009"/>
      <c r="VN90" s="1009"/>
      <c r="VO90" s="1009"/>
      <c r="VP90" s="1009"/>
      <c r="VQ90" s="1009"/>
      <c r="VR90" s="1009"/>
      <c r="VS90" s="1009"/>
      <c r="VT90" s="1009"/>
      <c r="VU90" s="1009"/>
      <c r="VV90" s="1009"/>
      <c r="VW90" s="1009"/>
      <c r="VX90" s="1009"/>
      <c r="VY90" s="1009"/>
      <c r="VZ90" s="1009"/>
      <c r="WA90" s="1009"/>
      <c r="WB90" s="1009"/>
      <c r="WC90" s="1009"/>
      <c r="WD90" s="1009"/>
      <c r="WE90" s="1009"/>
      <c r="WF90" s="1009"/>
      <c r="WG90" s="1009"/>
      <c r="WH90" s="1009"/>
      <c r="WI90" s="1009"/>
      <c r="WJ90" s="1009"/>
      <c r="WK90" s="1009"/>
      <c r="WL90" s="1009"/>
      <c r="WM90" s="1009"/>
      <c r="WN90" s="1009"/>
      <c r="WO90" s="1009"/>
      <c r="WP90" s="1009"/>
      <c r="WQ90" s="1009"/>
      <c r="WR90" s="1009"/>
      <c r="WS90" s="1009"/>
      <c r="WT90" s="1009"/>
      <c r="WU90" s="1009"/>
      <c r="WV90" s="1009"/>
      <c r="WW90" s="1009"/>
      <c r="WX90" s="1009"/>
      <c r="WY90" s="1009"/>
      <c r="WZ90" s="1009"/>
      <c r="XA90" s="1009"/>
      <c r="XB90" s="1009"/>
      <c r="XC90" s="1009"/>
      <c r="XD90" s="1009"/>
      <c r="XE90" s="1009"/>
      <c r="XF90" s="1009"/>
      <c r="XG90" s="1009"/>
      <c r="XH90" s="1009"/>
      <c r="XI90" s="1009"/>
      <c r="XJ90" s="1009"/>
      <c r="XK90" s="1009"/>
      <c r="XL90" s="1009"/>
      <c r="XM90" s="1009"/>
      <c r="XN90" s="1009"/>
      <c r="XO90" s="1009"/>
      <c r="XP90" s="1009"/>
      <c r="XQ90" s="1009"/>
      <c r="XR90" s="1009"/>
      <c r="XS90" s="1009"/>
      <c r="XT90" s="1009"/>
      <c r="XU90" s="1009"/>
      <c r="XV90" s="1009"/>
      <c r="XW90" s="1009"/>
      <c r="XX90" s="1009"/>
      <c r="XY90" s="1009"/>
      <c r="XZ90" s="1009"/>
      <c r="YA90" s="1009"/>
      <c r="YB90" s="1009"/>
      <c r="YC90" s="1009"/>
      <c r="YD90" s="1009"/>
      <c r="YE90" s="1009"/>
      <c r="YF90" s="1009"/>
      <c r="YG90" s="1009"/>
      <c r="YH90" s="1009"/>
      <c r="YI90" s="1009"/>
      <c r="YJ90" s="1009"/>
      <c r="YK90" s="1009"/>
      <c r="YL90" s="1009"/>
      <c r="YM90" s="1009"/>
      <c r="YN90" s="1009"/>
      <c r="YO90" s="1009"/>
      <c r="YP90" s="1009"/>
      <c r="YQ90" s="1009"/>
      <c r="YR90" s="1009"/>
      <c r="YS90" s="1009"/>
      <c r="YT90" s="1009"/>
      <c r="YU90" s="1009"/>
      <c r="YV90" s="1009"/>
      <c r="YW90" s="1009"/>
      <c r="YX90" s="1009"/>
      <c r="YY90" s="1009"/>
      <c r="YZ90" s="1009"/>
      <c r="ZA90" s="1009"/>
      <c r="ZB90" s="1009"/>
      <c r="ZC90" s="1009"/>
      <c r="ZD90" s="1009"/>
      <c r="ZE90" s="1009"/>
      <c r="ZF90" s="1009"/>
      <c r="ZG90" s="1009"/>
      <c r="ZH90" s="1009"/>
      <c r="ZI90" s="1009"/>
      <c r="ZJ90" s="1009"/>
      <c r="ZK90" s="1009"/>
      <c r="ZL90" s="1009"/>
      <c r="ZM90" s="1009"/>
      <c r="ZN90" s="1009"/>
      <c r="ZO90" s="1009"/>
      <c r="ZP90" s="1009"/>
      <c r="ZQ90" s="1009"/>
      <c r="ZR90" s="1009"/>
      <c r="ZS90" s="1009"/>
      <c r="ZT90" s="1009"/>
      <c r="ZU90" s="1009"/>
      <c r="ZV90" s="1009"/>
      <c r="ZW90" s="1009"/>
      <c r="ZX90" s="1009"/>
      <c r="ZY90" s="1009"/>
      <c r="ZZ90" s="1009"/>
      <c r="AAA90" s="1009"/>
      <c r="AAB90" s="1009"/>
      <c r="AAC90" s="1009"/>
      <c r="AAD90" s="1009"/>
      <c r="AAE90" s="1009"/>
      <c r="AAF90" s="1009"/>
      <c r="AAG90" s="1009"/>
      <c r="AAH90" s="1009"/>
      <c r="AAI90" s="1009"/>
      <c r="AAJ90" s="1009"/>
      <c r="AAK90" s="1009"/>
      <c r="AAL90" s="1009"/>
      <c r="AAM90" s="1009"/>
      <c r="AAN90" s="1009"/>
      <c r="AAO90" s="1009"/>
      <c r="AAP90" s="1009"/>
      <c r="AAQ90" s="1009"/>
      <c r="AAR90" s="1009"/>
      <c r="AAS90" s="1009"/>
      <c r="AAT90" s="1009"/>
      <c r="AAU90" s="1009"/>
      <c r="AAV90" s="1009"/>
      <c r="AAW90" s="1009"/>
      <c r="AAX90" s="1009"/>
      <c r="AAY90" s="1009"/>
      <c r="AAZ90" s="1009"/>
      <c r="ABA90" s="1009"/>
      <c r="ABB90" s="1009"/>
      <c r="ABC90" s="1009"/>
      <c r="ABD90" s="1009"/>
      <c r="ABE90" s="1009"/>
      <c r="ABF90" s="1009"/>
      <c r="ABG90" s="1009"/>
      <c r="ABH90" s="1009"/>
      <c r="ABI90" s="1009"/>
      <c r="ABJ90" s="1009"/>
      <c r="ABK90" s="1009"/>
      <c r="ABL90" s="1009"/>
      <c r="ABM90" s="1009"/>
      <c r="ABN90" s="1009"/>
      <c r="ABO90" s="1009"/>
      <c r="ABP90" s="1009"/>
      <c r="ABQ90" s="1009"/>
      <c r="ABR90" s="1009"/>
    </row>
    <row r="91" spans="1:746" s="113" customFormat="1" ht="12" hidden="1" customHeight="1">
      <c r="A91" s="1253"/>
      <c r="B91" s="1261" t="s">
        <v>1043</v>
      </c>
      <c r="C91" s="1262"/>
      <c r="D91" s="1268"/>
      <c r="E91" s="1887">
        <v>0.31419999999999998</v>
      </c>
      <c r="F91" s="1853"/>
      <c r="G91" s="1889">
        <v>0.3</v>
      </c>
      <c r="H91" s="2168">
        <f t="shared" si="15"/>
        <v>0.7</v>
      </c>
      <c r="I91" s="1966"/>
      <c r="J91" s="368"/>
      <c r="K91" s="368"/>
      <c r="L91" s="368"/>
      <c r="M91" s="368"/>
      <c r="N91" s="368"/>
      <c r="O91" s="368"/>
      <c r="P91" s="368"/>
      <c r="Q91" s="368"/>
      <c r="R91" s="368"/>
      <c r="S91" s="368"/>
      <c r="T91" s="368"/>
      <c r="U91" s="1885"/>
      <c r="V91" s="1885"/>
      <c r="W91" s="1885"/>
      <c r="X91" s="1885"/>
      <c r="Y91" s="1885"/>
      <c r="Z91" s="1885"/>
      <c r="AA91" s="1885"/>
      <c r="AB91" s="1885"/>
      <c r="AC91" s="1885"/>
      <c r="AD91" s="1885"/>
      <c r="AE91" s="1885"/>
      <c r="AF91" s="1885"/>
      <c r="AG91" s="2203"/>
      <c r="AH91" s="359"/>
      <c r="AI91" s="359"/>
      <c r="AJ91" s="1854">
        <f>IF(fx!$C$57=1,SUMIF(fx!I$57:T$57,1,I91:T91),IF(fx!$C$57=2,SUMIF(fx!O$57:AF$57,1,O91:AF91)))</f>
        <v>0</v>
      </c>
      <c r="AK91" s="434"/>
      <c r="AL91" s="1855">
        <f>IF(fx!$C$57=1,SUM(U91:AF91),0)</f>
        <v>0</v>
      </c>
      <c r="AM91" s="1021"/>
      <c r="AN91" s="1018"/>
      <c r="AO91" s="1945"/>
      <c r="AP91" s="1935"/>
      <c r="AQ91" s="1936"/>
      <c r="AR91" s="1941"/>
      <c r="AS91" s="1941"/>
      <c r="AT91" s="1941"/>
      <c r="AU91" s="1941"/>
      <c r="AV91" s="1941"/>
      <c r="AW91" s="1941"/>
      <c r="AX91" s="1941"/>
      <c r="AY91" s="1941"/>
      <c r="AZ91" s="1941"/>
      <c r="BA91" s="1941"/>
      <c r="BB91" s="1941"/>
      <c r="BC91" s="1941"/>
      <c r="BD91" s="1941"/>
      <c r="BE91" s="1941"/>
      <c r="BF91" s="1941"/>
      <c r="BG91" s="1941"/>
      <c r="BH91" s="1941"/>
      <c r="BI91" s="1941"/>
      <c r="BJ91" s="1941"/>
      <c r="BK91" s="1941"/>
      <c r="BL91" s="1941"/>
      <c r="BM91" s="1941"/>
      <c r="BN91" s="1941"/>
      <c r="BO91" s="1941"/>
      <c r="BP91" s="1005"/>
      <c r="BQ91" s="1005"/>
      <c r="BR91" s="1005"/>
      <c r="BS91" s="1005"/>
      <c r="BT91" s="1005"/>
      <c r="BU91" s="1005"/>
      <c r="BV91" s="1005"/>
      <c r="BW91" s="1005"/>
      <c r="BX91" s="1005"/>
      <c r="BY91" s="1005"/>
      <c r="BZ91" s="1005"/>
      <c r="CA91" s="1005"/>
      <c r="CB91" s="1005"/>
      <c r="CC91" s="1005"/>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c r="EC91" s="1005"/>
      <c r="ED91" s="1005"/>
      <c r="EE91" s="1005"/>
      <c r="EF91" s="1005"/>
      <c r="EG91" s="1005"/>
      <c r="EH91" s="1005"/>
      <c r="EI91" s="1005"/>
      <c r="EJ91" s="1005"/>
      <c r="EK91" s="1005"/>
      <c r="EL91" s="1005"/>
      <c r="EM91" s="1005"/>
      <c r="EN91" s="1005"/>
      <c r="EO91" s="1005"/>
      <c r="EP91" s="1005"/>
      <c r="EQ91" s="1005"/>
      <c r="ER91" s="1005"/>
      <c r="ES91" s="1005"/>
      <c r="ET91" s="1005"/>
      <c r="EU91" s="1005"/>
      <c r="EV91" s="1005"/>
      <c r="EW91" s="1005"/>
      <c r="EX91" s="1005"/>
      <c r="EY91" s="1005"/>
      <c r="EZ91" s="1005"/>
      <c r="FA91" s="1005"/>
      <c r="FB91" s="1005"/>
      <c r="FC91" s="1005"/>
      <c r="FD91" s="1005"/>
      <c r="FE91" s="1005"/>
      <c r="FF91" s="1005"/>
      <c r="FG91" s="1005"/>
      <c r="FH91" s="1005"/>
      <c r="FI91" s="1005"/>
      <c r="FJ91" s="1005"/>
      <c r="FK91" s="1005"/>
      <c r="FL91" s="1005"/>
      <c r="FM91" s="1005"/>
      <c r="FN91" s="1005"/>
      <c r="FO91" s="1005"/>
      <c r="FP91" s="1005"/>
      <c r="FQ91" s="1005"/>
      <c r="FR91" s="1005"/>
      <c r="FS91" s="1005"/>
      <c r="FT91" s="1005"/>
      <c r="FU91" s="1005"/>
      <c r="FV91" s="1005"/>
      <c r="FW91" s="1005"/>
      <c r="FX91" s="1005"/>
      <c r="FY91" s="1005"/>
      <c r="FZ91" s="1005"/>
      <c r="GA91" s="1005"/>
      <c r="GB91" s="1005"/>
      <c r="GC91" s="1005"/>
      <c r="GD91" s="1005"/>
      <c r="GE91" s="1005"/>
      <c r="GF91" s="1005"/>
      <c r="GG91" s="1005"/>
      <c r="GH91" s="1005"/>
      <c r="GI91" s="1005"/>
      <c r="GJ91" s="1005"/>
      <c r="GK91" s="1005"/>
      <c r="GL91" s="1005"/>
      <c r="GM91" s="1005"/>
      <c r="GN91" s="1005"/>
      <c r="GO91" s="1005"/>
      <c r="GP91" s="1005"/>
      <c r="GQ91" s="1005"/>
      <c r="GR91" s="1005"/>
      <c r="GS91" s="1005"/>
      <c r="GT91" s="1005"/>
      <c r="GU91" s="1005"/>
      <c r="GV91" s="1005"/>
      <c r="GW91" s="1005"/>
      <c r="GX91" s="1005"/>
      <c r="GY91" s="1005"/>
      <c r="GZ91" s="1005"/>
      <c r="HA91" s="1005"/>
      <c r="HB91" s="1005"/>
      <c r="HC91" s="1005"/>
      <c r="HD91" s="1005"/>
      <c r="HE91" s="1005"/>
      <c r="HF91" s="1005"/>
      <c r="HG91" s="1005"/>
      <c r="HH91" s="1005"/>
      <c r="HI91" s="1005"/>
      <c r="HJ91" s="1005"/>
      <c r="HK91" s="1005"/>
      <c r="HL91" s="1005"/>
      <c r="HM91" s="1005"/>
      <c r="HN91" s="1005"/>
      <c r="HO91" s="1005"/>
      <c r="HP91" s="1005"/>
      <c r="HQ91" s="1005"/>
      <c r="HR91" s="1005"/>
      <c r="HS91" s="1005"/>
      <c r="HT91" s="1005"/>
      <c r="HU91" s="1005"/>
      <c r="HV91" s="1005"/>
      <c r="HW91" s="1005"/>
      <c r="HX91" s="1005"/>
      <c r="HY91" s="1005"/>
      <c r="HZ91" s="1005"/>
      <c r="IA91" s="1005"/>
      <c r="IB91" s="1005"/>
      <c r="IC91" s="1005"/>
      <c r="ID91" s="1005"/>
      <c r="IE91" s="1005"/>
      <c r="IF91" s="1005"/>
      <c r="IG91" s="1005"/>
      <c r="IH91" s="1005"/>
      <c r="II91" s="1005"/>
      <c r="IJ91" s="1005"/>
      <c r="IK91" s="1005"/>
      <c r="IL91" s="1005"/>
      <c r="IM91" s="1005"/>
      <c r="IN91" s="1005"/>
      <c r="IO91" s="1005"/>
      <c r="IP91" s="1005"/>
      <c r="IQ91" s="1005"/>
      <c r="IR91" s="1005"/>
      <c r="IS91" s="1005"/>
      <c r="IT91" s="1005"/>
      <c r="IU91" s="1005"/>
      <c r="IV91" s="1005"/>
      <c r="IW91" s="1005"/>
      <c r="IX91" s="1005"/>
      <c r="IY91" s="1005"/>
      <c r="IZ91" s="1005"/>
      <c r="JA91" s="1005"/>
      <c r="JB91" s="1005"/>
      <c r="JC91" s="1005"/>
      <c r="JD91" s="1005"/>
      <c r="JE91" s="1005"/>
      <c r="JF91" s="1005"/>
      <c r="JG91" s="1005"/>
      <c r="JH91" s="1005"/>
      <c r="JI91" s="1005"/>
      <c r="JJ91" s="1005"/>
      <c r="JK91" s="1005"/>
      <c r="JL91" s="1005"/>
      <c r="JM91" s="1005"/>
      <c r="JN91" s="1005"/>
      <c r="JO91" s="1005"/>
      <c r="JP91" s="1005"/>
      <c r="JQ91" s="1005"/>
      <c r="JR91" s="1005"/>
      <c r="JS91" s="1005"/>
      <c r="JT91" s="1005"/>
      <c r="JU91" s="1005"/>
      <c r="JV91" s="1005"/>
      <c r="JW91" s="1005"/>
      <c r="JX91" s="1005"/>
      <c r="JY91" s="1005"/>
      <c r="JZ91" s="1005"/>
      <c r="KA91" s="1005"/>
      <c r="KB91" s="1005"/>
      <c r="KC91" s="1005"/>
      <c r="KD91" s="1005"/>
      <c r="KE91" s="1005"/>
      <c r="KF91" s="1005"/>
      <c r="KG91" s="1005"/>
      <c r="KH91" s="1005"/>
      <c r="KI91" s="1005"/>
      <c r="KJ91" s="1005"/>
      <c r="KK91" s="1005"/>
      <c r="KL91" s="1005"/>
      <c r="KM91" s="1005"/>
      <c r="KN91" s="1005"/>
      <c r="KO91" s="1005"/>
      <c r="KP91" s="1005"/>
      <c r="KQ91" s="1005"/>
      <c r="KR91" s="1005"/>
      <c r="KS91" s="1005"/>
      <c r="KT91" s="1005"/>
      <c r="KU91" s="1005"/>
      <c r="KV91" s="1005"/>
      <c r="KW91" s="1005"/>
      <c r="KX91" s="1005"/>
      <c r="KY91" s="1005"/>
      <c r="KZ91" s="1005"/>
      <c r="LA91" s="1005"/>
      <c r="LB91" s="1005"/>
      <c r="LC91" s="1005"/>
      <c r="LD91" s="1005"/>
      <c r="LE91" s="1005"/>
      <c r="LF91" s="1005"/>
      <c r="LG91" s="1005"/>
      <c r="LH91" s="1005"/>
      <c r="LI91" s="1005"/>
      <c r="LJ91" s="1005"/>
      <c r="LK91" s="1005"/>
      <c r="LL91" s="1005"/>
      <c r="LM91" s="1005"/>
      <c r="LN91" s="1005"/>
      <c r="LO91" s="1005"/>
      <c r="LP91" s="1005"/>
      <c r="LQ91" s="1005"/>
      <c r="LR91" s="1005"/>
      <c r="LS91" s="1005"/>
      <c r="LT91" s="1005"/>
      <c r="LU91" s="1005"/>
      <c r="LV91" s="1005"/>
      <c r="LW91" s="1005"/>
      <c r="LX91" s="1005"/>
      <c r="LY91" s="1005"/>
      <c r="LZ91" s="1005"/>
      <c r="MA91" s="1005"/>
      <c r="MB91" s="1005"/>
      <c r="MC91" s="1005"/>
      <c r="MD91" s="1005"/>
      <c r="ME91" s="1005"/>
      <c r="MF91" s="1005"/>
      <c r="MG91" s="1005"/>
      <c r="MH91" s="1005"/>
      <c r="MI91" s="1005"/>
      <c r="MJ91" s="1005"/>
      <c r="MK91" s="1005"/>
      <c r="ML91" s="1005"/>
      <c r="MM91" s="1005"/>
      <c r="MN91" s="1005"/>
      <c r="MO91" s="1005"/>
      <c r="MP91" s="1005"/>
      <c r="MQ91" s="1005"/>
      <c r="MR91" s="1005"/>
      <c r="MS91" s="1005"/>
      <c r="MT91" s="1005"/>
      <c r="MU91" s="1005"/>
      <c r="MV91" s="1005"/>
      <c r="MW91" s="1005"/>
      <c r="MX91" s="1005"/>
      <c r="MY91" s="1005"/>
      <c r="MZ91" s="1005"/>
      <c r="NA91" s="1005"/>
      <c r="NB91" s="1005"/>
      <c r="NC91" s="1005"/>
      <c r="ND91" s="1005"/>
      <c r="NE91" s="1005"/>
      <c r="NF91" s="1005"/>
      <c r="NG91" s="1005"/>
      <c r="NH91" s="1005"/>
      <c r="NI91" s="1005"/>
      <c r="NJ91" s="1005"/>
      <c r="NK91" s="1005"/>
      <c r="NL91" s="1005"/>
      <c r="NM91" s="1005"/>
      <c r="NN91" s="1005"/>
      <c r="NO91" s="1005"/>
      <c r="NP91" s="1005"/>
      <c r="NQ91" s="1005"/>
      <c r="NR91" s="1005"/>
      <c r="NS91" s="1005"/>
      <c r="NT91" s="1005"/>
      <c r="NU91" s="1005"/>
      <c r="NV91" s="1005"/>
      <c r="NW91" s="1005"/>
      <c r="NX91" s="1005"/>
      <c r="NY91" s="1005"/>
      <c r="NZ91" s="1005"/>
      <c r="OA91" s="1005"/>
      <c r="OB91" s="1005"/>
      <c r="OC91" s="1005"/>
      <c r="OD91" s="1005"/>
      <c r="OE91" s="1005"/>
      <c r="OF91" s="1005"/>
      <c r="OG91" s="1005"/>
      <c r="OH91" s="1005"/>
      <c r="OI91" s="1005"/>
      <c r="OJ91" s="1005"/>
      <c r="OK91" s="1005"/>
      <c r="OL91" s="1005"/>
      <c r="OM91" s="1005"/>
      <c r="ON91" s="1005"/>
      <c r="OO91" s="1005"/>
      <c r="OP91" s="1005"/>
      <c r="OQ91" s="1005"/>
      <c r="OR91" s="1005"/>
      <c r="OS91" s="1005"/>
      <c r="OT91" s="1005"/>
      <c r="OU91" s="1005"/>
      <c r="OV91" s="1005"/>
      <c r="OW91" s="1005"/>
      <c r="OX91" s="1005"/>
      <c r="OY91" s="1005"/>
      <c r="OZ91" s="1005"/>
      <c r="PA91" s="1005"/>
      <c r="PB91" s="1005"/>
      <c r="PC91" s="1005"/>
      <c r="PD91" s="1005"/>
      <c r="PE91" s="1005"/>
      <c r="PF91" s="1005"/>
      <c r="PG91" s="1005"/>
      <c r="PH91" s="1005"/>
      <c r="PI91" s="1005"/>
      <c r="PJ91" s="1005"/>
      <c r="PK91" s="1005"/>
      <c r="PL91" s="1005"/>
      <c r="PM91" s="1005"/>
      <c r="PN91" s="1005"/>
      <c r="PO91" s="1005"/>
      <c r="PP91" s="1005"/>
      <c r="PQ91" s="1005"/>
      <c r="PR91" s="1005"/>
      <c r="PS91" s="1005"/>
      <c r="PT91" s="1005"/>
      <c r="PU91" s="1005"/>
      <c r="PV91" s="1005"/>
      <c r="PW91" s="1005"/>
      <c r="PX91" s="1005"/>
      <c r="PY91" s="1005"/>
      <c r="PZ91" s="1005"/>
      <c r="QA91" s="1005"/>
      <c r="QB91" s="1005"/>
      <c r="QC91" s="1005"/>
      <c r="QD91" s="1005"/>
      <c r="QE91" s="1005"/>
      <c r="QF91" s="1005"/>
      <c r="QG91" s="1005"/>
      <c r="QH91" s="1005"/>
      <c r="QI91" s="1005"/>
      <c r="QJ91" s="1005"/>
      <c r="QK91" s="1005"/>
      <c r="QL91" s="1005"/>
      <c r="QM91" s="1005"/>
      <c r="QN91" s="1005"/>
      <c r="QO91" s="1005"/>
      <c r="QP91" s="1005"/>
      <c r="QQ91" s="1005"/>
      <c r="QR91" s="1005"/>
      <c r="QS91" s="1005"/>
      <c r="QT91" s="1005"/>
      <c r="QU91" s="1005"/>
      <c r="QV91" s="1005"/>
      <c r="QW91" s="1005"/>
      <c r="QX91" s="1005"/>
      <c r="QY91" s="1005"/>
      <c r="QZ91" s="1005"/>
      <c r="RA91" s="1005"/>
      <c r="RB91" s="1005"/>
      <c r="RC91" s="1005"/>
      <c r="RD91" s="1005"/>
      <c r="RE91" s="1005"/>
      <c r="RF91" s="1005"/>
      <c r="RG91" s="1005"/>
      <c r="RH91" s="1005"/>
      <c r="RI91" s="1005"/>
      <c r="RJ91" s="1005"/>
      <c r="RK91" s="1005"/>
      <c r="RL91" s="1005"/>
      <c r="RM91" s="1005"/>
      <c r="RN91" s="1005"/>
      <c r="RO91" s="1005"/>
      <c r="RP91" s="1005"/>
      <c r="RQ91" s="1005"/>
      <c r="RR91" s="1005"/>
      <c r="RS91" s="1005"/>
      <c r="RT91" s="1005"/>
      <c r="RU91" s="1005"/>
      <c r="RV91" s="1005"/>
      <c r="RW91" s="1005"/>
      <c r="RX91" s="1005"/>
      <c r="RY91" s="1005"/>
      <c r="RZ91" s="1005"/>
      <c r="SA91" s="1005"/>
      <c r="SB91" s="1005"/>
      <c r="SC91" s="1005"/>
      <c r="SD91" s="1005"/>
      <c r="SE91" s="1005"/>
      <c r="SF91" s="1005"/>
      <c r="SG91" s="1005"/>
      <c r="SH91" s="1005"/>
      <c r="SI91" s="1005"/>
      <c r="SJ91" s="1005"/>
      <c r="SK91" s="1005"/>
      <c r="SL91" s="1005"/>
      <c r="SM91" s="1005"/>
      <c r="SN91" s="1005"/>
      <c r="SO91" s="1005"/>
      <c r="SP91" s="1005"/>
      <c r="SQ91" s="1005"/>
      <c r="SR91" s="1005"/>
      <c r="SS91" s="1005"/>
      <c r="ST91" s="1005"/>
      <c r="SU91" s="1005"/>
      <c r="SV91" s="1005"/>
      <c r="SW91" s="1005"/>
      <c r="SX91" s="1005"/>
      <c r="SY91" s="1005"/>
      <c r="SZ91" s="1005"/>
      <c r="TA91" s="1005"/>
      <c r="TB91" s="1005"/>
      <c r="TC91" s="1005"/>
      <c r="TD91" s="1005"/>
      <c r="TE91" s="1005"/>
      <c r="TF91" s="1005"/>
      <c r="TG91" s="1005"/>
      <c r="TH91" s="1005"/>
      <c r="TI91" s="1005"/>
      <c r="TJ91" s="1005"/>
      <c r="TK91" s="1005"/>
      <c r="TL91" s="1005"/>
      <c r="TM91" s="1005"/>
      <c r="TN91" s="1005"/>
      <c r="TO91" s="1005"/>
      <c r="TP91" s="1005"/>
      <c r="TQ91" s="1005"/>
      <c r="TR91" s="1005"/>
      <c r="TS91" s="1005"/>
      <c r="TT91" s="1005"/>
      <c r="TU91" s="1005"/>
      <c r="TV91" s="1005"/>
      <c r="TW91" s="1005"/>
      <c r="TX91" s="1005"/>
      <c r="TY91" s="1005"/>
      <c r="TZ91" s="1005"/>
      <c r="UA91" s="1005"/>
      <c r="UB91" s="1005"/>
      <c r="UC91" s="1005"/>
      <c r="UD91" s="1005"/>
      <c r="UE91" s="1005"/>
      <c r="UF91" s="1005"/>
      <c r="UG91" s="1005"/>
      <c r="UH91" s="1005"/>
      <c r="UI91" s="1005"/>
      <c r="UJ91" s="1005"/>
      <c r="UK91" s="1005"/>
      <c r="UL91" s="1005"/>
      <c r="UM91" s="1005"/>
      <c r="UN91" s="1005"/>
      <c r="UO91" s="1005"/>
      <c r="UP91" s="1005"/>
      <c r="UQ91" s="1005"/>
      <c r="UR91" s="1005"/>
      <c r="US91" s="1005"/>
      <c r="UT91" s="1005"/>
      <c r="UU91" s="1005"/>
      <c r="UV91" s="1005"/>
      <c r="UW91" s="1005"/>
      <c r="UX91" s="1005"/>
      <c r="UY91" s="1005"/>
      <c r="UZ91" s="1005"/>
      <c r="VA91" s="1005"/>
      <c r="VB91" s="1005"/>
      <c r="VC91" s="1005"/>
      <c r="VD91" s="1005"/>
      <c r="VE91" s="1005"/>
      <c r="VF91" s="1005"/>
      <c r="VG91" s="1005"/>
      <c r="VH91" s="1005"/>
      <c r="VI91" s="1005"/>
      <c r="VJ91" s="1005"/>
      <c r="VK91" s="1005"/>
      <c r="VL91" s="1005"/>
      <c r="VM91" s="1005"/>
      <c r="VN91" s="1005"/>
      <c r="VO91" s="1005"/>
      <c r="VP91" s="1005"/>
      <c r="VQ91" s="1005"/>
      <c r="VR91" s="1005"/>
      <c r="VS91" s="1005"/>
      <c r="VT91" s="1005"/>
      <c r="VU91" s="1005"/>
      <c r="VV91" s="1005"/>
      <c r="VW91" s="1005"/>
      <c r="VX91" s="1005"/>
      <c r="VY91" s="1005"/>
      <c r="VZ91" s="1005"/>
      <c r="WA91" s="1005"/>
      <c r="WB91" s="1005"/>
      <c r="WC91" s="1005"/>
      <c r="WD91" s="1005"/>
      <c r="WE91" s="1005"/>
      <c r="WF91" s="1005"/>
      <c r="WG91" s="1005"/>
      <c r="WH91" s="1005"/>
      <c r="WI91" s="1005"/>
      <c r="WJ91" s="1005"/>
      <c r="WK91" s="1005"/>
      <c r="WL91" s="1005"/>
      <c r="WM91" s="1005"/>
      <c r="WN91" s="1005"/>
      <c r="WO91" s="1005"/>
      <c r="WP91" s="1005"/>
      <c r="WQ91" s="1005"/>
      <c r="WR91" s="1005"/>
      <c r="WS91" s="1005"/>
      <c r="WT91" s="1005"/>
      <c r="WU91" s="1005"/>
      <c r="WV91" s="1005"/>
      <c r="WW91" s="1005"/>
      <c r="WX91" s="1005"/>
      <c r="WY91" s="1005"/>
      <c r="WZ91" s="1005"/>
      <c r="XA91" s="1005"/>
      <c r="XB91" s="1005"/>
      <c r="XC91" s="1005"/>
      <c r="XD91" s="1005"/>
      <c r="XE91" s="1005"/>
      <c r="XF91" s="1005"/>
      <c r="XG91" s="1005"/>
      <c r="XH91" s="1005"/>
      <c r="XI91" s="1005"/>
      <c r="XJ91" s="1005"/>
      <c r="XK91" s="1005"/>
      <c r="XL91" s="1005"/>
      <c r="XM91" s="1005"/>
      <c r="XN91" s="1005"/>
      <c r="XO91" s="1005"/>
      <c r="XP91" s="1005"/>
      <c r="XQ91" s="1005"/>
      <c r="XR91" s="1005"/>
      <c r="XS91" s="1005"/>
      <c r="XT91" s="1005"/>
      <c r="XU91" s="1005"/>
      <c r="XV91" s="1005"/>
      <c r="XW91" s="1005"/>
      <c r="XX91" s="1005"/>
      <c r="XY91" s="1005"/>
      <c r="XZ91" s="1005"/>
      <c r="YA91" s="1005"/>
      <c r="YB91" s="1005"/>
      <c r="YC91" s="1005"/>
      <c r="YD91" s="1005"/>
      <c r="YE91" s="1005"/>
      <c r="YF91" s="1005"/>
      <c r="YG91" s="1005"/>
      <c r="YH91" s="1005"/>
      <c r="YI91" s="1005"/>
      <c r="YJ91" s="1005"/>
      <c r="YK91" s="1005"/>
      <c r="YL91" s="1005"/>
      <c r="YM91" s="1005"/>
      <c r="YN91" s="1005"/>
      <c r="YO91" s="1005"/>
      <c r="YP91" s="1005"/>
      <c r="YQ91" s="1005"/>
      <c r="YR91" s="1005"/>
      <c r="YS91" s="1005"/>
      <c r="YT91" s="1005"/>
      <c r="YU91" s="1005"/>
      <c r="YV91" s="1005"/>
      <c r="YW91" s="1005"/>
      <c r="YX91" s="1005"/>
      <c r="YY91" s="1005"/>
      <c r="YZ91" s="1005"/>
      <c r="ZA91" s="1005"/>
      <c r="ZB91" s="1005"/>
      <c r="ZC91" s="1005"/>
      <c r="ZD91" s="1005"/>
      <c r="ZE91" s="1005"/>
      <c r="ZF91" s="1005"/>
      <c r="ZG91" s="1005"/>
      <c r="ZH91" s="1005"/>
      <c r="ZI91" s="1005"/>
      <c r="ZJ91" s="1005"/>
      <c r="ZK91" s="1005"/>
      <c r="ZL91" s="1005"/>
      <c r="ZM91" s="1005"/>
      <c r="ZN91" s="1005"/>
      <c r="ZO91" s="1005"/>
      <c r="ZP91" s="1005"/>
      <c r="ZQ91" s="1005"/>
      <c r="ZR91" s="1005"/>
      <c r="ZS91" s="1005"/>
      <c r="ZT91" s="1005"/>
      <c r="ZU91" s="1005"/>
      <c r="ZV91" s="1005"/>
      <c r="ZW91" s="1005"/>
      <c r="ZX91" s="1005"/>
      <c r="ZY91" s="1005"/>
      <c r="ZZ91" s="1005"/>
      <c r="AAA91" s="1005"/>
      <c r="AAB91" s="1005"/>
      <c r="AAC91" s="1005"/>
      <c r="AAD91" s="1005"/>
      <c r="AAE91" s="1005"/>
      <c r="AAF91" s="1005"/>
      <c r="AAG91" s="1005"/>
      <c r="AAH91" s="1005"/>
      <c r="AAI91" s="1005"/>
      <c r="AAJ91" s="1005"/>
      <c r="AAK91" s="1005"/>
      <c r="AAL91" s="1005"/>
      <c r="AAM91" s="1005"/>
      <c r="AAN91" s="1005"/>
      <c r="AAO91" s="1005"/>
      <c r="AAP91" s="1005"/>
      <c r="AAQ91" s="1005"/>
      <c r="AAR91" s="1005"/>
      <c r="AAS91" s="1005"/>
      <c r="AAT91" s="1005"/>
      <c r="AAU91" s="1005"/>
      <c r="AAV91" s="1005"/>
      <c r="AAW91" s="1005"/>
      <c r="AAX91" s="1005"/>
      <c r="AAY91" s="1005"/>
      <c r="AAZ91" s="1005"/>
      <c r="ABA91" s="1005"/>
      <c r="ABB91" s="1005"/>
      <c r="ABC91" s="1005"/>
      <c r="ABD91" s="1005"/>
      <c r="ABE91" s="1005"/>
      <c r="ABF91" s="1005"/>
      <c r="ABG91" s="1005"/>
      <c r="ABH91" s="1005"/>
      <c r="ABI91" s="1005"/>
      <c r="ABJ91" s="1005"/>
      <c r="ABK91" s="1005"/>
      <c r="ABL91" s="1005"/>
      <c r="ABM91" s="1005"/>
      <c r="ABN91" s="1005"/>
      <c r="ABO91" s="1005"/>
      <c r="ABP91" s="1005"/>
      <c r="ABQ91" s="1005"/>
      <c r="ABR91" s="1005"/>
    </row>
    <row r="92" spans="1:746" s="113" customFormat="1" ht="12.9" hidden="1" customHeight="1">
      <c r="A92" s="1253"/>
      <c r="B92" s="1261" t="s">
        <v>1044</v>
      </c>
      <c r="C92" s="1262"/>
      <c r="D92" s="1268"/>
      <c r="E92" s="1887">
        <v>0.31419999999999998</v>
      </c>
      <c r="F92" s="1853"/>
      <c r="G92" s="1889">
        <v>0.3</v>
      </c>
      <c r="H92" s="2168">
        <f t="shared" si="15"/>
        <v>0.7</v>
      </c>
      <c r="I92" s="1966"/>
      <c r="J92" s="809"/>
      <c r="K92" s="809"/>
      <c r="L92" s="809"/>
      <c r="M92" s="809"/>
      <c r="N92" s="809"/>
      <c r="O92" s="809"/>
      <c r="P92" s="809"/>
      <c r="Q92" s="809"/>
      <c r="R92" s="809"/>
      <c r="S92" s="809"/>
      <c r="T92" s="809"/>
      <c r="U92" s="1885"/>
      <c r="V92" s="1885"/>
      <c r="W92" s="1885"/>
      <c r="X92" s="1885"/>
      <c r="Y92" s="1885"/>
      <c r="Z92" s="1885"/>
      <c r="AA92" s="1885"/>
      <c r="AB92" s="1885"/>
      <c r="AC92" s="1885"/>
      <c r="AD92" s="1885"/>
      <c r="AE92" s="1885"/>
      <c r="AF92" s="1885"/>
      <c r="AG92" s="2203"/>
      <c r="AH92" s="359"/>
      <c r="AI92" s="359"/>
      <c r="AJ92" s="1854">
        <f>IF(fx!$C$57=1,SUMIF(fx!I$57:T$57,1,I92:T92),IF(fx!$C$57=2,SUMIF(fx!O$57:AF$57,1,O92:AF92)))</f>
        <v>0</v>
      </c>
      <c r="AK92" s="434"/>
      <c r="AL92" s="1855">
        <f>IF(fx!$C$57=1,SUM(U92:AF92),0)</f>
        <v>0</v>
      </c>
      <c r="AM92" s="1021"/>
      <c r="AN92" s="1018"/>
      <c r="AO92" s="1945"/>
      <c r="AP92" s="1935"/>
      <c r="AQ92" s="1936"/>
      <c r="AR92" s="1941"/>
      <c r="AS92" s="1941"/>
      <c r="AT92" s="1941"/>
      <c r="AU92" s="1941"/>
      <c r="AV92" s="1941"/>
      <c r="AW92" s="1941"/>
      <c r="AX92" s="1941"/>
      <c r="AY92" s="1941"/>
      <c r="AZ92" s="1941"/>
      <c r="BA92" s="1941"/>
      <c r="BB92" s="1941"/>
      <c r="BC92" s="1941"/>
      <c r="BD92" s="1941"/>
      <c r="BE92" s="1941"/>
      <c r="BF92" s="1941"/>
      <c r="BG92" s="1941"/>
      <c r="BH92" s="1941"/>
      <c r="BI92" s="1941"/>
      <c r="BJ92" s="1941"/>
      <c r="BK92" s="1941"/>
      <c r="BL92" s="1941"/>
      <c r="BM92" s="1941"/>
      <c r="BN92" s="1941"/>
      <c r="BO92" s="1941"/>
      <c r="BP92" s="1005"/>
      <c r="BQ92" s="1005"/>
      <c r="BR92" s="1005"/>
      <c r="BS92" s="1005"/>
      <c r="BT92" s="1005"/>
      <c r="BU92" s="1005"/>
      <c r="BV92" s="1005"/>
      <c r="BW92" s="1005"/>
      <c r="BX92" s="1005"/>
      <c r="BY92" s="1005"/>
      <c r="BZ92" s="1005"/>
      <c r="CA92" s="1005"/>
      <c r="CB92" s="1005"/>
      <c r="CC92" s="1005"/>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c r="EC92" s="1005"/>
      <c r="ED92" s="1005"/>
      <c r="EE92" s="1005"/>
      <c r="EF92" s="1005"/>
      <c r="EG92" s="1005"/>
      <c r="EH92" s="1005"/>
      <c r="EI92" s="1005"/>
      <c r="EJ92" s="1005"/>
      <c r="EK92" s="1005"/>
      <c r="EL92" s="1005"/>
      <c r="EM92" s="1005"/>
      <c r="EN92" s="1005"/>
      <c r="EO92" s="1005"/>
      <c r="EP92" s="1005"/>
      <c r="EQ92" s="1005"/>
      <c r="ER92" s="1005"/>
      <c r="ES92" s="1005"/>
      <c r="ET92" s="1005"/>
      <c r="EU92" s="1005"/>
      <c r="EV92" s="1005"/>
      <c r="EW92" s="1005"/>
      <c r="EX92" s="1005"/>
      <c r="EY92" s="1005"/>
      <c r="EZ92" s="1005"/>
      <c r="FA92" s="1005"/>
      <c r="FB92" s="1005"/>
      <c r="FC92" s="1005"/>
      <c r="FD92" s="1005"/>
      <c r="FE92" s="1005"/>
      <c r="FF92" s="1005"/>
      <c r="FG92" s="1005"/>
      <c r="FH92" s="1005"/>
      <c r="FI92" s="1005"/>
      <c r="FJ92" s="1005"/>
      <c r="FK92" s="1005"/>
      <c r="FL92" s="1005"/>
      <c r="FM92" s="1005"/>
      <c r="FN92" s="1005"/>
      <c r="FO92" s="1005"/>
      <c r="FP92" s="1005"/>
      <c r="FQ92" s="1005"/>
      <c r="FR92" s="1005"/>
      <c r="FS92" s="1005"/>
      <c r="FT92" s="1005"/>
      <c r="FU92" s="1005"/>
      <c r="FV92" s="1005"/>
      <c r="FW92" s="1005"/>
      <c r="FX92" s="1005"/>
      <c r="FY92" s="1005"/>
      <c r="FZ92" s="1005"/>
      <c r="GA92" s="1005"/>
      <c r="GB92" s="1005"/>
      <c r="GC92" s="1005"/>
      <c r="GD92" s="1005"/>
      <c r="GE92" s="1005"/>
      <c r="GF92" s="1005"/>
      <c r="GG92" s="1005"/>
      <c r="GH92" s="1005"/>
      <c r="GI92" s="1005"/>
      <c r="GJ92" s="1005"/>
      <c r="GK92" s="1005"/>
      <c r="GL92" s="1005"/>
      <c r="GM92" s="1005"/>
      <c r="GN92" s="1005"/>
      <c r="GO92" s="1005"/>
      <c r="GP92" s="1005"/>
      <c r="GQ92" s="1005"/>
      <c r="GR92" s="1005"/>
      <c r="GS92" s="1005"/>
      <c r="GT92" s="1005"/>
      <c r="GU92" s="1005"/>
      <c r="GV92" s="1005"/>
      <c r="GW92" s="1005"/>
      <c r="GX92" s="1005"/>
      <c r="GY92" s="1005"/>
      <c r="GZ92" s="1005"/>
      <c r="HA92" s="1005"/>
      <c r="HB92" s="1005"/>
      <c r="HC92" s="1005"/>
      <c r="HD92" s="1005"/>
      <c r="HE92" s="1005"/>
      <c r="HF92" s="1005"/>
      <c r="HG92" s="1005"/>
      <c r="HH92" s="1005"/>
      <c r="HI92" s="1005"/>
      <c r="HJ92" s="1005"/>
      <c r="HK92" s="1005"/>
      <c r="HL92" s="1005"/>
      <c r="HM92" s="1005"/>
      <c r="HN92" s="1005"/>
      <c r="HO92" s="1005"/>
      <c r="HP92" s="1005"/>
      <c r="HQ92" s="1005"/>
      <c r="HR92" s="1005"/>
      <c r="HS92" s="1005"/>
      <c r="HT92" s="1005"/>
      <c r="HU92" s="1005"/>
      <c r="HV92" s="1005"/>
      <c r="HW92" s="1005"/>
      <c r="HX92" s="1005"/>
      <c r="HY92" s="1005"/>
      <c r="HZ92" s="1005"/>
      <c r="IA92" s="1005"/>
      <c r="IB92" s="1005"/>
      <c r="IC92" s="1005"/>
      <c r="ID92" s="1005"/>
      <c r="IE92" s="1005"/>
      <c r="IF92" s="1005"/>
      <c r="IG92" s="1005"/>
      <c r="IH92" s="1005"/>
      <c r="II92" s="1005"/>
      <c r="IJ92" s="1005"/>
      <c r="IK92" s="1005"/>
      <c r="IL92" s="1005"/>
      <c r="IM92" s="1005"/>
      <c r="IN92" s="1005"/>
      <c r="IO92" s="1005"/>
      <c r="IP92" s="1005"/>
      <c r="IQ92" s="1005"/>
      <c r="IR92" s="1005"/>
      <c r="IS92" s="1005"/>
      <c r="IT92" s="1005"/>
      <c r="IU92" s="1005"/>
      <c r="IV92" s="1005"/>
      <c r="IW92" s="1005"/>
      <c r="IX92" s="1005"/>
      <c r="IY92" s="1005"/>
      <c r="IZ92" s="1005"/>
      <c r="JA92" s="1005"/>
      <c r="JB92" s="1005"/>
      <c r="JC92" s="1005"/>
      <c r="JD92" s="1005"/>
      <c r="JE92" s="1005"/>
      <c r="JF92" s="1005"/>
      <c r="JG92" s="1005"/>
      <c r="JH92" s="1005"/>
      <c r="JI92" s="1005"/>
      <c r="JJ92" s="1005"/>
      <c r="JK92" s="1005"/>
      <c r="JL92" s="1005"/>
      <c r="JM92" s="1005"/>
      <c r="JN92" s="1005"/>
      <c r="JO92" s="1005"/>
      <c r="JP92" s="1005"/>
      <c r="JQ92" s="1005"/>
      <c r="JR92" s="1005"/>
      <c r="JS92" s="1005"/>
      <c r="JT92" s="1005"/>
      <c r="JU92" s="1005"/>
      <c r="JV92" s="1005"/>
      <c r="JW92" s="1005"/>
      <c r="JX92" s="1005"/>
      <c r="JY92" s="1005"/>
      <c r="JZ92" s="1005"/>
      <c r="KA92" s="1005"/>
      <c r="KB92" s="1005"/>
      <c r="KC92" s="1005"/>
      <c r="KD92" s="1005"/>
      <c r="KE92" s="1005"/>
      <c r="KF92" s="1005"/>
      <c r="KG92" s="1005"/>
      <c r="KH92" s="1005"/>
      <c r="KI92" s="1005"/>
      <c r="KJ92" s="1005"/>
      <c r="KK92" s="1005"/>
      <c r="KL92" s="1005"/>
      <c r="KM92" s="1005"/>
      <c r="KN92" s="1005"/>
      <c r="KO92" s="1005"/>
      <c r="KP92" s="1005"/>
      <c r="KQ92" s="1005"/>
      <c r="KR92" s="1005"/>
      <c r="KS92" s="1005"/>
      <c r="KT92" s="1005"/>
      <c r="KU92" s="1005"/>
      <c r="KV92" s="1005"/>
      <c r="KW92" s="1005"/>
      <c r="KX92" s="1005"/>
      <c r="KY92" s="1005"/>
      <c r="KZ92" s="1005"/>
      <c r="LA92" s="1005"/>
      <c r="LB92" s="1005"/>
      <c r="LC92" s="1005"/>
      <c r="LD92" s="1005"/>
      <c r="LE92" s="1005"/>
      <c r="LF92" s="1005"/>
      <c r="LG92" s="1005"/>
      <c r="LH92" s="1005"/>
      <c r="LI92" s="1005"/>
      <c r="LJ92" s="1005"/>
      <c r="LK92" s="1005"/>
      <c r="LL92" s="1005"/>
      <c r="LM92" s="1005"/>
      <c r="LN92" s="1005"/>
      <c r="LO92" s="1005"/>
      <c r="LP92" s="1005"/>
      <c r="LQ92" s="1005"/>
      <c r="LR92" s="1005"/>
      <c r="LS92" s="1005"/>
      <c r="LT92" s="1005"/>
      <c r="LU92" s="1005"/>
      <c r="LV92" s="1005"/>
      <c r="LW92" s="1005"/>
      <c r="LX92" s="1005"/>
      <c r="LY92" s="1005"/>
      <c r="LZ92" s="1005"/>
      <c r="MA92" s="1005"/>
      <c r="MB92" s="1005"/>
      <c r="MC92" s="1005"/>
      <c r="MD92" s="1005"/>
      <c r="ME92" s="1005"/>
      <c r="MF92" s="1005"/>
      <c r="MG92" s="1005"/>
      <c r="MH92" s="1005"/>
      <c r="MI92" s="1005"/>
      <c r="MJ92" s="1005"/>
      <c r="MK92" s="1005"/>
      <c r="ML92" s="1005"/>
      <c r="MM92" s="1005"/>
      <c r="MN92" s="1005"/>
      <c r="MO92" s="1005"/>
      <c r="MP92" s="1005"/>
      <c r="MQ92" s="1005"/>
      <c r="MR92" s="1005"/>
      <c r="MS92" s="1005"/>
      <c r="MT92" s="1005"/>
      <c r="MU92" s="1005"/>
      <c r="MV92" s="1005"/>
      <c r="MW92" s="1005"/>
      <c r="MX92" s="1005"/>
      <c r="MY92" s="1005"/>
      <c r="MZ92" s="1005"/>
      <c r="NA92" s="1005"/>
      <c r="NB92" s="1005"/>
      <c r="NC92" s="1005"/>
      <c r="ND92" s="1005"/>
      <c r="NE92" s="1005"/>
      <c r="NF92" s="1005"/>
      <c r="NG92" s="1005"/>
      <c r="NH92" s="1005"/>
      <c r="NI92" s="1005"/>
      <c r="NJ92" s="1005"/>
      <c r="NK92" s="1005"/>
      <c r="NL92" s="1005"/>
      <c r="NM92" s="1005"/>
      <c r="NN92" s="1005"/>
      <c r="NO92" s="1005"/>
      <c r="NP92" s="1005"/>
      <c r="NQ92" s="1005"/>
      <c r="NR92" s="1005"/>
      <c r="NS92" s="1005"/>
      <c r="NT92" s="1005"/>
      <c r="NU92" s="1005"/>
      <c r="NV92" s="1005"/>
      <c r="NW92" s="1005"/>
      <c r="NX92" s="1005"/>
      <c r="NY92" s="1005"/>
      <c r="NZ92" s="1005"/>
      <c r="OA92" s="1005"/>
      <c r="OB92" s="1005"/>
      <c r="OC92" s="1005"/>
      <c r="OD92" s="1005"/>
      <c r="OE92" s="1005"/>
      <c r="OF92" s="1005"/>
      <c r="OG92" s="1005"/>
      <c r="OH92" s="1005"/>
      <c r="OI92" s="1005"/>
      <c r="OJ92" s="1005"/>
      <c r="OK92" s="1005"/>
      <c r="OL92" s="1005"/>
      <c r="OM92" s="1005"/>
      <c r="ON92" s="1005"/>
      <c r="OO92" s="1005"/>
      <c r="OP92" s="1005"/>
      <c r="OQ92" s="1005"/>
      <c r="OR92" s="1005"/>
      <c r="OS92" s="1005"/>
      <c r="OT92" s="1005"/>
      <c r="OU92" s="1005"/>
      <c r="OV92" s="1005"/>
      <c r="OW92" s="1005"/>
      <c r="OX92" s="1005"/>
      <c r="OY92" s="1005"/>
      <c r="OZ92" s="1005"/>
      <c r="PA92" s="1005"/>
      <c r="PB92" s="1005"/>
      <c r="PC92" s="1005"/>
      <c r="PD92" s="1005"/>
      <c r="PE92" s="1005"/>
      <c r="PF92" s="1005"/>
      <c r="PG92" s="1005"/>
      <c r="PH92" s="1005"/>
      <c r="PI92" s="1005"/>
      <c r="PJ92" s="1005"/>
      <c r="PK92" s="1005"/>
      <c r="PL92" s="1005"/>
      <c r="PM92" s="1005"/>
      <c r="PN92" s="1005"/>
      <c r="PO92" s="1005"/>
      <c r="PP92" s="1005"/>
      <c r="PQ92" s="1005"/>
      <c r="PR92" s="1005"/>
      <c r="PS92" s="1005"/>
      <c r="PT92" s="1005"/>
      <c r="PU92" s="1005"/>
      <c r="PV92" s="1005"/>
      <c r="PW92" s="1005"/>
      <c r="PX92" s="1005"/>
      <c r="PY92" s="1005"/>
      <c r="PZ92" s="1005"/>
      <c r="QA92" s="1005"/>
      <c r="QB92" s="1005"/>
      <c r="QC92" s="1005"/>
      <c r="QD92" s="1005"/>
      <c r="QE92" s="1005"/>
      <c r="QF92" s="1005"/>
      <c r="QG92" s="1005"/>
      <c r="QH92" s="1005"/>
      <c r="QI92" s="1005"/>
      <c r="QJ92" s="1005"/>
      <c r="QK92" s="1005"/>
      <c r="QL92" s="1005"/>
      <c r="QM92" s="1005"/>
      <c r="QN92" s="1005"/>
      <c r="QO92" s="1005"/>
      <c r="QP92" s="1005"/>
      <c r="QQ92" s="1005"/>
      <c r="QR92" s="1005"/>
      <c r="QS92" s="1005"/>
      <c r="QT92" s="1005"/>
      <c r="QU92" s="1005"/>
      <c r="QV92" s="1005"/>
      <c r="QW92" s="1005"/>
      <c r="QX92" s="1005"/>
      <c r="QY92" s="1005"/>
      <c r="QZ92" s="1005"/>
      <c r="RA92" s="1005"/>
      <c r="RB92" s="1005"/>
      <c r="RC92" s="1005"/>
      <c r="RD92" s="1005"/>
      <c r="RE92" s="1005"/>
      <c r="RF92" s="1005"/>
      <c r="RG92" s="1005"/>
      <c r="RH92" s="1005"/>
      <c r="RI92" s="1005"/>
      <c r="RJ92" s="1005"/>
      <c r="RK92" s="1005"/>
      <c r="RL92" s="1005"/>
      <c r="RM92" s="1005"/>
      <c r="RN92" s="1005"/>
      <c r="RO92" s="1005"/>
      <c r="RP92" s="1005"/>
      <c r="RQ92" s="1005"/>
      <c r="RR92" s="1005"/>
      <c r="RS92" s="1005"/>
      <c r="RT92" s="1005"/>
      <c r="RU92" s="1005"/>
      <c r="RV92" s="1005"/>
      <c r="RW92" s="1005"/>
      <c r="RX92" s="1005"/>
      <c r="RY92" s="1005"/>
      <c r="RZ92" s="1005"/>
      <c r="SA92" s="1005"/>
      <c r="SB92" s="1005"/>
      <c r="SC92" s="1005"/>
      <c r="SD92" s="1005"/>
      <c r="SE92" s="1005"/>
      <c r="SF92" s="1005"/>
      <c r="SG92" s="1005"/>
      <c r="SH92" s="1005"/>
      <c r="SI92" s="1005"/>
      <c r="SJ92" s="1005"/>
      <c r="SK92" s="1005"/>
      <c r="SL92" s="1005"/>
      <c r="SM92" s="1005"/>
      <c r="SN92" s="1005"/>
      <c r="SO92" s="1005"/>
      <c r="SP92" s="1005"/>
      <c r="SQ92" s="1005"/>
      <c r="SR92" s="1005"/>
      <c r="SS92" s="1005"/>
      <c r="ST92" s="1005"/>
      <c r="SU92" s="1005"/>
      <c r="SV92" s="1005"/>
      <c r="SW92" s="1005"/>
      <c r="SX92" s="1005"/>
      <c r="SY92" s="1005"/>
      <c r="SZ92" s="1005"/>
      <c r="TA92" s="1005"/>
      <c r="TB92" s="1005"/>
      <c r="TC92" s="1005"/>
      <c r="TD92" s="1005"/>
      <c r="TE92" s="1005"/>
      <c r="TF92" s="1005"/>
      <c r="TG92" s="1005"/>
      <c r="TH92" s="1005"/>
      <c r="TI92" s="1005"/>
      <c r="TJ92" s="1005"/>
      <c r="TK92" s="1005"/>
      <c r="TL92" s="1005"/>
      <c r="TM92" s="1005"/>
      <c r="TN92" s="1005"/>
      <c r="TO92" s="1005"/>
      <c r="TP92" s="1005"/>
      <c r="TQ92" s="1005"/>
      <c r="TR92" s="1005"/>
      <c r="TS92" s="1005"/>
      <c r="TT92" s="1005"/>
      <c r="TU92" s="1005"/>
      <c r="TV92" s="1005"/>
      <c r="TW92" s="1005"/>
      <c r="TX92" s="1005"/>
      <c r="TY92" s="1005"/>
      <c r="TZ92" s="1005"/>
      <c r="UA92" s="1005"/>
      <c r="UB92" s="1005"/>
      <c r="UC92" s="1005"/>
      <c r="UD92" s="1005"/>
      <c r="UE92" s="1005"/>
      <c r="UF92" s="1005"/>
      <c r="UG92" s="1005"/>
      <c r="UH92" s="1005"/>
      <c r="UI92" s="1005"/>
      <c r="UJ92" s="1005"/>
      <c r="UK92" s="1005"/>
      <c r="UL92" s="1005"/>
      <c r="UM92" s="1005"/>
      <c r="UN92" s="1005"/>
      <c r="UO92" s="1005"/>
      <c r="UP92" s="1005"/>
      <c r="UQ92" s="1005"/>
      <c r="UR92" s="1005"/>
      <c r="US92" s="1005"/>
      <c r="UT92" s="1005"/>
      <c r="UU92" s="1005"/>
      <c r="UV92" s="1005"/>
      <c r="UW92" s="1005"/>
      <c r="UX92" s="1005"/>
      <c r="UY92" s="1005"/>
      <c r="UZ92" s="1005"/>
      <c r="VA92" s="1005"/>
      <c r="VB92" s="1005"/>
      <c r="VC92" s="1005"/>
      <c r="VD92" s="1005"/>
      <c r="VE92" s="1005"/>
      <c r="VF92" s="1005"/>
      <c r="VG92" s="1005"/>
      <c r="VH92" s="1005"/>
      <c r="VI92" s="1005"/>
      <c r="VJ92" s="1005"/>
      <c r="VK92" s="1005"/>
      <c r="VL92" s="1005"/>
      <c r="VM92" s="1005"/>
      <c r="VN92" s="1005"/>
      <c r="VO92" s="1005"/>
      <c r="VP92" s="1005"/>
      <c r="VQ92" s="1005"/>
      <c r="VR92" s="1005"/>
      <c r="VS92" s="1005"/>
      <c r="VT92" s="1005"/>
      <c r="VU92" s="1005"/>
      <c r="VV92" s="1005"/>
      <c r="VW92" s="1005"/>
      <c r="VX92" s="1005"/>
      <c r="VY92" s="1005"/>
      <c r="VZ92" s="1005"/>
      <c r="WA92" s="1005"/>
      <c r="WB92" s="1005"/>
      <c r="WC92" s="1005"/>
      <c r="WD92" s="1005"/>
      <c r="WE92" s="1005"/>
      <c r="WF92" s="1005"/>
      <c r="WG92" s="1005"/>
      <c r="WH92" s="1005"/>
      <c r="WI92" s="1005"/>
      <c r="WJ92" s="1005"/>
      <c r="WK92" s="1005"/>
      <c r="WL92" s="1005"/>
      <c r="WM92" s="1005"/>
      <c r="WN92" s="1005"/>
      <c r="WO92" s="1005"/>
      <c r="WP92" s="1005"/>
      <c r="WQ92" s="1005"/>
      <c r="WR92" s="1005"/>
      <c r="WS92" s="1005"/>
      <c r="WT92" s="1005"/>
      <c r="WU92" s="1005"/>
      <c r="WV92" s="1005"/>
      <c r="WW92" s="1005"/>
      <c r="WX92" s="1005"/>
      <c r="WY92" s="1005"/>
      <c r="WZ92" s="1005"/>
      <c r="XA92" s="1005"/>
      <c r="XB92" s="1005"/>
      <c r="XC92" s="1005"/>
      <c r="XD92" s="1005"/>
      <c r="XE92" s="1005"/>
      <c r="XF92" s="1005"/>
      <c r="XG92" s="1005"/>
      <c r="XH92" s="1005"/>
      <c r="XI92" s="1005"/>
      <c r="XJ92" s="1005"/>
      <c r="XK92" s="1005"/>
      <c r="XL92" s="1005"/>
      <c r="XM92" s="1005"/>
      <c r="XN92" s="1005"/>
      <c r="XO92" s="1005"/>
      <c r="XP92" s="1005"/>
      <c r="XQ92" s="1005"/>
      <c r="XR92" s="1005"/>
      <c r="XS92" s="1005"/>
      <c r="XT92" s="1005"/>
      <c r="XU92" s="1005"/>
      <c r="XV92" s="1005"/>
      <c r="XW92" s="1005"/>
      <c r="XX92" s="1005"/>
      <c r="XY92" s="1005"/>
      <c r="XZ92" s="1005"/>
      <c r="YA92" s="1005"/>
      <c r="YB92" s="1005"/>
      <c r="YC92" s="1005"/>
      <c r="YD92" s="1005"/>
      <c r="YE92" s="1005"/>
      <c r="YF92" s="1005"/>
      <c r="YG92" s="1005"/>
      <c r="YH92" s="1005"/>
      <c r="YI92" s="1005"/>
      <c r="YJ92" s="1005"/>
      <c r="YK92" s="1005"/>
      <c r="YL92" s="1005"/>
      <c r="YM92" s="1005"/>
      <c r="YN92" s="1005"/>
      <c r="YO92" s="1005"/>
      <c r="YP92" s="1005"/>
      <c r="YQ92" s="1005"/>
      <c r="YR92" s="1005"/>
      <c r="YS92" s="1005"/>
      <c r="YT92" s="1005"/>
      <c r="YU92" s="1005"/>
      <c r="YV92" s="1005"/>
      <c r="YW92" s="1005"/>
      <c r="YX92" s="1005"/>
      <c r="YY92" s="1005"/>
      <c r="YZ92" s="1005"/>
      <c r="ZA92" s="1005"/>
      <c r="ZB92" s="1005"/>
      <c r="ZC92" s="1005"/>
      <c r="ZD92" s="1005"/>
      <c r="ZE92" s="1005"/>
      <c r="ZF92" s="1005"/>
      <c r="ZG92" s="1005"/>
      <c r="ZH92" s="1005"/>
      <c r="ZI92" s="1005"/>
      <c r="ZJ92" s="1005"/>
      <c r="ZK92" s="1005"/>
      <c r="ZL92" s="1005"/>
      <c r="ZM92" s="1005"/>
      <c r="ZN92" s="1005"/>
      <c r="ZO92" s="1005"/>
      <c r="ZP92" s="1005"/>
      <c r="ZQ92" s="1005"/>
      <c r="ZR92" s="1005"/>
      <c r="ZS92" s="1005"/>
      <c r="ZT92" s="1005"/>
      <c r="ZU92" s="1005"/>
      <c r="ZV92" s="1005"/>
      <c r="ZW92" s="1005"/>
      <c r="ZX92" s="1005"/>
      <c r="ZY92" s="1005"/>
      <c r="ZZ92" s="1005"/>
      <c r="AAA92" s="1005"/>
      <c r="AAB92" s="1005"/>
      <c r="AAC92" s="1005"/>
      <c r="AAD92" s="1005"/>
      <c r="AAE92" s="1005"/>
      <c r="AAF92" s="1005"/>
      <c r="AAG92" s="1005"/>
      <c r="AAH92" s="1005"/>
      <c r="AAI92" s="1005"/>
      <c r="AAJ92" s="1005"/>
      <c r="AAK92" s="1005"/>
      <c r="AAL92" s="1005"/>
      <c r="AAM92" s="1005"/>
      <c r="AAN92" s="1005"/>
      <c r="AAO92" s="1005"/>
      <c r="AAP92" s="1005"/>
      <c r="AAQ92" s="1005"/>
      <c r="AAR92" s="1005"/>
      <c r="AAS92" s="1005"/>
      <c r="AAT92" s="1005"/>
      <c r="AAU92" s="1005"/>
      <c r="AAV92" s="1005"/>
      <c r="AAW92" s="1005"/>
      <c r="AAX92" s="1005"/>
      <c r="AAY92" s="1005"/>
      <c r="AAZ92" s="1005"/>
      <c r="ABA92" s="1005"/>
      <c r="ABB92" s="1005"/>
      <c r="ABC92" s="1005"/>
      <c r="ABD92" s="1005"/>
      <c r="ABE92" s="1005"/>
      <c r="ABF92" s="1005"/>
      <c r="ABG92" s="1005"/>
      <c r="ABH92" s="1005"/>
      <c r="ABI92" s="1005"/>
      <c r="ABJ92" s="1005"/>
      <c r="ABK92" s="1005"/>
      <c r="ABL92" s="1005"/>
      <c r="ABM92" s="1005"/>
      <c r="ABN92" s="1005"/>
      <c r="ABO92" s="1005"/>
      <c r="ABP92" s="1005"/>
      <c r="ABQ92" s="1005"/>
      <c r="ABR92" s="1005"/>
    </row>
    <row r="93" spans="1:746" s="113" customFormat="1" ht="12.9" hidden="1" customHeight="1">
      <c r="A93" s="1253"/>
      <c r="B93" s="1261" t="s">
        <v>1045</v>
      </c>
      <c r="C93" s="1262"/>
      <c r="D93" s="1268"/>
      <c r="E93" s="1887">
        <v>0.31419999999999998</v>
      </c>
      <c r="F93" s="1853"/>
      <c r="G93" s="1889">
        <v>0.3</v>
      </c>
      <c r="H93" s="2168">
        <f t="shared" si="15"/>
        <v>0.7</v>
      </c>
      <c r="I93" s="1966"/>
      <c r="J93" s="809"/>
      <c r="K93" s="809"/>
      <c r="L93" s="809"/>
      <c r="M93" s="809"/>
      <c r="N93" s="809"/>
      <c r="O93" s="809"/>
      <c r="P93" s="809"/>
      <c r="Q93" s="809"/>
      <c r="R93" s="809"/>
      <c r="S93" s="809"/>
      <c r="T93" s="809"/>
      <c r="U93" s="1885"/>
      <c r="V93" s="1885"/>
      <c r="W93" s="1885"/>
      <c r="X93" s="1885"/>
      <c r="Y93" s="1885"/>
      <c r="Z93" s="1885"/>
      <c r="AA93" s="1885"/>
      <c r="AB93" s="1885"/>
      <c r="AC93" s="1885"/>
      <c r="AD93" s="1885"/>
      <c r="AE93" s="1885"/>
      <c r="AF93" s="1885"/>
      <c r="AG93" s="2203"/>
      <c r="AH93" s="359"/>
      <c r="AI93" s="359"/>
      <c r="AJ93" s="1854">
        <f>IF(fx!$C$57=1,SUMIF(fx!I$57:T$57,1,I93:T93),IF(fx!$C$57=2,SUMIF(fx!O$57:AF$57,1,O93:AF93)))</f>
        <v>0</v>
      </c>
      <c r="AK93" s="434"/>
      <c r="AL93" s="1855">
        <f>IF(fx!$C$57=1,SUM(U93:AF93),0)</f>
        <v>0</v>
      </c>
      <c r="AM93" s="1021"/>
      <c r="AN93" s="1018"/>
      <c r="AO93" s="1945"/>
      <c r="AP93" s="1935"/>
      <c r="AQ93" s="1936"/>
      <c r="AR93" s="1941"/>
      <c r="AS93" s="1941"/>
      <c r="AT93" s="1941"/>
      <c r="AU93" s="1941"/>
      <c r="AV93" s="1941"/>
      <c r="AW93" s="1941"/>
      <c r="AX93" s="1941"/>
      <c r="AY93" s="1941"/>
      <c r="AZ93" s="1941"/>
      <c r="BA93" s="1941"/>
      <c r="BB93" s="1941"/>
      <c r="BC93" s="1941"/>
      <c r="BD93" s="1941"/>
      <c r="BE93" s="1941"/>
      <c r="BF93" s="1941"/>
      <c r="BG93" s="1941"/>
      <c r="BH93" s="1941"/>
      <c r="BI93" s="1941"/>
      <c r="BJ93" s="1941"/>
      <c r="BK93" s="1941"/>
      <c r="BL93" s="1941"/>
      <c r="BM93" s="1941"/>
      <c r="BN93" s="1941"/>
      <c r="BO93" s="1941"/>
      <c r="BP93" s="1005"/>
      <c r="BQ93" s="1005"/>
      <c r="BR93" s="1005"/>
      <c r="BS93" s="1005"/>
      <c r="BT93" s="1005"/>
      <c r="BU93" s="1005"/>
      <c r="BV93" s="1005"/>
      <c r="BW93" s="1005"/>
      <c r="BX93" s="1005"/>
      <c r="BY93" s="1005"/>
      <c r="BZ93" s="1005"/>
      <c r="CA93" s="1005"/>
      <c r="CB93" s="1005"/>
      <c r="CC93" s="1005"/>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c r="EC93" s="1005"/>
      <c r="ED93" s="1005"/>
      <c r="EE93" s="1005"/>
      <c r="EF93" s="1005"/>
      <c r="EG93" s="1005"/>
      <c r="EH93" s="1005"/>
      <c r="EI93" s="1005"/>
      <c r="EJ93" s="1005"/>
      <c r="EK93" s="1005"/>
      <c r="EL93" s="1005"/>
      <c r="EM93" s="1005"/>
      <c r="EN93" s="1005"/>
      <c r="EO93" s="1005"/>
      <c r="EP93" s="1005"/>
      <c r="EQ93" s="1005"/>
      <c r="ER93" s="1005"/>
      <c r="ES93" s="1005"/>
      <c r="ET93" s="1005"/>
      <c r="EU93" s="1005"/>
      <c r="EV93" s="1005"/>
      <c r="EW93" s="1005"/>
      <c r="EX93" s="1005"/>
      <c r="EY93" s="1005"/>
      <c r="EZ93" s="1005"/>
      <c r="FA93" s="1005"/>
      <c r="FB93" s="1005"/>
      <c r="FC93" s="1005"/>
      <c r="FD93" s="1005"/>
      <c r="FE93" s="1005"/>
      <c r="FF93" s="1005"/>
      <c r="FG93" s="1005"/>
      <c r="FH93" s="1005"/>
      <c r="FI93" s="1005"/>
      <c r="FJ93" s="1005"/>
      <c r="FK93" s="1005"/>
      <c r="FL93" s="1005"/>
      <c r="FM93" s="1005"/>
      <c r="FN93" s="1005"/>
      <c r="FO93" s="1005"/>
      <c r="FP93" s="1005"/>
      <c r="FQ93" s="1005"/>
      <c r="FR93" s="1005"/>
      <c r="FS93" s="1005"/>
      <c r="FT93" s="1005"/>
      <c r="FU93" s="1005"/>
      <c r="FV93" s="1005"/>
      <c r="FW93" s="1005"/>
      <c r="FX93" s="1005"/>
      <c r="FY93" s="1005"/>
      <c r="FZ93" s="1005"/>
      <c r="GA93" s="1005"/>
      <c r="GB93" s="1005"/>
      <c r="GC93" s="1005"/>
      <c r="GD93" s="1005"/>
      <c r="GE93" s="1005"/>
      <c r="GF93" s="1005"/>
      <c r="GG93" s="1005"/>
      <c r="GH93" s="1005"/>
      <c r="GI93" s="1005"/>
      <c r="GJ93" s="1005"/>
      <c r="GK93" s="1005"/>
      <c r="GL93" s="1005"/>
      <c r="GM93" s="1005"/>
      <c r="GN93" s="1005"/>
      <c r="GO93" s="1005"/>
      <c r="GP93" s="1005"/>
      <c r="GQ93" s="1005"/>
      <c r="GR93" s="1005"/>
      <c r="GS93" s="1005"/>
      <c r="GT93" s="1005"/>
      <c r="GU93" s="1005"/>
      <c r="GV93" s="1005"/>
      <c r="GW93" s="1005"/>
      <c r="GX93" s="1005"/>
      <c r="GY93" s="1005"/>
      <c r="GZ93" s="1005"/>
      <c r="HA93" s="1005"/>
      <c r="HB93" s="1005"/>
      <c r="HC93" s="1005"/>
      <c r="HD93" s="1005"/>
      <c r="HE93" s="1005"/>
      <c r="HF93" s="1005"/>
      <c r="HG93" s="1005"/>
      <c r="HH93" s="1005"/>
      <c r="HI93" s="1005"/>
      <c r="HJ93" s="1005"/>
      <c r="HK93" s="1005"/>
      <c r="HL93" s="1005"/>
      <c r="HM93" s="1005"/>
      <c r="HN93" s="1005"/>
      <c r="HO93" s="1005"/>
      <c r="HP93" s="1005"/>
      <c r="HQ93" s="1005"/>
      <c r="HR93" s="1005"/>
      <c r="HS93" s="1005"/>
      <c r="HT93" s="1005"/>
      <c r="HU93" s="1005"/>
      <c r="HV93" s="1005"/>
      <c r="HW93" s="1005"/>
      <c r="HX93" s="1005"/>
      <c r="HY93" s="1005"/>
      <c r="HZ93" s="1005"/>
      <c r="IA93" s="1005"/>
      <c r="IB93" s="1005"/>
      <c r="IC93" s="1005"/>
      <c r="ID93" s="1005"/>
      <c r="IE93" s="1005"/>
      <c r="IF93" s="1005"/>
      <c r="IG93" s="1005"/>
      <c r="IH93" s="1005"/>
      <c r="II93" s="1005"/>
      <c r="IJ93" s="1005"/>
      <c r="IK93" s="1005"/>
      <c r="IL93" s="1005"/>
      <c r="IM93" s="1005"/>
      <c r="IN93" s="1005"/>
      <c r="IO93" s="1005"/>
      <c r="IP93" s="1005"/>
      <c r="IQ93" s="1005"/>
      <c r="IR93" s="1005"/>
      <c r="IS93" s="1005"/>
      <c r="IT93" s="1005"/>
      <c r="IU93" s="1005"/>
      <c r="IV93" s="1005"/>
      <c r="IW93" s="1005"/>
      <c r="IX93" s="1005"/>
      <c r="IY93" s="1005"/>
      <c r="IZ93" s="1005"/>
      <c r="JA93" s="1005"/>
      <c r="JB93" s="1005"/>
      <c r="JC93" s="1005"/>
      <c r="JD93" s="1005"/>
      <c r="JE93" s="1005"/>
      <c r="JF93" s="1005"/>
      <c r="JG93" s="1005"/>
      <c r="JH93" s="1005"/>
      <c r="JI93" s="1005"/>
      <c r="JJ93" s="1005"/>
      <c r="JK93" s="1005"/>
      <c r="JL93" s="1005"/>
      <c r="JM93" s="1005"/>
      <c r="JN93" s="1005"/>
      <c r="JO93" s="1005"/>
      <c r="JP93" s="1005"/>
      <c r="JQ93" s="1005"/>
      <c r="JR93" s="1005"/>
      <c r="JS93" s="1005"/>
      <c r="JT93" s="1005"/>
      <c r="JU93" s="1005"/>
      <c r="JV93" s="1005"/>
      <c r="JW93" s="1005"/>
      <c r="JX93" s="1005"/>
      <c r="JY93" s="1005"/>
      <c r="JZ93" s="1005"/>
      <c r="KA93" s="1005"/>
      <c r="KB93" s="1005"/>
      <c r="KC93" s="1005"/>
      <c r="KD93" s="1005"/>
      <c r="KE93" s="1005"/>
      <c r="KF93" s="1005"/>
      <c r="KG93" s="1005"/>
      <c r="KH93" s="1005"/>
      <c r="KI93" s="1005"/>
      <c r="KJ93" s="1005"/>
      <c r="KK93" s="1005"/>
      <c r="KL93" s="1005"/>
      <c r="KM93" s="1005"/>
      <c r="KN93" s="1005"/>
      <c r="KO93" s="1005"/>
      <c r="KP93" s="1005"/>
      <c r="KQ93" s="1005"/>
      <c r="KR93" s="1005"/>
      <c r="KS93" s="1005"/>
      <c r="KT93" s="1005"/>
      <c r="KU93" s="1005"/>
      <c r="KV93" s="1005"/>
      <c r="KW93" s="1005"/>
      <c r="KX93" s="1005"/>
      <c r="KY93" s="1005"/>
      <c r="KZ93" s="1005"/>
      <c r="LA93" s="1005"/>
      <c r="LB93" s="1005"/>
      <c r="LC93" s="1005"/>
      <c r="LD93" s="1005"/>
      <c r="LE93" s="1005"/>
      <c r="LF93" s="1005"/>
      <c r="LG93" s="1005"/>
      <c r="LH93" s="1005"/>
      <c r="LI93" s="1005"/>
      <c r="LJ93" s="1005"/>
      <c r="LK93" s="1005"/>
      <c r="LL93" s="1005"/>
      <c r="LM93" s="1005"/>
      <c r="LN93" s="1005"/>
      <c r="LO93" s="1005"/>
      <c r="LP93" s="1005"/>
      <c r="LQ93" s="1005"/>
      <c r="LR93" s="1005"/>
      <c r="LS93" s="1005"/>
      <c r="LT93" s="1005"/>
      <c r="LU93" s="1005"/>
      <c r="LV93" s="1005"/>
      <c r="LW93" s="1005"/>
      <c r="LX93" s="1005"/>
      <c r="LY93" s="1005"/>
      <c r="LZ93" s="1005"/>
      <c r="MA93" s="1005"/>
      <c r="MB93" s="1005"/>
      <c r="MC93" s="1005"/>
      <c r="MD93" s="1005"/>
      <c r="ME93" s="1005"/>
      <c r="MF93" s="1005"/>
      <c r="MG93" s="1005"/>
      <c r="MH93" s="1005"/>
      <c r="MI93" s="1005"/>
      <c r="MJ93" s="1005"/>
      <c r="MK93" s="1005"/>
      <c r="ML93" s="1005"/>
      <c r="MM93" s="1005"/>
      <c r="MN93" s="1005"/>
      <c r="MO93" s="1005"/>
      <c r="MP93" s="1005"/>
      <c r="MQ93" s="1005"/>
      <c r="MR93" s="1005"/>
      <c r="MS93" s="1005"/>
      <c r="MT93" s="1005"/>
      <c r="MU93" s="1005"/>
      <c r="MV93" s="1005"/>
      <c r="MW93" s="1005"/>
      <c r="MX93" s="1005"/>
      <c r="MY93" s="1005"/>
      <c r="MZ93" s="1005"/>
      <c r="NA93" s="1005"/>
      <c r="NB93" s="1005"/>
      <c r="NC93" s="1005"/>
      <c r="ND93" s="1005"/>
      <c r="NE93" s="1005"/>
      <c r="NF93" s="1005"/>
      <c r="NG93" s="1005"/>
      <c r="NH93" s="1005"/>
      <c r="NI93" s="1005"/>
      <c r="NJ93" s="1005"/>
      <c r="NK93" s="1005"/>
      <c r="NL93" s="1005"/>
      <c r="NM93" s="1005"/>
      <c r="NN93" s="1005"/>
      <c r="NO93" s="1005"/>
      <c r="NP93" s="1005"/>
      <c r="NQ93" s="1005"/>
      <c r="NR93" s="1005"/>
      <c r="NS93" s="1005"/>
      <c r="NT93" s="1005"/>
      <c r="NU93" s="1005"/>
      <c r="NV93" s="1005"/>
      <c r="NW93" s="1005"/>
      <c r="NX93" s="1005"/>
      <c r="NY93" s="1005"/>
      <c r="NZ93" s="1005"/>
      <c r="OA93" s="1005"/>
      <c r="OB93" s="1005"/>
      <c r="OC93" s="1005"/>
      <c r="OD93" s="1005"/>
      <c r="OE93" s="1005"/>
      <c r="OF93" s="1005"/>
      <c r="OG93" s="1005"/>
      <c r="OH93" s="1005"/>
      <c r="OI93" s="1005"/>
      <c r="OJ93" s="1005"/>
      <c r="OK93" s="1005"/>
      <c r="OL93" s="1005"/>
      <c r="OM93" s="1005"/>
      <c r="ON93" s="1005"/>
      <c r="OO93" s="1005"/>
      <c r="OP93" s="1005"/>
      <c r="OQ93" s="1005"/>
      <c r="OR93" s="1005"/>
      <c r="OS93" s="1005"/>
      <c r="OT93" s="1005"/>
      <c r="OU93" s="1005"/>
      <c r="OV93" s="1005"/>
      <c r="OW93" s="1005"/>
      <c r="OX93" s="1005"/>
      <c r="OY93" s="1005"/>
      <c r="OZ93" s="1005"/>
      <c r="PA93" s="1005"/>
      <c r="PB93" s="1005"/>
      <c r="PC93" s="1005"/>
      <c r="PD93" s="1005"/>
      <c r="PE93" s="1005"/>
      <c r="PF93" s="1005"/>
      <c r="PG93" s="1005"/>
      <c r="PH93" s="1005"/>
      <c r="PI93" s="1005"/>
      <c r="PJ93" s="1005"/>
      <c r="PK93" s="1005"/>
      <c r="PL93" s="1005"/>
      <c r="PM93" s="1005"/>
      <c r="PN93" s="1005"/>
      <c r="PO93" s="1005"/>
      <c r="PP93" s="1005"/>
      <c r="PQ93" s="1005"/>
      <c r="PR93" s="1005"/>
      <c r="PS93" s="1005"/>
      <c r="PT93" s="1005"/>
      <c r="PU93" s="1005"/>
      <c r="PV93" s="1005"/>
      <c r="PW93" s="1005"/>
      <c r="PX93" s="1005"/>
      <c r="PY93" s="1005"/>
      <c r="PZ93" s="1005"/>
      <c r="QA93" s="1005"/>
      <c r="QB93" s="1005"/>
      <c r="QC93" s="1005"/>
      <c r="QD93" s="1005"/>
      <c r="QE93" s="1005"/>
      <c r="QF93" s="1005"/>
      <c r="QG93" s="1005"/>
      <c r="QH93" s="1005"/>
      <c r="QI93" s="1005"/>
      <c r="QJ93" s="1005"/>
      <c r="QK93" s="1005"/>
      <c r="QL93" s="1005"/>
      <c r="QM93" s="1005"/>
      <c r="QN93" s="1005"/>
      <c r="QO93" s="1005"/>
      <c r="QP93" s="1005"/>
      <c r="QQ93" s="1005"/>
      <c r="QR93" s="1005"/>
      <c r="QS93" s="1005"/>
      <c r="QT93" s="1005"/>
      <c r="QU93" s="1005"/>
      <c r="QV93" s="1005"/>
      <c r="QW93" s="1005"/>
      <c r="QX93" s="1005"/>
      <c r="QY93" s="1005"/>
      <c r="QZ93" s="1005"/>
      <c r="RA93" s="1005"/>
      <c r="RB93" s="1005"/>
      <c r="RC93" s="1005"/>
      <c r="RD93" s="1005"/>
      <c r="RE93" s="1005"/>
      <c r="RF93" s="1005"/>
      <c r="RG93" s="1005"/>
      <c r="RH93" s="1005"/>
      <c r="RI93" s="1005"/>
      <c r="RJ93" s="1005"/>
      <c r="RK93" s="1005"/>
      <c r="RL93" s="1005"/>
      <c r="RM93" s="1005"/>
      <c r="RN93" s="1005"/>
      <c r="RO93" s="1005"/>
      <c r="RP93" s="1005"/>
      <c r="RQ93" s="1005"/>
      <c r="RR93" s="1005"/>
      <c r="RS93" s="1005"/>
      <c r="RT93" s="1005"/>
      <c r="RU93" s="1005"/>
      <c r="RV93" s="1005"/>
      <c r="RW93" s="1005"/>
      <c r="RX93" s="1005"/>
      <c r="RY93" s="1005"/>
      <c r="RZ93" s="1005"/>
      <c r="SA93" s="1005"/>
      <c r="SB93" s="1005"/>
      <c r="SC93" s="1005"/>
      <c r="SD93" s="1005"/>
      <c r="SE93" s="1005"/>
      <c r="SF93" s="1005"/>
      <c r="SG93" s="1005"/>
      <c r="SH93" s="1005"/>
      <c r="SI93" s="1005"/>
      <c r="SJ93" s="1005"/>
      <c r="SK93" s="1005"/>
      <c r="SL93" s="1005"/>
      <c r="SM93" s="1005"/>
      <c r="SN93" s="1005"/>
      <c r="SO93" s="1005"/>
      <c r="SP93" s="1005"/>
      <c r="SQ93" s="1005"/>
      <c r="SR93" s="1005"/>
      <c r="SS93" s="1005"/>
      <c r="ST93" s="1005"/>
      <c r="SU93" s="1005"/>
      <c r="SV93" s="1005"/>
      <c r="SW93" s="1005"/>
      <c r="SX93" s="1005"/>
      <c r="SY93" s="1005"/>
      <c r="SZ93" s="1005"/>
      <c r="TA93" s="1005"/>
      <c r="TB93" s="1005"/>
      <c r="TC93" s="1005"/>
      <c r="TD93" s="1005"/>
      <c r="TE93" s="1005"/>
      <c r="TF93" s="1005"/>
      <c r="TG93" s="1005"/>
      <c r="TH93" s="1005"/>
      <c r="TI93" s="1005"/>
      <c r="TJ93" s="1005"/>
      <c r="TK93" s="1005"/>
      <c r="TL93" s="1005"/>
      <c r="TM93" s="1005"/>
      <c r="TN93" s="1005"/>
      <c r="TO93" s="1005"/>
      <c r="TP93" s="1005"/>
      <c r="TQ93" s="1005"/>
      <c r="TR93" s="1005"/>
      <c r="TS93" s="1005"/>
      <c r="TT93" s="1005"/>
      <c r="TU93" s="1005"/>
      <c r="TV93" s="1005"/>
      <c r="TW93" s="1005"/>
      <c r="TX93" s="1005"/>
      <c r="TY93" s="1005"/>
      <c r="TZ93" s="1005"/>
      <c r="UA93" s="1005"/>
      <c r="UB93" s="1005"/>
      <c r="UC93" s="1005"/>
      <c r="UD93" s="1005"/>
      <c r="UE93" s="1005"/>
      <c r="UF93" s="1005"/>
      <c r="UG93" s="1005"/>
      <c r="UH93" s="1005"/>
      <c r="UI93" s="1005"/>
      <c r="UJ93" s="1005"/>
      <c r="UK93" s="1005"/>
      <c r="UL93" s="1005"/>
      <c r="UM93" s="1005"/>
      <c r="UN93" s="1005"/>
      <c r="UO93" s="1005"/>
      <c r="UP93" s="1005"/>
      <c r="UQ93" s="1005"/>
      <c r="UR93" s="1005"/>
      <c r="US93" s="1005"/>
      <c r="UT93" s="1005"/>
      <c r="UU93" s="1005"/>
      <c r="UV93" s="1005"/>
      <c r="UW93" s="1005"/>
      <c r="UX93" s="1005"/>
      <c r="UY93" s="1005"/>
      <c r="UZ93" s="1005"/>
      <c r="VA93" s="1005"/>
      <c r="VB93" s="1005"/>
      <c r="VC93" s="1005"/>
      <c r="VD93" s="1005"/>
      <c r="VE93" s="1005"/>
      <c r="VF93" s="1005"/>
      <c r="VG93" s="1005"/>
      <c r="VH93" s="1005"/>
      <c r="VI93" s="1005"/>
      <c r="VJ93" s="1005"/>
      <c r="VK93" s="1005"/>
      <c r="VL93" s="1005"/>
      <c r="VM93" s="1005"/>
      <c r="VN93" s="1005"/>
      <c r="VO93" s="1005"/>
      <c r="VP93" s="1005"/>
      <c r="VQ93" s="1005"/>
      <c r="VR93" s="1005"/>
      <c r="VS93" s="1005"/>
      <c r="VT93" s="1005"/>
      <c r="VU93" s="1005"/>
      <c r="VV93" s="1005"/>
      <c r="VW93" s="1005"/>
      <c r="VX93" s="1005"/>
      <c r="VY93" s="1005"/>
      <c r="VZ93" s="1005"/>
      <c r="WA93" s="1005"/>
      <c r="WB93" s="1005"/>
      <c r="WC93" s="1005"/>
      <c r="WD93" s="1005"/>
      <c r="WE93" s="1005"/>
      <c r="WF93" s="1005"/>
      <c r="WG93" s="1005"/>
      <c r="WH93" s="1005"/>
      <c r="WI93" s="1005"/>
      <c r="WJ93" s="1005"/>
      <c r="WK93" s="1005"/>
      <c r="WL93" s="1005"/>
      <c r="WM93" s="1005"/>
      <c r="WN93" s="1005"/>
      <c r="WO93" s="1005"/>
      <c r="WP93" s="1005"/>
      <c r="WQ93" s="1005"/>
      <c r="WR93" s="1005"/>
      <c r="WS93" s="1005"/>
      <c r="WT93" s="1005"/>
      <c r="WU93" s="1005"/>
      <c r="WV93" s="1005"/>
      <c r="WW93" s="1005"/>
      <c r="WX93" s="1005"/>
      <c r="WY93" s="1005"/>
      <c r="WZ93" s="1005"/>
      <c r="XA93" s="1005"/>
      <c r="XB93" s="1005"/>
      <c r="XC93" s="1005"/>
      <c r="XD93" s="1005"/>
      <c r="XE93" s="1005"/>
      <c r="XF93" s="1005"/>
      <c r="XG93" s="1005"/>
      <c r="XH93" s="1005"/>
      <c r="XI93" s="1005"/>
      <c r="XJ93" s="1005"/>
      <c r="XK93" s="1005"/>
      <c r="XL93" s="1005"/>
      <c r="XM93" s="1005"/>
      <c r="XN93" s="1005"/>
      <c r="XO93" s="1005"/>
      <c r="XP93" s="1005"/>
      <c r="XQ93" s="1005"/>
      <c r="XR93" s="1005"/>
      <c r="XS93" s="1005"/>
      <c r="XT93" s="1005"/>
      <c r="XU93" s="1005"/>
      <c r="XV93" s="1005"/>
      <c r="XW93" s="1005"/>
      <c r="XX93" s="1005"/>
      <c r="XY93" s="1005"/>
      <c r="XZ93" s="1005"/>
      <c r="YA93" s="1005"/>
      <c r="YB93" s="1005"/>
      <c r="YC93" s="1005"/>
      <c r="YD93" s="1005"/>
      <c r="YE93" s="1005"/>
      <c r="YF93" s="1005"/>
      <c r="YG93" s="1005"/>
      <c r="YH93" s="1005"/>
      <c r="YI93" s="1005"/>
      <c r="YJ93" s="1005"/>
      <c r="YK93" s="1005"/>
      <c r="YL93" s="1005"/>
      <c r="YM93" s="1005"/>
      <c r="YN93" s="1005"/>
      <c r="YO93" s="1005"/>
      <c r="YP93" s="1005"/>
      <c r="YQ93" s="1005"/>
      <c r="YR93" s="1005"/>
      <c r="YS93" s="1005"/>
      <c r="YT93" s="1005"/>
      <c r="YU93" s="1005"/>
      <c r="YV93" s="1005"/>
      <c r="YW93" s="1005"/>
      <c r="YX93" s="1005"/>
      <c r="YY93" s="1005"/>
      <c r="YZ93" s="1005"/>
      <c r="ZA93" s="1005"/>
      <c r="ZB93" s="1005"/>
      <c r="ZC93" s="1005"/>
      <c r="ZD93" s="1005"/>
      <c r="ZE93" s="1005"/>
      <c r="ZF93" s="1005"/>
      <c r="ZG93" s="1005"/>
      <c r="ZH93" s="1005"/>
      <c r="ZI93" s="1005"/>
      <c r="ZJ93" s="1005"/>
      <c r="ZK93" s="1005"/>
      <c r="ZL93" s="1005"/>
      <c r="ZM93" s="1005"/>
      <c r="ZN93" s="1005"/>
      <c r="ZO93" s="1005"/>
      <c r="ZP93" s="1005"/>
      <c r="ZQ93" s="1005"/>
      <c r="ZR93" s="1005"/>
      <c r="ZS93" s="1005"/>
      <c r="ZT93" s="1005"/>
      <c r="ZU93" s="1005"/>
      <c r="ZV93" s="1005"/>
      <c r="ZW93" s="1005"/>
      <c r="ZX93" s="1005"/>
      <c r="ZY93" s="1005"/>
      <c r="ZZ93" s="1005"/>
      <c r="AAA93" s="1005"/>
      <c r="AAB93" s="1005"/>
      <c r="AAC93" s="1005"/>
      <c r="AAD93" s="1005"/>
      <c r="AAE93" s="1005"/>
      <c r="AAF93" s="1005"/>
      <c r="AAG93" s="1005"/>
      <c r="AAH93" s="1005"/>
      <c r="AAI93" s="1005"/>
      <c r="AAJ93" s="1005"/>
      <c r="AAK93" s="1005"/>
      <c r="AAL93" s="1005"/>
      <c r="AAM93" s="1005"/>
      <c r="AAN93" s="1005"/>
      <c r="AAO93" s="1005"/>
      <c r="AAP93" s="1005"/>
      <c r="AAQ93" s="1005"/>
      <c r="AAR93" s="1005"/>
      <c r="AAS93" s="1005"/>
      <c r="AAT93" s="1005"/>
      <c r="AAU93" s="1005"/>
      <c r="AAV93" s="1005"/>
      <c r="AAW93" s="1005"/>
      <c r="AAX93" s="1005"/>
      <c r="AAY93" s="1005"/>
      <c r="AAZ93" s="1005"/>
      <c r="ABA93" s="1005"/>
      <c r="ABB93" s="1005"/>
      <c r="ABC93" s="1005"/>
      <c r="ABD93" s="1005"/>
      <c r="ABE93" s="1005"/>
      <c r="ABF93" s="1005"/>
      <c r="ABG93" s="1005"/>
      <c r="ABH93" s="1005"/>
      <c r="ABI93" s="1005"/>
      <c r="ABJ93" s="1005"/>
      <c r="ABK93" s="1005"/>
      <c r="ABL93" s="1005"/>
      <c r="ABM93" s="1005"/>
      <c r="ABN93" s="1005"/>
      <c r="ABO93" s="1005"/>
      <c r="ABP93" s="1005"/>
      <c r="ABQ93" s="1005"/>
      <c r="ABR93" s="1005"/>
    </row>
    <row r="94" spans="1:746" s="1" customFormat="1" ht="12.9" hidden="1" customHeight="1">
      <c r="A94" s="1253"/>
      <c r="B94" s="1261" t="s">
        <v>1046</v>
      </c>
      <c r="C94" s="1262"/>
      <c r="D94" s="1268"/>
      <c r="E94" s="1884">
        <v>0.31419999999999998</v>
      </c>
      <c r="F94" s="1853"/>
      <c r="G94" s="1889">
        <v>0.3</v>
      </c>
      <c r="H94" s="2168">
        <f t="shared" si="15"/>
        <v>0.7</v>
      </c>
      <c r="I94" s="1966"/>
      <c r="J94" s="809"/>
      <c r="K94" s="809"/>
      <c r="L94" s="809"/>
      <c r="M94" s="809"/>
      <c r="N94" s="809"/>
      <c r="O94" s="809"/>
      <c r="P94" s="809"/>
      <c r="Q94" s="809"/>
      <c r="R94" s="809"/>
      <c r="S94" s="809"/>
      <c r="T94" s="809"/>
      <c r="U94" s="1885"/>
      <c r="V94" s="1885"/>
      <c r="W94" s="1885"/>
      <c r="X94" s="1885"/>
      <c r="Y94" s="1885"/>
      <c r="Z94" s="1885"/>
      <c r="AA94" s="1885"/>
      <c r="AB94" s="1885"/>
      <c r="AC94" s="1885"/>
      <c r="AD94" s="1885"/>
      <c r="AE94" s="1885"/>
      <c r="AF94" s="1885"/>
      <c r="AG94" s="2203"/>
      <c r="AH94" s="359"/>
      <c r="AI94" s="359"/>
      <c r="AJ94" s="1854">
        <f>IF(fx!$C$57=1,SUMIF(fx!I$57:T$57,1,I94:T94),IF(fx!$C$57=2,SUMIF(fx!O$57:AF$57,1,O94:AF94)))</f>
        <v>0</v>
      </c>
      <c r="AK94" s="434"/>
      <c r="AL94" s="1855">
        <f>IF(fx!$C$57=1,SUM(U94:AF94),0)</f>
        <v>0</v>
      </c>
      <c r="AM94" s="1021"/>
      <c r="AN94" s="1018"/>
      <c r="AO94" s="1945"/>
      <c r="AP94" s="1935"/>
      <c r="AQ94" s="1936"/>
      <c r="AR94" s="1941"/>
      <c r="AS94" s="1941"/>
      <c r="AT94" s="1941"/>
      <c r="AU94" s="1941"/>
      <c r="AV94" s="1941"/>
      <c r="AW94" s="1941"/>
      <c r="AX94" s="1941"/>
      <c r="AY94" s="1941"/>
      <c r="AZ94" s="1941"/>
      <c r="BA94" s="1941"/>
      <c r="BB94" s="1941"/>
      <c r="BC94" s="1941"/>
      <c r="BD94" s="1941"/>
      <c r="BE94" s="1941"/>
      <c r="BF94" s="1941"/>
      <c r="BG94" s="1941"/>
      <c r="BH94" s="1941"/>
      <c r="BI94" s="1941"/>
      <c r="BJ94" s="1941"/>
      <c r="BK94" s="1941"/>
      <c r="BL94" s="1941"/>
      <c r="BM94" s="1941"/>
      <c r="BN94" s="1941"/>
      <c r="BO94" s="1941"/>
      <c r="BP94" s="1004"/>
      <c r="BQ94" s="1004"/>
      <c r="BR94" s="1004"/>
      <c r="BS94" s="1004"/>
      <c r="BT94" s="1004"/>
      <c r="BU94" s="1004"/>
      <c r="BV94" s="1004"/>
      <c r="BW94" s="1004"/>
      <c r="BX94" s="1004"/>
      <c r="BY94" s="1004"/>
      <c r="BZ94" s="1004"/>
      <c r="CA94" s="1004"/>
      <c r="CB94" s="1004"/>
      <c r="CC94" s="1004"/>
      <c r="CD94" s="1004"/>
      <c r="CE94" s="1004"/>
      <c r="CF94" s="1004"/>
      <c r="CG94" s="1004"/>
      <c r="CH94" s="1004"/>
      <c r="CI94" s="1004"/>
      <c r="CJ94" s="1004"/>
      <c r="CK94" s="1004"/>
      <c r="CL94" s="1004"/>
      <c r="CM94" s="1004"/>
      <c r="CN94" s="1004"/>
      <c r="CO94" s="1004"/>
      <c r="CP94" s="1004"/>
      <c r="CQ94" s="1004"/>
      <c r="CR94" s="1004"/>
      <c r="CS94" s="1004"/>
      <c r="CT94" s="1004"/>
      <c r="CU94" s="1004"/>
      <c r="CV94" s="1004"/>
      <c r="CW94" s="1004"/>
      <c r="CX94" s="1004"/>
      <c r="CY94" s="1004"/>
      <c r="CZ94" s="1004"/>
      <c r="DA94" s="1004"/>
      <c r="DB94" s="1004"/>
      <c r="DC94" s="1004"/>
      <c r="DD94" s="1004"/>
      <c r="DE94" s="1004"/>
      <c r="DF94" s="1004"/>
      <c r="DG94" s="1004"/>
      <c r="DH94" s="1004"/>
      <c r="DI94" s="1004"/>
      <c r="DJ94" s="1004"/>
      <c r="DK94" s="1004"/>
      <c r="DL94" s="1004"/>
      <c r="DM94" s="1004"/>
      <c r="DN94" s="1004"/>
      <c r="DO94" s="1004"/>
      <c r="DP94" s="1004"/>
      <c r="DQ94" s="1004"/>
      <c r="DR94" s="1004"/>
      <c r="DS94" s="1004"/>
      <c r="DT94" s="1004"/>
      <c r="DU94" s="1004"/>
      <c r="DV94" s="1004"/>
      <c r="DW94" s="1004"/>
      <c r="DX94" s="1004"/>
      <c r="DY94" s="1004"/>
      <c r="DZ94" s="1004"/>
      <c r="EA94" s="1004"/>
      <c r="EB94" s="1004"/>
      <c r="EC94" s="1004"/>
      <c r="ED94" s="1004"/>
      <c r="EE94" s="1004"/>
      <c r="EF94" s="1004"/>
      <c r="EG94" s="1004"/>
      <c r="EH94" s="1004"/>
      <c r="EI94" s="1004"/>
      <c r="EJ94" s="1004"/>
      <c r="EK94" s="1004"/>
      <c r="EL94" s="1004"/>
      <c r="EM94" s="1004"/>
      <c r="EN94" s="1004"/>
      <c r="EO94" s="1004"/>
      <c r="EP94" s="1004"/>
      <c r="EQ94" s="1004"/>
      <c r="ER94" s="1004"/>
      <c r="ES94" s="1004"/>
      <c r="ET94" s="1004"/>
      <c r="EU94" s="1004"/>
      <c r="EV94" s="1004"/>
      <c r="EW94" s="1004"/>
      <c r="EX94" s="1004"/>
      <c r="EY94" s="1004"/>
      <c r="EZ94" s="1004"/>
      <c r="FA94" s="1004"/>
      <c r="FB94" s="1004"/>
      <c r="FC94" s="1004"/>
      <c r="FD94" s="1004"/>
      <c r="FE94" s="1004"/>
      <c r="FF94" s="1004"/>
      <c r="FG94" s="1004"/>
      <c r="FH94" s="1004"/>
      <c r="FI94" s="1004"/>
      <c r="FJ94" s="1004"/>
      <c r="FK94" s="1004"/>
      <c r="FL94" s="1004"/>
      <c r="FM94" s="1004"/>
      <c r="FN94" s="1004"/>
      <c r="FO94" s="1004"/>
      <c r="FP94" s="1004"/>
      <c r="FQ94" s="1004"/>
      <c r="FR94" s="1004"/>
      <c r="FS94" s="1004"/>
      <c r="FT94" s="1004"/>
      <c r="FU94" s="1004"/>
      <c r="FV94" s="1004"/>
      <c r="FW94" s="1004"/>
      <c r="FX94" s="1004"/>
      <c r="FY94" s="1004"/>
      <c r="FZ94" s="1004"/>
      <c r="GA94" s="1004"/>
      <c r="GB94" s="1004"/>
      <c r="GC94" s="1004"/>
      <c r="GD94" s="1004"/>
      <c r="GE94" s="1004"/>
      <c r="GF94" s="1004"/>
      <c r="GG94" s="1004"/>
      <c r="GH94" s="1004"/>
      <c r="GI94" s="1004"/>
      <c r="GJ94" s="1004"/>
      <c r="GK94" s="1004"/>
      <c r="GL94" s="1004"/>
      <c r="GM94" s="1004"/>
      <c r="GN94" s="1004"/>
      <c r="GO94" s="1004"/>
      <c r="GP94" s="1004"/>
      <c r="GQ94" s="1004"/>
      <c r="GR94" s="1004"/>
      <c r="GS94" s="1004"/>
      <c r="GT94" s="1004"/>
      <c r="GU94" s="1004"/>
      <c r="GV94" s="1004"/>
      <c r="GW94" s="1004"/>
      <c r="GX94" s="1004"/>
      <c r="GY94" s="1004"/>
      <c r="GZ94" s="1004"/>
      <c r="HA94" s="1004"/>
      <c r="HB94" s="1004"/>
      <c r="HC94" s="1004"/>
      <c r="HD94" s="1004"/>
      <c r="HE94" s="1004"/>
      <c r="HF94" s="1004"/>
      <c r="HG94" s="1004"/>
      <c r="HH94" s="1004"/>
      <c r="HI94" s="1004"/>
      <c r="HJ94" s="1004"/>
      <c r="HK94" s="1004"/>
      <c r="HL94" s="1004"/>
      <c r="HM94" s="1004"/>
      <c r="HN94" s="1004"/>
      <c r="HO94" s="1004"/>
      <c r="HP94" s="1004"/>
      <c r="HQ94" s="1004"/>
      <c r="HR94" s="1004"/>
      <c r="HS94" s="1004"/>
      <c r="HT94" s="1004"/>
      <c r="HU94" s="1004"/>
      <c r="HV94" s="1004"/>
      <c r="HW94" s="1004"/>
      <c r="HX94" s="1004"/>
      <c r="HY94" s="1004"/>
      <c r="HZ94" s="1004"/>
      <c r="IA94" s="1004"/>
      <c r="IB94" s="1004"/>
      <c r="IC94" s="1004"/>
      <c r="ID94" s="1004"/>
      <c r="IE94" s="1004"/>
      <c r="IF94" s="1004"/>
      <c r="IG94" s="1004"/>
      <c r="IH94" s="1004"/>
      <c r="II94" s="1004"/>
      <c r="IJ94" s="1004"/>
      <c r="IK94" s="1004"/>
      <c r="IL94" s="1004"/>
      <c r="IM94" s="1004"/>
      <c r="IN94" s="1004"/>
      <c r="IO94" s="1004"/>
      <c r="IP94" s="1004"/>
      <c r="IQ94" s="1004"/>
      <c r="IR94" s="1004"/>
      <c r="IS94" s="1004"/>
      <c r="IT94" s="1004"/>
      <c r="IU94" s="1004"/>
      <c r="IV94" s="1004"/>
      <c r="IW94" s="1004"/>
      <c r="IX94" s="1004"/>
      <c r="IY94" s="1004"/>
      <c r="IZ94" s="1004"/>
      <c r="JA94" s="1004"/>
      <c r="JB94" s="1004"/>
      <c r="JC94" s="1004"/>
      <c r="JD94" s="1004"/>
      <c r="JE94" s="1004"/>
      <c r="JF94" s="1004"/>
      <c r="JG94" s="1004"/>
      <c r="JH94" s="1004"/>
      <c r="JI94" s="1004"/>
      <c r="JJ94" s="1004"/>
      <c r="JK94" s="1004"/>
      <c r="JL94" s="1004"/>
      <c r="JM94" s="1004"/>
      <c r="JN94" s="1004"/>
      <c r="JO94" s="1004"/>
      <c r="JP94" s="1004"/>
      <c r="JQ94" s="1004"/>
      <c r="JR94" s="1004"/>
      <c r="JS94" s="1004"/>
      <c r="JT94" s="1004"/>
      <c r="JU94" s="1004"/>
      <c r="JV94" s="1004"/>
      <c r="JW94" s="1004"/>
      <c r="JX94" s="1004"/>
      <c r="JY94" s="1004"/>
      <c r="JZ94" s="1004"/>
      <c r="KA94" s="1004"/>
      <c r="KB94" s="1004"/>
      <c r="KC94" s="1004"/>
      <c r="KD94" s="1004"/>
      <c r="KE94" s="1004"/>
      <c r="KF94" s="1004"/>
      <c r="KG94" s="1004"/>
      <c r="KH94" s="1004"/>
      <c r="KI94" s="1004"/>
      <c r="KJ94" s="1004"/>
      <c r="KK94" s="1004"/>
      <c r="KL94" s="1004"/>
      <c r="KM94" s="1004"/>
      <c r="KN94" s="1004"/>
      <c r="KO94" s="1004"/>
      <c r="KP94" s="1004"/>
      <c r="KQ94" s="1004"/>
      <c r="KR94" s="1004"/>
      <c r="KS94" s="1004"/>
      <c r="KT94" s="1004"/>
      <c r="KU94" s="1004"/>
      <c r="KV94" s="1004"/>
      <c r="KW94" s="1004"/>
      <c r="KX94" s="1004"/>
      <c r="KY94" s="1004"/>
      <c r="KZ94" s="1004"/>
      <c r="LA94" s="1004"/>
      <c r="LB94" s="1004"/>
      <c r="LC94" s="1004"/>
      <c r="LD94" s="1004"/>
      <c r="LE94" s="1004"/>
      <c r="LF94" s="1004"/>
      <c r="LG94" s="1004"/>
      <c r="LH94" s="1004"/>
      <c r="LI94" s="1004"/>
      <c r="LJ94" s="1004"/>
      <c r="LK94" s="1004"/>
      <c r="LL94" s="1004"/>
      <c r="LM94" s="1004"/>
      <c r="LN94" s="1004"/>
      <c r="LO94" s="1004"/>
      <c r="LP94" s="1004"/>
      <c r="LQ94" s="1004"/>
      <c r="LR94" s="1004"/>
      <c r="LS94" s="1004"/>
      <c r="LT94" s="1004"/>
      <c r="LU94" s="1004"/>
      <c r="LV94" s="1004"/>
      <c r="LW94" s="1004"/>
      <c r="LX94" s="1004"/>
      <c r="LY94" s="1004"/>
      <c r="LZ94" s="1004"/>
      <c r="MA94" s="1004"/>
      <c r="MB94" s="1004"/>
      <c r="MC94" s="1004"/>
      <c r="MD94" s="1004"/>
      <c r="ME94" s="1004"/>
      <c r="MF94" s="1004"/>
      <c r="MG94" s="1004"/>
      <c r="MH94" s="1004"/>
      <c r="MI94" s="1004"/>
      <c r="MJ94" s="1004"/>
      <c r="MK94" s="1004"/>
      <c r="ML94" s="1004"/>
      <c r="MM94" s="1004"/>
      <c r="MN94" s="1004"/>
      <c r="MO94" s="1004"/>
      <c r="MP94" s="1004"/>
      <c r="MQ94" s="1004"/>
      <c r="MR94" s="1004"/>
      <c r="MS94" s="1004"/>
      <c r="MT94" s="1004"/>
      <c r="MU94" s="1004"/>
      <c r="MV94" s="1004"/>
      <c r="MW94" s="1004"/>
      <c r="MX94" s="1004"/>
      <c r="MY94" s="1004"/>
      <c r="MZ94" s="1004"/>
      <c r="NA94" s="1004"/>
      <c r="NB94" s="1004"/>
      <c r="NC94" s="1004"/>
      <c r="ND94" s="1004"/>
      <c r="NE94" s="1004"/>
      <c r="NF94" s="1004"/>
      <c r="NG94" s="1004"/>
      <c r="NH94" s="1004"/>
      <c r="NI94" s="1004"/>
      <c r="NJ94" s="1004"/>
      <c r="NK94" s="1004"/>
      <c r="NL94" s="1004"/>
      <c r="NM94" s="1004"/>
      <c r="NN94" s="1004"/>
      <c r="NO94" s="1004"/>
      <c r="NP94" s="1004"/>
      <c r="NQ94" s="1004"/>
      <c r="NR94" s="1004"/>
      <c r="NS94" s="1004"/>
      <c r="NT94" s="1004"/>
      <c r="NU94" s="1004"/>
      <c r="NV94" s="1004"/>
      <c r="NW94" s="1004"/>
      <c r="NX94" s="1004"/>
      <c r="NY94" s="1004"/>
      <c r="NZ94" s="1004"/>
      <c r="OA94" s="1004"/>
      <c r="OB94" s="1004"/>
      <c r="OC94" s="1004"/>
      <c r="OD94" s="1004"/>
      <c r="OE94" s="1004"/>
      <c r="OF94" s="1004"/>
      <c r="OG94" s="1004"/>
      <c r="OH94" s="1004"/>
      <c r="OI94" s="1004"/>
      <c r="OJ94" s="1004"/>
      <c r="OK94" s="1004"/>
      <c r="OL94" s="1004"/>
      <c r="OM94" s="1004"/>
      <c r="ON94" s="1004"/>
      <c r="OO94" s="1004"/>
      <c r="OP94" s="1004"/>
      <c r="OQ94" s="1004"/>
      <c r="OR94" s="1004"/>
      <c r="OS94" s="1004"/>
      <c r="OT94" s="1004"/>
      <c r="OU94" s="1004"/>
      <c r="OV94" s="1004"/>
      <c r="OW94" s="1004"/>
      <c r="OX94" s="1004"/>
      <c r="OY94" s="1004"/>
      <c r="OZ94" s="1004"/>
      <c r="PA94" s="1004"/>
      <c r="PB94" s="1004"/>
      <c r="PC94" s="1004"/>
      <c r="PD94" s="1004"/>
      <c r="PE94" s="1004"/>
      <c r="PF94" s="1004"/>
      <c r="PG94" s="1004"/>
      <c r="PH94" s="1004"/>
      <c r="PI94" s="1004"/>
      <c r="PJ94" s="1004"/>
      <c r="PK94" s="1004"/>
      <c r="PL94" s="1004"/>
      <c r="PM94" s="1004"/>
      <c r="PN94" s="1004"/>
      <c r="PO94" s="1004"/>
      <c r="PP94" s="1004"/>
      <c r="PQ94" s="1004"/>
      <c r="PR94" s="1004"/>
      <c r="PS94" s="1004"/>
      <c r="PT94" s="1004"/>
      <c r="PU94" s="1004"/>
      <c r="PV94" s="1004"/>
      <c r="PW94" s="1004"/>
      <c r="PX94" s="1004"/>
      <c r="PY94" s="1004"/>
      <c r="PZ94" s="1004"/>
      <c r="QA94" s="1004"/>
      <c r="QB94" s="1004"/>
      <c r="QC94" s="1004"/>
      <c r="QD94" s="1004"/>
      <c r="QE94" s="1004"/>
      <c r="QF94" s="1004"/>
      <c r="QG94" s="1004"/>
      <c r="QH94" s="1004"/>
      <c r="QI94" s="1004"/>
      <c r="QJ94" s="1004"/>
      <c r="QK94" s="1004"/>
      <c r="QL94" s="1004"/>
      <c r="QM94" s="1004"/>
      <c r="QN94" s="1004"/>
      <c r="QO94" s="1004"/>
      <c r="QP94" s="1004"/>
      <c r="QQ94" s="1004"/>
      <c r="QR94" s="1004"/>
      <c r="QS94" s="1004"/>
      <c r="QT94" s="1004"/>
      <c r="QU94" s="1004"/>
      <c r="QV94" s="1004"/>
      <c r="QW94" s="1004"/>
      <c r="QX94" s="1004"/>
      <c r="QY94" s="1004"/>
      <c r="QZ94" s="1004"/>
      <c r="RA94" s="1004"/>
      <c r="RB94" s="1004"/>
      <c r="RC94" s="1004"/>
      <c r="RD94" s="1004"/>
      <c r="RE94" s="1004"/>
      <c r="RF94" s="1004"/>
      <c r="RG94" s="1004"/>
      <c r="RH94" s="1004"/>
      <c r="RI94" s="1004"/>
      <c r="RJ94" s="1004"/>
      <c r="RK94" s="1004"/>
      <c r="RL94" s="1004"/>
      <c r="RM94" s="1004"/>
      <c r="RN94" s="1004"/>
      <c r="RO94" s="1004"/>
      <c r="RP94" s="1004"/>
      <c r="RQ94" s="1004"/>
      <c r="RR94" s="1004"/>
      <c r="RS94" s="1004"/>
      <c r="RT94" s="1004"/>
      <c r="RU94" s="1004"/>
      <c r="RV94" s="1004"/>
      <c r="RW94" s="1004"/>
      <c r="RX94" s="1004"/>
      <c r="RY94" s="1004"/>
      <c r="RZ94" s="1004"/>
      <c r="SA94" s="1004"/>
      <c r="SB94" s="1004"/>
      <c r="SC94" s="1004"/>
      <c r="SD94" s="1004"/>
      <c r="SE94" s="1004"/>
      <c r="SF94" s="1004"/>
      <c r="SG94" s="1004"/>
      <c r="SH94" s="1004"/>
      <c r="SI94" s="1004"/>
      <c r="SJ94" s="1004"/>
      <c r="SK94" s="1004"/>
      <c r="SL94" s="1004"/>
      <c r="SM94" s="1004"/>
      <c r="SN94" s="1004"/>
      <c r="SO94" s="1004"/>
      <c r="SP94" s="1004"/>
      <c r="SQ94" s="1004"/>
      <c r="SR94" s="1004"/>
      <c r="SS94" s="1004"/>
      <c r="ST94" s="1004"/>
      <c r="SU94" s="1004"/>
      <c r="SV94" s="1004"/>
      <c r="SW94" s="1004"/>
      <c r="SX94" s="1004"/>
      <c r="SY94" s="1004"/>
      <c r="SZ94" s="1004"/>
      <c r="TA94" s="1004"/>
      <c r="TB94" s="1004"/>
      <c r="TC94" s="1004"/>
      <c r="TD94" s="1004"/>
      <c r="TE94" s="1004"/>
      <c r="TF94" s="1004"/>
      <c r="TG94" s="1004"/>
      <c r="TH94" s="1004"/>
      <c r="TI94" s="1004"/>
      <c r="TJ94" s="1004"/>
      <c r="TK94" s="1004"/>
      <c r="TL94" s="1004"/>
      <c r="TM94" s="1004"/>
      <c r="TN94" s="1004"/>
      <c r="TO94" s="1004"/>
      <c r="TP94" s="1004"/>
      <c r="TQ94" s="1004"/>
      <c r="TR94" s="1004"/>
      <c r="TS94" s="1004"/>
      <c r="TT94" s="1004"/>
      <c r="TU94" s="1004"/>
      <c r="TV94" s="1004"/>
      <c r="TW94" s="1004"/>
      <c r="TX94" s="1004"/>
      <c r="TY94" s="1004"/>
      <c r="TZ94" s="1004"/>
      <c r="UA94" s="1004"/>
      <c r="UB94" s="1004"/>
      <c r="UC94" s="1004"/>
      <c r="UD94" s="1004"/>
      <c r="UE94" s="1004"/>
      <c r="UF94" s="1004"/>
      <c r="UG94" s="1004"/>
      <c r="UH94" s="1004"/>
      <c r="UI94" s="1004"/>
      <c r="UJ94" s="1004"/>
      <c r="UK94" s="1004"/>
      <c r="UL94" s="1004"/>
      <c r="UM94" s="1004"/>
      <c r="UN94" s="1004"/>
      <c r="UO94" s="1004"/>
      <c r="UP94" s="1004"/>
      <c r="UQ94" s="1004"/>
      <c r="UR94" s="1004"/>
      <c r="US94" s="1004"/>
      <c r="UT94" s="1004"/>
      <c r="UU94" s="1004"/>
      <c r="UV94" s="1004"/>
      <c r="UW94" s="1004"/>
      <c r="UX94" s="1004"/>
      <c r="UY94" s="1004"/>
      <c r="UZ94" s="1004"/>
      <c r="VA94" s="1004"/>
      <c r="VB94" s="1004"/>
      <c r="VC94" s="1004"/>
      <c r="VD94" s="1004"/>
      <c r="VE94" s="1004"/>
      <c r="VF94" s="1004"/>
      <c r="VG94" s="1004"/>
      <c r="VH94" s="1004"/>
      <c r="VI94" s="1004"/>
      <c r="VJ94" s="1004"/>
      <c r="VK94" s="1004"/>
      <c r="VL94" s="1004"/>
      <c r="VM94" s="1004"/>
      <c r="VN94" s="1004"/>
      <c r="VO94" s="1004"/>
      <c r="VP94" s="1004"/>
      <c r="VQ94" s="1004"/>
      <c r="VR94" s="1004"/>
      <c r="VS94" s="1004"/>
      <c r="VT94" s="1004"/>
      <c r="VU94" s="1004"/>
      <c r="VV94" s="1004"/>
      <c r="VW94" s="1004"/>
      <c r="VX94" s="1004"/>
      <c r="VY94" s="1004"/>
      <c r="VZ94" s="1004"/>
      <c r="WA94" s="1004"/>
      <c r="WB94" s="1004"/>
      <c r="WC94" s="1004"/>
      <c r="WD94" s="1004"/>
      <c r="WE94" s="1004"/>
      <c r="WF94" s="1004"/>
      <c r="WG94" s="1004"/>
      <c r="WH94" s="1004"/>
      <c r="WI94" s="1004"/>
      <c r="WJ94" s="1004"/>
      <c r="WK94" s="1004"/>
      <c r="WL94" s="1004"/>
      <c r="WM94" s="1004"/>
      <c r="WN94" s="1004"/>
      <c r="WO94" s="1004"/>
      <c r="WP94" s="1004"/>
      <c r="WQ94" s="1004"/>
      <c r="WR94" s="1004"/>
      <c r="WS94" s="1004"/>
      <c r="WT94" s="1004"/>
      <c r="WU94" s="1004"/>
      <c r="WV94" s="1004"/>
      <c r="WW94" s="1004"/>
      <c r="WX94" s="1004"/>
      <c r="WY94" s="1004"/>
      <c r="WZ94" s="1004"/>
      <c r="XA94" s="1004"/>
      <c r="XB94" s="1004"/>
      <c r="XC94" s="1004"/>
      <c r="XD94" s="1004"/>
      <c r="XE94" s="1004"/>
      <c r="XF94" s="1004"/>
      <c r="XG94" s="1004"/>
      <c r="XH94" s="1004"/>
      <c r="XI94" s="1004"/>
      <c r="XJ94" s="1004"/>
      <c r="XK94" s="1004"/>
      <c r="XL94" s="1004"/>
      <c r="XM94" s="1004"/>
      <c r="XN94" s="1004"/>
      <c r="XO94" s="1004"/>
      <c r="XP94" s="1004"/>
      <c r="XQ94" s="1004"/>
      <c r="XR94" s="1004"/>
      <c r="XS94" s="1004"/>
      <c r="XT94" s="1004"/>
      <c r="XU94" s="1004"/>
      <c r="XV94" s="1004"/>
      <c r="XW94" s="1004"/>
      <c r="XX94" s="1004"/>
      <c r="XY94" s="1004"/>
      <c r="XZ94" s="1004"/>
      <c r="YA94" s="1004"/>
      <c r="YB94" s="1004"/>
      <c r="YC94" s="1004"/>
      <c r="YD94" s="1004"/>
      <c r="YE94" s="1004"/>
      <c r="YF94" s="1004"/>
      <c r="YG94" s="1004"/>
      <c r="YH94" s="1004"/>
      <c r="YI94" s="1004"/>
      <c r="YJ94" s="1004"/>
      <c r="YK94" s="1004"/>
      <c r="YL94" s="1004"/>
      <c r="YM94" s="1004"/>
      <c r="YN94" s="1004"/>
      <c r="YO94" s="1004"/>
      <c r="YP94" s="1004"/>
      <c r="YQ94" s="1004"/>
      <c r="YR94" s="1004"/>
      <c r="YS94" s="1004"/>
      <c r="YT94" s="1004"/>
      <c r="YU94" s="1004"/>
      <c r="YV94" s="1004"/>
      <c r="YW94" s="1004"/>
      <c r="YX94" s="1004"/>
      <c r="YY94" s="1004"/>
      <c r="YZ94" s="1004"/>
      <c r="ZA94" s="1004"/>
      <c r="ZB94" s="1004"/>
      <c r="ZC94" s="1004"/>
      <c r="ZD94" s="1004"/>
      <c r="ZE94" s="1004"/>
      <c r="ZF94" s="1004"/>
      <c r="ZG94" s="1004"/>
      <c r="ZH94" s="1004"/>
      <c r="ZI94" s="1004"/>
      <c r="ZJ94" s="1004"/>
      <c r="ZK94" s="1004"/>
      <c r="ZL94" s="1004"/>
      <c r="ZM94" s="1004"/>
      <c r="ZN94" s="1004"/>
      <c r="ZO94" s="1004"/>
      <c r="ZP94" s="1004"/>
      <c r="ZQ94" s="1004"/>
      <c r="ZR94" s="1004"/>
      <c r="ZS94" s="1004"/>
      <c r="ZT94" s="1004"/>
      <c r="ZU94" s="1004"/>
      <c r="ZV94" s="1004"/>
      <c r="ZW94" s="1004"/>
      <c r="ZX94" s="1004"/>
      <c r="ZY94" s="1004"/>
      <c r="ZZ94" s="1004"/>
      <c r="AAA94" s="1004"/>
      <c r="AAB94" s="1004"/>
      <c r="AAC94" s="1004"/>
      <c r="AAD94" s="1004"/>
      <c r="AAE94" s="1004"/>
      <c r="AAF94" s="1004"/>
      <c r="AAG94" s="1004"/>
      <c r="AAH94" s="1004"/>
      <c r="AAI94" s="1004"/>
      <c r="AAJ94" s="1004"/>
      <c r="AAK94" s="1004"/>
      <c r="AAL94" s="1004"/>
      <c r="AAM94" s="1004"/>
      <c r="AAN94" s="1004"/>
      <c r="AAO94" s="1004"/>
      <c r="AAP94" s="1004"/>
      <c r="AAQ94" s="1004"/>
      <c r="AAR94" s="1004"/>
      <c r="AAS94" s="1004"/>
      <c r="AAT94" s="1004"/>
      <c r="AAU94" s="1004"/>
      <c r="AAV94" s="1004"/>
      <c r="AAW94" s="1004"/>
      <c r="AAX94" s="1004"/>
      <c r="AAY94" s="1004"/>
      <c r="AAZ94" s="1004"/>
      <c r="ABA94" s="1004"/>
      <c r="ABB94" s="1004"/>
      <c r="ABC94" s="1004"/>
      <c r="ABD94" s="1004"/>
      <c r="ABE94" s="1004"/>
      <c r="ABF94" s="1004"/>
      <c r="ABG94" s="1004"/>
      <c r="ABH94" s="1004"/>
      <c r="ABI94" s="1004"/>
      <c r="ABJ94" s="1004"/>
      <c r="ABK94" s="1004"/>
      <c r="ABL94" s="1004"/>
      <c r="ABM94" s="1004"/>
      <c r="ABN94" s="1004"/>
      <c r="ABO94" s="1004"/>
      <c r="ABP94" s="1004"/>
      <c r="ABQ94" s="1004"/>
      <c r="ABR94" s="1004"/>
    </row>
    <row r="95" spans="1:746" s="1" customFormat="1" ht="12.9" hidden="1" customHeight="1">
      <c r="A95" s="1253"/>
      <c r="B95" s="1261" t="s">
        <v>1047</v>
      </c>
      <c r="C95" s="1263"/>
      <c r="D95" s="550"/>
      <c r="E95" s="1899">
        <v>0.31419999999999998</v>
      </c>
      <c r="F95" s="1856"/>
      <c r="G95" s="1900">
        <v>0.3</v>
      </c>
      <c r="H95" s="2168">
        <f t="shared" si="15"/>
        <v>0.7</v>
      </c>
      <c r="I95" s="2364"/>
      <c r="J95" s="809"/>
      <c r="K95" s="809"/>
      <c r="L95" s="809"/>
      <c r="M95" s="809"/>
      <c r="N95" s="809"/>
      <c r="O95" s="809"/>
      <c r="P95" s="809"/>
      <c r="Q95" s="809"/>
      <c r="R95" s="809"/>
      <c r="S95" s="809"/>
      <c r="T95" s="809"/>
      <c r="U95" s="1886"/>
      <c r="V95" s="1886"/>
      <c r="W95" s="1886"/>
      <c r="X95" s="1886"/>
      <c r="Y95" s="1886"/>
      <c r="Z95" s="1886"/>
      <c r="AA95" s="1886"/>
      <c r="AB95" s="1886"/>
      <c r="AC95" s="1886"/>
      <c r="AD95" s="1886"/>
      <c r="AE95" s="1886"/>
      <c r="AF95" s="1886"/>
      <c r="AG95" s="1042"/>
      <c r="AH95" s="359"/>
      <c r="AI95" s="359"/>
      <c r="AJ95" s="1854">
        <f>IF(fx!$C$57=1,SUMIF(fx!I$57:T$57,1,I95:T95),IF(fx!$C$57=2,SUMIF(fx!O$57:AF$57,1,O95:AF95)))</f>
        <v>0</v>
      </c>
      <c r="AK95" s="434"/>
      <c r="AL95" s="1855">
        <f>IF(fx!$C$57=1,SUM(U95:AF95),0)</f>
        <v>0</v>
      </c>
      <c r="AM95" s="1021"/>
      <c r="AN95" s="1005"/>
      <c r="AO95" s="1945"/>
      <c r="AP95" s="1935"/>
      <c r="AQ95" s="1936"/>
      <c r="AR95" s="1941"/>
      <c r="AS95" s="1941"/>
      <c r="AT95" s="1941"/>
      <c r="AU95" s="1941"/>
      <c r="AV95" s="1941"/>
      <c r="AW95" s="1941"/>
      <c r="AX95" s="1941"/>
      <c r="AY95" s="1941"/>
      <c r="AZ95" s="1941"/>
      <c r="BA95" s="1941"/>
      <c r="BB95" s="1941"/>
      <c r="BC95" s="1941"/>
      <c r="BD95" s="1941"/>
      <c r="BE95" s="1941"/>
      <c r="BF95" s="1941"/>
      <c r="BG95" s="1941"/>
      <c r="BH95" s="1941"/>
      <c r="BI95" s="1941"/>
      <c r="BJ95" s="1941"/>
      <c r="BK95" s="1941"/>
      <c r="BL95" s="1941"/>
      <c r="BM95" s="1941"/>
      <c r="BN95" s="1941"/>
      <c r="BO95" s="1941"/>
      <c r="BP95" s="1004"/>
      <c r="BQ95" s="1004"/>
      <c r="BR95" s="1004"/>
      <c r="BS95" s="1004"/>
      <c r="BT95" s="1004"/>
      <c r="BU95" s="1004"/>
      <c r="BV95" s="1004"/>
      <c r="BW95" s="1004"/>
      <c r="BX95" s="1004"/>
      <c r="BY95" s="1004"/>
      <c r="BZ95" s="1004"/>
      <c r="CA95" s="1004"/>
      <c r="CB95" s="1004"/>
      <c r="CC95" s="1004"/>
      <c r="CD95" s="1004"/>
      <c r="CE95" s="1004"/>
      <c r="CF95" s="1004"/>
      <c r="CG95" s="1004"/>
      <c r="CH95" s="1004"/>
      <c r="CI95" s="1004"/>
      <c r="CJ95" s="1004"/>
      <c r="CK95" s="1004"/>
      <c r="CL95" s="1004"/>
      <c r="CM95" s="1004"/>
      <c r="CN95" s="1004"/>
      <c r="CO95" s="1004"/>
      <c r="CP95" s="1004"/>
      <c r="CQ95" s="1004"/>
      <c r="CR95" s="1004"/>
      <c r="CS95" s="1004"/>
      <c r="CT95" s="1004"/>
      <c r="CU95" s="1004"/>
      <c r="CV95" s="1004"/>
      <c r="CW95" s="1004"/>
      <c r="CX95" s="1004"/>
      <c r="CY95" s="1004"/>
      <c r="CZ95" s="1004"/>
      <c r="DA95" s="1004"/>
      <c r="DB95" s="1004"/>
      <c r="DC95" s="1004"/>
      <c r="DD95" s="1004"/>
      <c r="DE95" s="1004"/>
      <c r="DF95" s="1004"/>
      <c r="DG95" s="1004"/>
      <c r="DH95" s="1004"/>
      <c r="DI95" s="1004"/>
      <c r="DJ95" s="1004"/>
      <c r="DK95" s="1004"/>
      <c r="DL95" s="1004"/>
      <c r="DM95" s="1004"/>
      <c r="DN95" s="1004"/>
      <c r="DO95" s="1004"/>
      <c r="DP95" s="1004"/>
      <c r="DQ95" s="1004"/>
      <c r="DR95" s="1004"/>
      <c r="DS95" s="1004"/>
      <c r="DT95" s="1004"/>
      <c r="DU95" s="1004"/>
      <c r="DV95" s="1004"/>
      <c r="DW95" s="1004"/>
      <c r="DX95" s="1004"/>
      <c r="DY95" s="1004"/>
      <c r="DZ95" s="1004"/>
      <c r="EA95" s="1004"/>
      <c r="EB95" s="1004"/>
      <c r="EC95" s="1004"/>
      <c r="ED95" s="1004"/>
      <c r="EE95" s="1004"/>
      <c r="EF95" s="1004"/>
      <c r="EG95" s="1004"/>
      <c r="EH95" s="1004"/>
      <c r="EI95" s="1004"/>
      <c r="EJ95" s="1004"/>
      <c r="EK95" s="1004"/>
      <c r="EL95" s="1004"/>
      <c r="EM95" s="1004"/>
      <c r="EN95" s="1004"/>
      <c r="EO95" s="1004"/>
      <c r="EP95" s="1004"/>
      <c r="EQ95" s="1004"/>
      <c r="ER95" s="1004"/>
      <c r="ES95" s="1004"/>
      <c r="ET95" s="1004"/>
      <c r="EU95" s="1004"/>
      <c r="EV95" s="1004"/>
      <c r="EW95" s="1004"/>
      <c r="EX95" s="1004"/>
      <c r="EY95" s="1004"/>
      <c r="EZ95" s="1004"/>
      <c r="FA95" s="1004"/>
      <c r="FB95" s="1004"/>
      <c r="FC95" s="1004"/>
      <c r="FD95" s="1004"/>
      <c r="FE95" s="1004"/>
      <c r="FF95" s="1004"/>
      <c r="FG95" s="1004"/>
      <c r="FH95" s="1004"/>
      <c r="FI95" s="1004"/>
      <c r="FJ95" s="1004"/>
      <c r="FK95" s="1004"/>
      <c r="FL95" s="1004"/>
      <c r="FM95" s="1004"/>
      <c r="FN95" s="1004"/>
      <c r="FO95" s="1004"/>
      <c r="FP95" s="1004"/>
      <c r="FQ95" s="1004"/>
      <c r="FR95" s="1004"/>
      <c r="FS95" s="1004"/>
      <c r="FT95" s="1004"/>
      <c r="FU95" s="1004"/>
      <c r="FV95" s="1004"/>
      <c r="FW95" s="1004"/>
      <c r="FX95" s="1004"/>
      <c r="FY95" s="1004"/>
      <c r="FZ95" s="1004"/>
      <c r="GA95" s="1004"/>
      <c r="GB95" s="1004"/>
      <c r="GC95" s="1004"/>
      <c r="GD95" s="1004"/>
      <c r="GE95" s="1004"/>
      <c r="GF95" s="1004"/>
      <c r="GG95" s="1004"/>
      <c r="GH95" s="1004"/>
      <c r="GI95" s="1004"/>
      <c r="GJ95" s="1004"/>
      <c r="GK95" s="1004"/>
      <c r="GL95" s="1004"/>
      <c r="GM95" s="1004"/>
      <c r="GN95" s="1004"/>
      <c r="GO95" s="1004"/>
      <c r="GP95" s="1004"/>
      <c r="GQ95" s="1004"/>
      <c r="GR95" s="1004"/>
      <c r="GS95" s="1004"/>
      <c r="GT95" s="1004"/>
      <c r="GU95" s="1004"/>
      <c r="GV95" s="1004"/>
      <c r="GW95" s="1004"/>
      <c r="GX95" s="1004"/>
      <c r="GY95" s="1004"/>
      <c r="GZ95" s="1004"/>
      <c r="HA95" s="1004"/>
      <c r="HB95" s="1004"/>
      <c r="HC95" s="1004"/>
      <c r="HD95" s="1004"/>
      <c r="HE95" s="1004"/>
      <c r="HF95" s="1004"/>
      <c r="HG95" s="1004"/>
      <c r="HH95" s="1004"/>
      <c r="HI95" s="1004"/>
      <c r="HJ95" s="1004"/>
      <c r="HK95" s="1004"/>
      <c r="HL95" s="1004"/>
      <c r="HM95" s="1004"/>
      <c r="HN95" s="1004"/>
      <c r="HO95" s="1004"/>
      <c r="HP95" s="1004"/>
      <c r="HQ95" s="1004"/>
      <c r="HR95" s="1004"/>
      <c r="HS95" s="1004"/>
      <c r="HT95" s="1004"/>
      <c r="HU95" s="1004"/>
      <c r="HV95" s="1004"/>
      <c r="HW95" s="1004"/>
      <c r="HX95" s="1004"/>
      <c r="HY95" s="1004"/>
      <c r="HZ95" s="1004"/>
      <c r="IA95" s="1004"/>
      <c r="IB95" s="1004"/>
      <c r="IC95" s="1004"/>
      <c r="ID95" s="1004"/>
      <c r="IE95" s="1004"/>
      <c r="IF95" s="1004"/>
      <c r="IG95" s="1004"/>
      <c r="IH95" s="1004"/>
      <c r="II95" s="1004"/>
      <c r="IJ95" s="1004"/>
      <c r="IK95" s="1004"/>
      <c r="IL95" s="1004"/>
      <c r="IM95" s="1004"/>
      <c r="IN95" s="1004"/>
      <c r="IO95" s="1004"/>
      <c r="IP95" s="1004"/>
      <c r="IQ95" s="1004"/>
      <c r="IR95" s="1004"/>
      <c r="IS95" s="1004"/>
      <c r="IT95" s="1004"/>
      <c r="IU95" s="1004"/>
      <c r="IV95" s="1004"/>
      <c r="IW95" s="1004"/>
      <c r="IX95" s="1004"/>
      <c r="IY95" s="1004"/>
      <c r="IZ95" s="1004"/>
      <c r="JA95" s="1004"/>
      <c r="JB95" s="1004"/>
      <c r="JC95" s="1004"/>
      <c r="JD95" s="1004"/>
      <c r="JE95" s="1004"/>
      <c r="JF95" s="1004"/>
      <c r="JG95" s="1004"/>
      <c r="JH95" s="1004"/>
      <c r="JI95" s="1004"/>
      <c r="JJ95" s="1004"/>
      <c r="JK95" s="1004"/>
      <c r="JL95" s="1004"/>
      <c r="JM95" s="1004"/>
      <c r="JN95" s="1004"/>
      <c r="JO95" s="1004"/>
      <c r="JP95" s="1004"/>
      <c r="JQ95" s="1004"/>
      <c r="JR95" s="1004"/>
      <c r="JS95" s="1004"/>
      <c r="JT95" s="1004"/>
      <c r="JU95" s="1004"/>
      <c r="JV95" s="1004"/>
      <c r="JW95" s="1004"/>
      <c r="JX95" s="1004"/>
      <c r="JY95" s="1004"/>
      <c r="JZ95" s="1004"/>
      <c r="KA95" s="1004"/>
      <c r="KB95" s="1004"/>
      <c r="KC95" s="1004"/>
      <c r="KD95" s="1004"/>
      <c r="KE95" s="1004"/>
      <c r="KF95" s="1004"/>
      <c r="KG95" s="1004"/>
      <c r="KH95" s="1004"/>
      <c r="KI95" s="1004"/>
      <c r="KJ95" s="1004"/>
      <c r="KK95" s="1004"/>
      <c r="KL95" s="1004"/>
      <c r="KM95" s="1004"/>
      <c r="KN95" s="1004"/>
      <c r="KO95" s="1004"/>
      <c r="KP95" s="1004"/>
      <c r="KQ95" s="1004"/>
      <c r="KR95" s="1004"/>
      <c r="KS95" s="1004"/>
      <c r="KT95" s="1004"/>
      <c r="KU95" s="1004"/>
      <c r="KV95" s="1004"/>
      <c r="KW95" s="1004"/>
      <c r="KX95" s="1004"/>
      <c r="KY95" s="1004"/>
      <c r="KZ95" s="1004"/>
      <c r="LA95" s="1004"/>
      <c r="LB95" s="1004"/>
      <c r="LC95" s="1004"/>
      <c r="LD95" s="1004"/>
      <c r="LE95" s="1004"/>
      <c r="LF95" s="1004"/>
      <c r="LG95" s="1004"/>
      <c r="LH95" s="1004"/>
      <c r="LI95" s="1004"/>
      <c r="LJ95" s="1004"/>
      <c r="LK95" s="1004"/>
      <c r="LL95" s="1004"/>
      <c r="LM95" s="1004"/>
      <c r="LN95" s="1004"/>
      <c r="LO95" s="1004"/>
      <c r="LP95" s="1004"/>
      <c r="LQ95" s="1004"/>
      <c r="LR95" s="1004"/>
      <c r="LS95" s="1004"/>
      <c r="LT95" s="1004"/>
      <c r="LU95" s="1004"/>
      <c r="LV95" s="1004"/>
      <c r="LW95" s="1004"/>
      <c r="LX95" s="1004"/>
      <c r="LY95" s="1004"/>
      <c r="LZ95" s="1004"/>
      <c r="MA95" s="1004"/>
      <c r="MB95" s="1004"/>
      <c r="MC95" s="1004"/>
      <c r="MD95" s="1004"/>
      <c r="ME95" s="1004"/>
      <c r="MF95" s="1004"/>
      <c r="MG95" s="1004"/>
      <c r="MH95" s="1004"/>
      <c r="MI95" s="1004"/>
      <c r="MJ95" s="1004"/>
      <c r="MK95" s="1004"/>
      <c r="ML95" s="1004"/>
      <c r="MM95" s="1004"/>
      <c r="MN95" s="1004"/>
      <c r="MO95" s="1004"/>
      <c r="MP95" s="1004"/>
      <c r="MQ95" s="1004"/>
      <c r="MR95" s="1004"/>
      <c r="MS95" s="1004"/>
      <c r="MT95" s="1004"/>
      <c r="MU95" s="1004"/>
      <c r="MV95" s="1004"/>
      <c r="MW95" s="1004"/>
      <c r="MX95" s="1004"/>
      <c r="MY95" s="1004"/>
      <c r="MZ95" s="1004"/>
      <c r="NA95" s="1004"/>
      <c r="NB95" s="1004"/>
      <c r="NC95" s="1004"/>
      <c r="ND95" s="1004"/>
      <c r="NE95" s="1004"/>
      <c r="NF95" s="1004"/>
      <c r="NG95" s="1004"/>
      <c r="NH95" s="1004"/>
      <c r="NI95" s="1004"/>
      <c r="NJ95" s="1004"/>
      <c r="NK95" s="1004"/>
      <c r="NL95" s="1004"/>
      <c r="NM95" s="1004"/>
      <c r="NN95" s="1004"/>
      <c r="NO95" s="1004"/>
      <c r="NP95" s="1004"/>
      <c r="NQ95" s="1004"/>
      <c r="NR95" s="1004"/>
      <c r="NS95" s="1004"/>
      <c r="NT95" s="1004"/>
      <c r="NU95" s="1004"/>
      <c r="NV95" s="1004"/>
      <c r="NW95" s="1004"/>
      <c r="NX95" s="1004"/>
      <c r="NY95" s="1004"/>
      <c r="NZ95" s="1004"/>
      <c r="OA95" s="1004"/>
      <c r="OB95" s="1004"/>
      <c r="OC95" s="1004"/>
      <c r="OD95" s="1004"/>
      <c r="OE95" s="1004"/>
      <c r="OF95" s="1004"/>
      <c r="OG95" s="1004"/>
      <c r="OH95" s="1004"/>
      <c r="OI95" s="1004"/>
      <c r="OJ95" s="1004"/>
      <c r="OK95" s="1004"/>
      <c r="OL95" s="1004"/>
      <c r="OM95" s="1004"/>
      <c r="ON95" s="1004"/>
      <c r="OO95" s="1004"/>
      <c r="OP95" s="1004"/>
      <c r="OQ95" s="1004"/>
      <c r="OR95" s="1004"/>
      <c r="OS95" s="1004"/>
      <c r="OT95" s="1004"/>
      <c r="OU95" s="1004"/>
      <c r="OV95" s="1004"/>
      <c r="OW95" s="1004"/>
      <c r="OX95" s="1004"/>
      <c r="OY95" s="1004"/>
      <c r="OZ95" s="1004"/>
      <c r="PA95" s="1004"/>
      <c r="PB95" s="1004"/>
      <c r="PC95" s="1004"/>
      <c r="PD95" s="1004"/>
      <c r="PE95" s="1004"/>
      <c r="PF95" s="1004"/>
      <c r="PG95" s="1004"/>
      <c r="PH95" s="1004"/>
      <c r="PI95" s="1004"/>
      <c r="PJ95" s="1004"/>
      <c r="PK95" s="1004"/>
      <c r="PL95" s="1004"/>
      <c r="PM95" s="1004"/>
      <c r="PN95" s="1004"/>
      <c r="PO95" s="1004"/>
      <c r="PP95" s="1004"/>
      <c r="PQ95" s="1004"/>
      <c r="PR95" s="1004"/>
      <c r="PS95" s="1004"/>
      <c r="PT95" s="1004"/>
      <c r="PU95" s="1004"/>
      <c r="PV95" s="1004"/>
      <c r="PW95" s="1004"/>
      <c r="PX95" s="1004"/>
      <c r="PY95" s="1004"/>
      <c r="PZ95" s="1004"/>
      <c r="QA95" s="1004"/>
      <c r="QB95" s="1004"/>
      <c r="QC95" s="1004"/>
      <c r="QD95" s="1004"/>
      <c r="QE95" s="1004"/>
      <c r="QF95" s="1004"/>
      <c r="QG95" s="1004"/>
      <c r="QH95" s="1004"/>
      <c r="QI95" s="1004"/>
      <c r="QJ95" s="1004"/>
      <c r="QK95" s="1004"/>
      <c r="QL95" s="1004"/>
      <c r="QM95" s="1004"/>
      <c r="QN95" s="1004"/>
      <c r="QO95" s="1004"/>
      <c r="QP95" s="1004"/>
      <c r="QQ95" s="1004"/>
      <c r="QR95" s="1004"/>
      <c r="QS95" s="1004"/>
      <c r="QT95" s="1004"/>
      <c r="QU95" s="1004"/>
      <c r="QV95" s="1004"/>
      <c r="QW95" s="1004"/>
      <c r="QX95" s="1004"/>
      <c r="QY95" s="1004"/>
      <c r="QZ95" s="1004"/>
      <c r="RA95" s="1004"/>
      <c r="RB95" s="1004"/>
      <c r="RC95" s="1004"/>
      <c r="RD95" s="1004"/>
      <c r="RE95" s="1004"/>
      <c r="RF95" s="1004"/>
      <c r="RG95" s="1004"/>
      <c r="RH95" s="1004"/>
      <c r="RI95" s="1004"/>
      <c r="RJ95" s="1004"/>
      <c r="RK95" s="1004"/>
      <c r="RL95" s="1004"/>
      <c r="RM95" s="1004"/>
      <c r="RN95" s="1004"/>
      <c r="RO95" s="1004"/>
      <c r="RP95" s="1004"/>
      <c r="RQ95" s="1004"/>
      <c r="RR95" s="1004"/>
      <c r="RS95" s="1004"/>
      <c r="RT95" s="1004"/>
      <c r="RU95" s="1004"/>
      <c r="RV95" s="1004"/>
      <c r="RW95" s="1004"/>
      <c r="RX95" s="1004"/>
      <c r="RY95" s="1004"/>
      <c r="RZ95" s="1004"/>
      <c r="SA95" s="1004"/>
      <c r="SB95" s="1004"/>
      <c r="SC95" s="1004"/>
      <c r="SD95" s="1004"/>
      <c r="SE95" s="1004"/>
      <c r="SF95" s="1004"/>
      <c r="SG95" s="1004"/>
      <c r="SH95" s="1004"/>
      <c r="SI95" s="1004"/>
      <c r="SJ95" s="1004"/>
      <c r="SK95" s="1004"/>
      <c r="SL95" s="1004"/>
      <c r="SM95" s="1004"/>
      <c r="SN95" s="1004"/>
      <c r="SO95" s="1004"/>
      <c r="SP95" s="1004"/>
      <c r="SQ95" s="1004"/>
      <c r="SR95" s="1004"/>
      <c r="SS95" s="1004"/>
      <c r="ST95" s="1004"/>
      <c r="SU95" s="1004"/>
      <c r="SV95" s="1004"/>
      <c r="SW95" s="1004"/>
      <c r="SX95" s="1004"/>
      <c r="SY95" s="1004"/>
      <c r="SZ95" s="1004"/>
      <c r="TA95" s="1004"/>
      <c r="TB95" s="1004"/>
      <c r="TC95" s="1004"/>
      <c r="TD95" s="1004"/>
      <c r="TE95" s="1004"/>
      <c r="TF95" s="1004"/>
      <c r="TG95" s="1004"/>
      <c r="TH95" s="1004"/>
      <c r="TI95" s="1004"/>
      <c r="TJ95" s="1004"/>
      <c r="TK95" s="1004"/>
      <c r="TL95" s="1004"/>
      <c r="TM95" s="1004"/>
      <c r="TN95" s="1004"/>
      <c r="TO95" s="1004"/>
      <c r="TP95" s="1004"/>
      <c r="TQ95" s="1004"/>
      <c r="TR95" s="1004"/>
      <c r="TS95" s="1004"/>
      <c r="TT95" s="1004"/>
      <c r="TU95" s="1004"/>
      <c r="TV95" s="1004"/>
      <c r="TW95" s="1004"/>
      <c r="TX95" s="1004"/>
      <c r="TY95" s="1004"/>
      <c r="TZ95" s="1004"/>
      <c r="UA95" s="1004"/>
      <c r="UB95" s="1004"/>
      <c r="UC95" s="1004"/>
      <c r="UD95" s="1004"/>
      <c r="UE95" s="1004"/>
      <c r="UF95" s="1004"/>
      <c r="UG95" s="1004"/>
      <c r="UH95" s="1004"/>
      <c r="UI95" s="1004"/>
      <c r="UJ95" s="1004"/>
      <c r="UK95" s="1004"/>
      <c r="UL95" s="1004"/>
      <c r="UM95" s="1004"/>
      <c r="UN95" s="1004"/>
      <c r="UO95" s="1004"/>
      <c r="UP95" s="1004"/>
      <c r="UQ95" s="1004"/>
      <c r="UR95" s="1004"/>
      <c r="US95" s="1004"/>
      <c r="UT95" s="1004"/>
      <c r="UU95" s="1004"/>
      <c r="UV95" s="1004"/>
      <c r="UW95" s="1004"/>
      <c r="UX95" s="1004"/>
      <c r="UY95" s="1004"/>
      <c r="UZ95" s="1004"/>
      <c r="VA95" s="1004"/>
      <c r="VB95" s="1004"/>
      <c r="VC95" s="1004"/>
      <c r="VD95" s="1004"/>
      <c r="VE95" s="1004"/>
      <c r="VF95" s="1004"/>
      <c r="VG95" s="1004"/>
      <c r="VH95" s="1004"/>
      <c r="VI95" s="1004"/>
      <c r="VJ95" s="1004"/>
      <c r="VK95" s="1004"/>
      <c r="VL95" s="1004"/>
      <c r="VM95" s="1004"/>
      <c r="VN95" s="1004"/>
      <c r="VO95" s="1004"/>
      <c r="VP95" s="1004"/>
      <c r="VQ95" s="1004"/>
      <c r="VR95" s="1004"/>
      <c r="VS95" s="1004"/>
      <c r="VT95" s="1004"/>
      <c r="VU95" s="1004"/>
      <c r="VV95" s="1004"/>
      <c r="VW95" s="1004"/>
      <c r="VX95" s="1004"/>
      <c r="VY95" s="1004"/>
      <c r="VZ95" s="1004"/>
      <c r="WA95" s="1004"/>
      <c r="WB95" s="1004"/>
      <c r="WC95" s="1004"/>
      <c r="WD95" s="1004"/>
      <c r="WE95" s="1004"/>
      <c r="WF95" s="1004"/>
      <c r="WG95" s="1004"/>
      <c r="WH95" s="1004"/>
      <c r="WI95" s="1004"/>
      <c r="WJ95" s="1004"/>
      <c r="WK95" s="1004"/>
      <c r="WL95" s="1004"/>
      <c r="WM95" s="1004"/>
      <c r="WN95" s="1004"/>
      <c r="WO95" s="1004"/>
      <c r="WP95" s="1004"/>
      <c r="WQ95" s="1004"/>
      <c r="WR95" s="1004"/>
      <c r="WS95" s="1004"/>
      <c r="WT95" s="1004"/>
      <c r="WU95" s="1004"/>
      <c r="WV95" s="1004"/>
      <c r="WW95" s="1004"/>
      <c r="WX95" s="1004"/>
      <c r="WY95" s="1004"/>
      <c r="WZ95" s="1004"/>
      <c r="XA95" s="1004"/>
      <c r="XB95" s="1004"/>
      <c r="XC95" s="1004"/>
      <c r="XD95" s="1004"/>
      <c r="XE95" s="1004"/>
      <c r="XF95" s="1004"/>
      <c r="XG95" s="1004"/>
      <c r="XH95" s="1004"/>
      <c r="XI95" s="1004"/>
      <c r="XJ95" s="1004"/>
      <c r="XK95" s="1004"/>
      <c r="XL95" s="1004"/>
      <c r="XM95" s="1004"/>
      <c r="XN95" s="1004"/>
      <c r="XO95" s="1004"/>
      <c r="XP95" s="1004"/>
      <c r="XQ95" s="1004"/>
      <c r="XR95" s="1004"/>
      <c r="XS95" s="1004"/>
      <c r="XT95" s="1004"/>
      <c r="XU95" s="1004"/>
      <c r="XV95" s="1004"/>
      <c r="XW95" s="1004"/>
      <c r="XX95" s="1004"/>
      <c r="XY95" s="1004"/>
      <c r="XZ95" s="1004"/>
      <c r="YA95" s="1004"/>
      <c r="YB95" s="1004"/>
      <c r="YC95" s="1004"/>
      <c r="YD95" s="1004"/>
      <c r="YE95" s="1004"/>
      <c r="YF95" s="1004"/>
      <c r="YG95" s="1004"/>
      <c r="YH95" s="1004"/>
      <c r="YI95" s="1004"/>
      <c r="YJ95" s="1004"/>
      <c r="YK95" s="1004"/>
      <c r="YL95" s="1004"/>
      <c r="YM95" s="1004"/>
      <c r="YN95" s="1004"/>
      <c r="YO95" s="1004"/>
      <c r="YP95" s="1004"/>
      <c r="YQ95" s="1004"/>
      <c r="YR95" s="1004"/>
      <c r="YS95" s="1004"/>
      <c r="YT95" s="1004"/>
      <c r="YU95" s="1004"/>
      <c r="YV95" s="1004"/>
      <c r="YW95" s="1004"/>
      <c r="YX95" s="1004"/>
      <c r="YY95" s="1004"/>
      <c r="YZ95" s="1004"/>
      <c r="ZA95" s="1004"/>
      <c r="ZB95" s="1004"/>
      <c r="ZC95" s="1004"/>
      <c r="ZD95" s="1004"/>
      <c r="ZE95" s="1004"/>
      <c r="ZF95" s="1004"/>
      <c r="ZG95" s="1004"/>
      <c r="ZH95" s="1004"/>
      <c r="ZI95" s="1004"/>
      <c r="ZJ95" s="1004"/>
      <c r="ZK95" s="1004"/>
      <c r="ZL95" s="1004"/>
      <c r="ZM95" s="1004"/>
      <c r="ZN95" s="1004"/>
      <c r="ZO95" s="1004"/>
      <c r="ZP95" s="1004"/>
      <c r="ZQ95" s="1004"/>
      <c r="ZR95" s="1004"/>
      <c r="ZS95" s="1004"/>
      <c r="ZT95" s="1004"/>
      <c r="ZU95" s="1004"/>
      <c r="ZV95" s="1004"/>
      <c r="ZW95" s="1004"/>
      <c r="ZX95" s="1004"/>
      <c r="ZY95" s="1004"/>
      <c r="ZZ95" s="1004"/>
      <c r="AAA95" s="1004"/>
      <c r="AAB95" s="1004"/>
      <c r="AAC95" s="1004"/>
      <c r="AAD95" s="1004"/>
      <c r="AAE95" s="1004"/>
      <c r="AAF95" s="1004"/>
      <c r="AAG95" s="1004"/>
      <c r="AAH95" s="1004"/>
      <c r="AAI95" s="1004"/>
      <c r="AAJ95" s="1004"/>
      <c r="AAK95" s="1004"/>
      <c r="AAL95" s="1004"/>
      <c r="AAM95" s="1004"/>
      <c r="AAN95" s="1004"/>
      <c r="AAO95" s="1004"/>
      <c r="AAP95" s="1004"/>
      <c r="AAQ95" s="1004"/>
      <c r="AAR95" s="1004"/>
      <c r="AAS95" s="1004"/>
      <c r="AAT95" s="1004"/>
      <c r="AAU95" s="1004"/>
      <c r="AAV95" s="1004"/>
      <c r="AAW95" s="1004"/>
      <c r="AAX95" s="1004"/>
      <c r="AAY95" s="1004"/>
      <c r="AAZ95" s="1004"/>
      <c r="ABA95" s="1004"/>
      <c r="ABB95" s="1004"/>
      <c r="ABC95" s="1004"/>
      <c r="ABD95" s="1004"/>
      <c r="ABE95" s="1004"/>
      <c r="ABF95" s="1004"/>
      <c r="ABG95" s="1004"/>
      <c r="ABH95" s="1004"/>
      <c r="ABI95" s="1004"/>
      <c r="ABJ95" s="1004"/>
      <c r="ABK95" s="1004"/>
      <c r="ABL95" s="1004"/>
      <c r="ABM95" s="1004"/>
      <c r="ABN95" s="1004"/>
      <c r="ABO95" s="1004"/>
      <c r="ABP95" s="1004"/>
      <c r="ABQ95" s="1004"/>
      <c r="ABR95" s="1004"/>
    </row>
    <row r="96" spans="1:746" s="1" customFormat="1" ht="12.9" hidden="1" customHeight="1">
      <c r="A96" s="1253"/>
      <c r="B96" s="1261" t="s">
        <v>1048</v>
      </c>
      <c r="C96" s="1263"/>
      <c r="D96" s="550"/>
      <c r="E96" s="1899">
        <v>0.31419999999999998</v>
      </c>
      <c r="F96" s="1856"/>
      <c r="G96" s="1901">
        <v>0.3</v>
      </c>
      <c r="H96" s="2168">
        <f t="shared" si="15"/>
        <v>0.7</v>
      </c>
      <c r="I96" s="2364"/>
      <c r="J96" s="809"/>
      <c r="K96" s="809"/>
      <c r="L96" s="809"/>
      <c r="M96" s="809"/>
      <c r="N96" s="809"/>
      <c r="O96" s="809"/>
      <c r="P96" s="809"/>
      <c r="Q96" s="809"/>
      <c r="R96" s="809"/>
      <c r="S96" s="809"/>
      <c r="T96" s="809"/>
      <c r="U96" s="1859"/>
      <c r="V96" s="1859"/>
      <c r="W96" s="1859"/>
      <c r="X96" s="1859"/>
      <c r="Y96" s="1859"/>
      <c r="Z96" s="1859"/>
      <c r="AA96" s="1859"/>
      <c r="AB96" s="1859"/>
      <c r="AC96" s="1859"/>
      <c r="AD96" s="1859"/>
      <c r="AE96" s="1859"/>
      <c r="AF96" s="1859"/>
      <c r="AG96" s="1042"/>
      <c r="AH96" s="359"/>
      <c r="AI96" s="359"/>
      <c r="AJ96" s="1854">
        <f>IF(fx!$C$57=1,SUMIF(fx!I$57:T$57,1,I96:T96),IF(fx!$C$57=2,SUMIF(fx!O$57:AF$57,1,O96:AF96)))</f>
        <v>0</v>
      </c>
      <c r="AK96" s="434"/>
      <c r="AL96" s="1855">
        <f>IF(fx!$C$57=1,SUM(U96:AF96),0)</f>
        <v>0</v>
      </c>
      <c r="AM96" s="1021"/>
      <c r="AN96" s="1005"/>
      <c r="AO96" s="1945"/>
      <c r="AP96" s="1935"/>
      <c r="AQ96" s="1936"/>
      <c r="AR96" s="1941"/>
      <c r="AS96" s="1941"/>
      <c r="AT96" s="1941"/>
      <c r="AU96" s="1941"/>
      <c r="AV96" s="1941"/>
      <c r="AW96" s="1941"/>
      <c r="AX96" s="1941"/>
      <c r="AY96" s="1941"/>
      <c r="AZ96" s="1941"/>
      <c r="BA96" s="1941"/>
      <c r="BB96" s="1941"/>
      <c r="BC96" s="1941"/>
      <c r="BD96" s="1941"/>
      <c r="BE96" s="1941"/>
      <c r="BF96" s="1941"/>
      <c r="BG96" s="1941"/>
      <c r="BH96" s="1941"/>
      <c r="BI96" s="1941"/>
      <c r="BJ96" s="1941"/>
      <c r="BK96" s="1941"/>
      <c r="BL96" s="1941"/>
      <c r="BM96" s="1941"/>
      <c r="BN96" s="1941"/>
      <c r="BO96" s="1941"/>
      <c r="BP96" s="1004"/>
      <c r="BQ96" s="1004"/>
      <c r="BR96" s="1004"/>
      <c r="BS96" s="1004"/>
      <c r="BT96" s="1004"/>
      <c r="BU96" s="1004"/>
      <c r="BV96" s="1004"/>
      <c r="BW96" s="1004"/>
      <c r="BX96" s="1004"/>
      <c r="BY96" s="1004"/>
      <c r="BZ96" s="1004"/>
      <c r="CA96" s="1004"/>
      <c r="CB96" s="1004"/>
      <c r="CC96" s="1004"/>
      <c r="CD96" s="1004"/>
      <c r="CE96" s="1004"/>
      <c r="CF96" s="1004"/>
      <c r="CG96" s="1004"/>
      <c r="CH96" s="1004"/>
      <c r="CI96" s="1004"/>
      <c r="CJ96" s="1004"/>
      <c r="CK96" s="1004"/>
      <c r="CL96" s="1004"/>
      <c r="CM96" s="1004"/>
      <c r="CN96" s="1004"/>
      <c r="CO96" s="1004"/>
      <c r="CP96" s="1004"/>
      <c r="CQ96" s="1004"/>
      <c r="CR96" s="1004"/>
      <c r="CS96" s="1004"/>
      <c r="CT96" s="1004"/>
      <c r="CU96" s="1004"/>
      <c r="CV96" s="1004"/>
      <c r="CW96" s="1004"/>
      <c r="CX96" s="1004"/>
      <c r="CY96" s="1004"/>
      <c r="CZ96" s="1004"/>
      <c r="DA96" s="1004"/>
      <c r="DB96" s="1004"/>
      <c r="DC96" s="1004"/>
      <c r="DD96" s="1004"/>
      <c r="DE96" s="1004"/>
      <c r="DF96" s="1004"/>
      <c r="DG96" s="1004"/>
      <c r="DH96" s="1004"/>
      <c r="DI96" s="1004"/>
      <c r="DJ96" s="1004"/>
      <c r="DK96" s="1004"/>
      <c r="DL96" s="1004"/>
      <c r="DM96" s="1004"/>
      <c r="DN96" s="1004"/>
      <c r="DO96" s="1004"/>
      <c r="DP96" s="1004"/>
      <c r="DQ96" s="1004"/>
      <c r="DR96" s="1004"/>
      <c r="DS96" s="1004"/>
      <c r="DT96" s="1004"/>
      <c r="DU96" s="1004"/>
      <c r="DV96" s="1004"/>
      <c r="DW96" s="1004"/>
      <c r="DX96" s="1004"/>
      <c r="DY96" s="1004"/>
      <c r="DZ96" s="1004"/>
      <c r="EA96" s="1004"/>
      <c r="EB96" s="1004"/>
      <c r="EC96" s="1004"/>
      <c r="ED96" s="1004"/>
      <c r="EE96" s="1004"/>
      <c r="EF96" s="1004"/>
      <c r="EG96" s="1004"/>
      <c r="EH96" s="1004"/>
      <c r="EI96" s="1004"/>
      <c r="EJ96" s="1004"/>
      <c r="EK96" s="1004"/>
      <c r="EL96" s="1004"/>
      <c r="EM96" s="1004"/>
      <c r="EN96" s="1004"/>
      <c r="EO96" s="1004"/>
      <c r="EP96" s="1004"/>
      <c r="EQ96" s="1004"/>
      <c r="ER96" s="1004"/>
      <c r="ES96" s="1004"/>
      <c r="ET96" s="1004"/>
      <c r="EU96" s="1004"/>
      <c r="EV96" s="1004"/>
      <c r="EW96" s="1004"/>
      <c r="EX96" s="1004"/>
      <c r="EY96" s="1004"/>
      <c r="EZ96" s="1004"/>
      <c r="FA96" s="1004"/>
      <c r="FB96" s="1004"/>
      <c r="FC96" s="1004"/>
      <c r="FD96" s="1004"/>
      <c r="FE96" s="1004"/>
      <c r="FF96" s="1004"/>
      <c r="FG96" s="1004"/>
      <c r="FH96" s="1004"/>
      <c r="FI96" s="1004"/>
      <c r="FJ96" s="1004"/>
      <c r="FK96" s="1004"/>
      <c r="FL96" s="1004"/>
      <c r="FM96" s="1004"/>
      <c r="FN96" s="1004"/>
      <c r="FO96" s="1004"/>
      <c r="FP96" s="1004"/>
      <c r="FQ96" s="1004"/>
      <c r="FR96" s="1004"/>
      <c r="FS96" s="1004"/>
      <c r="FT96" s="1004"/>
      <c r="FU96" s="1004"/>
      <c r="FV96" s="1004"/>
      <c r="FW96" s="1004"/>
      <c r="FX96" s="1004"/>
      <c r="FY96" s="1004"/>
      <c r="FZ96" s="1004"/>
      <c r="GA96" s="1004"/>
      <c r="GB96" s="1004"/>
      <c r="GC96" s="1004"/>
      <c r="GD96" s="1004"/>
      <c r="GE96" s="1004"/>
      <c r="GF96" s="1004"/>
      <c r="GG96" s="1004"/>
      <c r="GH96" s="1004"/>
      <c r="GI96" s="1004"/>
      <c r="GJ96" s="1004"/>
      <c r="GK96" s="1004"/>
      <c r="GL96" s="1004"/>
      <c r="GM96" s="1004"/>
      <c r="GN96" s="1004"/>
      <c r="GO96" s="1004"/>
      <c r="GP96" s="1004"/>
      <c r="GQ96" s="1004"/>
      <c r="GR96" s="1004"/>
      <c r="GS96" s="1004"/>
      <c r="GT96" s="1004"/>
      <c r="GU96" s="1004"/>
      <c r="GV96" s="1004"/>
      <c r="GW96" s="1004"/>
      <c r="GX96" s="1004"/>
      <c r="GY96" s="1004"/>
      <c r="GZ96" s="1004"/>
      <c r="HA96" s="1004"/>
      <c r="HB96" s="1004"/>
      <c r="HC96" s="1004"/>
      <c r="HD96" s="1004"/>
      <c r="HE96" s="1004"/>
      <c r="HF96" s="1004"/>
      <c r="HG96" s="1004"/>
      <c r="HH96" s="1004"/>
      <c r="HI96" s="1004"/>
      <c r="HJ96" s="1004"/>
      <c r="HK96" s="1004"/>
      <c r="HL96" s="1004"/>
      <c r="HM96" s="1004"/>
      <c r="HN96" s="1004"/>
      <c r="HO96" s="1004"/>
      <c r="HP96" s="1004"/>
      <c r="HQ96" s="1004"/>
      <c r="HR96" s="1004"/>
      <c r="HS96" s="1004"/>
      <c r="HT96" s="1004"/>
      <c r="HU96" s="1004"/>
      <c r="HV96" s="1004"/>
      <c r="HW96" s="1004"/>
      <c r="HX96" s="1004"/>
      <c r="HY96" s="1004"/>
      <c r="HZ96" s="1004"/>
      <c r="IA96" s="1004"/>
      <c r="IB96" s="1004"/>
      <c r="IC96" s="1004"/>
      <c r="ID96" s="1004"/>
      <c r="IE96" s="1004"/>
      <c r="IF96" s="1004"/>
      <c r="IG96" s="1004"/>
      <c r="IH96" s="1004"/>
      <c r="II96" s="1004"/>
      <c r="IJ96" s="1004"/>
      <c r="IK96" s="1004"/>
      <c r="IL96" s="1004"/>
      <c r="IM96" s="1004"/>
      <c r="IN96" s="1004"/>
      <c r="IO96" s="1004"/>
      <c r="IP96" s="1004"/>
      <c r="IQ96" s="1004"/>
      <c r="IR96" s="1004"/>
      <c r="IS96" s="1004"/>
      <c r="IT96" s="1004"/>
      <c r="IU96" s="1004"/>
      <c r="IV96" s="1004"/>
      <c r="IW96" s="1004"/>
      <c r="IX96" s="1004"/>
      <c r="IY96" s="1004"/>
      <c r="IZ96" s="1004"/>
      <c r="JA96" s="1004"/>
      <c r="JB96" s="1004"/>
      <c r="JC96" s="1004"/>
      <c r="JD96" s="1004"/>
      <c r="JE96" s="1004"/>
      <c r="JF96" s="1004"/>
      <c r="JG96" s="1004"/>
      <c r="JH96" s="1004"/>
      <c r="JI96" s="1004"/>
      <c r="JJ96" s="1004"/>
      <c r="JK96" s="1004"/>
      <c r="JL96" s="1004"/>
      <c r="JM96" s="1004"/>
      <c r="JN96" s="1004"/>
      <c r="JO96" s="1004"/>
      <c r="JP96" s="1004"/>
      <c r="JQ96" s="1004"/>
      <c r="JR96" s="1004"/>
      <c r="JS96" s="1004"/>
      <c r="JT96" s="1004"/>
      <c r="JU96" s="1004"/>
      <c r="JV96" s="1004"/>
      <c r="JW96" s="1004"/>
      <c r="JX96" s="1004"/>
      <c r="JY96" s="1004"/>
      <c r="JZ96" s="1004"/>
      <c r="KA96" s="1004"/>
      <c r="KB96" s="1004"/>
      <c r="KC96" s="1004"/>
      <c r="KD96" s="1004"/>
      <c r="KE96" s="1004"/>
      <c r="KF96" s="1004"/>
      <c r="KG96" s="1004"/>
      <c r="KH96" s="1004"/>
      <c r="KI96" s="1004"/>
      <c r="KJ96" s="1004"/>
      <c r="KK96" s="1004"/>
      <c r="KL96" s="1004"/>
      <c r="KM96" s="1004"/>
      <c r="KN96" s="1004"/>
      <c r="KO96" s="1004"/>
      <c r="KP96" s="1004"/>
      <c r="KQ96" s="1004"/>
      <c r="KR96" s="1004"/>
      <c r="KS96" s="1004"/>
      <c r="KT96" s="1004"/>
      <c r="KU96" s="1004"/>
      <c r="KV96" s="1004"/>
      <c r="KW96" s="1004"/>
      <c r="KX96" s="1004"/>
      <c r="KY96" s="1004"/>
      <c r="KZ96" s="1004"/>
      <c r="LA96" s="1004"/>
      <c r="LB96" s="1004"/>
      <c r="LC96" s="1004"/>
      <c r="LD96" s="1004"/>
      <c r="LE96" s="1004"/>
      <c r="LF96" s="1004"/>
      <c r="LG96" s="1004"/>
      <c r="LH96" s="1004"/>
      <c r="LI96" s="1004"/>
      <c r="LJ96" s="1004"/>
      <c r="LK96" s="1004"/>
      <c r="LL96" s="1004"/>
      <c r="LM96" s="1004"/>
      <c r="LN96" s="1004"/>
      <c r="LO96" s="1004"/>
      <c r="LP96" s="1004"/>
      <c r="LQ96" s="1004"/>
      <c r="LR96" s="1004"/>
      <c r="LS96" s="1004"/>
      <c r="LT96" s="1004"/>
      <c r="LU96" s="1004"/>
      <c r="LV96" s="1004"/>
      <c r="LW96" s="1004"/>
      <c r="LX96" s="1004"/>
      <c r="LY96" s="1004"/>
      <c r="LZ96" s="1004"/>
      <c r="MA96" s="1004"/>
      <c r="MB96" s="1004"/>
      <c r="MC96" s="1004"/>
      <c r="MD96" s="1004"/>
      <c r="ME96" s="1004"/>
      <c r="MF96" s="1004"/>
      <c r="MG96" s="1004"/>
      <c r="MH96" s="1004"/>
      <c r="MI96" s="1004"/>
      <c r="MJ96" s="1004"/>
      <c r="MK96" s="1004"/>
      <c r="ML96" s="1004"/>
      <c r="MM96" s="1004"/>
      <c r="MN96" s="1004"/>
      <c r="MO96" s="1004"/>
      <c r="MP96" s="1004"/>
      <c r="MQ96" s="1004"/>
      <c r="MR96" s="1004"/>
      <c r="MS96" s="1004"/>
      <c r="MT96" s="1004"/>
      <c r="MU96" s="1004"/>
      <c r="MV96" s="1004"/>
      <c r="MW96" s="1004"/>
      <c r="MX96" s="1004"/>
      <c r="MY96" s="1004"/>
      <c r="MZ96" s="1004"/>
      <c r="NA96" s="1004"/>
      <c r="NB96" s="1004"/>
      <c r="NC96" s="1004"/>
      <c r="ND96" s="1004"/>
      <c r="NE96" s="1004"/>
      <c r="NF96" s="1004"/>
      <c r="NG96" s="1004"/>
      <c r="NH96" s="1004"/>
      <c r="NI96" s="1004"/>
      <c r="NJ96" s="1004"/>
      <c r="NK96" s="1004"/>
      <c r="NL96" s="1004"/>
      <c r="NM96" s="1004"/>
      <c r="NN96" s="1004"/>
      <c r="NO96" s="1004"/>
      <c r="NP96" s="1004"/>
      <c r="NQ96" s="1004"/>
      <c r="NR96" s="1004"/>
      <c r="NS96" s="1004"/>
      <c r="NT96" s="1004"/>
      <c r="NU96" s="1004"/>
      <c r="NV96" s="1004"/>
      <c r="NW96" s="1004"/>
      <c r="NX96" s="1004"/>
      <c r="NY96" s="1004"/>
      <c r="NZ96" s="1004"/>
      <c r="OA96" s="1004"/>
      <c r="OB96" s="1004"/>
      <c r="OC96" s="1004"/>
      <c r="OD96" s="1004"/>
      <c r="OE96" s="1004"/>
      <c r="OF96" s="1004"/>
      <c r="OG96" s="1004"/>
      <c r="OH96" s="1004"/>
      <c r="OI96" s="1004"/>
      <c r="OJ96" s="1004"/>
      <c r="OK96" s="1004"/>
      <c r="OL96" s="1004"/>
      <c r="OM96" s="1004"/>
      <c r="ON96" s="1004"/>
      <c r="OO96" s="1004"/>
      <c r="OP96" s="1004"/>
      <c r="OQ96" s="1004"/>
      <c r="OR96" s="1004"/>
      <c r="OS96" s="1004"/>
      <c r="OT96" s="1004"/>
      <c r="OU96" s="1004"/>
      <c r="OV96" s="1004"/>
      <c r="OW96" s="1004"/>
      <c r="OX96" s="1004"/>
      <c r="OY96" s="1004"/>
      <c r="OZ96" s="1004"/>
      <c r="PA96" s="1004"/>
      <c r="PB96" s="1004"/>
      <c r="PC96" s="1004"/>
      <c r="PD96" s="1004"/>
      <c r="PE96" s="1004"/>
      <c r="PF96" s="1004"/>
      <c r="PG96" s="1004"/>
      <c r="PH96" s="1004"/>
      <c r="PI96" s="1004"/>
      <c r="PJ96" s="1004"/>
      <c r="PK96" s="1004"/>
      <c r="PL96" s="1004"/>
      <c r="PM96" s="1004"/>
      <c r="PN96" s="1004"/>
      <c r="PO96" s="1004"/>
      <c r="PP96" s="1004"/>
      <c r="PQ96" s="1004"/>
      <c r="PR96" s="1004"/>
      <c r="PS96" s="1004"/>
      <c r="PT96" s="1004"/>
      <c r="PU96" s="1004"/>
      <c r="PV96" s="1004"/>
      <c r="PW96" s="1004"/>
      <c r="PX96" s="1004"/>
      <c r="PY96" s="1004"/>
      <c r="PZ96" s="1004"/>
      <c r="QA96" s="1004"/>
      <c r="QB96" s="1004"/>
      <c r="QC96" s="1004"/>
      <c r="QD96" s="1004"/>
      <c r="QE96" s="1004"/>
      <c r="QF96" s="1004"/>
      <c r="QG96" s="1004"/>
      <c r="QH96" s="1004"/>
      <c r="QI96" s="1004"/>
      <c r="QJ96" s="1004"/>
      <c r="QK96" s="1004"/>
      <c r="QL96" s="1004"/>
      <c r="QM96" s="1004"/>
      <c r="QN96" s="1004"/>
      <c r="QO96" s="1004"/>
      <c r="QP96" s="1004"/>
      <c r="QQ96" s="1004"/>
      <c r="QR96" s="1004"/>
      <c r="QS96" s="1004"/>
      <c r="QT96" s="1004"/>
      <c r="QU96" s="1004"/>
      <c r="QV96" s="1004"/>
      <c r="QW96" s="1004"/>
      <c r="QX96" s="1004"/>
      <c r="QY96" s="1004"/>
      <c r="QZ96" s="1004"/>
      <c r="RA96" s="1004"/>
      <c r="RB96" s="1004"/>
      <c r="RC96" s="1004"/>
      <c r="RD96" s="1004"/>
      <c r="RE96" s="1004"/>
      <c r="RF96" s="1004"/>
      <c r="RG96" s="1004"/>
      <c r="RH96" s="1004"/>
      <c r="RI96" s="1004"/>
      <c r="RJ96" s="1004"/>
      <c r="RK96" s="1004"/>
      <c r="RL96" s="1004"/>
      <c r="RM96" s="1004"/>
      <c r="RN96" s="1004"/>
      <c r="RO96" s="1004"/>
      <c r="RP96" s="1004"/>
      <c r="RQ96" s="1004"/>
      <c r="RR96" s="1004"/>
      <c r="RS96" s="1004"/>
      <c r="RT96" s="1004"/>
      <c r="RU96" s="1004"/>
      <c r="RV96" s="1004"/>
      <c r="RW96" s="1004"/>
      <c r="RX96" s="1004"/>
      <c r="RY96" s="1004"/>
      <c r="RZ96" s="1004"/>
      <c r="SA96" s="1004"/>
      <c r="SB96" s="1004"/>
      <c r="SC96" s="1004"/>
      <c r="SD96" s="1004"/>
      <c r="SE96" s="1004"/>
      <c r="SF96" s="1004"/>
      <c r="SG96" s="1004"/>
      <c r="SH96" s="1004"/>
      <c r="SI96" s="1004"/>
      <c r="SJ96" s="1004"/>
      <c r="SK96" s="1004"/>
      <c r="SL96" s="1004"/>
      <c r="SM96" s="1004"/>
      <c r="SN96" s="1004"/>
      <c r="SO96" s="1004"/>
      <c r="SP96" s="1004"/>
      <c r="SQ96" s="1004"/>
      <c r="SR96" s="1004"/>
      <c r="SS96" s="1004"/>
      <c r="ST96" s="1004"/>
      <c r="SU96" s="1004"/>
      <c r="SV96" s="1004"/>
      <c r="SW96" s="1004"/>
      <c r="SX96" s="1004"/>
      <c r="SY96" s="1004"/>
      <c r="SZ96" s="1004"/>
      <c r="TA96" s="1004"/>
      <c r="TB96" s="1004"/>
      <c r="TC96" s="1004"/>
      <c r="TD96" s="1004"/>
      <c r="TE96" s="1004"/>
      <c r="TF96" s="1004"/>
      <c r="TG96" s="1004"/>
      <c r="TH96" s="1004"/>
      <c r="TI96" s="1004"/>
      <c r="TJ96" s="1004"/>
      <c r="TK96" s="1004"/>
      <c r="TL96" s="1004"/>
      <c r="TM96" s="1004"/>
      <c r="TN96" s="1004"/>
      <c r="TO96" s="1004"/>
      <c r="TP96" s="1004"/>
      <c r="TQ96" s="1004"/>
      <c r="TR96" s="1004"/>
      <c r="TS96" s="1004"/>
      <c r="TT96" s="1004"/>
      <c r="TU96" s="1004"/>
      <c r="TV96" s="1004"/>
      <c r="TW96" s="1004"/>
      <c r="TX96" s="1004"/>
      <c r="TY96" s="1004"/>
      <c r="TZ96" s="1004"/>
      <c r="UA96" s="1004"/>
      <c r="UB96" s="1004"/>
      <c r="UC96" s="1004"/>
      <c r="UD96" s="1004"/>
      <c r="UE96" s="1004"/>
      <c r="UF96" s="1004"/>
      <c r="UG96" s="1004"/>
      <c r="UH96" s="1004"/>
      <c r="UI96" s="1004"/>
      <c r="UJ96" s="1004"/>
      <c r="UK96" s="1004"/>
      <c r="UL96" s="1004"/>
      <c r="UM96" s="1004"/>
      <c r="UN96" s="1004"/>
      <c r="UO96" s="1004"/>
      <c r="UP96" s="1004"/>
      <c r="UQ96" s="1004"/>
      <c r="UR96" s="1004"/>
      <c r="US96" s="1004"/>
      <c r="UT96" s="1004"/>
      <c r="UU96" s="1004"/>
      <c r="UV96" s="1004"/>
      <c r="UW96" s="1004"/>
      <c r="UX96" s="1004"/>
      <c r="UY96" s="1004"/>
      <c r="UZ96" s="1004"/>
      <c r="VA96" s="1004"/>
      <c r="VB96" s="1004"/>
      <c r="VC96" s="1004"/>
      <c r="VD96" s="1004"/>
      <c r="VE96" s="1004"/>
      <c r="VF96" s="1004"/>
      <c r="VG96" s="1004"/>
      <c r="VH96" s="1004"/>
      <c r="VI96" s="1004"/>
      <c r="VJ96" s="1004"/>
      <c r="VK96" s="1004"/>
      <c r="VL96" s="1004"/>
      <c r="VM96" s="1004"/>
      <c r="VN96" s="1004"/>
      <c r="VO96" s="1004"/>
      <c r="VP96" s="1004"/>
      <c r="VQ96" s="1004"/>
      <c r="VR96" s="1004"/>
      <c r="VS96" s="1004"/>
      <c r="VT96" s="1004"/>
      <c r="VU96" s="1004"/>
      <c r="VV96" s="1004"/>
      <c r="VW96" s="1004"/>
      <c r="VX96" s="1004"/>
      <c r="VY96" s="1004"/>
      <c r="VZ96" s="1004"/>
      <c r="WA96" s="1004"/>
      <c r="WB96" s="1004"/>
      <c r="WC96" s="1004"/>
      <c r="WD96" s="1004"/>
      <c r="WE96" s="1004"/>
      <c r="WF96" s="1004"/>
      <c r="WG96" s="1004"/>
      <c r="WH96" s="1004"/>
      <c r="WI96" s="1004"/>
      <c r="WJ96" s="1004"/>
      <c r="WK96" s="1004"/>
      <c r="WL96" s="1004"/>
      <c r="WM96" s="1004"/>
      <c r="WN96" s="1004"/>
      <c r="WO96" s="1004"/>
      <c r="WP96" s="1004"/>
      <c r="WQ96" s="1004"/>
      <c r="WR96" s="1004"/>
      <c r="WS96" s="1004"/>
      <c r="WT96" s="1004"/>
      <c r="WU96" s="1004"/>
      <c r="WV96" s="1004"/>
      <c r="WW96" s="1004"/>
      <c r="WX96" s="1004"/>
      <c r="WY96" s="1004"/>
      <c r="WZ96" s="1004"/>
      <c r="XA96" s="1004"/>
      <c r="XB96" s="1004"/>
      <c r="XC96" s="1004"/>
      <c r="XD96" s="1004"/>
      <c r="XE96" s="1004"/>
      <c r="XF96" s="1004"/>
      <c r="XG96" s="1004"/>
      <c r="XH96" s="1004"/>
      <c r="XI96" s="1004"/>
      <c r="XJ96" s="1004"/>
      <c r="XK96" s="1004"/>
      <c r="XL96" s="1004"/>
      <c r="XM96" s="1004"/>
      <c r="XN96" s="1004"/>
      <c r="XO96" s="1004"/>
      <c r="XP96" s="1004"/>
      <c r="XQ96" s="1004"/>
      <c r="XR96" s="1004"/>
      <c r="XS96" s="1004"/>
      <c r="XT96" s="1004"/>
      <c r="XU96" s="1004"/>
      <c r="XV96" s="1004"/>
      <c r="XW96" s="1004"/>
      <c r="XX96" s="1004"/>
      <c r="XY96" s="1004"/>
      <c r="XZ96" s="1004"/>
      <c r="YA96" s="1004"/>
      <c r="YB96" s="1004"/>
      <c r="YC96" s="1004"/>
      <c r="YD96" s="1004"/>
      <c r="YE96" s="1004"/>
      <c r="YF96" s="1004"/>
      <c r="YG96" s="1004"/>
      <c r="YH96" s="1004"/>
      <c r="YI96" s="1004"/>
      <c r="YJ96" s="1004"/>
      <c r="YK96" s="1004"/>
      <c r="YL96" s="1004"/>
      <c r="YM96" s="1004"/>
      <c r="YN96" s="1004"/>
      <c r="YO96" s="1004"/>
      <c r="YP96" s="1004"/>
      <c r="YQ96" s="1004"/>
      <c r="YR96" s="1004"/>
      <c r="YS96" s="1004"/>
      <c r="YT96" s="1004"/>
      <c r="YU96" s="1004"/>
      <c r="YV96" s="1004"/>
      <c r="YW96" s="1004"/>
      <c r="YX96" s="1004"/>
      <c r="YY96" s="1004"/>
      <c r="YZ96" s="1004"/>
      <c r="ZA96" s="1004"/>
      <c r="ZB96" s="1004"/>
      <c r="ZC96" s="1004"/>
      <c r="ZD96" s="1004"/>
      <c r="ZE96" s="1004"/>
      <c r="ZF96" s="1004"/>
      <c r="ZG96" s="1004"/>
      <c r="ZH96" s="1004"/>
      <c r="ZI96" s="1004"/>
      <c r="ZJ96" s="1004"/>
      <c r="ZK96" s="1004"/>
      <c r="ZL96" s="1004"/>
      <c r="ZM96" s="1004"/>
      <c r="ZN96" s="1004"/>
      <c r="ZO96" s="1004"/>
      <c r="ZP96" s="1004"/>
      <c r="ZQ96" s="1004"/>
      <c r="ZR96" s="1004"/>
      <c r="ZS96" s="1004"/>
      <c r="ZT96" s="1004"/>
      <c r="ZU96" s="1004"/>
      <c r="ZV96" s="1004"/>
      <c r="ZW96" s="1004"/>
      <c r="ZX96" s="1004"/>
      <c r="ZY96" s="1004"/>
      <c r="ZZ96" s="1004"/>
      <c r="AAA96" s="1004"/>
      <c r="AAB96" s="1004"/>
      <c r="AAC96" s="1004"/>
      <c r="AAD96" s="1004"/>
      <c r="AAE96" s="1004"/>
      <c r="AAF96" s="1004"/>
      <c r="AAG96" s="1004"/>
      <c r="AAH96" s="1004"/>
      <c r="AAI96" s="1004"/>
      <c r="AAJ96" s="1004"/>
      <c r="AAK96" s="1004"/>
      <c r="AAL96" s="1004"/>
      <c r="AAM96" s="1004"/>
      <c r="AAN96" s="1004"/>
      <c r="AAO96" s="1004"/>
      <c r="AAP96" s="1004"/>
      <c r="AAQ96" s="1004"/>
      <c r="AAR96" s="1004"/>
      <c r="AAS96" s="1004"/>
      <c r="AAT96" s="1004"/>
      <c r="AAU96" s="1004"/>
      <c r="AAV96" s="1004"/>
      <c r="AAW96" s="1004"/>
      <c r="AAX96" s="1004"/>
      <c r="AAY96" s="1004"/>
      <c r="AAZ96" s="1004"/>
      <c r="ABA96" s="1004"/>
      <c r="ABB96" s="1004"/>
      <c r="ABC96" s="1004"/>
      <c r="ABD96" s="1004"/>
      <c r="ABE96" s="1004"/>
      <c r="ABF96" s="1004"/>
      <c r="ABG96" s="1004"/>
      <c r="ABH96" s="1004"/>
      <c r="ABI96" s="1004"/>
      <c r="ABJ96" s="1004"/>
      <c r="ABK96" s="1004"/>
      <c r="ABL96" s="1004"/>
      <c r="ABM96" s="1004"/>
      <c r="ABN96" s="1004"/>
      <c r="ABO96" s="1004"/>
      <c r="ABP96" s="1004"/>
      <c r="ABQ96" s="1004"/>
      <c r="ABR96" s="1004"/>
    </row>
    <row r="97" spans="1:746" s="1" customFormat="1" ht="12.9" hidden="1" customHeight="1">
      <c r="A97" s="1254"/>
      <c r="B97" s="1261" t="s">
        <v>1049</v>
      </c>
      <c r="C97" s="1263"/>
      <c r="D97" s="550"/>
      <c r="E97" s="1899">
        <v>0.31419999999999998</v>
      </c>
      <c r="F97" s="1856"/>
      <c r="G97" s="1902">
        <v>0.3</v>
      </c>
      <c r="H97" s="2168">
        <f t="shared" si="15"/>
        <v>0.7</v>
      </c>
      <c r="I97" s="2364"/>
      <c r="J97" s="809"/>
      <c r="K97" s="809"/>
      <c r="L97" s="809"/>
      <c r="M97" s="809"/>
      <c r="N97" s="809"/>
      <c r="O97" s="809"/>
      <c r="P97" s="809"/>
      <c r="Q97" s="809"/>
      <c r="R97" s="809"/>
      <c r="S97" s="809"/>
      <c r="T97" s="809"/>
      <c r="U97" s="794"/>
      <c r="V97" s="794"/>
      <c r="W97" s="794"/>
      <c r="X97" s="794"/>
      <c r="Y97" s="794"/>
      <c r="Z97" s="794"/>
      <c r="AA97" s="794"/>
      <c r="AB97" s="794"/>
      <c r="AC97" s="794"/>
      <c r="AD97" s="794"/>
      <c r="AE97" s="794"/>
      <c r="AF97" s="794"/>
      <c r="AG97" s="1042"/>
      <c r="AH97" s="359"/>
      <c r="AI97" s="359"/>
      <c r="AJ97" s="1854">
        <f>IF(fx!$C$57=1,SUMIF(fx!I$57:T$57,1,I97:T97),IF(fx!$C$57=2,SUMIF(fx!O$57:AF$57,1,O97:AF97)))</f>
        <v>0</v>
      </c>
      <c r="AK97" s="434"/>
      <c r="AL97" s="1855">
        <f>IF(fx!$C$57=1,SUM(U97:AF97),0)</f>
        <v>0</v>
      </c>
      <c r="AM97" s="1021"/>
      <c r="AN97" s="1005"/>
      <c r="AO97" s="1945" t="s">
        <v>1254</v>
      </c>
      <c r="AP97" s="1935"/>
      <c r="AQ97" s="1936"/>
      <c r="AR97" s="1941">
        <v>100</v>
      </c>
      <c r="AS97" s="1941"/>
      <c r="AT97" s="1941"/>
      <c r="AU97" s="1941"/>
      <c r="AV97" s="1941"/>
      <c r="AW97" s="1941"/>
      <c r="AX97" s="1941"/>
      <c r="AY97" s="1941"/>
      <c r="AZ97" s="1941"/>
      <c r="BA97" s="1941"/>
      <c r="BB97" s="1941"/>
      <c r="BC97" s="1941"/>
      <c r="BD97" s="1941"/>
      <c r="BE97" s="1941"/>
      <c r="BF97" s="1941"/>
      <c r="BG97" s="1941"/>
      <c r="BH97" s="1941"/>
      <c r="BI97" s="1941"/>
      <c r="BJ97" s="1941"/>
      <c r="BK97" s="1941"/>
      <c r="BL97" s="1941"/>
      <c r="BM97" s="1941"/>
      <c r="BN97" s="1941"/>
      <c r="BO97" s="1941"/>
      <c r="BP97" s="1004"/>
      <c r="BQ97" s="1004"/>
      <c r="BR97" s="1004"/>
      <c r="BS97" s="1004"/>
      <c r="BT97" s="1004"/>
      <c r="BU97" s="1004"/>
      <c r="BV97" s="1004"/>
      <c r="BW97" s="1004"/>
      <c r="BX97" s="1004"/>
      <c r="BY97" s="1004"/>
      <c r="BZ97" s="1004"/>
      <c r="CA97" s="1004"/>
      <c r="CB97" s="1004"/>
      <c r="CC97" s="1004"/>
      <c r="CD97" s="1004"/>
      <c r="CE97" s="1004"/>
      <c r="CF97" s="1004"/>
      <c r="CG97" s="1004"/>
      <c r="CH97" s="1004"/>
      <c r="CI97" s="1004"/>
      <c r="CJ97" s="1004"/>
      <c r="CK97" s="1004"/>
      <c r="CL97" s="1004"/>
      <c r="CM97" s="1004"/>
      <c r="CN97" s="1004"/>
      <c r="CO97" s="1004"/>
      <c r="CP97" s="1004"/>
      <c r="CQ97" s="1004"/>
      <c r="CR97" s="1004"/>
      <c r="CS97" s="1004"/>
      <c r="CT97" s="1004"/>
      <c r="CU97" s="1004"/>
      <c r="CV97" s="1004"/>
      <c r="CW97" s="1004"/>
      <c r="CX97" s="1004"/>
      <c r="CY97" s="1004"/>
      <c r="CZ97" s="1004"/>
      <c r="DA97" s="1004"/>
      <c r="DB97" s="1004"/>
      <c r="DC97" s="1004"/>
      <c r="DD97" s="1004"/>
      <c r="DE97" s="1004"/>
      <c r="DF97" s="1004"/>
      <c r="DG97" s="1004"/>
      <c r="DH97" s="1004"/>
      <c r="DI97" s="1004"/>
      <c r="DJ97" s="1004"/>
      <c r="DK97" s="1004"/>
      <c r="DL97" s="1004"/>
      <c r="DM97" s="1004"/>
      <c r="DN97" s="1004"/>
      <c r="DO97" s="1004"/>
      <c r="DP97" s="1004"/>
      <c r="DQ97" s="1004"/>
      <c r="DR97" s="1004"/>
      <c r="DS97" s="1004"/>
      <c r="DT97" s="1004"/>
      <c r="DU97" s="1004"/>
      <c r="DV97" s="1004"/>
      <c r="DW97" s="1004"/>
      <c r="DX97" s="1004"/>
      <c r="DY97" s="1004"/>
      <c r="DZ97" s="1004"/>
      <c r="EA97" s="1004"/>
      <c r="EB97" s="1004"/>
      <c r="EC97" s="1004"/>
      <c r="ED97" s="1004"/>
      <c r="EE97" s="1004"/>
      <c r="EF97" s="1004"/>
      <c r="EG97" s="1004"/>
      <c r="EH97" s="1004"/>
      <c r="EI97" s="1004"/>
      <c r="EJ97" s="1004"/>
      <c r="EK97" s="1004"/>
      <c r="EL97" s="1004"/>
      <c r="EM97" s="1004"/>
      <c r="EN97" s="1004"/>
      <c r="EO97" s="1004"/>
      <c r="EP97" s="1004"/>
      <c r="EQ97" s="1004"/>
      <c r="ER97" s="1004"/>
      <c r="ES97" s="1004"/>
      <c r="ET97" s="1004"/>
      <c r="EU97" s="1004"/>
      <c r="EV97" s="1004"/>
      <c r="EW97" s="1004"/>
      <c r="EX97" s="1004"/>
      <c r="EY97" s="1004"/>
      <c r="EZ97" s="1004"/>
      <c r="FA97" s="1004"/>
      <c r="FB97" s="1004"/>
      <c r="FC97" s="1004"/>
      <c r="FD97" s="1004"/>
      <c r="FE97" s="1004"/>
      <c r="FF97" s="1004"/>
      <c r="FG97" s="1004"/>
      <c r="FH97" s="1004"/>
      <c r="FI97" s="1004"/>
      <c r="FJ97" s="1004"/>
      <c r="FK97" s="1004"/>
      <c r="FL97" s="1004"/>
      <c r="FM97" s="1004"/>
      <c r="FN97" s="1004"/>
      <c r="FO97" s="1004"/>
      <c r="FP97" s="1004"/>
      <c r="FQ97" s="1004"/>
      <c r="FR97" s="1004"/>
      <c r="FS97" s="1004"/>
      <c r="FT97" s="1004"/>
      <c r="FU97" s="1004"/>
      <c r="FV97" s="1004"/>
      <c r="FW97" s="1004"/>
      <c r="FX97" s="1004"/>
      <c r="FY97" s="1004"/>
      <c r="FZ97" s="1004"/>
      <c r="GA97" s="1004"/>
      <c r="GB97" s="1004"/>
      <c r="GC97" s="1004"/>
      <c r="GD97" s="1004"/>
      <c r="GE97" s="1004"/>
      <c r="GF97" s="1004"/>
      <c r="GG97" s="1004"/>
      <c r="GH97" s="1004"/>
      <c r="GI97" s="1004"/>
      <c r="GJ97" s="1004"/>
      <c r="GK97" s="1004"/>
      <c r="GL97" s="1004"/>
      <c r="GM97" s="1004"/>
      <c r="GN97" s="1004"/>
      <c r="GO97" s="1004"/>
      <c r="GP97" s="1004"/>
      <c r="GQ97" s="1004"/>
      <c r="GR97" s="1004"/>
      <c r="GS97" s="1004"/>
      <c r="GT97" s="1004"/>
      <c r="GU97" s="1004"/>
      <c r="GV97" s="1004"/>
      <c r="GW97" s="1004"/>
      <c r="GX97" s="1004"/>
      <c r="GY97" s="1004"/>
      <c r="GZ97" s="1004"/>
      <c r="HA97" s="1004"/>
      <c r="HB97" s="1004"/>
      <c r="HC97" s="1004"/>
      <c r="HD97" s="1004"/>
      <c r="HE97" s="1004"/>
      <c r="HF97" s="1004"/>
      <c r="HG97" s="1004"/>
      <c r="HH97" s="1004"/>
      <c r="HI97" s="1004"/>
      <c r="HJ97" s="1004"/>
      <c r="HK97" s="1004"/>
      <c r="HL97" s="1004"/>
      <c r="HM97" s="1004"/>
      <c r="HN97" s="1004"/>
      <c r="HO97" s="1004"/>
      <c r="HP97" s="1004"/>
      <c r="HQ97" s="1004"/>
      <c r="HR97" s="1004"/>
      <c r="HS97" s="1004"/>
      <c r="HT97" s="1004"/>
      <c r="HU97" s="1004"/>
      <c r="HV97" s="1004"/>
      <c r="HW97" s="1004"/>
      <c r="HX97" s="1004"/>
      <c r="HY97" s="1004"/>
      <c r="HZ97" s="1004"/>
      <c r="IA97" s="1004"/>
      <c r="IB97" s="1004"/>
      <c r="IC97" s="1004"/>
      <c r="ID97" s="1004"/>
      <c r="IE97" s="1004"/>
      <c r="IF97" s="1004"/>
      <c r="IG97" s="1004"/>
      <c r="IH97" s="1004"/>
      <c r="II97" s="1004"/>
      <c r="IJ97" s="1004"/>
      <c r="IK97" s="1004"/>
      <c r="IL97" s="1004"/>
      <c r="IM97" s="1004"/>
      <c r="IN97" s="1004"/>
      <c r="IO97" s="1004"/>
      <c r="IP97" s="1004"/>
      <c r="IQ97" s="1004"/>
      <c r="IR97" s="1004"/>
      <c r="IS97" s="1004"/>
      <c r="IT97" s="1004"/>
      <c r="IU97" s="1004"/>
      <c r="IV97" s="1004"/>
      <c r="IW97" s="1004"/>
      <c r="IX97" s="1004"/>
      <c r="IY97" s="1004"/>
      <c r="IZ97" s="1004"/>
      <c r="JA97" s="1004"/>
      <c r="JB97" s="1004"/>
      <c r="JC97" s="1004"/>
      <c r="JD97" s="1004"/>
      <c r="JE97" s="1004"/>
      <c r="JF97" s="1004"/>
      <c r="JG97" s="1004"/>
      <c r="JH97" s="1004"/>
      <c r="JI97" s="1004"/>
      <c r="JJ97" s="1004"/>
      <c r="JK97" s="1004"/>
      <c r="JL97" s="1004"/>
      <c r="JM97" s="1004"/>
      <c r="JN97" s="1004"/>
      <c r="JO97" s="1004"/>
      <c r="JP97" s="1004"/>
      <c r="JQ97" s="1004"/>
      <c r="JR97" s="1004"/>
      <c r="JS97" s="1004"/>
      <c r="JT97" s="1004"/>
      <c r="JU97" s="1004"/>
      <c r="JV97" s="1004"/>
      <c r="JW97" s="1004"/>
      <c r="JX97" s="1004"/>
      <c r="JY97" s="1004"/>
      <c r="JZ97" s="1004"/>
      <c r="KA97" s="1004"/>
      <c r="KB97" s="1004"/>
      <c r="KC97" s="1004"/>
      <c r="KD97" s="1004"/>
      <c r="KE97" s="1004"/>
      <c r="KF97" s="1004"/>
      <c r="KG97" s="1004"/>
      <c r="KH97" s="1004"/>
      <c r="KI97" s="1004"/>
      <c r="KJ97" s="1004"/>
      <c r="KK97" s="1004"/>
      <c r="KL97" s="1004"/>
      <c r="KM97" s="1004"/>
      <c r="KN97" s="1004"/>
      <c r="KO97" s="1004"/>
      <c r="KP97" s="1004"/>
      <c r="KQ97" s="1004"/>
      <c r="KR97" s="1004"/>
      <c r="KS97" s="1004"/>
      <c r="KT97" s="1004"/>
      <c r="KU97" s="1004"/>
      <c r="KV97" s="1004"/>
      <c r="KW97" s="1004"/>
      <c r="KX97" s="1004"/>
      <c r="KY97" s="1004"/>
      <c r="KZ97" s="1004"/>
      <c r="LA97" s="1004"/>
      <c r="LB97" s="1004"/>
      <c r="LC97" s="1004"/>
      <c r="LD97" s="1004"/>
      <c r="LE97" s="1004"/>
      <c r="LF97" s="1004"/>
      <c r="LG97" s="1004"/>
      <c r="LH97" s="1004"/>
      <c r="LI97" s="1004"/>
      <c r="LJ97" s="1004"/>
      <c r="LK97" s="1004"/>
      <c r="LL97" s="1004"/>
      <c r="LM97" s="1004"/>
      <c r="LN97" s="1004"/>
      <c r="LO97" s="1004"/>
      <c r="LP97" s="1004"/>
      <c r="LQ97" s="1004"/>
      <c r="LR97" s="1004"/>
      <c r="LS97" s="1004"/>
      <c r="LT97" s="1004"/>
      <c r="LU97" s="1004"/>
      <c r="LV97" s="1004"/>
      <c r="LW97" s="1004"/>
      <c r="LX97" s="1004"/>
      <c r="LY97" s="1004"/>
      <c r="LZ97" s="1004"/>
      <c r="MA97" s="1004"/>
      <c r="MB97" s="1004"/>
      <c r="MC97" s="1004"/>
      <c r="MD97" s="1004"/>
      <c r="ME97" s="1004"/>
      <c r="MF97" s="1004"/>
      <c r="MG97" s="1004"/>
      <c r="MH97" s="1004"/>
      <c r="MI97" s="1004"/>
      <c r="MJ97" s="1004"/>
      <c r="MK97" s="1004"/>
      <c r="ML97" s="1004"/>
      <c r="MM97" s="1004"/>
      <c r="MN97" s="1004"/>
      <c r="MO97" s="1004"/>
      <c r="MP97" s="1004"/>
      <c r="MQ97" s="1004"/>
      <c r="MR97" s="1004"/>
      <c r="MS97" s="1004"/>
      <c r="MT97" s="1004"/>
      <c r="MU97" s="1004"/>
      <c r="MV97" s="1004"/>
      <c r="MW97" s="1004"/>
      <c r="MX97" s="1004"/>
      <c r="MY97" s="1004"/>
      <c r="MZ97" s="1004"/>
      <c r="NA97" s="1004"/>
      <c r="NB97" s="1004"/>
      <c r="NC97" s="1004"/>
      <c r="ND97" s="1004"/>
      <c r="NE97" s="1004"/>
      <c r="NF97" s="1004"/>
      <c r="NG97" s="1004"/>
      <c r="NH97" s="1004"/>
      <c r="NI97" s="1004"/>
      <c r="NJ97" s="1004"/>
      <c r="NK97" s="1004"/>
      <c r="NL97" s="1004"/>
      <c r="NM97" s="1004"/>
      <c r="NN97" s="1004"/>
      <c r="NO97" s="1004"/>
      <c r="NP97" s="1004"/>
      <c r="NQ97" s="1004"/>
      <c r="NR97" s="1004"/>
      <c r="NS97" s="1004"/>
      <c r="NT97" s="1004"/>
      <c r="NU97" s="1004"/>
      <c r="NV97" s="1004"/>
      <c r="NW97" s="1004"/>
      <c r="NX97" s="1004"/>
      <c r="NY97" s="1004"/>
      <c r="NZ97" s="1004"/>
      <c r="OA97" s="1004"/>
      <c r="OB97" s="1004"/>
      <c r="OC97" s="1004"/>
      <c r="OD97" s="1004"/>
      <c r="OE97" s="1004"/>
      <c r="OF97" s="1004"/>
      <c r="OG97" s="1004"/>
      <c r="OH97" s="1004"/>
      <c r="OI97" s="1004"/>
      <c r="OJ97" s="1004"/>
      <c r="OK97" s="1004"/>
      <c r="OL97" s="1004"/>
      <c r="OM97" s="1004"/>
      <c r="ON97" s="1004"/>
      <c r="OO97" s="1004"/>
      <c r="OP97" s="1004"/>
      <c r="OQ97" s="1004"/>
      <c r="OR97" s="1004"/>
      <c r="OS97" s="1004"/>
      <c r="OT97" s="1004"/>
      <c r="OU97" s="1004"/>
      <c r="OV97" s="1004"/>
      <c r="OW97" s="1004"/>
      <c r="OX97" s="1004"/>
      <c r="OY97" s="1004"/>
      <c r="OZ97" s="1004"/>
      <c r="PA97" s="1004"/>
      <c r="PB97" s="1004"/>
      <c r="PC97" s="1004"/>
      <c r="PD97" s="1004"/>
      <c r="PE97" s="1004"/>
      <c r="PF97" s="1004"/>
      <c r="PG97" s="1004"/>
      <c r="PH97" s="1004"/>
      <c r="PI97" s="1004"/>
      <c r="PJ97" s="1004"/>
      <c r="PK97" s="1004"/>
      <c r="PL97" s="1004"/>
      <c r="PM97" s="1004"/>
      <c r="PN97" s="1004"/>
      <c r="PO97" s="1004"/>
      <c r="PP97" s="1004"/>
      <c r="PQ97" s="1004"/>
      <c r="PR97" s="1004"/>
      <c r="PS97" s="1004"/>
      <c r="PT97" s="1004"/>
      <c r="PU97" s="1004"/>
      <c r="PV97" s="1004"/>
      <c r="PW97" s="1004"/>
      <c r="PX97" s="1004"/>
      <c r="PY97" s="1004"/>
      <c r="PZ97" s="1004"/>
      <c r="QA97" s="1004"/>
      <c r="QB97" s="1004"/>
      <c r="QC97" s="1004"/>
      <c r="QD97" s="1004"/>
      <c r="QE97" s="1004"/>
      <c r="QF97" s="1004"/>
      <c r="QG97" s="1004"/>
      <c r="QH97" s="1004"/>
      <c r="QI97" s="1004"/>
      <c r="QJ97" s="1004"/>
      <c r="QK97" s="1004"/>
      <c r="QL97" s="1004"/>
      <c r="QM97" s="1004"/>
      <c r="QN97" s="1004"/>
      <c r="QO97" s="1004"/>
      <c r="QP97" s="1004"/>
      <c r="QQ97" s="1004"/>
      <c r="QR97" s="1004"/>
      <c r="QS97" s="1004"/>
      <c r="QT97" s="1004"/>
      <c r="QU97" s="1004"/>
      <c r="QV97" s="1004"/>
      <c r="QW97" s="1004"/>
      <c r="QX97" s="1004"/>
      <c r="QY97" s="1004"/>
      <c r="QZ97" s="1004"/>
      <c r="RA97" s="1004"/>
      <c r="RB97" s="1004"/>
      <c r="RC97" s="1004"/>
      <c r="RD97" s="1004"/>
      <c r="RE97" s="1004"/>
      <c r="RF97" s="1004"/>
      <c r="RG97" s="1004"/>
      <c r="RH97" s="1004"/>
      <c r="RI97" s="1004"/>
      <c r="RJ97" s="1004"/>
      <c r="RK97" s="1004"/>
      <c r="RL97" s="1004"/>
      <c r="RM97" s="1004"/>
      <c r="RN97" s="1004"/>
      <c r="RO97" s="1004"/>
      <c r="RP97" s="1004"/>
      <c r="RQ97" s="1004"/>
      <c r="RR97" s="1004"/>
      <c r="RS97" s="1004"/>
      <c r="RT97" s="1004"/>
      <c r="RU97" s="1004"/>
      <c r="RV97" s="1004"/>
      <c r="RW97" s="1004"/>
      <c r="RX97" s="1004"/>
      <c r="RY97" s="1004"/>
      <c r="RZ97" s="1004"/>
      <c r="SA97" s="1004"/>
      <c r="SB97" s="1004"/>
      <c r="SC97" s="1004"/>
      <c r="SD97" s="1004"/>
      <c r="SE97" s="1004"/>
      <c r="SF97" s="1004"/>
      <c r="SG97" s="1004"/>
      <c r="SH97" s="1004"/>
      <c r="SI97" s="1004"/>
      <c r="SJ97" s="1004"/>
      <c r="SK97" s="1004"/>
      <c r="SL97" s="1004"/>
      <c r="SM97" s="1004"/>
      <c r="SN97" s="1004"/>
      <c r="SO97" s="1004"/>
      <c r="SP97" s="1004"/>
      <c r="SQ97" s="1004"/>
      <c r="SR97" s="1004"/>
      <c r="SS97" s="1004"/>
      <c r="ST97" s="1004"/>
      <c r="SU97" s="1004"/>
      <c r="SV97" s="1004"/>
      <c r="SW97" s="1004"/>
      <c r="SX97" s="1004"/>
      <c r="SY97" s="1004"/>
      <c r="SZ97" s="1004"/>
      <c r="TA97" s="1004"/>
      <c r="TB97" s="1004"/>
      <c r="TC97" s="1004"/>
      <c r="TD97" s="1004"/>
      <c r="TE97" s="1004"/>
      <c r="TF97" s="1004"/>
      <c r="TG97" s="1004"/>
      <c r="TH97" s="1004"/>
      <c r="TI97" s="1004"/>
      <c r="TJ97" s="1004"/>
      <c r="TK97" s="1004"/>
      <c r="TL97" s="1004"/>
      <c r="TM97" s="1004"/>
      <c r="TN97" s="1004"/>
      <c r="TO97" s="1004"/>
      <c r="TP97" s="1004"/>
      <c r="TQ97" s="1004"/>
      <c r="TR97" s="1004"/>
      <c r="TS97" s="1004"/>
      <c r="TT97" s="1004"/>
      <c r="TU97" s="1004"/>
      <c r="TV97" s="1004"/>
      <c r="TW97" s="1004"/>
      <c r="TX97" s="1004"/>
      <c r="TY97" s="1004"/>
      <c r="TZ97" s="1004"/>
      <c r="UA97" s="1004"/>
      <c r="UB97" s="1004"/>
      <c r="UC97" s="1004"/>
      <c r="UD97" s="1004"/>
      <c r="UE97" s="1004"/>
      <c r="UF97" s="1004"/>
      <c r="UG97" s="1004"/>
      <c r="UH97" s="1004"/>
      <c r="UI97" s="1004"/>
      <c r="UJ97" s="1004"/>
      <c r="UK97" s="1004"/>
      <c r="UL97" s="1004"/>
      <c r="UM97" s="1004"/>
      <c r="UN97" s="1004"/>
      <c r="UO97" s="1004"/>
      <c r="UP97" s="1004"/>
      <c r="UQ97" s="1004"/>
      <c r="UR97" s="1004"/>
      <c r="US97" s="1004"/>
      <c r="UT97" s="1004"/>
      <c r="UU97" s="1004"/>
      <c r="UV97" s="1004"/>
      <c r="UW97" s="1004"/>
      <c r="UX97" s="1004"/>
      <c r="UY97" s="1004"/>
      <c r="UZ97" s="1004"/>
      <c r="VA97" s="1004"/>
      <c r="VB97" s="1004"/>
      <c r="VC97" s="1004"/>
      <c r="VD97" s="1004"/>
      <c r="VE97" s="1004"/>
      <c r="VF97" s="1004"/>
      <c r="VG97" s="1004"/>
      <c r="VH97" s="1004"/>
      <c r="VI97" s="1004"/>
      <c r="VJ97" s="1004"/>
      <c r="VK97" s="1004"/>
      <c r="VL97" s="1004"/>
      <c r="VM97" s="1004"/>
      <c r="VN97" s="1004"/>
      <c r="VO97" s="1004"/>
      <c r="VP97" s="1004"/>
      <c r="VQ97" s="1004"/>
      <c r="VR97" s="1004"/>
      <c r="VS97" s="1004"/>
      <c r="VT97" s="1004"/>
      <c r="VU97" s="1004"/>
      <c r="VV97" s="1004"/>
      <c r="VW97" s="1004"/>
      <c r="VX97" s="1004"/>
      <c r="VY97" s="1004"/>
      <c r="VZ97" s="1004"/>
      <c r="WA97" s="1004"/>
      <c r="WB97" s="1004"/>
      <c r="WC97" s="1004"/>
      <c r="WD97" s="1004"/>
      <c r="WE97" s="1004"/>
      <c r="WF97" s="1004"/>
      <c r="WG97" s="1004"/>
      <c r="WH97" s="1004"/>
      <c r="WI97" s="1004"/>
      <c r="WJ97" s="1004"/>
      <c r="WK97" s="1004"/>
      <c r="WL97" s="1004"/>
      <c r="WM97" s="1004"/>
      <c r="WN97" s="1004"/>
      <c r="WO97" s="1004"/>
      <c r="WP97" s="1004"/>
      <c r="WQ97" s="1004"/>
      <c r="WR97" s="1004"/>
      <c r="WS97" s="1004"/>
      <c r="WT97" s="1004"/>
      <c r="WU97" s="1004"/>
      <c r="WV97" s="1004"/>
      <c r="WW97" s="1004"/>
      <c r="WX97" s="1004"/>
      <c r="WY97" s="1004"/>
      <c r="WZ97" s="1004"/>
      <c r="XA97" s="1004"/>
      <c r="XB97" s="1004"/>
      <c r="XC97" s="1004"/>
      <c r="XD97" s="1004"/>
      <c r="XE97" s="1004"/>
      <c r="XF97" s="1004"/>
      <c r="XG97" s="1004"/>
      <c r="XH97" s="1004"/>
      <c r="XI97" s="1004"/>
      <c r="XJ97" s="1004"/>
      <c r="XK97" s="1004"/>
      <c r="XL97" s="1004"/>
      <c r="XM97" s="1004"/>
      <c r="XN97" s="1004"/>
      <c r="XO97" s="1004"/>
      <c r="XP97" s="1004"/>
      <c r="XQ97" s="1004"/>
      <c r="XR97" s="1004"/>
      <c r="XS97" s="1004"/>
      <c r="XT97" s="1004"/>
      <c r="XU97" s="1004"/>
      <c r="XV97" s="1004"/>
      <c r="XW97" s="1004"/>
      <c r="XX97" s="1004"/>
      <c r="XY97" s="1004"/>
      <c r="XZ97" s="1004"/>
      <c r="YA97" s="1004"/>
      <c r="YB97" s="1004"/>
      <c r="YC97" s="1004"/>
      <c r="YD97" s="1004"/>
      <c r="YE97" s="1004"/>
      <c r="YF97" s="1004"/>
      <c r="YG97" s="1004"/>
      <c r="YH97" s="1004"/>
      <c r="YI97" s="1004"/>
      <c r="YJ97" s="1004"/>
      <c r="YK97" s="1004"/>
      <c r="YL97" s="1004"/>
      <c r="YM97" s="1004"/>
      <c r="YN97" s="1004"/>
      <c r="YO97" s="1004"/>
      <c r="YP97" s="1004"/>
      <c r="YQ97" s="1004"/>
      <c r="YR97" s="1004"/>
      <c r="YS97" s="1004"/>
      <c r="YT97" s="1004"/>
      <c r="YU97" s="1004"/>
      <c r="YV97" s="1004"/>
      <c r="YW97" s="1004"/>
      <c r="YX97" s="1004"/>
      <c r="YY97" s="1004"/>
      <c r="YZ97" s="1004"/>
      <c r="ZA97" s="1004"/>
      <c r="ZB97" s="1004"/>
      <c r="ZC97" s="1004"/>
      <c r="ZD97" s="1004"/>
      <c r="ZE97" s="1004"/>
      <c r="ZF97" s="1004"/>
      <c r="ZG97" s="1004"/>
      <c r="ZH97" s="1004"/>
      <c r="ZI97" s="1004"/>
      <c r="ZJ97" s="1004"/>
      <c r="ZK97" s="1004"/>
      <c r="ZL97" s="1004"/>
      <c r="ZM97" s="1004"/>
      <c r="ZN97" s="1004"/>
      <c r="ZO97" s="1004"/>
      <c r="ZP97" s="1004"/>
      <c r="ZQ97" s="1004"/>
      <c r="ZR97" s="1004"/>
      <c r="ZS97" s="1004"/>
      <c r="ZT97" s="1004"/>
      <c r="ZU97" s="1004"/>
      <c r="ZV97" s="1004"/>
      <c r="ZW97" s="1004"/>
      <c r="ZX97" s="1004"/>
      <c r="ZY97" s="1004"/>
      <c r="ZZ97" s="1004"/>
      <c r="AAA97" s="1004"/>
      <c r="AAB97" s="1004"/>
      <c r="AAC97" s="1004"/>
      <c r="AAD97" s="1004"/>
      <c r="AAE97" s="1004"/>
      <c r="AAF97" s="1004"/>
      <c r="AAG97" s="1004"/>
      <c r="AAH97" s="1004"/>
      <c r="AAI97" s="1004"/>
      <c r="AAJ97" s="1004"/>
      <c r="AAK97" s="1004"/>
      <c r="AAL97" s="1004"/>
      <c r="AAM97" s="1004"/>
      <c r="AAN97" s="1004"/>
      <c r="AAO97" s="1004"/>
      <c r="AAP97" s="1004"/>
      <c r="AAQ97" s="1004"/>
      <c r="AAR97" s="1004"/>
      <c r="AAS97" s="1004"/>
      <c r="AAT97" s="1004"/>
      <c r="AAU97" s="1004"/>
      <c r="AAV97" s="1004"/>
      <c r="AAW97" s="1004"/>
      <c r="AAX97" s="1004"/>
      <c r="AAY97" s="1004"/>
      <c r="AAZ97" s="1004"/>
      <c r="ABA97" s="1004"/>
      <c r="ABB97" s="1004"/>
      <c r="ABC97" s="1004"/>
      <c r="ABD97" s="1004"/>
      <c r="ABE97" s="1004"/>
      <c r="ABF97" s="1004"/>
      <c r="ABG97" s="1004"/>
      <c r="ABH97" s="1004"/>
      <c r="ABI97" s="1004"/>
      <c r="ABJ97" s="1004"/>
      <c r="ABK97" s="1004"/>
      <c r="ABL97" s="1004"/>
      <c r="ABM97" s="1004"/>
      <c r="ABN97" s="1004"/>
      <c r="ABO97" s="1004"/>
      <c r="ABP97" s="1004"/>
      <c r="ABQ97" s="1004"/>
      <c r="ABR97" s="1004"/>
    </row>
    <row r="98" spans="1:746" s="1" customFormat="1" ht="12.9" customHeight="1" thickBot="1">
      <c r="A98" s="1254"/>
      <c r="B98" s="1264" t="s">
        <v>356</v>
      </c>
      <c r="C98" s="550"/>
      <c r="D98" s="1860"/>
      <c r="E98" s="1861"/>
      <c r="F98" s="1255"/>
      <c r="G98" s="1255"/>
      <c r="H98" s="2169"/>
      <c r="I98" s="345">
        <f>SUM(I88:I97)*fx!I57</f>
        <v>0</v>
      </c>
      <c r="J98" s="345">
        <f>SUM(J88:J97)*fx!J57</f>
        <v>0</v>
      </c>
      <c r="K98" s="345">
        <f>SUM(K88:K97)*fx!K57</f>
        <v>0</v>
      </c>
      <c r="L98" s="342">
        <f>SUM(L88:L97)*fx!L57</f>
        <v>0</v>
      </c>
      <c r="M98" s="342">
        <f>SUM(M88:M97)*fx!M57</f>
        <v>0</v>
      </c>
      <c r="N98" s="345">
        <f>SUM(N88:N97)*fx!N57</f>
        <v>0</v>
      </c>
      <c r="O98" s="345">
        <f>SUM(O88:O97)*fx!O57</f>
        <v>0</v>
      </c>
      <c r="P98" s="345">
        <f>SUM(P88:P97)*fx!P57</f>
        <v>0</v>
      </c>
      <c r="Q98" s="345">
        <f>SUM(Q88:Q97)*fx!Q57</f>
        <v>0</v>
      </c>
      <c r="R98" s="345">
        <f>SUM(R88:R97)*fx!R57</f>
        <v>0</v>
      </c>
      <c r="S98" s="345">
        <f>SUM(S88:S97)*fx!S57</f>
        <v>0</v>
      </c>
      <c r="T98" s="345">
        <f>SUM(T88:T97)*fx!T57</f>
        <v>0</v>
      </c>
      <c r="U98" s="345">
        <f>SUM(U88:U97)*fx!U57</f>
        <v>0</v>
      </c>
      <c r="V98" s="344">
        <f>SUM(V88:V97)*fx!V57</f>
        <v>0</v>
      </c>
      <c r="W98" s="345">
        <f>SUM(W88:W97)*fx!W57</f>
        <v>0</v>
      </c>
      <c r="X98" s="345">
        <f>SUM(X88:X97)*fx!X57</f>
        <v>0</v>
      </c>
      <c r="Y98" s="345">
        <f>SUM(Y88:Y97)*fx!Y57</f>
        <v>0</v>
      </c>
      <c r="Z98" s="345">
        <f>SUM(Z88:Z97)*fx!Z57</f>
        <v>0</v>
      </c>
      <c r="AA98" s="345">
        <f>SUM(AA88:AA97)*fx!AA57</f>
        <v>0</v>
      </c>
      <c r="AB98" s="345">
        <f>SUM(AB88:AB97)*fx!AB57</f>
        <v>0</v>
      </c>
      <c r="AC98" s="345">
        <f>SUM(AC88:AC97)*fx!AC57</f>
        <v>0</v>
      </c>
      <c r="AD98" s="345">
        <f>SUM(AD88:AD97)*fx!AD57</f>
        <v>0</v>
      </c>
      <c r="AE98" s="345">
        <f>SUM(AE88:AE97)*fx!AE57</f>
        <v>0</v>
      </c>
      <c r="AF98" s="345">
        <f>SUM(AF88:AF97)*fx!AF57</f>
        <v>0</v>
      </c>
      <c r="AG98" s="337"/>
      <c r="AH98" s="359"/>
      <c r="AI98" s="359"/>
      <c r="AJ98" s="1857">
        <f>IF(fx!$C$57=1,SUMIF(fx!I$57:T$57,1,I98:T98),IF(fx!$C$57=2,SUMIF(fx!O$57:AF$57,1,O98:AF98)))</f>
        <v>0</v>
      </c>
      <c r="AK98" s="328"/>
      <c r="AL98" s="1858">
        <f>IF(fx!$C$57=1,SUM(U98:AF98),0)</f>
        <v>0</v>
      </c>
      <c r="AM98" s="1021"/>
      <c r="AN98" s="1005"/>
      <c r="AO98" s="1945" t="s">
        <v>1254</v>
      </c>
      <c r="AP98" s="1935"/>
      <c r="AQ98" s="1936"/>
      <c r="AR98" s="1941">
        <v>100</v>
      </c>
      <c r="AS98" s="1941"/>
      <c r="AT98" s="1941"/>
      <c r="AU98" s="1941"/>
      <c r="AV98" s="1941"/>
      <c r="AW98" s="1941"/>
      <c r="AX98" s="1941"/>
      <c r="AY98" s="1941"/>
      <c r="AZ98" s="1941"/>
      <c r="BA98" s="1941"/>
      <c r="BB98" s="1941"/>
      <c r="BC98" s="1941"/>
      <c r="BD98" s="1941"/>
      <c r="BE98" s="1941"/>
      <c r="BF98" s="1941"/>
      <c r="BG98" s="1941"/>
      <c r="BH98" s="1941"/>
      <c r="BI98" s="1941"/>
      <c r="BJ98" s="1941"/>
      <c r="BK98" s="1941"/>
      <c r="BL98" s="1941"/>
      <c r="BM98" s="1941"/>
      <c r="BN98" s="1941"/>
      <c r="BO98" s="1941"/>
      <c r="BP98" s="1004"/>
      <c r="BQ98" s="1004"/>
      <c r="BR98" s="1004"/>
      <c r="BS98" s="1004"/>
      <c r="BT98" s="1004"/>
      <c r="BU98" s="1004"/>
      <c r="BV98" s="1004"/>
      <c r="BW98" s="1004"/>
      <c r="BX98" s="1004"/>
      <c r="BY98" s="1004"/>
      <c r="BZ98" s="1004"/>
      <c r="CA98" s="1004"/>
      <c r="CB98" s="1004"/>
      <c r="CC98" s="1004"/>
      <c r="CD98" s="1004"/>
      <c r="CE98" s="1004"/>
      <c r="CF98" s="1004"/>
      <c r="CG98" s="1004"/>
      <c r="CH98" s="1004"/>
      <c r="CI98" s="1004"/>
      <c r="CJ98" s="1004"/>
      <c r="CK98" s="1004"/>
      <c r="CL98" s="1004"/>
      <c r="CM98" s="1004"/>
      <c r="CN98" s="1004"/>
      <c r="CO98" s="1004"/>
      <c r="CP98" s="1004"/>
      <c r="CQ98" s="1004"/>
      <c r="CR98" s="1004"/>
      <c r="CS98" s="1004"/>
      <c r="CT98" s="1004"/>
      <c r="CU98" s="1004"/>
      <c r="CV98" s="1004"/>
      <c r="CW98" s="1004"/>
      <c r="CX98" s="1004"/>
      <c r="CY98" s="1004"/>
      <c r="CZ98" s="1004"/>
      <c r="DA98" s="1004"/>
      <c r="DB98" s="1004"/>
      <c r="DC98" s="1004"/>
      <c r="DD98" s="1004"/>
      <c r="DE98" s="1004"/>
      <c r="DF98" s="1004"/>
      <c r="DG98" s="1004"/>
      <c r="DH98" s="1004"/>
      <c r="DI98" s="1004"/>
      <c r="DJ98" s="1004"/>
      <c r="DK98" s="1004"/>
      <c r="DL98" s="1004"/>
      <c r="DM98" s="1004"/>
      <c r="DN98" s="1004"/>
      <c r="DO98" s="1004"/>
      <c r="DP98" s="1004"/>
      <c r="DQ98" s="1004"/>
      <c r="DR98" s="1004"/>
      <c r="DS98" s="1004"/>
      <c r="DT98" s="1004"/>
      <c r="DU98" s="1004"/>
      <c r="DV98" s="1004"/>
      <c r="DW98" s="1004"/>
      <c r="DX98" s="1004"/>
      <c r="DY98" s="1004"/>
      <c r="DZ98" s="1004"/>
      <c r="EA98" s="1004"/>
      <c r="EB98" s="1004"/>
      <c r="EC98" s="1004"/>
      <c r="ED98" s="1004"/>
      <c r="EE98" s="1004"/>
      <c r="EF98" s="1004"/>
      <c r="EG98" s="1004"/>
      <c r="EH98" s="1004"/>
      <c r="EI98" s="1004"/>
      <c r="EJ98" s="1004"/>
      <c r="EK98" s="1004"/>
      <c r="EL98" s="1004"/>
      <c r="EM98" s="1004"/>
      <c r="EN98" s="1004"/>
      <c r="EO98" s="1004"/>
      <c r="EP98" s="1004"/>
      <c r="EQ98" s="1004"/>
      <c r="ER98" s="1004"/>
      <c r="ES98" s="1004"/>
      <c r="ET98" s="1004"/>
      <c r="EU98" s="1004"/>
      <c r="EV98" s="1004"/>
      <c r="EW98" s="1004"/>
      <c r="EX98" s="1004"/>
      <c r="EY98" s="1004"/>
      <c r="EZ98" s="1004"/>
      <c r="FA98" s="1004"/>
      <c r="FB98" s="1004"/>
      <c r="FC98" s="1004"/>
      <c r="FD98" s="1004"/>
      <c r="FE98" s="1004"/>
      <c r="FF98" s="1004"/>
      <c r="FG98" s="1004"/>
      <c r="FH98" s="1004"/>
      <c r="FI98" s="1004"/>
      <c r="FJ98" s="1004"/>
      <c r="FK98" s="1004"/>
      <c r="FL98" s="1004"/>
      <c r="FM98" s="1004"/>
      <c r="FN98" s="1004"/>
      <c r="FO98" s="1004"/>
      <c r="FP98" s="1004"/>
      <c r="FQ98" s="1004"/>
      <c r="FR98" s="1004"/>
      <c r="FS98" s="1004"/>
      <c r="FT98" s="1004"/>
      <c r="FU98" s="1004"/>
      <c r="FV98" s="1004"/>
      <c r="FW98" s="1004"/>
      <c r="FX98" s="1004"/>
      <c r="FY98" s="1004"/>
      <c r="FZ98" s="1004"/>
      <c r="GA98" s="1004"/>
      <c r="GB98" s="1004"/>
      <c r="GC98" s="1004"/>
      <c r="GD98" s="1004"/>
      <c r="GE98" s="1004"/>
      <c r="GF98" s="1004"/>
      <c r="GG98" s="1004"/>
      <c r="GH98" s="1004"/>
      <c r="GI98" s="1004"/>
      <c r="GJ98" s="1004"/>
      <c r="GK98" s="1004"/>
      <c r="GL98" s="1004"/>
      <c r="GM98" s="1004"/>
      <c r="GN98" s="1004"/>
      <c r="GO98" s="1004"/>
      <c r="GP98" s="1004"/>
      <c r="GQ98" s="1004"/>
      <c r="GR98" s="1004"/>
      <c r="GS98" s="1004"/>
      <c r="GT98" s="1004"/>
      <c r="GU98" s="1004"/>
      <c r="GV98" s="1004"/>
      <c r="GW98" s="1004"/>
      <c r="GX98" s="1004"/>
      <c r="GY98" s="1004"/>
      <c r="GZ98" s="1004"/>
      <c r="HA98" s="1004"/>
      <c r="HB98" s="1004"/>
      <c r="HC98" s="1004"/>
      <c r="HD98" s="1004"/>
      <c r="HE98" s="1004"/>
      <c r="HF98" s="1004"/>
      <c r="HG98" s="1004"/>
      <c r="HH98" s="1004"/>
      <c r="HI98" s="1004"/>
      <c r="HJ98" s="1004"/>
      <c r="HK98" s="1004"/>
      <c r="HL98" s="1004"/>
      <c r="HM98" s="1004"/>
      <c r="HN98" s="1004"/>
      <c r="HO98" s="1004"/>
      <c r="HP98" s="1004"/>
      <c r="HQ98" s="1004"/>
      <c r="HR98" s="1004"/>
      <c r="HS98" s="1004"/>
      <c r="HT98" s="1004"/>
      <c r="HU98" s="1004"/>
      <c r="HV98" s="1004"/>
      <c r="HW98" s="1004"/>
      <c r="HX98" s="1004"/>
      <c r="HY98" s="1004"/>
      <c r="HZ98" s="1004"/>
      <c r="IA98" s="1004"/>
      <c r="IB98" s="1004"/>
      <c r="IC98" s="1004"/>
      <c r="ID98" s="1004"/>
      <c r="IE98" s="1004"/>
      <c r="IF98" s="1004"/>
      <c r="IG98" s="1004"/>
      <c r="IH98" s="1004"/>
      <c r="II98" s="1004"/>
      <c r="IJ98" s="1004"/>
      <c r="IK98" s="1004"/>
      <c r="IL98" s="1004"/>
      <c r="IM98" s="1004"/>
      <c r="IN98" s="1004"/>
      <c r="IO98" s="1004"/>
      <c r="IP98" s="1004"/>
      <c r="IQ98" s="1004"/>
      <c r="IR98" s="1004"/>
      <c r="IS98" s="1004"/>
      <c r="IT98" s="1004"/>
      <c r="IU98" s="1004"/>
      <c r="IV98" s="1004"/>
      <c r="IW98" s="1004"/>
      <c r="IX98" s="1004"/>
      <c r="IY98" s="1004"/>
      <c r="IZ98" s="1004"/>
      <c r="JA98" s="1004"/>
      <c r="JB98" s="1004"/>
      <c r="JC98" s="1004"/>
      <c r="JD98" s="1004"/>
      <c r="JE98" s="1004"/>
      <c r="JF98" s="1004"/>
      <c r="JG98" s="1004"/>
      <c r="JH98" s="1004"/>
      <c r="JI98" s="1004"/>
      <c r="JJ98" s="1004"/>
      <c r="JK98" s="1004"/>
      <c r="JL98" s="1004"/>
      <c r="JM98" s="1004"/>
      <c r="JN98" s="1004"/>
      <c r="JO98" s="1004"/>
      <c r="JP98" s="1004"/>
      <c r="JQ98" s="1004"/>
      <c r="JR98" s="1004"/>
      <c r="JS98" s="1004"/>
      <c r="JT98" s="1004"/>
      <c r="JU98" s="1004"/>
      <c r="JV98" s="1004"/>
      <c r="JW98" s="1004"/>
      <c r="JX98" s="1004"/>
      <c r="JY98" s="1004"/>
      <c r="JZ98" s="1004"/>
      <c r="KA98" s="1004"/>
      <c r="KB98" s="1004"/>
      <c r="KC98" s="1004"/>
      <c r="KD98" s="1004"/>
      <c r="KE98" s="1004"/>
      <c r="KF98" s="1004"/>
      <c r="KG98" s="1004"/>
      <c r="KH98" s="1004"/>
      <c r="KI98" s="1004"/>
      <c r="KJ98" s="1004"/>
      <c r="KK98" s="1004"/>
      <c r="KL98" s="1004"/>
      <c r="KM98" s="1004"/>
      <c r="KN98" s="1004"/>
      <c r="KO98" s="1004"/>
      <c r="KP98" s="1004"/>
      <c r="KQ98" s="1004"/>
      <c r="KR98" s="1004"/>
      <c r="KS98" s="1004"/>
      <c r="KT98" s="1004"/>
      <c r="KU98" s="1004"/>
      <c r="KV98" s="1004"/>
      <c r="KW98" s="1004"/>
      <c r="KX98" s="1004"/>
      <c r="KY98" s="1004"/>
      <c r="KZ98" s="1004"/>
      <c r="LA98" s="1004"/>
      <c r="LB98" s="1004"/>
      <c r="LC98" s="1004"/>
      <c r="LD98" s="1004"/>
      <c r="LE98" s="1004"/>
      <c r="LF98" s="1004"/>
      <c r="LG98" s="1004"/>
      <c r="LH98" s="1004"/>
      <c r="LI98" s="1004"/>
      <c r="LJ98" s="1004"/>
      <c r="LK98" s="1004"/>
      <c r="LL98" s="1004"/>
      <c r="LM98" s="1004"/>
      <c r="LN98" s="1004"/>
      <c r="LO98" s="1004"/>
      <c r="LP98" s="1004"/>
      <c r="LQ98" s="1004"/>
      <c r="LR98" s="1004"/>
      <c r="LS98" s="1004"/>
      <c r="LT98" s="1004"/>
      <c r="LU98" s="1004"/>
      <c r="LV98" s="1004"/>
      <c r="LW98" s="1004"/>
      <c r="LX98" s="1004"/>
      <c r="LY98" s="1004"/>
      <c r="LZ98" s="1004"/>
      <c r="MA98" s="1004"/>
      <c r="MB98" s="1004"/>
      <c r="MC98" s="1004"/>
      <c r="MD98" s="1004"/>
      <c r="ME98" s="1004"/>
      <c r="MF98" s="1004"/>
      <c r="MG98" s="1004"/>
      <c r="MH98" s="1004"/>
      <c r="MI98" s="1004"/>
      <c r="MJ98" s="1004"/>
      <c r="MK98" s="1004"/>
      <c r="ML98" s="1004"/>
      <c r="MM98" s="1004"/>
      <c r="MN98" s="1004"/>
      <c r="MO98" s="1004"/>
      <c r="MP98" s="1004"/>
      <c r="MQ98" s="1004"/>
      <c r="MR98" s="1004"/>
      <c r="MS98" s="1004"/>
      <c r="MT98" s="1004"/>
      <c r="MU98" s="1004"/>
      <c r="MV98" s="1004"/>
      <c r="MW98" s="1004"/>
      <c r="MX98" s="1004"/>
      <c r="MY98" s="1004"/>
      <c r="MZ98" s="1004"/>
      <c r="NA98" s="1004"/>
      <c r="NB98" s="1004"/>
      <c r="NC98" s="1004"/>
      <c r="ND98" s="1004"/>
      <c r="NE98" s="1004"/>
      <c r="NF98" s="1004"/>
      <c r="NG98" s="1004"/>
      <c r="NH98" s="1004"/>
      <c r="NI98" s="1004"/>
      <c r="NJ98" s="1004"/>
      <c r="NK98" s="1004"/>
      <c r="NL98" s="1004"/>
      <c r="NM98" s="1004"/>
      <c r="NN98" s="1004"/>
      <c r="NO98" s="1004"/>
      <c r="NP98" s="1004"/>
      <c r="NQ98" s="1004"/>
      <c r="NR98" s="1004"/>
      <c r="NS98" s="1004"/>
      <c r="NT98" s="1004"/>
      <c r="NU98" s="1004"/>
      <c r="NV98" s="1004"/>
      <c r="NW98" s="1004"/>
      <c r="NX98" s="1004"/>
      <c r="NY98" s="1004"/>
      <c r="NZ98" s="1004"/>
      <c r="OA98" s="1004"/>
      <c r="OB98" s="1004"/>
      <c r="OC98" s="1004"/>
      <c r="OD98" s="1004"/>
      <c r="OE98" s="1004"/>
      <c r="OF98" s="1004"/>
      <c r="OG98" s="1004"/>
      <c r="OH98" s="1004"/>
      <c r="OI98" s="1004"/>
      <c r="OJ98" s="1004"/>
      <c r="OK98" s="1004"/>
      <c r="OL98" s="1004"/>
      <c r="OM98" s="1004"/>
      <c r="ON98" s="1004"/>
      <c r="OO98" s="1004"/>
      <c r="OP98" s="1004"/>
      <c r="OQ98" s="1004"/>
      <c r="OR98" s="1004"/>
      <c r="OS98" s="1004"/>
      <c r="OT98" s="1004"/>
      <c r="OU98" s="1004"/>
      <c r="OV98" s="1004"/>
      <c r="OW98" s="1004"/>
      <c r="OX98" s="1004"/>
      <c r="OY98" s="1004"/>
      <c r="OZ98" s="1004"/>
      <c r="PA98" s="1004"/>
      <c r="PB98" s="1004"/>
      <c r="PC98" s="1004"/>
      <c r="PD98" s="1004"/>
      <c r="PE98" s="1004"/>
      <c r="PF98" s="1004"/>
      <c r="PG98" s="1004"/>
      <c r="PH98" s="1004"/>
      <c r="PI98" s="1004"/>
      <c r="PJ98" s="1004"/>
      <c r="PK98" s="1004"/>
      <c r="PL98" s="1004"/>
      <c r="PM98" s="1004"/>
      <c r="PN98" s="1004"/>
      <c r="PO98" s="1004"/>
      <c r="PP98" s="1004"/>
      <c r="PQ98" s="1004"/>
      <c r="PR98" s="1004"/>
      <c r="PS98" s="1004"/>
      <c r="PT98" s="1004"/>
      <c r="PU98" s="1004"/>
      <c r="PV98" s="1004"/>
      <c r="PW98" s="1004"/>
      <c r="PX98" s="1004"/>
      <c r="PY98" s="1004"/>
      <c r="PZ98" s="1004"/>
      <c r="QA98" s="1004"/>
      <c r="QB98" s="1004"/>
      <c r="QC98" s="1004"/>
      <c r="QD98" s="1004"/>
      <c r="QE98" s="1004"/>
      <c r="QF98" s="1004"/>
      <c r="QG98" s="1004"/>
      <c r="QH98" s="1004"/>
      <c r="QI98" s="1004"/>
      <c r="QJ98" s="1004"/>
      <c r="QK98" s="1004"/>
      <c r="QL98" s="1004"/>
      <c r="QM98" s="1004"/>
      <c r="QN98" s="1004"/>
      <c r="QO98" s="1004"/>
      <c r="QP98" s="1004"/>
      <c r="QQ98" s="1004"/>
      <c r="QR98" s="1004"/>
      <c r="QS98" s="1004"/>
      <c r="QT98" s="1004"/>
      <c r="QU98" s="1004"/>
      <c r="QV98" s="1004"/>
      <c r="QW98" s="1004"/>
      <c r="QX98" s="1004"/>
      <c r="QY98" s="1004"/>
      <c r="QZ98" s="1004"/>
      <c r="RA98" s="1004"/>
      <c r="RB98" s="1004"/>
      <c r="RC98" s="1004"/>
      <c r="RD98" s="1004"/>
      <c r="RE98" s="1004"/>
      <c r="RF98" s="1004"/>
      <c r="RG98" s="1004"/>
      <c r="RH98" s="1004"/>
      <c r="RI98" s="1004"/>
      <c r="RJ98" s="1004"/>
      <c r="RK98" s="1004"/>
      <c r="RL98" s="1004"/>
      <c r="RM98" s="1004"/>
      <c r="RN98" s="1004"/>
      <c r="RO98" s="1004"/>
      <c r="RP98" s="1004"/>
      <c r="RQ98" s="1004"/>
      <c r="RR98" s="1004"/>
      <c r="RS98" s="1004"/>
      <c r="RT98" s="1004"/>
      <c r="RU98" s="1004"/>
      <c r="RV98" s="1004"/>
      <c r="RW98" s="1004"/>
      <c r="RX98" s="1004"/>
      <c r="RY98" s="1004"/>
      <c r="RZ98" s="1004"/>
      <c r="SA98" s="1004"/>
      <c r="SB98" s="1004"/>
      <c r="SC98" s="1004"/>
      <c r="SD98" s="1004"/>
      <c r="SE98" s="1004"/>
      <c r="SF98" s="1004"/>
      <c r="SG98" s="1004"/>
      <c r="SH98" s="1004"/>
      <c r="SI98" s="1004"/>
      <c r="SJ98" s="1004"/>
      <c r="SK98" s="1004"/>
      <c r="SL98" s="1004"/>
      <c r="SM98" s="1004"/>
      <c r="SN98" s="1004"/>
      <c r="SO98" s="1004"/>
      <c r="SP98" s="1004"/>
      <c r="SQ98" s="1004"/>
      <c r="SR98" s="1004"/>
      <c r="SS98" s="1004"/>
      <c r="ST98" s="1004"/>
      <c r="SU98" s="1004"/>
      <c r="SV98" s="1004"/>
      <c r="SW98" s="1004"/>
      <c r="SX98" s="1004"/>
      <c r="SY98" s="1004"/>
      <c r="SZ98" s="1004"/>
      <c r="TA98" s="1004"/>
      <c r="TB98" s="1004"/>
      <c r="TC98" s="1004"/>
      <c r="TD98" s="1004"/>
      <c r="TE98" s="1004"/>
      <c r="TF98" s="1004"/>
      <c r="TG98" s="1004"/>
      <c r="TH98" s="1004"/>
      <c r="TI98" s="1004"/>
      <c r="TJ98" s="1004"/>
      <c r="TK98" s="1004"/>
      <c r="TL98" s="1004"/>
      <c r="TM98" s="1004"/>
      <c r="TN98" s="1004"/>
      <c r="TO98" s="1004"/>
      <c r="TP98" s="1004"/>
      <c r="TQ98" s="1004"/>
      <c r="TR98" s="1004"/>
      <c r="TS98" s="1004"/>
      <c r="TT98" s="1004"/>
      <c r="TU98" s="1004"/>
      <c r="TV98" s="1004"/>
      <c r="TW98" s="1004"/>
      <c r="TX98" s="1004"/>
      <c r="TY98" s="1004"/>
      <c r="TZ98" s="1004"/>
      <c r="UA98" s="1004"/>
      <c r="UB98" s="1004"/>
      <c r="UC98" s="1004"/>
      <c r="UD98" s="1004"/>
      <c r="UE98" s="1004"/>
      <c r="UF98" s="1004"/>
      <c r="UG98" s="1004"/>
      <c r="UH98" s="1004"/>
      <c r="UI98" s="1004"/>
      <c r="UJ98" s="1004"/>
      <c r="UK98" s="1004"/>
      <c r="UL98" s="1004"/>
      <c r="UM98" s="1004"/>
      <c r="UN98" s="1004"/>
      <c r="UO98" s="1004"/>
      <c r="UP98" s="1004"/>
      <c r="UQ98" s="1004"/>
      <c r="UR98" s="1004"/>
      <c r="US98" s="1004"/>
      <c r="UT98" s="1004"/>
      <c r="UU98" s="1004"/>
      <c r="UV98" s="1004"/>
      <c r="UW98" s="1004"/>
      <c r="UX98" s="1004"/>
      <c r="UY98" s="1004"/>
      <c r="UZ98" s="1004"/>
      <c r="VA98" s="1004"/>
      <c r="VB98" s="1004"/>
      <c r="VC98" s="1004"/>
      <c r="VD98" s="1004"/>
      <c r="VE98" s="1004"/>
      <c r="VF98" s="1004"/>
      <c r="VG98" s="1004"/>
      <c r="VH98" s="1004"/>
      <c r="VI98" s="1004"/>
      <c r="VJ98" s="1004"/>
      <c r="VK98" s="1004"/>
      <c r="VL98" s="1004"/>
      <c r="VM98" s="1004"/>
      <c r="VN98" s="1004"/>
      <c r="VO98" s="1004"/>
      <c r="VP98" s="1004"/>
      <c r="VQ98" s="1004"/>
      <c r="VR98" s="1004"/>
      <c r="VS98" s="1004"/>
      <c r="VT98" s="1004"/>
      <c r="VU98" s="1004"/>
      <c r="VV98" s="1004"/>
      <c r="VW98" s="1004"/>
      <c r="VX98" s="1004"/>
      <c r="VY98" s="1004"/>
      <c r="VZ98" s="1004"/>
      <c r="WA98" s="1004"/>
      <c r="WB98" s="1004"/>
      <c r="WC98" s="1004"/>
      <c r="WD98" s="1004"/>
      <c r="WE98" s="1004"/>
      <c r="WF98" s="1004"/>
      <c r="WG98" s="1004"/>
      <c r="WH98" s="1004"/>
      <c r="WI98" s="1004"/>
      <c r="WJ98" s="1004"/>
      <c r="WK98" s="1004"/>
      <c r="WL98" s="1004"/>
      <c r="WM98" s="1004"/>
      <c r="WN98" s="1004"/>
      <c r="WO98" s="1004"/>
      <c r="WP98" s="1004"/>
      <c r="WQ98" s="1004"/>
      <c r="WR98" s="1004"/>
      <c r="WS98" s="1004"/>
      <c r="WT98" s="1004"/>
      <c r="WU98" s="1004"/>
      <c r="WV98" s="1004"/>
      <c r="WW98" s="1004"/>
      <c r="WX98" s="1004"/>
      <c r="WY98" s="1004"/>
      <c r="WZ98" s="1004"/>
      <c r="XA98" s="1004"/>
      <c r="XB98" s="1004"/>
      <c r="XC98" s="1004"/>
      <c r="XD98" s="1004"/>
      <c r="XE98" s="1004"/>
      <c r="XF98" s="1004"/>
      <c r="XG98" s="1004"/>
      <c r="XH98" s="1004"/>
      <c r="XI98" s="1004"/>
      <c r="XJ98" s="1004"/>
      <c r="XK98" s="1004"/>
      <c r="XL98" s="1004"/>
      <c r="XM98" s="1004"/>
      <c r="XN98" s="1004"/>
      <c r="XO98" s="1004"/>
      <c r="XP98" s="1004"/>
      <c r="XQ98" s="1004"/>
      <c r="XR98" s="1004"/>
      <c r="XS98" s="1004"/>
      <c r="XT98" s="1004"/>
      <c r="XU98" s="1004"/>
      <c r="XV98" s="1004"/>
      <c r="XW98" s="1004"/>
      <c r="XX98" s="1004"/>
      <c r="XY98" s="1004"/>
      <c r="XZ98" s="1004"/>
      <c r="YA98" s="1004"/>
      <c r="YB98" s="1004"/>
      <c r="YC98" s="1004"/>
      <c r="YD98" s="1004"/>
      <c r="YE98" s="1004"/>
      <c r="YF98" s="1004"/>
      <c r="YG98" s="1004"/>
      <c r="YH98" s="1004"/>
      <c r="YI98" s="1004"/>
      <c r="YJ98" s="1004"/>
      <c r="YK98" s="1004"/>
      <c r="YL98" s="1004"/>
      <c r="YM98" s="1004"/>
      <c r="YN98" s="1004"/>
      <c r="YO98" s="1004"/>
      <c r="YP98" s="1004"/>
      <c r="YQ98" s="1004"/>
      <c r="YR98" s="1004"/>
      <c r="YS98" s="1004"/>
      <c r="YT98" s="1004"/>
      <c r="YU98" s="1004"/>
      <c r="YV98" s="1004"/>
      <c r="YW98" s="1004"/>
      <c r="YX98" s="1004"/>
      <c r="YY98" s="1004"/>
      <c r="YZ98" s="1004"/>
      <c r="ZA98" s="1004"/>
      <c r="ZB98" s="1004"/>
      <c r="ZC98" s="1004"/>
      <c r="ZD98" s="1004"/>
      <c r="ZE98" s="1004"/>
      <c r="ZF98" s="1004"/>
      <c r="ZG98" s="1004"/>
      <c r="ZH98" s="1004"/>
      <c r="ZI98" s="1004"/>
      <c r="ZJ98" s="1004"/>
      <c r="ZK98" s="1004"/>
      <c r="ZL98" s="1004"/>
      <c r="ZM98" s="1004"/>
      <c r="ZN98" s="1004"/>
      <c r="ZO98" s="1004"/>
      <c r="ZP98" s="1004"/>
      <c r="ZQ98" s="1004"/>
      <c r="ZR98" s="1004"/>
      <c r="ZS98" s="1004"/>
      <c r="ZT98" s="1004"/>
      <c r="ZU98" s="1004"/>
      <c r="ZV98" s="1004"/>
      <c r="ZW98" s="1004"/>
      <c r="ZX98" s="1004"/>
      <c r="ZY98" s="1004"/>
      <c r="ZZ98" s="1004"/>
      <c r="AAA98" s="1004"/>
      <c r="AAB98" s="1004"/>
      <c r="AAC98" s="1004"/>
      <c r="AAD98" s="1004"/>
      <c r="AAE98" s="1004"/>
      <c r="AAF98" s="1004"/>
      <c r="AAG98" s="1004"/>
      <c r="AAH98" s="1004"/>
      <c r="AAI98" s="1004"/>
      <c r="AAJ98" s="1004"/>
      <c r="AAK98" s="1004"/>
      <c r="AAL98" s="1004"/>
      <c r="AAM98" s="1004"/>
      <c r="AAN98" s="1004"/>
      <c r="AAO98" s="1004"/>
      <c r="AAP98" s="1004"/>
      <c r="AAQ98" s="1004"/>
      <c r="AAR98" s="1004"/>
      <c r="AAS98" s="1004"/>
      <c r="AAT98" s="1004"/>
      <c r="AAU98" s="1004"/>
      <c r="AAV98" s="1004"/>
      <c r="AAW98" s="1004"/>
      <c r="AAX98" s="1004"/>
      <c r="AAY98" s="1004"/>
      <c r="AAZ98" s="1004"/>
      <c r="ABA98" s="1004"/>
      <c r="ABB98" s="1004"/>
      <c r="ABC98" s="1004"/>
      <c r="ABD98" s="1004"/>
      <c r="ABE98" s="1004"/>
      <c r="ABF98" s="1004"/>
      <c r="ABG98" s="1004"/>
      <c r="ABH98" s="1004"/>
      <c r="ABI98" s="1004"/>
      <c r="ABJ98" s="1004"/>
      <c r="ABK98" s="1004"/>
      <c r="ABL98" s="1004"/>
      <c r="ABM98" s="1004"/>
      <c r="ABN98" s="1004"/>
      <c r="ABO98" s="1004"/>
      <c r="ABP98" s="1004"/>
      <c r="ABQ98" s="1004"/>
      <c r="ABR98" s="1004"/>
    </row>
    <row r="99" spans="1:746" s="1" customFormat="1" ht="12.9" customHeight="1">
      <c r="A99" s="923"/>
      <c r="B99" s="880" t="s">
        <v>1052</v>
      </c>
      <c r="C99" s="1862"/>
      <c r="D99" s="550"/>
      <c r="E99" s="1903">
        <v>0.31419999999999998</v>
      </c>
      <c r="F99" s="1863">
        <v>0.12</v>
      </c>
      <c r="G99" s="1882">
        <v>0.12</v>
      </c>
      <c r="H99" s="2170"/>
      <c r="I99" s="975">
        <f>I98*$G$99*fx!I57</f>
        <v>0</v>
      </c>
      <c r="J99" s="874">
        <f>J98*$G$99*fx!J57</f>
        <v>0</v>
      </c>
      <c r="K99" s="874">
        <f>K98*$G$99*fx!K57</f>
        <v>0</v>
      </c>
      <c r="L99" s="874">
        <f>L98*$G$99*fx!L57</f>
        <v>0</v>
      </c>
      <c r="M99" s="874">
        <f>M98*$G$99*fx!M57</f>
        <v>0</v>
      </c>
      <c r="N99" s="874">
        <f>N98*$G$99*fx!N57</f>
        <v>0</v>
      </c>
      <c r="O99" s="874">
        <f>O98*$G$99*fx!O57</f>
        <v>0</v>
      </c>
      <c r="P99" s="874">
        <f>P98*$G$99*fx!P57</f>
        <v>0</v>
      </c>
      <c r="Q99" s="874">
        <f>Q98*$G$99*fx!Q57</f>
        <v>0</v>
      </c>
      <c r="R99" s="874">
        <f>R98*$G$99*fx!R57</f>
        <v>0</v>
      </c>
      <c r="S99" s="874">
        <f>S98*$G$99*fx!S57</f>
        <v>0</v>
      </c>
      <c r="T99" s="874">
        <f>T98*$G$99*fx!T57</f>
        <v>0</v>
      </c>
      <c r="U99" s="874">
        <f>U98*$G$99*fx!U57</f>
        <v>0</v>
      </c>
      <c r="V99" s="874">
        <f>V98*$G$99*fx!V57</f>
        <v>0</v>
      </c>
      <c r="W99" s="874">
        <f>W98*$G$99*fx!W57</f>
        <v>0</v>
      </c>
      <c r="X99" s="874">
        <f>X98*$G$99*fx!X57</f>
        <v>0</v>
      </c>
      <c r="Y99" s="874">
        <f>Y98*$G$99*fx!Y57</f>
        <v>0</v>
      </c>
      <c r="Z99" s="874">
        <f>Z98*$G$99*fx!Z57</f>
        <v>0</v>
      </c>
      <c r="AA99" s="874">
        <f>AA98*$G$99*fx!AA57</f>
        <v>0</v>
      </c>
      <c r="AB99" s="874">
        <f>AB98*$G$99*fx!AB57</f>
        <v>0</v>
      </c>
      <c r="AC99" s="874">
        <f>AC98*$G$99*fx!AC57</f>
        <v>0</v>
      </c>
      <c r="AD99" s="874">
        <f>AD98*$G$99*fx!AD57</f>
        <v>0</v>
      </c>
      <c r="AE99" s="874">
        <f>AE98*$G$99*fx!AE57</f>
        <v>0</v>
      </c>
      <c r="AF99" s="874">
        <f>AF98*$G$99*fx!AF57</f>
        <v>0</v>
      </c>
      <c r="AG99" s="337"/>
      <c r="AH99" s="769"/>
      <c r="AI99" s="769"/>
      <c r="AJ99" s="1854">
        <f>IF(fx!$C$57=1,SUMIF(fx!I$57:T$57,1,I99:T99),IF(fx!$C$57=2,SUMIF(fx!O$57:AF$57,1,O99:AF99)))</f>
        <v>0</v>
      </c>
      <c r="AK99" s="434"/>
      <c r="AL99" s="1855">
        <f>IF(fx!$C$57=1,SUM(U99:AF99),0)</f>
        <v>0</v>
      </c>
      <c r="AM99" s="1021"/>
      <c r="AN99" s="1018"/>
      <c r="AO99" s="1945" t="s">
        <v>1254</v>
      </c>
      <c r="AP99" s="1935"/>
      <c r="AQ99" s="1936"/>
      <c r="AR99" s="1941">
        <v>100</v>
      </c>
      <c r="AS99" s="1941"/>
      <c r="AT99" s="1941"/>
      <c r="AU99" s="1941"/>
      <c r="AV99" s="1941"/>
      <c r="AW99" s="1941"/>
      <c r="AX99" s="1941"/>
      <c r="AY99" s="1941"/>
      <c r="AZ99" s="1941"/>
      <c r="BA99" s="1941"/>
      <c r="BB99" s="1941"/>
      <c r="BC99" s="1941"/>
      <c r="BD99" s="1941"/>
      <c r="BE99" s="1941"/>
      <c r="BF99" s="1941"/>
      <c r="BG99" s="1941"/>
      <c r="BH99" s="1941"/>
      <c r="BI99" s="1941"/>
      <c r="BJ99" s="1941"/>
      <c r="BK99" s="1941"/>
      <c r="BL99" s="1941"/>
      <c r="BM99" s="1941"/>
      <c r="BN99" s="1941"/>
      <c r="BO99" s="1941"/>
      <c r="BP99" s="1004"/>
      <c r="BQ99" s="1004"/>
      <c r="BR99" s="1004"/>
      <c r="BS99" s="1004"/>
      <c r="BT99" s="1004"/>
      <c r="BU99" s="1004"/>
      <c r="BV99" s="1004"/>
      <c r="BW99" s="1004"/>
      <c r="BX99" s="1004"/>
      <c r="BY99" s="1004"/>
      <c r="BZ99" s="1004"/>
      <c r="CA99" s="1004"/>
      <c r="CB99" s="1004"/>
      <c r="CC99" s="1004"/>
      <c r="CD99" s="1004"/>
      <c r="CE99" s="1004"/>
      <c r="CF99" s="1004"/>
      <c r="CG99" s="1004"/>
      <c r="CH99" s="1004"/>
      <c r="CI99" s="1004"/>
      <c r="CJ99" s="1004"/>
      <c r="CK99" s="1004"/>
      <c r="CL99" s="1004"/>
      <c r="CM99" s="1004"/>
      <c r="CN99" s="1004"/>
      <c r="CO99" s="1004"/>
      <c r="CP99" s="1004"/>
      <c r="CQ99" s="1004"/>
      <c r="CR99" s="1004"/>
      <c r="CS99" s="1004"/>
      <c r="CT99" s="1004"/>
      <c r="CU99" s="1004"/>
      <c r="CV99" s="1004"/>
      <c r="CW99" s="1004"/>
      <c r="CX99" s="1004"/>
      <c r="CY99" s="1004"/>
      <c r="CZ99" s="1004"/>
      <c r="DA99" s="1004"/>
      <c r="DB99" s="1004"/>
      <c r="DC99" s="1004"/>
      <c r="DD99" s="1004"/>
      <c r="DE99" s="1004"/>
      <c r="DF99" s="1004"/>
      <c r="DG99" s="1004"/>
      <c r="DH99" s="1004"/>
      <c r="DI99" s="1004"/>
      <c r="DJ99" s="1004"/>
      <c r="DK99" s="1004"/>
      <c r="DL99" s="1004"/>
      <c r="DM99" s="1004"/>
      <c r="DN99" s="1004"/>
      <c r="DO99" s="1004"/>
      <c r="DP99" s="1004"/>
      <c r="DQ99" s="1004"/>
      <c r="DR99" s="1004"/>
      <c r="DS99" s="1004"/>
      <c r="DT99" s="1004"/>
      <c r="DU99" s="1004"/>
      <c r="DV99" s="1004"/>
      <c r="DW99" s="1004"/>
      <c r="DX99" s="1004"/>
      <c r="DY99" s="1004"/>
      <c r="DZ99" s="1004"/>
      <c r="EA99" s="1004"/>
      <c r="EB99" s="1004"/>
      <c r="EC99" s="1004"/>
      <c r="ED99" s="1004"/>
      <c r="EE99" s="1004"/>
      <c r="EF99" s="1004"/>
      <c r="EG99" s="1004"/>
      <c r="EH99" s="1004"/>
      <c r="EI99" s="1004"/>
      <c r="EJ99" s="1004"/>
      <c r="EK99" s="1004"/>
      <c r="EL99" s="1004"/>
      <c r="EM99" s="1004"/>
      <c r="EN99" s="1004"/>
      <c r="EO99" s="1004"/>
      <c r="EP99" s="1004"/>
      <c r="EQ99" s="1004"/>
      <c r="ER99" s="1004"/>
      <c r="ES99" s="1004"/>
      <c r="ET99" s="1004"/>
      <c r="EU99" s="1004"/>
      <c r="EV99" s="1004"/>
      <c r="EW99" s="1004"/>
      <c r="EX99" s="1004"/>
      <c r="EY99" s="1004"/>
      <c r="EZ99" s="1004"/>
      <c r="FA99" s="1004"/>
      <c r="FB99" s="1004"/>
      <c r="FC99" s="1004"/>
      <c r="FD99" s="1004"/>
      <c r="FE99" s="1004"/>
      <c r="FF99" s="1004"/>
      <c r="FG99" s="1004"/>
      <c r="FH99" s="1004"/>
      <c r="FI99" s="1004"/>
      <c r="FJ99" s="1004"/>
      <c r="FK99" s="1004"/>
      <c r="FL99" s="1004"/>
      <c r="FM99" s="1004"/>
      <c r="FN99" s="1004"/>
      <c r="FO99" s="1004"/>
      <c r="FP99" s="1004"/>
      <c r="FQ99" s="1004"/>
      <c r="FR99" s="1004"/>
      <c r="FS99" s="1004"/>
      <c r="FT99" s="1004"/>
      <c r="FU99" s="1004"/>
      <c r="FV99" s="1004"/>
      <c r="FW99" s="1004"/>
      <c r="FX99" s="1004"/>
      <c r="FY99" s="1004"/>
      <c r="FZ99" s="1004"/>
      <c r="GA99" s="1004"/>
      <c r="GB99" s="1004"/>
      <c r="GC99" s="1004"/>
      <c r="GD99" s="1004"/>
      <c r="GE99" s="1004"/>
      <c r="GF99" s="1004"/>
      <c r="GG99" s="1004"/>
      <c r="GH99" s="1004"/>
      <c r="GI99" s="1004"/>
      <c r="GJ99" s="1004"/>
      <c r="GK99" s="1004"/>
      <c r="GL99" s="1004"/>
      <c r="GM99" s="1004"/>
      <c r="GN99" s="1004"/>
      <c r="GO99" s="1004"/>
      <c r="GP99" s="1004"/>
      <c r="GQ99" s="1004"/>
      <c r="GR99" s="1004"/>
      <c r="GS99" s="1004"/>
      <c r="GT99" s="1004"/>
      <c r="GU99" s="1004"/>
      <c r="GV99" s="1004"/>
      <c r="GW99" s="1004"/>
      <c r="GX99" s="1004"/>
      <c r="GY99" s="1004"/>
      <c r="GZ99" s="1004"/>
      <c r="HA99" s="1004"/>
      <c r="HB99" s="1004"/>
      <c r="HC99" s="1004"/>
      <c r="HD99" s="1004"/>
      <c r="HE99" s="1004"/>
      <c r="HF99" s="1004"/>
      <c r="HG99" s="1004"/>
      <c r="HH99" s="1004"/>
      <c r="HI99" s="1004"/>
      <c r="HJ99" s="1004"/>
      <c r="HK99" s="1004"/>
      <c r="HL99" s="1004"/>
      <c r="HM99" s="1004"/>
      <c r="HN99" s="1004"/>
      <c r="HO99" s="1004"/>
      <c r="HP99" s="1004"/>
      <c r="HQ99" s="1004"/>
      <c r="HR99" s="1004"/>
      <c r="HS99" s="1004"/>
      <c r="HT99" s="1004"/>
      <c r="HU99" s="1004"/>
      <c r="HV99" s="1004"/>
      <c r="HW99" s="1004"/>
      <c r="HX99" s="1004"/>
      <c r="HY99" s="1004"/>
      <c r="HZ99" s="1004"/>
      <c r="IA99" s="1004"/>
      <c r="IB99" s="1004"/>
      <c r="IC99" s="1004"/>
      <c r="ID99" s="1004"/>
      <c r="IE99" s="1004"/>
      <c r="IF99" s="1004"/>
      <c r="IG99" s="1004"/>
      <c r="IH99" s="1004"/>
      <c r="II99" s="1004"/>
      <c r="IJ99" s="1004"/>
      <c r="IK99" s="1004"/>
      <c r="IL99" s="1004"/>
      <c r="IM99" s="1004"/>
      <c r="IN99" s="1004"/>
      <c r="IO99" s="1004"/>
      <c r="IP99" s="1004"/>
      <c r="IQ99" s="1004"/>
      <c r="IR99" s="1004"/>
      <c r="IS99" s="1004"/>
      <c r="IT99" s="1004"/>
      <c r="IU99" s="1004"/>
      <c r="IV99" s="1004"/>
      <c r="IW99" s="1004"/>
      <c r="IX99" s="1004"/>
      <c r="IY99" s="1004"/>
      <c r="IZ99" s="1004"/>
      <c r="JA99" s="1004"/>
      <c r="JB99" s="1004"/>
      <c r="JC99" s="1004"/>
      <c r="JD99" s="1004"/>
      <c r="JE99" s="1004"/>
      <c r="JF99" s="1004"/>
      <c r="JG99" s="1004"/>
      <c r="JH99" s="1004"/>
      <c r="JI99" s="1004"/>
      <c r="JJ99" s="1004"/>
      <c r="JK99" s="1004"/>
      <c r="JL99" s="1004"/>
      <c r="JM99" s="1004"/>
      <c r="JN99" s="1004"/>
      <c r="JO99" s="1004"/>
      <c r="JP99" s="1004"/>
      <c r="JQ99" s="1004"/>
      <c r="JR99" s="1004"/>
      <c r="JS99" s="1004"/>
      <c r="JT99" s="1004"/>
      <c r="JU99" s="1004"/>
      <c r="JV99" s="1004"/>
      <c r="JW99" s="1004"/>
      <c r="JX99" s="1004"/>
      <c r="JY99" s="1004"/>
      <c r="JZ99" s="1004"/>
      <c r="KA99" s="1004"/>
      <c r="KB99" s="1004"/>
      <c r="KC99" s="1004"/>
      <c r="KD99" s="1004"/>
      <c r="KE99" s="1004"/>
      <c r="KF99" s="1004"/>
      <c r="KG99" s="1004"/>
      <c r="KH99" s="1004"/>
      <c r="KI99" s="1004"/>
      <c r="KJ99" s="1004"/>
      <c r="KK99" s="1004"/>
      <c r="KL99" s="1004"/>
      <c r="KM99" s="1004"/>
      <c r="KN99" s="1004"/>
      <c r="KO99" s="1004"/>
      <c r="KP99" s="1004"/>
      <c r="KQ99" s="1004"/>
      <c r="KR99" s="1004"/>
      <c r="KS99" s="1004"/>
      <c r="KT99" s="1004"/>
      <c r="KU99" s="1004"/>
      <c r="KV99" s="1004"/>
      <c r="KW99" s="1004"/>
      <c r="KX99" s="1004"/>
      <c r="KY99" s="1004"/>
      <c r="KZ99" s="1004"/>
      <c r="LA99" s="1004"/>
      <c r="LB99" s="1004"/>
      <c r="LC99" s="1004"/>
      <c r="LD99" s="1004"/>
      <c r="LE99" s="1004"/>
      <c r="LF99" s="1004"/>
      <c r="LG99" s="1004"/>
      <c r="LH99" s="1004"/>
      <c r="LI99" s="1004"/>
      <c r="LJ99" s="1004"/>
      <c r="LK99" s="1004"/>
      <c r="LL99" s="1004"/>
      <c r="LM99" s="1004"/>
      <c r="LN99" s="1004"/>
      <c r="LO99" s="1004"/>
      <c r="LP99" s="1004"/>
      <c r="LQ99" s="1004"/>
      <c r="LR99" s="1004"/>
      <c r="LS99" s="1004"/>
      <c r="LT99" s="1004"/>
      <c r="LU99" s="1004"/>
      <c r="LV99" s="1004"/>
      <c r="LW99" s="1004"/>
      <c r="LX99" s="1004"/>
      <c r="LY99" s="1004"/>
      <c r="LZ99" s="1004"/>
      <c r="MA99" s="1004"/>
      <c r="MB99" s="1004"/>
      <c r="MC99" s="1004"/>
      <c r="MD99" s="1004"/>
      <c r="ME99" s="1004"/>
      <c r="MF99" s="1004"/>
      <c r="MG99" s="1004"/>
      <c r="MH99" s="1004"/>
      <c r="MI99" s="1004"/>
      <c r="MJ99" s="1004"/>
      <c r="MK99" s="1004"/>
      <c r="ML99" s="1004"/>
      <c r="MM99" s="1004"/>
      <c r="MN99" s="1004"/>
      <c r="MO99" s="1004"/>
      <c r="MP99" s="1004"/>
      <c r="MQ99" s="1004"/>
      <c r="MR99" s="1004"/>
      <c r="MS99" s="1004"/>
      <c r="MT99" s="1004"/>
      <c r="MU99" s="1004"/>
      <c r="MV99" s="1004"/>
      <c r="MW99" s="1004"/>
      <c r="MX99" s="1004"/>
      <c r="MY99" s="1004"/>
      <c r="MZ99" s="1004"/>
      <c r="NA99" s="1004"/>
      <c r="NB99" s="1004"/>
      <c r="NC99" s="1004"/>
      <c r="ND99" s="1004"/>
      <c r="NE99" s="1004"/>
      <c r="NF99" s="1004"/>
      <c r="NG99" s="1004"/>
      <c r="NH99" s="1004"/>
      <c r="NI99" s="1004"/>
      <c r="NJ99" s="1004"/>
      <c r="NK99" s="1004"/>
      <c r="NL99" s="1004"/>
      <c r="NM99" s="1004"/>
      <c r="NN99" s="1004"/>
      <c r="NO99" s="1004"/>
      <c r="NP99" s="1004"/>
      <c r="NQ99" s="1004"/>
      <c r="NR99" s="1004"/>
      <c r="NS99" s="1004"/>
      <c r="NT99" s="1004"/>
      <c r="NU99" s="1004"/>
      <c r="NV99" s="1004"/>
      <c r="NW99" s="1004"/>
      <c r="NX99" s="1004"/>
      <c r="NY99" s="1004"/>
      <c r="NZ99" s="1004"/>
      <c r="OA99" s="1004"/>
      <c r="OB99" s="1004"/>
      <c r="OC99" s="1004"/>
      <c r="OD99" s="1004"/>
      <c r="OE99" s="1004"/>
      <c r="OF99" s="1004"/>
      <c r="OG99" s="1004"/>
      <c r="OH99" s="1004"/>
      <c r="OI99" s="1004"/>
      <c r="OJ99" s="1004"/>
      <c r="OK99" s="1004"/>
      <c r="OL99" s="1004"/>
      <c r="OM99" s="1004"/>
      <c r="ON99" s="1004"/>
      <c r="OO99" s="1004"/>
      <c r="OP99" s="1004"/>
      <c r="OQ99" s="1004"/>
      <c r="OR99" s="1004"/>
      <c r="OS99" s="1004"/>
      <c r="OT99" s="1004"/>
      <c r="OU99" s="1004"/>
      <c r="OV99" s="1004"/>
      <c r="OW99" s="1004"/>
      <c r="OX99" s="1004"/>
      <c r="OY99" s="1004"/>
      <c r="OZ99" s="1004"/>
      <c r="PA99" s="1004"/>
      <c r="PB99" s="1004"/>
      <c r="PC99" s="1004"/>
      <c r="PD99" s="1004"/>
      <c r="PE99" s="1004"/>
      <c r="PF99" s="1004"/>
      <c r="PG99" s="1004"/>
      <c r="PH99" s="1004"/>
      <c r="PI99" s="1004"/>
      <c r="PJ99" s="1004"/>
      <c r="PK99" s="1004"/>
      <c r="PL99" s="1004"/>
      <c r="PM99" s="1004"/>
      <c r="PN99" s="1004"/>
      <c r="PO99" s="1004"/>
      <c r="PP99" s="1004"/>
      <c r="PQ99" s="1004"/>
      <c r="PR99" s="1004"/>
      <c r="PS99" s="1004"/>
      <c r="PT99" s="1004"/>
      <c r="PU99" s="1004"/>
      <c r="PV99" s="1004"/>
      <c r="PW99" s="1004"/>
      <c r="PX99" s="1004"/>
      <c r="PY99" s="1004"/>
      <c r="PZ99" s="1004"/>
      <c r="QA99" s="1004"/>
      <c r="QB99" s="1004"/>
      <c r="QC99" s="1004"/>
      <c r="QD99" s="1004"/>
      <c r="QE99" s="1004"/>
      <c r="QF99" s="1004"/>
      <c r="QG99" s="1004"/>
      <c r="QH99" s="1004"/>
      <c r="QI99" s="1004"/>
      <c r="QJ99" s="1004"/>
      <c r="QK99" s="1004"/>
      <c r="QL99" s="1004"/>
      <c r="QM99" s="1004"/>
      <c r="QN99" s="1004"/>
      <c r="QO99" s="1004"/>
      <c r="QP99" s="1004"/>
      <c r="QQ99" s="1004"/>
      <c r="QR99" s="1004"/>
      <c r="QS99" s="1004"/>
      <c r="QT99" s="1004"/>
      <c r="QU99" s="1004"/>
      <c r="QV99" s="1004"/>
      <c r="QW99" s="1004"/>
      <c r="QX99" s="1004"/>
      <c r="QY99" s="1004"/>
      <c r="QZ99" s="1004"/>
      <c r="RA99" s="1004"/>
      <c r="RB99" s="1004"/>
      <c r="RC99" s="1004"/>
      <c r="RD99" s="1004"/>
      <c r="RE99" s="1004"/>
      <c r="RF99" s="1004"/>
      <c r="RG99" s="1004"/>
      <c r="RH99" s="1004"/>
      <c r="RI99" s="1004"/>
      <c r="RJ99" s="1004"/>
      <c r="RK99" s="1004"/>
      <c r="RL99" s="1004"/>
      <c r="RM99" s="1004"/>
      <c r="RN99" s="1004"/>
      <c r="RO99" s="1004"/>
      <c r="RP99" s="1004"/>
      <c r="RQ99" s="1004"/>
      <c r="RR99" s="1004"/>
      <c r="RS99" s="1004"/>
      <c r="RT99" s="1004"/>
      <c r="RU99" s="1004"/>
      <c r="RV99" s="1004"/>
      <c r="RW99" s="1004"/>
      <c r="RX99" s="1004"/>
      <c r="RY99" s="1004"/>
      <c r="RZ99" s="1004"/>
      <c r="SA99" s="1004"/>
      <c r="SB99" s="1004"/>
      <c r="SC99" s="1004"/>
      <c r="SD99" s="1004"/>
      <c r="SE99" s="1004"/>
      <c r="SF99" s="1004"/>
      <c r="SG99" s="1004"/>
      <c r="SH99" s="1004"/>
      <c r="SI99" s="1004"/>
      <c r="SJ99" s="1004"/>
      <c r="SK99" s="1004"/>
      <c r="SL99" s="1004"/>
      <c r="SM99" s="1004"/>
      <c r="SN99" s="1004"/>
      <c r="SO99" s="1004"/>
      <c r="SP99" s="1004"/>
      <c r="SQ99" s="1004"/>
      <c r="SR99" s="1004"/>
      <c r="SS99" s="1004"/>
      <c r="ST99" s="1004"/>
      <c r="SU99" s="1004"/>
      <c r="SV99" s="1004"/>
      <c r="SW99" s="1004"/>
      <c r="SX99" s="1004"/>
      <c r="SY99" s="1004"/>
      <c r="SZ99" s="1004"/>
      <c r="TA99" s="1004"/>
      <c r="TB99" s="1004"/>
      <c r="TC99" s="1004"/>
      <c r="TD99" s="1004"/>
      <c r="TE99" s="1004"/>
      <c r="TF99" s="1004"/>
      <c r="TG99" s="1004"/>
      <c r="TH99" s="1004"/>
      <c r="TI99" s="1004"/>
      <c r="TJ99" s="1004"/>
      <c r="TK99" s="1004"/>
      <c r="TL99" s="1004"/>
      <c r="TM99" s="1004"/>
      <c r="TN99" s="1004"/>
      <c r="TO99" s="1004"/>
      <c r="TP99" s="1004"/>
      <c r="TQ99" s="1004"/>
      <c r="TR99" s="1004"/>
      <c r="TS99" s="1004"/>
      <c r="TT99" s="1004"/>
      <c r="TU99" s="1004"/>
      <c r="TV99" s="1004"/>
      <c r="TW99" s="1004"/>
      <c r="TX99" s="1004"/>
      <c r="TY99" s="1004"/>
      <c r="TZ99" s="1004"/>
      <c r="UA99" s="1004"/>
      <c r="UB99" s="1004"/>
      <c r="UC99" s="1004"/>
      <c r="UD99" s="1004"/>
      <c r="UE99" s="1004"/>
      <c r="UF99" s="1004"/>
      <c r="UG99" s="1004"/>
      <c r="UH99" s="1004"/>
      <c r="UI99" s="1004"/>
      <c r="UJ99" s="1004"/>
      <c r="UK99" s="1004"/>
      <c r="UL99" s="1004"/>
      <c r="UM99" s="1004"/>
      <c r="UN99" s="1004"/>
      <c r="UO99" s="1004"/>
      <c r="UP99" s="1004"/>
      <c r="UQ99" s="1004"/>
      <c r="UR99" s="1004"/>
      <c r="US99" s="1004"/>
      <c r="UT99" s="1004"/>
      <c r="UU99" s="1004"/>
      <c r="UV99" s="1004"/>
      <c r="UW99" s="1004"/>
      <c r="UX99" s="1004"/>
      <c r="UY99" s="1004"/>
      <c r="UZ99" s="1004"/>
      <c r="VA99" s="1004"/>
      <c r="VB99" s="1004"/>
      <c r="VC99" s="1004"/>
      <c r="VD99" s="1004"/>
      <c r="VE99" s="1004"/>
      <c r="VF99" s="1004"/>
      <c r="VG99" s="1004"/>
      <c r="VH99" s="1004"/>
      <c r="VI99" s="1004"/>
      <c r="VJ99" s="1004"/>
      <c r="VK99" s="1004"/>
      <c r="VL99" s="1004"/>
      <c r="VM99" s="1004"/>
      <c r="VN99" s="1004"/>
      <c r="VO99" s="1004"/>
      <c r="VP99" s="1004"/>
      <c r="VQ99" s="1004"/>
      <c r="VR99" s="1004"/>
      <c r="VS99" s="1004"/>
      <c r="VT99" s="1004"/>
      <c r="VU99" s="1004"/>
      <c r="VV99" s="1004"/>
      <c r="VW99" s="1004"/>
      <c r="VX99" s="1004"/>
      <c r="VY99" s="1004"/>
      <c r="VZ99" s="1004"/>
      <c r="WA99" s="1004"/>
      <c r="WB99" s="1004"/>
      <c r="WC99" s="1004"/>
      <c r="WD99" s="1004"/>
      <c r="WE99" s="1004"/>
      <c r="WF99" s="1004"/>
      <c r="WG99" s="1004"/>
      <c r="WH99" s="1004"/>
      <c r="WI99" s="1004"/>
      <c r="WJ99" s="1004"/>
      <c r="WK99" s="1004"/>
      <c r="WL99" s="1004"/>
      <c r="WM99" s="1004"/>
      <c r="WN99" s="1004"/>
      <c r="WO99" s="1004"/>
      <c r="WP99" s="1004"/>
      <c r="WQ99" s="1004"/>
      <c r="WR99" s="1004"/>
      <c r="WS99" s="1004"/>
      <c r="WT99" s="1004"/>
      <c r="WU99" s="1004"/>
      <c r="WV99" s="1004"/>
      <c r="WW99" s="1004"/>
      <c r="WX99" s="1004"/>
      <c r="WY99" s="1004"/>
      <c r="WZ99" s="1004"/>
      <c r="XA99" s="1004"/>
      <c r="XB99" s="1004"/>
      <c r="XC99" s="1004"/>
      <c r="XD99" s="1004"/>
      <c r="XE99" s="1004"/>
      <c r="XF99" s="1004"/>
      <c r="XG99" s="1004"/>
      <c r="XH99" s="1004"/>
      <c r="XI99" s="1004"/>
      <c r="XJ99" s="1004"/>
      <c r="XK99" s="1004"/>
      <c r="XL99" s="1004"/>
      <c r="XM99" s="1004"/>
      <c r="XN99" s="1004"/>
      <c r="XO99" s="1004"/>
      <c r="XP99" s="1004"/>
      <c r="XQ99" s="1004"/>
      <c r="XR99" s="1004"/>
      <c r="XS99" s="1004"/>
      <c r="XT99" s="1004"/>
      <c r="XU99" s="1004"/>
      <c r="XV99" s="1004"/>
      <c r="XW99" s="1004"/>
      <c r="XX99" s="1004"/>
      <c r="XY99" s="1004"/>
      <c r="XZ99" s="1004"/>
      <c r="YA99" s="1004"/>
      <c r="YB99" s="1004"/>
      <c r="YC99" s="1004"/>
      <c r="YD99" s="1004"/>
      <c r="YE99" s="1004"/>
      <c r="YF99" s="1004"/>
      <c r="YG99" s="1004"/>
      <c r="YH99" s="1004"/>
      <c r="YI99" s="1004"/>
      <c r="YJ99" s="1004"/>
      <c r="YK99" s="1004"/>
      <c r="YL99" s="1004"/>
      <c r="YM99" s="1004"/>
      <c r="YN99" s="1004"/>
      <c r="YO99" s="1004"/>
      <c r="YP99" s="1004"/>
      <c r="YQ99" s="1004"/>
      <c r="YR99" s="1004"/>
      <c r="YS99" s="1004"/>
      <c r="YT99" s="1004"/>
      <c r="YU99" s="1004"/>
      <c r="YV99" s="1004"/>
      <c r="YW99" s="1004"/>
      <c r="YX99" s="1004"/>
      <c r="YY99" s="1004"/>
      <c r="YZ99" s="1004"/>
      <c r="ZA99" s="1004"/>
      <c r="ZB99" s="1004"/>
      <c r="ZC99" s="1004"/>
      <c r="ZD99" s="1004"/>
      <c r="ZE99" s="1004"/>
      <c r="ZF99" s="1004"/>
      <c r="ZG99" s="1004"/>
      <c r="ZH99" s="1004"/>
      <c r="ZI99" s="1004"/>
      <c r="ZJ99" s="1004"/>
      <c r="ZK99" s="1004"/>
      <c r="ZL99" s="1004"/>
      <c r="ZM99" s="1004"/>
      <c r="ZN99" s="1004"/>
      <c r="ZO99" s="1004"/>
      <c r="ZP99" s="1004"/>
      <c r="ZQ99" s="1004"/>
      <c r="ZR99" s="1004"/>
      <c r="ZS99" s="1004"/>
      <c r="ZT99" s="1004"/>
      <c r="ZU99" s="1004"/>
      <c r="ZV99" s="1004"/>
      <c r="ZW99" s="1004"/>
      <c r="ZX99" s="1004"/>
      <c r="ZY99" s="1004"/>
      <c r="ZZ99" s="1004"/>
      <c r="AAA99" s="1004"/>
      <c r="AAB99" s="1004"/>
      <c r="AAC99" s="1004"/>
      <c r="AAD99" s="1004"/>
      <c r="AAE99" s="1004"/>
      <c r="AAF99" s="1004"/>
      <c r="AAG99" s="1004"/>
      <c r="AAH99" s="1004"/>
      <c r="AAI99" s="1004"/>
      <c r="AAJ99" s="1004"/>
      <c r="AAK99" s="1004"/>
      <c r="AAL99" s="1004"/>
      <c r="AAM99" s="1004"/>
      <c r="AAN99" s="1004"/>
      <c r="AAO99" s="1004"/>
      <c r="AAP99" s="1004"/>
      <c r="AAQ99" s="1004"/>
      <c r="AAR99" s="1004"/>
      <c r="AAS99" s="1004"/>
      <c r="AAT99" s="1004"/>
      <c r="AAU99" s="1004"/>
      <c r="AAV99" s="1004"/>
      <c r="AAW99" s="1004"/>
      <c r="AAX99" s="1004"/>
      <c r="AAY99" s="1004"/>
      <c r="AAZ99" s="1004"/>
      <c r="ABA99" s="1004"/>
      <c r="ABB99" s="1004"/>
      <c r="ABC99" s="1004"/>
      <c r="ABD99" s="1004"/>
      <c r="ABE99" s="1004"/>
      <c r="ABF99" s="1004"/>
      <c r="ABG99" s="1004"/>
      <c r="ABH99" s="1004"/>
      <c r="ABI99" s="1004"/>
      <c r="ABJ99" s="1004"/>
      <c r="ABK99" s="1004"/>
      <c r="ABL99" s="1004"/>
      <c r="ABM99" s="1004"/>
      <c r="ABN99" s="1004"/>
      <c r="ABO99" s="1004"/>
      <c r="ABP99" s="1004"/>
      <c r="ABQ99" s="1004"/>
      <c r="ABR99" s="1004"/>
    </row>
    <row r="100" spans="1:746" s="1" customFormat="1" ht="12.9" customHeight="1">
      <c r="A100" s="923"/>
      <c r="B100" s="1864" t="s">
        <v>757</v>
      </c>
      <c r="C100" s="1860"/>
      <c r="D100" s="1860"/>
      <c r="E100" s="1893" t="s">
        <v>1050</v>
      </c>
      <c r="F100" s="1892"/>
      <c r="G100" s="1904">
        <v>0.3</v>
      </c>
      <c r="H100" s="2535">
        <f>$H$87-G100</f>
        <v>0.7</v>
      </c>
      <c r="I100" s="796"/>
      <c r="J100" s="2607"/>
      <c r="K100" s="2607"/>
      <c r="L100" s="2607"/>
      <c r="M100" s="2607"/>
      <c r="N100" s="2607"/>
      <c r="O100" s="2607"/>
      <c r="P100" s="2607"/>
      <c r="Q100" s="2607"/>
      <c r="R100" s="2607"/>
      <c r="S100" s="2607"/>
      <c r="T100" s="2607"/>
      <c r="U100" s="796"/>
      <c r="V100" s="796"/>
      <c r="W100" s="796"/>
      <c r="X100" s="796"/>
      <c r="Y100" s="796"/>
      <c r="Z100" s="796"/>
      <c r="AA100" s="796"/>
      <c r="AB100" s="796"/>
      <c r="AC100" s="796"/>
      <c r="AD100" s="796"/>
      <c r="AE100" s="796"/>
      <c r="AF100" s="796"/>
      <c r="AG100" s="1042"/>
      <c r="AH100" s="359"/>
      <c r="AI100" s="359"/>
      <c r="AJ100" s="1854">
        <f>IF(fx!$C$57=1,SUMIF(fx!I$57:T$57,1,I100:T100),IF(fx!$C$57=2,SUMIF(fx!O$57:AF$57,1,O100:AF100)))</f>
        <v>0</v>
      </c>
      <c r="AK100" s="434"/>
      <c r="AL100" s="1855">
        <f>IF(fx!$C$57=1,SUM(U100:AF100),0)</f>
        <v>0</v>
      </c>
      <c r="AM100" s="1021"/>
      <c r="AN100" s="1005"/>
      <c r="AO100" s="1945" t="s">
        <v>1254</v>
      </c>
      <c r="AP100" s="1935"/>
      <c r="AQ100" s="1936"/>
      <c r="AR100" s="1941">
        <v>100</v>
      </c>
      <c r="AS100" s="1941"/>
      <c r="AT100" s="1941"/>
      <c r="AU100" s="1941"/>
      <c r="AV100" s="1941"/>
      <c r="AW100" s="1941"/>
      <c r="AX100" s="1941"/>
      <c r="AY100" s="1941"/>
      <c r="AZ100" s="1941"/>
      <c r="BA100" s="1941"/>
      <c r="BB100" s="1941"/>
      <c r="BC100" s="1941"/>
      <c r="BD100" s="1941"/>
      <c r="BE100" s="1941"/>
      <c r="BF100" s="1941"/>
      <c r="BG100" s="1941"/>
      <c r="BH100" s="1941"/>
      <c r="BI100" s="1941"/>
      <c r="BJ100" s="1941"/>
      <c r="BK100" s="1941"/>
      <c r="BL100" s="1941"/>
      <c r="BM100" s="1941"/>
      <c r="BN100" s="1941"/>
      <c r="BO100" s="1941"/>
      <c r="BP100" s="1004"/>
      <c r="BQ100" s="1004"/>
      <c r="BR100" s="1004"/>
      <c r="BS100" s="1004"/>
      <c r="BT100" s="1004"/>
      <c r="BU100" s="1004"/>
      <c r="BV100" s="1004"/>
      <c r="BW100" s="1004"/>
      <c r="BX100" s="1004"/>
      <c r="BY100" s="1004"/>
      <c r="BZ100" s="1004"/>
      <c r="CA100" s="1004"/>
      <c r="CB100" s="1004"/>
      <c r="CC100" s="1004"/>
      <c r="CD100" s="1004"/>
      <c r="CE100" s="1004"/>
      <c r="CF100" s="1004"/>
      <c r="CG100" s="1004"/>
      <c r="CH100" s="1004"/>
      <c r="CI100" s="1004"/>
      <c r="CJ100" s="1004"/>
      <c r="CK100" s="1004"/>
      <c r="CL100" s="1004"/>
      <c r="CM100" s="1004"/>
      <c r="CN100" s="1004"/>
      <c r="CO100" s="1004"/>
      <c r="CP100" s="1004"/>
      <c r="CQ100" s="1004"/>
      <c r="CR100" s="1004"/>
      <c r="CS100" s="1004"/>
      <c r="CT100" s="1004"/>
      <c r="CU100" s="1004"/>
      <c r="CV100" s="1004"/>
      <c r="CW100" s="1004"/>
      <c r="CX100" s="1004"/>
      <c r="CY100" s="1004"/>
      <c r="CZ100" s="1004"/>
      <c r="DA100" s="1004"/>
      <c r="DB100" s="1004"/>
      <c r="DC100" s="1004"/>
      <c r="DD100" s="1004"/>
      <c r="DE100" s="1004"/>
      <c r="DF100" s="1004"/>
      <c r="DG100" s="1004"/>
      <c r="DH100" s="1004"/>
      <c r="DI100" s="1004"/>
      <c r="DJ100" s="1004"/>
      <c r="DK100" s="1004"/>
      <c r="DL100" s="1004"/>
      <c r="DM100" s="1004"/>
      <c r="DN100" s="1004"/>
      <c r="DO100" s="1004"/>
      <c r="DP100" s="1004"/>
      <c r="DQ100" s="1004"/>
      <c r="DR100" s="1004"/>
      <c r="DS100" s="1004"/>
      <c r="DT100" s="1004"/>
      <c r="DU100" s="1004"/>
      <c r="DV100" s="1004"/>
      <c r="DW100" s="1004"/>
      <c r="DX100" s="1004"/>
      <c r="DY100" s="1004"/>
      <c r="DZ100" s="1004"/>
      <c r="EA100" s="1004"/>
      <c r="EB100" s="1004"/>
      <c r="EC100" s="1004"/>
      <c r="ED100" s="1004"/>
      <c r="EE100" s="1004"/>
      <c r="EF100" s="1004"/>
      <c r="EG100" s="1004"/>
      <c r="EH100" s="1004"/>
      <c r="EI100" s="1004"/>
      <c r="EJ100" s="1004"/>
      <c r="EK100" s="1004"/>
      <c r="EL100" s="1004"/>
      <c r="EM100" s="1004"/>
      <c r="EN100" s="1004"/>
      <c r="EO100" s="1004"/>
      <c r="EP100" s="1004"/>
      <c r="EQ100" s="1004"/>
      <c r="ER100" s="1004"/>
      <c r="ES100" s="1004"/>
      <c r="ET100" s="1004"/>
      <c r="EU100" s="1004"/>
      <c r="EV100" s="1004"/>
      <c r="EW100" s="1004"/>
      <c r="EX100" s="1004"/>
      <c r="EY100" s="1004"/>
      <c r="EZ100" s="1004"/>
      <c r="FA100" s="1004"/>
      <c r="FB100" s="1004"/>
      <c r="FC100" s="1004"/>
      <c r="FD100" s="1004"/>
      <c r="FE100" s="1004"/>
      <c r="FF100" s="1004"/>
      <c r="FG100" s="1004"/>
      <c r="FH100" s="1004"/>
      <c r="FI100" s="1004"/>
      <c r="FJ100" s="1004"/>
      <c r="FK100" s="1004"/>
      <c r="FL100" s="1004"/>
      <c r="FM100" s="1004"/>
      <c r="FN100" s="1004"/>
      <c r="FO100" s="1004"/>
      <c r="FP100" s="1004"/>
      <c r="FQ100" s="1004"/>
      <c r="FR100" s="1004"/>
      <c r="FS100" s="1004"/>
      <c r="FT100" s="1004"/>
      <c r="FU100" s="1004"/>
      <c r="FV100" s="1004"/>
      <c r="FW100" s="1004"/>
      <c r="FX100" s="1004"/>
      <c r="FY100" s="1004"/>
      <c r="FZ100" s="1004"/>
      <c r="GA100" s="1004"/>
      <c r="GB100" s="1004"/>
      <c r="GC100" s="1004"/>
      <c r="GD100" s="1004"/>
      <c r="GE100" s="1004"/>
      <c r="GF100" s="1004"/>
      <c r="GG100" s="1004"/>
      <c r="GH100" s="1004"/>
      <c r="GI100" s="1004"/>
      <c r="GJ100" s="1004"/>
      <c r="GK100" s="1004"/>
      <c r="GL100" s="1004"/>
      <c r="GM100" s="1004"/>
      <c r="GN100" s="1004"/>
      <c r="GO100" s="1004"/>
      <c r="GP100" s="1004"/>
      <c r="GQ100" s="1004"/>
      <c r="GR100" s="1004"/>
      <c r="GS100" s="1004"/>
      <c r="GT100" s="1004"/>
      <c r="GU100" s="1004"/>
      <c r="GV100" s="1004"/>
      <c r="GW100" s="1004"/>
      <c r="GX100" s="1004"/>
      <c r="GY100" s="1004"/>
      <c r="GZ100" s="1004"/>
      <c r="HA100" s="1004"/>
      <c r="HB100" s="1004"/>
      <c r="HC100" s="1004"/>
      <c r="HD100" s="1004"/>
      <c r="HE100" s="1004"/>
      <c r="HF100" s="1004"/>
      <c r="HG100" s="1004"/>
      <c r="HH100" s="1004"/>
      <c r="HI100" s="1004"/>
      <c r="HJ100" s="1004"/>
      <c r="HK100" s="1004"/>
      <c r="HL100" s="1004"/>
      <c r="HM100" s="1004"/>
      <c r="HN100" s="1004"/>
      <c r="HO100" s="1004"/>
      <c r="HP100" s="1004"/>
      <c r="HQ100" s="1004"/>
      <c r="HR100" s="1004"/>
      <c r="HS100" s="1004"/>
      <c r="HT100" s="1004"/>
      <c r="HU100" s="1004"/>
      <c r="HV100" s="1004"/>
      <c r="HW100" s="1004"/>
      <c r="HX100" s="1004"/>
      <c r="HY100" s="1004"/>
      <c r="HZ100" s="1004"/>
      <c r="IA100" s="1004"/>
      <c r="IB100" s="1004"/>
      <c r="IC100" s="1004"/>
      <c r="ID100" s="1004"/>
      <c r="IE100" s="1004"/>
      <c r="IF100" s="1004"/>
      <c r="IG100" s="1004"/>
      <c r="IH100" s="1004"/>
      <c r="II100" s="1004"/>
      <c r="IJ100" s="1004"/>
      <c r="IK100" s="1004"/>
      <c r="IL100" s="1004"/>
      <c r="IM100" s="1004"/>
      <c r="IN100" s="1004"/>
      <c r="IO100" s="1004"/>
      <c r="IP100" s="1004"/>
      <c r="IQ100" s="1004"/>
      <c r="IR100" s="1004"/>
      <c r="IS100" s="1004"/>
      <c r="IT100" s="1004"/>
      <c r="IU100" s="1004"/>
      <c r="IV100" s="1004"/>
      <c r="IW100" s="1004"/>
      <c r="IX100" s="1004"/>
      <c r="IY100" s="1004"/>
      <c r="IZ100" s="1004"/>
      <c r="JA100" s="1004"/>
      <c r="JB100" s="1004"/>
      <c r="JC100" s="1004"/>
      <c r="JD100" s="1004"/>
      <c r="JE100" s="1004"/>
      <c r="JF100" s="1004"/>
      <c r="JG100" s="1004"/>
      <c r="JH100" s="1004"/>
      <c r="JI100" s="1004"/>
      <c r="JJ100" s="1004"/>
      <c r="JK100" s="1004"/>
      <c r="JL100" s="1004"/>
      <c r="JM100" s="1004"/>
      <c r="JN100" s="1004"/>
      <c r="JO100" s="1004"/>
      <c r="JP100" s="1004"/>
      <c r="JQ100" s="1004"/>
      <c r="JR100" s="1004"/>
      <c r="JS100" s="1004"/>
      <c r="JT100" s="1004"/>
      <c r="JU100" s="1004"/>
      <c r="JV100" s="1004"/>
      <c r="JW100" s="1004"/>
      <c r="JX100" s="1004"/>
      <c r="JY100" s="1004"/>
      <c r="JZ100" s="1004"/>
      <c r="KA100" s="1004"/>
      <c r="KB100" s="1004"/>
      <c r="KC100" s="1004"/>
      <c r="KD100" s="1004"/>
      <c r="KE100" s="1004"/>
      <c r="KF100" s="1004"/>
      <c r="KG100" s="1004"/>
      <c r="KH100" s="1004"/>
      <c r="KI100" s="1004"/>
      <c r="KJ100" s="1004"/>
      <c r="KK100" s="1004"/>
      <c r="KL100" s="1004"/>
      <c r="KM100" s="1004"/>
      <c r="KN100" s="1004"/>
      <c r="KO100" s="1004"/>
      <c r="KP100" s="1004"/>
      <c r="KQ100" s="1004"/>
      <c r="KR100" s="1004"/>
      <c r="KS100" s="1004"/>
      <c r="KT100" s="1004"/>
      <c r="KU100" s="1004"/>
      <c r="KV100" s="1004"/>
      <c r="KW100" s="1004"/>
      <c r="KX100" s="1004"/>
      <c r="KY100" s="1004"/>
      <c r="KZ100" s="1004"/>
      <c r="LA100" s="1004"/>
      <c r="LB100" s="1004"/>
      <c r="LC100" s="1004"/>
      <c r="LD100" s="1004"/>
      <c r="LE100" s="1004"/>
      <c r="LF100" s="1004"/>
      <c r="LG100" s="1004"/>
      <c r="LH100" s="1004"/>
      <c r="LI100" s="1004"/>
      <c r="LJ100" s="1004"/>
      <c r="LK100" s="1004"/>
      <c r="LL100" s="1004"/>
      <c r="LM100" s="1004"/>
      <c r="LN100" s="1004"/>
      <c r="LO100" s="1004"/>
      <c r="LP100" s="1004"/>
      <c r="LQ100" s="1004"/>
      <c r="LR100" s="1004"/>
      <c r="LS100" s="1004"/>
      <c r="LT100" s="1004"/>
      <c r="LU100" s="1004"/>
      <c r="LV100" s="1004"/>
      <c r="LW100" s="1004"/>
      <c r="LX100" s="1004"/>
      <c r="LY100" s="1004"/>
      <c r="LZ100" s="1004"/>
      <c r="MA100" s="1004"/>
      <c r="MB100" s="1004"/>
      <c r="MC100" s="1004"/>
      <c r="MD100" s="1004"/>
      <c r="ME100" s="1004"/>
      <c r="MF100" s="1004"/>
      <c r="MG100" s="1004"/>
      <c r="MH100" s="1004"/>
      <c r="MI100" s="1004"/>
      <c r="MJ100" s="1004"/>
      <c r="MK100" s="1004"/>
      <c r="ML100" s="1004"/>
      <c r="MM100" s="1004"/>
      <c r="MN100" s="1004"/>
      <c r="MO100" s="1004"/>
      <c r="MP100" s="1004"/>
      <c r="MQ100" s="1004"/>
      <c r="MR100" s="1004"/>
      <c r="MS100" s="1004"/>
      <c r="MT100" s="1004"/>
      <c r="MU100" s="1004"/>
      <c r="MV100" s="1004"/>
      <c r="MW100" s="1004"/>
      <c r="MX100" s="1004"/>
      <c r="MY100" s="1004"/>
      <c r="MZ100" s="1004"/>
      <c r="NA100" s="1004"/>
      <c r="NB100" s="1004"/>
      <c r="NC100" s="1004"/>
      <c r="ND100" s="1004"/>
      <c r="NE100" s="1004"/>
      <c r="NF100" s="1004"/>
      <c r="NG100" s="1004"/>
      <c r="NH100" s="1004"/>
      <c r="NI100" s="1004"/>
      <c r="NJ100" s="1004"/>
      <c r="NK100" s="1004"/>
      <c r="NL100" s="1004"/>
      <c r="NM100" s="1004"/>
      <c r="NN100" s="1004"/>
      <c r="NO100" s="1004"/>
      <c r="NP100" s="1004"/>
      <c r="NQ100" s="1004"/>
      <c r="NR100" s="1004"/>
      <c r="NS100" s="1004"/>
      <c r="NT100" s="1004"/>
      <c r="NU100" s="1004"/>
      <c r="NV100" s="1004"/>
      <c r="NW100" s="1004"/>
      <c r="NX100" s="1004"/>
      <c r="NY100" s="1004"/>
      <c r="NZ100" s="1004"/>
      <c r="OA100" s="1004"/>
      <c r="OB100" s="1004"/>
      <c r="OC100" s="1004"/>
      <c r="OD100" s="1004"/>
      <c r="OE100" s="1004"/>
      <c r="OF100" s="1004"/>
      <c r="OG100" s="1004"/>
      <c r="OH100" s="1004"/>
      <c r="OI100" s="1004"/>
      <c r="OJ100" s="1004"/>
      <c r="OK100" s="1004"/>
      <c r="OL100" s="1004"/>
      <c r="OM100" s="1004"/>
      <c r="ON100" s="1004"/>
      <c r="OO100" s="1004"/>
      <c r="OP100" s="1004"/>
      <c r="OQ100" s="1004"/>
      <c r="OR100" s="1004"/>
      <c r="OS100" s="1004"/>
      <c r="OT100" s="1004"/>
      <c r="OU100" s="1004"/>
      <c r="OV100" s="1004"/>
      <c r="OW100" s="1004"/>
      <c r="OX100" s="1004"/>
      <c r="OY100" s="1004"/>
      <c r="OZ100" s="1004"/>
      <c r="PA100" s="1004"/>
      <c r="PB100" s="1004"/>
      <c r="PC100" s="1004"/>
      <c r="PD100" s="1004"/>
      <c r="PE100" s="1004"/>
      <c r="PF100" s="1004"/>
      <c r="PG100" s="1004"/>
      <c r="PH100" s="1004"/>
      <c r="PI100" s="1004"/>
      <c r="PJ100" s="1004"/>
      <c r="PK100" s="1004"/>
      <c r="PL100" s="1004"/>
      <c r="PM100" s="1004"/>
      <c r="PN100" s="1004"/>
      <c r="PO100" s="1004"/>
      <c r="PP100" s="1004"/>
      <c r="PQ100" s="1004"/>
      <c r="PR100" s="1004"/>
      <c r="PS100" s="1004"/>
      <c r="PT100" s="1004"/>
      <c r="PU100" s="1004"/>
      <c r="PV100" s="1004"/>
      <c r="PW100" s="1004"/>
      <c r="PX100" s="1004"/>
      <c r="PY100" s="1004"/>
      <c r="PZ100" s="1004"/>
      <c r="QA100" s="1004"/>
      <c r="QB100" s="1004"/>
      <c r="QC100" s="1004"/>
      <c r="QD100" s="1004"/>
      <c r="QE100" s="1004"/>
      <c r="QF100" s="1004"/>
      <c r="QG100" s="1004"/>
      <c r="QH100" s="1004"/>
      <c r="QI100" s="1004"/>
      <c r="QJ100" s="1004"/>
      <c r="QK100" s="1004"/>
      <c r="QL100" s="1004"/>
      <c r="QM100" s="1004"/>
      <c r="QN100" s="1004"/>
      <c r="QO100" s="1004"/>
      <c r="QP100" s="1004"/>
      <c r="QQ100" s="1004"/>
      <c r="QR100" s="1004"/>
      <c r="QS100" s="1004"/>
      <c r="QT100" s="1004"/>
      <c r="QU100" s="1004"/>
      <c r="QV100" s="1004"/>
      <c r="QW100" s="1004"/>
      <c r="QX100" s="1004"/>
      <c r="QY100" s="1004"/>
      <c r="QZ100" s="1004"/>
      <c r="RA100" s="1004"/>
      <c r="RB100" s="1004"/>
      <c r="RC100" s="1004"/>
      <c r="RD100" s="1004"/>
      <c r="RE100" s="1004"/>
      <c r="RF100" s="1004"/>
      <c r="RG100" s="1004"/>
      <c r="RH100" s="1004"/>
      <c r="RI100" s="1004"/>
      <c r="RJ100" s="1004"/>
      <c r="RK100" s="1004"/>
      <c r="RL100" s="1004"/>
      <c r="RM100" s="1004"/>
      <c r="RN100" s="1004"/>
      <c r="RO100" s="1004"/>
      <c r="RP100" s="1004"/>
      <c r="RQ100" s="1004"/>
      <c r="RR100" s="1004"/>
      <c r="RS100" s="1004"/>
      <c r="RT100" s="1004"/>
      <c r="RU100" s="1004"/>
      <c r="RV100" s="1004"/>
      <c r="RW100" s="1004"/>
      <c r="RX100" s="1004"/>
      <c r="RY100" s="1004"/>
      <c r="RZ100" s="1004"/>
      <c r="SA100" s="1004"/>
      <c r="SB100" s="1004"/>
      <c r="SC100" s="1004"/>
      <c r="SD100" s="1004"/>
      <c r="SE100" s="1004"/>
      <c r="SF100" s="1004"/>
      <c r="SG100" s="1004"/>
      <c r="SH100" s="1004"/>
      <c r="SI100" s="1004"/>
      <c r="SJ100" s="1004"/>
      <c r="SK100" s="1004"/>
      <c r="SL100" s="1004"/>
      <c r="SM100" s="1004"/>
      <c r="SN100" s="1004"/>
      <c r="SO100" s="1004"/>
      <c r="SP100" s="1004"/>
      <c r="SQ100" s="1004"/>
      <c r="SR100" s="1004"/>
      <c r="SS100" s="1004"/>
      <c r="ST100" s="1004"/>
      <c r="SU100" s="1004"/>
      <c r="SV100" s="1004"/>
      <c r="SW100" s="1004"/>
      <c r="SX100" s="1004"/>
      <c r="SY100" s="1004"/>
      <c r="SZ100" s="1004"/>
      <c r="TA100" s="1004"/>
      <c r="TB100" s="1004"/>
      <c r="TC100" s="1004"/>
      <c r="TD100" s="1004"/>
      <c r="TE100" s="1004"/>
      <c r="TF100" s="1004"/>
      <c r="TG100" s="1004"/>
      <c r="TH100" s="1004"/>
      <c r="TI100" s="1004"/>
      <c r="TJ100" s="1004"/>
      <c r="TK100" s="1004"/>
      <c r="TL100" s="1004"/>
      <c r="TM100" s="1004"/>
      <c r="TN100" s="1004"/>
      <c r="TO100" s="1004"/>
      <c r="TP100" s="1004"/>
      <c r="TQ100" s="1004"/>
      <c r="TR100" s="1004"/>
      <c r="TS100" s="1004"/>
      <c r="TT100" s="1004"/>
      <c r="TU100" s="1004"/>
      <c r="TV100" s="1004"/>
      <c r="TW100" s="1004"/>
      <c r="TX100" s="1004"/>
      <c r="TY100" s="1004"/>
      <c r="TZ100" s="1004"/>
      <c r="UA100" s="1004"/>
      <c r="UB100" s="1004"/>
      <c r="UC100" s="1004"/>
      <c r="UD100" s="1004"/>
      <c r="UE100" s="1004"/>
      <c r="UF100" s="1004"/>
      <c r="UG100" s="1004"/>
      <c r="UH100" s="1004"/>
      <c r="UI100" s="1004"/>
      <c r="UJ100" s="1004"/>
      <c r="UK100" s="1004"/>
      <c r="UL100" s="1004"/>
      <c r="UM100" s="1004"/>
      <c r="UN100" s="1004"/>
      <c r="UO100" s="1004"/>
      <c r="UP100" s="1004"/>
      <c r="UQ100" s="1004"/>
      <c r="UR100" s="1004"/>
      <c r="US100" s="1004"/>
      <c r="UT100" s="1004"/>
      <c r="UU100" s="1004"/>
      <c r="UV100" s="1004"/>
      <c r="UW100" s="1004"/>
      <c r="UX100" s="1004"/>
      <c r="UY100" s="1004"/>
      <c r="UZ100" s="1004"/>
      <c r="VA100" s="1004"/>
      <c r="VB100" s="1004"/>
      <c r="VC100" s="1004"/>
      <c r="VD100" s="1004"/>
      <c r="VE100" s="1004"/>
      <c r="VF100" s="1004"/>
      <c r="VG100" s="1004"/>
      <c r="VH100" s="1004"/>
      <c r="VI100" s="1004"/>
      <c r="VJ100" s="1004"/>
      <c r="VK100" s="1004"/>
      <c r="VL100" s="1004"/>
      <c r="VM100" s="1004"/>
      <c r="VN100" s="1004"/>
      <c r="VO100" s="1004"/>
      <c r="VP100" s="1004"/>
      <c r="VQ100" s="1004"/>
      <c r="VR100" s="1004"/>
      <c r="VS100" s="1004"/>
      <c r="VT100" s="1004"/>
      <c r="VU100" s="1004"/>
      <c r="VV100" s="1004"/>
      <c r="VW100" s="1004"/>
      <c r="VX100" s="1004"/>
      <c r="VY100" s="1004"/>
      <c r="VZ100" s="1004"/>
      <c r="WA100" s="1004"/>
      <c r="WB100" s="1004"/>
      <c r="WC100" s="1004"/>
      <c r="WD100" s="1004"/>
      <c r="WE100" s="1004"/>
      <c r="WF100" s="1004"/>
      <c r="WG100" s="1004"/>
      <c r="WH100" s="1004"/>
      <c r="WI100" s="1004"/>
      <c r="WJ100" s="1004"/>
      <c r="WK100" s="1004"/>
      <c r="WL100" s="1004"/>
      <c r="WM100" s="1004"/>
      <c r="WN100" s="1004"/>
      <c r="WO100" s="1004"/>
      <c r="WP100" s="1004"/>
      <c r="WQ100" s="1004"/>
      <c r="WR100" s="1004"/>
      <c r="WS100" s="1004"/>
      <c r="WT100" s="1004"/>
      <c r="WU100" s="1004"/>
      <c r="WV100" s="1004"/>
      <c r="WW100" s="1004"/>
      <c r="WX100" s="1004"/>
      <c r="WY100" s="1004"/>
      <c r="WZ100" s="1004"/>
      <c r="XA100" s="1004"/>
      <c r="XB100" s="1004"/>
      <c r="XC100" s="1004"/>
      <c r="XD100" s="1004"/>
      <c r="XE100" s="1004"/>
      <c r="XF100" s="1004"/>
      <c r="XG100" s="1004"/>
      <c r="XH100" s="1004"/>
      <c r="XI100" s="1004"/>
      <c r="XJ100" s="1004"/>
      <c r="XK100" s="1004"/>
      <c r="XL100" s="1004"/>
      <c r="XM100" s="1004"/>
      <c r="XN100" s="1004"/>
      <c r="XO100" s="1004"/>
      <c r="XP100" s="1004"/>
      <c r="XQ100" s="1004"/>
      <c r="XR100" s="1004"/>
      <c r="XS100" s="1004"/>
      <c r="XT100" s="1004"/>
      <c r="XU100" s="1004"/>
      <c r="XV100" s="1004"/>
      <c r="XW100" s="1004"/>
      <c r="XX100" s="1004"/>
      <c r="XY100" s="1004"/>
      <c r="XZ100" s="1004"/>
      <c r="YA100" s="1004"/>
      <c r="YB100" s="1004"/>
      <c r="YC100" s="1004"/>
      <c r="YD100" s="1004"/>
      <c r="YE100" s="1004"/>
      <c r="YF100" s="1004"/>
      <c r="YG100" s="1004"/>
      <c r="YH100" s="1004"/>
      <c r="YI100" s="1004"/>
      <c r="YJ100" s="1004"/>
      <c r="YK100" s="1004"/>
      <c r="YL100" s="1004"/>
      <c r="YM100" s="1004"/>
      <c r="YN100" s="1004"/>
      <c r="YO100" s="1004"/>
      <c r="YP100" s="1004"/>
      <c r="YQ100" s="1004"/>
      <c r="YR100" s="1004"/>
      <c r="YS100" s="1004"/>
      <c r="YT100" s="1004"/>
      <c r="YU100" s="1004"/>
      <c r="YV100" s="1004"/>
      <c r="YW100" s="1004"/>
      <c r="YX100" s="1004"/>
      <c r="YY100" s="1004"/>
      <c r="YZ100" s="1004"/>
      <c r="ZA100" s="1004"/>
      <c r="ZB100" s="1004"/>
      <c r="ZC100" s="1004"/>
      <c r="ZD100" s="1004"/>
      <c r="ZE100" s="1004"/>
      <c r="ZF100" s="1004"/>
      <c r="ZG100" s="1004"/>
      <c r="ZH100" s="1004"/>
      <c r="ZI100" s="1004"/>
      <c r="ZJ100" s="1004"/>
      <c r="ZK100" s="1004"/>
      <c r="ZL100" s="1004"/>
      <c r="ZM100" s="1004"/>
      <c r="ZN100" s="1004"/>
      <c r="ZO100" s="1004"/>
      <c r="ZP100" s="1004"/>
      <c r="ZQ100" s="1004"/>
      <c r="ZR100" s="1004"/>
      <c r="ZS100" s="1004"/>
      <c r="ZT100" s="1004"/>
      <c r="ZU100" s="1004"/>
      <c r="ZV100" s="1004"/>
      <c r="ZW100" s="1004"/>
      <c r="ZX100" s="1004"/>
      <c r="ZY100" s="1004"/>
      <c r="ZZ100" s="1004"/>
      <c r="AAA100" s="1004"/>
      <c r="AAB100" s="1004"/>
      <c r="AAC100" s="1004"/>
      <c r="AAD100" s="1004"/>
      <c r="AAE100" s="1004"/>
      <c r="AAF100" s="1004"/>
      <c r="AAG100" s="1004"/>
      <c r="AAH100" s="1004"/>
      <c r="AAI100" s="1004"/>
      <c r="AAJ100" s="1004"/>
      <c r="AAK100" s="1004"/>
      <c r="AAL100" s="1004"/>
      <c r="AAM100" s="1004"/>
      <c r="AAN100" s="1004"/>
      <c r="AAO100" s="1004"/>
      <c r="AAP100" s="1004"/>
      <c r="AAQ100" s="1004"/>
      <c r="AAR100" s="1004"/>
      <c r="AAS100" s="1004"/>
      <c r="AAT100" s="1004"/>
      <c r="AAU100" s="1004"/>
      <c r="AAV100" s="1004"/>
      <c r="AAW100" s="1004"/>
      <c r="AAX100" s="1004"/>
      <c r="AAY100" s="1004"/>
      <c r="AAZ100" s="1004"/>
      <c r="ABA100" s="1004"/>
      <c r="ABB100" s="1004"/>
      <c r="ABC100" s="1004"/>
      <c r="ABD100" s="1004"/>
      <c r="ABE100" s="1004"/>
      <c r="ABF100" s="1004"/>
      <c r="ABG100" s="1004"/>
      <c r="ABH100" s="1004"/>
      <c r="ABI100" s="1004"/>
      <c r="ABJ100" s="1004"/>
      <c r="ABK100" s="1004"/>
      <c r="ABL100" s="1004"/>
      <c r="ABM100" s="1004"/>
      <c r="ABN100" s="1004"/>
      <c r="ABO100" s="1004"/>
      <c r="ABP100" s="1004"/>
      <c r="ABQ100" s="1004"/>
      <c r="ABR100" s="1004"/>
    </row>
    <row r="101" spans="1:746" s="1" customFormat="1" ht="12.9" customHeight="1" thickBot="1">
      <c r="A101" s="923"/>
      <c r="B101" s="591" t="s">
        <v>355</v>
      </c>
      <c r="C101" s="793" t="s">
        <v>752</v>
      </c>
      <c r="D101" s="791"/>
      <c r="E101" s="3037">
        <f>fx!C445</f>
        <v>0</v>
      </c>
      <c r="F101" s="3038"/>
      <c r="G101" s="3039"/>
      <c r="H101" s="2171"/>
      <c r="I101" s="345">
        <f>SUM(fx!$I$445:I$445)+SUMIF(fx!$I$57:I$57,1,$I$99:I99)-SUMIF(fx!$I$57:I$57,1,$I$100:I100)</f>
        <v>0</v>
      </c>
      <c r="J101" s="344">
        <f>SUM(fx!$I$445:J$445)+SUMIF(fx!$I$57:J$57,1,$I$99:J99)-SUMIF(fx!$I$57:J$57,1,$I$100:J100)</f>
        <v>0</v>
      </c>
      <c r="K101" s="344">
        <f>SUM(fx!$I$445:K$445)+SUMIF(fx!$I$57:K$57,1,$I$99:K99)-SUMIF(fx!$I$57:K$57,1,$I$100:K100)</f>
        <v>0</v>
      </c>
      <c r="L101" s="344">
        <f>SUM(fx!$I$445:L$445)+SUMIF(fx!$I$57:L$57,1,$I$99:L99)-SUMIF(fx!$I$57:L$57,1,$I$100:L100)</f>
        <v>0</v>
      </c>
      <c r="M101" s="344">
        <f>SUM(fx!$I$445:M$445)+SUMIF(fx!$I$57:M$57,1,$I$99:M99)-SUMIF(fx!$I$57:M$57,1,$I$100:M100)</f>
        <v>0</v>
      </c>
      <c r="N101" s="344">
        <f>SUM(fx!$I$445:N$445)+SUMIF(fx!$I$57:N$57,1,$I$99:N99)-SUMIF(fx!$I$57:N$57,1,$I$100:N100)</f>
        <v>0</v>
      </c>
      <c r="O101" s="344">
        <f>SUM(fx!$I$445:O$445)+SUMIF(fx!$I$57:O$57,1,$I$99:O99)-SUMIF(fx!$I$57:O$57,1,$I$100:O100)</f>
        <v>0</v>
      </c>
      <c r="P101" s="344">
        <f>SUM(fx!$I$445:P$445)+SUMIF(fx!$I$57:P$57,1,$I$99:P99)-SUMIF(fx!$I$57:P$57,1,$I$100:P100)</f>
        <v>0</v>
      </c>
      <c r="Q101" s="344">
        <f>SUM(fx!$I$445:Q$445)+SUMIF(fx!$I$57:Q$57,1,$I$99:Q99)-SUMIF(fx!$I$57:Q$57,1,$I$100:Q100)</f>
        <v>0</v>
      </c>
      <c r="R101" s="344">
        <f>SUM(fx!$I$445:R$445)+SUMIF(fx!$I$57:R$57,1,$I$99:R99)-SUMIF(fx!$I$57:R$57,1,$I$100:R100)</f>
        <v>0</v>
      </c>
      <c r="S101" s="344">
        <f>SUM(fx!$I$445:S$445)+SUMIF(fx!$I$57:S$57,1,$I$99:S99)-SUMIF(fx!$I$57:S$57,1,$I$100:S100)</f>
        <v>0</v>
      </c>
      <c r="T101" s="344">
        <f>SUM(fx!$I$445:T$445)+SUMIF(fx!$I$57:T$57,1,$I$99:T99)-SUMIF(fx!$I$57:T$57,1,$I$100:T100)</f>
        <v>0</v>
      </c>
      <c r="U101" s="344">
        <f>SUM(fx!$I$445:U$445)+SUMIF(fx!$I$57:U$57,1,$I$99:U99)-SUMIF(fx!$I$57:U$57,1,$I$100:U100)</f>
        <v>0</v>
      </c>
      <c r="V101" s="344">
        <f>SUM(fx!$I$445:V$445)+SUMIF(fx!$I$57:V$57,1,$I$99:V99)-SUMIF(fx!$I$57:V$57,1,$I$100:V100)</f>
        <v>0</v>
      </c>
      <c r="W101" s="344">
        <f>SUM(fx!$I$445:W$445)+SUMIF(fx!$I$57:W$57,1,$I$99:W99)-SUMIF(fx!$I$57:W$57,1,$I$100:W100)</f>
        <v>0</v>
      </c>
      <c r="X101" s="344">
        <f>SUM(fx!$I$445:X$445)+SUMIF(fx!$I$57:X$57,1,$I$99:X99)-SUMIF(fx!$I$57:X$57,1,$I$100:X100)</f>
        <v>0</v>
      </c>
      <c r="Y101" s="344">
        <f>SUM(fx!$I$445:Y$445)+SUMIF(fx!$I$57:Y$57,1,$I$99:Y99)-SUMIF(fx!$I$57:Y$57,1,$I$100:Y100)</f>
        <v>0</v>
      </c>
      <c r="Z101" s="344">
        <f>SUM(fx!$I$445:Z$445)+SUMIF(fx!$I$57:Z$57,1,$I$99:Z99)-SUMIF(fx!$I$57:Z$57,1,$I$100:Z100)</f>
        <v>0</v>
      </c>
      <c r="AA101" s="344">
        <f>SUM(fx!$I$445:AA$445)+SUMIF(fx!$I$57:AA$57,1,$I$99:AA99)-SUMIF(fx!$I$57:AA$57,1,$I$100:AA100)</f>
        <v>0</v>
      </c>
      <c r="AB101" s="344">
        <f>SUM(fx!$I$445:AB$445)+SUMIF(fx!$I$57:AB$57,1,$I$99:AB99)-SUMIF(fx!$I$57:AB$57,1,$I$100:AB100)</f>
        <v>0</v>
      </c>
      <c r="AC101" s="344">
        <f>SUM(fx!$I$445:AC$445)+SUMIF(fx!$I$57:AC$57,1,$I$99:AC99)-SUMIF(fx!$I$57:AC$57,1,$I$100:AC100)</f>
        <v>0</v>
      </c>
      <c r="AD101" s="344">
        <f>SUM(fx!$I$445:AD$445)+SUMIF(fx!$I$57:AD$57,1,$I$99:AD99)-SUMIF(fx!$I$57:AD$57,1,$I$100:AD100)</f>
        <v>0</v>
      </c>
      <c r="AE101" s="344">
        <f>SUM(fx!$I$445:AE$445)+SUMIF(fx!$I$57:AE$57,1,$I$99:AE99)-SUMIF(fx!$I$57:AE$57,1,$I$100:AE100)</f>
        <v>0</v>
      </c>
      <c r="AF101" s="344">
        <f>SUM(fx!$I$445:AF$445)+SUMIF(fx!$I$57:AF$57,1,$I$99:AF99)-SUMIF(fx!$I$57:AF$57,1,$I$100:AF100)</f>
        <v>0</v>
      </c>
      <c r="AG101" s="337"/>
      <c r="AH101" s="359"/>
      <c r="AI101" s="359"/>
      <c r="AJ101" s="1854">
        <f>IF(fx!C57=1,T101,AF101)</f>
        <v>0</v>
      </c>
      <c r="AK101" s="434"/>
      <c r="AL101" s="1855">
        <f>IF(fx!C57=1,AF101,0)</f>
        <v>0</v>
      </c>
      <c r="AM101" s="1021"/>
      <c r="AN101" s="1918"/>
      <c r="AO101" s="1945"/>
      <c r="AP101" s="1935"/>
      <c r="AQ101" s="1936"/>
      <c r="AR101" s="1941"/>
      <c r="AS101" s="1941"/>
      <c r="AT101" s="1941"/>
      <c r="AU101" s="1941"/>
      <c r="AV101" s="1941"/>
      <c r="AW101" s="1941"/>
      <c r="AX101" s="1941"/>
      <c r="AY101" s="1941"/>
      <c r="AZ101" s="1941"/>
      <c r="BA101" s="1941"/>
      <c r="BB101" s="1941"/>
      <c r="BC101" s="1941"/>
      <c r="BD101" s="1941"/>
      <c r="BE101" s="1941"/>
      <c r="BF101" s="1941"/>
      <c r="BG101" s="1941"/>
      <c r="BH101" s="1941"/>
      <c r="BI101" s="1941"/>
      <c r="BJ101" s="1941"/>
      <c r="BK101" s="1941"/>
      <c r="BL101" s="1941"/>
      <c r="BM101" s="1941"/>
      <c r="BN101" s="1941"/>
      <c r="BO101" s="1941"/>
      <c r="BP101" s="1004"/>
      <c r="BQ101" s="1004"/>
      <c r="BR101" s="1004"/>
      <c r="BS101" s="1004"/>
      <c r="BT101" s="1004"/>
      <c r="BU101" s="1004"/>
      <c r="BV101" s="1004"/>
      <c r="BW101" s="1004"/>
      <c r="BX101" s="1004"/>
      <c r="BY101" s="1004"/>
      <c r="BZ101" s="1004"/>
      <c r="CA101" s="1004"/>
      <c r="CB101" s="1004"/>
      <c r="CC101" s="1004"/>
      <c r="CD101" s="1004"/>
      <c r="CE101" s="1004"/>
      <c r="CF101" s="1004"/>
      <c r="CG101" s="1004"/>
      <c r="CH101" s="1004"/>
      <c r="CI101" s="1004"/>
      <c r="CJ101" s="1004"/>
      <c r="CK101" s="1004"/>
      <c r="CL101" s="1004"/>
      <c r="CM101" s="1004"/>
      <c r="CN101" s="1004"/>
      <c r="CO101" s="1004"/>
      <c r="CP101" s="1004"/>
      <c r="CQ101" s="1004"/>
      <c r="CR101" s="1004"/>
      <c r="CS101" s="1004"/>
      <c r="CT101" s="1004"/>
      <c r="CU101" s="1004"/>
      <c r="CV101" s="1004"/>
      <c r="CW101" s="1004"/>
      <c r="CX101" s="1004"/>
      <c r="CY101" s="1004"/>
      <c r="CZ101" s="1004"/>
      <c r="DA101" s="1004"/>
      <c r="DB101" s="1004"/>
      <c r="DC101" s="1004"/>
      <c r="DD101" s="1004"/>
      <c r="DE101" s="1004"/>
      <c r="DF101" s="1004"/>
      <c r="DG101" s="1004"/>
      <c r="DH101" s="1004"/>
      <c r="DI101" s="1004"/>
      <c r="DJ101" s="1004"/>
      <c r="DK101" s="1004"/>
      <c r="DL101" s="1004"/>
      <c r="DM101" s="1004"/>
      <c r="DN101" s="1004"/>
      <c r="DO101" s="1004"/>
      <c r="DP101" s="1004"/>
      <c r="DQ101" s="1004"/>
      <c r="DR101" s="1004"/>
      <c r="DS101" s="1004"/>
      <c r="DT101" s="1004"/>
      <c r="DU101" s="1004"/>
      <c r="DV101" s="1004"/>
      <c r="DW101" s="1004"/>
      <c r="DX101" s="1004"/>
      <c r="DY101" s="1004"/>
      <c r="DZ101" s="1004"/>
      <c r="EA101" s="1004"/>
      <c r="EB101" s="1004"/>
      <c r="EC101" s="1004"/>
      <c r="ED101" s="1004"/>
      <c r="EE101" s="1004"/>
      <c r="EF101" s="1004"/>
      <c r="EG101" s="1004"/>
      <c r="EH101" s="1004"/>
      <c r="EI101" s="1004"/>
      <c r="EJ101" s="1004"/>
      <c r="EK101" s="1004"/>
      <c r="EL101" s="1004"/>
      <c r="EM101" s="1004"/>
      <c r="EN101" s="1004"/>
      <c r="EO101" s="1004"/>
      <c r="EP101" s="1004"/>
      <c r="EQ101" s="1004"/>
      <c r="ER101" s="1004"/>
      <c r="ES101" s="1004"/>
      <c r="ET101" s="1004"/>
      <c r="EU101" s="1004"/>
      <c r="EV101" s="1004"/>
      <c r="EW101" s="1004"/>
      <c r="EX101" s="1004"/>
      <c r="EY101" s="1004"/>
      <c r="EZ101" s="1004"/>
      <c r="FA101" s="1004"/>
      <c r="FB101" s="1004"/>
      <c r="FC101" s="1004"/>
      <c r="FD101" s="1004"/>
      <c r="FE101" s="1004"/>
      <c r="FF101" s="1004"/>
      <c r="FG101" s="1004"/>
      <c r="FH101" s="1004"/>
      <c r="FI101" s="1004"/>
      <c r="FJ101" s="1004"/>
      <c r="FK101" s="1004"/>
      <c r="FL101" s="1004"/>
      <c r="FM101" s="1004"/>
      <c r="FN101" s="1004"/>
      <c r="FO101" s="1004"/>
      <c r="FP101" s="1004"/>
      <c r="FQ101" s="1004"/>
      <c r="FR101" s="1004"/>
      <c r="FS101" s="1004"/>
      <c r="FT101" s="1004"/>
      <c r="FU101" s="1004"/>
      <c r="FV101" s="1004"/>
      <c r="FW101" s="1004"/>
      <c r="FX101" s="1004"/>
      <c r="FY101" s="1004"/>
      <c r="FZ101" s="1004"/>
      <c r="GA101" s="1004"/>
      <c r="GB101" s="1004"/>
      <c r="GC101" s="1004"/>
      <c r="GD101" s="1004"/>
      <c r="GE101" s="1004"/>
      <c r="GF101" s="1004"/>
      <c r="GG101" s="1004"/>
      <c r="GH101" s="1004"/>
      <c r="GI101" s="1004"/>
      <c r="GJ101" s="1004"/>
      <c r="GK101" s="1004"/>
      <c r="GL101" s="1004"/>
      <c r="GM101" s="1004"/>
      <c r="GN101" s="1004"/>
      <c r="GO101" s="1004"/>
      <c r="GP101" s="1004"/>
      <c r="GQ101" s="1004"/>
      <c r="GR101" s="1004"/>
      <c r="GS101" s="1004"/>
      <c r="GT101" s="1004"/>
      <c r="GU101" s="1004"/>
      <c r="GV101" s="1004"/>
      <c r="GW101" s="1004"/>
      <c r="GX101" s="1004"/>
      <c r="GY101" s="1004"/>
      <c r="GZ101" s="1004"/>
      <c r="HA101" s="1004"/>
      <c r="HB101" s="1004"/>
      <c r="HC101" s="1004"/>
      <c r="HD101" s="1004"/>
      <c r="HE101" s="1004"/>
      <c r="HF101" s="1004"/>
      <c r="HG101" s="1004"/>
      <c r="HH101" s="1004"/>
      <c r="HI101" s="1004"/>
      <c r="HJ101" s="1004"/>
      <c r="HK101" s="1004"/>
      <c r="HL101" s="1004"/>
      <c r="HM101" s="1004"/>
      <c r="HN101" s="1004"/>
      <c r="HO101" s="1004"/>
      <c r="HP101" s="1004"/>
      <c r="HQ101" s="1004"/>
      <c r="HR101" s="1004"/>
      <c r="HS101" s="1004"/>
      <c r="HT101" s="1004"/>
      <c r="HU101" s="1004"/>
      <c r="HV101" s="1004"/>
      <c r="HW101" s="1004"/>
      <c r="HX101" s="1004"/>
      <c r="HY101" s="1004"/>
      <c r="HZ101" s="1004"/>
      <c r="IA101" s="1004"/>
      <c r="IB101" s="1004"/>
      <c r="IC101" s="1004"/>
      <c r="ID101" s="1004"/>
      <c r="IE101" s="1004"/>
      <c r="IF101" s="1004"/>
      <c r="IG101" s="1004"/>
      <c r="IH101" s="1004"/>
      <c r="II101" s="1004"/>
      <c r="IJ101" s="1004"/>
      <c r="IK101" s="1004"/>
      <c r="IL101" s="1004"/>
      <c r="IM101" s="1004"/>
      <c r="IN101" s="1004"/>
      <c r="IO101" s="1004"/>
      <c r="IP101" s="1004"/>
      <c r="IQ101" s="1004"/>
      <c r="IR101" s="1004"/>
      <c r="IS101" s="1004"/>
      <c r="IT101" s="1004"/>
      <c r="IU101" s="1004"/>
      <c r="IV101" s="1004"/>
      <c r="IW101" s="1004"/>
      <c r="IX101" s="1004"/>
      <c r="IY101" s="1004"/>
      <c r="IZ101" s="1004"/>
      <c r="JA101" s="1004"/>
      <c r="JB101" s="1004"/>
      <c r="JC101" s="1004"/>
      <c r="JD101" s="1004"/>
      <c r="JE101" s="1004"/>
      <c r="JF101" s="1004"/>
      <c r="JG101" s="1004"/>
      <c r="JH101" s="1004"/>
      <c r="JI101" s="1004"/>
      <c r="JJ101" s="1004"/>
      <c r="JK101" s="1004"/>
      <c r="JL101" s="1004"/>
      <c r="JM101" s="1004"/>
      <c r="JN101" s="1004"/>
      <c r="JO101" s="1004"/>
      <c r="JP101" s="1004"/>
      <c r="JQ101" s="1004"/>
      <c r="JR101" s="1004"/>
      <c r="JS101" s="1004"/>
      <c r="JT101" s="1004"/>
      <c r="JU101" s="1004"/>
      <c r="JV101" s="1004"/>
      <c r="JW101" s="1004"/>
      <c r="JX101" s="1004"/>
      <c r="JY101" s="1004"/>
      <c r="JZ101" s="1004"/>
      <c r="KA101" s="1004"/>
      <c r="KB101" s="1004"/>
      <c r="KC101" s="1004"/>
      <c r="KD101" s="1004"/>
      <c r="KE101" s="1004"/>
      <c r="KF101" s="1004"/>
      <c r="KG101" s="1004"/>
      <c r="KH101" s="1004"/>
      <c r="KI101" s="1004"/>
      <c r="KJ101" s="1004"/>
      <c r="KK101" s="1004"/>
      <c r="KL101" s="1004"/>
      <c r="KM101" s="1004"/>
      <c r="KN101" s="1004"/>
      <c r="KO101" s="1004"/>
      <c r="KP101" s="1004"/>
      <c r="KQ101" s="1004"/>
      <c r="KR101" s="1004"/>
      <c r="KS101" s="1004"/>
      <c r="KT101" s="1004"/>
      <c r="KU101" s="1004"/>
      <c r="KV101" s="1004"/>
      <c r="KW101" s="1004"/>
      <c r="KX101" s="1004"/>
      <c r="KY101" s="1004"/>
      <c r="KZ101" s="1004"/>
      <c r="LA101" s="1004"/>
      <c r="LB101" s="1004"/>
      <c r="LC101" s="1004"/>
      <c r="LD101" s="1004"/>
      <c r="LE101" s="1004"/>
      <c r="LF101" s="1004"/>
      <c r="LG101" s="1004"/>
      <c r="LH101" s="1004"/>
      <c r="LI101" s="1004"/>
      <c r="LJ101" s="1004"/>
      <c r="LK101" s="1004"/>
      <c r="LL101" s="1004"/>
      <c r="LM101" s="1004"/>
      <c r="LN101" s="1004"/>
      <c r="LO101" s="1004"/>
      <c r="LP101" s="1004"/>
      <c r="LQ101" s="1004"/>
      <c r="LR101" s="1004"/>
      <c r="LS101" s="1004"/>
      <c r="LT101" s="1004"/>
      <c r="LU101" s="1004"/>
      <c r="LV101" s="1004"/>
      <c r="LW101" s="1004"/>
      <c r="LX101" s="1004"/>
      <c r="LY101" s="1004"/>
      <c r="LZ101" s="1004"/>
      <c r="MA101" s="1004"/>
      <c r="MB101" s="1004"/>
      <c r="MC101" s="1004"/>
      <c r="MD101" s="1004"/>
      <c r="ME101" s="1004"/>
      <c r="MF101" s="1004"/>
      <c r="MG101" s="1004"/>
      <c r="MH101" s="1004"/>
      <c r="MI101" s="1004"/>
      <c r="MJ101" s="1004"/>
      <c r="MK101" s="1004"/>
      <c r="ML101" s="1004"/>
      <c r="MM101" s="1004"/>
      <c r="MN101" s="1004"/>
      <c r="MO101" s="1004"/>
      <c r="MP101" s="1004"/>
      <c r="MQ101" s="1004"/>
      <c r="MR101" s="1004"/>
      <c r="MS101" s="1004"/>
      <c r="MT101" s="1004"/>
      <c r="MU101" s="1004"/>
      <c r="MV101" s="1004"/>
      <c r="MW101" s="1004"/>
      <c r="MX101" s="1004"/>
      <c r="MY101" s="1004"/>
      <c r="MZ101" s="1004"/>
      <c r="NA101" s="1004"/>
      <c r="NB101" s="1004"/>
      <c r="NC101" s="1004"/>
      <c r="ND101" s="1004"/>
      <c r="NE101" s="1004"/>
      <c r="NF101" s="1004"/>
      <c r="NG101" s="1004"/>
      <c r="NH101" s="1004"/>
      <c r="NI101" s="1004"/>
      <c r="NJ101" s="1004"/>
      <c r="NK101" s="1004"/>
      <c r="NL101" s="1004"/>
      <c r="NM101" s="1004"/>
      <c r="NN101" s="1004"/>
      <c r="NO101" s="1004"/>
      <c r="NP101" s="1004"/>
      <c r="NQ101" s="1004"/>
      <c r="NR101" s="1004"/>
      <c r="NS101" s="1004"/>
      <c r="NT101" s="1004"/>
      <c r="NU101" s="1004"/>
      <c r="NV101" s="1004"/>
      <c r="NW101" s="1004"/>
      <c r="NX101" s="1004"/>
      <c r="NY101" s="1004"/>
      <c r="NZ101" s="1004"/>
      <c r="OA101" s="1004"/>
      <c r="OB101" s="1004"/>
      <c r="OC101" s="1004"/>
      <c r="OD101" s="1004"/>
      <c r="OE101" s="1004"/>
      <c r="OF101" s="1004"/>
      <c r="OG101" s="1004"/>
      <c r="OH101" s="1004"/>
      <c r="OI101" s="1004"/>
      <c r="OJ101" s="1004"/>
      <c r="OK101" s="1004"/>
      <c r="OL101" s="1004"/>
      <c r="OM101" s="1004"/>
      <c r="ON101" s="1004"/>
      <c r="OO101" s="1004"/>
      <c r="OP101" s="1004"/>
      <c r="OQ101" s="1004"/>
      <c r="OR101" s="1004"/>
      <c r="OS101" s="1004"/>
      <c r="OT101" s="1004"/>
      <c r="OU101" s="1004"/>
      <c r="OV101" s="1004"/>
      <c r="OW101" s="1004"/>
      <c r="OX101" s="1004"/>
      <c r="OY101" s="1004"/>
      <c r="OZ101" s="1004"/>
      <c r="PA101" s="1004"/>
      <c r="PB101" s="1004"/>
      <c r="PC101" s="1004"/>
      <c r="PD101" s="1004"/>
      <c r="PE101" s="1004"/>
      <c r="PF101" s="1004"/>
      <c r="PG101" s="1004"/>
      <c r="PH101" s="1004"/>
      <c r="PI101" s="1004"/>
      <c r="PJ101" s="1004"/>
      <c r="PK101" s="1004"/>
      <c r="PL101" s="1004"/>
      <c r="PM101" s="1004"/>
      <c r="PN101" s="1004"/>
      <c r="PO101" s="1004"/>
      <c r="PP101" s="1004"/>
      <c r="PQ101" s="1004"/>
      <c r="PR101" s="1004"/>
      <c r="PS101" s="1004"/>
      <c r="PT101" s="1004"/>
      <c r="PU101" s="1004"/>
      <c r="PV101" s="1004"/>
      <c r="PW101" s="1004"/>
      <c r="PX101" s="1004"/>
      <c r="PY101" s="1004"/>
      <c r="PZ101" s="1004"/>
      <c r="QA101" s="1004"/>
      <c r="QB101" s="1004"/>
      <c r="QC101" s="1004"/>
      <c r="QD101" s="1004"/>
      <c r="QE101" s="1004"/>
      <c r="QF101" s="1004"/>
      <c r="QG101" s="1004"/>
      <c r="QH101" s="1004"/>
      <c r="QI101" s="1004"/>
      <c r="QJ101" s="1004"/>
      <c r="QK101" s="1004"/>
      <c r="QL101" s="1004"/>
      <c r="QM101" s="1004"/>
      <c r="QN101" s="1004"/>
      <c r="QO101" s="1004"/>
      <c r="QP101" s="1004"/>
      <c r="QQ101" s="1004"/>
      <c r="QR101" s="1004"/>
      <c r="QS101" s="1004"/>
      <c r="QT101" s="1004"/>
      <c r="QU101" s="1004"/>
      <c r="QV101" s="1004"/>
      <c r="QW101" s="1004"/>
      <c r="QX101" s="1004"/>
      <c r="QY101" s="1004"/>
      <c r="QZ101" s="1004"/>
      <c r="RA101" s="1004"/>
      <c r="RB101" s="1004"/>
      <c r="RC101" s="1004"/>
      <c r="RD101" s="1004"/>
      <c r="RE101" s="1004"/>
      <c r="RF101" s="1004"/>
      <c r="RG101" s="1004"/>
      <c r="RH101" s="1004"/>
      <c r="RI101" s="1004"/>
      <c r="RJ101" s="1004"/>
      <c r="RK101" s="1004"/>
      <c r="RL101" s="1004"/>
      <c r="RM101" s="1004"/>
      <c r="RN101" s="1004"/>
      <c r="RO101" s="1004"/>
      <c r="RP101" s="1004"/>
      <c r="RQ101" s="1004"/>
      <c r="RR101" s="1004"/>
      <c r="RS101" s="1004"/>
      <c r="RT101" s="1004"/>
      <c r="RU101" s="1004"/>
      <c r="RV101" s="1004"/>
      <c r="RW101" s="1004"/>
      <c r="RX101" s="1004"/>
      <c r="RY101" s="1004"/>
      <c r="RZ101" s="1004"/>
      <c r="SA101" s="1004"/>
      <c r="SB101" s="1004"/>
      <c r="SC101" s="1004"/>
      <c r="SD101" s="1004"/>
      <c r="SE101" s="1004"/>
      <c r="SF101" s="1004"/>
      <c r="SG101" s="1004"/>
      <c r="SH101" s="1004"/>
      <c r="SI101" s="1004"/>
      <c r="SJ101" s="1004"/>
      <c r="SK101" s="1004"/>
      <c r="SL101" s="1004"/>
      <c r="SM101" s="1004"/>
      <c r="SN101" s="1004"/>
      <c r="SO101" s="1004"/>
      <c r="SP101" s="1004"/>
      <c r="SQ101" s="1004"/>
      <c r="SR101" s="1004"/>
      <c r="SS101" s="1004"/>
      <c r="ST101" s="1004"/>
      <c r="SU101" s="1004"/>
      <c r="SV101" s="1004"/>
      <c r="SW101" s="1004"/>
      <c r="SX101" s="1004"/>
      <c r="SY101" s="1004"/>
      <c r="SZ101" s="1004"/>
      <c r="TA101" s="1004"/>
      <c r="TB101" s="1004"/>
      <c r="TC101" s="1004"/>
      <c r="TD101" s="1004"/>
      <c r="TE101" s="1004"/>
      <c r="TF101" s="1004"/>
      <c r="TG101" s="1004"/>
      <c r="TH101" s="1004"/>
      <c r="TI101" s="1004"/>
      <c r="TJ101" s="1004"/>
      <c r="TK101" s="1004"/>
      <c r="TL101" s="1004"/>
      <c r="TM101" s="1004"/>
      <c r="TN101" s="1004"/>
      <c r="TO101" s="1004"/>
      <c r="TP101" s="1004"/>
      <c r="TQ101" s="1004"/>
      <c r="TR101" s="1004"/>
      <c r="TS101" s="1004"/>
      <c r="TT101" s="1004"/>
      <c r="TU101" s="1004"/>
      <c r="TV101" s="1004"/>
      <c r="TW101" s="1004"/>
      <c r="TX101" s="1004"/>
      <c r="TY101" s="1004"/>
      <c r="TZ101" s="1004"/>
      <c r="UA101" s="1004"/>
      <c r="UB101" s="1004"/>
      <c r="UC101" s="1004"/>
      <c r="UD101" s="1004"/>
      <c r="UE101" s="1004"/>
      <c r="UF101" s="1004"/>
      <c r="UG101" s="1004"/>
      <c r="UH101" s="1004"/>
      <c r="UI101" s="1004"/>
      <c r="UJ101" s="1004"/>
      <c r="UK101" s="1004"/>
      <c r="UL101" s="1004"/>
      <c r="UM101" s="1004"/>
      <c r="UN101" s="1004"/>
      <c r="UO101" s="1004"/>
      <c r="UP101" s="1004"/>
      <c r="UQ101" s="1004"/>
      <c r="UR101" s="1004"/>
      <c r="US101" s="1004"/>
      <c r="UT101" s="1004"/>
      <c r="UU101" s="1004"/>
      <c r="UV101" s="1004"/>
      <c r="UW101" s="1004"/>
      <c r="UX101" s="1004"/>
      <c r="UY101" s="1004"/>
      <c r="UZ101" s="1004"/>
      <c r="VA101" s="1004"/>
      <c r="VB101" s="1004"/>
      <c r="VC101" s="1004"/>
      <c r="VD101" s="1004"/>
      <c r="VE101" s="1004"/>
      <c r="VF101" s="1004"/>
      <c r="VG101" s="1004"/>
      <c r="VH101" s="1004"/>
      <c r="VI101" s="1004"/>
      <c r="VJ101" s="1004"/>
      <c r="VK101" s="1004"/>
      <c r="VL101" s="1004"/>
      <c r="VM101" s="1004"/>
      <c r="VN101" s="1004"/>
      <c r="VO101" s="1004"/>
      <c r="VP101" s="1004"/>
      <c r="VQ101" s="1004"/>
      <c r="VR101" s="1004"/>
      <c r="VS101" s="1004"/>
      <c r="VT101" s="1004"/>
      <c r="VU101" s="1004"/>
      <c r="VV101" s="1004"/>
      <c r="VW101" s="1004"/>
      <c r="VX101" s="1004"/>
      <c r="VY101" s="1004"/>
      <c r="VZ101" s="1004"/>
      <c r="WA101" s="1004"/>
      <c r="WB101" s="1004"/>
      <c r="WC101" s="1004"/>
      <c r="WD101" s="1004"/>
      <c r="WE101" s="1004"/>
      <c r="WF101" s="1004"/>
      <c r="WG101" s="1004"/>
      <c r="WH101" s="1004"/>
      <c r="WI101" s="1004"/>
      <c r="WJ101" s="1004"/>
      <c r="WK101" s="1004"/>
      <c r="WL101" s="1004"/>
      <c r="WM101" s="1004"/>
      <c r="WN101" s="1004"/>
      <c r="WO101" s="1004"/>
      <c r="WP101" s="1004"/>
      <c r="WQ101" s="1004"/>
      <c r="WR101" s="1004"/>
      <c r="WS101" s="1004"/>
      <c r="WT101" s="1004"/>
      <c r="WU101" s="1004"/>
      <c r="WV101" s="1004"/>
      <c r="WW101" s="1004"/>
      <c r="WX101" s="1004"/>
      <c r="WY101" s="1004"/>
      <c r="WZ101" s="1004"/>
      <c r="XA101" s="1004"/>
      <c r="XB101" s="1004"/>
      <c r="XC101" s="1004"/>
      <c r="XD101" s="1004"/>
      <c r="XE101" s="1004"/>
      <c r="XF101" s="1004"/>
      <c r="XG101" s="1004"/>
      <c r="XH101" s="1004"/>
      <c r="XI101" s="1004"/>
      <c r="XJ101" s="1004"/>
      <c r="XK101" s="1004"/>
      <c r="XL101" s="1004"/>
      <c r="XM101" s="1004"/>
      <c r="XN101" s="1004"/>
      <c r="XO101" s="1004"/>
      <c r="XP101" s="1004"/>
      <c r="XQ101" s="1004"/>
      <c r="XR101" s="1004"/>
      <c r="XS101" s="1004"/>
      <c r="XT101" s="1004"/>
      <c r="XU101" s="1004"/>
      <c r="XV101" s="1004"/>
      <c r="XW101" s="1004"/>
      <c r="XX101" s="1004"/>
      <c r="XY101" s="1004"/>
      <c r="XZ101" s="1004"/>
      <c r="YA101" s="1004"/>
      <c r="YB101" s="1004"/>
      <c r="YC101" s="1004"/>
      <c r="YD101" s="1004"/>
      <c r="YE101" s="1004"/>
      <c r="YF101" s="1004"/>
      <c r="YG101" s="1004"/>
      <c r="YH101" s="1004"/>
      <c r="YI101" s="1004"/>
      <c r="YJ101" s="1004"/>
      <c r="YK101" s="1004"/>
      <c r="YL101" s="1004"/>
      <c r="YM101" s="1004"/>
      <c r="YN101" s="1004"/>
      <c r="YO101" s="1004"/>
      <c r="YP101" s="1004"/>
      <c r="YQ101" s="1004"/>
      <c r="YR101" s="1004"/>
      <c r="YS101" s="1004"/>
      <c r="YT101" s="1004"/>
      <c r="YU101" s="1004"/>
      <c r="YV101" s="1004"/>
      <c r="YW101" s="1004"/>
      <c r="YX101" s="1004"/>
      <c r="YY101" s="1004"/>
      <c r="YZ101" s="1004"/>
      <c r="ZA101" s="1004"/>
      <c r="ZB101" s="1004"/>
      <c r="ZC101" s="1004"/>
      <c r="ZD101" s="1004"/>
      <c r="ZE101" s="1004"/>
      <c r="ZF101" s="1004"/>
      <c r="ZG101" s="1004"/>
      <c r="ZH101" s="1004"/>
      <c r="ZI101" s="1004"/>
      <c r="ZJ101" s="1004"/>
      <c r="ZK101" s="1004"/>
      <c r="ZL101" s="1004"/>
      <c r="ZM101" s="1004"/>
      <c r="ZN101" s="1004"/>
      <c r="ZO101" s="1004"/>
      <c r="ZP101" s="1004"/>
      <c r="ZQ101" s="1004"/>
      <c r="ZR101" s="1004"/>
      <c r="ZS101" s="1004"/>
      <c r="ZT101" s="1004"/>
      <c r="ZU101" s="1004"/>
      <c r="ZV101" s="1004"/>
      <c r="ZW101" s="1004"/>
      <c r="ZX101" s="1004"/>
      <c r="ZY101" s="1004"/>
      <c r="ZZ101" s="1004"/>
      <c r="AAA101" s="1004"/>
      <c r="AAB101" s="1004"/>
      <c r="AAC101" s="1004"/>
      <c r="AAD101" s="1004"/>
      <c r="AAE101" s="1004"/>
      <c r="AAF101" s="1004"/>
      <c r="AAG101" s="1004"/>
      <c r="AAH101" s="1004"/>
      <c r="AAI101" s="1004"/>
      <c r="AAJ101" s="1004"/>
      <c r="AAK101" s="1004"/>
      <c r="AAL101" s="1004"/>
      <c r="AAM101" s="1004"/>
      <c r="AAN101" s="1004"/>
      <c r="AAO101" s="1004"/>
      <c r="AAP101" s="1004"/>
      <c r="AAQ101" s="1004"/>
      <c r="AAR101" s="1004"/>
      <c r="AAS101" s="1004"/>
      <c r="AAT101" s="1004"/>
      <c r="AAU101" s="1004"/>
      <c r="AAV101" s="1004"/>
      <c r="AAW101" s="1004"/>
      <c r="AAX101" s="1004"/>
      <c r="AAY101" s="1004"/>
      <c r="AAZ101" s="1004"/>
      <c r="ABA101" s="1004"/>
      <c r="ABB101" s="1004"/>
      <c r="ABC101" s="1004"/>
      <c r="ABD101" s="1004"/>
      <c r="ABE101" s="1004"/>
      <c r="ABF101" s="1004"/>
      <c r="ABG101" s="1004"/>
      <c r="ABH101" s="1004"/>
      <c r="ABI101" s="1004"/>
      <c r="ABJ101" s="1004"/>
      <c r="ABK101" s="1004"/>
      <c r="ABL101" s="1004"/>
      <c r="ABM101" s="1004"/>
      <c r="ABN101" s="1004"/>
      <c r="ABO101" s="1004"/>
      <c r="ABP101" s="1004"/>
      <c r="ABQ101" s="1004"/>
      <c r="ABR101" s="1004"/>
    </row>
    <row r="102" spans="1:746" s="1" customFormat="1" ht="12.9" customHeight="1">
      <c r="A102" s="923"/>
      <c r="B102" s="1865" t="s">
        <v>431</v>
      </c>
      <c r="C102" s="1866"/>
      <c r="D102" s="1866"/>
      <c r="E102" s="1852">
        <v>0.31419999999999998</v>
      </c>
      <c r="F102" s="1867"/>
      <c r="G102" s="1882">
        <v>0.3</v>
      </c>
      <c r="H102" s="2172">
        <f>$H$87-G102</f>
        <v>0.7</v>
      </c>
      <c r="I102" s="875"/>
      <c r="J102" s="380"/>
      <c r="K102" s="380"/>
      <c r="L102" s="380"/>
      <c r="M102" s="380"/>
      <c r="N102" s="380"/>
      <c r="O102" s="380"/>
      <c r="P102" s="380"/>
      <c r="Q102" s="380"/>
      <c r="R102" s="380"/>
      <c r="S102" s="380"/>
      <c r="T102" s="368"/>
      <c r="U102" s="368"/>
      <c r="V102" s="368"/>
      <c r="W102" s="368"/>
      <c r="X102" s="368"/>
      <c r="Y102" s="368"/>
      <c r="Z102" s="368"/>
      <c r="AA102" s="368"/>
      <c r="AB102" s="368"/>
      <c r="AC102" s="368"/>
      <c r="AD102" s="368"/>
      <c r="AE102" s="368"/>
      <c r="AF102" s="368"/>
      <c r="AG102" s="1042"/>
      <c r="AH102" s="359"/>
      <c r="AI102" s="1018"/>
      <c r="AJ102" s="1018"/>
      <c r="AK102" s="1018"/>
      <c r="AL102" s="1018"/>
      <c r="AM102" s="1018"/>
      <c r="AN102" s="1018"/>
      <c r="AO102" s="1945"/>
      <c r="AP102" s="1935"/>
      <c r="AQ102" s="1936"/>
      <c r="AR102" s="1941"/>
      <c r="AS102" s="1941"/>
      <c r="AT102" s="1941"/>
      <c r="AU102" s="1941"/>
      <c r="AV102" s="1941"/>
      <c r="AW102" s="1941"/>
      <c r="AX102" s="1941"/>
      <c r="AY102" s="1941"/>
      <c r="AZ102" s="1941"/>
      <c r="BA102" s="1941"/>
      <c r="BB102" s="1941"/>
      <c r="BC102" s="1941"/>
      <c r="BD102" s="1941"/>
      <c r="BE102" s="1941"/>
      <c r="BF102" s="1941"/>
      <c r="BG102" s="1941"/>
      <c r="BH102" s="1941"/>
      <c r="BI102" s="1941"/>
      <c r="BJ102" s="1941"/>
      <c r="BK102" s="1941"/>
      <c r="BL102" s="1941"/>
      <c r="BM102" s="1941"/>
      <c r="BN102" s="1941"/>
      <c r="BO102" s="1941"/>
      <c r="BP102" s="1004"/>
      <c r="BQ102" s="1004"/>
      <c r="BR102" s="1004"/>
      <c r="BS102" s="1004"/>
      <c r="BT102" s="1004"/>
      <c r="BU102" s="1004"/>
      <c r="BV102" s="1004"/>
      <c r="BW102" s="1004"/>
      <c r="BX102" s="1004"/>
      <c r="BY102" s="1004"/>
      <c r="BZ102" s="1004"/>
      <c r="CA102" s="1004"/>
      <c r="CB102" s="1004"/>
      <c r="CC102" s="1004"/>
      <c r="CD102" s="1004"/>
      <c r="CE102" s="1004"/>
      <c r="CF102" s="1004"/>
      <c r="CG102" s="1004"/>
      <c r="CH102" s="1004"/>
      <c r="CI102" s="1004"/>
      <c r="CJ102" s="1004"/>
      <c r="CK102" s="1004"/>
      <c r="CL102" s="1004"/>
      <c r="CM102" s="1004"/>
      <c r="CN102" s="1004"/>
      <c r="CO102" s="1004"/>
      <c r="CP102" s="1004"/>
      <c r="CQ102" s="1004"/>
      <c r="CR102" s="1004"/>
      <c r="CS102" s="1004"/>
      <c r="CT102" s="1004"/>
      <c r="CU102" s="1004"/>
      <c r="CV102" s="1004"/>
      <c r="CW102" s="1004"/>
      <c r="CX102" s="1004"/>
      <c r="CY102" s="1004"/>
      <c r="CZ102" s="1004"/>
      <c r="DA102" s="1004"/>
      <c r="DB102" s="1004"/>
      <c r="DC102" s="1004"/>
      <c r="DD102" s="1004"/>
      <c r="DE102" s="1004"/>
      <c r="DF102" s="1004"/>
      <c r="DG102" s="1004"/>
      <c r="DH102" s="1004"/>
      <c r="DI102" s="1004"/>
      <c r="DJ102" s="1004"/>
      <c r="DK102" s="1004"/>
      <c r="DL102" s="1004"/>
      <c r="DM102" s="1004"/>
      <c r="DN102" s="1004"/>
      <c r="DO102" s="1004"/>
      <c r="DP102" s="1004"/>
      <c r="DQ102" s="1004"/>
      <c r="DR102" s="1004"/>
      <c r="DS102" s="1004"/>
      <c r="DT102" s="1004"/>
      <c r="DU102" s="1004"/>
      <c r="DV102" s="1004"/>
      <c r="DW102" s="1004"/>
      <c r="DX102" s="1004"/>
      <c r="DY102" s="1004"/>
      <c r="DZ102" s="1004"/>
      <c r="EA102" s="1004"/>
      <c r="EB102" s="1004"/>
      <c r="EC102" s="1004"/>
      <c r="ED102" s="1004"/>
      <c r="EE102" s="1004"/>
      <c r="EF102" s="1004"/>
      <c r="EG102" s="1004"/>
      <c r="EH102" s="1004"/>
      <c r="EI102" s="1004"/>
      <c r="EJ102" s="1004"/>
      <c r="EK102" s="1004"/>
      <c r="EL102" s="1004"/>
      <c r="EM102" s="1004"/>
      <c r="EN102" s="1004"/>
      <c r="EO102" s="1004"/>
      <c r="EP102" s="1004"/>
      <c r="EQ102" s="1004"/>
      <c r="ER102" s="1004"/>
      <c r="ES102" s="1004"/>
      <c r="ET102" s="1004"/>
      <c r="EU102" s="1004"/>
      <c r="EV102" s="1004"/>
      <c r="EW102" s="1004"/>
      <c r="EX102" s="1004"/>
      <c r="EY102" s="1004"/>
      <c r="EZ102" s="1004"/>
      <c r="FA102" s="1004"/>
      <c r="FB102" s="1004"/>
      <c r="FC102" s="1004"/>
      <c r="FD102" s="1004"/>
      <c r="FE102" s="1004"/>
      <c r="FF102" s="1004"/>
      <c r="FG102" s="1004"/>
      <c r="FH102" s="1004"/>
      <c r="FI102" s="1004"/>
      <c r="FJ102" s="1004"/>
      <c r="FK102" s="1004"/>
      <c r="FL102" s="1004"/>
      <c r="FM102" s="1004"/>
      <c r="FN102" s="1004"/>
      <c r="FO102" s="1004"/>
      <c r="FP102" s="1004"/>
      <c r="FQ102" s="1004"/>
      <c r="FR102" s="1004"/>
      <c r="FS102" s="1004"/>
      <c r="FT102" s="1004"/>
      <c r="FU102" s="1004"/>
      <c r="FV102" s="1004"/>
      <c r="FW102" s="1004"/>
      <c r="FX102" s="1004"/>
      <c r="FY102" s="1004"/>
      <c r="FZ102" s="1004"/>
      <c r="GA102" s="1004"/>
      <c r="GB102" s="1004"/>
      <c r="GC102" s="1004"/>
      <c r="GD102" s="1004"/>
      <c r="GE102" s="1004"/>
      <c r="GF102" s="1004"/>
      <c r="GG102" s="1004"/>
      <c r="GH102" s="1004"/>
      <c r="GI102" s="1004"/>
      <c r="GJ102" s="1004"/>
      <c r="GK102" s="1004"/>
      <c r="GL102" s="1004"/>
      <c r="GM102" s="1004"/>
      <c r="GN102" s="1004"/>
      <c r="GO102" s="1004"/>
      <c r="GP102" s="1004"/>
      <c r="GQ102" s="1004"/>
      <c r="GR102" s="1004"/>
      <c r="GS102" s="1004"/>
      <c r="GT102" s="1004"/>
      <c r="GU102" s="1004"/>
      <c r="GV102" s="1004"/>
      <c r="GW102" s="1004"/>
      <c r="GX102" s="1004"/>
      <c r="GY102" s="1004"/>
      <c r="GZ102" s="1004"/>
      <c r="HA102" s="1004"/>
      <c r="HB102" s="1004"/>
      <c r="HC102" s="1004"/>
      <c r="HD102" s="1004"/>
      <c r="HE102" s="1004"/>
      <c r="HF102" s="1004"/>
      <c r="HG102" s="1004"/>
      <c r="HH102" s="1004"/>
      <c r="HI102" s="1004"/>
      <c r="HJ102" s="1004"/>
      <c r="HK102" s="1004"/>
      <c r="HL102" s="1004"/>
      <c r="HM102" s="1004"/>
      <c r="HN102" s="1004"/>
      <c r="HO102" s="1004"/>
      <c r="HP102" s="1004"/>
      <c r="HQ102" s="1004"/>
      <c r="HR102" s="1004"/>
      <c r="HS102" s="1004"/>
      <c r="HT102" s="1004"/>
      <c r="HU102" s="1004"/>
      <c r="HV102" s="1004"/>
      <c r="HW102" s="1004"/>
      <c r="HX102" s="1004"/>
      <c r="HY102" s="1004"/>
      <c r="HZ102" s="1004"/>
      <c r="IA102" s="1004"/>
      <c r="IB102" s="1004"/>
      <c r="IC102" s="1004"/>
      <c r="ID102" s="1004"/>
      <c r="IE102" s="1004"/>
      <c r="IF102" s="1004"/>
      <c r="IG102" s="1004"/>
      <c r="IH102" s="1004"/>
      <c r="II102" s="1004"/>
      <c r="IJ102" s="1004"/>
      <c r="IK102" s="1004"/>
      <c r="IL102" s="1004"/>
      <c r="IM102" s="1004"/>
      <c r="IN102" s="1004"/>
      <c r="IO102" s="1004"/>
      <c r="IP102" s="1004"/>
      <c r="IQ102" s="1004"/>
      <c r="IR102" s="1004"/>
      <c r="IS102" s="1004"/>
      <c r="IT102" s="1004"/>
      <c r="IU102" s="1004"/>
      <c r="IV102" s="1004"/>
      <c r="IW102" s="1004"/>
      <c r="IX102" s="1004"/>
      <c r="IY102" s="1004"/>
      <c r="IZ102" s="1004"/>
      <c r="JA102" s="1004"/>
      <c r="JB102" s="1004"/>
      <c r="JC102" s="1004"/>
      <c r="JD102" s="1004"/>
      <c r="JE102" s="1004"/>
      <c r="JF102" s="1004"/>
      <c r="JG102" s="1004"/>
      <c r="JH102" s="1004"/>
      <c r="JI102" s="1004"/>
      <c r="JJ102" s="1004"/>
      <c r="JK102" s="1004"/>
      <c r="JL102" s="1004"/>
      <c r="JM102" s="1004"/>
      <c r="JN102" s="1004"/>
      <c r="JO102" s="1004"/>
      <c r="JP102" s="1004"/>
      <c r="JQ102" s="1004"/>
      <c r="JR102" s="1004"/>
      <c r="JS102" s="1004"/>
      <c r="JT102" s="1004"/>
      <c r="JU102" s="1004"/>
      <c r="JV102" s="1004"/>
      <c r="JW102" s="1004"/>
      <c r="JX102" s="1004"/>
      <c r="JY102" s="1004"/>
      <c r="JZ102" s="1004"/>
      <c r="KA102" s="1004"/>
      <c r="KB102" s="1004"/>
      <c r="KC102" s="1004"/>
      <c r="KD102" s="1004"/>
      <c r="KE102" s="1004"/>
      <c r="KF102" s="1004"/>
      <c r="KG102" s="1004"/>
      <c r="KH102" s="1004"/>
      <c r="KI102" s="1004"/>
      <c r="KJ102" s="1004"/>
      <c r="KK102" s="1004"/>
      <c r="KL102" s="1004"/>
      <c r="KM102" s="1004"/>
      <c r="KN102" s="1004"/>
      <c r="KO102" s="1004"/>
      <c r="KP102" s="1004"/>
      <c r="KQ102" s="1004"/>
      <c r="KR102" s="1004"/>
      <c r="KS102" s="1004"/>
      <c r="KT102" s="1004"/>
      <c r="KU102" s="1004"/>
      <c r="KV102" s="1004"/>
      <c r="KW102" s="1004"/>
      <c r="KX102" s="1004"/>
      <c r="KY102" s="1004"/>
      <c r="KZ102" s="1004"/>
      <c r="LA102" s="1004"/>
      <c r="LB102" s="1004"/>
      <c r="LC102" s="1004"/>
      <c r="LD102" s="1004"/>
      <c r="LE102" s="1004"/>
      <c r="LF102" s="1004"/>
      <c r="LG102" s="1004"/>
      <c r="LH102" s="1004"/>
      <c r="LI102" s="1004"/>
      <c r="LJ102" s="1004"/>
      <c r="LK102" s="1004"/>
      <c r="LL102" s="1004"/>
      <c r="LM102" s="1004"/>
      <c r="LN102" s="1004"/>
      <c r="LO102" s="1004"/>
      <c r="LP102" s="1004"/>
      <c r="LQ102" s="1004"/>
      <c r="LR102" s="1004"/>
      <c r="LS102" s="1004"/>
      <c r="LT102" s="1004"/>
      <c r="LU102" s="1004"/>
      <c r="LV102" s="1004"/>
      <c r="LW102" s="1004"/>
      <c r="LX102" s="1004"/>
      <c r="LY102" s="1004"/>
      <c r="LZ102" s="1004"/>
      <c r="MA102" s="1004"/>
      <c r="MB102" s="1004"/>
      <c r="MC102" s="1004"/>
      <c r="MD102" s="1004"/>
      <c r="ME102" s="1004"/>
      <c r="MF102" s="1004"/>
      <c r="MG102" s="1004"/>
      <c r="MH102" s="1004"/>
      <c r="MI102" s="1004"/>
      <c r="MJ102" s="1004"/>
      <c r="MK102" s="1004"/>
      <c r="ML102" s="1004"/>
      <c r="MM102" s="1004"/>
      <c r="MN102" s="1004"/>
      <c r="MO102" s="1004"/>
      <c r="MP102" s="1004"/>
      <c r="MQ102" s="1004"/>
      <c r="MR102" s="1004"/>
      <c r="MS102" s="1004"/>
      <c r="MT102" s="1004"/>
      <c r="MU102" s="1004"/>
      <c r="MV102" s="1004"/>
      <c r="MW102" s="1004"/>
      <c r="MX102" s="1004"/>
      <c r="MY102" s="1004"/>
      <c r="MZ102" s="1004"/>
      <c r="NA102" s="1004"/>
      <c r="NB102" s="1004"/>
      <c r="NC102" s="1004"/>
      <c r="ND102" s="1004"/>
      <c r="NE102" s="1004"/>
      <c r="NF102" s="1004"/>
      <c r="NG102" s="1004"/>
      <c r="NH102" s="1004"/>
      <c r="NI102" s="1004"/>
      <c r="NJ102" s="1004"/>
      <c r="NK102" s="1004"/>
      <c r="NL102" s="1004"/>
      <c r="NM102" s="1004"/>
      <c r="NN102" s="1004"/>
      <c r="NO102" s="1004"/>
      <c r="NP102" s="1004"/>
      <c r="NQ102" s="1004"/>
      <c r="NR102" s="1004"/>
      <c r="NS102" s="1004"/>
      <c r="NT102" s="1004"/>
      <c r="NU102" s="1004"/>
      <c r="NV102" s="1004"/>
      <c r="NW102" s="1004"/>
      <c r="NX102" s="1004"/>
      <c r="NY102" s="1004"/>
      <c r="NZ102" s="1004"/>
      <c r="OA102" s="1004"/>
      <c r="OB102" s="1004"/>
      <c r="OC102" s="1004"/>
      <c r="OD102" s="1004"/>
      <c r="OE102" s="1004"/>
      <c r="OF102" s="1004"/>
      <c r="OG102" s="1004"/>
      <c r="OH102" s="1004"/>
      <c r="OI102" s="1004"/>
      <c r="OJ102" s="1004"/>
      <c r="OK102" s="1004"/>
      <c r="OL102" s="1004"/>
      <c r="OM102" s="1004"/>
      <c r="ON102" s="1004"/>
      <c r="OO102" s="1004"/>
      <c r="OP102" s="1004"/>
      <c r="OQ102" s="1004"/>
      <c r="OR102" s="1004"/>
      <c r="OS102" s="1004"/>
      <c r="OT102" s="1004"/>
      <c r="OU102" s="1004"/>
      <c r="OV102" s="1004"/>
      <c r="OW102" s="1004"/>
      <c r="OX102" s="1004"/>
      <c r="OY102" s="1004"/>
      <c r="OZ102" s="1004"/>
      <c r="PA102" s="1004"/>
      <c r="PB102" s="1004"/>
      <c r="PC102" s="1004"/>
      <c r="PD102" s="1004"/>
      <c r="PE102" s="1004"/>
      <c r="PF102" s="1004"/>
      <c r="PG102" s="1004"/>
      <c r="PH102" s="1004"/>
      <c r="PI102" s="1004"/>
      <c r="PJ102" s="1004"/>
      <c r="PK102" s="1004"/>
      <c r="PL102" s="1004"/>
      <c r="PM102" s="1004"/>
      <c r="PN102" s="1004"/>
      <c r="PO102" s="1004"/>
      <c r="PP102" s="1004"/>
      <c r="PQ102" s="1004"/>
      <c r="PR102" s="1004"/>
      <c r="PS102" s="1004"/>
      <c r="PT102" s="1004"/>
      <c r="PU102" s="1004"/>
      <c r="PV102" s="1004"/>
      <c r="PW102" s="1004"/>
      <c r="PX102" s="1004"/>
      <c r="PY102" s="1004"/>
      <c r="PZ102" s="1004"/>
      <c r="QA102" s="1004"/>
      <c r="QB102" s="1004"/>
      <c r="QC102" s="1004"/>
      <c r="QD102" s="1004"/>
      <c r="QE102" s="1004"/>
      <c r="QF102" s="1004"/>
      <c r="QG102" s="1004"/>
      <c r="QH102" s="1004"/>
      <c r="QI102" s="1004"/>
      <c r="QJ102" s="1004"/>
      <c r="QK102" s="1004"/>
      <c r="QL102" s="1004"/>
      <c r="QM102" s="1004"/>
      <c r="QN102" s="1004"/>
      <c r="QO102" s="1004"/>
      <c r="QP102" s="1004"/>
      <c r="QQ102" s="1004"/>
      <c r="QR102" s="1004"/>
      <c r="QS102" s="1004"/>
      <c r="QT102" s="1004"/>
      <c r="QU102" s="1004"/>
      <c r="QV102" s="1004"/>
      <c r="QW102" s="1004"/>
      <c r="QX102" s="1004"/>
      <c r="QY102" s="1004"/>
      <c r="QZ102" s="1004"/>
      <c r="RA102" s="1004"/>
      <c r="RB102" s="1004"/>
      <c r="RC102" s="1004"/>
      <c r="RD102" s="1004"/>
      <c r="RE102" s="1004"/>
      <c r="RF102" s="1004"/>
      <c r="RG102" s="1004"/>
      <c r="RH102" s="1004"/>
      <c r="RI102" s="1004"/>
      <c r="RJ102" s="1004"/>
      <c r="RK102" s="1004"/>
      <c r="RL102" s="1004"/>
      <c r="RM102" s="1004"/>
      <c r="RN102" s="1004"/>
      <c r="RO102" s="1004"/>
      <c r="RP102" s="1004"/>
      <c r="RQ102" s="1004"/>
      <c r="RR102" s="1004"/>
      <c r="RS102" s="1004"/>
      <c r="RT102" s="1004"/>
      <c r="RU102" s="1004"/>
      <c r="RV102" s="1004"/>
      <c r="RW102" s="1004"/>
      <c r="RX102" s="1004"/>
      <c r="RY102" s="1004"/>
      <c r="RZ102" s="1004"/>
      <c r="SA102" s="1004"/>
      <c r="SB102" s="1004"/>
      <c r="SC102" s="1004"/>
      <c r="SD102" s="1004"/>
      <c r="SE102" s="1004"/>
      <c r="SF102" s="1004"/>
      <c r="SG102" s="1004"/>
      <c r="SH102" s="1004"/>
      <c r="SI102" s="1004"/>
      <c r="SJ102" s="1004"/>
      <c r="SK102" s="1004"/>
      <c r="SL102" s="1004"/>
      <c r="SM102" s="1004"/>
      <c r="SN102" s="1004"/>
      <c r="SO102" s="1004"/>
      <c r="SP102" s="1004"/>
      <c r="SQ102" s="1004"/>
      <c r="SR102" s="1004"/>
      <c r="SS102" s="1004"/>
      <c r="ST102" s="1004"/>
      <c r="SU102" s="1004"/>
      <c r="SV102" s="1004"/>
      <c r="SW102" s="1004"/>
      <c r="SX102" s="1004"/>
      <c r="SY102" s="1004"/>
      <c r="SZ102" s="1004"/>
      <c r="TA102" s="1004"/>
      <c r="TB102" s="1004"/>
      <c r="TC102" s="1004"/>
      <c r="TD102" s="1004"/>
      <c r="TE102" s="1004"/>
      <c r="TF102" s="1004"/>
      <c r="TG102" s="1004"/>
      <c r="TH102" s="1004"/>
      <c r="TI102" s="1004"/>
      <c r="TJ102" s="1004"/>
      <c r="TK102" s="1004"/>
      <c r="TL102" s="1004"/>
      <c r="TM102" s="1004"/>
      <c r="TN102" s="1004"/>
      <c r="TO102" s="1004"/>
      <c r="TP102" s="1004"/>
      <c r="TQ102" s="1004"/>
      <c r="TR102" s="1004"/>
      <c r="TS102" s="1004"/>
      <c r="TT102" s="1004"/>
      <c r="TU102" s="1004"/>
      <c r="TV102" s="1004"/>
      <c r="TW102" s="1004"/>
      <c r="TX102" s="1004"/>
      <c r="TY102" s="1004"/>
      <c r="TZ102" s="1004"/>
      <c r="UA102" s="1004"/>
      <c r="UB102" s="1004"/>
      <c r="UC102" s="1004"/>
      <c r="UD102" s="1004"/>
      <c r="UE102" s="1004"/>
      <c r="UF102" s="1004"/>
      <c r="UG102" s="1004"/>
      <c r="UH102" s="1004"/>
      <c r="UI102" s="1004"/>
      <c r="UJ102" s="1004"/>
      <c r="UK102" s="1004"/>
      <c r="UL102" s="1004"/>
      <c r="UM102" s="1004"/>
      <c r="UN102" s="1004"/>
      <c r="UO102" s="1004"/>
      <c r="UP102" s="1004"/>
      <c r="UQ102" s="1004"/>
      <c r="UR102" s="1004"/>
      <c r="US102" s="1004"/>
      <c r="UT102" s="1004"/>
      <c r="UU102" s="1004"/>
      <c r="UV102" s="1004"/>
      <c r="UW102" s="1004"/>
      <c r="UX102" s="1004"/>
      <c r="UY102" s="1004"/>
      <c r="UZ102" s="1004"/>
      <c r="VA102" s="1004"/>
      <c r="VB102" s="1004"/>
      <c r="VC102" s="1004"/>
      <c r="VD102" s="1004"/>
      <c r="VE102" s="1004"/>
      <c r="VF102" s="1004"/>
      <c r="VG102" s="1004"/>
      <c r="VH102" s="1004"/>
      <c r="VI102" s="1004"/>
      <c r="VJ102" s="1004"/>
      <c r="VK102" s="1004"/>
      <c r="VL102" s="1004"/>
      <c r="VM102" s="1004"/>
      <c r="VN102" s="1004"/>
      <c r="VO102" s="1004"/>
      <c r="VP102" s="1004"/>
      <c r="VQ102" s="1004"/>
      <c r="VR102" s="1004"/>
      <c r="VS102" s="1004"/>
      <c r="VT102" s="1004"/>
      <c r="VU102" s="1004"/>
      <c r="VV102" s="1004"/>
      <c r="VW102" s="1004"/>
      <c r="VX102" s="1004"/>
      <c r="VY102" s="1004"/>
      <c r="VZ102" s="1004"/>
      <c r="WA102" s="1004"/>
      <c r="WB102" s="1004"/>
      <c r="WC102" s="1004"/>
      <c r="WD102" s="1004"/>
      <c r="WE102" s="1004"/>
      <c r="WF102" s="1004"/>
      <c r="WG102" s="1004"/>
      <c r="WH102" s="1004"/>
      <c r="WI102" s="1004"/>
      <c r="WJ102" s="1004"/>
      <c r="WK102" s="1004"/>
      <c r="WL102" s="1004"/>
      <c r="WM102" s="1004"/>
      <c r="WN102" s="1004"/>
      <c r="WO102" s="1004"/>
      <c r="WP102" s="1004"/>
      <c r="WQ102" s="1004"/>
      <c r="WR102" s="1004"/>
      <c r="WS102" s="1004"/>
      <c r="WT102" s="1004"/>
      <c r="WU102" s="1004"/>
      <c r="WV102" s="1004"/>
      <c r="WW102" s="1004"/>
      <c r="WX102" s="1004"/>
      <c r="WY102" s="1004"/>
      <c r="WZ102" s="1004"/>
      <c r="XA102" s="1004"/>
      <c r="XB102" s="1004"/>
      <c r="XC102" s="1004"/>
      <c r="XD102" s="1004"/>
      <c r="XE102" s="1004"/>
      <c r="XF102" s="1004"/>
      <c r="XG102" s="1004"/>
      <c r="XH102" s="1004"/>
      <c r="XI102" s="1004"/>
      <c r="XJ102" s="1004"/>
      <c r="XK102" s="1004"/>
      <c r="XL102" s="1004"/>
      <c r="XM102" s="1004"/>
      <c r="XN102" s="1004"/>
      <c r="XO102" s="1004"/>
      <c r="XP102" s="1004"/>
      <c r="XQ102" s="1004"/>
      <c r="XR102" s="1004"/>
      <c r="XS102" s="1004"/>
      <c r="XT102" s="1004"/>
      <c r="XU102" s="1004"/>
      <c r="XV102" s="1004"/>
      <c r="XW102" s="1004"/>
      <c r="XX102" s="1004"/>
      <c r="XY102" s="1004"/>
      <c r="XZ102" s="1004"/>
      <c r="YA102" s="1004"/>
      <c r="YB102" s="1004"/>
      <c r="YC102" s="1004"/>
      <c r="YD102" s="1004"/>
      <c r="YE102" s="1004"/>
      <c r="YF102" s="1004"/>
      <c r="YG102" s="1004"/>
      <c r="YH102" s="1004"/>
      <c r="YI102" s="1004"/>
      <c r="YJ102" s="1004"/>
      <c r="YK102" s="1004"/>
      <c r="YL102" s="1004"/>
      <c r="YM102" s="1004"/>
      <c r="YN102" s="1004"/>
      <c r="YO102" s="1004"/>
      <c r="YP102" s="1004"/>
      <c r="YQ102" s="1004"/>
      <c r="YR102" s="1004"/>
      <c r="YS102" s="1004"/>
      <c r="YT102" s="1004"/>
      <c r="YU102" s="1004"/>
      <c r="YV102" s="1004"/>
      <c r="YW102" s="1004"/>
      <c r="YX102" s="1004"/>
      <c r="YY102" s="1004"/>
      <c r="YZ102" s="1004"/>
      <c r="ZA102" s="1004"/>
      <c r="ZB102" s="1004"/>
      <c r="ZC102" s="1004"/>
      <c r="ZD102" s="1004"/>
      <c r="ZE102" s="1004"/>
      <c r="ZF102" s="1004"/>
      <c r="ZG102" s="1004"/>
      <c r="ZH102" s="1004"/>
      <c r="ZI102" s="1004"/>
      <c r="ZJ102" s="1004"/>
      <c r="ZK102" s="1004"/>
      <c r="ZL102" s="1004"/>
      <c r="ZM102" s="1004"/>
      <c r="ZN102" s="1004"/>
      <c r="ZO102" s="1004"/>
      <c r="ZP102" s="1004"/>
      <c r="ZQ102" s="1004"/>
      <c r="ZR102" s="1004"/>
      <c r="ZS102" s="1004"/>
      <c r="ZT102" s="1004"/>
      <c r="ZU102" s="1004"/>
      <c r="ZV102" s="1004"/>
      <c r="ZW102" s="1004"/>
      <c r="ZX102" s="1004"/>
      <c r="ZY102" s="1004"/>
      <c r="ZZ102" s="1004"/>
      <c r="AAA102" s="1004"/>
      <c r="AAB102" s="1004"/>
      <c r="AAC102" s="1004"/>
      <c r="AAD102" s="1004"/>
      <c r="AAE102" s="1004"/>
      <c r="AAF102" s="1004"/>
      <c r="AAG102" s="1004"/>
      <c r="AAH102" s="1004"/>
      <c r="AAI102" s="1004"/>
      <c r="AAJ102" s="1004"/>
      <c r="AAK102" s="1004"/>
      <c r="AAL102" s="1004"/>
      <c r="AAM102" s="1004"/>
      <c r="AAN102" s="1004"/>
      <c r="AAO102" s="1004"/>
      <c r="AAP102" s="1004"/>
      <c r="AAQ102" s="1004"/>
      <c r="AAR102" s="1004"/>
      <c r="AAS102" s="1004"/>
      <c r="AAT102" s="1004"/>
      <c r="AAU102" s="1004"/>
      <c r="AAV102" s="1004"/>
      <c r="AAW102" s="1004"/>
      <c r="AAX102" s="1004"/>
      <c r="AAY102" s="1004"/>
      <c r="AAZ102" s="1004"/>
      <c r="ABA102" s="1004"/>
      <c r="ABB102" s="1004"/>
      <c r="ABC102" s="1004"/>
      <c r="ABD102" s="1004"/>
      <c r="ABE102" s="1004"/>
      <c r="ABF102" s="1004"/>
      <c r="ABG102" s="1004"/>
      <c r="ABH102" s="1004"/>
      <c r="ABI102" s="1004"/>
      <c r="ABJ102" s="1004"/>
      <c r="ABK102" s="1004"/>
      <c r="ABL102" s="1004"/>
      <c r="ABM102" s="1004"/>
      <c r="ABN102" s="1004"/>
      <c r="ABO102" s="1004"/>
      <c r="ABP102" s="1004"/>
      <c r="ABQ102" s="1004"/>
      <c r="ABR102" s="1004"/>
    </row>
    <row r="103" spans="1:746" s="1" customFormat="1" ht="12.9" customHeight="1">
      <c r="A103" s="923"/>
      <c r="B103" s="1868"/>
      <c r="C103" s="1869"/>
      <c r="D103" s="1869"/>
      <c r="E103" s="1870"/>
      <c r="F103" s="1871"/>
      <c r="G103" s="1872" t="s">
        <v>306</v>
      </c>
      <c r="H103" s="2173"/>
      <c r="I103" s="345">
        <f>I102*fx!I57</f>
        <v>0</v>
      </c>
      <c r="J103" s="344">
        <f>J102*fx!J57</f>
        <v>0</v>
      </c>
      <c r="K103" s="344">
        <f>K102*fx!K57</f>
        <v>0</v>
      </c>
      <c r="L103" s="344">
        <f>L102*fx!L57</f>
        <v>0</v>
      </c>
      <c r="M103" s="344">
        <f>M102*fx!M57</f>
        <v>0</v>
      </c>
      <c r="N103" s="344">
        <f>N102*fx!N57</f>
        <v>0</v>
      </c>
      <c r="O103" s="344">
        <f>O102*fx!O57</f>
        <v>0</v>
      </c>
      <c r="P103" s="344">
        <f>P102*fx!P57</f>
        <v>0</v>
      </c>
      <c r="Q103" s="344">
        <f>Q102*fx!Q57</f>
        <v>0</v>
      </c>
      <c r="R103" s="344">
        <f>R102*fx!R57</f>
        <v>0</v>
      </c>
      <c r="S103" s="344">
        <f>S102*fx!S57</f>
        <v>0</v>
      </c>
      <c r="T103" s="344">
        <f>T102*fx!T57</f>
        <v>0</v>
      </c>
      <c r="U103" s="344">
        <f>U102*fx!U57</f>
        <v>0</v>
      </c>
      <c r="V103" s="344">
        <f>V102*fx!V57</f>
        <v>0</v>
      </c>
      <c r="W103" s="344">
        <f>W102*fx!W57</f>
        <v>0</v>
      </c>
      <c r="X103" s="344">
        <f>X102*fx!X57</f>
        <v>0</v>
      </c>
      <c r="Y103" s="344">
        <f>Y102*fx!Y57</f>
        <v>0</v>
      </c>
      <c r="Z103" s="344">
        <f>Z102*fx!Z57</f>
        <v>0</v>
      </c>
      <c r="AA103" s="344">
        <f>AA102*fx!AA57</f>
        <v>0</v>
      </c>
      <c r="AB103" s="344">
        <f>AB102*fx!AB57</f>
        <v>0</v>
      </c>
      <c r="AC103" s="344">
        <f>AC102*fx!AC57</f>
        <v>0</v>
      </c>
      <c r="AD103" s="344">
        <f>AD102*fx!AD57</f>
        <v>0</v>
      </c>
      <c r="AE103" s="344">
        <f>AE102*fx!AE57</f>
        <v>0</v>
      </c>
      <c r="AF103" s="344">
        <f>AF102*fx!AF57</f>
        <v>0</v>
      </c>
      <c r="AG103" s="337"/>
      <c r="AH103" s="359"/>
      <c r="AI103" s="359"/>
      <c r="AJ103" s="1854">
        <f>IF(fx!$C$57=1,SUMIF(fx!I$57:T$57,1,I103:T103),IF(fx!$C$57=2,SUMIF(fx!O$57:AF$57,1,O103:AF103)))</f>
        <v>0</v>
      </c>
      <c r="AK103" s="434"/>
      <c r="AL103" s="1855">
        <f>IF(fx!$C$57=1,SUM(U103:AF103),0)</f>
        <v>0</v>
      </c>
      <c r="AM103" s="1021"/>
      <c r="AN103" s="1005"/>
      <c r="AO103" s="1945"/>
      <c r="AP103" s="1935"/>
      <c r="AQ103" s="1936"/>
      <c r="AR103" s="1941"/>
      <c r="AS103" s="1941"/>
      <c r="AT103" s="1941"/>
      <c r="AU103" s="1941"/>
      <c r="AV103" s="1941"/>
      <c r="AW103" s="1941"/>
      <c r="AX103" s="1941"/>
      <c r="AY103" s="1941"/>
      <c r="AZ103" s="1941"/>
      <c r="BA103" s="1941"/>
      <c r="BB103" s="1941"/>
      <c r="BC103" s="1941"/>
      <c r="BD103" s="1941"/>
      <c r="BE103" s="1941"/>
      <c r="BF103" s="1941"/>
      <c r="BG103" s="1941"/>
      <c r="BH103" s="1941"/>
      <c r="BI103" s="1941"/>
      <c r="BJ103" s="1941"/>
      <c r="BK103" s="1941"/>
      <c r="BL103" s="1941"/>
      <c r="BM103" s="1941"/>
      <c r="BN103" s="1941"/>
      <c r="BO103" s="1941"/>
      <c r="BP103" s="1004"/>
      <c r="BQ103" s="1004"/>
      <c r="BR103" s="1004"/>
      <c r="BS103" s="1004"/>
      <c r="BT103" s="1004"/>
      <c r="BU103" s="1004"/>
      <c r="BV103" s="1004"/>
      <c r="BW103" s="1004"/>
      <c r="BX103" s="1004"/>
      <c r="BY103" s="1004"/>
      <c r="BZ103" s="1004"/>
      <c r="CA103" s="1004"/>
      <c r="CB103" s="1004"/>
      <c r="CC103" s="1004"/>
      <c r="CD103" s="1004"/>
      <c r="CE103" s="1004"/>
      <c r="CF103" s="1004"/>
      <c r="CG103" s="1004"/>
      <c r="CH103" s="1004"/>
      <c r="CI103" s="1004"/>
      <c r="CJ103" s="1004"/>
      <c r="CK103" s="1004"/>
      <c r="CL103" s="1004"/>
      <c r="CM103" s="1004"/>
      <c r="CN103" s="1004"/>
      <c r="CO103" s="1004"/>
      <c r="CP103" s="1004"/>
      <c r="CQ103" s="1004"/>
      <c r="CR103" s="1004"/>
      <c r="CS103" s="1004"/>
      <c r="CT103" s="1004"/>
      <c r="CU103" s="1004"/>
      <c r="CV103" s="1004"/>
      <c r="CW103" s="1004"/>
      <c r="CX103" s="1004"/>
      <c r="CY103" s="1004"/>
      <c r="CZ103" s="1004"/>
      <c r="DA103" s="1004"/>
      <c r="DB103" s="1004"/>
      <c r="DC103" s="1004"/>
      <c r="DD103" s="1004"/>
      <c r="DE103" s="1004"/>
      <c r="DF103" s="1004"/>
      <c r="DG103" s="1004"/>
      <c r="DH103" s="1004"/>
      <c r="DI103" s="1004"/>
      <c r="DJ103" s="1004"/>
      <c r="DK103" s="1004"/>
      <c r="DL103" s="1004"/>
      <c r="DM103" s="1004"/>
      <c r="DN103" s="1004"/>
      <c r="DO103" s="1004"/>
      <c r="DP103" s="1004"/>
      <c r="DQ103" s="1004"/>
      <c r="DR103" s="1004"/>
      <c r="DS103" s="1004"/>
      <c r="DT103" s="1004"/>
      <c r="DU103" s="1004"/>
      <c r="DV103" s="1004"/>
      <c r="DW103" s="1004"/>
      <c r="DX103" s="1004"/>
      <c r="DY103" s="1004"/>
      <c r="DZ103" s="1004"/>
      <c r="EA103" s="1004"/>
      <c r="EB103" s="1004"/>
      <c r="EC103" s="1004"/>
      <c r="ED103" s="1004"/>
      <c r="EE103" s="1004"/>
      <c r="EF103" s="1004"/>
      <c r="EG103" s="1004"/>
      <c r="EH103" s="1004"/>
      <c r="EI103" s="1004"/>
      <c r="EJ103" s="1004"/>
      <c r="EK103" s="1004"/>
      <c r="EL103" s="1004"/>
      <c r="EM103" s="1004"/>
      <c r="EN103" s="1004"/>
      <c r="EO103" s="1004"/>
      <c r="EP103" s="1004"/>
      <c r="EQ103" s="1004"/>
      <c r="ER103" s="1004"/>
      <c r="ES103" s="1004"/>
      <c r="ET103" s="1004"/>
      <c r="EU103" s="1004"/>
      <c r="EV103" s="1004"/>
      <c r="EW103" s="1004"/>
      <c r="EX103" s="1004"/>
      <c r="EY103" s="1004"/>
      <c r="EZ103" s="1004"/>
      <c r="FA103" s="1004"/>
      <c r="FB103" s="1004"/>
      <c r="FC103" s="1004"/>
      <c r="FD103" s="1004"/>
      <c r="FE103" s="1004"/>
      <c r="FF103" s="1004"/>
      <c r="FG103" s="1004"/>
      <c r="FH103" s="1004"/>
      <c r="FI103" s="1004"/>
      <c r="FJ103" s="1004"/>
      <c r="FK103" s="1004"/>
      <c r="FL103" s="1004"/>
      <c r="FM103" s="1004"/>
      <c r="FN103" s="1004"/>
      <c r="FO103" s="1004"/>
      <c r="FP103" s="1004"/>
      <c r="FQ103" s="1004"/>
      <c r="FR103" s="1004"/>
      <c r="FS103" s="1004"/>
      <c r="FT103" s="1004"/>
      <c r="FU103" s="1004"/>
      <c r="FV103" s="1004"/>
      <c r="FW103" s="1004"/>
      <c r="FX103" s="1004"/>
      <c r="FY103" s="1004"/>
      <c r="FZ103" s="1004"/>
      <c r="GA103" s="1004"/>
      <c r="GB103" s="1004"/>
      <c r="GC103" s="1004"/>
      <c r="GD103" s="1004"/>
      <c r="GE103" s="1004"/>
      <c r="GF103" s="1004"/>
      <c r="GG103" s="1004"/>
      <c r="GH103" s="1004"/>
      <c r="GI103" s="1004"/>
      <c r="GJ103" s="1004"/>
      <c r="GK103" s="1004"/>
      <c r="GL103" s="1004"/>
      <c r="GM103" s="1004"/>
      <c r="GN103" s="1004"/>
      <c r="GO103" s="1004"/>
      <c r="GP103" s="1004"/>
      <c r="GQ103" s="1004"/>
      <c r="GR103" s="1004"/>
      <c r="GS103" s="1004"/>
      <c r="GT103" s="1004"/>
      <c r="GU103" s="1004"/>
      <c r="GV103" s="1004"/>
      <c r="GW103" s="1004"/>
      <c r="GX103" s="1004"/>
      <c r="GY103" s="1004"/>
      <c r="GZ103" s="1004"/>
      <c r="HA103" s="1004"/>
      <c r="HB103" s="1004"/>
      <c r="HC103" s="1004"/>
      <c r="HD103" s="1004"/>
      <c r="HE103" s="1004"/>
      <c r="HF103" s="1004"/>
      <c r="HG103" s="1004"/>
      <c r="HH103" s="1004"/>
      <c r="HI103" s="1004"/>
      <c r="HJ103" s="1004"/>
      <c r="HK103" s="1004"/>
      <c r="HL103" s="1004"/>
      <c r="HM103" s="1004"/>
      <c r="HN103" s="1004"/>
      <c r="HO103" s="1004"/>
      <c r="HP103" s="1004"/>
      <c r="HQ103" s="1004"/>
      <c r="HR103" s="1004"/>
      <c r="HS103" s="1004"/>
      <c r="HT103" s="1004"/>
      <c r="HU103" s="1004"/>
      <c r="HV103" s="1004"/>
      <c r="HW103" s="1004"/>
      <c r="HX103" s="1004"/>
      <c r="HY103" s="1004"/>
      <c r="HZ103" s="1004"/>
      <c r="IA103" s="1004"/>
      <c r="IB103" s="1004"/>
      <c r="IC103" s="1004"/>
      <c r="ID103" s="1004"/>
      <c r="IE103" s="1004"/>
      <c r="IF103" s="1004"/>
      <c r="IG103" s="1004"/>
      <c r="IH103" s="1004"/>
      <c r="II103" s="1004"/>
      <c r="IJ103" s="1004"/>
      <c r="IK103" s="1004"/>
      <c r="IL103" s="1004"/>
      <c r="IM103" s="1004"/>
      <c r="IN103" s="1004"/>
      <c r="IO103" s="1004"/>
      <c r="IP103" s="1004"/>
      <c r="IQ103" s="1004"/>
      <c r="IR103" s="1004"/>
      <c r="IS103" s="1004"/>
      <c r="IT103" s="1004"/>
      <c r="IU103" s="1004"/>
      <c r="IV103" s="1004"/>
      <c r="IW103" s="1004"/>
      <c r="IX103" s="1004"/>
      <c r="IY103" s="1004"/>
      <c r="IZ103" s="1004"/>
      <c r="JA103" s="1004"/>
      <c r="JB103" s="1004"/>
      <c r="JC103" s="1004"/>
      <c r="JD103" s="1004"/>
      <c r="JE103" s="1004"/>
      <c r="JF103" s="1004"/>
      <c r="JG103" s="1004"/>
      <c r="JH103" s="1004"/>
      <c r="JI103" s="1004"/>
      <c r="JJ103" s="1004"/>
      <c r="JK103" s="1004"/>
      <c r="JL103" s="1004"/>
      <c r="JM103" s="1004"/>
      <c r="JN103" s="1004"/>
      <c r="JO103" s="1004"/>
      <c r="JP103" s="1004"/>
      <c r="JQ103" s="1004"/>
      <c r="JR103" s="1004"/>
      <c r="JS103" s="1004"/>
      <c r="JT103" s="1004"/>
      <c r="JU103" s="1004"/>
      <c r="JV103" s="1004"/>
      <c r="JW103" s="1004"/>
      <c r="JX103" s="1004"/>
      <c r="JY103" s="1004"/>
      <c r="JZ103" s="1004"/>
      <c r="KA103" s="1004"/>
      <c r="KB103" s="1004"/>
      <c r="KC103" s="1004"/>
      <c r="KD103" s="1004"/>
      <c r="KE103" s="1004"/>
      <c r="KF103" s="1004"/>
      <c r="KG103" s="1004"/>
      <c r="KH103" s="1004"/>
      <c r="KI103" s="1004"/>
      <c r="KJ103" s="1004"/>
      <c r="KK103" s="1004"/>
      <c r="KL103" s="1004"/>
      <c r="KM103" s="1004"/>
      <c r="KN103" s="1004"/>
      <c r="KO103" s="1004"/>
      <c r="KP103" s="1004"/>
      <c r="KQ103" s="1004"/>
      <c r="KR103" s="1004"/>
      <c r="KS103" s="1004"/>
      <c r="KT103" s="1004"/>
      <c r="KU103" s="1004"/>
      <c r="KV103" s="1004"/>
      <c r="KW103" s="1004"/>
      <c r="KX103" s="1004"/>
      <c r="KY103" s="1004"/>
      <c r="KZ103" s="1004"/>
      <c r="LA103" s="1004"/>
      <c r="LB103" s="1004"/>
      <c r="LC103" s="1004"/>
      <c r="LD103" s="1004"/>
      <c r="LE103" s="1004"/>
      <c r="LF103" s="1004"/>
      <c r="LG103" s="1004"/>
      <c r="LH103" s="1004"/>
      <c r="LI103" s="1004"/>
      <c r="LJ103" s="1004"/>
      <c r="LK103" s="1004"/>
      <c r="LL103" s="1004"/>
      <c r="LM103" s="1004"/>
      <c r="LN103" s="1004"/>
      <c r="LO103" s="1004"/>
      <c r="LP103" s="1004"/>
      <c r="LQ103" s="1004"/>
      <c r="LR103" s="1004"/>
      <c r="LS103" s="1004"/>
      <c r="LT103" s="1004"/>
      <c r="LU103" s="1004"/>
      <c r="LV103" s="1004"/>
      <c r="LW103" s="1004"/>
      <c r="LX103" s="1004"/>
      <c r="LY103" s="1004"/>
      <c r="LZ103" s="1004"/>
      <c r="MA103" s="1004"/>
      <c r="MB103" s="1004"/>
      <c r="MC103" s="1004"/>
      <c r="MD103" s="1004"/>
      <c r="ME103" s="1004"/>
      <c r="MF103" s="1004"/>
      <c r="MG103" s="1004"/>
      <c r="MH103" s="1004"/>
      <c r="MI103" s="1004"/>
      <c r="MJ103" s="1004"/>
      <c r="MK103" s="1004"/>
      <c r="ML103" s="1004"/>
      <c r="MM103" s="1004"/>
      <c r="MN103" s="1004"/>
      <c r="MO103" s="1004"/>
      <c r="MP103" s="1004"/>
      <c r="MQ103" s="1004"/>
      <c r="MR103" s="1004"/>
      <c r="MS103" s="1004"/>
      <c r="MT103" s="1004"/>
      <c r="MU103" s="1004"/>
      <c r="MV103" s="1004"/>
      <c r="MW103" s="1004"/>
      <c r="MX103" s="1004"/>
      <c r="MY103" s="1004"/>
      <c r="MZ103" s="1004"/>
      <c r="NA103" s="1004"/>
      <c r="NB103" s="1004"/>
      <c r="NC103" s="1004"/>
      <c r="ND103" s="1004"/>
      <c r="NE103" s="1004"/>
      <c r="NF103" s="1004"/>
      <c r="NG103" s="1004"/>
      <c r="NH103" s="1004"/>
      <c r="NI103" s="1004"/>
      <c r="NJ103" s="1004"/>
      <c r="NK103" s="1004"/>
      <c r="NL103" s="1004"/>
      <c r="NM103" s="1004"/>
      <c r="NN103" s="1004"/>
      <c r="NO103" s="1004"/>
      <c r="NP103" s="1004"/>
      <c r="NQ103" s="1004"/>
      <c r="NR103" s="1004"/>
      <c r="NS103" s="1004"/>
      <c r="NT103" s="1004"/>
      <c r="NU103" s="1004"/>
      <c r="NV103" s="1004"/>
      <c r="NW103" s="1004"/>
      <c r="NX103" s="1004"/>
      <c r="NY103" s="1004"/>
      <c r="NZ103" s="1004"/>
      <c r="OA103" s="1004"/>
      <c r="OB103" s="1004"/>
      <c r="OC103" s="1004"/>
      <c r="OD103" s="1004"/>
      <c r="OE103" s="1004"/>
      <c r="OF103" s="1004"/>
      <c r="OG103" s="1004"/>
      <c r="OH103" s="1004"/>
      <c r="OI103" s="1004"/>
      <c r="OJ103" s="1004"/>
      <c r="OK103" s="1004"/>
      <c r="OL103" s="1004"/>
      <c r="OM103" s="1004"/>
      <c r="ON103" s="1004"/>
      <c r="OO103" s="1004"/>
      <c r="OP103" s="1004"/>
      <c r="OQ103" s="1004"/>
      <c r="OR103" s="1004"/>
      <c r="OS103" s="1004"/>
      <c r="OT103" s="1004"/>
      <c r="OU103" s="1004"/>
      <c r="OV103" s="1004"/>
      <c r="OW103" s="1004"/>
      <c r="OX103" s="1004"/>
      <c r="OY103" s="1004"/>
      <c r="OZ103" s="1004"/>
      <c r="PA103" s="1004"/>
      <c r="PB103" s="1004"/>
      <c r="PC103" s="1004"/>
      <c r="PD103" s="1004"/>
      <c r="PE103" s="1004"/>
      <c r="PF103" s="1004"/>
      <c r="PG103" s="1004"/>
      <c r="PH103" s="1004"/>
      <c r="PI103" s="1004"/>
      <c r="PJ103" s="1004"/>
      <c r="PK103" s="1004"/>
      <c r="PL103" s="1004"/>
      <c r="PM103" s="1004"/>
      <c r="PN103" s="1004"/>
      <c r="PO103" s="1004"/>
      <c r="PP103" s="1004"/>
      <c r="PQ103" s="1004"/>
      <c r="PR103" s="1004"/>
      <c r="PS103" s="1004"/>
      <c r="PT103" s="1004"/>
      <c r="PU103" s="1004"/>
      <c r="PV103" s="1004"/>
      <c r="PW103" s="1004"/>
      <c r="PX103" s="1004"/>
      <c r="PY103" s="1004"/>
      <c r="PZ103" s="1004"/>
      <c r="QA103" s="1004"/>
      <c r="QB103" s="1004"/>
      <c r="QC103" s="1004"/>
      <c r="QD103" s="1004"/>
      <c r="QE103" s="1004"/>
      <c r="QF103" s="1004"/>
      <c r="QG103" s="1004"/>
      <c r="QH103" s="1004"/>
      <c r="QI103" s="1004"/>
      <c r="QJ103" s="1004"/>
      <c r="QK103" s="1004"/>
      <c r="QL103" s="1004"/>
      <c r="QM103" s="1004"/>
      <c r="QN103" s="1004"/>
      <c r="QO103" s="1004"/>
      <c r="QP103" s="1004"/>
      <c r="QQ103" s="1004"/>
      <c r="QR103" s="1004"/>
      <c r="QS103" s="1004"/>
      <c r="QT103" s="1004"/>
      <c r="QU103" s="1004"/>
      <c r="QV103" s="1004"/>
      <c r="QW103" s="1004"/>
      <c r="QX103" s="1004"/>
      <c r="QY103" s="1004"/>
      <c r="QZ103" s="1004"/>
      <c r="RA103" s="1004"/>
      <c r="RB103" s="1004"/>
      <c r="RC103" s="1004"/>
      <c r="RD103" s="1004"/>
      <c r="RE103" s="1004"/>
      <c r="RF103" s="1004"/>
      <c r="RG103" s="1004"/>
      <c r="RH103" s="1004"/>
      <c r="RI103" s="1004"/>
      <c r="RJ103" s="1004"/>
      <c r="RK103" s="1004"/>
      <c r="RL103" s="1004"/>
      <c r="RM103" s="1004"/>
      <c r="RN103" s="1004"/>
      <c r="RO103" s="1004"/>
      <c r="RP103" s="1004"/>
      <c r="RQ103" s="1004"/>
      <c r="RR103" s="1004"/>
      <c r="RS103" s="1004"/>
      <c r="RT103" s="1004"/>
      <c r="RU103" s="1004"/>
      <c r="RV103" s="1004"/>
      <c r="RW103" s="1004"/>
      <c r="RX103" s="1004"/>
      <c r="RY103" s="1004"/>
      <c r="RZ103" s="1004"/>
      <c r="SA103" s="1004"/>
      <c r="SB103" s="1004"/>
      <c r="SC103" s="1004"/>
      <c r="SD103" s="1004"/>
      <c r="SE103" s="1004"/>
      <c r="SF103" s="1004"/>
      <c r="SG103" s="1004"/>
      <c r="SH103" s="1004"/>
      <c r="SI103" s="1004"/>
      <c r="SJ103" s="1004"/>
      <c r="SK103" s="1004"/>
      <c r="SL103" s="1004"/>
      <c r="SM103" s="1004"/>
      <c r="SN103" s="1004"/>
      <c r="SO103" s="1004"/>
      <c r="SP103" s="1004"/>
      <c r="SQ103" s="1004"/>
      <c r="SR103" s="1004"/>
      <c r="SS103" s="1004"/>
      <c r="ST103" s="1004"/>
      <c r="SU103" s="1004"/>
      <c r="SV103" s="1004"/>
      <c r="SW103" s="1004"/>
      <c r="SX103" s="1004"/>
      <c r="SY103" s="1004"/>
      <c r="SZ103" s="1004"/>
      <c r="TA103" s="1004"/>
      <c r="TB103" s="1004"/>
      <c r="TC103" s="1004"/>
      <c r="TD103" s="1004"/>
      <c r="TE103" s="1004"/>
      <c r="TF103" s="1004"/>
      <c r="TG103" s="1004"/>
      <c r="TH103" s="1004"/>
      <c r="TI103" s="1004"/>
      <c r="TJ103" s="1004"/>
      <c r="TK103" s="1004"/>
      <c r="TL103" s="1004"/>
      <c r="TM103" s="1004"/>
      <c r="TN103" s="1004"/>
      <c r="TO103" s="1004"/>
      <c r="TP103" s="1004"/>
      <c r="TQ103" s="1004"/>
      <c r="TR103" s="1004"/>
      <c r="TS103" s="1004"/>
      <c r="TT103" s="1004"/>
      <c r="TU103" s="1004"/>
      <c r="TV103" s="1004"/>
      <c r="TW103" s="1004"/>
      <c r="TX103" s="1004"/>
      <c r="TY103" s="1004"/>
      <c r="TZ103" s="1004"/>
      <c r="UA103" s="1004"/>
      <c r="UB103" s="1004"/>
      <c r="UC103" s="1004"/>
      <c r="UD103" s="1004"/>
      <c r="UE103" s="1004"/>
      <c r="UF103" s="1004"/>
      <c r="UG103" s="1004"/>
      <c r="UH103" s="1004"/>
      <c r="UI103" s="1004"/>
      <c r="UJ103" s="1004"/>
      <c r="UK103" s="1004"/>
      <c r="UL103" s="1004"/>
      <c r="UM103" s="1004"/>
      <c r="UN103" s="1004"/>
      <c r="UO103" s="1004"/>
      <c r="UP103" s="1004"/>
      <c r="UQ103" s="1004"/>
      <c r="UR103" s="1004"/>
      <c r="US103" s="1004"/>
      <c r="UT103" s="1004"/>
      <c r="UU103" s="1004"/>
      <c r="UV103" s="1004"/>
      <c r="UW103" s="1004"/>
      <c r="UX103" s="1004"/>
      <c r="UY103" s="1004"/>
      <c r="UZ103" s="1004"/>
      <c r="VA103" s="1004"/>
      <c r="VB103" s="1004"/>
      <c r="VC103" s="1004"/>
      <c r="VD103" s="1004"/>
      <c r="VE103" s="1004"/>
      <c r="VF103" s="1004"/>
      <c r="VG103" s="1004"/>
      <c r="VH103" s="1004"/>
      <c r="VI103" s="1004"/>
      <c r="VJ103" s="1004"/>
      <c r="VK103" s="1004"/>
      <c r="VL103" s="1004"/>
      <c r="VM103" s="1004"/>
      <c r="VN103" s="1004"/>
      <c r="VO103" s="1004"/>
      <c r="VP103" s="1004"/>
      <c r="VQ103" s="1004"/>
      <c r="VR103" s="1004"/>
      <c r="VS103" s="1004"/>
      <c r="VT103" s="1004"/>
      <c r="VU103" s="1004"/>
      <c r="VV103" s="1004"/>
      <c r="VW103" s="1004"/>
      <c r="VX103" s="1004"/>
      <c r="VY103" s="1004"/>
      <c r="VZ103" s="1004"/>
      <c r="WA103" s="1004"/>
      <c r="WB103" s="1004"/>
      <c r="WC103" s="1004"/>
      <c r="WD103" s="1004"/>
      <c r="WE103" s="1004"/>
      <c r="WF103" s="1004"/>
      <c r="WG103" s="1004"/>
      <c r="WH103" s="1004"/>
      <c r="WI103" s="1004"/>
      <c r="WJ103" s="1004"/>
      <c r="WK103" s="1004"/>
      <c r="WL103" s="1004"/>
      <c r="WM103" s="1004"/>
      <c r="WN103" s="1004"/>
      <c r="WO103" s="1004"/>
      <c r="WP103" s="1004"/>
      <c r="WQ103" s="1004"/>
      <c r="WR103" s="1004"/>
      <c r="WS103" s="1004"/>
      <c r="WT103" s="1004"/>
      <c r="WU103" s="1004"/>
      <c r="WV103" s="1004"/>
      <c r="WW103" s="1004"/>
      <c r="WX103" s="1004"/>
      <c r="WY103" s="1004"/>
      <c r="WZ103" s="1004"/>
      <c r="XA103" s="1004"/>
      <c r="XB103" s="1004"/>
      <c r="XC103" s="1004"/>
      <c r="XD103" s="1004"/>
      <c r="XE103" s="1004"/>
      <c r="XF103" s="1004"/>
      <c r="XG103" s="1004"/>
      <c r="XH103" s="1004"/>
      <c r="XI103" s="1004"/>
      <c r="XJ103" s="1004"/>
      <c r="XK103" s="1004"/>
      <c r="XL103" s="1004"/>
      <c r="XM103" s="1004"/>
      <c r="XN103" s="1004"/>
      <c r="XO103" s="1004"/>
      <c r="XP103" s="1004"/>
      <c r="XQ103" s="1004"/>
      <c r="XR103" s="1004"/>
      <c r="XS103" s="1004"/>
      <c r="XT103" s="1004"/>
      <c r="XU103" s="1004"/>
      <c r="XV103" s="1004"/>
      <c r="XW103" s="1004"/>
      <c r="XX103" s="1004"/>
      <c r="XY103" s="1004"/>
      <c r="XZ103" s="1004"/>
      <c r="YA103" s="1004"/>
      <c r="YB103" s="1004"/>
      <c r="YC103" s="1004"/>
      <c r="YD103" s="1004"/>
      <c r="YE103" s="1004"/>
      <c r="YF103" s="1004"/>
      <c r="YG103" s="1004"/>
      <c r="YH103" s="1004"/>
      <c r="YI103" s="1004"/>
      <c r="YJ103" s="1004"/>
      <c r="YK103" s="1004"/>
      <c r="YL103" s="1004"/>
      <c r="YM103" s="1004"/>
      <c r="YN103" s="1004"/>
      <c r="YO103" s="1004"/>
      <c r="YP103" s="1004"/>
      <c r="YQ103" s="1004"/>
      <c r="YR103" s="1004"/>
      <c r="YS103" s="1004"/>
      <c r="YT103" s="1004"/>
      <c r="YU103" s="1004"/>
      <c r="YV103" s="1004"/>
      <c r="YW103" s="1004"/>
      <c r="YX103" s="1004"/>
      <c r="YY103" s="1004"/>
      <c r="YZ103" s="1004"/>
      <c r="ZA103" s="1004"/>
      <c r="ZB103" s="1004"/>
      <c r="ZC103" s="1004"/>
      <c r="ZD103" s="1004"/>
      <c r="ZE103" s="1004"/>
      <c r="ZF103" s="1004"/>
      <c r="ZG103" s="1004"/>
      <c r="ZH103" s="1004"/>
      <c r="ZI103" s="1004"/>
      <c r="ZJ103" s="1004"/>
      <c r="ZK103" s="1004"/>
      <c r="ZL103" s="1004"/>
      <c r="ZM103" s="1004"/>
      <c r="ZN103" s="1004"/>
      <c r="ZO103" s="1004"/>
      <c r="ZP103" s="1004"/>
      <c r="ZQ103" s="1004"/>
      <c r="ZR103" s="1004"/>
      <c r="ZS103" s="1004"/>
      <c r="ZT103" s="1004"/>
      <c r="ZU103" s="1004"/>
      <c r="ZV103" s="1004"/>
      <c r="ZW103" s="1004"/>
      <c r="ZX103" s="1004"/>
      <c r="ZY103" s="1004"/>
      <c r="ZZ103" s="1004"/>
      <c r="AAA103" s="1004"/>
      <c r="AAB103" s="1004"/>
      <c r="AAC103" s="1004"/>
      <c r="AAD103" s="1004"/>
      <c r="AAE103" s="1004"/>
      <c r="AAF103" s="1004"/>
      <c r="AAG103" s="1004"/>
      <c r="AAH103" s="1004"/>
      <c r="AAI103" s="1004"/>
      <c r="AAJ103" s="1004"/>
      <c r="AAK103" s="1004"/>
      <c r="AAL103" s="1004"/>
      <c r="AAM103" s="1004"/>
      <c r="AAN103" s="1004"/>
      <c r="AAO103" s="1004"/>
      <c r="AAP103" s="1004"/>
      <c r="AAQ103" s="1004"/>
      <c r="AAR103" s="1004"/>
      <c r="AAS103" s="1004"/>
      <c r="AAT103" s="1004"/>
      <c r="AAU103" s="1004"/>
      <c r="AAV103" s="1004"/>
      <c r="AAW103" s="1004"/>
      <c r="AAX103" s="1004"/>
      <c r="AAY103" s="1004"/>
      <c r="AAZ103" s="1004"/>
      <c r="ABA103" s="1004"/>
      <c r="ABB103" s="1004"/>
      <c r="ABC103" s="1004"/>
      <c r="ABD103" s="1004"/>
      <c r="ABE103" s="1004"/>
      <c r="ABF103" s="1004"/>
      <c r="ABG103" s="1004"/>
      <c r="ABH103" s="1004"/>
      <c r="ABI103" s="1004"/>
      <c r="ABJ103" s="1004"/>
      <c r="ABK103" s="1004"/>
      <c r="ABL103" s="1004"/>
      <c r="ABM103" s="1004"/>
      <c r="ABN103" s="1004"/>
      <c r="ABO103" s="1004"/>
      <c r="ABP103" s="1004"/>
      <c r="ABQ103" s="1004"/>
      <c r="ABR103" s="1004"/>
    </row>
    <row r="104" spans="1:746" s="1" customFormat="1" ht="12.9" customHeight="1" thickBot="1">
      <c r="A104" s="923"/>
      <c r="B104" s="592" t="s">
        <v>346</v>
      </c>
      <c r="C104" s="550"/>
      <c r="D104" s="550"/>
      <c r="E104" s="1873"/>
      <c r="F104" s="1874"/>
      <c r="G104" s="1875"/>
      <c r="H104" s="2174"/>
      <c r="I104" s="369">
        <f>(SUMPRODUCT($E$88:$E$97,I88:I97)+I99*$E$99+I103*$E$102)*fx!I57</f>
        <v>0</v>
      </c>
      <c r="J104" s="369">
        <f>(SUMPRODUCT($E$88:$E$97,J88:J97)+J99*$E$99+J103*$E$102)*fx!J57</f>
        <v>0</v>
      </c>
      <c r="K104" s="369">
        <f>(SUMPRODUCT($E$88:$E$97,K88:K97)+K99*$E$99+K103*$E$102)*fx!K57</f>
        <v>0</v>
      </c>
      <c r="L104" s="369">
        <f>(SUMPRODUCT($E$88:$E$97,L88:L97)+L99*$E$99+L103*$E$102)*fx!L57</f>
        <v>0</v>
      </c>
      <c r="M104" s="369">
        <f>(SUMPRODUCT($E$88:$E$97,M88:M97)+M99*$E$99+M103*$E$102)*fx!M57</f>
        <v>0</v>
      </c>
      <c r="N104" s="369">
        <f>(SUMPRODUCT($E$88:$E$97,N88:N97)+N99*$E$99+N103*$E$102)*fx!N57</f>
        <v>0</v>
      </c>
      <c r="O104" s="369">
        <f>(SUMPRODUCT($E$88:$E$97,O88:O97)+O99*$E$99+O103*$E$102)*fx!O57</f>
        <v>0</v>
      </c>
      <c r="P104" s="369">
        <f>(SUMPRODUCT($E$88:$E$97,P88:P97)+P99*$E$99+P103*$E$102)*fx!P57</f>
        <v>0</v>
      </c>
      <c r="Q104" s="369">
        <f>(SUMPRODUCT($E$88:$E$97,Q88:Q97)+Q99*$E$99+Q103*$E$102)*fx!Q57</f>
        <v>0</v>
      </c>
      <c r="R104" s="369">
        <f>(SUMPRODUCT($E$88:$E$97,R88:R97)+R99*$E$99+R103*$E$102)*fx!R57</f>
        <v>0</v>
      </c>
      <c r="S104" s="369">
        <f>(SUMPRODUCT($E$88:$E$97,S88:S97)+S99*$E$99+S103*$E$102)*fx!S57</f>
        <v>0</v>
      </c>
      <c r="T104" s="369">
        <f>(SUMPRODUCT($E$88:$E$97,T88:T97)+T99*$E$99+T103*$E$102)*fx!T57</f>
        <v>0</v>
      </c>
      <c r="U104" s="369">
        <f>(SUMPRODUCT($E$88:$E$97,U88:U97)+U99*$E$99+U103*$E$102)*fx!U57</f>
        <v>0</v>
      </c>
      <c r="V104" s="369">
        <f>(SUMPRODUCT($E$88:$E$97,V88:V97)+V99*$E$99+V103*$E$102)*fx!V57</f>
        <v>0</v>
      </c>
      <c r="W104" s="369">
        <f>(SUMPRODUCT($E$88:$E$97,W88:W97)+W99*$E$99+W103*$E$102)*fx!W57</f>
        <v>0</v>
      </c>
      <c r="X104" s="369">
        <f>(SUMPRODUCT($E$88:$E$97,X88:X97)+X99*$E$99+X103*$E$102)*fx!X57</f>
        <v>0</v>
      </c>
      <c r="Y104" s="369">
        <f>(SUMPRODUCT($E$88:$E$97,Y88:Y97)+Y99*$E$99+Y103*$E$102)*fx!Y57</f>
        <v>0</v>
      </c>
      <c r="Z104" s="369">
        <f>(SUMPRODUCT($E$88:$E$97,Z88:Z97)+Z99*$E$99+Z103*$E$102)*fx!Z57</f>
        <v>0</v>
      </c>
      <c r="AA104" s="369">
        <f>(SUMPRODUCT($E$88:$E$97,AA88:AA97)+AA99*$E$99+AA103*$E$102)*fx!AA57</f>
        <v>0</v>
      </c>
      <c r="AB104" s="369">
        <f>(SUMPRODUCT($E$88:$E$97,AB88:AB97)+AB99*$E$99+AB103*$E$102)*fx!AB57</f>
        <v>0</v>
      </c>
      <c r="AC104" s="369">
        <f>(SUMPRODUCT($E$88:$E$97,AC88:AC97)+AC99*$E$99+AC103*$E$102)*fx!AC57</f>
        <v>0</v>
      </c>
      <c r="AD104" s="369">
        <f>(SUMPRODUCT($E$88:$E$97,AD88:AD97)+AD99*$E$99+AD103*$E$102)*fx!AD57</f>
        <v>0</v>
      </c>
      <c r="AE104" s="369">
        <f>(SUMPRODUCT($E$88:$E$97,AE88:AE97)+AE99*$E$99+AE103*$E$102)*fx!AE57</f>
        <v>0</v>
      </c>
      <c r="AF104" s="369">
        <f>(SUMPRODUCT($E$88:$E$97,AF88:AF97)+AF99*$E$99+AF103*$E$102)*fx!AF57</f>
        <v>0</v>
      </c>
      <c r="AG104" s="376"/>
      <c r="AH104" s="359"/>
      <c r="AI104" s="359"/>
      <c r="AJ104" s="1857">
        <f>IF(fx!$C$57=1,SUMIF(fx!I$57:T$57,1,I104:T104),IF(fx!$C$57=2,SUMIF(fx!O$57:AF$57,1,O104:AF104)))</f>
        <v>0</v>
      </c>
      <c r="AK104" s="328"/>
      <c r="AL104" s="1858">
        <f>IF(fx!$C$57=1,SUM(U104:AF104),0)</f>
        <v>0</v>
      </c>
      <c r="AM104" s="1021"/>
      <c r="AN104" s="1007"/>
      <c r="AO104" s="1945"/>
      <c r="AP104" s="1935"/>
      <c r="AQ104" s="1936"/>
      <c r="AR104" s="1941"/>
      <c r="AS104" s="1941"/>
      <c r="AT104" s="1941"/>
      <c r="AU104" s="1941"/>
      <c r="AV104" s="1941"/>
      <c r="AW104" s="1941"/>
      <c r="AX104" s="1941"/>
      <c r="AY104" s="1941"/>
      <c r="AZ104" s="1941"/>
      <c r="BA104" s="1941"/>
      <c r="BB104" s="1941"/>
      <c r="BC104" s="1941"/>
      <c r="BD104" s="1941"/>
      <c r="BE104" s="1941"/>
      <c r="BF104" s="1941"/>
      <c r="BG104" s="1941"/>
      <c r="BH104" s="1941"/>
      <c r="BI104" s="1941"/>
      <c r="BJ104" s="1941"/>
      <c r="BK104" s="1941"/>
      <c r="BL104" s="1941"/>
      <c r="BM104" s="1941"/>
      <c r="BN104" s="1941"/>
      <c r="BO104" s="1941"/>
      <c r="BP104" s="1004"/>
      <c r="BQ104" s="1004"/>
      <c r="BR104" s="1004"/>
      <c r="BS104" s="1004"/>
      <c r="BT104" s="1004"/>
      <c r="BU104" s="1004"/>
      <c r="BV104" s="1004"/>
      <c r="BW104" s="1004"/>
      <c r="BX104" s="1004"/>
      <c r="BY104" s="1004"/>
      <c r="BZ104" s="1004"/>
      <c r="CA104" s="1004"/>
      <c r="CB104" s="1004"/>
      <c r="CC104" s="1004"/>
      <c r="CD104" s="1004"/>
      <c r="CE104" s="1004"/>
      <c r="CF104" s="1004"/>
      <c r="CG104" s="1004"/>
      <c r="CH104" s="1004"/>
      <c r="CI104" s="1004"/>
      <c r="CJ104" s="1004"/>
      <c r="CK104" s="1004"/>
      <c r="CL104" s="1004"/>
      <c r="CM104" s="1004"/>
      <c r="CN104" s="1004"/>
      <c r="CO104" s="1004"/>
      <c r="CP104" s="1004"/>
      <c r="CQ104" s="1004"/>
      <c r="CR104" s="1004"/>
      <c r="CS104" s="1004"/>
      <c r="CT104" s="1004"/>
      <c r="CU104" s="1004"/>
      <c r="CV104" s="1004"/>
      <c r="CW104" s="1004"/>
      <c r="CX104" s="1004"/>
      <c r="CY104" s="1004"/>
      <c r="CZ104" s="1004"/>
      <c r="DA104" s="1004"/>
      <c r="DB104" s="1004"/>
      <c r="DC104" s="1004"/>
      <c r="DD104" s="1004"/>
      <c r="DE104" s="1004"/>
      <c r="DF104" s="1004"/>
      <c r="DG104" s="1004"/>
      <c r="DH104" s="1004"/>
      <c r="DI104" s="1004"/>
      <c r="DJ104" s="1004"/>
      <c r="DK104" s="1004"/>
      <c r="DL104" s="1004"/>
      <c r="DM104" s="1004"/>
      <c r="DN104" s="1004"/>
      <c r="DO104" s="1004"/>
      <c r="DP104" s="1004"/>
      <c r="DQ104" s="1004"/>
      <c r="DR104" s="1004"/>
      <c r="DS104" s="1004"/>
      <c r="DT104" s="1004"/>
      <c r="DU104" s="1004"/>
      <c r="DV104" s="1004"/>
      <c r="DW104" s="1004"/>
      <c r="DX104" s="1004"/>
      <c r="DY104" s="1004"/>
      <c r="DZ104" s="1004"/>
      <c r="EA104" s="1004"/>
      <c r="EB104" s="1004"/>
      <c r="EC104" s="1004"/>
      <c r="ED104" s="1004"/>
      <c r="EE104" s="1004"/>
      <c r="EF104" s="1004"/>
      <c r="EG104" s="1004"/>
      <c r="EH104" s="1004"/>
      <c r="EI104" s="1004"/>
      <c r="EJ104" s="1004"/>
      <c r="EK104" s="1004"/>
      <c r="EL104" s="1004"/>
      <c r="EM104" s="1004"/>
      <c r="EN104" s="1004"/>
      <c r="EO104" s="1004"/>
      <c r="EP104" s="1004"/>
      <c r="EQ104" s="1004"/>
      <c r="ER104" s="1004"/>
      <c r="ES104" s="1004"/>
      <c r="ET104" s="1004"/>
      <c r="EU104" s="1004"/>
      <c r="EV104" s="1004"/>
      <c r="EW104" s="1004"/>
      <c r="EX104" s="1004"/>
      <c r="EY104" s="1004"/>
      <c r="EZ104" s="1004"/>
      <c r="FA104" s="1004"/>
      <c r="FB104" s="1004"/>
      <c r="FC104" s="1004"/>
      <c r="FD104" s="1004"/>
      <c r="FE104" s="1004"/>
      <c r="FF104" s="1004"/>
      <c r="FG104" s="1004"/>
      <c r="FH104" s="1004"/>
      <c r="FI104" s="1004"/>
      <c r="FJ104" s="1004"/>
      <c r="FK104" s="1004"/>
      <c r="FL104" s="1004"/>
      <c r="FM104" s="1004"/>
      <c r="FN104" s="1004"/>
      <c r="FO104" s="1004"/>
      <c r="FP104" s="1004"/>
      <c r="FQ104" s="1004"/>
      <c r="FR104" s="1004"/>
      <c r="FS104" s="1004"/>
      <c r="FT104" s="1004"/>
      <c r="FU104" s="1004"/>
      <c r="FV104" s="1004"/>
      <c r="FW104" s="1004"/>
      <c r="FX104" s="1004"/>
      <c r="FY104" s="1004"/>
      <c r="FZ104" s="1004"/>
      <c r="GA104" s="1004"/>
      <c r="GB104" s="1004"/>
      <c r="GC104" s="1004"/>
      <c r="GD104" s="1004"/>
      <c r="GE104" s="1004"/>
      <c r="GF104" s="1004"/>
      <c r="GG104" s="1004"/>
      <c r="GH104" s="1004"/>
      <c r="GI104" s="1004"/>
      <c r="GJ104" s="1004"/>
      <c r="GK104" s="1004"/>
      <c r="GL104" s="1004"/>
      <c r="GM104" s="1004"/>
      <c r="GN104" s="1004"/>
      <c r="GO104" s="1004"/>
      <c r="GP104" s="1004"/>
      <c r="GQ104" s="1004"/>
      <c r="GR104" s="1004"/>
      <c r="GS104" s="1004"/>
      <c r="GT104" s="1004"/>
      <c r="GU104" s="1004"/>
      <c r="GV104" s="1004"/>
      <c r="GW104" s="1004"/>
      <c r="GX104" s="1004"/>
      <c r="GY104" s="1004"/>
      <c r="GZ104" s="1004"/>
      <c r="HA104" s="1004"/>
      <c r="HB104" s="1004"/>
      <c r="HC104" s="1004"/>
      <c r="HD104" s="1004"/>
      <c r="HE104" s="1004"/>
      <c r="HF104" s="1004"/>
      <c r="HG104" s="1004"/>
      <c r="HH104" s="1004"/>
      <c r="HI104" s="1004"/>
      <c r="HJ104" s="1004"/>
      <c r="HK104" s="1004"/>
      <c r="HL104" s="1004"/>
      <c r="HM104" s="1004"/>
      <c r="HN104" s="1004"/>
      <c r="HO104" s="1004"/>
      <c r="HP104" s="1004"/>
      <c r="HQ104" s="1004"/>
      <c r="HR104" s="1004"/>
      <c r="HS104" s="1004"/>
      <c r="HT104" s="1004"/>
      <c r="HU104" s="1004"/>
      <c r="HV104" s="1004"/>
      <c r="HW104" s="1004"/>
      <c r="HX104" s="1004"/>
      <c r="HY104" s="1004"/>
      <c r="HZ104" s="1004"/>
      <c r="IA104" s="1004"/>
      <c r="IB104" s="1004"/>
      <c r="IC104" s="1004"/>
      <c r="ID104" s="1004"/>
      <c r="IE104" s="1004"/>
      <c r="IF104" s="1004"/>
      <c r="IG104" s="1004"/>
      <c r="IH104" s="1004"/>
      <c r="II104" s="1004"/>
      <c r="IJ104" s="1004"/>
      <c r="IK104" s="1004"/>
      <c r="IL104" s="1004"/>
      <c r="IM104" s="1004"/>
      <c r="IN104" s="1004"/>
      <c r="IO104" s="1004"/>
      <c r="IP104" s="1004"/>
      <c r="IQ104" s="1004"/>
      <c r="IR104" s="1004"/>
      <c r="IS104" s="1004"/>
      <c r="IT104" s="1004"/>
      <c r="IU104" s="1004"/>
      <c r="IV104" s="1004"/>
      <c r="IW104" s="1004"/>
      <c r="IX104" s="1004"/>
      <c r="IY104" s="1004"/>
      <c r="IZ104" s="1004"/>
      <c r="JA104" s="1004"/>
      <c r="JB104" s="1004"/>
      <c r="JC104" s="1004"/>
      <c r="JD104" s="1004"/>
      <c r="JE104" s="1004"/>
      <c r="JF104" s="1004"/>
      <c r="JG104" s="1004"/>
      <c r="JH104" s="1004"/>
      <c r="JI104" s="1004"/>
      <c r="JJ104" s="1004"/>
      <c r="JK104" s="1004"/>
      <c r="JL104" s="1004"/>
      <c r="JM104" s="1004"/>
      <c r="JN104" s="1004"/>
      <c r="JO104" s="1004"/>
      <c r="JP104" s="1004"/>
      <c r="JQ104" s="1004"/>
      <c r="JR104" s="1004"/>
      <c r="JS104" s="1004"/>
      <c r="JT104" s="1004"/>
      <c r="JU104" s="1004"/>
      <c r="JV104" s="1004"/>
      <c r="JW104" s="1004"/>
      <c r="JX104" s="1004"/>
      <c r="JY104" s="1004"/>
      <c r="JZ104" s="1004"/>
      <c r="KA104" s="1004"/>
      <c r="KB104" s="1004"/>
      <c r="KC104" s="1004"/>
      <c r="KD104" s="1004"/>
      <c r="KE104" s="1004"/>
      <c r="KF104" s="1004"/>
      <c r="KG104" s="1004"/>
      <c r="KH104" s="1004"/>
      <c r="KI104" s="1004"/>
      <c r="KJ104" s="1004"/>
      <c r="KK104" s="1004"/>
      <c r="KL104" s="1004"/>
      <c r="KM104" s="1004"/>
      <c r="KN104" s="1004"/>
      <c r="KO104" s="1004"/>
      <c r="KP104" s="1004"/>
      <c r="KQ104" s="1004"/>
      <c r="KR104" s="1004"/>
      <c r="KS104" s="1004"/>
      <c r="KT104" s="1004"/>
      <c r="KU104" s="1004"/>
      <c r="KV104" s="1004"/>
      <c r="KW104" s="1004"/>
      <c r="KX104" s="1004"/>
      <c r="KY104" s="1004"/>
      <c r="KZ104" s="1004"/>
      <c r="LA104" s="1004"/>
      <c r="LB104" s="1004"/>
      <c r="LC104" s="1004"/>
      <c r="LD104" s="1004"/>
      <c r="LE104" s="1004"/>
      <c r="LF104" s="1004"/>
      <c r="LG104" s="1004"/>
      <c r="LH104" s="1004"/>
      <c r="LI104" s="1004"/>
      <c r="LJ104" s="1004"/>
      <c r="LK104" s="1004"/>
      <c r="LL104" s="1004"/>
      <c r="LM104" s="1004"/>
      <c r="LN104" s="1004"/>
      <c r="LO104" s="1004"/>
      <c r="LP104" s="1004"/>
      <c r="LQ104" s="1004"/>
      <c r="LR104" s="1004"/>
      <c r="LS104" s="1004"/>
      <c r="LT104" s="1004"/>
      <c r="LU104" s="1004"/>
      <c r="LV104" s="1004"/>
      <c r="LW104" s="1004"/>
      <c r="LX104" s="1004"/>
      <c r="LY104" s="1004"/>
      <c r="LZ104" s="1004"/>
      <c r="MA104" s="1004"/>
      <c r="MB104" s="1004"/>
      <c r="MC104" s="1004"/>
      <c r="MD104" s="1004"/>
      <c r="ME104" s="1004"/>
      <c r="MF104" s="1004"/>
      <c r="MG104" s="1004"/>
      <c r="MH104" s="1004"/>
      <c r="MI104" s="1004"/>
      <c r="MJ104" s="1004"/>
      <c r="MK104" s="1004"/>
      <c r="ML104" s="1004"/>
      <c r="MM104" s="1004"/>
      <c r="MN104" s="1004"/>
      <c r="MO104" s="1004"/>
      <c r="MP104" s="1004"/>
      <c r="MQ104" s="1004"/>
      <c r="MR104" s="1004"/>
      <c r="MS104" s="1004"/>
      <c r="MT104" s="1004"/>
      <c r="MU104" s="1004"/>
      <c r="MV104" s="1004"/>
      <c r="MW104" s="1004"/>
      <c r="MX104" s="1004"/>
      <c r="MY104" s="1004"/>
      <c r="MZ104" s="1004"/>
      <c r="NA104" s="1004"/>
      <c r="NB104" s="1004"/>
      <c r="NC104" s="1004"/>
      <c r="ND104" s="1004"/>
      <c r="NE104" s="1004"/>
      <c r="NF104" s="1004"/>
      <c r="NG104" s="1004"/>
      <c r="NH104" s="1004"/>
      <c r="NI104" s="1004"/>
      <c r="NJ104" s="1004"/>
      <c r="NK104" s="1004"/>
      <c r="NL104" s="1004"/>
      <c r="NM104" s="1004"/>
      <c r="NN104" s="1004"/>
      <c r="NO104" s="1004"/>
      <c r="NP104" s="1004"/>
      <c r="NQ104" s="1004"/>
      <c r="NR104" s="1004"/>
      <c r="NS104" s="1004"/>
      <c r="NT104" s="1004"/>
      <c r="NU104" s="1004"/>
      <c r="NV104" s="1004"/>
      <c r="NW104" s="1004"/>
      <c r="NX104" s="1004"/>
      <c r="NY104" s="1004"/>
      <c r="NZ104" s="1004"/>
      <c r="OA104" s="1004"/>
      <c r="OB104" s="1004"/>
      <c r="OC104" s="1004"/>
      <c r="OD104" s="1004"/>
      <c r="OE104" s="1004"/>
      <c r="OF104" s="1004"/>
      <c r="OG104" s="1004"/>
      <c r="OH104" s="1004"/>
      <c r="OI104" s="1004"/>
      <c r="OJ104" s="1004"/>
      <c r="OK104" s="1004"/>
      <c r="OL104" s="1004"/>
      <c r="OM104" s="1004"/>
      <c r="ON104" s="1004"/>
      <c r="OO104" s="1004"/>
      <c r="OP104" s="1004"/>
      <c r="OQ104" s="1004"/>
      <c r="OR104" s="1004"/>
      <c r="OS104" s="1004"/>
      <c r="OT104" s="1004"/>
      <c r="OU104" s="1004"/>
      <c r="OV104" s="1004"/>
      <c r="OW104" s="1004"/>
      <c r="OX104" s="1004"/>
      <c r="OY104" s="1004"/>
      <c r="OZ104" s="1004"/>
      <c r="PA104" s="1004"/>
      <c r="PB104" s="1004"/>
      <c r="PC104" s="1004"/>
      <c r="PD104" s="1004"/>
      <c r="PE104" s="1004"/>
      <c r="PF104" s="1004"/>
      <c r="PG104" s="1004"/>
      <c r="PH104" s="1004"/>
      <c r="PI104" s="1004"/>
      <c r="PJ104" s="1004"/>
      <c r="PK104" s="1004"/>
      <c r="PL104" s="1004"/>
      <c r="PM104" s="1004"/>
      <c r="PN104" s="1004"/>
      <c r="PO104" s="1004"/>
      <c r="PP104" s="1004"/>
      <c r="PQ104" s="1004"/>
      <c r="PR104" s="1004"/>
      <c r="PS104" s="1004"/>
      <c r="PT104" s="1004"/>
      <c r="PU104" s="1004"/>
      <c r="PV104" s="1004"/>
      <c r="PW104" s="1004"/>
      <c r="PX104" s="1004"/>
      <c r="PY104" s="1004"/>
      <c r="PZ104" s="1004"/>
      <c r="QA104" s="1004"/>
      <c r="QB104" s="1004"/>
      <c r="QC104" s="1004"/>
      <c r="QD104" s="1004"/>
      <c r="QE104" s="1004"/>
      <c r="QF104" s="1004"/>
      <c r="QG104" s="1004"/>
      <c r="QH104" s="1004"/>
      <c r="QI104" s="1004"/>
      <c r="QJ104" s="1004"/>
      <c r="QK104" s="1004"/>
      <c r="QL104" s="1004"/>
      <c r="QM104" s="1004"/>
      <c r="QN104" s="1004"/>
      <c r="QO104" s="1004"/>
      <c r="QP104" s="1004"/>
      <c r="QQ104" s="1004"/>
      <c r="QR104" s="1004"/>
      <c r="QS104" s="1004"/>
      <c r="QT104" s="1004"/>
      <c r="QU104" s="1004"/>
      <c r="QV104" s="1004"/>
      <c r="QW104" s="1004"/>
      <c r="QX104" s="1004"/>
      <c r="QY104" s="1004"/>
      <c r="QZ104" s="1004"/>
      <c r="RA104" s="1004"/>
      <c r="RB104" s="1004"/>
      <c r="RC104" s="1004"/>
      <c r="RD104" s="1004"/>
      <c r="RE104" s="1004"/>
      <c r="RF104" s="1004"/>
      <c r="RG104" s="1004"/>
      <c r="RH104" s="1004"/>
      <c r="RI104" s="1004"/>
      <c r="RJ104" s="1004"/>
      <c r="RK104" s="1004"/>
      <c r="RL104" s="1004"/>
      <c r="RM104" s="1004"/>
      <c r="RN104" s="1004"/>
      <c r="RO104" s="1004"/>
      <c r="RP104" s="1004"/>
      <c r="RQ104" s="1004"/>
      <c r="RR104" s="1004"/>
      <c r="RS104" s="1004"/>
      <c r="RT104" s="1004"/>
      <c r="RU104" s="1004"/>
      <c r="RV104" s="1004"/>
      <c r="RW104" s="1004"/>
      <c r="RX104" s="1004"/>
      <c r="RY104" s="1004"/>
      <c r="RZ104" s="1004"/>
      <c r="SA104" s="1004"/>
      <c r="SB104" s="1004"/>
      <c r="SC104" s="1004"/>
      <c r="SD104" s="1004"/>
      <c r="SE104" s="1004"/>
      <c r="SF104" s="1004"/>
      <c r="SG104" s="1004"/>
      <c r="SH104" s="1004"/>
      <c r="SI104" s="1004"/>
      <c r="SJ104" s="1004"/>
      <c r="SK104" s="1004"/>
      <c r="SL104" s="1004"/>
      <c r="SM104" s="1004"/>
      <c r="SN104" s="1004"/>
      <c r="SO104" s="1004"/>
      <c r="SP104" s="1004"/>
      <c r="SQ104" s="1004"/>
      <c r="SR104" s="1004"/>
      <c r="SS104" s="1004"/>
      <c r="ST104" s="1004"/>
      <c r="SU104" s="1004"/>
      <c r="SV104" s="1004"/>
      <c r="SW104" s="1004"/>
      <c r="SX104" s="1004"/>
      <c r="SY104" s="1004"/>
      <c r="SZ104" s="1004"/>
      <c r="TA104" s="1004"/>
      <c r="TB104" s="1004"/>
      <c r="TC104" s="1004"/>
      <c r="TD104" s="1004"/>
      <c r="TE104" s="1004"/>
      <c r="TF104" s="1004"/>
      <c r="TG104" s="1004"/>
      <c r="TH104" s="1004"/>
      <c r="TI104" s="1004"/>
      <c r="TJ104" s="1004"/>
      <c r="TK104" s="1004"/>
      <c r="TL104" s="1004"/>
      <c r="TM104" s="1004"/>
      <c r="TN104" s="1004"/>
      <c r="TO104" s="1004"/>
      <c r="TP104" s="1004"/>
      <c r="TQ104" s="1004"/>
      <c r="TR104" s="1004"/>
      <c r="TS104" s="1004"/>
      <c r="TT104" s="1004"/>
      <c r="TU104" s="1004"/>
      <c r="TV104" s="1004"/>
      <c r="TW104" s="1004"/>
      <c r="TX104" s="1004"/>
      <c r="TY104" s="1004"/>
      <c r="TZ104" s="1004"/>
      <c r="UA104" s="1004"/>
      <c r="UB104" s="1004"/>
      <c r="UC104" s="1004"/>
      <c r="UD104" s="1004"/>
      <c r="UE104" s="1004"/>
      <c r="UF104" s="1004"/>
      <c r="UG104" s="1004"/>
      <c r="UH104" s="1004"/>
      <c r="UI104" s="1004"/>
      <c r="UJ104" s="1004"/>
      <c r="UK104" s="1004"/>
      <c r="UL104" s="1004"/>
      <c r="UM104" s="1004"/>
      <c r="UN104" s="1004"/>
      <c r="UO104" s="1004"/>
      <c r="UP104" s="1004"/>
      <c r="UQ104" s="1004"/>
      <c r="UR104" s="1004"/>
      <c r="US104" s="1004"/>
      <c r="UT104" s="1004"/>
      <c r="UU104" s="1004"/>
      <c r="UV104" s="1004"/>
      <c r="UW104" s="1004"/>
      <c r="UX104" s="1004"/>
      <c r="UY104" s="1004"/>
      <c r="UZ104" s="1004"/>
      <c r="VA104" s="1004"/>
      <c r="VB104" s="1004"/>
      <c r="VC104" s="1004"/>
      <c r="VD104" s="1004"/>
      <c r="VE104" s="1004"/>
      <c r="VF104" s="1004"/>
      <c r="VG104" s="1004"/>
      <c r="VH104" s="1004"/>
      <c r="VI104" s="1004"/>
      <c r="VJ104" s="1004"/>
      <c r="VK104" s="1004"/>
      <c r="VL104" s="1004"/>
      <c r="VM104" s="1004"/>
      <c r="VN104" s="1004"/>
      <c r="VO104" s="1004"/>
      <c r="VP104" s="1004"/>
      <c r="VQ104" s="1004"/>
      <c r="VR104" s="1004"/>
      <c r="VS104" s="1004"/>
      <c r="VT104" s="1004"/>
      <c r="VU104" s="1004"/>
      <c r="VV104" s="1004"/>
      <c r="VW104" s="1004"/>
      <c r="VX104" s="1004"/>
      <c r="VY104" s="1004"/>
      <c r="VZ104" s="1004"/>
      <c r="WA104" s="1004"/>
      <c r="WB104" s="1004"/>
      <c r="WC104" s="1004"/>
      <c r="WD104" s="1004"/>
      <c r="WE104" s="1004"/>
      <c r="WF104" s="1004"/>
      <c r="WG104" s="1004"/>
      <c r="WH104" s="1004"/>
      <c r="WI104" s="1004"/>
      <c r="WJ104" s="1004"/>
      <c r="WK104" s="1004"/>
      <c r="WL104" s="1004"/>
      <c r="WM104" s="1004"/>
      <c r="WN104" s="1004"/>
      <c r="WO104" s="1004"/>
      <c r="WP104" s="1004"/>
      <c r="WQ104" s="1004"/>
      <c r="WR104" s="1004"/>
      <c r="WS104" s="1004"/>
      <c r="WT104" s="1004"/>
      <c r="WU104" s="1004"/>
      <c r="WV104" s="1004"/>
      <c r="WW104" s="1004"/>
      <c r="WX104" s="1004"/>
      <c r="WY104" s="1004"/>
      <c r="WZ104" s="1004"/>
      <c r="XA104" s="1004"/>
      <c r="XB104" s="1004"/>
      <c r="XC104" s="1004"/>
      <c r="XD104" s="1004"/>
      <c r="XE104" s="1004"/>
      <c r="XF104" s="1004"/>
      <c r="XG104" s="1004"/>
      <c r="XH104" s="1004"/>
      <c r="XI104" s="1004"/>
      <c r="XJ104" s="1004"/>
      <c r="XK104" s="1004"/>
      <c r="XL104" s="1004"/>
      <c r="XM104" s="1004"/>
      <c r="XN104" s="1004"/>
      <c r="XO104" s="1004"/>
      <c r="XP104" s="1004"/>
      <c r="XQ104" s="1004"/>
      <c r="XR104" s="1004"/>
      <c r="XS104" s="1004"/>
      <c r="XT104" s="1004"/>
      <c r="XU104" s="1004"/>
      <c r="XV104" s="1004"/>
      <c r="XW104" s="1004"/>
      <c r="XX104" s="1004"/>
      <c r="XY104" s="1004"/>
      <c r="XZ104" s="1004"/>
      <c r="YA104" s="1004"/>
      <c r="YB104" s="1004"/>
      <c r="YC104" s="1004"/>
      <c r="YD104" s="1004"/>
      <c r="YE104" s="1004"/>
      <c r="YF104" s="1004"/>
      <c r="YG104" s="1004"/>
      <c r="YH104" s="1004"/>
      <c r="YI104" s="1004"/>
      <c r="YJ104" s="1004"/>
      <c r="YK104" s="1004"/>
      <c r="YL104" s="1004"/>
      <c r="YM104" s="1004"/>
      <c r="YN104" s="1004"/>
      <c r="YO104" s="1004"/>
      <c r="YP104" s="1004"/>
      <c r="YQ104" s="1004"/>
      <c r="YR104" s="1004"/>
      <c r="YS104" s="1004"/>
      <c r="YT104" s="1004"/>
      <c r="YU104" s="1004"/>
      <c r="YV104" s="1004"/>
      <c r="YW104" s="1004"/>
      <c r="YX104" s="1004"/>
      <c r="YY104" s="1004"/>
      <c r="YZ104" s="1004"/>
      <c r="ZA104" s="1004"/>
      <c r="ZB104" s="1004"/>
      <c r="ZC104" s="1004"/>
      <c r="ZD104" s="1004"/>
      <c r="ZE104" s="1004"/>
      <c r="ZF104" s="1004"/>
      <c r="ZG104" s="1004"/>
      <c r="ZH104" s="1004"/>
      <c r="ZI104" s="1004"/>
      <c r="ZJ104" s="1004"/>
      <c r="ZK104" s="1004"/>
      <c r="ZL104" s="1004"/>
      <c r="ZM104" s="1004"/>
      <c r="ZN104" s="1004"/>
      <c r="ZO104" s="1004"/>
      <c r="ZP104" s="1004"/>
      <c r="ZQ104" s="1004"/>
      <c r="ZR104" s="1004"/>
      <c r="ZS104" s="1004"/>
      <c r="ZT104" s="1004"/>
      <c r="ZU104" s="1004"/>
      <c r="ZV104" s="1004"/>
      <c r="ZW104" s="1004"/>
      <c r="ZX104" s="1004"/>
      <c r="ZY104" s="1004"/>
      <c r="ZZ104" s="1004"/>
      <c r="AAA104" s="1004"/>
      <c r="AAB104" s="1004"/>
      <c r="AAC104" s="1004"/>
      <c r="AAD104" s="1004"/>
      <c r="AAE104" s="1004"/>
      <c r="AAF104" s="1004"/>
      <c r="AAG104" s="1004"/>
      <c r="AAH104" s="1004"/>
      <c r="AAI104" s="1004"/>
      <c r="AAJ104" s="1004"/>
      <c r="AAK104" s="1004"/>
      <c r="AAL104" s="1004"/>
      <c r="AAM104" s="1004"/>
      <c r="AAN104" s="1004"/>
      <c r="AAO104" s="1004"/>
      <c r="AAP104" s="1004"/>
      <c r="AAQ104" s="1004"/>
      <c r="AAR104" s="1004"/>
      <c r="AAS104" s="1004"/>
      <c r="AAT104" s="1004"/>
      <c r="AAU104" s="1004"/>
      <c r="AAV104" s="1004"/>
      <c r="AAW104" s="1004"/>
      <c r="AAX104" s="1004"/>
      <c r="AAY104" s="1004"/>
      <c r="AAZ104" s="1004"/>
      <c r="ABA104" s="1004"/>
      <c r="ABB104" s="1004"/>
      <c r="ABC104" s="1004"/>
      <c r="ABD104" s="1004"/>
      <c r="ABE104" s="1004"/>
      <c r="ABF104" s="1004"/>
      <c r="ABG104" s="1004"/>
      <c r="ABH104" s="1004"/>
      <c r="ABI104" s="1004"/>
      <c r="ABJ104" s="1004"/>
      <c r="ABK104" s="1004"/>
      <c r="ABL104" s="1004"/>
      <c r="ABM104" s="1004"/>
      <c r="ABN104" s="1004"/>
      <c r="ABO104" s="1004"/>
      <c r="ABP104" s="1004"/>
      <c r="ABQ104" s="1004"/>
      <c r="ABR104" s="1004"/>
    </row>
    <row r="105" spans="1:746" s="1" customFormat="1" ht="12.9" customHeight="1">
      <c r="A105" s="923"/>
      <c r="B105" s="1868" t="s">
        <v>348</v>
      </c>
      <c r="C105" s="1860"/>
      <c r="D105" s="1860"/>
      <c r="E105" s="551" t="s">
        <v>347</v>
      </c>
      <c r="F105" s="2943">
        <v>7.0000000000000007E-2</v>
      </c>
      <c r="G105" s="2944"/>
      <c r="H105" s="2175"/>
      <c r="I105" s="1876">
        <f>$F$105*(SUM(I88:I97)+I100)*fx!I57</f>
        <v>0</v>
      </c>
      <c r="J105" s="795">
        <f>$F$105*(SUM(J88:J97)+J100)*fx!J57</f>
        <v>0</v>
      </c>
      <c r="K105" s="795">
        <f>$F$105*(SUM(K88:K97)+K100)*fx!K57</f>
        <v>0</v>
      </c>
      <c r="L105" s="795">
        <f>$F$105*(SUM(L88:L97)+L100)*fx!L57</f>
        <v>0</v>
      </c>
      <c r="M105" s="795">
        <f>$F$105*(SUM(M88:M97)+M100)*fx!M57</f>
        <v>0</v>
      </c>
      <c r="N105" s="795">
        <f>$F$105*(SUM(N88:N97)+N100)*fx!N57</f>
        <v>0</v>
      </c>
      <c r="O105" s="795">
        <f>$F$105*(SUM(O88:O97)+O100)*fx!O57</f>
        <v>0</v>
      </c>
      <c r="P105" s="795">
        <f>$F$105*(SUM(P88:P97)+P100)*fx!P57</f>
        <v>0</v>
      </c>
      <c r="Q105" s="795">
        <f>$F$105*(SUM(Q88:Q97)+Q100)*fx!Q57</f>
        <v>0</v>
      </c>
      <c r="R105" s="795">
        <f>$F$105*(SUM(R88:R97)+R100)*fx!R57</f>
        <v>0</v>
      </c>
      <c r="S105" s="795">
        <f>$F$105*(SUM(S88:S97)+S100)*fx!S57</f>
        <v>0</v>
      </c>
      <c r="T105" s="795">
        <f>$F$105*(SUM(T88:T97)+T100)*fx!T57</f>
        <v>0</v>
      </c>
      <c r="U105" s="1876">
        <f>$F$105*(SUM(U88:U97)+U100)*fx!U57</f>
        <v>0</v>
      </c>
      <c r="V105" s="795">
        <f>$F$105*(SUM(V88:V97)+V100)*fx!V57</f>
        <v>0</v>
      </c>
      <c r="W105" s="795">
        <f>$F$105*(SUM(W88:W97)+W100)*fx!W57</f>
        <v>0</v>
      </c>
      <c r="X105" s="795">
        <f>$F$105*(SUM(X88:X97)+X100)*fx!X57</f>
        <v>0</v>
      </c>
      <c r="Y105" s="795">
        <f>$F$105*(SUM(Y88:Y97)+Y100)*fx!Y57</f>
        <v>0</v>
      </c>
      <c r="Z105" s="795">
        <f>$F$105*(SUM(Z88:Z97)+Z100)*fx!Z57</f>
        <v>0</v>
      </c>
      <c r="AA105" s="795">
        <f>$F$105*(SUM(AA88:AA97)+AA100)*fx!AA57</f>
        <v>0</v>
      </c>
      <c r="AB105" s="795">
        <f>$F$105*(SUM(AB88:AB97)+AB100)*fx!AB57</f>
        <v>0</v>
      </c>
      <c r="AC105" s="795">
        <f>$F$105*(SUM(AC88:AC97)+AC100)*fx!AC57</f>
        <v>0</v>
      </c>
      <c r="AD105" s="795">
        <f>$F$105*(SUM(AD88:AD97)+AD100)*fx!AD57</f>
        <v>0</v>
      </c>
      <c r="AE105" s="795">
        <f>$F$105*(SUM(AE88:AE97)+AE100)*fx!AE57</f>
        <v>0</v>
      </c>
      <c r="AF105" s="795">
        <f>$F$105*(SUM(AF88:AF97)+AF100)*fx!AF57</f>
        <v>0</v>
      </c>
      <c r="AG105" s="376"/>
      <c r="AH105" s="359"/>
      <c r="AI105" s="359"/>
      <c r="AJ105" s="1857">
        <f>IF(fx!$C$57=1,SUM(I105:T105),IF(fx!$C$57=2,SUM(O105:AF105)))</f>
        <v>0</v>
      </c>
      <c r="AK105" s="328"/>
      <c r="AL105" s="1858">
        <f>IF(fx!$C$57=1,SUM(U105:AF105),0)</f>
        <v>0</v>
      </c>
      <c r="AM105" s="1021"/>
      <c r="AN105" s="1018"/>
      <c r="AO105" s="1945"/>
      <c r="AP105" s="1935"/>
      <c r="AQ105" s="1936"/>
      <c r="AR105" s="1941"/>
      <c r="AS105" s="1941"/>
      <c r="AT105" s="1941"/>
      <c r="AU105" s="1941"/>
      <c r="AV105" s="1941"/>
      <c r="AW105" s="1941"/>
      <c r="AX105" s="1941"/>
      <c r="AY105" s="1941"/>
      <c r="AZ105" s="1941"/>
      <c r="BA105" s="1941"/>
      <c r="BB105" s="1941"/>
      <c r="BC105" s="1941"/>
      <c r="BD105" s="1941"/>
      <c r="BE105" s="1941"/>
      <c r="BF105" s="1941"/>
      <c r="BG105" s="1941"/>
      <c r="BH105" s="1941"/>
      <c r="BI105" s="1941"/>
      <c r="BJ105" s="1941"/>
      <c r="BK105" s="1941"/>
      <c r="BL105" s="1941"/>
      <c r="BM105" s="1941"/>
      <c r="BN105" s="1941"/>
      <c r="BO105" s="1941"/>
      <c r="BP105" s="1004"/>
      <c r="BQ105" s="1004"/>
      <c r="BR105" s="1004"/>
      <c r="BS105" s="1004"/>
      <c r="BT105" s="1004"/>
      <c r="BU105" s="1004"/>
      <c r="BV105" s="1004"/>
      <c r="BW105" s="1004"/>
      <c r="BX105" s="1004"/>
      <c r="BY105" s="1004"/>
      <c r="BZ105" s="1004"/>
      <c r="CA105" s="1004"/>
      <c r="CB105" s="1004"/>
      <c r="CC105" s="1004"/>
      <c r="CD105" s="1004"/>
      <c r="CE105" s="1004"/>
      <c r="CF105" s="1004"/>
      <c r="CG105" s="1004"/>
      <c r="CH105" s="1004"/>
      <c r="CI105" s="1004"/>
      <c r="CJ105" s="1004"/>
      <c r="CK105" s="1004"/>
      <c r="CL105" s="1004"/>
      <c r="CM105" s="1004"/>
      <c r="CN105" s="1004"/>
      <c r="CO105" s="1004"/>
      <c r="CP105" s="1004"/>
      <c r="CQ105" s="1004"/>
      <c r="CR105" s="1004"/>
      <c r="CS105" s="1004"/>
      <c r="CT105" s="1004"/>
      <c r="CU105" s="1004"/>
      <c r="CV105" s="1004"/>
      <c r="CW105" s="1004"/>
      <c r="CX105" s="1004"/>
      <c r="CY105" s="1004"/>
      <c r="CZ105" s="1004"/>
      <c r="DA105" s="1004"/>
      <c r="DB105" s="1004"/>
      <c r="DC105" s="1004"/>
      <c r="DD105" s="1004"/>
      <c r="DE105" s="1004"/>
      <c r="DF105" s="1004"/>
      <c r="DG105" s="1004"/>
      <c r="DH105" s="1004"/>
      <c r="DI105" s="1004"/>
      <c r="DJ105" s="1004"/>
      <c r="DK105" s="1004"/>
      <c r="DL105" s="1004"/>
      <c r="DM105" s="1004"/>
      <c r="DN105" s="1004"/>
      <c r="DO105" s="1004"/>
      <c r="DP105" s="1004"/>
      <c r="DQ105" s="1004"/>
      <c r="DR105" s="1004"/>
      <c r="DS105" s="1004"/>
      <c r="DT105" s="1004"/>
      <c r="DU105" s="1004"/>
      <c r="DV105" s="1004"/>
      <c r="DW105" s="1004"/>
      <c r="DX105" s="1004"/>
      <c r="DY105" s="1004"/>
      <c r="DZ105" s="1004"/>
      <c r="EA105" s="1004"/>
      <c r="EB105" s="1004"/>
      <c r="EC105" s="1004"/>
      <c r="ED105" s="1004"/>
      <c r="EE105" s="1004"/>
      <c r="EF105" s="1004"/>
      <c r="EG105" s="1004"/>
      <c r="EH105" s="1004"/>
      <c r="EI105" s="1004"/>
      <c r="EJ105" s="1004"/>
      <c r="EK105" s="1004"/>
      <c r="EL105" s="1004"/>
      <c r="EM105" s="1004"/>
      <c r="EN105" s="1004"/>
      <c r="EO105" s="1004"/>
      <c r="EP105" s="1004"/>
      <c r="EQ105" s="1004"/>
      <c r="ER105" s="1004"/>
      <c r="ES105" s="1004"/>
      <c r="ET105" s="1004"/>
      <c r="EU105" s="1004"/>
      <c r="EV105" s="1004"/>
      <c r="EW105" s="1004"/>
      <c r="EX105" s="1004"/>
      <c r="EY105" s="1004"/>
      <c r="EZ105" s="1004"/>
      <c r="FA105" s="1004"/>
      <c r="FB105" s="1004"/>
      <c r="FC105" s="1004"/>
      <c r="FD105" s="1004"/>
      <c r="FE105" s="1004"/>
      <c r="FF105" s="1004"/>
      <c r="FG105" s="1004"/>
      <c r="FH105" s="1004"/>
      <c r="FI105" s="1004"/>
      <c r="FJ105" s="1004"/>
      <c r="FK105" s="1004"/>
      <c r="FL105" s="1004"/>
      <c r="FM105" s="1004"/>
      <c r="FN105" s="1004"/>
      <c r="FO105" s="1004"/>
      <c r="FP105" s="1004"/>
      <c r="FQ105" s="1004"/>
      <c r="FR105" s="1004"/>
      <c r="FS105" s="1004"/>
      <c r="FT105" s="1004"/>
      <c r="FU105" s="1004"/>
      <c r="FV105" s="1004"/>
      <c r="FW105" s="1004"/>
      <c r="FX105" s="1004"/>
      <c r="FY105" s="1004"/>
      <c r="FZ105" s="1004"/>
      <c r="GA105" s="1004"/>
      <c r="GB105" s="1004"/>
      <c r="GC105" s="1004"/>
      <c r="GD105" s="1004"/>
      <c r="GE105" s="1004"/>
      <c r="GF105" s="1004"/>
      <c r="GG105" s="1004"/>
      <c r="GH105" s="1004"/>
      <c r="GI105" s="1004"/>
      <c r="GJ105" s="1004"/>
      <c r="GK105" s="1004"/>
      <c r="GL105" s="1004"/>
      <c r="GM105" s="1004"/>
      <c r="GN105" s="1004"/>
      <c r="GO105" s="1004"/>
      <c r="GP105" s="1004"/>
      <c r="GQ105" s="1004"/>
      <c r="GR105" s="1004"/>
      <c r="GS105" s="1004"/>
      <c r="GT105" s="1004"/>
      <c r="GU105" s="1004"/>
      <c r="GV105" s="1004"/>
      <c r="GW105" s="1004"/>
      <c r="GX105" s="1004"/>
      <c r="GY105" s="1004"/>
      <c r="GZ105" s="1004"/>
      <c r="HA105" s="1004"/>
      <c r="HB105" s="1004"/>
      <c r="HC105" s="1004"/>
      <c r="HD105" s="1004"/>
      <c r="HE105" s="1004"/>
      <c r="HF105" s="1004"/>
      <c r="HG105" s="1004"/>
      <c r="HH105" s="1004"/>
      <c r="HI105" s="1004"/>
      <c r="HJ105" s="1004"/>
      <c r="HK105" s="1004"/>
      <c r="HL105" s="1004"/>
      <c r="HM105" s="1004"/>
      <c r="HN105" s="1004"/>
      <c r="HO105" s="1004"/>
      <c r="HP105" s="1004"/>
      <c r="HQ105" s="1004"/>
      <c r="HR105" s="1004"/>
      <c r="HS105" s="1004"/>
      <c r="HT105" s="1004"/>
      <c r="HU105" s="1004"/>
      <c r="HV105" s="1004"/>
      <c r="HW105" s="1004"/>
      <c r="HX105" s="1004"/>
      <c r="HY105" s="1004"/>
      <c r="HZ105" s="1004"/>
      <c r="IA105" s="1004"/>
      <c r="IB105" s="1004"/>
      <c r="IC105" s="1004"/>
      <c r="ID105" s="1004"/>
      <c r="IE105" s="1004"/>
      <c r="IF105" s="1004"/>
      <c r="IG105" s="1004"/>
      <c r="IH105" s="1004"/>
      <c r="II105" s="1004"/>
      <c r="IJ105" s="1004"/>
      <c r="IK105" s="1004"/>
      <c r="IL105" s="1004"/>
      <c r="IM105" s="1004"/>
      <c r="IN105" s="1004"/>
      <c r="IO105" s="1004"/>
      <c r="IP105" s="1004"/>
      <c r="IQ105" s="1004"/>
      <c r="IR105" s="1004"/>
      <c r="IS105" s="1004"/>
      <c r="IT105" s="1004"/>
      <c r="IU105" s="1004"/>
      <c r="IV105" s="1004"/>
      <c r="IW105" s="1004"/>
      <c r="IX105" s="1004"/>
      <c r="IY105" s="1004"/>
      <c r="IZ105" s="1004"/>
      <c r="JA105" s="1004"/>
      <c r="JB105" s="1004"/>
      <c r="JC105" s="1004"/>
      <c r="JD105" s="1004"/>
      <c r="JE105" s="1004"/>
      <c r="JF105" s="1004"/>
      <c r="JG105" s="1004"/>
      <c r="JH105" s="1004"/>
      <c r="JI105" s="1004"/>
      <c r="JJ105" s="1004"/>
      <c r="JK105" s="1004"/>
      <c r="JL105" s="1004"/>
      <c r="JM105" s="1004"/>
      <c r="JN105" s="1004"/>
      <c r="JO105" s="1004"/>
      <c r="JP105" s="1004"/>
      <c r="JQ105" s="1004"/>
      <c r="JR105" s="1004"/>
      <c r="JS105" s="1004"/>
      <c r="JT105" s="1004"/>
      <c r="JU105" s="1004"/>
      <c r="JV105" s="1004"/>
      <c r="JW105" s="1004"/>
      <c r="JX105" s="1004"/>
      <c r="JY105" s="1004"/>
      <c r="JZ105" s="1004"/>
      <c r="KA105" s="1004"/>
      <c r="KB105" s="1004"/>
      <c r="KC105" s="1004"/>
      <c r="KD105" s="1004"/>
      <c r="KE105" s="1004"/>
      <c r="KF105" s="1004"/>
      <c r="KG105" s="1004"/>
      <c r="KH105" s="1004"/>
      <c r="KI105" s="1004"/>
      <c r="KJ105" s="1004"/>
      <c r="KK105" s="1004"/>
      <c r="KL105" s="1004"/>
      <c r="KM105" s="1004"/>
      <c r="KN105" s="1004"/>
      <c r="KO105" s="1004"/>
      <c r="KP105" s="1004"/>
      <c r="KQ105" s="1004"/>
      <c r="KR105" s="1004"/>
      <c r="KS105" s="1004"/>
      <c r="KT105" s="1004"/>
      <c r="KU105" s="1004"/>
      <c r="KV105" s="1004"/>
      <c r="KW105" s="1004"/>
      <c r="KX105" s="1004"/>
      <c r="KY105" s="1004"/>
      <c r="KZ105" s="1004"/>
      <c r="LA105" s="1004"/>
      <c r="LB105" s="1004"/>
      <c r="LC105" s="1004"/>
      <c r="LD105" s="1004"/>
      <c r="LE105" s="1004"/>
      <c r="LF105" s="1004"/>
      <c r="LG105" s="1004"/>
      <c r="LH105" s="1004"/>
      <c r="LI105" s="1004"/>
      <c r="LJ105" s="1004"/>
      <c r="LK105" s="1004"/>
      <c r="LL105" s="1004"/>
      <c r="LM105" s="1004"/>
      <c r="LN105" s="1004"/>
      <c r="LO105" s="1004"/>
      <c r="LP105" s="1004"/>
      <c r="LQ105" s="1004"/>
      <c r="LR105" s="1004"/>
      <c r="LS105" s="1004"/>
      <c r="LT105" s="1004"/>
      <c r="LU105" s="1004"/>
      <c r="LV105" s="1004"/>
      <c r="LW105" s="1004"/>
      <c r="LX105" s="1004"/>
      <c r="LY105" s="1004"/>
      <c r="LZ105" s="1004"/>
      <c r="MA105" s="1004"/>
      <c r="MB105" s="1004"/>
      <c r="MC105" s="1004"/>
      <c r="MD105" s="1004"/>
      <c r="ME105" s="1004"/>
      <c r="MF105" s="1004"/>
      <c r="MG105" s="1004"/>
      <c r="MH105" s="1004"/>
      <c r="MI105" s="1004"/>
      <c r="MJ105" s="1004"/>
      <c r="MK105" s="1004"/>
      <c r="ML105" s="1004"/>
      <c r="MM105" s="1004"/>
      <c r="MN105" s="1004"/>
      <c r="MO105" s="1004"/>
      <c r="MP105" s="1004"/>
      <c r="MQ105" s="1004"/>
      <c r="MR105" s="1004"/>
      <c r="MS105" s="1004"/>
      <c r="MT105" s="1004"/>
      <c r="MU105" s="1004"/>
      <c r="MV105" s="1004"/>
      <c r="MW105" s="1004"/>
      <c r="MX105" s="1004"/>
      <c r="MY105" s="1004"/>
      <c r="MZ105" s="1004"/>
      <c r="NA105" s="1004"/>
      <c r="NB105" s="1004"/>
      <c r="NC105" s="1004"/>
      <c r="ND105" s="1004"/>
      <c r="NE105" s="1004"/>
      <c r="NF105" s="1004"/>
      <c r="NG105" s="1004"/>
      <c r="NH105" s="1004"/>
      <c r="NI105" s="1004"/>
      <c r="NJ105" s="1004"/>
      <c r="NK105" s="1004"/>
      <c r="NL105" s="1004"/>
      <c r="NM105" s="1004"/>
      <c r="NN105" s="1004"/>
      <c r="NO105" s="1004"/>
      <c r="NP105" s="1004"/>
      <c r="NQ105" s="1004"/>
      <c r="NR105" s="1004"/>
      <c r="NS105" s="1004"/>
      <c r="NT105" s="1004"/>
      <c r="NU105" s="1004"/>
      <c r="NV105" s="1004"/>
      <c r="NW105" s="1004"/>
      <c r="NX105" s="1004"/>
      <c r="NY105" s="1004"/>
      <c r="NZ105" s="1004"/>
      <c r="OA105" s="1004"/>
      <c r="OB105" s="1004"/>
      <c r="OC105" s="1004"/>
      <c r="OD105" s="1004"/>
      <c r="OE105" s="1004"/>
      <c r="OF105" s="1004"/>
      <c r="OG105" s="1004"/>
      <c r="OH105" s="1004"/>
      <c r="OI105" s="1004"/>
      <c r="OJ105" s="1004"/>
      <c r="OK105" s="1004"/>
      <c r="OL105" s="1004"/>
      <c r="OM105" s="1004"/>
      <c r="ON105" s="1004"/>
      <c r="OO105" s="1004"/>
      <c r="OP105" s="1004"/>
      <c r="OQ105" s="1004"/>
      <c r="OR105" s="1004"/>
      <c r="OS105" s="1004"/>
      <c r="OT105" s="1004"/>
      <c r="OU105" s="1004"/>
      <c r="OV105" s="1004"/>
      <c r="OW105" s="1004"/>
      <c r="OX105" s="1004"/>
      <c r="OY105" s="1004"/>
      <c r="OZ105" s="1004"/>
      <c r="PA105" s="1004"/>
      <c r="PB105" s="1004"/>
      <c r="PC105" s="1004"/>
      <c r="PD105" s="1004"/>
      <c r="PE105" s="1004"/>
      <c r="PF105" s="1004"/>
      <c r="PG105" s="1004"/>
      <c r="PH105" s="1004"/>
      <c r="PI105" s="1004"/>
      <c r="PJ105" s="1004"/>
      <c r="PK105" s="1004"/>
      <c r="PL105" s="1004"/>
      <c r="PM105" s="1004"/>
      <c r="PN105" s="1004"/>
      <c r="PO105" s="1004"/>
      <c r="PP105" s="1004"/>
      <c r="PQ105" s="1004"/>
      <c r="PR105" s="1004"/>
      <c r="PS105" s="1004"/>
      <c r="PT105" s="1004"/>
      <c r="PU105" s="1004"/>
      <c r="PV105" s="1004"/>
      <c r="PW105" s="1004"/>
      <c r="PX105" s="1004"/>
      <c r="PY105" s="1004"/>
      <c r="PZ105" s="1004"/>
      <c r="QA105" s="1004"/>
      <c r="QB105" s="1004"/>
      <c r="QC105" s="1004"/>
      <c r="QD105" s="1004"/>
      <c r="QE105" s="1004"/>
      <c r="QF105" s="1004"/>
      <c r="QG105" s="1004"/>
      <c r="QH105" s="1004"/>
      <c r="QI105" s="1004"/>
      <c r="QJ105" s="1004"/>
      <c r="QK105" s="1004"/>
      <c r="QL105" s="1004"/>
      <c r="QM105" s="1004"/>
      <c r="QN105" s="1004"/>
      <c r="QO105" s="1004"/>
      <c r="QP105" s="1004"/>
      <c r="QQ105" s="1004"/>
      <c r="QR105" s="1004"/>
      <c r="QS105" s="1004"/>
      <c r="QT105" s="1004"/>
      <c r="QU105" s="1004"/>
      <c r="QV105" s="1004"/>
      <c r="QW105" s="1004"/>
      <c r="QX105" s="1004"/>
      <c r="QY105" s="1004"/>
      <c r="QZ105" s="1004"/>
      <c r="RA105" s="1004"/>
      <c r="RB105" s="1004"/>
      <c r="RC105" s="1004"/>
      <c r="RD105" s="1004"/>
      <c r="RE105" s="1004"/>
      <c r="RF105" s="1004"/>
      <c r="RG105" s="1004"/>
      <c r="RH105" s="1004"/>
      <c r="RI105" s="1004"/>
      <c r="RJ105" s="1004"/>
      <c r="RK105" s="1004"/>
      <c r="RL105" s="1004"/>
      <c r="RM105" s="1004"/>
      <c r="RN105" s="1004"/>
      <c r="RO105" s="1004"/>
      <c r="RP105" s="1004"/>
      <c r="RQ105" s="1004"/>
      <c r="RR105" s="1004"/>
      <c r="RS105" s="1004"/>
      <c r="RT105" s="1004"/>
      <c r="RU105" s="1004"/>
      <c r="RV105" s="1004"/>
      <c r="RW105" s="1004"/>
      <c r="RX105" s="1004"/>
      <c r="RY105" s="1004"/>
      <c r="RZ105" s="1004"/>
      <c r="SA105" s="1004"/>
      <c r="SB105" s="1004"/>
      <c r="SC105" s="1004"/>
      <c r="SD105" s="1004"/>
      <c r="SE105" s="1004"/>
      <c r="SF105" s="1004"/>
      <c r="SG105" s="1004"/>
      <c r="SH105" s="1004"/>
      <c r="SI105" s="1004"/>
      <c r="SJ105" s="1004"/>
      <c r="SK105" s="1004"/>
      <c r="SL105" s="1004"/>
      <c r="SM105" s="1004"/>
      <c r="SN105" s="1004"/>
      <c r="SO105" s="1004"/>
      <c r="SP105" s="1004"/>
      <c r="SQ105" s="1004"/>
      <c r="SR105" s="1004"/>
      <c r="SS105" s="1004"/>
      <c r="ST105" s="1004"/>
      <c r="SU105" s="1004"/>
      <c r="SV105" s="1004"/>
      <c r="SW105" s="1004"/>
      <c r="SX105" s="1004"/>
      <c r="SY105" s="1004"/>
      <c r="SZ105" s="1004"/>
      <c r="TA105" s="1004"/>
      <c r="TB105" s="1004"/>
      <c r="TC105" s="1004"/>
      <c r="TD105" s="1004"/>
      <c r="TE105" s="1004"/>
      <c r="TF105" s="1004"/>
      <c r="TG105" s="1004"/>
      <c r="TH105" s="1004"/>
      <c r="TI105" s="1004"/>
      <c r="TJ105" s="1004"/>
      <c r="TK105" s="1004"/>
      <c r="TL105" s="1004"/>
      <c r="TM105" s="1004"/>
      <c r="TN105" s="1004"/>
      <c r="TO105" s="1004"/>
      <c r="TP105" s="1004"/>
      <c r="TQ105" s="1004"/>
      <c r="TR105" s="1004"/>
      <c r="TS105" s="1004"/>
      <c r="TT105" s="1004"/>
      <c r="TU105" s="1004"/>
      <c r="TV105" s="1004"/>
      <c r="TW105" s="1004"/>
      <c r="TX105" s="1004"/>
      <c r="TY105" s="1004"/>
      <c r="TZ105" s="1004"/>
      <c r="UA105" s="1004"/>
      <c r="UB105" s="1004"/>
      <c r="UC105" s="1004"/>
      <c r="UD105" s="1004"/>
      <c r="UE105" s="1004"/>
      <c r="UF105" s="1004"/>
      <c r="UG105" s="1004"/>
      <c r="UH105" s="1004"/>
      <c r="UI105" s="1004"/>
      <c r="UJ105" s="1004"/>
      <c r="UK105" s="1004"/>
      <c r="UL105" s="1004"/>
      <c r="UM105" s="1004"/>
      <c r="UN105" s="1004"/>
      <c r="UO105" s="1004"/>
      <c r="UP105" s="1004"/>
      <c r="UQ105" s="1004"/>
      <c r="UR105" s="1004"/>
      <c r="US105" s="1004"/>
      <c r="UT105" s="1004"/>
      <c r="UU105" s="1004"/>
      <c r="UV105" s="1004"/>
      <c r="UW105" s="1004"/>
      <c r="UX105" s="1004"/>
      <c r="UY105" s="1004"/>
      <c r="UZ105" s="1004"/>
      <c r="VA105" s="1004"/>
      <c r="VB105" s="1004"/>
      <c r="VC105" s="1004"/>
      <c r="VD105" s="1004"/>
      <c r="VE105" s="1004"/>
      <c r="VF105" s="1004"/>
      <c r="VG105" s="1004"/>
      <c r="VH105" s="1004"/>
      <c r="VI105" s="1004"/>
      <c r="VJ105" s="1004"/>
      <c r="VK105" s="1004"/>
      <c r="VL105" s="1004"/>
      <c r="VM105" s="1004"/>
      <c r="VN105" s="1004"/>
      <c r="VO105" s="1004"/>
      <c r="VP105" s="1004"/>
      <c r="VQ105" s="1004"/>
      <c r="VR105" s="1004"/>
      <c r="VS105" s="1004"/>
      <c r="VT105" s="1004"/>
      <c r="VU105" s="1004"/>
      <c r="VV105" s="1004"/>
      <c r="VW105" s="1004"/>
      <c r="VX105" s="1004"/>
      <c r="VY105" s="1004"/>
      <c r="VZ105" s="1004"/>
      <c r="WA105" s="1004"/>
      <c r="WB105" s="1004"/>
      <c r="WC105" s="1004"/>
      <c r="WD105" s="1004"/>
      <c r="WE105" s="1004"/>
      <c r="WF105" s="1004"/>
      <c r="WG105" s="1004"/>
      <c r="WH105" s="1004"/>
      <c r="WI105" s="1004"/>
      <c r="WJ105" s="1004"/>
      <c r="WK105" s="1004"/>
      <c r="WL105" s="1004"/>
      <c r="WM105" s="1004"/>
      <c r="WN105" s="1004"/>
      <c r="WO105" s="1004"/>
      <c r="WP105" s="1004"/>
      <c r="WQ105" s="1004"/>
      <c r="WR105" s="1004"/>
      <c r="WS105" s="1004"/>
      <c r="WT105" s="1004"/>
      <c r="WU105" s="1004"/>
      <c r="WV105" s="1004"/>
      <c r="WW105" s="1004"/>
      <c r="WX105" s="1004"/>
      <c r="WY105" s="1004"/>
      <c r="WZ105" s="1004"/>
      <c r="XA105" s="1004"/>
      <c r="XB105" s="1004"/>
      <c r="XC105" s="1004"/>
      <c r="XD105" s="1004"/>
      <c r="XE105" s="1004"/>
      <c r="XF105" s="1004"/>
      <c r="XG105" s="1004"/>
      <c r="XH105" s="1004"/>
      <c r="XI105" s="1004"/>
      <c r="XJ105" s="1004"/>
      <c r="XK105" s="1004"/>
      <c r="XL105" s="1004"/>
      <c r="XM105" s="1004"/>
      <c r="XN105" s="1004"/>
      <c r="XO105" s="1004"/>
      <c r="XP105" s="1004"/>
      <c r="XQ105" s="1004"/>
      <c r="XR105" s="1004"/>
      <c r="XS105" s="1004"/>
      <c r="XT105" s="1004"/>
      <c r="XU105" s="1004"/>
      <c r="XV105" s="1004"/>
      <c r="XW105" s="1004"/>
      <c r="XX105" s="1004"/>
      <c r="XY105" s="1004"/>
      <c r="XZ105" s="1004"/>
      <c r="YA105" s="1004"/>
      <c r="YB105" s="1004"/>
      <c r="YC105" s="1004"/>
      <c r="YD105" s="1004"/>
      <c r="YE105" s="1004"/>
      <c r="YF105" s="1004"/>
      <c r="YG105" s="1004"/>
      <c r="YH105" s="1004"/>
      <c r="YI105" s="1004"/>
      <c r="YJ105" s="1004"/>
      <c r="YK105" s="1004"/>
      <c r="YL105" s="1004"/>
      <c r="YM105" s="1004"/>
      <c r="YN105" s="1004"/>
      <c r="YO105" s="1004"/>
      <c r="YP105" s="1004"/>
      <c r="YQ105" s="1004"/>
      <c r="YR105" s="1004"/>
      <c r="YS105" s="1004"/>
      <c r="YT105" s="1004"/>
      <c r="YU105" s="1004"/>
      <c r="YV105" s="1004"/>
      <c r="YW105" s="1004"/>
      <c r="YX105" s="1004"/>
      <c r="YY105" s="1004"/>
      <c r="YZ105" s="1004"/>
      <c r="ZA105" s="1004"/>
      <c r="ZB105" s="1004"/>
      <c r="ZC105" s="1004"/>
      <c r="ZD105" s="1004"/>
      <c r="ZE105" s="1004"/>
      <c r="ZF105" s="1004"/>
      <c r="ZG105" s="1004"/>
      <c r="ZH105" s="1004"/>
      <c r="ZI105" s="1004"/>
      <c r="ZJ105" s="1004"/>
      <c r="ZK105" s="1004"/>
      <c r="ZL105" s="1004"/>
      <c r="ZM105" s="1004"/>
      <c r="ZN105" s="1004"/>
      <c r="ZO105" s="1004"/>
      <c r="ZP105" s="1004"/>
      <c r="ZQ105" s="1004"/>
      <c r="ZR105" s="1004"/>
      <c r="ZS105" s="1004"/>
      <c r="ZT105" s="1004"/>
      <c r="ZU105" s="1004"/>
      <c r="ZV105" s="1004"/>
      <c r="ZW105" s="1004"/>
      <c r="ZX105" s="1004"/>
      <c r="ZY105" s="1004"/>
      <c r="ZZ105" s="1004"/>
      <c r="AAA105" s="1004"/>
      <c r="AAB105" s="1004"/>
      <c r="AAC105" s="1004"/>
      <c r="AAD105" s="1004"/>
      <c r="AAE105" s="1004"/>
      <c r="AAF105" s="1004"/>
      <c r="AAG105" s="1004"/>
      <c r="AAH105" s="1004"/>
      <c r="AAI105" s="1004"/>
      <c r="AAJ105" s="1004"/>
      <c r="AAK105" s="1004"/>
      <c r="AAL105" s="1004"/>
      <c r="AAM105" s="1004"/>
      <c r="AAN105" s="1004"/>
      <c r="AAO105" s="1004"/>
      <c r="AAP105" s="1004"/>
      <c r="AAQ105" s="1004"/>
      <c r="AAR105" s="1004"/>
      <c r="AAS105" s="1004"/>
      <c r="AAT105" s="1004"/>
      <c r="AAU105" s="1004"/>
      <c r="AAV105" s="1004"/>
      <c r="AAW105" s="1004"/>
      <c r="AAX105" s="1004"/>
      <c r="AAY105" s="1004"/>
      <c r="AAZ105" s="1004"/>
      <c r="ABA105" s="1004"/>
      <c r="ABB105" s="1004"/>
      <c r="ABC105" s="1004"/>
      <c r="ABD105" s="1004"/>
      <c r="ABE105" s="1004"/>
      <c r="ABF105" s="1004"/>
      <c r="ABG105" s="1004"/>
      <c r="ABH105" s="1004"/>
      <c r="ABI105" s="1004"/>
      <c r="ABJ105" s="1004"/>
      <c r="ABK105" s="1004"/>
      <c r="ABL105" s="1004"/>
      <c r="ABM105" s="1004"/>
      <c r="ABN105" s="1004"/>
      <c r="ABO105" s="1004"/>
      <c r="ABP105" s="1004"/>
      <c r="ABQ105" s="1004"/>
      <c r="ABR105" s="1004"/>
    </row>
    <row r="106" spans="1:746" s="112" customFormat="1" ht="12.9" customHeight="1">
      <c r="A106" s="923"/>
      <c r="B106" s="1868" t="s">
        <v>194</v>
      </c>
      <c r="C106" s="1860"/>
      <c r="D106" s="1860"/>
      <c r="E106" s="1877" t="s">
        <v>347</v>
      </c>
      <c r="F106" s="2945">
        <v>7.0000000000000007E-2</v>
      </c>
      <c r="G106" s="2946"/>
      <c r="H106" s="2176"/>
      <c r="I106" s="1879">
        <f>I102*$F$106*fx!I57</f>
        <v>0</v>
      </c>
      <c r="J106" s="1879">
        <f>J102*$F$106*fx!J57</f>
        <v>0</v>
      </c>
      <c r="K106" s="1879">
        <f>K102*$F$106*fx!K57</f>
        <v>0</v>
      </c>
      <c r="L106" s="1880">
        <f>L102*$F$106*fx!L57</f>
        <v>0</v>
      </c>
      <c r="M106" s="1880">
        <f>M102*$F$106*fx!M57</f>
        <v>0</v>
      </c>
      <c r="N106" s="1879">
        <f>N102*$F$106*fx!N57</f>
        <v>0</v>
      </c>
      <c r="O106" s="1879">
        <f>O102*$F$106*fx!O57</f>
        <v>0</v>
      </c>
      <c r="P106" s="1879">
        <f>P102*$F$106*fx!P57</f>
        <v>0</v>
      </c>
      <c r="Q106" s="1879">
        <f>Q102*$F$106*fx!Q57</f>
        <v>0</v>
      </c>
      <c r="R106" s="1879">
        <f>R102*$F$106*fx!R57</f>
        <v>0</v>
      </c>
      <c r="S106" s="1879">
        <f>S102*$F$106*fx!S57</f>
        <v>0</v>
      </c>
      <c r="T106" s="1879">
        <f>T102*$F$106*fx!T57</f>
        <v>0</v>
      </c>
      <c r="U106" s="1879">
        <f>U102*$F$106*fx!U57</f>
        <v>0</v>
      </c>
      <c r="V106" s="1878">
        <f>V102*$F$106*fx!V57</f>
        <v>0</v>
      </c>
      <c r="W106" s="1879">
        <f>W102*$F$106*fx!W57</f>
        <v>0</v>
      </c>
      <c r="X106" s="1879">
        <f>X102*$F$106*fx!X57</f>
        <v>0</v>
      </c>
      <c r="Y106" s="1879">
        <f>Y102*$F$106*fx!Y57</f>
        <v>0</v>
      </c>
      <c r="Z106" s="1879">
        <f>Z102*$F$106*fx!Z57</f>
        <v>0</v>
      </c>
      <c r="AA106" s="1879">
        <f>AA102*$F$106*fx!AA57</f>
        <v>0</v>
      </c>
      <c r="AB106" s="1879">
        <f>AB102*$F$106*fx!AB57</f>
        <v>0</v>
      </c>
      <c r="AC106" s="1879">
        <f>AC102*$F$106*fx!AC57</f>
        <v>0</v>
      </c>
      <c r="AD106" s="1879">
        <f>AD102*$F$106*fx!AD57</f>
        <v>0</v>
      </c>
      <c r="AE106" s="1879">
        <f>AE102*$F$106*fx!AE57</f>
        <v>0</v>
      </c>
      <c r="AF106" s="1879">
        <f>AF102*$F$106*fx!AF57</f>
        <v>0</v>
      </c>
      <c r="AG106" s="376"/>
      <c r="AH106" s="359"/>
      <c r="AI106" s="359"/>
      <c r="AJ106" s="1857">
        <f>IF(fx!$C$57=1,SUMIF(fx!I$57:T$57,1,I106:T106),IF(fx!$C$57=2,SUMIF(fx!O$57:AF$57,1,O106:AF106)))</f>
        <v>0</v>
      </c>
      <c r="AK106" s="328"/>
      <c r="AL106" s="1858">
        <f>IF(fx!$C$57=1,SUM(U106:AF106),0)</f>
        <v>0</v>
      </c>
      <c r="AM106" s="1021"/>
      <c r="AN106" s="1018"/>
      <c r="AO106" s="1945"/>
      <c r="AP106" s="1935"/>
      <c r="AQ106" s="1936"/>
      <c r="AR106" s="1941"/>
      <c r="AS106" s="1941"/>
      <c r="AT106" s="1941"/>
      <c r="AU106" s="1941"/>
      <c r="AV106" s="1941"/>
      <c r="AW106" s="1941"/>
      <c r="AX106" s="1941"/>
      <c r="AY106" s="1941"/>
      <c r="AZ106" s="1941"/>
      <c r="BA106" s="1941"/>
      <c r="BB106" s="1941"/>
      <c r="BC106" s="1941"/>
      <c r="BD106" s="1941"/>
      <c r="BE106" s="1941"/>
      <c r="BF106" s="1941"/>
      <c r="BG106" s="1941"/>
      <c r="BH106" s="1941"/>
      <c r="BI106" s="1941"/>
      <c r="BJ106" s="1941"/>
      <c r="BK106" s="1941"/>
      <c r="BL106" s="1941"/>
      <c r="BM106" s="1941"/>
      <c r="BN106" s="1941"/>
      <c r="BO106" s="1941"/>
      <c r="BP106" s="1004"/>
      <c r="BQ106" s="1004"/>
      <c r="BR106" s="1004"/>
      <c r="BS106" s="1004"/>
      <c r="BT106" s="1004"/>
      <c r="BU106" s="1004"/>
      <c r="BV106" s="1004"/>
      <c r="BW106" s="1004"/>
      <c r="BX106" s="1004"/>
      <c r="BY106" s="1004"/>
      <c r="BZ106" s="1004"/>
      <c r="CA106" s="1004"/>
      <c r="CB106" s="1004"/>
      <c r="CC106" s="1004"/>
      <c r="CD106" s="1004"/>
      <c r="CE106" s="1004"/>
      <c r="CF106" s="1004"/>
      <c r="CG106" s="1004"/>
      <c r="CH106" s="1004"/>
      <c r="CI106" s="1004"/>
      <c r="CJ106" s="1004"/>
      <c r="CK106" s="1004"/>
      <c r="CL106" s="1004"/>
      <c r="CM106" s="1004"/>
      <c r="CN106" s="1004"/>
      <c r="CO106" s="1004"/>
      <c r="CP106" s="1004"/>
      <c r="CQ106" s="1004"/>
      <c r="CR106" s="1004"/>
      <c r="CS106" s="1004"/>
      <c r="CT106" s="1004"/>
      <c r="CU106" s="1004"/>
      <c r="CV106" s="1004"/>
      <c r="CW106" s="1004"/>
      <c r="CX106" s="1004"/>
      <c r="CY106" s="1004"/>
      <c r="CZ106" s="1004"/>
      <c r="DA106" s="1004"/>
      <c r="DB106" s="1004"/>
      <c r="DC106" s="1004"/>
      <c r="DD106" s="1004"/>
      <c r="DE106" s="1004"/>
      <c r="DF106" s="1004"/>
      <c r="DG106" s="1004"/>
      <c r="DH106" s="1004"/>
      <c r="DI106" s="1004"/>
      <c r="DJ106" s="1004"/>
      <c r="DK106" s="1004"/>
      <c r="DL106" s="1004"/>
      <c r="DM106" s="1004"/>
      <c r="DN106" s="1004"/>
      <c r="DO106" s="1004"/>
      <c r="DP106" s="1004"/>
      <c r="DQ106" s="1004"/>
      <c r="DR106" s="1004"/>
      <c r="DS106" s="1004"/>
      <c r="DT106" s="1004"/>
      <c r="DU106" s="1004"/>
      <c r="DV106" s="1004"/>
      <c r="DW106" s="1004"/>
      <c r="DX106" s="1004"/>
      <c r="DY106" s="1004"/>
      <c r="DZ106" s="1004"/>
      <c r="EA106" s="1004"/>
      <c r="EB106" s="1004"/>
      <c r="EC106" s="1004"/>
      <c r="ED106" s="1004"/>
      <c r="EE106" s="1004"/>
      <c r="EF106" s="1004"/>
      <c r="EG106" s="1004"/>
      <c r="EH106" s="1004"/>
      <c r="EI106" s="1004"/>
      <c r="EJ106" s="1004"/>
      <c r="EK106" s="1004"/>
      <c r="EL106" s="1004"/>
      <c r="EM106" s="1004"/>
      <c r="EN106" s="1004"/>
      <c r="EO106" s="1004"/>
      <c r="EP106" s="1004"/>
      <c r="EQ106" s="1004"/>
      <c r="ER106" s="1004"/>
      <c r="ES106" s="1004"/>
      <c r="ET106" s="1004"/>
      <c r="EU106" s="1004"/>
      <c r="EV106" s="1004"/>
      <c r="EW106" s="1004"/>
      <c r="EX106" s="1004"/>
      <c r="EY106" s="1004"/>
      <c r="EZ106" s="1004"/>
      <c r="FA106" s="1004"/>
      <c r="FB106" s="1004"/>
      <c r="FC106" s="1004"/>
      <c r="FD106" s="1004"/>
      <c r="FE106" s="1004"/>
      <c r="FF106" s="1004"/>
      <c r="FG106" s="1004"/>
      <c r="FH106" s="1004"/>
      <c r="FI106" s="1004"/>
      <c r="FJ106" s="1004"/>
      <c r="FK106" s="1004"/>
      <c r="FL106" s="1004"/>
      <c r="FM106" s="1004"/>
      <c r="FN106" s="1004"/>
      <c r="FO106" s="1004"/>
      <c r="FP106" s="1004"/>
      <c r="FQ106" s="1004"/>
      <c r="FR106" s="1004"/>
      <c r="FS106" s="1004"/>
      <c r="FT106" s="1004"/>
      <c r="FU106" s="1004"/>
      <c r="FV106" s="1004"/>
      <c r="FW106" s="1004"/>
      <c r="FX106" s="1004"/>
      <c r="FY106" s="1004"/>
      <c r="FZ106" s="1004"/>
      <c r="GA106" s="1004"/>
      <c r="GB106" s="1004"/>
      <c r="GC106" s="1004"/>
      <c r="GD106" s="1004"/>
      <c r="GE106" s="1004"/>
      <c r="GF106" s="1004"/>
      <c r="GG106" s="1004"/>
      <c r="GH106" s="1004"/>
      <c r="GI106" s="1004"/>
      <c r="GJ106" s="1004"/>
      <c r="GK106" s="1004"/>
      <c r="GL106" s="1004"/>
      <c r="GM106" s="1004"/>
      <c r="GN106" s="1004"/>
      <c r="GO106" s="1004"/>
      <c r="GP106" s="1004"/>
      <c r="GQ106" s="1004"/>
      <c r="GR106" s="1004"/>
      <c r="GS106" s="1004"/>
      <c r="GT106" s="1004"/>
      <c r="GU106" s="1004"/>
      <c r="GV106" s="1004"/>
      <c r="GW106" s="1004"/>
      <c r="GX106" s="1004"/>
      <c r="GY106" s="1004"/>
      <c r="GZ106" s="1004"/>
      <c r="HA106" s="1004"/>
      <c r="HB106" s="1004"/>
      <c r="HC106" s="1004"/>
      <c r="HD106" s="1004"/>
      <c r="HE106" s="1004"/>
      <c r="HF106" s="1004"/>
      <c r="HG106" s="1004"/>
      <c r="HH106" s="1004"/>
      <c r="HI106" s="1004"/>
      <c r="HJ106" s="1004"/>
      <c r="HK106" s="1004"/>
      <c r="HL106" s="1004"/>
      <c r="HM106" s="1004"/>
      <c r="HN106" s="1004"/>
      <c r="HO106" s="1004"/>
      <c r="HP106" s="1004"/>
      <c r="HQ106" s="1004"/>
      <c r="HR106" s="1004"/>
      <c r="HS106" s="1004"/>
      <c r="HT106" s="1004"/>
      <c r="HU106" s="1004"/>
      <c r="HV106" s="1004"/>
      <c r="HW106" s="1004"/>
      <c r="HX106" s="1004"/>
      <c r="HY106" s="1004"/>
      <c r="HZ106" s="1004"/>
      <c r="IA106" s="1004"/>
      <c r="IB106" s="1004"/>
      <c r="IC106" s="1004"/>
      <c r="ID106" s="1004"/>
      <c r="IE106" s="1004"/>
      <c r="IF106" s="1004"/>
      <c r="IG106" s="1004"/>
      <c r="IH106" s="1004"/>
      <c r="II106" s="1004"/>
      <c r="IJ106" s="1004"/>
      <c r="IK106" s="1004"/>
      <c r="IL106" s="1004"/>
      <c r="IM106" s="1004"/>
      <c r="IN106" s="1004"/>
      <c r="IO106" s="1004"/>
      <c r="IP106" s="1004"/>
      <c r="IQ106" s="1004"/>
      <c r="IR106" s="1004"/>
      <c r="IS106" s="1004"/>
      <c r="IT106" s="1004"/>
      <c r="IU106" s="1004"/>
      <c r="IV106" s="1004"/>
      <c r="IW106" s="1004"/>
      <c r="IX106" s="1004"/>
      <c r="IY106" s="1004"/>
      <c r="IZ106" s="1004"/>
      <c r="JA106" s="1004"/>
      <c r="JB106" s="1004"/>
      <c r="JC106" s="1004"/>
      <c r="JD106" s="1004"/>
      <c r="JE106" s="1004"/>
      <c r="JF106" s="1004"/>
      <c r="JG106" s="1004"/>
      <c r="JH106" s="1004"/>
      <c r="JI106" s="1004"/>
      <c r="JJ106" s="1004"/>
      <c r="JK106" s="1004"/>
      <c r="JL106" s="1004"/>
      <c r="JM106" s="1004"/>
      <c r="JN106" s="1004"/>
      <c r="JO106" s="1004"/>
      <c r="JP106" s="1004"/>
      <c r="JQ106" s="1004"/>
      <c r="JR106" s="1004"/>
      <c r="JS106" s="1004"/>
      <c r="JT106" s="1004"/>
      <c r="JU106" s="1004"/>
      <c r="JV106" s="1004"/>
      <c r="JW106" s="1004"/>
      <c r="JX106" s="1004"/>
      <c r="JY106" s="1004"/>
      <c r="JZ106" s="1004"/>
      <c r="KA106" s="1004"/>
      <c r="KB106" s="1004"/>
      <c r="KC106" s="1004"/>
      <c r="KD106" s="1004"/>
      <c r="KE106" s="1004"/>
      <c r="KF106" s="1004"/>
      <c r="KG106" s="1004"/>
      <c r="KH106" s="1004"/>
      <c r="KI106" s="1004"/>
      <c r="KJ106" s="1004"/>
      <c r="KK106" s="1004"/>
      <c r="KL106" s="1004"/>
      <c r="KM106" s="1004"/>
      <c r="KN106" s="1004"/>
      <c r="KO106" s="1004"/>
      <c r="KP106" s="1004"/>
      <c r="KQ106" s="1004"/>
      <c r="KR106" s="1004"/>
      <c r="KS106" s="1004"/>
      <c r="KT106" s="1004"/>
      <c r="KU106" s="1004"/>
      <c r="KV106" s="1004"/>
      <c r="KW106" s="1004"/>
      <c r="KX106" s="1004"/>
      <c r="KY106" s="1004"/>
      <c r="KZ106" s="1004"/>
      <c r="LA106" s="1004"/>
      <c r="LB106" s="1004"/>
      <c r="LC106" s="1004"/>
      <c r="LD106" s="1004"/>
      <c r="LE106" s="1004"/>
      <c r="LF106" s="1004"/>
      <c r="LG106" s="1004"/>
      <c r="LH106" s="1004"/>
      <c r="LI106" s="1004"/>
      <c r="LJ106" s="1004"/>
      <c r="LK106" s="1004"/>
      <c r="LL106" s="1004"/>
      <c r="LM106" s="1004"/>
      <c r="LN106" s="1004"/>
      <c r="LO106" s="1004"/>
      <c r="LP106" s="1004"/>
      <c r="LQ106" s="1004"/>
      <c r="LR106" s="1004"/>
      <c r="LS106" s="1004"/>
      <c r="LT106" s="1004"/>
      <c r="LU106" s="1004"/>
      <c r="LV106" s="1004"/>
      <c r="LW106" s="1004"/>
      <c r="LX106" s="1004"/>
      <c r="LY106" s="1004"/>
      <c r="LZ106" s="1004"/>
      <c r="MA106" s="1004"/>
      <c r="MB106" s="1004"/>
      <c r="MC106" s="1004"/>
      <c r="MD106" s="1004"/>
      <c r="ME106" s="1004"/>
      <c r="MF106" s="1004"/>
      <c r="MG106" s="1004"/>
      <c r="MH106" s="1004"/>
      <c r="MI106" s="1004"/>
      <c r="MJ106" s="1004"/>
      <c r="MK106" s="1004"/>
      <c r="ML106" s="1004"/>
      <c r="MM106" s="1004"/>
      <c r="MN106" s="1004"/>
      <c r="MO106" s="1004"/>
      <c r="MP106" s="1004"/>
      <c r="MQ106" s="1004"/>
      <c r="MR106" s="1004"/>
      <c r="MS106" s="1004"/>
      <c r="MT106" s="1004"/>
      <c r="MU106" s="1004"/>
      <c r="MV106" s="1004"/>
      <c r="MW106" s="1004"/>
      <c r="MX106" s="1004"/>
      <c r="MY106" s="1004"/>
      <c r="MZ106" s="1004"/>
      <c r="NA106" s="1004"/>
      <c r="NB106" s="1004"/>
      <c r="NC106" s="1004"/>
      <c r="ND106" s="1004"/>
      <c r="NE106" s="1004"/>
      <c r="NF106" s="1004"/>
      <c r="NG106" s="1004"/>
      <c r="NH106" s="1004"/>
      <c r="NI106" s="1004"/>
      <c r="NJ106" s="1004"/>
      <c r="NK106" s="1004"/>
      <c r="NL106" s="1004"/>
      <c r="NM106" s="1004"/>
      <c r="NN106" s="1004"/>
      <c r="NO106" s="1004"/>
      <c r="NP106" s="1004"/>
      <c r="NQ106" s="1004"/>
      <c r="NR106" s="1004"/>
      <c r="NS106" s="1004"/>
      <c r="NT106" s="1004"/>
      <c r="NU106" s="1004"/>
      <c r="NV106" s="1004"/>
      <c r="NW106" s="1004"/>
      <c r="NX106" s="1004"/>
      <c r="NY106" s="1004"/>
      <c r="NZ106" s="1004"/>
      <c r="OA106" s="1004"/>
      <c r="OB106" s="1004"/>
      <c r="OC106" s="1004"/>
      <c r="OD106" s="1004"/>
      <c r="OE106" s="1004"/>
      <c r="OF106" s="1004"/>
      <c r="OG106" s="1004"/>
      <c r="OH106" s="1004"/>
      <c r="OI106" s="1004"/>
      <c r="OJ106" s="1004"/>
      <c r="OK106" s="1004"/>
      <c r="OL106" s="1004"/>
      <c r="OM106" s="1004"/>
      <c r="ON106" s="1004"/>
      <c r="OO106" s="1004"/>
      <c r="OP106" s="1004"/>
      <c r="OQ106" s="1004"/>
      <c r="OR106" s="1004"/>
      <c r="OS106" s="1004"/>
      <c r="OT106" s="1004"/>
      <c r="OU106" s="1004"/>
      <c r="OV106" s="1004"/>
      <c r="OW106" s="1004"/>
      <c r="OX106" s="1004"/>
      <c r="OY106" s="1004"/>
      <c r="OZ106" s="1004"/>
      <c r="PA106" s="1004"/>
      <c r="PB106" s="1004"/>
      <c r="PC106" s="1004"/>
      <c r="PD106" s="1004"/>
      <c r="PE106" s="1004"/>
      <c r="PF106" s="1004"/>
      <c r="PG106" s="1004"/>
      <c r="PH106" s="1004"/>
      <c r="PI106" s="1004"/>
      <c r="PJ106" s="1004"/>
      <c r="PK106" s="1004"/>
      <c r="PL106" s="1004"/>
      <c r="PM106" s="1004"/>
      <c r="PN106" s="1004"/>
      <c r="PO106" s="1004"/>
      <c r="PP106" s="1004"/>
      <c r="PQ106" s="1004"/>
      <c r="PR106" s="1004"/>
      <c r="PS106" s="1004"/>
      <c r="PT106" s="1004"/>
      <c r="PU106" s="1004"/>
      <c r="PV106" s="1004"/>
      <c r="PW106" s="1004"/>
      <c r="PX106" s="1004"/>
      <c r="PY106" s="1004"/>
      <c r="PZ106" s="1004"/>
      <c r="QA106" s="1004"/>
      <c r="QB106" s="1004"/>
      <c r="QC106" s="1004"/>
      <c r="QD106" s="1004"/>
      <c r="QE106" s="1004"/>
      <c r="QF106" s="1004"/>
      <c r="QG106" s="1004"/>
      <c r="QH106" s="1004"/>
      <c r="QI106" s="1004"/>
      <c r="QJ106" s="1004"/>
      <c r="QK106" s="1004"/>
      <c r="QL106" s="1004"/>
      <c r="QM106" s="1004"/>
      <c r="QN106" s="1004"/>
      <c r="QO106" s="1004"/>
      <c r="QP106" s="1004"/>
      <c r="QQ106" s="1004"/>
      <c r="QR106" s="1004"/>
      <c r="QS106" s="1004"/>
      <c r="QT106" s="1004"/>
      <c r="QU106" s="1004"/>
      <c r="QV106" s="1004"/>
      <c r="QW106" s="1004"/>
      <c r="QX106" s="1004"/>
      <c r="QY106" s="1004"/>
      <c r="QZ106" s="1004"/>
      <c r="RA106" s="1004"/>
      <c r="RB106" s="1004"/>
      <c r="RC106" s="1004"/>
      <c r="RD106" s="1004"/>
      <c r="RE106" s="1004"/>
      <c r="RF106" s="1004"/>
      <c r="RG106" s="1004"/>
      <c r="RH106" s="1004"/>
      <c r="RI106" s="1004"/>
      <c r="RJ106" s="1004"/>
      <c r="RK106" s="1004"/>
      <c r="RL106" s="1004"/>
      <c r="RM106" s="1004"/>
      <c r="RN106" s="1004"/>
      <c r="RO106" s="1004"/>
      <c r="RP106" s="1004"/>
      <c r="RQ106" s="1004"/>
      <c r="RR106" s="1004"/>
      <c r="RS106" s="1004"/>
      <c r="RT106" s="1004"/>
      <c r="RU106" s="1004"/>
      <c r="RV106" s="1004"/>
      <c r="RW106" s="1004"/>
      <c r="RX106" s="1004"/>
      <c r="RY106" s="1004"/>
      <c r="RZ106" s="1004"/>
      <c r="SA106" s="1004"/>
      <c r="SB106" s="1004"/>
      <c r="SC106" s="1004"/>
      <c r="SD106" s="1004"/>
      <c r="SE106" s="1004"/>
      <c r="SF106" s="1004"/>
      <c r="SG106" s="1004"/>
      <c r="SH106" s="1004"/>
      <c r="SI106" s="1004"/>
      <c r="SJ106" s="1004"/>
      <c r="SK106" s="1004"/>
      <c r="SL106" s="1004"/>
      <c r="SM106" s="1004"/>
      <c r="SN106" s="1004"/>
      <c r="SO106" s="1004"/>
      <c r="SP106" s="1004"/>
      <c r="SQ106" s="1004"/>
      <c r="SR106" s="1004"/>
      <c r="SS106" s="1004"/>
      <c r="ST106" s="1004"/>
      <c r="SU106" s="1004"/>
      <c r="SV106" s="1004"/>
      <c r="SW106" s="1004"/>
      <c r="SX106" s="1004"/>
      <c r="SY106" s="1004"/>
      <c r="SZ106" s="1004"/>
      <c r="TA106" s="1004"/>
      <c r="TB106" s="1004"/>
      <c r="TC106" s="1004"/>
      <c r="TD106" s="1004"/>
      <c r="TE106" s="1004"/>
      <c r="TF106" s="1004"/>
      <c r="TG106" s="1004"/>
      <c r="TH106" s="1004"/>
      <c r="TI106" s="1004"/>
      <c r="TJ106" s="1004"/>
      <c r="TK106" s="1004"/>
      <c r="TL106" s="1004"/>
      <c r="TM106" s="1004"/>
      <c r="TN106" s="1004"/>
      <c r="TO106" s="1004"/>
      <c r="TP106" s="1004"/>
      <c r="TQ106" s="1004"/>
      <c r="TR106" s="1004"/>
      <c r="TS106" s="1004"/>
      <c r="TT106" s="1004"/>
      <c r="TU106" s="1004"/>
      <c r="TV106" s="1004"/>
      <c r="TW106" s="1004"/>
      <c r="TX106" s="1004"/>
      <c r="TY106" s="1004"/>
      <c r="TZ106" s="1004"/>
      <c r="UA106" s="1004"/>
      <c r="UB106" s="1004"/>
      <c r="UC106" s="1004"/>
      <c r="UD106" s="1004"/>
      <c r="UE106" s="1004"/>
      <c r="UF106" s="1004"/>
      <c r="UG106" s="1004"/>
      <c r="UH106" s="1004"/>
      <c r="UI106" s="1004"/>
      <c r="UJ106" s="1004"/>
      <c r="UK106" s="1004"/>
      <c r="UL106" s="1004"/>
      <c r="UM106" s="1004"/>
      <c r="UN106" s="1004"/>
      <c r="UO106" s="1004"/>
      <c r="UP106" s="1004"/>
      <c r="UQ106" s="1004"/>
      <c r="UR106" s="1004"/>
      <c r="US106" s="1004"/>
      <c r="UT106" s="1004"/>
      <c r="UU106" s="1004"/>
      <c r="UV106" s="1004"/>
      <c r="UW106" s="1004"/>
      <c r="UX106" s="1004"/>
      <c r="UY106" s="1004"/>
      <c r="UZ106" s="1004"/>
      <c r="VA106" s="1004"/>
      <c r="VB106" s="1004"/>
      <c r="VC106" s="1004"/>
      <c r="VD106" s="1004"/>
      <c r="VE106" s="1004"/>
      <c r="VF106" s="1004"/>
      <c r="VG106" s="1004"/>
      <c r="VH106" s="1004"/>
      <c r="VI106" s="1004"/>
      <c r="VJ106" s="1004"/>
      <c r="VK106" s="1004"/>
      <c r="VL106" s="1004"/>
      <c r="VM106" s="1004"/>
      <c r="VN106" s="1004"/>
      <c r="VO106" s="1004"/>
      <c r="VP106" s="1004"/>
      <c r="VQ106" s="1004"/>
      <c r="VR106" s="1004"/>
      <c r="VS106" s="1004"/>
      <c r="VT106" s="1004"/>
      <c r="VU106" s="1004"/>
      <c r="VV106" s="1004"/>
      <c r="VW106" s="1004"/>
      <c r="VX106" s="1004"/>
      <c r="VY106" s="1004"/>
      <c r="VZ106" s="1004"/>
      <c r="WA106" s="1004"/>
      <c r="WB106" s="1004"/>
      <c r="WC106" s="1004"/>
      <c r="WD106" s="1004"/>
      <c r="WE106" s="1004"/>
      <c r="WF106" s="1004"/>
      <c r="WG106" s="1004"/>
      <c r="WH106" s="1004"/>
      <c r="WI106" s="1004"/>
      <c r="WJ106" s="1004"/>
      <c r="WK106" s="1004"/>
      <c r="WL106" s="1004"/>
      <c r="WM106" s="1004"/>
      <c r="WN106" s="1004"/>
      <c r="WO106" s="1004"/>
      <c r="WP106" s="1004"/>
      <c r="WQ106" s="1004"/>
      <c r="WR106" s="1004"/>
      <c r="WS106" s="1004"/>
      <c r="WT106" s="1004"/>
      <c r="WU106" s="1004"/>
      <c r="WV106" s="1004"/>
      <c r="WW106" s="1004"/>
      <c r="WX106" s="1004"/>
      <c r="WY106" s="1004"/>
      <c r="WZ106" s="1004"/>
      <c r="XA106" s="1004"/>
      <c r="XB106" s="1004"/>
      <c r="XC106" s="1004"/>
      <c r="XD106" s="1004"/>
      <c r="XE106" s="1004"/>
      <c r="XF106" s="1004"/>
      <c r="XG106" s="1004"/>
      <c r="XH106" s="1004"/>
      <c r="XI106" s="1004"/>
      <c r="XJ106" s="1004"/>
      <c r="XK106" s="1004"/>
      <c r="XL106" s="1004"/>
      <c r="XM106" s="1004"/>
      <c r="XN106" s="1004"/>
      <c r="XO106" s="1004"/>
      <c r="XP106" s="1004"/>
      <c r="XQ106" s="1004"/>
      <c r="XR106" s="1004"/>
      <c r="XS106" s="1004"/>
      <c r="XT106" s="1004"/>
      <c r="XU106" s="1004"/>
      <c r="XV106" s="1004"/>
      <c r="XW106" s="1004"/>
      <c r="XX106" s="1004"/>
      <c r="XY106" s="1004"/>
      <c r="XZ106" s="1004"/>
      <c r="YA106" s="1004"/>
      <c r="YB106" s="1004"/>
      <c r="YC106" s="1004"/>
      <c r="YD106" s="1004"/>
      <c r="YE106" s="1004"/>
      <c r="YF106" s="1004"/>
      <c r="YG106" s="1004"/>
      <c r="YH106" s="1004"/>
      <c r="YI106" s="1004"/>
      <c r="YJ106" s="1004"/>
      <c r="YK106" s="1004"/>
      <c r="YL106" s="1004"/>
      <c r="YM106" s="1004"/>
      <c r="YN106" s="1004"/>
      <c r="YO106" s="1004"/>
      <c r="YP106" s="1004"/>
      <c r="YQ106" s="1004"/>
      <c r="YR106" s="1004"/>
      <c r="YS106" s="1004"/>
      <c r="YT106" s="1004"/>
      <c r="YU106" s="1004"/>
      <c r="YV106" s="1004"/>
      <c r="YW106" s="1004"/>
      <c r="YX106" s="1004"/>
      <c r="YY106" s="1004"/>
      <c r="YZ106" s="1004"/>
      <c r="ZA106" s="1004"/>
      <c r="ZB106" s="1004"/>
      <c r="ZC106" s="1004"/>
      <c r="ZD106" s="1004"/>
      <c r="ZE106" s="1004"/>
      <c r="ZF106" s="1004"/>
      <c r="ZG106" s="1004"/>
      <c r="ZH106" s="1004"/>
      <c r="ZI106" s="1004"/>
      <c r="ZJ106" s="1004"/>
      <c r="ZK106" s="1004"/>
      <c r="ZL106" s="1004"/>
      <c r="ZM106" s="1004"/>
      <c r="ZN106" s="1004"/>
      <c r="ZO106" s="1004"/>
      <c r="ZP106" s="1004"/>
      <c r="ZQ106" s="1004"/>
      <c r="ZR106" s="1004"/>
      <c r="ZS106" s="1004"/>
      <c r="ZT106" s="1004"/>
      <c r="ZU106" s="1004"/>
      <c r="ZV106" s="1004"/>
      <c r="ZW106" s="1004"/>
      <c r="ZX106" s="1004"/>
      <c r="ZY106" s="1004"/>
      <c r="ZZ106" s="1004"/>
      <c r="AAA106" s="1004"/>
      <c r="AAB106" s="1004"/>
      <c r="AAC106" s="1004"/>
      <c r="AAD106" s="1004"/>
      <c r="AAE106" s="1004"/>
      <c r="AAF106" s="1004"/>
      <c r="AAG106" s="1004"/>
      <c r="AAH106" s="1004"/>
      <c r="AAI106" s="1004"/>
      <c r="AAJ106" s="1004"/>
      <c r="AAK106" s="1004"/>
      <c r="AAL106" s="1004"/>
      <c r="AAM106" s="1004"/>
      <c r="AAN106" s="1004"/>
      <c r="AAO106" s="1004"/>
      <c r="AAP106" s="1004"/>
      <c r="AAQ106" s="1004"/>
      <c r="AAR106" s="1004"/>
      <c r="AAS106" s="1004"/>
      <c r="AAT106" s="1004"/>
      <c r="AAU106" s="1004"/>
      <c r="AAV106" s="1004"/>
      <c r="AAW106" s="1004"/>
      <c r="AAX106" s="1004"/>
      <c r="AAY106" s="1004"/>
      <c r="AAZ106" s="1004"/>
      <c r="ABA106" s="1004"/>
      <c r="ABB106" s="1004"/>
      <c r="ABC106" s="1004"/>
      <c r="ABD106" s="1004"/>
      <c r="ABE106" s="1004"/>
      <c r="ABF106" s="1004"/>
      <c r="ABG106" s="1004"/>
      <c r="ABH106" s="1004"/>
      <c r="ABI106" s="1004"/>
      <c r="ABJ106" s="1004"/>
      <c r="ABK106" s="1004"/>
      <c r="ABL106" s="1004"/>
      <c r="ABM106" s="1004"/>
      <c r="ABN106" s="1004"/>
      <c r="ABO106" s="1004"/>
      <c r="ABP106" s="1004"/>
      <c r="ABQ106" s="1004"/>
      <c r="ABR106" s="1004"/>
    </row>
    <row r="107" spans="1:746" s="111" customFormat="1" ht="12.9" customHeight="1">
      <c r="A107" s="923"/>
      <c r="B107" s="1265" t="s">
        <v>1017</v>
      </c>
      <c r="C107" s="1266"/>
      <c r="D107" s="1266"/>
      <c r="E107" s="1266"/>
      <c r="F107" s="1267"/>
      <c r="G107" s="1267"/>
      <c r="H107" s="2177"/>
      <c r="I107" s="1966"/>
      <c r="J107" s="368"/>
      <c r="K107" s="368"/>
      <c r="L107" s="368"/>
      <c r="M107" s="368"/>
      <c r="N107" s="368"/>
      <c r="O107" s="368"/>
      <c r="P107" s="368"/>
      <c r="Q107" s="368"/>
      <c r="R107" s="368"/>
      <c r="S107" s="368"/>
      <c r="T107" s="368"/>
      <c r="U107" s="796"/>
      <c r="V107" s="796"/>
      <c r="W107" s="796"/>
      <c r="X107" s="796"/>
      <c r="Y107" s="796"/>
      <c r="Z107" s="796"/>
      <c r="AA107" s="796"/>
      <c r="AB107" s="796"/>
      <c r="AC107" s="796"/>
      <c r="AD107" s="796"/>
      <c r="AE107" s="796"/>
      <c r="AF107" s="796"/>
      <c r="AG107" s="1042"/>
      <c r="AH107" s="359"/>
      <c r="AI107" s="359"/>
      <c r="AJ107" s="1857">
        <f>IF(fx!$C$57=1,SUMIF(fx!I$57:T$57,1,I107:T107),IF(fx!$C$57=2,SUMIF(fx!O$57:AF$57,1,O107:AF107)))</f>
        <v>0</v>
      </c>
      <c r="AK107" s="328"/>
      <c r="AL107" s="1858">
        <f>IF(fx!$C$57=1,SUM(U107:AF107),0)</f>
        <v>0</v>
      </c>
      <c r="AM107" s="1021"/>
      <c r="AN107" s="1005"/>
      <c r="AO107" s="1945"/>
      <c r="AP107" s="1935"/>
      <c r="AQ107" s="1936"/>
      <c r="AR107" s="1941"/>
      <c r="AS107" s="1941"/>
      <c r="AT107" s="1941"/>
      <c r="AU107" s="1941"/>
      <c r="AV107" s="1941"/>
      <c r="AW107" s="1941"/>
      <c r="AX107" s="1941"/>
      <c r="AY107" s="1941"/>
      <c r="AZ107" s="1941"/>
      <c r="BA107" s="1941"/>
      <c r="BB107" s="1941"/>
      <c r="BC107" s="1941"/>
      <c r="BD107" s="1941"/>
      <c r="BE107" s="1941"/>
      <c r="BF107" s="1941"/>
      <c r="BG107" s="1941"/>
      <c r="BH107" s="1941"/>
      <c r="BI107" s="1941"/>
      <c r="BJ107" s="1941"/>
      <c r="BK107" s="1941"/>
      <c r="BL107" s="1941"/>
      <c r="BM107" s="1941"/>
      <c r="BN107" s="1941"/>
      <c r="BO107" s="1941"/>
      <c r="BP107" s="1009"/>
      <c r="BQ107" s="1009"/>
      <c r="BR107" s="1009"/>
      <c r="BS107" s="1009"/>
      <c r="BT107" s="1009"/>
      <c r="BU107" s="1009"/>
      <c r="BV107" s="1009"/>
      <c r="BW107" s="1009"/>
      <c r="BX107" s="1009"/>
      <c r="BY107" s="1009"/>
      <c r="BZ107" s="1009"/>
      <c r="CA107" s="1009"/>
      <c r="CB107" s="1009"/>
      <c r="CC107" s="1009"/>
      <c r="CD107" s="1009"/>
      <c r="CE107" s="1009"/>
      <c r="CF107" s="1009"/>
      <c r="CG107" s="1009"/>
      <c r="CH107" s="1009"/>
      <c r="CI107" s="1009"/>
      <c r="CJ107" s="1009"/>
      <c r="CK107" s="1009"/>
      <c r="CL107" s="1009"/>
      <c r="CM107" s="1009"/>
      <c r="CN107" s="1009"/>
      <c r="CO107" s="1009"/>
      <c r="CP107" s="1009"/>
      <c r="CQ107" s="1009"/>
      <c r="CR107" s="1009"/>
      <c r="CS107" s="1009"/>
      <c r="CT107" s="1009"/>
      <c r="CU107" s="1009"/>
      <c r="CV107" s="1009"/>
      <c r="CW107" s="1009"/>
      <c r="CX107" s="1009"/>
      <c r="CY107" s="1009"/>
      <c r="CZ107" s="1009"/>
      <c r="DA107" s="1009"/>
      <c r="DB107" s="1009"/>
      <c r="DC107" s="1009"/>
      <c r="DD107" s="1009"/>
      <c r="DE107" s="1009"/>
      <c r="DF107" s="1009"/>
      <c r="DG107" s="1009"/>
      <c r="DH107" s="1009"/>
      <c r="DI107" s="1009"/>
      <c r="DJ107" s="1009"/>
      <c r="DK107" s="1009"/>
      <c r="DL107" s="1009"/>
      <c r="DM107" s="1009"/>
      <c r="DN107" s="1009"/>
      <c r="DO107" s="1009"/>
      <c r="DP107" s="1009"/>
      <c r="DQ107" s="1009"/>
      <c r="DR107" s="1009"/>
      <c r="DS107" s="1009"/>
      <c r="DT107" s="1009"/>
      <c r="DU107" s="1009"/>
      <c r="DV107" s="1009"/>
      <c r="DW107" s="1009"/>
      <c r="DX107" s="1009"/>
      <c r="DY107" s="1009"/>
      <c r="DZ107" s="1009"/>
      <c r="EA107" s="1009"/>
      <c r="EB107" s="1009"/>
      <c r="EC107" s="1009"/>
      <c r="ED107" s="1009"/>
      <c r="EE107" s="1009"/>
      <c r="EF107" s="1009"/>
      <c r="EG107" s="1009"/>
      <c r="EH107" s="1009"/>
      <c r="EI107" s="1009"/>
      <c r="EJ107" s="1009"/>
      <c r="EK107" s="1009"/>
      <c r="EL107" s="1009"/>
      <c r="EM107" s="1009"/>
      <c r="EN107" s="1009"/>
      <c r="EO107" s="1009"/>
      <c r="EP107" s="1009"/>
      <c r="EQ107" s="1009"/>
      <c r="ER107" s="1009"/>
      <c r="ES107" s="1009"/>
      <c r="ET107" s="1009"/>
      <c r="EU107" s="1009"/>
      <c r="EV107" s="1009"/>
      <c r="EW107" s="1009"/>
      <c r="EX107" s="1009"/>
      <c r="EY107" s="1009"/>
      <c r="EZ107" s="1009"/>
      <c r="FA107" s="1009"/>
      <c r="FB107" s="1009"/>
      <c r="FC107" s="1009"/>
      <c r="FD107" s="1009"/>
      <c r="FE107" s="1009"/>
      <c r="FF107" s="1009"/>
      <c r="FG107" s="1009"/>
      <c r="FH107" s="1009"/>
      <c r="FI107" s="1009"/>
      <c r="FJ107" s="1009"/>
      <c r="FK107" s="1009"/>
      <c r="FL107" s="1009"/>
      <c r="FM107" s="1009"/>
      <c r="FN107" s="1009"/>
      <c r="FO107" s="1009"/>
      <c r="FP107" s="1009"/>
      <c r="FQ107" s="1009"/>
      <c r="FR107" s="1009"/>
      <c r="FS107" s="1009"/>
      <c r="FT107" s="1009"/>
      <c r="FU107" s="1009"/>
      <c r="FV107" s="1009"/>
      <c r="FW107" s="1009"/>
      <c r="FX107" s="1009"/>
      <c r="FY107" s="1009"/>
      <c r="FZ107" s="1009"/>
      <c r="GA107" s="1009"/>
      <c r="GB107" s="1009"/>
      <c r="GC107" s="1009"/>
      <c r="GD107" s="1009"/>
      <c r="GE107" s="1009"/>
      <c r="GF107" s="1009"/>
      <c r="GG107" s="1009"/>
      <c r="GH107" s="1009"/>
      <c r="GI107" s="1009"/>
      <c r="GJ107" s="1009"/>
      <c r="GK107" s="1009"/>
      <c r="GL107" s="1009"/>
      <c r="GM107" s="1009"/>
      <c r="GN107" s="1009"/>
      <c r="GO107" s="1009"/>
      <c r="GP107" s="1009"/>
      <c r="GQ107" s="1009"/>
      <c r="GR107" s="1009"/>
      <c r="GS107" s="1009"/>
      <c r="GT107" s="1009"/>
      <c r="GU107" s="1009"/>
      <c r="GV107" s="1009"/>
      <c r="GW107" s="1009"/>
      <c r="GX107" s="1009"/>
      <c r="GY107" s="1009"/>
      <c r="GZ107" s="1009"/>
      <c r="HA107" s="1009"/>
      <c r="HB107" s="1009"/>
      <c r="HC107" s="1009"/>
      <c r="HD107" s="1009"/>
      <c r="HE107" s="1009"/>
      <c r="HF107" s="1009"/>
      <c r="HG107" s="1009"/>
      <c r="HH107" s="1009"/>
      <c r="HI107" s="1009"/>
      <c r="HJ107" s="1009"/>
      <c r="HK107" s="1009"/>
      <c r="HL107" s="1009"/>
      <c r="HM107" s="1009"/>
      <c r="HN107" s="1009"/>
      <c r="HO107" s="1009"/>
      <c r="HP107" s="1009"/>
      <c r="HQ107" s="1009"/>
      <c r="HR107" s="1009"/>
      <c r="HS107" s="1009"/>
      <c r="HT107" s="1009"/>
      <c r="HU107" s="1009"/>
      <c r="HV107" s="1009"/>
      <c r="HW107" s="1009"/>
      <c r="HX107" s="1009"/>
      <c r="HY107" s="1009"/>
      <c r="HZ107" s="1009"/>
      <c r="IA107" s="1009"/>
      <c r="IB107" s="1009"/>
      <c r="IC107" s="1009"/>
      <c r="ID107" s="1009"/>
      <c r="IE107" s="1009"/>
      <c r="IF107" s="1009"/>
      <c r="IG107" s="1009"/>
      <c r="IH107" s="1009"/>
      <c r="II107" s="1009"/>
      <c r="IJ107" s="1009"/>
      <c r="IK107" s="1009"/>
      <c r="IL107" s="1009"/>
      <c r="IM107" s="1009"/>
      <c r="IN107" s="1009"/>
      <c r="IO107" s="1009"/>
      <c r="IP107" s="1009"/>
      <c r="IQ107" s="1009"/>
      <c r="IR107" s="1009"/>
      <c r="IS107" s="1009"/>
      <c r="IT107" s="1009"/>
      <c r="IU107" s="1009"/>
      <c r="IV107" s="1009"/>
      <c r="IW107" s="1009"/>
      <c r="IX107" s="1009"/>
      <c r="IY107" s="1009"/>
      <c r="IZ107" s="1009"/>
      <c r="JA107" s="1009"/>
      <c r="JB107" s="1009"/>
      <c r="JC107" s="1009"/>
      <c r="JD107" s="1009"/>
      <c r="JE107" s="1009"/>
      <c r="JF107" s="1009"/>
      <c r="JG107" s="1009"/>
      <c r="JH107" s="1009"/>
      <c r="JI107" s="1009"/>
      <c r="JJ107" s="1009"/>
      <c r="JK107" s="1009"/>
      <c r="JL107" s="1009"/>
      <c r="JM107" s="1009"/>
      <c r="JN107" s="1009"/>
      <c r="JO107" s="1009"/>
      <c r="JP107" s="1009"/>
      <c r="JQ107" s="1009"/>
      <c r="JR107" s="1009"/>
      <c r="JS107" s="1009"/>
      <c r="JT107" s="1009"/>
      <c r="JU107" s="1009"/>
      <c r="JV107" s="1009"/>
      <c r="JW107" s="1009"/>
      <c r="JX107" s="1009"/>
      <c r="JY107" s="1009"/>
      <c r="JZ107" s="1009"/>
      <c r="KA107" s="1009"/>
      <c r="KB107" s="1009"/>
      <c r="KC107" s="1009"/>
      <c r="KD107" s="1009"/>
      <c r="KE107" s="1009"/>
      <c r="KF107" s="1009"/>
      <c r="KG107" s="1009"/>
      <c r="KH107" s="1009"/>
      <c r="KI107" s="1009"/>
      <c r="KJ107" s="1009"/>
      <c r="KK107" s="1009"/>
      <c r="KL107" s="1009"/>
      <c r="KM107" s="1009"/>
      <c r="KN107" s="1009"/>
      <c r="KO107" s="1009"/>
      <c r="KP107" s="1009"/>
      <c r="KQ107" s="1009"/>
      <c r="KR107" s="1009"/>
      <c r="KS107" s="1009"/>
      <c r="KT107" s="1009"/>
      <c r="KU107" s="1009"/>
      <c r="KV107" s="1009"/>
      <c r="KW107" s="1009"/>
      <c r="KX107" s="1009"/>
      <c r="KY107" s="1009"/>
      <c r="KZ107" s="1009"/>
      <c r="LA107" s="1009"/>
      <c r="LB107" s="1009"/>
      <c r="LC107" s="1009"/>
      <c r="LD107" s="1009"/>
      <c r="LE107" s="1009"/>
      <c r="LF107" s="1009"/>
      <c r="LG107" s="1009"/>
      <c r="LH107" s="1009"/>
      <c r="LI107" s="1009"/>
      <c r="LJ107" s="1009"/>
      <c r="LK107" s="1009"/>
      <c r="LL107" s="1009"/>
      <c r="LM107" s="1009"/>
      <c r="LN107" s="1009"/>
      <c r="LO107" s="1009"/>
      <c r="LP107" s="1009"/>
      <c r="LQ107" s="1009"/>
      <c r="LR107" s="1009"/>
      <c r="LS107" s="1009"/>
      <c r="LT107" s="1009"/>
      <c r="LU107" s="1009"/>
      <c r="LV107" s="1009"/>
      <c r="LW107" s="1009"/>
      <c r="LX107" s="1009"/>
      <c r="LY107" s="1009"/>
      <c r="LZ107" s="1009"/>
      <c r="MA107" s="1009"/>
      <c r="MB107" s="1009"/>
      <c r="MC107" s="1009"/>
      <c r="MD107" s="1009"/>
      <c r="ME107" s="1009"/>
      <c r="MF107" s="1009"/>
      <c r="MG107" s="1009"/>
      <c r="MH107" s="1009"/>
      <c r="MI107" s="1009"/>
      <c r="MJ107" s="1009"/>
      <c r="MK107" s="1009"/>
      <c r="ML107" s="1009"/>
      <c r="MM107" s="1009"/>
      <c r="MN107" s="1009"/>
      <c r="MO107" s="1009"/>
      <c r="MP107" s="1009"/>
      <c r="MQ107" s="1009"/>
      <c r="MR107" s="1009"/>
      <c r="MS107" s="1009"/>
      <c r="MT107" s="1009"/>
      <c r="MU107" s="1009"/>
      <c r="MV107" s="1009"/>
      <c r="MW107" s="1009"/>
      <c r="MX107" s="1009"/>
      <c r="MY107" s="1009"/>
      <c r="MZ107" s="1009"/>
      <c r="NA107" s="1009"/>
      <c r="NB107" s="1009"/>
      <c r="NC107" s="1009"/>
      <c r="ND107" s="1009"/>
      <c r="NE107" s="1009"/>
      <c r="NF107" s="1009"/>
      <c r="NG107" s="1009"/>
      <c r="NH107" s="1009"/>
      <c r="NI107" s="1009"/>
      <c r="NJ107" s="1009"/>
      <c r="NK107" s="1009"/>
      <c r="NL107" s="1009"/>
      <c r="NM107" s="1009"/>
      <c r="NN107" s="1009"/>
      <c r="NO107" s="1009"/>
      <c r="NP107" s="1009"/>
      <c r="NQ107" s="1009"/>
      <c r="NR107" s="1009"/>
      <c r="NS107" s="1009"/>
      <c r="NT107" s="1009"/>
      <c r="NU107" s="1009"/>
      <c r="NV107" s="1009"/>
      <c r="NW107" s="1009"/>
      <c r="NX107" s="1009"/>
      <c r="NY107" s="1009"/>
      <c r="NZ107" s="1009"/>
      <c r="OA107" s="1009"/>
      <c r="OB107" s="1009"/>
      <c r="OC107" s="1009"/>
      <c r="OD107" s="1009"/>
      <c r="OE107" s="1009"/>
      <c r="OF107" s="1009"/>
      <c r="OG107" s="1009"/>
      <c r="OH107" s="1009"/>
      <c r="OI107" s="1009"/>
      <c r="OJ107" s="1009"/>
      <c r="OK107" s="1009"/>
      <c r="OL107" s="1009"/>
      <c r="OM107" s="1009"/>
      <c r="ON107" s="1009"/>
      <c r="OO107" s="1009"/>
      <c r="OP107" s="1009"/>
      <c r="OQ107" s="1009"/>
      <c r="OR107" s="1009"/>
      <c r="OS107" s="1009"/>
      <c r="OT107" s="1009"/>
      <c r="OU107" s="1009"/>
      <c r="OV107" s="1009"/>
      <c r="OW107" s="1009"/>
      <c r="OX107" s="1009"/>
      <c r="OY107" s="1009"/>
      <c r="OZ107" s="1009"/>
      <c r="PA107" s="1009"/>
      <c r="PB107" s="1009"/>
      <c r="PC107" s="1009"/>
      <c r="PD107" s="1009"/>
      <c r="PE107" s="1009"/>
      <c r="PF107" s="1009"/>
      <c r="PG107" s="1009"/>
      <c r="PH107" s="1009"/>
      <c r="PI107" s="1009"/>
      <c r="PJ107" s="1009"/>
      <c r="PK107" s="1009"/>
      <c r="PL107" s="1009"/>
      <c r="PM107" s="1009"/>
      <c r="PN107" s="1009"/>
      <c r="PO107" s="1009"/>
      <c r="PP107" s="1009"/>
      <c r="PQ107" s="1009"/>
      <c r="PR107" s="1009"/>
      <c r="PS107" s="1009"/>
      <c r="PT107" s="1009"/>
      <c r="PU107" s="1009"/>
      <c r="PV107" s="1009"/>
      <c r="PW107" s="1009"/>
      <c r="PX107" s="1009"/>
      <c r="PY107" s="1009"/>
      <c r="PZ107" s="1009"/>
      <c r="QA107" s="1009"/>
      <c r="QB107" s="1009"/>
      <c r="QC107" s="1009"/>
      <c r="QD107" s="1009"/>
      <c r="QE107" s="1009"/>
      <c r="QF107" s="1009"/>
      <c r="QG107" s="1009"/>
      <c r="QH107" s="1009"/>
      <c r="QI107" s="1009"/>
      <c r="QJ107" s="1009"/>
      <c r="QK107" s="1009"/>
      <c r="QL107" s="1009"/>
      <c r="QM107" s="1009"/>
      <c r="QN107" s="1009"/>
      <c r="QO107" s="1009"/>
      <c r="QP107" s="1009"/>
      <c r="QQ107" s="1009"/>
      <c r="QR107" s="1009"/>
      <c r="QS107" s="1009"/>
      <c r="QT107" s="1009"/>
      <c r="QU107" s="1009"/>
      <c r="QV107" s="1009"/>
      <c r="QW107" s="1009"/>
      <c r="QX107" s="1009"/>
      <c r="QY107" s="1009"/>
      <c r="QZ107" s="1009"/>
      <c r="RA107" s="1009"/>
      <c r="RB107" s="1009"/>
      <c r="RC107" s="1009"/>
      <c r="RD107" s="1009"/>
      <c r="RE107" s="1009"/>
      <c r="RF107" s="1009"/>
      <c r="RG107" s="1009"/>
      <c r="RH107" s="1009"/>
      <c r="RI107" s="1009"/>
      <c r="RJ107" s="1009"/>
      <c r="RK107" s="1009"/>
      <c r="RL107" s="1009"/>
      <c r="RM107" s="1009"/>
      <c r="RN107" s="1009"/>
      <c r="RO107" s="1009"/>
      <c r="RP107" s="1009"/>
      <c r="RQ107" s="1009"/>
      <c r="RR107" s="1009"/>
      <c r="RS107" s="1009"/>
      <c r="RT107" s="1009"/>
      <c r="RU107" s="1009"/>
      <c r="RV107" s="1009"/>
      <c r="RW107" s="1009"/>
      <c r="RX107" s="1009"/>
      <c r="RY107" s="1009"/>
      <c r="RZ107" s="1009"/>
      <c r="SA107" s="1009"/>
      <c r="SB107" s="1009"/>
      <c r="SC107" s="1009"/>
      <c r="SD107" s="1009"/>
      <c r="SE107" s="1009"/>
      <c r="SF107" s="1009"/>
      <c r="SG107" s="1009"/>
      <c r="SH107" s="1009"/>
      <c r="SI107" s="1009"/>
      <c r="SJ107" s="1009"/>
      <c r="SK107" s="1009"/>
      <c r="SL107" s="1009"/>
      <c r="SM107" s="1009"/>
      <c r="SN107" s="1009"/>
      <c r="SO107" s="1009"/>
      <c r="SP107" s="1009"/>
      <c r="SQ107" s="1009"/>
      <c r="SR107" s="1009"/>
      <c r="SS107" s="1009"/>
      <c r="ST107" s="1009"/>
      <c r="SU107" s="1009"/>
      <c r="SV107" s="1009"/>
      <c r="SW107" s="1009"/>
      <c r="SX107" s="1009"/>
      <c r="SY107" s="1009"/>
      <c r="SZ107" s="1009"/>
      <c r="TA107" s="1009"/>
      <c r="TB107" s="1009"/>
      <c r="TC107" s="1009"/>
      <c r="TD107" s="1009"/>
      <c r="TE107" s="1009"/>
      <c r="TF107" s="1009"/>
      <c r="TG107" s="1009"/>
      <c r="TH107" s="1009"/>
      <c r="TI107" s="1009"/>
      <c r="TJ107" s="1009"/>
      <c r="TK107" s="1009"/>
      <c r="TL107" s="1009"/>
      <c r="TM107" s="1009"/>
      <c r="TN107" s="1009"/>
      <c r="TO107" s="1009"/>
      <c r="TP107" s="1009"/>
      <c r="TQ107" s="1009"/>
      <c r="TR107" s="1009"/>
      <c r="TS107" s="1009"/>
      <c r="TT107" s="1009"/>
      <c r="TU107" s="1009"/>
      <c r="TV107" s="1009"/>
      <c r="TW107" s="1009"/>
      <c r="TX107" s="1009"/>
      <c r="TY107" s="1009"/>
      <c r="TZ107" s="1009"/>
      <c r="UA107" s="1009"/>
      <c r="UB107" s="1009"/>
      <c r="UC107" s="1009"/>
      <c r="UD107" s="1009"/>
      <c r="UE107" s="1009"/>
      <c r="UF107" s="1009"/>
      <c r="UG107" s="1009"/>
      <c r="UH107" s="1009"/>
      <c r="UI107" s="1009"/>
      <c r="UJ107" s="1009"/>
      <c r="UK107" s="1009"/>
      <c r="UL107" s="1009"/>
      <c r="UM107" s="1009"/>
      <c r="UN107" s="1009"/>
      <c r="UO107" s="1009"/>
      <c r="UP107" s="1009"/>
      <c r="UQ107" s="1009"/>
      <c r="UR107" s="1009"/>
      <c r="US107" s="1009"/>
      <c r="UT107" s="1009"/>
      <c r="UU107" s="1009"/>
      <c r="UV107" s="1009"/>
      <c r="UW107" s="1009"/>
      <c r="UX107" s="1009"/>
      <c r="UY107" s="1009"/>
      <c r="UZ107" s="1009"/>
      <c r="VA107" s="1009"/>
      <c r="VB107" s="1009"/>
      <c r="VC107" s="1009"/>
      <c r="VD107" s="1009"/>
      <c r="VE107" s="1009"/>
      <c r="VF107" s="1009"/>
      <c r="VG107" s="1009"/>
      <c r="VH107" s="1009"/>
      <c r="VI107" s="1009"/>
      <c r="VJ107" s="1009"/>
      <c r="VK107" s="1009"/>
      <c r="VL107" s="1009"/>
      <c r="VM107" s="1009"/>
      <c r="VN107" s="1009"/>
      <c r="VO107" s="1009"/>
      <c r="VP107" s="1009"/>
      <c r="VQ107" s="1009"/>
      <c r="VR107" s="1009"/>
      <c r="VS107" s="1009"/>
      <c r="VT107" s="1009"/>
      <c r="VU107" s="1009"/>
      <c r="VV107" s="1009"/>
      <c r="VW107" s="1009"/>
      <c r="VX107" s="1009"/>
      <c r="VY107" s="1009"/>
      <c r="VZ107" s="1009"/>
      <c r="WA107" s="1009"/>
      <c r="WB107" s="1009"/>
      <c r="WC107" s="1009"/>
      <c r="WD107" s="1009"/>
      <c r="WE107" s="1009"/>
      <c r="WF107" s="1009"/>
      <c r="WG107" s="1009"/>
      <c r="WH107" s="1009"/>
      <c r="WI107" s="1009"/>
      <c r="WJ107" s="1009"/>
      <c r="WK107" s="1009"/>
      <c r="WL107" s="1009"/>
      <c r="WM107" s="1009"/>
      <c r="WN107" s="1009"/>
      <c r="WO107" s="1009"/>
      <c r="WP107" s="1009"/>
      <c r="WQ107" s="1009"/>
      <c r="WR107" s="1009"/>
      <c r="WS107" s="1009"/>
      <c r="WT107" s="1009"/>
      <c r="WU107" s="1009"/>
      <c r="WV107" s="1009"/>
      <c r="WW107" s="1009"/>
      <c r="WX107" s="1009"/>
      <c r="WY107" s="1009"/>
      <c r="WZ107" s="1009"/>
      <c r="XA107" s="1009"/>
      <c r="XB107" s="1009"/>
      <c r="XC107" s="1009"/>
      <c r="XD107" s="1009"/>
      <c r="XE107" s="1009"/>
      <c r="XF107" s="1009"/>
      <c r="XG107" s="1009"/>
      <c r="XH107" s="1009"/>
      <c r="XI107" s="1009"/>
      <c r="XJ107" s="1009"/>
      <c r="XK107" s="1009"/>
      <c r="XL107" s="1009"/>
      <c r="XM107" s="1009"/>
      <c r="XN107" s="1009"/>
      <c r="XO107" s="1009"/>
      <c r="XP107" s="1009"/>
      <c r="XQ107" s="1009"/>
      <c r="XR107" s="1009"/>
      <c r="XS107" s="1009"/>
      <c r="XT107" s="1009"/>
      <c r="XU107" s="1009"/>
      <c r="XV107" s="1009"/>
      <c r="XW107" s="1009"/>
      <c r="XX107" s="1009"/>
      <c r="XY107" s="1009"/>
      <c r="XZ107" s="1009"/>
      <c r="YA107" s="1009"/>
      <c r="YB107" s="1009"/>
      <c r="YC107" s="1009"/>
      <c r="YD107" s="1009"/>
      <c r="YE107" s="1009"/>
      <c r="YF107" s="1009"/>
      <c r="YG107" s="1009"/>
      <c r="YH107" s="1009"/>
      <c r="YI107" s="1009"/>
      <c r="YJ107" s="1009"/>
      <c r="YK107" s="1009"/>
      <c r="YL107" s="1009"/>
      <c r="YM107" s="1009"/>
      <c r="YN107" s="1009"/>
      <c r="YO107" s="1009"/>
      <c r="YP107" s="1009"/>
      <c r="YQ107" s="1009"/>
      <c r="YR107" s="1009"/>
      <c r="YS107" s="1009"/>
      <c r="YT107" s="1009"/>
      <c r="YU107" s="1009"/>
      <c r="YV107" s="1009"/>
      <c r="YW107" s="1009"/>
      <c r="YX107" s="1009"/>
      <c r="YY107" s="1009"/>
      <c r="YZ107" s="1009"/>
      <c r="ZA107" s="1009"/>
      <c r="ZB107" s="1009"/>
      <c r="ZC107" s="1009"/>
      <c r="ZD107" s="1009"/>
      <c r="ZE107" s="1009"/>
      <c r="ZF107" s="1009"/>
      <c r="ZG107" s="1009"/>
      <c r="ZH107" s="1009"/>
      <c r="ZI107" s="1009"/>
      <c r="ZJ107" s="1009"/>
      <c r="ZK107" s="1009"/>
      <c r="ZL107" s="1009"/>
      <c r="ZM107" s="1009"/>
      <c r="ZN107" s="1009"/>
      <c r="ZO107" s="1009"/>
      <c r="ZP107" s="1009"/>
      <c r="ZQ107" s="1009"/>
      <c r="ZR107" s="1009"/>
      <c r="ZS107" s="1009"/>
      <c r="ZT107" s="1009"/>
      <c r="ZU107" s="1009"/>
      <c r="ZV107" s="1009"/>
      <c r="ZW107" s="1009"/>
      <c r="ZX107" s="1009"/>
      <c r="ZY107" s="1009"/>
      <c r="ZZ107" s="1009"/>
      <c r="AAA107" s="1009"/>
      <c r="AAB107" s="1009"/>
      <c r="AAC107" s="1009"/>
      <c r="AAD107" s="1009"/>
      <c r="AAE107" s="1009"/>
      <c r="AAF107" s="1009"/>
      <c r="AAG107" s="1009"/>
      <c r="AAH107" s="1009"/>
      <c r="AAI107" s="1009"/>
      <c r="AAJ107" s="1009"/>
      <c r="AAK107" s="1009"/>
      <c r="AAL107" s="1009"/>
      <c r="AAM107" s="1009"/>
      <c r="AAN107" s="1009"/>
      <c r="AAO107" s="1009"/>
      <c r="AAP107" s="1009"/>
      <c r="AAQ107" s="1009"/>
      <c r="AAR107" s="1009"/>
      <c r="AAS107" s="1009"/>
      <c r="AAT107" s="1009"/>
      <c r="AAU107" s="1009"/>
      <c r="AAV107" s="1009"/>
      <c r="AAW107" s="1009"/>
      <c r="AAX107" s="1009"/>
      <c r="AAY107" s="1009"/>
      <c r="AAZ107" s="1009"/>
      <c r="ABA107" s="1009"/>
      <c r="ABB107" s="1009"/>
      <c r="ABC107" s="1009"/>
      <c r="ABD107" s="1009"/>
      <c r="ABE107" s="1009"/>
      <c r="ABF107" s="1009"/>
      <c r="ABG107" s="1009"/>
      <c r="ABH107" s="1009"/>
      <c r="ABI107" s="1009"/>
      <c r="ABJ107" s="1009"/>
      <c r="ABK107" s="1009"/>
      <c r="ABL107" s="1009"/>
      <c r="ABM107" s="1009"/>
      <c r="ABN107" s="1009"/>
      <c r="ABO107" s="1009"/>
      <c r="ABP107" s="1009"/>
      <c r="ABQ107" s="1009"/>
      <c r="ABR107" s="1009"/>
    </row>
    <row r="108" spans="1:746" s="111" customFormat="1" ht="12.9" customHeight="1">
      <c r="A108" s="923"/>
      <c r="B108" s="587" t="s">
        <v>195</v>
      </c>
      <c r="C108" s="588"/>
      <c r="D108" s="588"/>
      <c r="E108" s="588"/>
      <c r="F108" s="589"/>
      <c r="G108" s="590"/>
      <c r="H108" s="2536"/>
      <c r="I108" s="334">
        <f>(I98+I99+I104+I105+I103+I106+I107)*fx!I57</f>
        <v>0</v>
      </c>
      <c r="J108" s="334">
        <f>(J98+J99+J104+J105+J103+J106+J107)*fx!J57</f>
        <v>0</v>
      </c>
      <c r="K108" s="334">
        <f>(K98+K99+K104+K105+K103+K106+K107)*fx!K57</f>
        <v>0</v>
      </c>
      <c r="L108" s="334">
        <f>(L98+L99+L104+L105+L103+L106+L107)*fx!L57</f>
        <v>0</v>
      </c>
      <c r="M108" s="334">
        <f>(M98+M99+M104+M105+M103+M106+M107)*fx!M57</f>
        <v>0</v>
      </c>
      <c r="N108" s="334">
        <f>(N98+N99+N104+N105+N103+N106+N107)*fx!N57</f>
        <v>0</v>
      </c>
      <c r="O108" s="334">
        <f>(O98+O99+O104+O105+O103+O106+O107)*fx!O57</f>
        <v>0</v>
      </c>
      <c r="P108" s="334">
        <f>(P98+P99+P104+P105+P103+P106+P107)*fx!P57</f>
        <v>0</v>
      </c>
      <c r="Q108" s="334">
        <f>(Q98+Q99+Q104+Q105+Q103+Q106+Q107)*fx!Q57</f>
        <v>0</v>
      </c>
      <c r="R108" s="334">
        <f>(R98+R99+R104+R105+R103+R106+R107)*fx!R57</f>
        <v>0</v>
      </c>
      <c r="S108" s="334">
        <f>(S98+S99+S104+S105+S103+S106+S107)*fx!S57</f>
        <v>0</v>
      </c>
      <c r="T108" s="334">
        <f>(T98+T99+T104+T105+T103+T106+T107)*fx!T57</f>
        <v>0</v>
      </c>
      <c r="U108" s="334">
        <f>(U98+U99+U104+U105+U103+U106+U107)*fx!U57</f>
        <v>0</v>
      </c>
      <c r="V108" s="334">
        <f>(V98+V99+V104+V105+V103+V106+V107)*fx!V57</f>
        <v>0</v>
      </c>
      <c r="W108" s="334">
        <f>(W98+W99+W104+W105+W103+W106+W107)*fx!W57</f>
        <v>0</v>
      </c>
      <c r="X108" s="334">
        <f>(X98+X99+X104+X105+X103+X106+X107)*fx!X57</f>
        <v>0</v>
      </c>
      <c r="Y108" s="334">
        <f>(Y98+Y99+Y104+Y105+Y103+Y106+Y107)*fx!Y57</f>
        <v>0</v>
      </c>
      <c r="Z108" s="334">
        <f>(Z98+Z99+Z104+Z105+Z103+Z106+Z107)*fx!Z57</f>
        <v>0</v>
      </c>
      <c r="AA108" s="334">
        <f>(AA98+AA99+AA104+AA105+AA103+AA106+AA107)*fx!AA57</f>
        <v>0</v>
      </c>
      <c r="AB108" s="334">
        <f>(AB98+AB99+AB104+AB105+AB103+AB106+AB107)*fx!AB57</f>
        <v>0</v>
      </c>
      <c r="AC108" s="334">
        <f>(AC98+AC99+AC104+AC105+AC103+AC106+AC107)*fx!AC57</f>
        <v>0</v>
      </c>
      <c r="AD108" s="334">
        <f>(AD98+AD99+AD104+AD105+AD103+AD106+AD107)*fx!AD57</f>
        <v>0</v>
      </c>
      <c r="AE108" s="334">
        <f>(AE98+AE99+AE104+AE105+AE103+AE106+AE107)*fx!AE57</f>
        <v>0</v>
      </c>
      <c r="AF108" s="334">
        <f>(AF98+AF99+AF104+AF105+AF103+AF106+AF107)*fx!AF57</f>
        <v>0</v>
      </c>
      <c r="AG108" s="376"/>
      <c r="AH108" s="359"/>
      <c r="AI108" s="359"/>
      <c r="AJ108" s="1857">
        <f>IF(fx!$C$57=1,SUMIF(fx!I$57:T$57,1,I108:T108),IF(fx!$C$57=2,SUMIF(fx!O$57:AF$57,1,O108:AF108)))</f>
        <v>0</v>
      </c>
      <c r="AK108" s="328"/>
      <c r="AL108" s="1858">
        <f>IF(fx!$C$57=1,SUM(U108:AF108),0)</f>
        <v>0</v>
      </c>
      <c r="AM108" s="1021"/>
      <c r="AN108" s="1005"/>
      <c r="AO108" s="1945"/>
      <c r="AP108" s="1935"/>
      <c r="AQ108" s="1936"/>
      <c r="AR108" s="2236"/>
      <c r="AS108" s="2236"/>
      <c r="AT108" s="2236"/>
      <c r="AU108" s="2236"/>
      <c r="AV108" s="2236"/>
      <c r="AW108" s="2236"/>
      <c r="AX108" s="2236"/>
      <c r="AY108" s="2236"/>
      <c r="AZ108" s="2236"/>
      <c r="BA108" s="2236"/>
      <c r="BB108" s="2236"/>
      <c r="BC108" s="2236"/>
      <c r="BD108" s="2236"/>
      <c r="BE108" s="2236"/>
      <c r="BF108" s="2236"/>
      <c r="BG108" s="2236"/>
      <c r="BH108" s="2236"/>
      <c r="BI108" s="2236"/>
      <c r="BJ108" s="2236"/>
      <c r="BK108" s="2236"/>
      <c r="BL108" s="2236"/>
      <c r="BM108" s="2236"/>
      <c r="BN108" s="2236"/>
      <c r="BO108" s="2236"/>
      <c r="BP108" s="1009"/>
      <c r="BQ108" s="1009"/>
      <c r="BR108" s="1009"/>
      <c r="BS108" s="1009"/>
      <c r="BT108" s="1009"/>
      <c r="BU108" s="1009"/>
      <c r="BV108" s="1009"/>
      <c r="BW108" s="1009"/>
      <c r="BX108" s="1009"/>
      <c r="BY108" s="1009"/>
      <c r="BZ108" s="1009"/>
      <c r="CA108" s="1009"/>
      <c r="CB108" s="1009"/>
      <c r="CC108" s="1009"/>
      <c r="CD108" s="1009"/>
      <c r="CE108" s="1009"/>
      <c r="CF108" s="1009"/>
      <c r="CG108" s="1009"/>
      <c r="CH108" s="1009"/>
      <c r="CI108" s="1009"/>
      <c r="CJ108" s="1009"/>
      <c r="CK108" s="1009"/>
      <c r="CL108" s="1009"/>
      <c r="CM108" s="1009"/>
      <c r="CN108" s="1009"/>
      <c r="CO108" s="1009"/>
      <c r="CP108" s="1009"/>
      <c r="CQ108" s="1009"/>
      <c r="CR108" s="1009"/>
      <c r="CS108" s="1009"/>
      <c r="CT108" s="1009"/>
      <c r="CU108" s="1009"/>
      <c r="CV108" s="1009"/>
      <c r="CW108" s="1009"/>
      <c r="CX108" s="1009"/>
      <c r="CY108" s="1009"/>
      <c r="CZ108" s="1009"/>
      <c r="DA108" s="1009"/>
      <c r="DB108" s="1009"/>
      <c r="DC108" s="1009"/>
      <c r="DD108" s="1009"/>
      <c r="DE108" s="1009"/>
      <c r="DF108" s="1009"/>
      <c r="DG108" s="1009"/>
      <c r="DH108" s="1009"/>
      <c r="DI108" s="1009"/>
      <c r="DJ108" s="1009"/>
      <c r="DK108" s="1009"/>
      <c r="DL108" s="1009"/>
      <c r="DM108" s="1009"/>
      <c r="DN108" s="1009"/>
      <c r="DO108" s="1009"/>
      <c r="DP108" s="1009"/>
      <c r="DQ108" s="1009"/>
      <c r="DR108" s="1009"/>
      <c r="DS108" s="1009"/>
      <c r="DT108" s="1009"/>
      <c r="DU108" s="1009"/>
      <c r="DV108" s="1009"/>
      <c r="DW108" s="1009"/>
      <c r="DX108" s="1009"/>
      <c r="DY108" s="1009"/>
      <c r="DZ108" s="1009"/>
      <c r="EA108" s="1009"/>
      <c r="EB108" s="1009"/>
      <c r="EC108" s="1009"/>
      <c r="ED108" s="1009"/>
      <c r="EE108" s="1009"/>
      <c r="EF108" s="1009"/>
      <c r="EG108" s="1009"/>
      <c r="EH108" s="1009"/>
      <c r="EI108" s="1009"/>
      <c r="EJ108" s="1009"/>
      <c r="EK108" s="1009"/>
      <c r="EL108" s="1009"/>
      <c r="EM108" s="1009"/>
      <c r="EN108" s="1009"/>
      <c r="EO108" s="1009"/>
      <c r="EP108" s="1009"/>
      <c r="EQ108" s="1009"/>
      <c r="ER108" s="1009"/>
      <c r="ES108" s="1009"/>
      <c r="ET108" s="1009"/>
      <c r="EU108" s="1009"/>
      <c r="EV108" s="1009"/>
      <c r="EW108" s="1009"/>
      <c r="EX108" s="1009"/>
      <c r="EY108" s="1009"/>
      <c r="EZ108" s="1009"/>
      <c r="FA108" s="1009"/>
      <c r="FB108" s="1009"/>
      <c r="FC108" s="1009"/>
      <c r="FD108" s="1009"/>
      <c r="FE108" s="1009"/>
      <c r="FF108" s="1009"/>
      <c r="FG108" s="1009"/>
      <c r="FH108" s="1009"/>
      <c r="FI108" s="1009"/>
      <c r="FJ108" s="1009"/>
      <c r="FK108" s="1009"/>
      <c r="FL108" s="1009"/>
      <c r="FM108" s="1009"/>
      <c r="FN108" s="1009"/>
      <c r="FO108" s="1009"/>
      <c r="FP108" s="1009"/>
      <c r="FQ108" s="1009"/>
      <c r="FR108" s="1009"/>
      <c r="FS108" s="1009"/>
      <c r="FT108" s="1009"/>
      <c r="FU108" s="1009"/>
      <c r="FV108" s="1009"/>
      <c r="FW108" s="1009"/>
      <c r="FX108" s="1009"/>
      <c r="FY108" s="1009"/>
      <c r="FZ108" s="1009"/>
      <c r="GA108" s="1009"/>
      <c r="GB108" s="1009"/>
      <c r="GC108" s="1009"/>
      <c r="GD108" s="1009"/>
      <c r="GE108" s="1009"/>
      <c r="GF108" s="1009"/>
      <c r="GG108" s="1009"/>
      <c r="GH108" s="1009"/>
      <c r="GI108" s="1009"/>
      <c r="GJ108" s="1009"/>
      <c r="GK108" s="1009"/>
      <c r="GL108" s="1009"/>
      <c r="GM108" s="1009"/>
      <c r="GN108" s="1009"/>
      <c r="GO108" s="1009"/>
      <c r="GP108" s="1009"/>
      <c r="GQ108" s="1009"/>
      <c r="GR108" s="1009"/>
      <c r="GS108" s="1009"/>
      <c r="GT108" s="1009"/>
      <c r="GU108" s="1009"/>
      <c r="GV108" s="1009"/>
      <c r="GW108" s="1009"/>
      <c r="GX108" s="1009"/>
      <c r="GY108" s="1009"/>
      <c r="GZ108" s="1009"/>
      <c r="HA108" s="1009"/>
      <c r="HB108" s="1009"/>
      <c r="HC108" s="1009"/>
      <c r="HD108" s="1009"/>
      <c r="HE108" s="1009"/>
      <c r="HF108" s="1009"/>
      <c r="HG108" s="1009"/>
      <c r="HH108" s="1009"/>
      <c r="HI108" s="1009"/>
      <c r="HJ108" s="1009"/>
      <c r="HK108" s="1009"/>
      <c r="HL108" s="1009"/>
      <c r="HM108" s="1009"/>
      <c r="HN108" s="1009"/>
      <c r="HO108" s="1009"/>
      <c r="HP108" s="1009"/>
      <c r="HQ108" s="1009"/>
      <c r="HR108" s="1009"/>
      <c r="HS108" s="1009"/>
      <c r="HT108" s="1009"/>
      <c r="HU108" s="1009"/>
      <c r="HV108" s="1009"/>
      <c r="HW108" s="1009"/>
      <c r="HX108" s="1009"/>
      <c r="HY108" s="1009"/>
      <c r="HZ108" s="1009"/>
      <c r="IA108" s="1009"/>
      <c r="IB108" s="1009"/>
      <c r="IC108" s="1009"/>
      <c r="ID108" s="1009"/>
      <c r="IE108" s="1009"/>
      <c r="IF108" s="1009"/>
      <c r="IG108" s="1009"/>
      <c r="IH108" s="1009"/>
      <c r="II108" s="1009"/>
      <c r="IJ108" s="1009"/>
      <c r="IK108" s="1009"/>
      <c r="IL108" s="1009"/>
      <c r="IM108" s="1009"/>
      <c r="IN108" s="1009"/>
      <c r="IO108" s="1009"/>
      <c r="IP108" s="1009"/>
      <c r="IQ108" s="1009"/>
      <c r="IR108" s="1009"/>
      <c r="IS108" s="1009"/>
      <c r="IT108" s="1009"/>
      <c r="IU108" s="1009"/>
      <c r="IV108" s="1009"/>
      <c r="IW108" s="1009"/>
      <c r="IX108" s="1009"/>
      <c r="IY108" s="1009"/>
      <c r="IZ108" s="1009"/>
      <c r="JA108" s="1009"/>
      <c r="JB108" s="1009"/>
      <c r="JC108" s="1009"/>
      <c r="JD108" s="1009"/>
      <c r="JE108" s="1009"/>
      <c r="JF108" s="1009"/>
      <c r="JG108" s="1009"/>
      <c r="JH108" s="1009"/>
      <c r="JI108" s="1009"/>
      <c r="JJ108" s="1009"/>
      <c r="JK108" s="1009"/>
      <c r="JL108" s="1009"/>
      <c r="JM108" s="1009"/>
      <c r="JN108" s="1009"/>
      <c r="JO108" s="1009"/>
      <c r="JP108" s="1009"/>
      <c r="JQ108" s="1009"/>
      <c r="JR108" s="1009"/>
      <c r="JS108" s="1009"/>
      <c r="JT108" s="1009"/>
      <c r="JU108" s="1009"/>
      <c r="JV108" s="1009"/>
      <c r="JW108" s="1009"/>
      <c r="JX108" s="1009"/>
      <c r="JY108" s="1009"/>
      <c r="JZ108" s="1009"/>
      <c r="KA108" s="1009"/>
      <c r="KB108" s="1009"/>
      <c r="KC108" s="1009"/>
      <c r="KD108" s="1009"/>
      <c r="KE108" s="1009"/>
      <c r="KF108" s="1009"/>
      <c r="KG108" s="1009"/>
      <c r="KH108" s="1009"/>
      <c r="KI108" s="1009"/>
      <c r="KJ108" s="1009"/>
      <c r="KK108" s="1009"/>
      <c r="KL108" s="1009"/>
      <c r="KM108" s="1009"/>
      <c r="KN108" s="1009"/>
      <c r="KO108" s="1009"/>
      <c r="KP108" s="1009"/>
      <c r="KQ108" s="1009"/>
      <c r="KR108" s="1009"/>
      <c r="KS108" s="1009"/>
      <c r="KT108" s="1009"/>
      <c r="KU108" s="1009"/>
      <c r="KV108" s="1009"/>
      <c r="KW108" s="1009"/>
      <c r="KX108" s="1009"/>
      <c r="KY108" s="1009"/>
      <c r="KZ108" s="1009"/>
      <c r="LA108" s="1009"/>
      <c r="LB108" s="1009"/>
      <c r="LC108" s="1009"/>
      <c r="LD108" s="1009"/>
      <c r="LE108" s="1009"/>
      <c r="LF108" s="1009"/>
      <c r="LG108" s="1009"/>
      <c r="LH108" s="1009"/>
      <c r="LI108" s="1009"/>
      <c r="LJ108" s="1009"/>
      <c r="LK108" s="1009"/>
      <c r="LL108" s="1009"/>
      <c r="LM108" s="1009"/>
      <c r="LN108" s="1009"/>
      <c r="LO108" s="1009"/>
      <c r="LP108" s="1009"/>
      <c r="LQ108" s="1009"/>
      <c r="LR108" s="1009"/>
      <c r="LS108" s="1009"/>
      <c r="LT108" s="1009"/>
      <c r="LU108" s="1009"/>
      <c r="LV108" s="1009"/>
      <c r="LW108" s="1009"/>
      <c r="LX108" s="1009"/>
      <c r="LY108" s="1009"/>
      <c r="LZ108" s="1009"/>
      <c r="MA108" s="1009"/>
      <c r="MB108" s="1009"/>
      <c r="MC108" s="1009"/>
      <c r="MD108" s="1009"/>
      <c r="ME108" s="1009"/>
      <c r="MF108" s="1009"/>
      <c r="MG108" s="1009"/>
      <c r="MH108" s="1009"/>
      <c r="MI108" s="1009"/>
      <c r="MJ108" s="1009"/>
      <c r="MK108" s="1009"/>
      <c r="ML108" s="1009"/>
      <c r="MM108" s="1009"/>
      <c r="MN108" s="1009"/>
      <c r="MO108" s="1009"/>
      <c r="MP108" s="1009"/>
      <c r="MQ108" s="1009"/>
      <c r="MR108" s="1009"/>
      <c r="MS108" s="1009"/>
      <c r="MT108" s="1009"/>
      <c r="MU108" s="1009"/>
      <c r="MV108" s="1009"/>
      <c r="MW108" s="1009"/>
      <c r="MX108" s="1009"/>
      <c r="MY108" s="1009"/>
      <c r="MZ108" s="1009"/>
      <c r="NA108" s="1009"/>
      <c r="NB108" s="1009"/>
      <c r="NC108" s="1009"/>
      <c r="ND108" s="1009"/>
      <c r="NE108" s="1009"/>
      <c r="NF108" s="1009"/>
      <c r="NG108" s="1009"/>
      <c r="NH108" s="1009"/>
      <c r="NI108" s="1009"/>
      <c r="NJ108" s="1009"/>
      <c r="NK108" s="1009"/>
      <c r="NL108" s="1009"/>
      <c r="NM108" s="1009"/>
      <c r="NN108" s="1009"/>
      <c r="NO108" s="1009"/>
      <c r="NP108" s="1009"/>
      <c r="NQ108" s="1009"/>
      <c r="NR108" s="1009"/>
      <c r="NS108" s="1009"/>
      <c r="NT108" s="1009"/>
      <c r="NU108" s="1009"/>
      <c r="NV108" s="1009"/>
      <c r="NW108" s="1009"/>
      <c r="NX108" s="1009"/>
      <c r="NY108" s="1009"/>
      <c r="NZ108" s="1009"/>
      <c r="OA108" s="1009"/>
      <c r="OB108" s="1009"/>
      <c r="OC108" s="1009"/>
      <c r="OD108" s="1009"/>
      <c r="OE108" s="1009"/>
      <c r="OF108" s="1009"/>
      <c r="OG108" s="1009"/>
      <c r="OH108" s="1009"/>
      <c r="OI108" s="1009"/>
      <c r="OJ108" s="1009"/>
      <c r="OK108" s="1009"/>
      <c r="OL108" s="1009"/>
      <c r="OM108" s="1009"/>
      <c r="ON108" s="1009"/>
      <c r="OO108" s="1009"/>
      <c r="OP108" s="1009"/>
      <c r="OQ108" s="1009"/>
      <c r="OR108" s="1009"/>
      <c r="OS108" s="1009"/>
      <c r="OT108" s="1009"/>
      <c r="OU108" s="1009"/>
      <c r="OV108" s="1009"/>
      <c r="OW108" s="1009"/>
      <c r="OX108" s="1009"/>
      <c r="OY108" s="1009"/>
      <c r="OZ108" s="1009"/>
      <c r="PA108" s="1009"/>
      <c r="PB108" s="1009"/>
      <c r="PC108" s="1009"/>
      <c r="PD108" s="1009"/>
      <c r="PE108" s="1009"/>
      <c r="PF108" s="1009"/>
      <c r="PG108" s="1009"/>
      <c r="PH108" s="1009"/>
      <c r="PI108" s="1009"/>
      <c r="PJ108" s="1009"/>
      <c r="PK108" s="1009"/>
      <c r="PL108" s="1009"/>
      <c r="PM108" s="1009"/>
      <c r="PN108" s="1009"/>
      <c r="PO108" s="1009"/>
      <c r="PP108" s="1009"/>
      <c r="PQ108" s="1009"/>
      <c r="PR108" s="1009"/>
      <c r="PS108" s="1009"/>
      <c r="PT108" s="1009"/>
      <c r="PU108" s="1009"/>
      <c r="PV108" s="1009"/>
      <c r="PW108" s="1009"/>
      <c r="PX108" s="1009"/>
      <c r="PY108" s="1009"/>
      <c r="PZ108" s="1009"/>
      <c r="QA108" s="1009"/>
      <c r="QB108" s="1009"/>
      <c r="QC108" s="1009"/>
      <c r="QD108" s="1009"/>
      <c r="QE108" s="1009"/>
      <c r="QF108" s="1009"/>
      <c r="QG108" s="1009"/>
      <c r="QH108" s="1009"/>
      <c r="QI108" s="1009"/>
      <c r="QJ108" s="1009"/>
      <c r="QK108" s="1009"/>
      <c r="QL108" s="1009"/>
      <c r="QM108" s="1009"/>
      <c r="QN108" s="1009"/>
      <c r="QO108" s="1009"/>
      <c r="QP108" s="1009"/>
      <c r="QQ108" s="1009"/>
      <c r="QR108" s="1009"/>
      <c r="QS108" s="1009"/>
      <c r="QT108" s="1009"/>
      <c r="QU108" s="1009"/>
      <c r="QV108" s="1009"/>
      <c r="QW108" s="1009"/>
      <c r="QX108" s="1009"/>
      <c r="QY108" s="1009"/>
      <c r="QZ108" s="1009"/>
      <c r="RA108" s="1009"/>
      <c r="RB108" s="1009"/>
      <c r="RC108" s="1009"/>
      <c r="RD108" s="1009"/>
      <c r="RE108" s="1009"/>
      <c r="RF108" s="1009"/>
      <c r="RG108" s="1009"/>
      <c r="RH108" s="1009"/>
      <c r="RI108" s="1009"/>
      <c r="RJ108" s="1009"/>
      <c r="RK108" s="1009"/>
      <c r="RL108" s="1009"/>
      <c r="RM108" s="1009"/>
      <c r="RN108" s="1009"/>
      <c r="RO108" s="1009"/>
      <c r="RP108" s="1009"/>
      <c r="RQ108" s="1009"/>
      <c r="RR108" s="1009"/>
      <c r="RS108" s="1009"/>
      <c r="RT108" s="1009"/>
      <c r="RU108" s="1009"/>
      <c r="RV108" s="1009"/>
      <c r="RW108" s="1009"/>
      <c r="RX108" s="1009"/>
      <c r="RY108" s="1009"/>
      <c r="RZ108" s="1009"/>
      <c r="SA108" s="1009"/>
      <c r="SB108" s="1009"/>
      <c r="SC108" s="1009"/>
      <c r="SD108" s="1009"/>
      <c r="SE108" s="1009"/>
      <c r="SF108" s="1009"/>
      <c r="SG108" s="1009"/>
      <c r="SH108" s="1009"/>
      <c r="SI108" s="1009"/>
      <c r="SJ108" s="1009"/>
      <c r="SK108" s="1009"/>
      <c r="SL108" s="1009"/>
      <c r="SM108" s="1009"/>
      <c r="SN108" s="1009"/>
      <c r="SO108" s="1009"/>
      <c r="SP108" s="1009"/>
      <c r="SQ108" s="1009"/>
      <c r="SR108" s="1009"/>
      <c r="SS108" s="1009"/>
      <c r="ST108" s="1009"/>
      <c r="SU108" s="1009"/>
      <c r="SV108" s="1009"/>
      <c r="SW108" s="1009"/>
      <c r="SX108" s="1009"/>
      <c r="SY108" s="1009"/>
      <c r="SZ108" s="1009"/>
      <c r="TA108" s="1009"/>
      <c r="TB108" s="1009"/>
      <c r="TC108" s="1009"/>
      <c r="TD108" s="1009"/>
      <c r="TE108" s="1009"/>
      <c r="TF108" s="1009"/>
      <c r="TG108" s="1009"/>
      <c r="TH108" s="1009"/>
      <c r="TI108" s="1009"/>
      <c r="TJ108" s="1009"/>
      <c r="TK108" s="1009"/>
      <c r="TL108" s="1009"/>
      <c r="TM108" s="1009"/>
      <c r="TN108" s="1009"/>
      <c r="TO108" s="1009"/>
      <c r="TP108" s="1009"/>
      <c r="TQ108" s="1009"/>
      <c r="TR108" s="1009"/>
      <c r="TS108" s="1009"/>
      <c r="TT108" s="1009"/>
      <c r="TU108" s="1009"/>
      <c r="TV108" s="1009"/>
      <c r="TW108" s="1009"/>
      <c r="TX108" s="1009"/>
      <c r="TY108" s="1009"/>
      <c r="TZ108" s="1009"/>
      <c r="UA108" s="1009"/>
      <c r="UB108" s="1009"/>
      <c r="UC108" s="1009"/>
      <c r="UD108" s="1009"/>
      <c r="UE108" s="1009"/>
      <c r="UF108" s="1009"/>
      <c r="UG108" s="1009"/>
      <c r="UH108" s="1009"/>
      <c r="UI108" s="1009"/>
      <c r="UJ108" s="1009"/>
      <c r="UK108" s="1009"/>
      <c r="UL108" s="1009"/>
      <c r="UM108" s="1009"/>
      <c r="UN108" s="1009"/>
      <c r="UO108" s="1009"/>
      <c r="UP108" s="1009"/>
      <c r="UQ108" s="1009"/>
      <c r="UR108" s="1009"/>
      <c r="US108" s="1009"/>
      <c r="UT108" s="1009"/>
      <c r="UU108" s="1009"/>
      <c r="UV108" s="1009"/>
      <c r="UW108" s="1009"/>
      <c r="UX108" s="1009"/>
      <c r="UY108" s="1009"/>
      <c r="UZ108" s="1009"/>
      <c r="VA108" s="1009"/>
      <c r="VB108" s="1009"/>
      <c r="VC108" s="1009"/>
      <c r="VD108" s="1009"/>
      <c r="VE108" s="1009"/>
      <c r="VF108" s="1009"/>
      <c r="VG108" s="1009"/>
      <c r="VH108" s="1009"/>
      <c r="VI108" s="1009"/>
      <c r="VJ108" s="1009"/>
      <c r="VK108" s="1009"/>
      <c r="VL108" s="1009"/>
      <c r="VM108" s="1009"/>
      <c r="VN108" s="1009"/>
      <c r="VO108" s="1009"/>
      <c r="VP108" s="1009"/>
      <c r="VQ108" s="1009"/>
      <c r="VR108" s="1009"/>
      <c r="VS108" s="1009"/>
      <c r="VT108" s="1009"/>
      <c r="VU108" s="1009"/>
      <c r="VV108" s="1009"/>
      <c r="VW108" s="1009"/>
      <c r="VX108" s="1009"/>
      <c r="VY108" s="1009"/>
      <c r="VZ108" s="1009"/>
      <c r="WA108" s="1009"/>
      <c r="WB108" s="1009"/>
      <c r="WC108" s="1009"/>
      <c r="WD108" s="1009"/>
      <c r="WE108" s="1009"/>
      <c r="WF108" s="1009"/>
      <c r="WG108" s="1009"/>
      <c r="WH108" s="1009"/>
      <c r="WI108" s="1009"/>
      <c r="WJ108" s="1009"/>
      <c r="WK108" s="1009"/>
      <c r="WL108" s="1009"/>
      <c r="WM108" s="1009"/>
      <c r="WN108" s="1009"/>
      <c r="WO108" s="1009"/>
      <c r="WP108" s="1009"/>
      <c r="WQ108" s="1009"/>
      <c r="WR108" s="1009"/>
      <c r="WS108" s="1009"/>
      <c r="WT108" s="1009"/>
      <c r="WU108" s="1009"/>
      <c r="WV108" s="1009"/>
      <c r="WW108" s="1009"/>
      <c r="WX108" s="1009"/>
      <c r="WY108" s="1009"/>
      <c r="WZ108" s="1009"/>
      <c r="XA108" s="1009"/>
      <c r="XB108" s="1009"/>
      <c r="XC108" s="1009"/>
      <c r="XD108" s="1009"/>
      <c r="XE108" s="1009"/>
      <c r="XF108" s="1009"/>
      <c r="XG108" s="1009"/>
      <c r="XH108" s="1009"/>
      <c r="XI108" s="1009"/>
      <c r="XJ108" s="1009"/>
      <c r="XK108" s="1009"/>
      <c r="XL108" s="1009"/>
      <c r="XM108" s="1009"/>
      <c r="XN108" s="1009"/>
      <c r="XO108" s="1009"/>
      <c r="XP108" s="1009"/>
      <c r="XQ108" s="1009"/>
      <c r="XR108" s="1009"/>
      <c r="XS108" s="1009"/>
      <c r="XT108" s="1009"/>
      <c r="XU108" s="1009"/>
      <c r="XV108" s="1009"/>
      <c r="XW108" s="1009"/>
      <c r="XX108" s="1009"/>
      <c r="XY108" s="1009"/>
      <c r="XZ108" s="1009"/>
      <c r="YA108" s="1009"/>
      <c r="YB108" s="1009"/>
      <c r="YC108" s="1009"/>
      <c r="YD108" s="1009"/>
      <c r="YE108" s="1009"/>
      <c r="YF108" s="1009"/>
      <c r="YG108" s="1009"/>
      <c r="YH108" s="1009"/>
      <c r="YI108" s="1009"/>
      <c r="YJ108" s="1009"/>
      <c r="YK108" s="1009"/>
      <c r="YL108" s="1009"/>
      <c r="YM108" s="1009"/>
      <c r="YN108" s="1009"/>
      <c r="YO108" s="1009"/>
      <c r="YP108" s="1009"/>
      <c r="YQ108" s="1009"/>
      <c r="YR108" s="1009"/>
      <c r="YS108" s="1009"/>
      <c r="YT108" s="1009"/>
      <c r="YU108" s="1009"/>
      <c r="YV108" s="1009"/>
      <c r="YW108" s="1009"/>
      <c r="YX108" s="1009"/>
      <c r="YY108" s="1009"/>
      <c r="YZ108" s="1009"/>
      <c r="ZA108" s="1009"/>
      <c r="ZB108" s="1009"/>
      <c r="ZC108" s="1009"/>
      <c r="ZD108" s="1009"/>
      <c r="ZE108" s="1009"/>
      <c r="ZF108" s="1009"/>
      <c r="ZG108" s="1009"/>
      <c r="ZH108" s="1009"/>
      <c r="ZI108" s="1009"/>
      <c r="ZJ108" s="1009"/>
      <c r="ZK108" s="1009"/>
      <c r="ZL108" s="1009"/>
      <c r="ZM108" s="1009"/>
      <c r="ZN108" s="1009"/>
      <c r="ZO108" s="1009"/>
      <c r="ZP108" s="1009"/>
      <c r="ZQ108" s="1009"/>
      <c r="ZR108" s="1009"/>
      <c r="ZS108" s="1009"/>
      <c r="ZT108" s="1009"/>
      <c r="ZU108" s="1009"/>
      <c r="ZV108" s="1009"/>
      <c r="ZW108" s="1009"/>
      <c r="ZX108" s="1009"/>
      <c r="ZY108" s="1009"/>
      <c r="ZZ108" s="1009"/>
      <c r="AAA108" s="1009"/>
      <c r="AAB108" s="1009"/>
      <c r="AAC108" s="1009"/>
      <c r="AAD108" s="1009"/>
      <c r="AAE108" s="1009"/>
      <c r="AAF108" s="1009"/>
      <c r="AAG108" s="1009"/>
      <c r="AAH108" s="1009"/>
      <c r="AAI108" s="1009"/>
      <c r="AAJ108" s="1009"/>
      <c r="AAK108" s="1009"/>
      <c r="AAL108" s="1009"/>
      <c r="AAM108" s="1009"/>
      <c r="AAN108" s="1009"/>
      <c r="AAO108" s="1009"/>
      <c r="AAP108" s="1009"/>
      <c r="AAQ108" s="1009"/>
      <c r="AAR108" s="1009"/>
      <c r="AAS108" s="1009"/>
      <c r="AAT108" s="1009"/>
      <c r="AAU108" s="1009"/>
      <c r="AAV108" s="1009"/>
      <c r="AAW108" s="1009"/>
      <c r="AAX108" s="1009"/>
      <c r="AAY108" s="1009"/>
      <c r="AAZ108" s="1009"/>
      <c r="ABA108" s="1009"/>
      <c r="ABB108" s="1009"/>
      <c r="ABC108" s="1009"/>
      <c r="ABD108" s="1009"/>
      <c r="ABE108" s="1009"/>
      <c r="ABF108" s="1009"/>
      <c r="ABG108" s="1009"/>
      <c r="ABH108" s="1009"/>
      <c r="ABI108" s="1009"/>
      <c r="ABJ108" s="1009"/>
      <c r="ABK108" s="1009"/>
      <c r="ABL108" s="1009"/>
      <c r="ABM108" s="1009"/>
      <c r="ABN108" s="1009"/>
      <c r="ABO108" s="1009"/>
      <c r="ABP108" s="1009"/>
      <c r="ABQ108" s="1009"/>
      <c r="ABR108" s="1009"/>
    </row>
    <row r="109" spans="1:746" s="113" customFormat="1" ht="15.75" customHeight="1">
      <c r="A109" s="924"/>
      <c r="B109" s="1793"/>
      <c r="C109" s="1796"/>
      <c r="D109" s="1796"/>
      <c r="E109" s="1796"/>
      <c r="F109" s="1796"/>
      <c r="G109" s="1797"/>
      <c r="H109" s="1844"/>
      <c r="I109" s="2570" t="str">
        <f>IF(fx!I$57=0,"&gt;&gt;",IF($L$4=I$6,"","Välj 1-12 i P4"))</f>
        <v/>
      </c>
      <c r="J109" s="1843" t="str">
        <f>IF(fx!J$57=0,"&gt;&gt;",IF($L$4=J$6,"Startmånad",""))</f>
        <v/>
      </c>
      <c r="K109" s="1843" t="str">
        <f>IF(fx!K$57=0,"&gt;&gt;",IF($L$4=K$6,"Startmånad",""))</f>
        <v/>
      </c>
      <c r="L109" s="1843" t="str">
        <f>IF(fx!L$57=0,"&gt;&gt;",IF($L$4=L$6,"Startmånad",""))</f>
        <v/>
      </c>
      <c r="M109" s="1843" t="str">
        <f>IF(fx!M$57=0,"&gt;&gt;",IF($L$4=M$6,"Startmånad",""))</f>
        <v/>
      </c>
      <c r="N109" s="1843" t="str">
        <f>IF(fx!N$57=0,"&gt;&gt;",IF($L$4=N$6,"Startmånad",""))</f>
        <v/>
      </c>
      <c r="O109" s="1843" t="str">
        <f>IF(AND(fx!$C$57=1,fx!O$57=0),"&gt;&gt;",IF(AND(fx!$C$57=1,$L$4=$O$6),"Startmånad",IF(AND(fx!$C$57=2,$L$4&lt;7),"Välj 7-12 i P4",IF(AND(fx!$C$57=2,$L$4=$O$6),"Startmånad",IF(AND(fx!$C$57=2,$L$4&gt;$O$6),"&gt;&gt;","")))))</f>
        <v/>
      </c>
      <c r="P109" s="1843" t="str">
        <f>IF(fx!P$57=0,"&gt;&gt;",IF($L$4=P$6,"Startmånad",""))</f>
        <v/>
      </c>
      <c r="Q109" s="1843" t="str">
        <f>IF(fx!Q$57=0,"&gt;&gt;",IF($L$4=Q$6,"Startmånad",""))</f>
        <v/>
      </c>
      <c r="R109" s="1843" t="str">
        <f>IF(fx!R$57=0,"&gt;&gt;",IF($L$4=R$6,"Startmånad",""))</f>
        <v/>
      </c>
      <c r="S109" s="1843" t="str">
        <f>IF(fx!S$57=0,"&gt;&gt;",IF($L$4=S$6,"Startmånad",""))</f>
        <v/>
      </c>
      <c r="T109" s="2717" t="str">
        <f>IF(fx!T$57=0,"&gt;&gt;",IF($L$4=T$6,"Startmånad",""))</f>
        <v/>
      </c>
      <c r="U109" s="2716"/>
      <c r="V109" s="1786"/>
      <c r="W109" s="1786"/>
      <c r="X109" s="1786"/>
      <c r="Y109" s="1786"/>
      <c r="Z109" s="1786"/>
      <c r="AA109" s="1786"/>
      <c r="AB109" s="1786"/>
      <c r="AC109" s="1786"/>
      <c r="AD109" s="1786"/>
      <c r="AE109" s="1786"/>
      <c r="AF109" s="1787"/>
      <c r="AG109" s="1786"/>
      <c r="AH109" s="1315"/>
      <c r="AI109" s="1315"/>
      <c r="AJ109" s="1282"/>
      <c r="AK109" s="1282"/>
      <c r="AL109" s="1282"/>
      <c r="AM109" s="1021"/>
      <c r="AN109" s="1015"/>
      <c r="AO109" s="1945"/>
      <c r="AP109" s="1935"/>
      <c r="AQ109" s="1936"/>
      <c r="AR109" s="1941"/>
      <c r="AS109" s="1941"/>
      <c r="AT109" s="1941"/>
      <c r="AU109" s="1941"/>
      <c r="AV109" s="1941"/>
      <c r="AW109" s="1941"/>
      <c r="AX109" s="1941"/>
      <c r="AY109" s="1941"/>
      <c r="AZ109" s="1941"/>
      <c r="BA109" s="1941"/>
      <c r="BB109" s="1941"/>
      <c r="BC109" s="1941"/>
      <c r="BD109" s="1941"/>
      <c r="BE109" s="1941"/>
      <c r="BF109" s="1941"/>
      <c r="BG109" s="1941"/>
      <c r="BH109" s="1941"/>
      <c r="BI109" s="1941"/>
      <c r="BJ109" s="1941"/>
      <c r="BK109" s="1941"/>
      <c r="BL109" s="1941"/>
      <c r="BM109" s="1941"/>
      <c r="BN109" s="1941"/>
      <c r="BO109" s="1941"/>
      <c r="BP109" s="1005"/>
      <c r="BQ109" s="1005"/>
      <c r="BR109" s="1005"/>
      <c r="BS109" s="1005"/>
      <c r="BT109" s="1005"/>
      <c r="BU109" s="1005"/>
      <c r="BV109" s="1005"/>
      <c r="BW109" s="1005"/>
      <c r="BX109" s="1005"/>
      <c r="BY109" s="1005"/>
      <c r="BZ109" s="1005"/>
      <c r="CA109" s="1005"/>
      <c r="CB109" s="1005"/>
      <c r="CC109" s="1005"/>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c r="EC109" s="1005"/>
      <c r="ED109" s="1005"/>
      <c r="EE109" s="1005"/>
      <c r="EF109" s="1005"/>
      <c r="EG109" s="1005"/>
      <c r="EH109" s="1005"/>
      <c r="EI109" s="1005"/>
      <c r="EJ109" s="1005"/>
      <c r="EK109" s="1005"/>
      <c r="EL109" s="1005"/>
      <c r="EM109" s="1005"/>
      <c r="EN109" s="1005"/>
      <c r="EO109" s="1005"/>
      <c r="EP109" s="1005"/>
      <c r="EQ109" s="1005"/>
      <c r="ER109" s="1005"/>
      <c r="ES109" s="1005"/>
      <c r="ET109" s="1005"/>
      <c r="EU109" s="1005"/>
      <c r="EV109" s="1005"/>
      <c r="EW109" s="1005"/>
      <c r="EX109" s="1005"/>
      <c r="EY109" s="1005"/>
      <c r="EZ109" s="1005"/>
      <c r="FA109" s="1005"/>
      <c r="FB109" s="1005"/>
      <c r="FC109" s="1005"/>
      <c r="FD109" s="1005"/>
      <c r="FE109" s="1005"/>
      <c r="FF109" s="1005"/>
      <c r="FG109" s="1005"/>
      <c r="FH109" s="1005"/>
      <c r="FI109" s="1005"/>
      <c r="FJ109" s="1005"/>
      <c r="FK109" s="1005"/>
      <c r="FL109" s="1005"/>
      <c r="FM109" s="1005"/>
      <c r="FN109" s="1005"/>
      <c r="FO109" s="1005"/>
      <c r="FP109" s="1005"/>
      <c r="FQ109" s="1005"/>
      <c r="FR109" s="1005"/>
      <c r="FS109" s="1005"/>
      <c r="FT109" s="1005"/>
      <c r="FU109" s="1005"/>
      <c r="FV109" s="1005"/>
      <c r="FW109" s="1005"/>
      <c r="FX109" s="1005"/>
      <c r="FY109" s="1005"/>
      <c r="FZ109" s="1005"/>
      <c r="GA109" s="1005"/>
      <c r="GB109" s="1005"/>
      <c r="GC109" s="1005"/>
      <c r="GD109" s="1005"/>
      <c r="GE109" s="1005"/>
      <c r="GF109" s="1005"/>
      <c r="GG109" s="1005"/>
      <c r="GH109" s="1005"/>
      <c r="GI109" s="1005"/>
      <c r="GJ109" s="1005"/>
      <c r="GK109" s="1005"/>
      <c r="GL109" s="1005"/>
      <c r="GM109" s="1005"/>
      <c r="GN109" s="1005"/>
      <c r="GO109" s="1005"/>
      <c r="GP109" s="1005"/>
      <c r="GQ109" s="1005"/>
      <c r="GR109" s="1005"/>
      <c r="GS109" s="1005"/>
      <c r="GT109" s="1005"/>
      <c r="GU109" s="1005"/>
      <c r="GV109" s="1005"/>
      <c r="GW109" s="1005"/>
      <c r="GX109" s="1005"/>
      <c r="GY109" s="1005"/>
      <c r="GZ109" s="1005"/>
      <c r="HA109" s="1005"/>
      <c r="HB109" s="1005"/>
      <c r="HC109" s="1005"/>
      <c r="HD109" s="1005"/>
      <c r="HE109" s="1005"/>
      <c r="HF109" s="1005"/>
      <c r="HG109" s="1005"/>
      <c r="HH109" s="1005"/>
      <c r="HI109" s="1005"/>
      <c r="HJ109" s="1005"/>
      <c r="HK109" s="1005"/>
      <c r="HL109" s="1005"/>
      <c r="HM109" s="1005"/>
      <c r="HN109" s="1005"/>
      <c r="HO109" s="1005"/>
      <c r="HP109" s="1005"/>
      <c r="HQ109" s="1005"/>
      <c r="HR109" s="1005"/>
      <c r="HS109" s="1005"/>
      <c r="HT109" s="1005"/>
      <c r="HU109" s="1005"/>
      <c r="HV109" s="1005"/>
      <c r="HW109" s="1005"/>
      <c r="HX109" s="1005"/>
      <c r="HY109" s="1005"/>
      <c r="HZ109" s="1005"/>
      <c r="IA109" s="1005"/>
      <c r="IB109" s="1005"/>
      <c r="IC109" s="1005"/>
      <c r="ID109" s="1005"/>
      <c r="IE109" s="1005"/>
      <c r="IF109" s="1005"/>
      <c r="IG109" s="1005"/>
      <c r="IH109" s="1005"/>
      <c r="II109" s="1005"/>
      <c r="IJ109" s="1005"/>
      <c r="IK109" s="1005"/>
      <c r="IL109" s="1005"/>
      <c r="IM109" s="1005"/>
      <c r="IN109" s="1005"/>
      <c r="IO109" s="1005"/>
      <c r="IP109" s="1005"/>
      <c r="IQ109" s="1005"/>
      <c r="IR109" s="1005"/>
      <c r="IS109" s="1005"/>
      <c r="IT109" s="1005"/>
      <c r="IU109" s="1005"/>
      <c r="IV109" s="1005"/>
      <c r="IW109" s="1005"/>
      <c r="IX109" s="1005"/>
      <c r="IY109" s="1005"/>
      <c r="IZ109" s="1005"/>
      <c r="JA109" s="1005"/>
      <c r="JB109" s="1005"/>
      <c r="JC109" s="1005"/>
      <c r="JD109" s="1005"/>
      <c r="JE109" s="1005"/>
      <c r="JF109" s="1005"/>
      <c r="JG109" s="1005"/>
      <c r="JH109" s="1005"/>
      <c r="JI109" s="1005"/>
      <c r="JJ109" s="1005"/>
      <c r="JK109" s="1005"/>
      <c r="JL109" s="1005"/>
      <c r="JM109" s="1005"/>
      <c r="JN109" s="1005"/>
      <c r="JO109" s="1005"/>
      <c r="JP109" s="1005"/>
      <c r="JQ109" s="1005"/>
      <c r="JR109" s="1005"/>
      <c r="JS109" s="1005"/>
      <c r="JT109" s="1005"/>
      <c r="JU109" s="1005"/>
      <c r="JV109" s="1005"/>
      <c r="JW109" s="1005"/>
      <c r="JX109" s="1005"/>
      <c r="JY109" s="1005"/>
      <c r="JZ109" s="1005"/>
      <c r="KA109" s="1005"/>
      <c r="KB109" s="1005"/>
      <c r="KC109" s="1005"/>
      <c r="KD109" s="1005"/>
      <c r="KE109" s="1005"/>
      <c r="KF109" s="1005"/>
      <c r="KG109" s="1005"/>
      <c r="KH109" s="1005"/>
      <c r="KI109" s="1005"/>
      <c r="KJ109" s="1005"/>
      <c r="KK109" s="1005"/>
      <c r="KL109" s="1005"/>
      <c r="KM109" s="1005"/>
      <c r="KN109" s="1005"/>
      <c r="KO109" s="1005"/>
      <c r="KP109" s="1005"/>
      <c r="KQ109" s="1005"/>
      <c r="KR109" s="1005"/>
      <c r="KS109" s="1005"/>
      <c r="KT109" s="1005"/>
      <c r="KU109" s="1005"/>
      <c r="KV109" s="1005"/>
      <c r="KW109" s="1005"/>
      <c r="KX109" s="1005"/>
      <c r="KY109" s="1005"/>
      <c r="KZ109" s="1005"/>
      <c r="LA109" s="1005"/>
      <c r="LB109" s="1005"/>
      <c r="LC109" s="1005"/>
      <c r="LD109" s="1005"/>
      <c r="LE109" s="1005"/>
      <c r="LF109" s="1005"/>
      <c r="LG109" s="1005"/>
      <c r="LH109" s="1005"/>
      <c r="LI109" s="1005"/>
      <c r="LJ109" s="1005"/>
      <c r="LK109" s="1005"/>
      <c r="LL109" s="1005"/>
      <c r="LM109" s="1005"/>
      <c r="LN109" s="1005"/>
      <c r="LO109" s="1005"/>
      <c r="LP109" s="1005"/>
      <c r="LQ109" s="1005"/>
      <c r="LR109" s="1005"/>
      <c r="LS109" s="1005"/>
      <c r="LT109" s="1005"/>
      <c r="LU109" s="1005"/>
      <c r="LV109" s="1005"/>
      <c r="LW109" s="1005"/>
      <c r="LX109" s="1005"/>
      <c r="LY109" s="1005"/>
      <c r="LZ109" s="1005"/>
      <c r="MA109" s="1005"/>
      <c r="MB109" s="1005"/>
      <c r="MC109" s="1005"/>
      <c r="MD109" s="1005"/>
      <c r="ME109" s="1005"/>
      <c r="MF109" s="1005"/>
      <c r="MG109" s="1005"/>
      <c r="MH109" s="1005"/>
      <c r="MI109" s="1005"/>
      <c r="MJ109" s="1005"/>
      <c r="MK109" s="1005"/>
      <c r="ML109" s="1005"/>
      <c r="MM109" s="1005"/>
      <c r="MN109" s="1005"/>
      <c r="MO109" s="1005"/>
      <c r="MP109" s="1005"/>
      <c r="MQ109" s="1005"/>
      <c r="MR109" s="1005"/>
      <c r="MS109" s="1005"/>
      <c r="MT109" s="1005"/>
      <c r="MU109" s="1005"/>
      <c r="MV109" s="1005"/>
      <c r="MW109" s="1005"/>
      <c r="MX109" s="1005"/>
      <c r="MY109" s="1005"/>
      <c r="MZ109" s="1005"/>
      <c r="NA109" s="1005"/>
      <c r="NB109" s="1005"/>
      <c r="NC109" s="1005"/>
      <c r="ND109" s="1005"/>
      <c r="NE109" s="1005"/>
      <c r="NF109" s="1005"/>
      <c r="NG109" s="1005"/>
      <c r="NH109" s="1005"/>
      <c r="NI109" s="1005"/>
      <c r="NJ109" s="1005"/>
      <c r="NK109" s="1005"/>
      <c r="NL109" s="1005"/>
      <c r="NM109" s="1005"/>
      <c r="NN109" s="1005"/>
      <c r="NO109" s="1005"/>
      <c r="NP109" s="1005"/>
      <c r="NQ109" s="1005"/>
      <c r="NR109" s="1005"/>
      <c r="NS109" s="1005"/>
      <c r="NT109" s="1005"/>
      <c r="NU109" s="1005"/>
      <c r="NV109" s="1005"/>
      <c r="NW109" s="1005"/>
      <c r="NX109" s="1005"/>
      <c r="NY109" s="1005"/>
      <c r="NZ109" s="1005"/>
      <c r="OA109" s="1005"/>
      <c r="OB109" s="1005"/>
      <c r="OC109" s="1005"/>
      <c r="OD109" s="1005"/>
      <c r="OE109" s="1005"/>
      <c r="OF109" s="1005"/>
      <c r="OG109" s="1005"/>
      <c r="OH109" s="1005"/>
      <c r="OI109" s="1005"/>
      <c r="OJ109" s="1005"/>
      <c r="OK109" s="1005"/>
      <c r="OL109" s="1005"/>
      <c r="OM109" s="1005"/>
      <c r="ON109" s="1005"/>
      <c r="OO109" s="1005"/>
      <c r="OP109" s="1005"/>
      <c r="OQ109" s="1005"/>
      <c r="OR109" s="1005"/>
      <c r="OS109" s="1005"/>
      <c r="OT109" s="1005"/>
      <c r="OU109" s="1005"/>
      <c r="OV109" s="1005"/>
      <c r="OW109" s="1005"/>
      <c r="OX109" s="1005"/>
      <c r="OY109" s="1005"/>
      <c r="OZ109" s="1005"/>
      <c r="PA109" s="1005"/>
      <c r="PB109" s="1005"/>
      <c r="PC109" s="1005"/>
      <c r="PD109" s="1005"/>
      <c r="PE109" s="1005"/>
      <c r="PF109" s="1005"/>
      <c r="PG109" s="1005"/>
      <c r="PH109" s="1005"/>
      <c r="PI109" s="1005"/>
      <c r="PJ109" s="1005"/>
      <c r="PK109" s="1005"/>
      <c r="PL109" s="1005"/>
      <c r="PM109" s="1005"/>
      <c r="PN109" s="1005"/>
      <c r="PO109" s="1005"/>
      <c r="PP109" s="1005"/>
      <c r="PQ109" s="1005"/>
      <c r="PR109" s="1005"/>
      <c r="PS109" s="1005"/>
      <c r="PT109" s="1005"/>
      <c r="PU109" s="1005"/>
      <c r="PV109" s="1005"/>
      <c r="PW109" s="1005"/>
      <c r="PX109" s="1005"/>
      <c r="PY109" s="1005"/>
      <c r="PZ109" s="1005"/>
      <c r="QA109" s="1005"/>
      <c r="QB109" s="1005"/>
      <c r="QC109" s="1005"/>
      <c r="QD109" s="1005"/>
      <c r="QE109" s="1005"/>
      <c r="QF109" s="1005"/>
      <c r="QG109" s="1005"/>
      <c r="QH109" s="1005"/>
      <c r="QI109" s="1005"/>
      <c r="QJ109" s="1005"/>
      <c r="QK109" s="1005"/>
      <c r="QL109" s="1005"/>
      <c r="QM109" s="1005"/>
      <c r="QN109" s="1005"/>
      <c r="QO109" s="1005"/>
      <c r="QP109" s="1005"/>
      <c r="QQ109" s="1005"/>
      <c r="QR109" s="1005"/>
      <c r="QS109" s="1005"/>
      <c r="QT109" s="1005"/>
      <c r="QU109" s="1005"/>
      <c r="QV109" s="1005"/>
      <c r="QW109" s="1005"/>
      <c r="QX109" s="1005"/>
      <c r="QY109" s="1005"/>
      <c r="QZ109" s="1005"/>
      <c r="RA109" s="1005"/>
      <c r="RB109" s="1005"/>
      <c r="RC109" s="1005"/>
      <c r="RD109" s="1005"/>
      <c r="RE109" s="1005"/>
      <c r="RF109" s="1005"/>
      <c r="RG109" s="1005"/>
      <c r="RH109" s="1005"/>
      <c r="RI109" s="1005"/>
      <c r="RJ109" s="1005"/>
      <c r="RK109" s="1005"/>
      <c r="RL109" s="1005"/>
      <c r="RM109" s="1005"/>
      <c r="RN109" s="1005"/>
      <c r="RO109" s="1005"/>
      <c r="RP109" s="1005"/>
      <c r="RQ109" s="1005"/>
      <c r="RR109" s="1005"/>
      <c r="RS109" s="1005"/>
      <c r="RT109" s="1005"/>
      <c r="RU109" s="1005"/>
      <c r="RV109" s="1005"/>
      <c r="RW109" s="1005"/>
      <c r="RX109" s="1005"/>
      <c r="RY109" s="1005"/>
      <c r="RZ109" s="1005"/>
      <c r="SA109" s="1005"/>
      <c r="SB109" s="1005"/>
      <c r="SC109" s="1005"/>
      <c r="SD109" s="1005"/>
      <c r="SE109" s="1005"/>
      <c r="SF109" s="1005"/>
      <c r="SG109" s="1005"/>
      <c r="SH109" s="1005"/>
      <c r="SI109" s="1005"/>
      <c r="SJ109" s="1005"/>
      <c r="SK109" s="1005"/>
      <c r="SL109" s="1005"/>
      <c r="SM109" s="1005"/>
      <c r="SN109" s="1005"/>
      <c r="SO109" s="1005"/>
      <c r="SP109" s="1005"/>
      <c r="SQ109" s="1005"/>
      <c r="SR109" s="1005"/>
      <c r="SS109" s="1005"/>
      <c r="ST109" s="1005"/>
      <c r="SU109" s="1005"/>
      <c r="SV109" s="1005"/>
      <c r="SW109" s="1005"/>
      <c r="SX109" s="1005"/>
      <c r="SY109" s="1005"/>
      <c r="SZ109" s="1005"/>
      <c r="TA109" s="1005"/>
      <c r="TB109" s="1005"/>
      <c r="TC109" s="1005"/>
      <c r="TD109" s="1005"/>
      <c r="TE109" s="1005"/>
      <c r="TF109" s="1005"/>
      <c r="TG109" s="1005"/>
      <c r="TH109" s="1005"/>
      <c r="TI109" s="1005"/>
      <c r="TJ109" s="1005"/>
      <c r="TK109" s="1005"/>
      <c r="TL109" s="1005"/>
      <c r="TM109" s="1005"/>
      <c r="TN109" s="1005"/>
      <c r="TO109" s="1005"/>
      <c r="TP109" s="1005"/>
      <c r="TQ109" s="1005"/>
      <c r="TR109" s="1005"/>
      <c r="TS109" s="1005"/>
      <c r="TT109" s="1005"/>
      <c r="TU109" s="1005"/>
      <c r="TV109" s="1005"/>
      <c r="TW109" s="1005"/>
      <c r="TX109" s="1005"/>
      <c r="TY109" s="1005"/>
      <c r="TZ109" s="1005"/>
      <c r="UA109" s="1005"/>
      <c r="UB109" s="1005"/>
      <c r="UC109" s="1005"/>
      <c r="UD109" s="1005"/>
      <c r="UE109" s="1005"/>
      <c r="UF109" s="1005"/>
      <c r="UG109" s="1005"/>
      <c r="UH109" s="1005"/>
      <c r="UI109" s="1005"/>
      <c r="UJ109" s="1005"/>
      <c r="UK109" s="1005"/>
      <c r="UL109" s="1005"/>
      <c r="UM109" s="1005"/>
      <c r="UN109" s="1005"/>
      <c r="UO109" s="1005"/>
      <c r="UP109" s="1005"/>
      <c r="UQ109" s="1005"/>
      <c r="UR109" s="1005"/>
      <c r="US109" s="1005"/>
      <c r="UT109" s="1005"/>
      <c r="UU109" s="1005"/>
      <c r="UV109" s="1005"/>
      <c r="UW109" s="1005"/>
      <c r="UX109" s="1005"/>
      <c r="UY109" s="1005"/>
      <c r="UZ109" s="1005"/>
      <c r="VA109" s="1005"/>
      <c r="VB109" s="1005"/>
      <c r="VC109" s="1005"/>
      <c r="VD109" s="1005"/>
      <c r="VE109" s="1005"/>
      <c r="VF109" s="1005"/>
      <c r="VG109" s="1005"/>
      <c r="VH109" s="1005"/>
      <c r="VI109" s="1005"/>
      <c r="VJ109" s="1005"/>
      <c r="VK109" s="1005"/>
      <c r="VL109" s="1005"/>
      <c r="VM109" s="1005"/>
      <c r="VN109" s="1005"/>
      <c r="VO109" s="1005"/>
      <c r="VP109" s="1005"/>
      <c r="VQ109" s="1005"/>
      <c r="VR109" s="1005"/>
      <c r="VS109" s="1005"/>
      <c r="VT109" s="1005"/>
      <c r="VU109" s="1005"/>
      <c r="VV109" s="1005"/>
      <c r="VW109" s="1005"/>
      <c r="VX109" s="1005"/>
      <c r="VY109" s="1005"/>
      <c r="VZ109" s="1005"/>
      <c r="WA109" s="1005"/>
      <c r="WB109" s="1005"/>
      <c r="WC109" s="1005"/>
      <c r="WD109" s="1005"/>
      <c r="WE109" s="1005"/>
      <c r="WF109" s="1005"/>
      <c r="WG109" s="1005"/>
      <c r="WH109" s="1005"/>
      <c r="WI109" s="1005"/>
      <c r="WJ109" s="1005"/>
      <c r="WK109" s="1005"/>
      <c r="WL109" s="1005"/>
      <c r="WM109" s="1005"/>
      <c r="WN109" s="1005"/>
      <c r="WO109" s="1005"/>
      <c r="WP109" s="1005"/>
      <c r="WQ109" s="1005"/>
      <c r="WR109" s="1005"/>
      <c r="WS109" s="1005"/>
      <c r="WT109" s="1005"/>
      <c r="WU109" s="1005"/>
      <c r="WV109" s="1005"/>
      <c r="WW109" s="1005"/>
      <c r="WX109" s="1005"/>
      <c r="WY109" s="1005"/>
      <c r="WZ109" s="1005"/>
      <c r="XA109" s="1005"/>
      <c r="XB109" s="1005"/>
      <c r="XC109" s="1005"/>
      <c r="XD109" s="1005"/>
      <c r="XE109" s="1005"/>
      <c r="XF109" s="1005"/>
      <c r="XG109" s="1005"/>
      <c r="XH109" s="1005"/>
      <c r="XI109" s="1005"/>
      <c r="XJ109" s="1005"/>
      <c r="XK109" s="1005"/>
      <c r="XL109" s="1005"/>
      <c r="XM109" s="1005"/>
      <c r="XN109" s="1005"/>
      <c r="XO109" s="1005"/>
      <c r="XP109" s="1005"/>
      <c r="XQ109" s="1005"/>
      <c r="XR109" s="1005"/>
      <c r="XS109" s="1005"/>
      <c r="XT109" s="1005"/>
      <c r="XU109" s="1005"/>
      <c r="XV109" s="1005"/>
      <c r="XW109" s="1005"/>
      <c r="XX109" s="1005"/>
      <c r="XY109" s="1005"/>
      <c r="XZ109" s="1005"/>
      <c r="YA109" s="1005"/>
      <c r="YB109" s="1005"/>
      <c r="YC109" s="1005"/>
      <c r="YD109" s="1005"/>
      <c r="YE109" s="1005"/>
      <c r="YF109" s="1005"/>
      <c r="YG109" s="1005"/>
      <c r="YH109" s="1005"/>
      <c r="YI109" s="1005"/>
      <c r="YJ109" s="1005"/>
      <c r="YK109" s="1005"/>
      <c r="YL109" s="1005"/>
      <c r="YM109" s="1005"/>
      <c r="YN109" s="1005"/>
      <c r="YO109" s="1005"/>
      <c r="YP109" s="1005"/>
      <c r="YQ109" s="1005"/>
      <c r="YR109" s="1005"/>
      <c r="YS109" s="1005"/>
      <c r="YT109" s="1005"/>
      <c r="YU109" s="1005"/>
      <c r="YV109" s="1005"/>
      <c r="YW109" s="1005"/>
      <c r="YX109" s="1005"/>
      <c r="YY109" s="1005"/>
      <c r="YZ109" s="1005"/>
      <c r="ZA109" s="1005"/>
      <c r="ZB109" s="1005"/>
      <c r="ZC109" s="1005"/>
      <c r="ZD109" s="1005"/>
      <c r="ZE109" s="1005"/>
      <c r="ZF109" s="1005"/>
      <c r="ZG109" s="1005"/>
      <c r="ZH109" s="1005"/>
      <c r="ZI109" s="1005"/>
      <c r="ZJ109" s="1005"/>
      <c r="ZK109" s="1005"/>
      <c r="ZL109" s="1005"/>
      <c r="ZM109" s="1005"/>
      <c r="ZN109" s="1005"/>
      <c r="ZO109" s="1005"/>
      <c r="ZP109" s="1005"/>
      <c r="ZQ109" s="1005"/>
      <c r="ZR109" s="1005"/>
      <c r="ZS109" s="1005"/>
      <c r="ZT109" s="1005"/>
      <c r="ZU109" s="1005"/>
      <c r="ZV109" s="1005"/>
      <c r="ZW109" s="1005"/>
      <c r="ZX109" s="1005"/>
      <c r="ZY109" s="1005"/>
      <c r="ZZ109" s="1005"/>
      <c r="AAA109" s="1005"/>
      <c r="AAB109" s="1005"/>
      <c r="AAC109" s="1005"/>
      <c r="AAD109" s="1005"/>
      <c r="AAE109" s="1005"/>
      <c r="AAF109" s="1005"/>
      <c r="AAG109" s="1005"/>
      <c r="AAH109" s="1005"/>
      <c r="AAI109" s="1005"/>
      <c r="AAJ109" s="1005"/>
      <c r="AAK109" s="1005"/>
      <c r="AAL109" s="1005"/>
      <c r="AAM109" s="1005"/>
      <c r="AAN109" s="1005"/>
      <c r="AAO109" s="1005"/>
      <c r="AAP109" s="1005"/>
      <c r="AAQ109" s="1005"/>
      <c r="AAR109" s="1005"/>
      <c r="AAS109" s="1005"/>
      <c r="AAT109" s="1005"/>
      <c r="AAU109" s="1005"/>
      <c r="AAV109" s="1005"/>
      <c r="AAW109" s="1005"/>
      <c r="AAX109" s="1005"/>
      <c r="AAY109" s="1005"/>
      <c r="AAZ109" s="1005"/>
      <c r="ABA109" s="1005"/>
      <c r="ABB109" s="1005"/>
      <c r="ABC109" s="1005"/>
      <c r="ABD109" s="1005"/>
      <c r="ABE109" s="1005"/>
      <c r="ABF109" s="1005"/>
      <c r="ABG109" s="1005"/>
      <c r="ABH109" s="1005"/>
      <c r="ABI109" s="1005"/>
      <c r="ABJ109" s="1005"/>
      <c r="ABK109" s="1005"/>
      <c r="ABL109" s="1005"/>
      <c r="ABM109" s="1005"/>
      <c r="ABN109" s="1005"/>
      <c r="ABO109" s="1005"/>
      <c r="ABP109" s="1005"/>
      <c r="ABQ109" s="1005"/>
      <c r="ABR109" s="1005"/>
    </row>
    <row r="110" spans="1:746" s="94" customFormat="1" ht="12.9" customHeight="1">
      <c r="A110" s="924"/>
      <c r="B110" s="953" t="s">
        <v>825</v>
      </c>
      <c r="C110" s="820"/>
      <c r="D110" s="557"/>
      <c r="E110" s="594"/>
      <c r="F110" s="594"/>
      <c r="G110" s="594"/>
      <c r="H110" s="2164"/>
      <c r="I110" s="875"/>
      <c r="J110" s="380"/>
      <c r="K110" s="380"/>
      <c r="L110" s="380"/>
      <c r="M110" s="380"/>
      <c r="N110" s="380"/>
      <c r="O110" s="380"/>
      <c r="P110" s="380"/>
      <c r="Q110" s="380"/>
      <c r="R110" s="380"/>
      <c r="S110" s="380"/>
      <c r="T110" s="368"/>
      <c r="U110" s="875"/>
      <c r="V110" s="875"/>
      <c r="W110" s="875"/>
      <c r="X110" s="875"/>
      <c r="Y110" s="875"/>
      <c r="Z110" s="875"/>
      <c r="AA110" s="875"/>
      <c r="AB110" s="875"/>
      <c r="AC110" s="875"/>
      <c r="AD110" s="875"/>
      <c r="AE110" s="875"/>
      <c r="AF110" s="875"/>
      <c r="AG110" s="1042"/>
      <c r="AH110" s="336"/>
      <c r="AI110" s="336"/>
      <c r="AJ110" s="416">
        <f>IF(fx!$C$57=1,SUM(I110:T110),IF(fx!$C$57=2,SUM(O110:AF110)))</f>
        <v>0</v>
      </c>
      <c r="AK110" s="328"/>
      <c r="AL110" s="422">
        <f>IF(fx!$C$57=1,SUM(U110:AF110),0)</f>
        <v>0</v>
      </c>
      <c r="AM110" s="1021"/>
      <c r="AN110" s="1023"/>
      <c r="AO110" s="1945"/>
      <c r="AP110" s="1935"/>
      <c r="AQ110" s="1936"/>
      <c r="AR110" s="1941"/>
      <c r="AS110" s="1941"/>
      <c r="AT110" s="1941"/>
      <c r="AU110" s="1941"/>
      <c r="AV110" s="1941"/>
      <c r="AW110" s="1941"/>
      <c r="AX110" s="1941"/>
      <c r="AY110" s="1941"/>
      <c r="AZ110" s="1941"/>
      <c r="BA110" s="1941"/>
      <c r="BB110" s="1941"/>
      <c r="BC110" s="1941"/>
      <c r="BD110" s="1941"/>
      <c r="BE110" s="1941"/>
      <c r="BF110" s="1941"/>
      <c r="BG110" s="1941"/>
      <c r="BH110" s="1941"/>
      <c r="BI110" s="1941"/>
      <c r="BJ110" s="1941"/>
      <c r="BK110" s="1941"/>
      <c r="BL110" s="1941"/>
      <c r="BM110" s="1941"/>
      <c r="BN110" s="1941"/>
      <c r="BO110" s="1941"/>
      <c r="BP110" s="1005"/>
      <c r="BQ110" s="1005"/>
      <c r="BR110" s="1005"/>
      <c r="BS110" s="1005"/>
      <c r="BT110" s="1005"/>
      <c r="BU110" s="1005"/>
      <c r="BV110" s="1005"/>
      <c r="BW110" s="1005"/>
      <c r="BX110" s="1005"/>
      <c r="BY110" s="1005"/>
      <c r="BZ110" s="1005"/>
      <c r="CA110" s="1005"/>
      <c r="CB110" s="1005"/>
      <c r="CC110" s="1005"/>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c r="EC110" s="1005"/>
      <c r="ED110" s="1005"/>
      <c r="EE110" s="1005"/>
      <c r="EF110" s="1005"/>
      <c r="EG110" s="1005"/>
      <c r="EH110" s="1005"/>
      <c r="EI110" s="1005"/>
      <c r="EJ110" s="1005"/>
      <c r="EK110" s="1005"/>
      <c r="EL110" s="1005"/>
      <c r="EM110" s="1005"/>
      <c r="EN110" s="1005"/>
      <c r="EO110" s="1005"/>
      <c r="EP110" s="1005"/>
      <c r="EQ110" s="1005"/>
      <c r="ER110" s="1005"/>
      <c r="ES110" s="1005"/>
      <c r="ET110" s="1005"/>
      <c r="EU110" s="1005"/>
      <c r="EV110" s="1005"/>
      <c r="EW110" s="1005"/>
      <c r="EX110" s="1005"/>
      <c r="EY110" s="1005"/>
      <c r="EZ110" s="1005"/>
      <c r="FA110" s="1005"/>
      <c r="FB110" s="1005"/>
      <c r="FC110" s="1005"/>
      <c r="FD110" s="1005"/>
      <c r="FE110" s="1005"/>
      <c r="FF110" s="1005"/>
      <c r="FG110" s="1005"/>
      <c r="FH110" s="1005"/>
      <c r="FI110" s="1005"/>
      <c r="FJ110" s="1005"/>
      <c r="FK110" s="1005"/>
      <c r="FL110" s="1005"/>
      <c r="FM110" s="1005"/>
      <c r="FN110" s="1005"/>
      <c r="FO110" s="1005"/>
      <c r="FP110" s="1005"/>
      <c r="FQ110" s="1005"/>
      <c r="FR110" s="1005"/>
      <c r="FS110" s="1005"/>
      <c r="FT110" s="1005"/>
      <c r="FU110" s="1005"/>
      <c r="FV110" s="1005"/>
      <c r="FW110" s="1005"/>
      <c r="FX110" s="1005"/>
      <c r="FY110" s="1005"/>
      <c r="FZ110" s="1005"/>
      <c r="GA110" s="1005"/>
      <c r="GB110" s="1005"/>
      <c r="GC110" s="1005"/>
      <c r="GD110" s="1005"/>
      <c r="GE110" s="1005"/>
      <c r="GF110" s="1005"/>
      <c r="GG110" s="1005"/>
      <c r="GH110" s="1005"/>
      <c r="GI110" s="1005"/>
      <c r="GJ110" s="1005"/>
      <c r="GK110" s="1005"/>
      <c r="GL110" s="1005"/>
      <c r="GM110" s="1005"/>
      <c r="GN110" s="1005"/>
      <c r="GO110" s="1005"/>
      <c r="GP110" s="1005"/>
      <c r="GQ110" s="1005"/>
      <c r="GR110" s="1005"/>
      <c r="GS110" s="1005"/>
      <c r="GT110" s="1005"/>
      <c r="GU110" s="1005"/>
      <c r="GV110" s="1005"/>
      <c r="GW110" s="1005"/>
      <c r="GX110" s="1005"/>
      <c r="GY110" s="1005"/>
      <c r="GZ110" s="1005"/>
      <c r="HA110" s="1005"/>
      <c r="HB110" s="1005"/>
      <c r="HC110" s="1005"/>
      <c r="HD110" s="1005"/>
      <c r="HE110" s="1005"/>
      <c r="HF110" s="1005"/>
      <c r="HG110" s="1005"/>
      <c r="HH110" s="1005"/>
      <c r="HI110" s="1005"/>
      <c r="HJ110" s="1005"/>
      <c r="HK110" s="1005"/>
      <c r="HL110" s="1005"/>
      <c r="HM110" s="1005"/>
      <c r="HN110" s="1005"/>
      <c r="HO110" s="1005"/>
      <c r="HP110" s="1005"/>
      <c r="HQ110" s="1005"/>
      <c r="HR110" s="1005"/>
      <c r="HS110" s="1005"/>
      <c r="HT110" s="1005"/>
      <c r="HU110" s="1005"/>
      <c r="HV110" s="1005"/>
      <c r="HW110" s="1005"/>
      <c r="HX110" s="1005"/>
      <c r="HY110" s="1005"/>
      <c r="HZ110" s="1005"/>
      <c r="IA110" s="1005"/>
      <c r="IB110" s="1005"/>
      <c r="IC110" s="1005"/>
      <c r="ID110" s="1005"/>
      <c r="IE110" s="1005"/>
      <c r="IF110" s="1005"/>
      <c r="IG110" s="1005"/>
      <c r="IH110" s="1005"/>
      <c r="II110" s="1005"/>
      <c r="IJ110" s="1005"/>
      <c r="IK110" s="1005"/>
      <c r="IL110" s="1005"/>
      <c r="IM110" s="1005"/>
      <c r="IN110" s="1005"/>
      <c r="IO110" s="1005"/>
      <c r="IP110" s="1005"/>
      <c r="IQ110" s="1005"/>
      <c r="IR110" s="1005"/>
      <c r="IS110" s="1005"/>
      <c r="IT110" s="1005"/>
      <c r="IU110" s="1005"/>
      <c r="IV110" s="1005"/>
      <c r="IW110" s="1005"/>
      <c r="IX110" s="1005"/>
      <c r="IY110" s="1005"/>
      <c r="IZ110" s="1005"/>
      <c r="JA110" s="1005"/>
      <c r="JB110" s="1005"/>
      <c r="JC110" s="1005"/>
      <c r="JD110" s="1005"/>
      <c r="JE110" s="1005"/>
      <c r="JF110" s="1005"/>
      <c r="JG110" s="1005"/>
      <c r="JH110" s="1005"/>
      <c r="JI110" s="1005"/>
      <c r="JJ110" s="1005"/>
      <c r="JK110" s="1005"/>
      <c r="JL110" s="1005"/>
      <c r="JM110" s="1005"/>
      <c r="JN110" s="1005"/>
      <c r="JO110" s="1005"/>
      <c r="JP110" s="1005"/>
      <c r="JQ110" s="1005"/>
      <c r="JR110" s="1005"/>
      <c r="JS110" s="1005"/>
      <c r="JT110" s="1005"/>
      <c r="JU110" s="1005"/>
      <c r="JV110" s="1005"/>
      <c r="JW110" s="1005"/>
      <c r="JX110" s="1005"/>
      <c r="JY110" s="1005"/>
      <c r="JZ110" s="1005"/>
      <c r="KA110" s="1005"/>
      <c r="KB110" s="1005"/>
      <c r="KC110" s="1005"/>
      <c r="KD110" s="1005"/>
      <c r="KE110" s="1005"/>
      <c r="KF110" s="1005"/>
      <c r="KG110" s="1005"/>
      <c r="KH110" s="1005"/>
      <c r="KI110" s="1005"/>
      <c r="KJ110" s="1005"/>
      <c r="KK110" s="1005"/>
      <c r="KL110" s="1005"/>
      <c r="KM110" s="1005"/>
      <c r="KN110" s="1005"/>
      <c r="KO110" s="1005"/>
      <c r="KP110" s="1005"/>
      <c r="KQ110" s="1005"/>
      <c r="KR110" s="1005"/>
      <c r="KS110" s="1005"/>
      <c r="KT110" s="1005"/>
      <c r="KU110" s="1005"/>
      <c r="KV110" s="1005"/>
      <c r="KW110" s="1005"/>
      <c r="KX110" s="1005"/>
      <c r="KY110" s="1005"/>
      <c r="KZ110" s="1005"/>
      <c r="LA110" s="1005"/>
      <c r="LB110" s="1005"/>
      <c r="LC110" s="1005"/>
      <c r="LD110" s="1005"/>
      <c r="LE110" s="1005"/>
      <c r="LF110" s="1005"/>
      <c r="LG110" s="1005"/>
      <c r="LH110" s="1005"/>
      <c r="LI110" s="1005"/>
      <c r="LJ110" s="1005"/>
      <c r="LK110" s="1005"/>
      <c r="LL110" s="1005"/>
      <c r="LM110" s="1005"/>
      <c r="LN110" s="1005"/>
      <c r="LO110" s="1005"/>
      <c r="LP110" s="1005"/>
      <c r="LQ110" s="1005"/>
      <c r="LR110" s="1005"/>
      <c r="LS110" s="1005"/>
      <c r="LT110" s="1005"/>
      <c r="LU110" s="1005"/>
      <c r="LV110" s="1005"/>
      <c r="LW110" s="1005"/>
      <c r="LX110" s="1005"/>
      <c r="LY110" s="1005"/>
      <c r="LZ110" s="1005"/>
      <c r="MA110" s="1005"/>
      <c r="MB110" s="1005"/>
      <c r="MC110" s="1005"/>
      <c r="MD110" s="1005"/>
      <c r="ME110" s="1005"/>
      <c r="MF110" s="1005"/>
      <c r="MG110" s="1005"/>
      <c r="MH110" s="1005"/>
      <c r="MI110" s="1005"/>
      <c r="MJ110" s="1005"/>
      <c r="MK110" s="1005"/>
      <c r="ML110" s="1005"/>
      <c r="MM110" s="1005"/>
      <c r="MN110" s="1005"/>
      <c r="MO110" s="1005"/>
      <c r="MP110" s="1005"/>
      <c r="MQ110" s="1005"/>
      <c r="MR110" s="1005"/>
      <c r="MS110" s="1005"/>
      <c r="MT110" s="1005"/>
      <c r="MU110" s="1005"/>
      <c r="MV110" s="1005"/>
      <c r="MW110" s="1005"/>
      <c r="MX110" s="1005"/>
      <c r="MY110" s="1005"/>
      <c r="MZ110" s="1005"/>
      <c r="NA110" s="1005"/>
      <c r="NB110" s="1005"/>
      <c r="NC110" s="1005"/>
      <c r="ND110" s="1005"/>
      <c r="NE110" s="1005"/>
      <c r="NF110" s="1005"/>
      <c r="NG110" s="1005"/>
      <c r="NH110" s="1005"/>
      <c r="NI110" s="1005"/>
      <c r="NJ110" s="1005"/>
      <c r="NK110" s="1005"/>
      <c r="NL110" s="1005"/>
      <c r="NM110" s="1005"/>
      <c r="NN110" s="1005"/>
      <c r="NO110" s="1005"/>
      <c r="NP110" s="1005"/>
      <c r="NQ110" s="1005"/>
      <c r="NR110" s="1005"/>
      <c r="NS110" s="1005"/>
      <c r="NT110" s="1005"/>
      <c r="NU110" s="1005"/>
      <c r="NV110" s="1005"/>
      <c r="NW110" s="1005"/>
      <c r="NX110" s="1005"/>
      <c r="NY110" s="1005"/>
      <c r="NZ110" s="1005"/>
      <c r="OA110" s="1005"/>
      <c r="OB110" s="1005"/>
      <c r="OC110" s="1005"/>
      <c r="OD110" s="1005"/>
      <c r="OE110" s="1005"/>
      <c r="OF110" s="1005"/>
      <c r="OG110" s="1005"/>
      <c r="OH110" s="1005"/>
      <c r="OI110" s="1005"/>
      <c r="OJ110" s="1005"/>
      <c r="OK110" s="1005"/>
      <c r="OL110" s="1005"/>
      <c r="OM110" s="1005"/>
      <c r="ON110" s="1005"/>
      <c r="OO110" s="1005"/>
      <c r="OP110" s="1005"/>
      <c r="OQ110" s="1005"/>
      <c r="OR110" s="1005"/>
      <c r="OS110" s="1005"/>
      <c r="OT110" s="1005"/>
      <c r="OU110" s="1005"/>
      <c r="OV110" s="1005"/>
      <c r="OW110" s="1005"/>
      <c r="OX110" s="1005"/>
      <c r="OY110" s="1005"/>
      <c r="OZ110" s="1005"/>
      <c r="PA110" s="1005"/>
      <c r="PB110" s="1005"/>
      <c r="PC110" s="1005"/>
      <c r="PD110" s="1005"/>
      <c r="PE110" s="1005"/>
      <c r="PF110" s="1005"/>
      <c r="PG110" s="1005"/>
      <c r="PH110" s="1005"/>
      <c r="PI110" s="1005"/>
      <c r="PJ110" s="1005"/>
      <c r="PK110" s="1005"/>
      <c r="PL110" s="1005"/>
      <c r="PM110" s="1005"/>
      <c r="PN110" s="1005"/>
      <c r="PO110" s="1005"/>
      <c r="PP110" s="1005"/>
      <c r="PQ110" s="1005"/>
      <c r="PR110" s="1005"/>
      <c r="PS110" s="1005"/>
      <c r="PT110" s="1005"/>
      <c r="PU110" s="1005"/>
      <c r="PV110" s="1005"/>
      <c r="PW110" s="1005"/>
      <c r="PX110" s="1005"/>
      <c r="PY110" s="1005"/>
      <c r="PZ110" s="1005"/>
      <c r="QA110" s="1005"/>
      <c r="QB110" s="1005"/>
      <c r="QC110" s="1005"/>
      <c r="QD110" s="1005"/>
      <c r="QE110" s="1005"/>
      <c r="QF110" s="1005"/>
      <c r="QG110" s="1005"/>
      <c r="QH110" s="1005"/>
      <c r="QI110" s="1005"/>
      <c r="QJ110" s="1005"/>
      <c r="QK110" s="1005"/>
      <c r="QL110" s="1005"/>
      <c r="QM110" s="1005"/>
      <c r="QN110" s="1005"/>
      <c r="QO110" s="1005"/>
      <c r="QP110" s="1005"/>
      <c r="QQ110" s="1005"/>
      <c r="QR110" s="1005"/>
      <c r="QS110" s="1005"/>
      <c r="QT110" s="1005"/>
      <c r="QU110" s="1005"/>
      <c r="QV110" s="1005"/>
      <c r="QW110" s="1005"/>
      <c r="QX110" s="1005"/>
      <c r="QY110" s="1005"/>
      <c r="QZ110" s="1005"/>
      <c r="RA110" s="1005"/>
      <c r="RB110" s="1005"/>
      <c r="RC110" s="1005"/>
      <c r="RD110" s="1005"/>
      <c r="RE110" s="1005"/>
      <c r="RF110" s="1005"/>
      <c r="RG110" s="1005"/>
      <c r="RH110" s="1005"/>
      <c r="RI110" s="1005"/>
      <c r="RJ110" s="1005"/>
      <c r="RK110" s="1005"/>
      <c r="RL110" s="1005"/>
      <c r="RM110" s="1005"/>
      <c r="RN110" s="1005"/>
      <c r="RO110" s="1005"/>
      <c r="RP110" s="1005"/>
      <c r="RQ110" s="1005"/>
      <c r="RR110" s="1005"/>
      <c r="RS110" s="1005"/>
      <c r="RT110" s="1005"/>
      <c r="RU110" s="1005"/>
      <c r="RV110" s="1005"/>
      <c r="RW110" s="1005"/>
      <c r="RX110" s="1005"/>
      <c r="RY110" s="1005"/>
      <c r="RZ110" s="1005"/>
      <c r="SA110" s="1005"/>
      <c r="SB110" s="1005"/>
      <c r="SC110" s="1005"/>
      <c r="SD110" s="1005"/>
      <c r="SE110" s="1005"/>
      <c r="SF110" s="1005"/>
      <c r="SG110" s="1005"/>
      <c r="SH110" s="1005"/>
      <c r="SI110" s="1005"/>
      <c r="SJ110" s="1005"/>
      <c r="SK110" s="1005"/>
      <c r="SL110" s="1005"/>
      <c r="SM110" s="1005"/>
      <c r="SN110" s="1005"/>
      <c r="SO110" s="1005"/>
      <c r="SP110" s="1005"/>
      <c r="SQ110" s="1005"/>
      <c r="SR110" s="1005"/>
      <c r="SS110" s="1005"/>
      <c r="ST110" s="1005"/>
      <c r="SU110" s="1005"/>
      <c r="SV110" s="1005"/>
      <c r="SW110" s="1005"/>
      <c r="SX110" s="1005"/>
      <c r="SY110" s="1005"/>
      <c r="SZ110" s="1005"/>
      <c r="TA110" s="1005"/>
      <c r="TB110" s="1005"/>
      <c r="TC110" s="1005"/>
      <c r="TD110" s="1005"/>
      <c r="TE110" s="1005"/>
      <c r="TF110" s="1005"/>
      <c r="TG110" s="1005"/>
      <c r="TH110" s="1005"/>
      <c r="TI110" s="1005"/>
      <c r="TJ110" s="1005"/>
      <c r="TK110" s="1005"/>
      <c r="TL110" s="1005"/>
      <c r="TM110" s="1005"/>
      <c r="TN110" s="1005"/>
      <c r="TO110" s="1005"/>
      <c r="TP110" s="1005"/>
      <c r="TQ110" s="1005"/>
      <c r="TR110" s="1005"/>
      <c r="TS110" s="1005"/>
      <c r="TT110" s="1005"/>
      <c r="TU110" s="1005"/>
      <c r="TV110" s="1005"/>
      <c r="TW110" s="1005"/>
      <c r="TX110" s="1005"/>
      <c r="TY110" s="1005"/>
      <c r="TZ110" s="1005"/>
      <c r="UA110" s="1005"/>
      <c r="UB110" s="1005"/>
      <c r="UC110" s="1005"/>
      <c r="UD110" s="1005"/>
      <c r="UE110" s="1005"/>
      <c r="UF110" s="1005"/>
      <c r="UG110" s="1005"/>
      <c r="UH110" s="1005"/>
      <c r="UI110" s="1005"/>
      <c r="UJ110" s="1005"/>
      <c r="UK110" s="1005"/>
      <c r="UL110" s="1005"/>
      <c r="UM110" s="1005"/>
      <c r="UN110" s="1005"/>
      <c r="UO110" s="1005"/>
      <c r="UP110" s="1005"/>
      <c r="UQ110" s="1005"/>
      <c r="UR110" s="1005"/>
      <c r="US110" s="1005"/>
      <c r="UT110" s="1005"/>
      <c r="UU110" s="1005"/>
      <c r="UV110" s="1005"/>
      <c r="UW110" s="1005"/>
      <c r="UX110" s="1005"/>
      <c r="UY110" s="1005"/>
      <c r="UZ110" s="1005"/>
      <c r="VA110" s="1005"/>
      <c r="VB110" s="1005"/>
      <c r="VC110" s="1005"/>
      <c r="VD110" s="1005"/>
      <c r="VE110" s="1005"/>
      <c r="VF110" s="1005"/>
      <c r="VG110" s="1005"/>
      <c r="VH110" s="1005"/>
      <c r="VI110" s="1005"/>
      <c r="VJ110" s="1005"/>
      <c r="VK110" s="1005"/>
      <c r="VL110" s="1005"/>
      <c r="VM110" s="1005"/>
      <c r="VN110" s="1005"/>
      <c r="VO110" s="1005"/>
      <c r="VP110" s="1005"/>
      <c r="VQ110" s="1005"/>
      <c r="VR110" s="1005"/>
      <c r="VS110" s="1005"/>
      <c r="VT110" s="1005"/>
      <c r="VU110" s="1005"/>
      <c r="VV110" s="1005"/>
      <c r="VW110" s="1005"/>
      <c r="VX110" s="1005"/>
      <c r="VY110" s="1005"/>
      <c r="VZ110" s="1005"/>
      <c r="WA110" s="1005"/>
      <c r="WB110" s="1005"/>
      <c r="WC110" s="1005"/>
      <c r="WD110" s="1005"/>
      <c r="WE110" s="1005"/>
      <c r="WF110" s="1005"/>
      <c r="WG110" s="1005"/>
      <c r="WH110" s="1005"/>
      <c r="WI110" s="1005"/>
      <c r="WJ110" s="1005"/>
      <c r="WK110" s="1005"/>
      <c r="WL110" s="1005"/>
      <c r="WM110" s="1005"/>
      <c r="WN110" s="1005"/>
      <c r="WO110" s="1005"/>
      <c r="WP110" s="1005"/>
      <c r="WQ110" s="1005"/>
      <c r="WR110" s="1005"/>
      <c r="WS110" s="1005"/>
      <c r="WT110" s="1005"/>
      <c r="WU110" s="1005"/>
      <c r="WV110" s="1005"/>
      <c r="WW110" s="1005"/>
      <c r="WX110" s="1005"/>
      <c r="WY110" s="1005"/>
      <c r="WZ110" s="1005"/>
      <c r="XA110" s="1005"/>
      <c r="XB110" s="1005"/>
      <c r="XC110" s="1005"/>
      <c r="XD110" s="1005"/>
      <c r="XE110" s="1005"/>
      <c r="XF110" s="1005"/>
      <c r="XG110" s="1005"/>
      <c r="XH110" s="1005"/>
      <c r="XI110" s="1005"/>
      <c r="XJ110" s="1005"/>
      <c r="XK110" s="1005"/>
      <c r="XL110" s="1005"/>
      <c r="XM110" s="1005"/>
      <c r="XN110" s="1005"/>
      <c r="XO110" s="1005"/>
      <c r="XP110" s="1005"/>
      <c r="XQ110" s="1005"/>
      <c r="XR110" s="1005"/>
      <c r="XS110" s="1005"/>
      <c r="XT110" s="1005"/>
      <c r="XU110" s="1005"/>
      <c r="XV110" s="1005"/>
      <c r="XW110" s="1005"/>
      <c r="XX110" s="1005"/>
      <c r="XY110" s="1005"/>
      <c r="XZ110" s="1005"/>
      <c r="YA110" s="1005"/>
      <c r="YB110" s="1005"/>
      <c r="YC110" s="1005"/>
      <c r="YD110" s="1005"/>
      <c r="YE110" s="1005"/>
      <c r="YF110" s="1005"/>
      <c r="YG110" s="1005"/>
      <c r="YH110" s="1005"/>
      <c r="YI110" s="1005"/>
      <c r="YJ110" s="1005"/>
      <c r="YK110" s="1005"/>
      <c r="YL110" s="1005"/>
      <c r="YM110" s="1005"/>
      <c r="YN110" s="1005"/>
      <c r="YO110" s="1005"/>
      <c r="YP110" s="1005"/>
      <c r="YQ110" s="1005"/>
      <c r="YR110" s="1005"/>
      <c r="YS110" s="1005"/>
      <c r="YT110" s="1005"/>
      <c r="YU110" s="1005"/>
      <c r="YV110" s="1005"/>
      <c r="YW110" s="1005"/>
      <c r="YX110" s="1005"/>
      <c r="YY110" s="1005"/>
      <c r="YZ110" s="1005"/>
      <c r="ZA110" s="1005"/>
      <c r="ZB110" s="1005"/>
      <c r="ZC110" s="1005"/>
      <c r="ZD110" s="1005"/>
      <c r="ZE110" s="1005"/>
      <c r="ZF110" s="1005"/>
      <c r="ZG110" s="1005"/>
      <c r="ZH110" s="1005"/>
      <c r="ZI110" s="1005"/>
      <c r="ZJ110" s="1005"/>
      <c r="ZK110" s="1005"/>
      <c r="ZL110" s="1005"/>
      <c r="ZM110" s="1005"/>
      <c r="ZN110" s="1005"/>
      <c r="ZO110" s="1005"/>
      <c r="ZP110" s="1005"/>
      <c r="ZQ110" s="1005"/>
      <c r="ZR110" s="1005"/>
      <c r="ZS110" s="1005"/>
      <c r="ZT110" s="1005"/>
      <c r="ZU110" s="1005"/>
      <c r="ZV110" s="1005"/>
      <c r="ZW110" s="1005"/>
      <c r="ZX110" s="1005"/>
      <c r="ZY110" s="1005"/>
      <c r="ZZ110" s="1005"/>
      <c r="AAA110" s="1005"/>
      <c r="AAB110" s="1005"/>
      <c r="AAC110" s="1005"/>
      <c r="AAD110" s="1005"/>
      <c r="AAE110" s="1005"/>
      <c r="AAF110" s="1005"/>
      <c r="AAG110" s="1005"/>
      <c r="AAH110" s="1005"/>
      <c r="AAI110" s="1005"/>
      <c r="AAJ110" s="1005"/>
      <c r="AAK110" s="1005"/>
      <c r="AAL110" s="1005"/>
      <c r="AAM110" s="1005"/>
      <c r="AAN110" s="1005"/>
      <c r="AAO110" s="1005"/>
      <c r="AAP110" s="1005"/>
      <c r="AAQ110" s="1005"/>
      <c r="AAR110" s="1005"/>
      <c r="AAS110" s="1005"/>
      <c r="AAT110" s="1005"/>
      <c r="AAU110" s="1005"/>
      <c r="AAV110" s="1005"/>
      <c r="AAW110" s="1005"/>
      <c r="AAX110" s="1005"/>
      <c r="AAY110" s="1005"/>
      <c r="AAZ110" s="1005"/>
      <c r="ABA110" s="1005"/>
      <c r="ABB110" s="1005"/>
      <c r="ABC110" s="1005"/>
      <c r="ABD110" s="1005"/>
      <c r="ABE110" s="1005"/>
      <c r="ABF110" s="1005"/>
      <c r="ABG110" s="1005"/>
      <c r="ABH110" s="1005"/>
      <c r="ABI110" s="1005"/>
      <c r="ABJ110" s="1005"/>
      <c r="ABK110" s="1005"/>
      <c r="ABL110" s="1005"/>
      <c r="ABM110" s="1005"/>
      <c r="ABN110" s="1005"/>
      <c r="ABO110" s="1005"/>
      <c r="ABP110" s="1005"/>
      <c r="ABQ110" s="1005"/>
      <c r="ABR110" s="1005"/>
    </row>
    <row r="111" spans="1:746" s="94" customFormat="1" ht="2.7" customHeight="1">
      <c r="A111" s="926"/>
      <c r="B111" s="2310"/>
      <c r="C111" s="779"/>
      <c r="D111" s="563"/>
      <c r="E111" s="2311"/>
      <c r="F111" s="2311"/>
      <c r="G111" s="2311"/>
      <c r="H111" s="2537"/>
      <c r="I111" s="544">
        <f>I110*fx!I57</f>
        <v>0</v>
      </c>
      <c r="J111" s="544">
        <f>J110*fx!J57</f>
        <v>0</v>
      </c>
      <c r="K111" s="544">
        <f>K110*fx!K57</f>
        <v>0</v>
      </c>
      <c r="L111" s="544">
        <f>L110*fx!L57</f>
        <v>0</v>
      </c>
      <c r="M111" s="544">
        <f>M110*fx!M57</f>
        <v>0</v>
      </c>
      <c r="N111" s="544">
        <f>N110*fx!N57</f>
        <v>0</v>
      </c>
      <c r="O111" s="545">
        <f>O110*fx!O57</f>
        <v>0</v>
      </c>
      <c r="P111" s="545">
        <f>P110*fx!P57</f>
        <v>0</v>
      </c>
      <c r="Q111" s="545">
        <f>Q110*fx!Q57</f>
        <v>0</v>
      </c>
      <c r="R111" s="545">
        <f>R110*fx!R57</f>
        <v>0</v>
      </c>
      <c r="S111" s="545">
        <f>S110*fx!S57</f>
        <v>0</v>
      </c>
      <c r="T111" s="546">
        <f>T110*fx!T57</f>
        <v>0</v>
      </c>
      <c r="U111" s="545">
        <f>U110*fx!U57</f>
        <v>0</v>
      </c>
      <c r="V111" s="545">
        <f>V110*fx!V57</f>
        <v>0</v>
      </c>
      <c r="W111" s="545">
        <f>W110*fx!W57</f>
        <v>0</v>
      </c>
      <c r="X111" s="545">
        <f>X110*fx!X57</f>
        <v>0</v>
      </c>
      <c r="Y111" s="545">
        <f>Y110*fx!Y57</f>
        <v>0</v>
      </c>
      <c r="Z111" s="545">
        <f>Z110*fx!Z57</f>
        <v>0</v>
      </c>
      <c r="AA111" s="545">
        <f>AA110*fx!AA57</f>
        <v>0</v>
      </c>
      <c r="AB111" s="545">
        <f>AB110*fx!AB57</f>
        <v>0</v>
      </c>
      <c r="AC111" s="545">
        <f>AC110*fx!AC57</f>
        <v>0</v>
      </c>
      <c r="AD111" s="545">
        <f>AD110*fx!AD57</f>
        <v>0</v>
      </c>
      <c r="AE111" s="545">
        <f>AE110*fx!AE57</f>
        <v>0</v>
      </c>
      <c r="AF111" s="545">
        <f>AF110*fx!AF57</f>
        <v>0</v>
      </c>
      <c r="AG111" s="2215"/>
      <c r="AH111" s="336"/>
      <c r="AI111" s="336"/>
      <c r="AJ111" s="935">
        <f>IF(fx!$C$57=1,SUM(I111:T111),IF(fx!$C$57=2,SUM(O111:AF111)))</f>
        <v>0</v>
      </c>
      <c r="AK111" s="328"/>
      <c r="AL111" s="935">
        <f>IF(fx!$C$57=1,SUM(U111:AF111),0)</f>
        <v>0</v>
      </c>
      <c r="AM111" s="1022"/>
      <c r="AN111" s="1023"/>
      <c r="AO111" s="1945"/>
      <c r="AP111" s="1935"/>
      <c r="AQ111" s="1936"/>
      <c r="AR111" s="1941"/>
      <c r="AS111" s="1941"/>
      <c r="AT111" s="1941"/>
      <c r="AU111" s="1941"/>
      <c r="AV111" s="1941"/>
      <c r="AW111" s="1941"/>
      <c r="AX111" s="1941"/>
      <c r="AY111" s="1941"/>
      <c r="AZ111" s="1941"/>
      <c r="BA111" s="1941"/>
      <c r="BB111" s="1941"/>
      <c r="BC111" s="1941"/>
      <c r="BD111" s="1941"/>
      <c r="BE111" s="1941"/>
      <c r="BF111" s="1941"/>
      <c r="BG111" s="1941"/>
      <c r="BH111" s="1941"/>
      <c r="BI111" s="1941"/>
      <c r="BJ111" s="1941"/>
      <c r="BK111" s="1941"/>
      <c r="BL111" s="1941"/>
      <c r="BM111" s="1941"/>
      <c r="BN111" s="1941"/>
      <c r="BO111" s="1941"/>
      <c r="BP111" s="1005"/>
      <c r="BQ111" s="1005"/>
      <c r="BR111" s="1005"/>
      <c r="BS111" s="1005"/>
      <c r="BT111" s="1005"/>
      <c r="BU111" s="1005"/>
      <c r="BV111" s="1005"/>
      <c r="BW111" s="1005"/>
      <c r="BX111" s="1005"/>
      <c r="BY111" s="1005"/>
      <c r="BZ111" s="1005"/>
      <c r="CA111" s="1005"/>
      <c r="CB111" s="1005"/>
      <c r="CC111" s="1005"/>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c r="EC111" s="1005"/>
      <c r="ED111" s="1005"/>
      <c r="EE111" s="1005"/>
      <c r="EF111" s="1005"/>
      <c r="EG111" s="1005"/>
      <c r="EH111" s="1005"/>
      <c r="EI111" s="1005"/>
      <c r="EJ111" s="1005"/>
      <c r="EK111" s="1005"/>
      <c r="EL111" s="1005"/>
      <c r="EM111" s="1005"/>
      <c r="EN111" s="1005"/>
      <c r="EO111" s="1005"/>
      <c r="EP111" s="1005"/>
      <c r="EQ111" s="1005"/>
      <c r="ER111" s="1005"/>
      <c r="ES111" s="1005"/>
      <c r="ET111" s="1005"/>
      <c r="EU111" s="1005"/>
      <c r="EV111" s="1005"/>
      <c r="EW111" s="1005"/>
      <c r="EX111" s="1005"/>
      <c r="EY111" s="1005"/>
      <c r="EZ111" s="1005"/>
      <c r="FA111" s="1005"/>
      <c r="FB111" s="1005"/>
      <c r="FC111" s="1005"/>
      <c r="FD111" s="1005"/>
      <c r="FE111" s="1005"/>
      <c r="FF111" s="1005"/>
      <c r="FG111" s="1005"/>
      <c r="FH111" s="1005"/>
      <c r="FI111" s="1005"/>
      <c r="FJ111" s="1005"/>
      <c r="FK111" s="1005"/>
      <c r="FL111" s="1005"/>
      <c r="FM111" s="1005"/>
      <c r="FN111" s="1005"/>
      <c r="FO111" s="1005"/>
      <c r="FP111" s="1005"/>
      <c r="FQ111" s="1005"/>
      <c r="FR111" s="1005"/>
      <c r="FS111" s="1005"/>
      <c r="FT111" s="1005"/>
      <c r="FU111" s="1005"/>
      <c r="FV111" s="1005"/>
      <c r="FW111" s="1005"/>
      <c r="FX111" s="1005"/>
      <c r="FY111" s="1005"/>
      <c r="FZ111" s="1005"/>
      <c r="GA111" s="1005"/>
      <c r="GB111" s="1005"/>
      <c r="GC111" s="1005"/>
      <c r="GD111" s="1005"/>
      <c r="GE111" s="1005"/>
      <c r="GF111" s="1005"/>
      <c r="GG111" s="1005"/>
      <c r="GH111" s="1005"/>
      <c r="GI111" s="1005"/>
      <c r="GJ111" s="1005"/>
      <c r="GK111" s="1005"/>
      <c r="GL111" s="1005"/>
      <c r="GM111" s="1005"/>
      <c r="GN111" s="1005"/>
      <c r="GO111" s="1005"/>
      <c r="GP111" s="1005"/>
      <c r="GQ111" s="1005"/>
      <c r="GR111" s="1005"/>
      <c r="GS111" s="1005"/>
      <c r="GT111" s="1005"/>
      <c r="GU111" s="1005"/>
      <c r="GV111" s="1005"/>
      <c r="GW111" s="1005"/>
      <c r="GX111" s="1005"/>
      <c r="GY111" s="1005"/>
      <c r="GZ111" s="1005"/>
      <c r="HA111" s="1005"/>
      <c r="HB111" s="1005"/>
      <c r="HC111" s="1005"/>
      <c r="HD111" s="1005"/>
      <c r="HE111" s="1005"/>
      <c r="HF111" s="1005"/>
      <c r="HG111" s="1005"/>
      <c r="HH111" s="1005"/>
      <c r="HI111" s="1005"/>
      <c r="HJ111" s="1005"/>
      <c r="HK111" s="1005"/>
      <c r="HL111" s="1005"/>
      <c r="HM111" s="1005"/>
      <c r="HN111" s="1005"/>
      <c r="HO111" s="1005"/>
      <c r="HP111" s="1005"/>
      <c r="HQ111" s="1005"/>
      <c r="HR111" s="1005"/>
      <c r="HS111" s="1005"/>
      <c r="HT111" s="1005"/>
      <c r="HU111" s="1005"/>
      <c r="HV111" s="1005"/>
      <c r="HW111" s="1005"/>
      <c r="HX111" s="1005"/>
      <c r="HY111" s="1005"/>
      <c r="HZ111" s="1005"/>
      <c r="IA111" s="1005"/>
      <c r="IB111" s="1005"/>
      <c r="IC111" s="1005"/>
      <c r="ID111" s="1005"/>
      <c r="IE111" s="1005"/>
      <c r="IF111" s="1005"/>
      <c r="IG111" s="1005"/>
      <c r="IH111" s="1005"/>
      <c r="II111" s="1005"/>
      <c r="IJ111" s="1005"/>
      <c r="IK111" s="1005"/>
      <c r="IL111" s="1005"/>
      <c r="IM111" s="1005"/>
      <c r="IN111" s="1005"/>
      <c r="IO111" s="1005"/>
      <c r="IP111" s="1005"/>
      <c r="IQ111" s="1005"/>
      <c r="IR111" s="1005"/>
      <c r="IS111" s="1005"/>
      <c r="IT111" s="1005"/>
      <c r="IU111" s="1005"/>
      <c r="IV111" s="1005"/>
      <c r="IW111" s="1005"/>
      <c r="IX111" s="1005"/>
      <c r="IY111" s="1005"/>
      <c r="IZ111" s="1005"/>
      <c r="JA111" s="1005"/>
      <c r="JB111" s="1005"/>
      <c r="JC111" s="1005"/>
      <c r="JD111" s="1005"/>
      <c r="JE111" s="1005"/>
      <c r="JF111" s="1005"/>
      <c r="JG111" s="1005"/>
      <c r="JH111" s="1005"/>
      <c r="JI111" s="1005"/>
      <c r="JJ111" s="1005"/>
      <c r="JK111" s="1005"/>
      <c r="JL111" s="1005"/>
      <c r="JM111" s="1005"/>
      <c r="JN111" s="1005"/>
      <c r="JO111" s="1005"/>
      <c r="JP111" s="1005"/>
      <c r="JQ111" s="1005"/>
      <c r="JR111" s="1005"/>
      <c r="JS111" s="1005"/>
      <c r="JT111" s="1005"/>
      <c r="JU111" s="1005"/>
      <c r="JV111" s="1005"/>
      <c r="JW111" s="1005"/>
      <c r="JX111" s="1005"/>
      <c r="JY111" s="1005"/>
      <c r="JZ111" s="1005"/>
      <c r="KA111" s="1005"/>
      <c r="KB111" s="1005"/>
      <c r="KC111" s="1005"/>
      <c r="KD111" s="1005"/>
      <c r="KE111" s="1005"/>
      <c r="KF111" s="1005"/>
      <c r="KG111" s="1005"/>
      <c r="KH111" s="1005"/>
      <c r="KI111" s="1005"/>
      <c r="KJ111" s="1005"/>
      <c r="KK111" s="1005"/>
      <c r="KL111" s="1005"/>
      <c r="KM111" s="1005"/>
      <c r="KN111" s="1005"/>
      <c r="KO111" s="1005"/>
      <c r="KP111" s="1005"/>
      <c r="KQ111" s="1005"/>
      <c r="KR111" s="1005"/>
      <c r="KS111" s="1005"/>
      <c r="KT111" s="1005"/>
      <c r="KU111" s="1005"/>
      <c r="KV111" s="1005"/>
      <c r="KW111" s="1005"/>
      <c r="KX111" s="1005"/>
      <c r="KY111" s="1005"/>
      <c r="KZ111" s="1005"/>
      <c r="LA111" s="1005"/>
      <c r="LB111" s="1005"/>
      <c r="LC111" s="1005"/>
      <c r="LD111" s="1005"/>
      <c r="LE111" s="1005"/>
      <c r="LF111" s="1005"/>
      <c r="LG111" s="1005"/>
      <c r="LH111" s="1005"/>
      <c r="LI111" s="1005"/>
      <c r="LJ111" s="1005"/>
      <c r="LK111" s="1005"/>
      <c r="LL111" s="1005"/>
      <c r="LM111" s="1005"/>
      <c r="LN111" s="1005"/>
      <c r="LO111" s="1005"/>
      <c r="LP111" s="1005"/>
      <c r="LQ111" s="1005"/>
      <c r="LR111" s="1005"/>
      <c r="LS111" s="1005"/>
      <c r="LT111" s="1005"/>
      <c r="LU111" s="1005"/>
      <c r="LV111" s="1005"/>
      <c r="LW111" s="1005"/>
      <c r="LX111" s="1005"/>
      <c r="LY111" s="1005"/>
      <c r="LZ111" s="1005"/>
      <c r="MA111" s="1005"/>
      <c r="MB111" s="1005"/>
      <c r="MC111" s="1005"/>
      <c r="MD111" s="1005"/>
      <c r="ME111" s="1005"/>
      <c r="MF111" s="1005"/>
      <c r="MG111" s="1005"/>
      <c r="MH111" s="1005"/>
      <c r="MI111" s="1005"/>
      <c r="MJ111" s="1005"/>
      <c r="MK111" s="1005"/>
      <c r="ML111" s="1005"/>
      <c r="MM111" s="1005"/>
      <c r="MN111" s="1005"/>
      <c r="MO111" s="1005"/>
      <c r="MP111" s="1005"/>
      <c r="MQ111" s="1005"/>
      <c r="MR111" s="1005"/>
      <c r="MS111" s="1005"/>
      <c r="MT111" s="1005"/>
      <c r="MU111" s="1005"/>
      <c r="MV111" s="1005"/>
      <c r="MW111" s="1005"/>
      <c r="MX111" s="1005"/>
      <c r="MY111" s="1005"/>
      <c r="MZ111" s="1005"/>
      <c r="NA111" s="1005"/>
      <c r="NB111" s="1005"/>
      <c r="NC111" s="1005"/>
      <c r="ND111" s="1005"/>
      <c r="NE111" s="1005"/>
      <c r="NF111" s="1005"/>
      <c r="NG111" s="1005"/>
      <c r="NH111" s="1005"/>
      <c r="NI111" s="1005"/>
      <c r="NJ111" s="1005"/>
      <c r="NK111" s="1005"/>
      <c r="NL111" s="1005"/>
      <c r="NM111" s="1005"/>
      <c r="NN111" s="1005"/>
      <c r="NO111" s="1005"/>
      <c r="NP111" s="1005"/>
      <c r="NQ111" s="1005"/>
      <c r="NR111" s="1005"/>
      <c r="NS111" s="1005"/>
      <c r="NT111" s="1005"/>
      <c r="NU111" s="1005"/>
      <c r="NV111" s="1005"/>
      <c r="NW111" s="1005"/>
      <c r="NX111" s="1005"/>
      <c r="NY111" s="1005"/>
      <c r="NZ111" s="1005"/>
      <c r="OA111" s="1005"/>
      <c r="OB111" s="1005"/>
      <c r="OC111" s="1005"/>
      <c r="OD111" s="1005"/>
      <c r="OE111" s="1005"/>
      <c r="OF111" s="1005"/>
      <c r="OG111" s="1005"/>
      <c r="OH111" s="1005"/>
      <c r="OI111" s="1005"/>
      <c r="OJ111" s="1005"/>
      <c r="OK111" s="1005"/>
      <c r="OL111" s="1005"/>
      <c r="OM111" s="1005"/>
      <c r="ON111" s="1005"/>
      <c r="OO111" s="1005"/>
      <c r="OP111" s="1005"/>
      <c r="OQ111" s="1005"/>
      <c r="OR111" s="1005"/>
      <c r="OS111" s="1005"/>
      <c r="OT111" s="1005"/>
      <c r="OU111" s="1005"/>
      <c r="OV111" s="1005"/>
      <c r="OW111" s="1005"/>
      <c r="OX111" s="1005"/>
      <c r="OY111" s="1005"/>
      <c r="OZ111" s="1005"/>
      <c r="PA111" s="1005"/>
      <c r="PB111" s="1005"/>
      <c r="PC111" s="1005"/>
      <c r="PD111" s="1005"/>
      <c r="PE111" s="1005"/>
      <c r="PF111" s="1005"/>
      <c r="PG111" s="1005"/>
      <c r="PH111" s="1005"/>
      <c r="PI111" s="1005"/>
      <c r="PJ111" s="1005"/>
      <c r="PK111" s="1005"/>
      <c r="PL111" s="1005"/>
      <c r="PM111" s="1005"/>
      <c r="PN111" s="1005"/>
      <c r="PO111" s="1005"/>
      <c r="PP111" s="1005"/>
      <c r="PQ111" s="1005"/>
      <c r="PR111" s="1005"/>
      <c r="PS111" s="1005"/>
      <c r="PT111" s="1005"/>
      <c r="PU111" s="1005"/>
      <c r="PV111" s="1005"/>
      <c r="PW111" s="1005"/>
      <c r="PX111" s="1005"/>
      <c r="PY111" s="1005"/>
      <c r="PZ111" s="1005"/>
      <c r="QA111" s="1005"/>
      <c r="QB111" s="1005"/>
      <c r="QC111" s="1005"/>
      <c r="QD111" s="1005"/>
      <c r="QE111" s="1005"/>
      <c r="QF111" s="1005"/>
      <c r="QG111" s="1005"/>
      <c r="QH111" s="1005"/>
      <c r="QI111" s="1005"/>
      <c r="QJ111" s="1005"/>
      <c r="QK111" s="1005"/>
      <c r="QL111" s="1005"/>
      <c r="QM111" s="1005"/>
      <c r="QN111" s="1005"/>
      <c r="QO111" s="1005"/>
      <c r="QP111" s="1005"/>
      <c r="QQ111" s="1005"/>
      <c r="QR111" s="1005"/>
      <c r="QS111" s="1005"/>
      <c r="QT111" s="1005"/>
      <c r="QU111" s="1005"/>
      <c r="QV111" s="1005"/>
      <c r="QW111" s="1005"/>
      <c r="QX111" s="1005"/>
      <c r="QY111" s="1005"/>
      <c r="QZ111" s="1005"/>
      <c r="RA111" s="1005"/>
      <c r="RB111" s="1005"/>
      <c r="RC111" s="1005"/>
      <c r="RD111" s="1005"/>
      <c r="RE111" s="1005"/>
      <c r="RF111" s="1005"/>
      <c r="RG111" s="1005"/>
      <c r="RH111" s="1005"/>
      <c r="RI111" s="1005"/>
      <c r="RJ111" s="1005"/>
      <c r="RK111" s="1005"/>
      <c r="RL111" s="1005"/>
      <c r="RM111" s="1005"/>
      <c r="RN111" s="1005"/>
      <c r="RO111" s="1005"/>
      <c r="RP111" s="1005"/>
      <c r="RQ111" s="1005"/>
      <c r="RR111" s="1005"/>
      <c r="RS111" s="1005"/>
      <c r="RT111" s="1005"/>
      <c r="RU111" s="1005"/>
      <c r="RV111" s="1005"/>
      <c r="RW111" s="1005"/>
      <c r="RX111" s="1005"/>
      <c r="RY111" s="1005"/>
      <c r="RZ111" s="1005"/>
      <c r="SA111" s="1005"/>
      <c r="SB111" s="1005"/>
      <c r="SC111" s="1005"/>
      <c r="SD111" s="1005"/>
      <c r="SE111" s="1005"/>
      <c r="SF111" s="1005"/>
      <c r="SG111" s="1005"/>
      <c r="SH111" s="1005"/>
      <c r="SI111" s="1005"/>
      <c r="SJ111" s="1005"/>
      <c r="SK111" s="1005"/>
      <c r="SL111" s="1005"/>
      <c r="SM111" s="1005"/>
      <c r="SN111" s="1005"/>
      <c r="SO111" s="1005"/>
      <c r="SP111" s="1005"/>
      <c r="SQ111" s="1005"/>
      <c r="SR111" s="1005"/>
      <c r="SS111" s="1005"/>
      <c r="ST111" s="1005"/>
      <c r="SU111" s="1005"/>
      <c r="SV111" s="1005"/>
      <c r="SW111" s="1005"/>
      <c r="SX111" s="1005"/>
      <c r="SY111" s="1005"/>
      <c r="SZ111" s="1005"/>
      <c r="TA111" s="1005"/>
      <c r="TB111" s="1005"/>
      <c r="TC111" s="1005"/>
      <c r="TD111" s="1005"/>
      <c r="TE111" s="1005"/>
      <c r="TF111" s="1005"/>
      <c r="TG111" s="1005"/>
      <c r="TH111" s="1005"/>
      <c r="TI111" s="1005"/>
      <c r="TJ111" s="1005"/>
      <c r="TK111" s="1005"/>
      <c r="TL111" s="1005"/>
      <c r="TM111" s="1005"/>
      <c r="TN111" s="1005"/>
      <c r="TO111" s="1005"/>
      <c r="TP111" s="1005"/>
      <c r="TQ111" s="1005"/>
      <c r="TR111" s="1005"/>
      <c r="TS111" s="1005"/>
      <c r="TT111" s="1005"/>
      <c r="TU111" s="1005"/>
      <c r="TV111" s="1005"/>
      <c r="TW111" s="1005"/>
      <c r="TX111" s="1005"/>
      <c r="TY111" s="1005"/>
      <c r="TZ111" s="1005"/>
      <c r="UA111" s="1005"/>
      <c r="UB111" s="1005"/>
      <c r="UC111" s="1005"/>
      <c r="UD111" s="1005"/>
      <c r="UE111" s="1005"/>
      <c r="UF111" s="1005"/>
      <c r="UG111" s="1005"/>
      <c r="UH111" s="1005"/>
      <c r="UI111" s="1005"/>
      <c r="UJ111" s="1005"/>
      <c r="UK111" s="1005"/>
      <c r="UL111" s="1005"/>
      <c r="UM111" s="1005"/>
      <c r="UN111" s="1005"/>
      <c r="UO111" s="1005"/>
      <c r="UP111" s="1005"/>
      <c r="UQ111" s="1005"/>
      <c r="UR111" s="1005"/>
      <c r="US111" s="1005"/>
      <c r="UT111" s="1005"/>
      <c r="UU111" s="1005"/>
      <c r="UV111" s="1005"/>
      <c r="UW111" s="1005"/>
      <c r="UX111" s="1005"/>
      <c r="UY111" s="1005"/>
      <c r="UZ111" s="1005"/>
      <c r="VA111" s="1005"/>
      <c r="VB111" s="1005"/>
      <c r="VC111" s="1005"/>
      <c r="VD111" s="1005"/>
      <c r="VE111" s="1005"/>
      <c r="VF111" s="1005"/>
      <c r="VG111" s="1005"/>
      <c r="VH111" s="1005"/>
      <c r="VI111" s="1005"/>
      <c r="VJ111" s="1005"/>
      <c r="VK111" s="1005"/>
      <c r="VL111" s="1005"/>
      <c r="VM111" s="1005"/>
      <c r="VN111" s="1005"/>
      <c r="VO111" s="1005"/>
      <c r="VP111" s="1005"/>
      <c r="VQ111" s="1005"/>
      <c r="VR111" s="1005"/>
      <c r="VS111" s="1005"/>
      <c r="VT111" s="1005"/>
      <c r="VU111" s="1005"/>
      <c r="VV111" s="1005"/>
      <c r="VW111" s="1005"/>
      <c r="VX111" s="1005"/>
      <c r="VY111" s="1005"/>
      <c r="VZ111" s="1005"/>
      <c r="WA111" s="1005"/>
      <c r="WB111" s="1005"/>
      <c r="WC111" s="1005"/>
      <c r="WD111" s="1005"/>
      <c r="WE111" s="1005"/>
      <c r="WF111" s="1005"/>
      <c r="WG111" s="1005"/>
      <c r="WH111" s="1005"/>
      <c r="WI111" s="1005"/>
      <c r="WJ111" s="1005"/>
      <c r="WK111" s="1005"/>
      <c r="WL111" s="1005"/>
      <c r="WM111" s="1005"/>
      <c r="WN111" s="1005"/>
      <c r="WO111" s="1005"/>
      <c r="WP111" s="1005"/>
      <c r="WQ111" s="1005"/>
      <c r="WR111" s="1005"/>
      <c r="WS111" s="1005"/>
      <c r="WT111" s="1005"/>
      <c r="WU111" s="1005"/>
      <c r="WV111" s="1005"/>
      <c r="WW111" s="1005"/>
      <c r="WX111" s="1005"/>
      <c r="WY111" s="1005"/>
      <c r="WZ111" s="1005"/>
      <c r="XA111" s="1005"/>
      <c r="XB111" s="1005"/>
      <c r="XC111" s="1005"/>
      <c r="XD111" s="1005"/>
      <c r="XE111" s="1005"/>
      <c r="XF111" s="1005"/>
      <c r="XG111" s="1005"/>
      <c r="XH111" s="1005"/>
      <c r="XI111" s="1005"/>
      <c r="XJ111" s="1005"/>
      <c r="XK111" s="1005"/>
      <c r="XL111" s="1005"/>
      <c r="XM111" s="1005"/>
      <c r="XN111" s="1005"/>
      <c r="XO111" s="1005"/>
      <c r="XP111" s="1005"/>
      <c r="XQ111" s="1005"/>
      <c r="XR111" s="1005"/>
      <c r="XS111" s="1005"/>
      <c r="XT111" s="1005"/>
      <c r="XU111" s="1005"/>
      <c r="XV111" s="1005"/>
      <c r="XW111" s="1005"/>
      <c r="XX111" s="1005"/>
      <c r="XY111" s="1005"/>
      <c r="XZ111" s="1005"/>
      <c r="YA111" s="1005"/>
      <c r="YB111" s="1005"/>
      <c r="YC111" s="1005"/>
      <c r="YD111" s="1005"/>
      <c r="YE111" s="1005"/>
      <c r="YF111" s="1005"/>
      <c r="YG111" s="1005"/>
      <c r="YH111" s="1005"/>
      <c r="YI111" s="1005"/>
      <c r="YJ111" s="1005"/>
      <c r="YK111" s="1005"/>
      <c r="YL111" s="1005"/>
      <c r="YM111" s="1005"/>
      <c r="YN111" s="1005"/>
      <c r="YO111" s="1005"/>
      <c r="YP111" s="1005"/>
      <c r="YQ111" s="1005"/>
      <c r="YR111" s="1005"/>
      <c r="YS111" s="1005"/>
      <c r="YT111" s="1005"/>
      <c r="YU111" s="1005"/>
      <c r="YV111" s="1005"/>
      <c r="YW111" s="1005"/>
      <c r="YX111" s="1005"/>
      <c r="YY111" s="1005"/>
      <c r="YZ111" s="1005"/>
      <c r="ZA111" s="1005"/>
      <c r="ZB111" s="1005"/>
      <c r="ZC111" s="1005"/>
      <c r="ZD111" s="1005"/>
      <c r="ZE111" s="1005"/>
      <c r="ZF111" s="1005"/>
      <c r="ZG111" s="1005"/>
      <c r="ZH111" s="1005"/>
      <c r="ZI111" s="1005"/>
      <c r="ZJ111" s="1005"/>
      <c r="ZK111" s="1005"/>
      <c r="ZL111" s="1005"/>
      <c r="ZM111" s="1005"/>
      <c r="ZN111" s="1005"/>
      <c r="ZO111" s="1005"/>
      <c r="ZP111" s="1005"/>
      <c r="ZQ111" s="1005"/>
      <c r="ZR111" s="1005"/>
      <c r="ZS111" s="1005"/>
      <c r="ZT111" s="1005"/>
      <c r="ZU111" s="1005"/>
      <c r="ZV111" s="1005"/>
      <c r="ZW111" s="1005"/>
      <c r="ZX111" s="1005"/>
      <c r="ZY111" s="1005"/>
      <c r="ZZ111" s="1005"/>
      <c r="AAA111" s="1005"/>
      <c r="AAB111" s="1005"/>
      <c r="AAC111" s="1005"/>
      <c r="AAD111" s="1005"/>
      <c r="AAE111" s="1005"/>
      <c r="AAF111" s="1005"/>
      <c r="AAG111" s="1005"/>
      <c r="AAH111" s="1005"/>
      <c r="AAI111" s="1005"/>
      <c r="AAJ111" s="1005"/>
      <c r="AAK111" s="1005"/>
      <c r="AAL111" s="1005"/>
      <c r="AAM111" s="1005"/>
      <c r="AAN111" s="1005"/>
      <c r="AAO111" s="1005"/>
      <c r="AAP111" s="1005"/>
      <c r="AAQ111" s="1005"/>
      <c r="AAR111" s="1005"/>
      <c r="AAS111" s="1005"/>
      <c r="AAT111" s="1005"/>
      <c r="AAU111" s="1005"/>
      <c r="AAV111" s="1005"/>
      <c r="AAW111" s="1005"/>
      <c r="AAX111" s="1005"/>
      <c r="AAY111" s="1005"/>
      <c r="AAZ111" s="1005"/>
      <c r="ABA111" s="1005"/>
      <c r="ABB111" s="1005"/>
      <c r="ABC111" s="1005"/>
      <c r="ABD111" s="1005"/>
      <c r="ABE111" s="1005"/>
      <c r="ABF111" s="1005"/>
      <c r="ABG111" s="1005"/>
      <c r="ABH111" s="1005"/>
      <c r="ABI111" s="1005"/>
      <c r="ABJ111" s="1005"/>
      <c r="ABK111" s="1005"/>
      <c r="ABL111" s="1005"/>
      <c r="ABM111" s="1005"/>
      <c r="ABN111" s="1005"/>
      <c r="ABO111" s="1005"/>
      <c r="ABP111" s="1005"/>
      <c r="ABQ111" s="1005"/>
      <c r="ABR111" s="1005"/>
    </row>
    <row r="112" spans="1:746" s="94" customFormat="1" ht="12.9" customHeight="1">
      <c r="A112" s="926"/>
      <c r="B112" s="1793"/>
      <c r="C112" s="1308"/>
      <c r="D112" s="1308"/>
      <c r="E112" s="1308"/>
      <c r="F112" s="1308"/>
      <c r="G112" s="1309"/>
      <c r="H112" s="1844"/>
      <c r="I112" s="2570" t="str">
        <f>IF(fx!I$57=0,"&gt;&gt;",IF($L$4=I$6,"","Välj 1-12 i P4"))</f>
        <v/>
      </c>
      <c r="J112" s="1843" t="str">
        <f>IF(fx!J$57=0,"&gt;&gt;",IF($L$4=J$6,"Startmånad",""))</f>
        <v/>
      </c>
      <c r="K112" s="1843" t="str">
        <f>IF(fx!K$57=0,"&gt;&gt;",IF($L$4=K$6,"Startmånad",""))</f>
        <v/>
      </c>
      <c r="L112" s="1843" t="str">
        <f>IF(fx!L$57=0,"&gt;&gt;",IF($L$4=L$6,"Startmånad",""))</f>
        <v/>
      </c>
      <c r="M112" s="1843" t="str">
        <f>IF(fx!M$57=0,"&gt;&gt;",IF($L$4=M$6,"Startmånad",""))</f>
        <v/>
      </c>
      <c r="N112" s="1843" t="str">
        <f>IF(fx!N$57=0,"&gt;&gt;",IF($L$4=N$6,"Startmånad",""))</f>
        <v/>
      </c>
      <c r="O112" s="1843" t="str">
        <f>IF(AND(fx!$C$57=1,fx!O$57=0),"&gt;&gt;",IF(AND(fx!$C$57=1,$L$4=$O$6),"Startmånad",IF(AND(fx!$C$57=2,$L$4&lt;7),"Välj 7-12 i P4",IF(AND(fx!$C$57=2,$L$4=$O$6),"Startmånad",IF(AND(fx!$C$57=2,$L$4&gt;$O$6),"&gt;&gt;","")))))</f>
        <v/>
      </c>
      <c r="P112" s="1843" t="str">
        <f>IF(fx!P$57=0,"&gt;&gt;",IF($L$4=P$6,"Startmånad",""))</f>
        <v/>
      </c>
      <c r="Q112" s="1843" t="str">
        <f>IF(fx!Q$57=0,"&gt;&gt;",IF($L$4=Q$6,"Startmånad",""))</f>
        <v/>
      </c>
      <c r="R112" s="1843" t="str">
        <f>IF(fx!R$57=0,"&gt;&gt;",IF($L$4=R$6,"Startmånad",""))</f>
        <v/>
      </c>
      <c r="S112" s="1843" t="str">
        <f>IF(fx!S$57=0,"&gt;&gt;",IF($L$4=S$6,"Startmånad",""))</f>
        <v/>
      </c>
      <c r="T112" s="2717" t="str">
        <f>IF(fx!T$57=0,"&gt;&gt;",IF($L$4=T$6,"Startmånad",""))</f>
        <v/>
      </c>
      <c r="U112" s="2718"/>
      <c r="V112" s="376"/>
      <c r="W112" s="376"/>
      <c r="X112" s="376"/>
      <c r="Y112" s="376"/>
      <c r="Z112" s="376"/>
      <c r="AA112" s="376"/>
      <c r="AB112" s="376"/>
      <c r="AC112" s="376"/>
      <c r="AD112" s="376"/>
      <c r="AE112" s="376"/>
      <c r="AF112" s="1784"/>
      <c r="AG112" s="376"/>
      <c r="AH112" s="769"/>
      <c r="AI112" s="769"/>
      <c r="AJ112" s="434"/>
      <c r="AK112" s="434"/>
      <c r="AL112" s="434"/>
      <c r="AM112" s="1022"/>
      <c r="AN112" s="1015"/>
      <c r="AO112" s="1945"/>
      <c r="AP112" s="1935"/>
      <c r="AQ112" s="1936"/>
      <c r="AR112" s="1941"/>
      <c r="AS112" s="1941"/>
      <c r="AT112" s="1941"/>
      <c r="AU112" s="1941"/>
      <c r="AV112" s="1941"/>
      <c r="AW112" s="1941"/>
      <c r="AX112" s="1941"/>
      <c r="AY112" s="1941"/>
      <c r="AZ112" s="1941"/>
      <c r="BA112" s="1941"/>
      <c r="BB112" s="1941"/>
      <c r="BC112" s="1941"/>
      <c r="BD112" s="1941"/>
      <c r="BE112" s="1941"/>
      <c r="BF112" s="1941"/>
      <c r="BG112" s="1941"/>
      <c r="BH112" s="1941"/>
      <c r="BI112" s="1941"/>
      <c r="BJ112" s="1941"/>
      <c r="BK112" s="1941"/>
      <c r="BL112" s="1941"/>
      <c r="BM112" s="1941"/>
      <c r="BN112" s="1941"/>
      <c r="BO112" s="1941"/>
      <c r="BP112" s="1005"/>
      <c r="BQ112" s="1005"/>
      <c r="BR112" s="1005"/>
      <c r="BS112" s="1834"/>
      <c r="BT112" s="1005"/>
      <c r="BU112" s="1005"/>
      <c r="BV112" s="1005"/>
      <c r="BW112" s="1005"/>
      <c r="BX112" s="1005"/>
      <c r="BY112" s="1005"/>
      <c r="BZ112" s="1005"/>
      <c r="CA112" s="1005"/>
      <c r="CB112" s="1005"/>
      <c r="CC112" s="1005"/>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c r="EC112" s="1005"/>
      <c r="ED112" s="1005"/>
      <c r="EE112" s="1005"/>
      <c r="EF112" s="1005"/>
      <c r="EG112" s="1005"/>
      <c r="EH112" s="1005"/>
      <c r="EI112" s="1005"/>
      <c r="EJ112" s="1005"/>
      <c r="EK112" s="1005"/>
      <c r="EL112" s="1005"/>
      <c r="EM112" s="1005"/>
      <c r="EN112" s="1005"/>
      <c r="EO112" s="1005"/>
      <c r="EP112" s="1005"/>
      <c r="EQ112" s="1005"/>
      <c r="ER112" s="1005"/>
      <c r="ES112" s="1005"/>
      <c r="ET112" s="1005"/>
      <c r="EU112" s="1005"/>
      <c r="EV112" s="1005"/>
      <c r="EW112" s="1005"/>
      <c r="EX112" s="1005"/>
      <c r="EY112" s="1005"/>
      <c r="EZ112" s="1005"/>
      <c r="FA112" s="1005"/>
      <c r="FB112" s="1005"/>
      <c r="FC112" s="1005"/>
      <c r="FD112" s="1005"/>
      <c r="FE112" s="1005"/>
      <c r="FF112" s="1005"/>
      <c r="FG112" s="1005"/>
      <c r="FH112" s="1005"/>
      <c r="FI112" s="1005"/>
      <c r="FJ112" s="1005"/>
      <c r="FK112" s="1005"/>
      <c r="FL112" s="1005"/>
      <c r="FM112" s="1005"/>
      <c r="FN112" s="1005"/>
      <c r="FO112" s="1005"/>
      <c r="FP112" s="1005"/>
      <c r="FQ112" s="1005"/>
      <c r="FR112" s="1005"/>
      <c r="FS112" s="1005"/>
      <c r="FT112" s="1005"/>
      <c r="FU112" s="1005"/>
      <c r="FV112" s="1005"/>
      <c r="FW112" s="1005"/>
      <c r="FX112" s="1005"/>
      <c r="FY112" s="1005"/>
      <c r="FZ112" s="1005"/>
      <c r="GA112" s="1005"/>
      <c r="GB112" s="1005"/>
      <c r="GC112" s="1005"/>
      <c r="GD112" s="1005"/>
      <c r="GE112" s="1005"/>
      <c r="GF112" s="1005"/>
      <c r="GG112" s="1005"/>
      <c r="GH112" s="1005"/>
      <c r="GI112" s="1005"/>
      <c r="GJ112" s="1005"/>
      <c r="GK112" s="1005"/>
      <c r="GL112" s="1005"/>
      <c r="GM112" s="1005"/>
      <c r="GN112" s="1005"/>
      <c r="GO112" s="1005"/>
      <c r="GP112" s="1005"/>
      <c r="GQ112" s="1005"/>
      <c r="GR112" s="1005"/>
      <c r="GS112" s="1005"/>
      <c r="GT112" s="1005"/>
      <c r="GU112" s="1005"/>
      <c r="GV112" s="1005"/>
      <c r="GW112" s="1005"/>
      <c r="GX112" s="1005"/>
      <c r="GY112" s="1005"/>
      <c r="GZ112" s="1005"/>
      <c r="HA112" s="1005"/>
      <c r="HB112" s="1005"/>
      <c r="HC112" s="1005"/>
      <c r="HD112" s="1005"/>
      <c r="HE112" s="1005"/>
      <c r="HF112" s="1005"/>
      <c r="HG112" s="1005"/>
      <c r="HH112" s="1005"/>
      <c r="HI112" s="1005"/>
      <c r="HJ112" s="1005"/>
      <c r="HK112" s="1005"/>
      <c r="HL112" s="1005"/>
      <c r="HM112" s="1005"/>
      <c r="HN112" s="1005"/>
      <c r="HO112" s="1005"/>
      <c r="HP112" s="1005"/>
      <c r="HQ112" s="1005"/>
      <c r="HR112" s="1005"/>
      <c r="HS112" s="1005"/>
      <c r="HT112" s="1005"/>
      <c r="HU112" s="1005"/>
      <c r="HV112" s="1005"/>
      <c r="HW112" s="1005"/>
      <c r="HX112" s="1005"/>
      <c r="HY112" s="1005"/>
      <c r="HZ112" s="1005"/>
      <c r="IA112" s="1005"/>
      <c r="IB112" s="1005"/>
      <c r="IC112" s="1005"/>
      <c r="ID112" s="1005"/>
      <c r="IE112" s="1005"/>
      <c r="IF112" s="1005"/>
      <c r="IG112" s="1005"/>
      <c r="IH112" s="1005"/>
      <c r="II112" s="1005"/>
      <c r="IJ112" s="1005"/>
      <c r="IK112" s="1005"/>
      <c r="IL112" s="1005"/>
      <c r="IM112" s="1005"/>
      <c r="IN112" s="1005"/>
      <c r="IO112" s="1005"/>
      <c r="IP112" s="1005"/>
      <c r="IQ112" s="1005"/>
      <c r="IR112" s="1005"/>
      <c r="IS112" s="1005"/>
      <c r="IT112" s="1005"/>
      <c r="IU112" s="1005"/>
      <c r="IV112" s="1005"/>
      <c r="IW112" s="1005"/>
      <c r="IX112" s="1005"/>
      <c r="IY112" s="1005"/>
      <c r="IZ112" s="1005"/>
      <c r="JA112" s="1005"/>
      <c r="JB112" s="1005"/>
      <c r="JC112" s="1005"/>
      <c r="JD112" s="1005"/>
      <c r="JE112" s="1005"/>
      <c r="JF112" s="1005"/>
      <c r="JG112" s="1005"/>
      <c r="JH112" s="1005"/>
      <c r="JI112" s="1005"/>
      <c r="JJ112" s="1005"/>
      <c r="JK112" s="1005"/>
      <c r="JL112" s="1005"/>
      <c r="JM112" s="1005"/>
      <c r="JN112" s="1005"/>
      <c r="JO112" s="1005"/>
      <c r="JP112" s="1005"/>
      <c r="JQ112" s="1005"/>
      <c r="JR112" s="1005"/>
      <c r="JS112" s="1005"/>
      <c r="JT112" s="1005"/>
      <c r="JU112" s="1005"/>
      <c r="JV112" s="1005"/>
      <c r="JW112" s="1005"/>
      <c r="JX112" s="1005"/>
      <c r="JY112" s="1005"/>
      <c r="JZ112" s="1005"/>
      <c r="KA112" s="1005"/>
      <c r="KB112" s="1005"/>
      <c r="KC112" s="1005"/>
      <c r="KD112" s="1005"/>
      <c r="KE112" s="1005"/>
      <c r="KF112" s="1005"/>
      <c r="KG112" s="1005"/>
      <c r="KH112" s="1005"/>
      <c r="KI112" s="1005"/>
      <c r="KJ112" s="1005"/>
      <c r="KK112" s="1005"/>
      <c r="KL112" s="1005"/>
      <c r="KM112" s="1005"/>
      <c r="KN112" s="1005"/>
      <c r="KO112" s="1005"/>
      <c r="KP112" s="1005"/>
      <c r="KQ112" s="1005"/>
      <c r="KR112" s="1005"/>
      <c r="KS112" s="1005"/>
      <c r="KT112" s="1005"/>
      <c r="KU112" s="1005"/>
      <c r="KV112" s="1005"/>
      <c r="KW112" s="1005"/>
      <c r="KX112" s="1005"/>
      <c r="KY112" s="1005"/>
      <c r="KZ112" s="1005"/>
      <c r="LA112" s="1005"/>
      <c r="LB112" s="1005"/>
      <c r="LC112" s="1005"/>
      <c r="LD112" s="1005"/>
      <c r="LE112" s="1005"/>
      <c r="LF112" s="1005"/>
      <c r="LG112" s="1005"/>
      <c r="LH112" s="1005"/>
      <c r="LI112" s="1005"/>
      <c r="LJ112" s="1005"/>
      <c r="LK112" s="1005"/>
      <c r="LL112" s="1005"/>
      <c r="LM112" s="1005"/>
      <c r="LN112" s="1005"/>
      <c r="LO112" s="1005"/>
      <c r="LP112" s="1005"/>
      <c r="LQ112" s="1005"/>
      <c r="LR112" s="1005"/>
      <c r="LS112" s="1005"/>
      <c r="LT112" s="1005"/>
      <c r="LU112" s="1005"/>
      <c r="LV112" s="1005"/>
      <c r="LW112" s="1005"/>
      <c r="LX112" s="1005"/>
      <c r="LY112" s="1005"/>
      <c r="LZ112" s="1005"/>
      <c r="MA112" s="1005"/>
      <c r="MB112" s="1005"/>
      <c r="MC112" s="1005"/>
      <c r="MD112" s="1005"/>
      <c r="ME112" s="1005"/>
      <c r="MF112" s="1005"/>
      <c r="MG112" s="1005"/>
      <c r="MH112" s="1005"/>
      <c r="MI112" s="1005"/>
      <c r="MJ112" s="1005"/>
      <c r="MK112" s="1005"/>
      <c r="ML112" s="1005"/>
      <c r="MM112" s="1005"/>
      <c r="MN112" s="1005"/>
      <c r="MO112" s="1005"/>
      <c r="MP112" s="1005"/>
      <c r="MQ112" s="1005"/>
      <c r="MR112" s="1005"/>
      <c r="MS112" s="1005"/>
      <c r="MT112" s="1005"/>
      <c r="MU112" s="1005"/>
      <c r="MV112" s="1005"/>
      <c r="MW112" s="1005"/>
      <c r="MX112" s="1005"/>
      <c r="MY112" s="1005"/>
      <c r="MZ112" s="1005"/>
      <c r="NA112" s="1005"/>
      <c r="NB112" s="1005"/>
      <c r="NC112" s="1005"/>
      <c r="ND112" s="1005"/>
      <c r="NE112" s="1005"/>
      <c r="NF112" s="1005"/>
      <c r="NG112" s="1005"/>
      <c r="NH112" s="1005"/>
      <c r="NI112" s="1005"/>
      <c r="NJ112" s="1005"/>
      <c r="NK112" s="1005"/>
      <c r="NL112" s="1005"/>
      <c r="NM112" s="1005"/>
      <c r="NN112" s="1005"/>
      <c r="NO112" s="1005"/>
      <c r="NP112" s="1005"/>
      <c r="NQ112" s="1005"/>
      <c r="NR112" s="1005"/>
      <c r="NS112" s="1005"/>
      <c r="NT112" s="1005"/>
      <c r="NU112" s="1005"/>
      <c r="NV112" s="1005"/>
      <c r="NW112" s="1005"/>
      <c r="NX112" s="1005"/>
      <c r="NY112" s="1005"/>
      <c r="NZ112" s="1005"/>
      <c r="OA112" s="1005"/>
      <c r="OB112" s="1005"/>
      <c r="OC112" s="1005"/>
      <c r="OD112" s="1005"/>
      <c r="OE112" s="1005"/>
      <c r="OF112" s="1005"/>
      <c r="OG112" s="1005"/>
      <c r="OH112" s="1005"/>
      <c r="OI112" s="1005"/>
      <c r="OJ112" s="1005"/>
      <c r="OK112" s="1005"/>
      <c r="OL112" s="1005"/>
      <c r="OM112" s="1005"/>
      <c r="ON112" s="1005"/>
      <c r="OO112" s="1005"/>
      <c r="OP112" s="1005"/>
      <c r="OQ112" s="1005"/>
      <c r="OR112" s="1005"/>
      <c r="OS112" s="1005"/>
      <c r="OT112" s="1005"/>
      <c r="OU112" s="1005"/>
      <c r="OV112" s="1005"/>
      <c r="OW112" s="1005"/>
      <c r="OX112" s="1005"/>
      <c r="OY112" s="1005"/>
      <c r="OZ112" s="1005"/>
      <c r="PA112" s="1005"/>
      <c r="PB112" s="1005"/>
      <c r="PC112" s="1005"/>
      <c r="PD112" s="1005"/>
      <c r="PE112" s="1005"/>
      <c r="PF112" s="1005"/>
      <c r="PG112" s="1005"/>
      <c r="PH112" s="1005"/>
      <c r="PI112" s="1005"/>
      <c r="PJ112" s="1005"/>
      <c r="PK112" s="1005"/>
      <c r="PL112" s="1005"/>
      <c r="PM112" s="1005"/>
      <c r="PN112" s="1005"/>
      <c r="PO112" s="1005"/>
      <c r="PP112" s="1005"/>
      <c r="PQ112" s="1005"/>
      <c r="PR112" s="1005"/>
      <c r="PS112" s="1005"/>
      <c r="PT112" s="1005"/>
      <c r="PU112" s="1005"/>
      <c r="PV112" s="1005"/>
      <c r="PW112" s="1005"/>
      <c r="PX112" s="1005"/>
      <c r="PY112" s="1005"/>
      <c r="PZ112" s="1005"/>
      <c r="QA112" s="1005"/>
      <c r="QB112" s="1005"/>
      <c r="QC112" s="1005"/>
      <c r="QD112" s="1005"/>
      <c r="QE112" s="1005"/>
      <c r="QF112" s="1005"/>
      <c r="QG112" s="1005"/>
      <c r="QH112" s="1005"/>
      <c r="QI112" s="1005"/>
      <c r="QJ112" s="1005"/>
      <c r="QK112" s="1005"/>
      <c r="QL112" s="1005"/>
      <c r="QM112" s="1005"/>
      <c r="QN112" s="1005"/>
      <c r="QO112" s="1005"/>
      <c r="QP112" s="1005"/>
      <c r="QQ112" s="1005"/>
      <c r="QR112" s="1005"/>
      <c r="QS112" s="1005"/>
      <c r="QT112" s="1005"/>
      <c r="QU112" s="1005"/>
      <c r="QV112" s="1005"/>
      <c r="QW112" s="1005"/>
      <c r="QX112" s="1005"/>
      <c r="QY112" s="1005"/>
      <c r="QZ112" s="1005"/>
      <c r="RA112" s="1005"/>
      <c r="RB112" s="1005"/>
      <c r="RC112" s="1005"/>
      <c r="RD112" s="1005"/>
      <c r="RE112" s="1005"/>
      <c r="RF112" s="1005"/>
      <c r="RG112" s="1005"/>
      <c r="RH112" s="1005"/>
      <c r="RI112" s="1005"/>
      <c r="RJ112" s="1005"/>
      <c r="RK112" s="1005"/>
      <c r="RL112" s="1005"/>
      <c r="RM112" s="1005"/>
      <c r="RN112" s="1005"/>
      <c r="RO112" s="1005"/>
      <c r="RP112" s="1005"/>
      <c r="RQ112" s="1005"/>
      <c r="RR112" s="1005"/>
      <c r="RS112" s="1005"/>
      <c r="RT112" s="1005"/>
      <c r="RU112" s="1005"/>
      <c r="RV112" s="1005"/>
      <c r="RW112" s="1005"/>
      <c r="RX112" s="1005"/>
      <c r="RY112" s="1005"/>
      <c r="RZ112" s="1005"/>
      <c r="SA112" s="1005"/>
      <c r="SB112" s="1005"/>
      <c r="SC112" s="1005"/>
      <c r="SD112" s="1005"/>
      <c r="SE112" s="1005"/>
      <c r="SF112" s="1005"/>
      <c r="SG112" s="1005"/>
      <c r="SH112" s="1005"/>
      <c r="SI112" s="1005"/>
      <c r="SJ112" s="1005"/>
      <c r="SK112" s="1005"/>
      <c r="SL112" s="1005"/>
      <c r="SM112" s="1005"/>
      <c r="SN112" s="1005"/>
      <c r="SO112" s="1005"/>
      <c r="SP112" s="1005"/>
      <c r="SQ112" s="1005"/>
      <c r="SR112" s="1005"/>
      <c r="SS112" s="1005"/>
      <c r="ST112" s="1005"/>
      <c r="SU112" s="1005"/>
      <c r="SV112" s="1005"/>
      <c r="SW112" s="1005"/>
      <c r="SX112" s="1005"/>
      <c r="SY112" s="1005"/>
      <c r="SZ112" s="1005"/>
      <c r="TA112" s="1005"/>
      <c r="TB112" s="1005"/>
      <c r="TC112" s="1005"/>
      <c r="TD112" s="1005"/>
      <c r="TE112" s="1005"/>
      <c r="TF112" s="1005"/>
      <c r="TG112" s="1005"/>
      <c r="TH112" s="1005"/>
      <c r="TI112" s="1005"/>
      <c r="TJ112" s="1005"/>
      <c r="TK112" s="1005"/>
      <c r="TL112" s="1005"/>
      <c r="TM112" s="1005"/>
      <c r="TN112" s="1005"/>
      <c r="TO112" s="1005"/>
      <c r="TP112" s="1005"/>
      <c r="TQ112" s="1005"/>
      <c r="TR112" s="1005"/>
      <c r="TS112" s="1005"/>
      <c r="TT112" s="1005"/>
      <c r="TU112" s="1005"/>
      <c r="TV112" s="1005"/>
      <c r="TW112" s="1005"/>
      <c r="TX112" s="1005"/>
      <c r="TY112" s="1005"/>
      <c r="TZ112" s="1005"/>
      <c r="UA112" s="1005"/>
      <c r="UB112" s="1005"/>
      <c r="UC112" s="1005"/>
      <c r="UD112" s="1005"/>
      <c r="UE112" s="1005"/>
      <c r="UF112" s="1005"/>
      <c r="UG112" s="1005"/>
      <c r="UH112" s="1005"/>
      <c r="UI112" s="1005"/>
      <c r="UJ112" s="1005"/>
      <c r="UK112" s="1005"/>
      <c r="UL112" s="1005"/>
      <c r="UM112" s="1005"/>
      <c r="UN112" s="1005"/>
      <c r="UO112" s="1005"/>
      <c r="UP112" s="1005"/>
      <c r="UQ112" s="1005"/>
      <c r="UR112" s="1005"/>
      <c r="US112" s="1005"/>
      <c r="UT112" s="1005"/>
      <c r="UU112" s="1005"/>
      <c r="UV112" s="1005"/>
      <c r="UW112" s="1005"/>
      <c r="UX112" s="1005"/>
      <c r="UY112" s="1005"/>
      <c r="UZ112" s="1005"/>
      <c r="VA112" s="1005"/>
      <c r="VB112" s="1005"/>
      <c r="VC112" s="1005"/>
      <c r="VD112" s="1005"/>
      <c r="VE112" s="1005"/>
      <c r="VF112" s="1005"/>
      <c r="VG112" s="1005"/>
      <c r="VH112" s="1005"/>
      <c r="VI112" s="1005"/>
      <c r="VJ112" s="1005"/>
      <c r="VK112" s="1005"/>
      <c r="VL112" s="1005"/>
      <c r="VM112" s="1005"/>
      <c r="VN112" s="1005"/>
      <c r="VO112" s="1005"/>
      <c r="VP112" s="1005"/>
      <c r="VQ112" s="1005"/>
      <c r="VR112" s="1005"/>
      <c r="VS112" s="1005"/>
      <c r="VT112" s="1005"/>
      <c r="VU112" s="1005"/>
      <c r="VV112" s="1005"/>
      <c r="VW112" s="1005"/>
      <c r="VX112" s="1005"/>
      <c r="VY112" s="1005"/>
      <c r="VZ112" s="1005"/>
      <c r="WA112" s="1005"/>
      <c r="WB112" s="1005"/>
      <c r="WC112" s="1005"/>
      <c r="WD112" s="1005"/>
      <c r="WE112" s="1005"/>
      <c r="WF112" s="1005"/>
      <c r="WG112" s="1005"/>
      <c r="WH112" s="1005"/>
      <c r="WI112" s="1005"/>
      <c r="WJ112" s="1005"/>
      <c r="WK112" s="1005"/>
      <c r="WL112" s="1005"/>
      <c r="WM112" s="1005"/>
      <c r="WN112" s="1005"/>
      <c r="WO112" s="1005"/>
      <c r="WP112" s="1005"/>
      <c r="WQ112" s="1005"/>
      <c r="WR112" s="1005"/>
      <c r="WS112" s="1005"/>
      <c r="WT112" s="1005"/>
      <c r="WU112" s="1005"/>
      <c r="WV112" s="1005"/>
      <c r="WW112" s="1005"/>
      <c r="WX112" s="1005"/>
      <c r="WY112" s="1005"/>
      <c r="WZ112" s="1005"/>
      <c r="XA112" s="1005"/>
      <c r="XB112" s="1005"/>
      <c r="XC112" s="1005"/>
      <c r="XD112" s="1005"/>
      <c r="XE112" s="1005"/>
      <c r="XF112" s="1005"/>
      <c r="XG112" s="1005"/>
      <c r="XH112" s="1005"/>
      <c r="XI112" s="1005"/>
      <c r="XJ112" s="1005"/>
      <c r="XK112" s="1005"/>
      <c r="XL112" s="1005"/>
      <c r="XM112" s="1005"/>
      <c r="XN112" s="1005"/>
      <c r="XO112" s="1005"/>
      <c r="XP112" s="1005"/>
      <c r="XQ112" s="1005"/>
      <c r="XR112" s="1005"/>
      <c r="XS112" s="1005"/>
      <c r="XT112" s="1005"/>
      <c r="XU112" s="1005"/>
      <c r="XV112" s="1005"/>
      <c r="XW112" s="1005"/>
      <c r="XX112" s="1005"/>
      <c r="XY112" s="1005"/>
      <c r="XZ112" s="1005"/>
      <c r="YA112" s="1005"/>
      <c r="YB112" s="1005"/>
      <c r="YC112" s="1005"/>
      <c r="YD112" s="1005"/>
      <c r="YE112" s="1005"/>
      <c r="YF112" s="1005"/>
      <c r="YG112" s="1005"/>
      <c r="YH112" s="1005"/>
      <c r="YI112" s="1005"/>
      <c r="YJ112" s="1005"/>
      <c r="YK112" s="1005"/>
      <c r="YL112" s="1005"/>
      <c r="YM112" s="1005"/>
      <c r="YN112" s="1005"/>
      <c r="YO112" s="1005"/>
      <c r="YP112" s="1005"/>
      <c r="YQ112" s="1005"/>
      <c r="YR112" s="1005"/>
      <c r="YS112" s="1005"/>
      <c r="YT112" s="1005"/>
      <c r="YU112" s="1005"/>
      <c r="YV112" s="1005"/>
      <c r="YW112" s="1005"/>
      <c r="YX112" s="1005"/>
      <c r="YY112" s="1005"/>
      <c r="YZ112" s="1005"/>
      <c r="ZA112" s="1005"/>
      <c r="ZB112" s="1005"/>
      <c r="ZC112" s="1005"/>
      <c r="ZD112" s="1005"/>
      <c r="ZE112" s="1005"/>
      <c r="ZF112" s="1005"/>
      <c r="ZG112" s="1005"/>
      <c r="ZH112" s="1005"/>
      <c r="ZI112" s="1005"/>
      <c r="ZJ112" s="1005"/>
      <c r="ZK112" s="1005"/>
      <c r="ZL112" s="1005"/>
      <c r="ZM112" s="1005"/>
      <c r="ZN112" s="1005"/>
      <c r="ZO112" s="1005"/>
      <c r="ZP112" s="1005"/>
      <c r="ZQ112" s="1005"/>
      <c r="ZR112" s="1005"/>
      <c r="ZS112" s="1005"/>
      <c r="ZT112" s="1005"/>
      <c r="ZU112" s="1005"/>
      <c r="ZV112" s="1005"/>
      <c r="ZW112" s="1005"/>
      <c r="ZX112" s="1005"/>
      <c r="ZY112" s="1005"/>
      <c r="ZZ112" s="1005"/>
      <c r="AAA112" s="1005"/>
      <c r="AAB112" s="1005"/>
      <c r="AAC112" s="1005"/>
      <c r="AAD112" s="1005"/>
      <c r="AAE112" s="1005"/>
      <c r="AAF112" s="1005"/>
      <c r="AAG112" s="1005"/>
      <c r="AAH112" s="1005"/>
      <c r="AAI112" s="1005"/>
      <c r="AAJ112" s="1005"/>
      <c r="AAK112" s="1005"/>
      <c r="AAL112" s="1005"/>
      <c r="AAM112" s="1005"/>
      <c r="AAN112" s="1005"/>
      <c r="AAO112" s="1005"/>
      <c r="AAP112" s="1005"/>
      <c r="AAQ112" s="1005"/>
      <c r="AAR112" s="1005"/>
      <c r="AAS112" s="1005"/>
      <c r="AAT112" s="1005"/>
      <c r="AAU112" s="1005"/>
      <c r="AAV112" s="1005"/>
      <c r="AAW112" s="1005"/>
      <c r="AAX112" s="1005"/>
      <c r="AAY112" s="1005"/>
      <c r="AAZ112" s="1005"/>
      <c r="ABA112" s="1005"/>
      <c r="ABB112" s="1005"/>
      <c r="ABC112" s="1005"/>
      <c r="ABD112" s="1005"/>
      <c r="ABE112" s="1005"/>
      <c r="ABF112" s="1005"/>
      <c r="ABG112" s="1005"/>
      <c r="ABH112" s="1005"/>
      <c r="ABI112" s="1005"/>
      <c r="ABJ112" s="1005"/>
      <c r="ABK112" s="1005"/>
      <c r="ABL112" s="1005"/>
      <c r="ABM112" s="1005"/>
      <c r="ABN112" s="1005"/>
      <c r="ABO112" s="1005"/>
      <c r="ABP112" s="1005"/>
      <c r="ABQ112" s="1005"/>
      <c r="ABR112" s="1005"/>
    </row>
    <row r="113" spans="1:746" s="94" customFormat="1" ht="12.9" customHeight="1" thickBot="1">
      <c r="A113" s="924"/>
      <c r="B113" s="1269" t="s">
        <v>205</v>
      </c>
      <c r="C113" s="595"/>
      <c r="D113" s="557"/>
      <c r="E113" s="2953" t="s">
        <v>427</v>
      </c>
      <c r="F113" s="2953"/>
      <c r="G113" s="2953"/>
      <c r="H113" s="2954"/>
      <c r="I113" s="2365" t="s">
        <v>1464</v>
      </c>
      <c r="J113" s="2614"/>
      <c r="K113" s="2615"/>
      <c r="L113" s="2615"/>
      <c r="M113" s="2248"/>
      <c r="N113" s="2248"/>
      <c r="O113" s="2248"/>
      <c r="P113" s="2248"/>
      <c r="Q113" s="2248"/>
      <c r="R113" s="2248"/>
      <c r="S113" s="2614"/>
      <c r="T113" s="2616"/>
      <c r="U113" s="876"/>
      <c r="V113" s="363"/>
      <c r="W113" s="339"/>
      <c r="X113" s="360"/>
      <c r="Y113" s="360"/>
      <c r="Z113" s="361"/>
      <c r="AA113" s="361"/>
      <c r="AB113" s="361"/>
      <c r="AC113" s="361"/>
      <c r="AD113" s="361"/>
      <c r="AE113" s="362"/>
      <c r="AF113" s="2281"/>
      <c r="AG113" s="2216"/>
      <c r="AH113" s="336"/>
      <c r="AI113" s="336"/>
      <c r="AJ113" s="1044"/>
      <c r="AK113" s="1047"/>
      <c r="AL113" s="1044"/>
      <c r="AM113" s="1005"/>
      <c r="AN113" s="1005"/>
      <c r="AO113" s="1945"/>
      <c r="AP113" s="1935"/>
      <c r="AQ113" s="1936"/>
      <c r="AR113" s="1941"/>
      <c r="AS113" s="1941"/>
      <c r="AT113" s="1941"/>
      <c r="AU113" s="1941"/>
      <c r="AV113" s="1941"/>
      <c r="AW113" s="1941"/>
      <c r="AX113" s="1941"/>
      <c r="AY113" s="1941"/>
      <c r="AZ113" s="1941"/>
      <c r="BA113" s="1941"/>
      <c r="BB113" s="1941"/>
      <c r="BC113" s="1941"/>
      <c r="BD113" s="1941"/>
      <c r="BE113" s="1941"/>
      <c r="BF113" s="1941"/>
      <c r="BG113" s="1941"/>
      <c r="BH113" s="1941"/>
      <c r="BI113" s="1941"/>
      <c r="BJ113" s="1941"/>
      <c r="BK113" s="1941"/>
      <c r="BL113" s="1941"/>
      <c r="BM113" s="1941"/>
      <c r="BN113" s="1941"/>
      <c r="BO113" s="1941"/>
      <c r="BP113" s="1005"/>
      <c r="BQ113" s="1005"/>
      <c r="BR113" s="1005"/>
      <c r="BS113" s="1005"/>
      <c r="BT113" s="1005"/>
      <c r="BU113" s="1005"/>
      <c r="BV113" s="1005"/>
      <c r="BW113" s="1005"/>
      <c r="BX113" s="1005"/>
      <c r="BY113" s="1005"/>
      <c r="BZ113" s="1005"/>
      <c r="CA113" s="1005"/>
      <c r="CB113" s="1005"/>
      <c r="CC113" s="1005"/>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c r="EC113" s="1005"/>
      <c r="ED113" s="1005"/>
      <c r="EE113" s="1005"/>
      <c r="EF113" s="1005"/>
      <c r="EG113" s="1005"/>
      <c r="EH113" s="1005"/>
      <c r="EI113" s="1005"/>
      <c r="EJ113" s="1005"/>
      <c r="EK113" s="1005"/>
      <c r="EL113" s="1005"/>
      <c r="EM113" s="1005"/>
      <c r="EN113" s="1005"/>
      <c r="EO113" s="1005"/>
      <c r="EP113" s="1005"/>
      <c r="EQ113" s="1005"/>
      <c r="ER113" s="1005"/>
      <c r="ES113" s="1005"/>
      <c r="ET113" s="1005"/>
      <c r="EU113" s="1005"/>
      <c r="EV113" s="1005"/>
      <c r="EW113" s="1005"/>
      <c r="EX113" s="1005"/>
      <c r="EY113" s="1005"/>
      <c r="EZ113" s="1005"/>
      <c r="FA113" s="1005"/>
      <c r="FB113" s="1005"/>
      <c r="FC113" s="1005"/>
      <c r="FD113" s="1005"/>
      <c r="FE113" s="1005"/>
      <c r="FF113" s="1005"/>
      <c r="FG113" s="1005"/>
      <c r="FH113" s="1005"/>
      <c r="FI113" s="1005"/>
      <c r="FJ113" s="1005"/>
      <c r="FK113" s="1005"/>
      <c r="FL113" s="1005"/>
      <c r="FM113" s="1005"/>
      <c r="FN113" s="1005"/>
      <c r="FO113" s="1005"/>
      <c r="FP113" s="1005"/>
      <c r="FQ113" s="1005"/>
      <c r="FR113" s="1005"/>
      <c r="FS113" s="1005"/>
      <c r="FT113" s="1005"/>
      <c r="FU113" s="1005"/>
      <c r="FV113" s="1005"/>
      <c r="FW113" s="1005"/>
      <c r="FX113" s="1005"/>
      <c r="FY113" s="1005"/>
      <c r="FZ113" s="1005"/>
      <c r="GA113" s="1005"/>
      <c r="GB113" s="1005"/>
      <c r="GC113" s="1005"/>
      <c r="GD113" s="1005"/>
      <c r="GE113" s="1005"/>
      <c r="GF113" s="1005"/>
      <c r="GG113" s="1005"/>
      <c r="GH113" s="1005"/>
      <c r="GI113" s="1005"/>
      <c r="GJ113" s="1005"/>
      <c r="GK113" s="1005"/>
      <c r="GL113" s="1005"/>
      <c r="GM113" s="1005"/>
      <c r="GN113" s="1005"/>
      <c r="GO113" s="1005"/>
      <c r="GP113" s="1005"/>
      <c r="GQ113" s="1005"/>
      <c r="GR113" s="1005"/>
      <c r="GS113" s="1005"/>
      <c r="GT113" s="1005"/>
      <c r="GU113" s="1005"/>
      <c r="GV113" s="1005"/>
      <c r="GW113" s="1005"/>
      <c r="GX113" s="1005"/>
      <c r="GY113" s="1005"/>
      <c r="GZ113" s="1005"/>
      <c r="HA113" s="1005"/>
      <c r="HB113" s="1005"/>
      <c r="HC113" s="1005"/>
      <c r="HD113" s="1005"/>
      <c r="HE113" s="1005"/>
      <c r="HF113" s="1005"/>
      <c r="HG113" s="1005"/>
      <c r="HH113" s="1005"/>
      <c r="HI113" s="1005"/>
      <c r="HJ113" s="1005"/>
      <c r="HK113" s="1005"/>
      <c r="HL113" s="1005"/>
      <c r="HM113" s="1005"/>
      <c r="HN113" s="1005"/>
      <c r="HO113" s="1005"/>
      <c r="HP113" s="1005"/>
      <c r="HQ113" s="1005"/>
      <c r="HR113" s="1005"/>
      <c r="HS113" s="1005"/>
      <c r="HT113" s="1005"/>
      <c r="HU113" s="1005"/>
      <c r="HV113" s="1005"/>
      <c r="HW113" s="1005"/>
      <c r="HX113" s="1005"/>
      <c r="HY113" s="1005"/>
      <c r="HZ113" s="1005"/>
      <c r="IA113" s="1005"/>
      <c r="IB113" s="1005"/>
      <c r="IC113" s="1005"/>
      <c r="ID113" s="1005"/>
      <c r="IE113" s="1005"/>
      <c r="IF113" s="1005"/>
      <c r="IG113" s="1005"/>
      <c r="IH113" s="1005"/>
      <c r="II113" s="1005"/>
      <c r="IJ113" s="1005"/>
      <c r="IK113" s="1005"/>
      <c r="IL113" s="1005"/>
      <c r="IM113" s="1005"/>
      <c r="IN113" s="1005"/>
      <c r="IO113" s="1005"/>
      <c r="IP113" s="1005"/>
      <c r="IQ113" s="1005"/>
      <c r="IR113" s="1005"/>
      <c r="IS113" s="1005"/>
      <c r="IT113" s="1005"/>
      <c r="IU113" s="1005"/>
      <c r="IV113" s="1005"/>
      <c r="IW113" s="1005"/>
      <c r="IX113" s="1005"/>
      <c r="IY113" s="1005"/>
      <c r="IZ113" s="1005"/>
      <c r="JA113" s="1005"/>
      <c r="JB113" s="1005"/>
      <c r="JC113" s="1005"/>
      <c r="JD113" s="1005"/>
      <c r="JE113" s="1005"/>
      <c r="JF113" s="1005"/>
      <c r="JG113" s="1005"/>
      <c r="JH113" s="1005"/>
      <c r="JI113" s="1005"/>
      <c r="JJ113" s="1005"/>
      <c r="JK113" s="1005"/>
      <c r="JL113" s="1005"/>
      <c r="JM113" s="1005"/>
      <c r="JN113" s="1005"/>
      <c r="JO113" s="1005"/>
      <c r="JP113" s="1005"/>
      <c r="JQ113" s="1005"/>
      <c r="JR113" s="1005"/>
      <c r="JS113" s="1005"/>
      <c r="JT113" s="1005"/>
      <c r="JU113" s="1005"/>
      <c r="JV113" s="1005"/>
      <c r="JW113" s="1005"/>
      <c r="JX113" s="1005"/>
      <c r="JY113" s="1005"/>
      <c r="JZ113" s="1005"/>
      <c r="KA113" s="1005"/>
      <c r="KB113" s="1005"/>
      <c r="KC113" s="1005"/>
      <c r="KD113" s="1005"/>
      <c r="KE113" s="1005"/>
      <c r="KF113" s="1005"/>
      <c r="KG113" s="1005"/>
      <c r="KH113" s="1005"/>
      <c r="KI113" s="1005"/>
      <c r="KJ113" s="1005"/>
      <c r="KK113" s="1005"/>
      <c r="KL113" s="1005"/>
      <c r="KM113" s="1005"/>
      <c r="KN113" s="1005"/>
      <c r="KO113" s="1005"/>
      <c r="KP113" s="1005"/>
      <c r="KQ113" s="1005"/>
      <c r="KR113" s="1005"/>
      <c r="KS113" s="1005"/>
      <c r="KT113" s="1005"/>
      <c r="KU113" s="1005"/>
      <c r="KV113" s="1005"/>
      <c r="KW113" s="1005"/>
      <c r="KX113" s="1005"/>
      <c r="KY113" s="1005"/>
      <c r="KZ113" s="1005"/>
      <c r="LA113" s="1005"/>
      <c r="LB113" s="1005"/>
      <c r="LC113" s="1005"/>
      <c r="LD113" s="1005"/>
      <c r="LE113" s="1005"/>
      <c r="LF113" s="1005"/>
      <c r="LG113" s="1005"/>
      <c r="LH113" s="1005"/>
      <c r="LI113" s="1005"/>
      <c r="LJ113" s="1005"/>
      <c r="LK113" s="1005"/>
      <c r="LL113" s="1005"/>
      <c r="LM113" s="1005"/>
      <c r="LN113" s="1005"/>
      <c r="LO113" s="1005"/>
      <c r="LP113" s="1005"/>
      <c r="LQ113" s="1005"/>
      <c r="LR113" s="1005"/>
      <c r="LS113" s="1005"/>
      <c r="LT113" s="1005"/>
      <c r="LU113" s="1005"/>
      <c r="LV113" s="1005"/>
      <c r="LW113" s="1005"/>
      <c r="LX113" s="1005"/>
      <c r="LY113" s="1005"/>
      <c r="LZ113" s="1005"/>
      <c r="MA113" s="1005"/>
      <c r="MB113" s="1005"/>
      <c r="MC113" s="1005"/>
      <c r="MD113" s="1005"/>
      <c r="ME113" s="1005"/>
      <c r="MF113" s="1005"/>
      <c r="MG113" s="1005"/>
      <c r="MH113" s="1005"/>
      <c r="MI113" s="1005"/>
      <c r="MJ113" s="1005"/>
      <c r="MK113" s="1005"/>
      <c r="ML113" s="1005"/>
      <c r="MM113" s="1005"/>
      <c r="MN113" s="1005"/>
      <c r="MO113" s="1005"/>
      <c r="MP113" s="1005"/>
      <c r="MQ113" s="1005"/>
      <c r="MR113" s="1005"/>
      <c r="MS113" s="1005"/>
      <c r="MT113" s="1005"/>
      <c r="MU113" s="1005"/>
      <c r="MV113" s="1005"/>
      <c r="MW113" s="1005"/>
      <c r="MX113" s="1005"/>
      <c r="MY113" s="1005"/>
      <c r="MZ113" s="1005"/>
      <c r="NA113" s="1005"/>
      <c r="NB113" s="1005"/>
      <c r="NC113" s="1005"/>
      <c r="ND113" s="1005"/>
      <c r="NE113" s="1005"/>
      <c r="NF113" s="1005"/>
      <c r="NG113" s="1005"/>
      <c r="NH113" s="1005"/>
      <c r="NI113" s="1005"/>
      <c r="NJ113" s="1005"/>
      <c r="NK113" s="1005"/>
      <c r="NL113" s="1005"/>
      <c r="NM113" s="1005"/>
      <c r="NN113" s="1005"/>
      <c r="NO113" s="1005"/>
      <c r="NP113" s="1005"/>
      <c r="NQ113" s="1005"/>
      <c r="NR113" s="1005"/>
      <c r="NS113" s="1005"/>
      <c r="NT113" s="1005"/>
      <c r="NU113" s="1005"/>
      <c r="NV113" s="1005"/>
      <c r="NW113" s="1005"/>
      <c r="NX113" s="1005"/>
      <c r="NY113" s="1005"/>
      <c r="NZ113" s="1005"/>
      <c r="OA113" s="1005"/>
      <c r="OB113" s="1005"/>
      <c r="OC113" s="1005"/>
      <c r="OD113" s="1005"/>
      <c r="OE113" s="1005"/>
      <c r="OF113" s="1005"/>
      <c r="OG113" s="1005"/>
      <c r="OH113" s="1005"/>
      <c r="OI113" s="1005"/>
      <c r="OJ113" s="1005"/>
      <c r="OK113" s="1005"/>
      <c r="OL113" s="1005"/>
      <c r="OM113" s="1005"/>
      <c r="ON113" s="1005"/>
      <c r="OO113" s="1005"/>
      <c r="OP113" s="1005"/>
      <c r="OQ113" s="1005"/>
      <c r="OR113" s="1005"/>
      <c r="OS113" s="1005"/>
      <c r="OT113" s="1005"/>
      <c r="OU113" s="1005"/>
      <c r="OV113" s="1005"/>
      <c r="OW113" s="1005"/>
      <c r="OX113" s="1005"/>
      <c r="OY113" s="1005"/>
      <c r="OZ113" s="1005"/>
      <c r="PA113" s="1005"/>
      <c r="PB113" s="1005"/>
      <c r="PC113" s="1005"/>
      <c r="PD113" s="1005"/>
      <c r="PE113" s="1005"/>
      <c r="PF113" s="1005"/>
      <c r="PG113" s="1005"/>
      <c r="PH113" s="1005"/>
      <c r="PI113" s="1005"/>
      <c r="PJ113" s="1005"/>
      <c r="PK113" s="1005"/>
      <c r="PL113" s="1005"/>
      <c r="PM113" s="1005"/>
      <c r="PN113" s="1005"/>
      <c r="PO113" s="1005"/>
      <c r="PP113" s="1005"/>
      <c r="PQ113" s="1005"/>
      <c r="PR113" s="1005"/>
      <c r="PS113" s="1005"/>
      <c r="PT113" s="1005"/>
      <c r="PU113" s="1005"/>
      <c r="PV113" s="1005"/>
      <c r="PW113" s="1005"/>
      <c r="PX113" s="1005"/>
      <c r="PY113" s="1005"/>
      <c r="PZ113" s="1005"/>
      <c r="QA113" s="1005"/>
      <c r="QB113" s="1005"/>
      <c r="QC113" s="1005"/>
      <c r="QD113" s="1005"/>
      <c r="QE113" s="1005"/>
      <c r="QF113" s="1005"/>
      <c r="QG113" s="1005"/>
      <c r="QH113" s="1005"/>
      <c r="QI113" s="1005"/>
      <c r="QJ113" s="1005"/>
      <c r="QK113" s="1005"/>
      <c r="QL113" s="1005"/>
      <c r="QM113" s="1005"/>
      <c r="QN113" s="1005"/>
      <c r="QO113" s="1005"/>
      <c r="QP113" s="1005"/>
      <c r="QQ113" s="1005"/>
      <c r="QR113" s="1005"/>
      <c r="QS113" s="1005"/>
      <c r="QT113" s="1005"/>
      <c r="QU113" s="1005"/>
      <c r="QV113" s="1005"/>
      <c r="QW113" s="1005"/>
      <c r="QX113" s="1005"/>
      <c r="QY113" s="1005"/>
      <c r="QZ113" s="1005"/>
      <c r="RA113" s="1005"/>
      <c r="RB113" s="1005"/>
      <c r="RC113" s="1005"/>
      <c r="RD113" s="1005"/>
      <c r="RE113" s="1005"/>
      <c r="RF113" s="1005"/>
      <c r="RG113" s="1005"/>
      <c r="RH113" s="1005"/>
      <c r="RI113" s="1005"/>
      <c r="RJ113" s="1005"/>
      <c r="RK113" s="1005"/>
      <c r="RL113" s="1005"/>
      <c r="RM113" s="1005"/>
      <c r="RN113" s="1005"/>
      <c r="RO113" s="1005"/>
      <c r="RP113" s="1005"/>
      <c r="RQ113" s="1005"/>
      <c r="RR113" s="1005"/>
      <c r="RS113" s="1005"/>
      <c r="RT113" s="1005"/>
      <c r="RU113" s="1005"/>
      <c r="RV113" s="1005"/>
      <c r="RW113" s="1005"/>
      <c r="RX113" s="1005"/>
      <c r="RY113" s="1005"/>
      <c r="RZ113" s="1005"/>
      <c r="SA113" s="1005"/>
      <c r="SB113" s="1005"/>
      <c r="SC113" s="1005"/>
      <c r="SD113" s="1005"/>
      <c r="SE113" s="1005"/>
      <c r="SF113" s="1005"/>
      <c r="SG113" s="1005"/>
      <c r="SH113" s="1005"/>
      <c r="SI113" s="1005"/>
      <c r="SJ113" s="1005"/>
      <c r="SK113" s="1005"/>
      <c r="SL113" s="1005"/>
      <c r="SM113" s="1005"/>
      <c r="SN113" s="1005"/>
      <c r="SO113" s="1005"/>
      <c r="SP113" s="1005"/>
      <c r="SQ113" s="1005"/>
      <c r="SR113" s="1005"/>
      <c r="SS113" s="1005"/>
      <c r="ST113" s="1005"/>
      <c r="SU113" s="1005"/>
      <c r="SV113" s="1005"/>
      <c r="SW113" s="1005"/>
      <c r="SX113" s="1005"/>
      <c r="SY113" s="1005"/>
      <c r="SZ113" s="1005"/>
      <c r="TA113" s="1005"/>
      <c r="TB113" s="1005"/>
      <c r="TC113" s="1005"/>
      <c r="TD113" s="1005"/>
      <c r="TE113" s="1005"/>
      <c r="TF113" s="1005"/>
      <c r="TG113" s="1005"/>
      <c r="TH113" s="1005"/>
      <c r="TI113" s="1005"/>
      <c r="TJ113" s="1005"/>
      <c r="TK113" s="1005"/>
      <c r="TL113" s="1005"/>
      <c r="TM113" s="1005"/>
      <c r="TN113" s="1005"/>
      <c r="TO113" s="1005"/>
      <c r="TP113" s="1005"/>
      <c r="TQ113" s="1005"/>
      <c r="TR113" s="1005"/>
      <c r="TS113" s="1005"/>
      <c r="TT113" s="1005"/>
      <c r="TU113" s="1005"/>
      <c r="TV113" s="1005"/>
      <c r="TW113" s="1005"/>
      <c r="TX113" s="1005"/>
      <c r="TY113" s="1005"/>
      <c r="TZ113" s="1005"/>
      <c r="UA113" s="1005"/>
      <c r="UB113" s="1005"/>
      <c r="UC113" s="1005"/>
      <c r="UD113" s="1005"/>
      <c r="UE113" s="1005"/>
      <c r="UF113" s="1005"/>
      <c r="UG113" s="1005"/>
      <c r="UH113" s="1005"/>
      <c r="UI113" s="1005"/>
      <c r="UJ113" s="1005"/>
      <c r="UK113" s="1005"/>
      <c r="UL113" s="1005"/>
      <c r="UM113" s="1005"/>
      <c r="UN113" s="1005"/>
      <c r="UO113" s="1005"/>
      <c r="UP113" s="1005"/>
      <c r="UQ113" s="1005"/>
      <c r="UR113" s="1005"/>
      <c r="US113" s="1005"/>
      <c r="UT113" s="1005"/>
      <c r="UU113" s="1005"/>
      <c r="UV113" s="1005"/>
      <c r="UW113" s="1005"/>
      <c r="UX113" s="1005"/>
      <c r="UY113" s="1005"/>
      <c r="UZ113" s="1005"/>
      <c r="VA113" s="1005"/>
      <c r="VB113" s="1005"/>
      <c r="VC113" s="1005"/>
      <c r="VD113" s="1005"/>
      <c r="VE113" s="1005"/>
      <c r="VF113" s="1005"/>
      <c r="VG113" s="1005"/>
      <c r="VH113" s="1005"/>
      <c r="VI113" s="1005"/>
      <c r="VJ113" s="1005"/>
      <c r="VK113" s="1005"/>
      <c r="VL113" s="1005"/>
      <c r="VM113" s="1005"/>
      <c r="VN113" s="1005"/>
      <c r="VO113" s="1005"/>
      <c r="VP113" s="1005"/>
      <c r="VQ113" s="1005"/>
      <c r="VR113" s="1005"/>
      <c r="VS113" s="1005"/>
      <c r="VT113" s="1005"/>
      <c r="VU113" s="1005"/>
      <c r="VV113" s="1005"/>
      <c r="VW113" s="1005"/>
      <c r="VX113" s="1005"/>
      <c r="VY113" s="1005"/>
      <c r="VZ113" s="1005"/>
      <c r="WA113" s="1005"/>
      <c r="WB113" s="1005"/>
      <c r="WC113" s="1005"/>
      <c r="WD113" s="1005"/>
      <c r="WE113" s="1005"/>
      <c r="WF113" s="1005"/>
      <c r="WG113" s="1005"/>
      <c r="WH113" s="1005"/>
      <c r="WI113" s="1005"/>
      <c r="WJ113" s="1005"/>
      <c r="WK113" s="1005"/>
      <c r="WL113" s="1005"/>
      <c r="WM113" s="1005"/>
      <c r="WN113" s="1005"/>
      <c r="WO113" s="1005"/>
      <c r="WP113" s="1005"/>
      <c r="WQ113" s="1005"/>
      <c r="WR113" s="1005"/>
      <c r="WS113" s="1005"/>
      <c r="WT113" s="1005"/>
      <c r="WU113" s="1005"/>
      <c r="WV113" s="1005"/>
      <c r="WW113" s="1005"/>
      <c r="WX113" s="1005"/>
      <c r="WY113" s="1005"/>
      <c r="WZ113" s="1005"/>
      <c r="XA113" s="1005"/>
      <c r="XB113" s="1005"/>
      <c r="XC113" s="1005"/>
      <c r="XD113" s="1005"/>
      <c r="XE113" s="1005"/>
      <c r="XF113" s="1005"/>
      <c r="XG113" s="1005"/>
      <c r="XH113" s="1005"/>
      <c r="XI113" s="1005"/>
      <c r="XJ113" s="1005"/>
      <c r="XK113" s="1005"/>
      <c r="XL113" s="1005"/>
      <c r="XM113" s="1005"/>
      <c r="XN113" s="1005"/>
      <c r="XO113" s="1005"/>
      <c r="XP113" s="1005"/>
      <c r="XQ113" s="1005"/>
      <c r="XR113" s="1005"/>
      <c r="XS113" s="1005"/>
      <c r="XT113" s="1005"/>
      <c r="XU113" s="1005"/>
      <c r="XV113" s="1005"/>
      <c r="XW113" s="1005"/>
      <c r="XX113" s="1005"/>
      <c r="XY113" s="1005"/>
      <c r="XZ113" s="1005"/>
      <c r="YA113" s="1005"/>
      <c r="YB113" s="1005"/>
      <c r="YC113" s="1005"/>
      <c r="YD113" s="1005"/>
      <c r="YE113" s="1005"/>
      <c r="YF113" s="1005"/>
      <c r="YG113" s="1005"/>
      <c r="YH113" s="1005"/>
      <c r="YI113" s="1005"/>
      <c r="YJ113" s="1005"/>
      <c r="YK113" s="1005"/>
      <c r="YL113" s="1005"/>
      <c r="YM113" s="1005"/>
      <c r="YN113" s="1005"/>
      <c r="YO113" s="1005"/>
      <c r="YP113" s="1005"/>
      <c r="YQ113" s="1005"/>
      <c r="YR113" s="1005"/>
      <c r="YS113" s="1005"/>
      <c r="YT113" s="1005"/>
      <c r="YU113" s="1005"/>
      <c r="YV113" s="1005"/>
      <c r="YW113" s="1005"/>
      <c r="YX113" s="1005"/>
      <c r="YY113" s="1005"/>
      <c r="YZ113" s="1005"/>
      <c r="ZA113" s="1005"/>
      <c r="ZB113" s="1005"/>
      <c r="ZC113" s="1005"/>
      <c r="ZD113" s="1005"/>
      <c r="ZE113" s="1005"/>
      <c r="ZF113" s="1005"/>
      <c r="ZG113" s="1005"/>
      <c r="ZH113" s="1005"/>
      <c r="ZI113" s="1005"/>
      <c r="ZJ113" s="1005"/>
      <c r="ZK113" s="1005"/>
      <c r="ZL113" s="1005"/>
      <c r="ZM113" s="1005"/>
      <c r="ZN113" s="1005"/>
      <c r="ZO113" s="1005"/>
      <c r="ZP113" s="1005"/>
      <c r="ZQ113" s="1005"/>
      <c r="ZR113" s="1005"/>
      <c r="ZS113" s="1005"/>
      <c r="ZT113" s="1005"/>
      <c r="ZU113" s="1005"/>
      <c r="ZV113" s="1005"/>
      <c r="ZW113" s="1005"/>
      <c r="ZX113" s="1005"/>
      <c r="ZY113" s="1005"/>
      <c r="ZZ113" s="1005"/>
      <c r="AAA113" s="1005"/>
      <c r="AAB113" s="1005"/>
      <c r="AAC113" s="1005"/>
      <c r="AAD113" s="1005"/>
      <c r="AAE113" s="1005"/>
      <c r="AAF113" s="1005"/>
      <c r="AAG113" s="1005"/>
      <c r="AAH113" s="1005"/>
      <c r="AAI113" s="1005"/>
      <c r="AAJ113" s="1005"/>
      <c r="AAK113" s="1005"/>
      <c r="AAL113" s="1005"/>
      <c r="AAM113" s="1005"/>
      <c r="AAN113" s="1005"/>
      <c r="AAO113" s="1005"/>
      <c r="AAP113" s="1005"/>
      <c r="AAQ113" s="1005"/>
      <c r="AAR113" s="1005"/>
      <c r="AAS113" s="1005"/>
      <c r="AAT113" s="1005"/>
      <c r="AAU113" s="1005"/>
      <c r="AAV113" s="1005"/>
      <c r="AAW113" s="1005"/>
      <c r="AAX113" s="1005"/>
      <c r="AAY113" s="1005"/>
      <c r="AAZ113" s="1005"/>
      <c r="ABA113" s="1005"/>
      <c r="ABB113" s="1005"/>
      <c r="ABC113" s="1005"/>
      <c r="ABD113" s="1005"/>
      <c r="ABE113" s="1005"/>
      <c r="ABF113" s="1005"/>
      <c r="ABG113" s="1005"/>
      <c r="ABH113" s="1005"/>
      <c r="ABI113" s="1005"/>
      <c r="ABJ113" s="1005"/>
      <c r="ABK113" s="1005"/>
      <c r="ABL113" s="1005"/>
      <c r="ABM113" s="1005"/>
      <c r="ABN113" s="1005"/>
      <c r="ABO113" s="1005"/>
      <c r="ABP113" s="1005"/>
      <c r="ABQ113" s="1005"/>
      <c r="ABR113" s="1005"/>
    </row>
    <row r="114" spans="1:746" s="94" customFormat="1" ht="12.9" customHeight="1" thickBot="1">
      <c r="A114" s="924"/>
      <c r="B114" s="2271" t="s">
        <v>196</v>
      </c>
      <c r="C114" s="2272"/>
      <c r="D114" s="2273"/>
      <c r="E114" s="347" t="s">
        <v>0</v>
      </c>
      <c r="F114" s="1240"/>
      <c r="G114" s="347">
        <v>0.25</v>
      </c>
      <c r="H114" s="2538"/>
      <c r="I114" s="2324"/>
      <c r="J114" s="2324"/>
      <c r="K114" s="2324"/>
      <c r="L114" s="2324"/>
      <c r="M114" s="2324"/>
      <c r="N114" s="2324"/>
      <c r="O114" s="2324"/>
      <c r="P114" s="2324"/>
      <c r="Q114" s="2324"/>
      <c r="R114" s="2324"/>
      <c r="S114" s="2324"/>
      <c r="T114" s="2324"/>
      <c r="U114" s="2274"/>
      <c r="V114" s="2274"/>
      <c r="W114" s="2274"/>
      <c r="X114" s="2274"/>
      <c r="Y114" s="2274"/>
      <c r="Z114" s="2274"/>
      <c r="AA114" s="2274"/>
      <c r="AB114" s="2274"/>
      <c r="AC114" s="2274"/>
      <c r="AD114" s="2274"/>
      <c r="AE114" s="2274"/>
      <c r="AF114" s="2274"/>
      <c r="AG114" s="1042"/>
      <c r="AH114" s="336"/>
      <c r="AI114" s="336"/>
      <c r="AJ114" s="418">
        <f>IF(fx!$C$57=1,SUMIF(fx!I$57:T$57,1,I114:T114),IF(fx!$C$57=2,SUMIF(fx!O$57:AF$57,1,O114:AF114)))</f>
        <v>0</v>
      </c>
      <c r="AK114" s="328"/>
      <c r="AL114" s="417">
        <f>IF(fx!$C$57=1,SUM(U114:AF114),0)</f>
        <v>0</v>
      </c>
      <c r="AM114" s="1005"/>
      <c r="AN114" s="1024"/>
      <c r="AO114" s="1945"/>
      <c r="AP114" s="1935"/>
      <c r="AQ114" s="1936"/>
      <c r="AR114" s="1941"/>
      <c r="AS114" s="1941"/>
      <c r="AT114" s="1941"/>
      <c r="AU114" s="1941"/>
      <c r="AV114" s="1941"/>
      <c r="AW114" s="1941"/>
      <c r="AX114" s="1941"/>
      <c r="AY114" s="1941"/>
      <c r="AZ114" s="1941"/>
      <c r="BA114" s="1941"/>
      <c r="BB114" s="1941"/>
      <c r="BC114" s="1941"/>
      <c r="BD114" s="1941"/>
      <c r="BE114" s="1941"/>
      <c r="BF114" s="1941"/>
      <c r="BG114" s="1941"/>
      <c r="BH114" s="1941"/>
      <c r="BI114" s="1941"/>
      <c r="BJ114" s="1941"/>
      <c r="BK114" s="1941"/>
      <c r="BL114" s="1941"/>
      <c r="BM114" s="1941"/>
      <c r="BN114" s="1941"/>
      <c r="BO114" s="1941"/>
      <c r="BP114" s="1005"/>
      <c r="BQ114" s="1005"/>
      <c r="BR114" s="1005"/>
      <c r="BS114" s="1005"/>
      <c r="BT114" s="1005"/>
      <c r="BU114" s="1005"/>
      <c r="BV114" s="1005"/>
      <c r="BW114" s="1005"/>
      <c r="BX114" s="1005"/>
      <c r="BY114" s="1005"/>
      <c r="BZ114" s="1005"/>
      <c r="CA114" s="1005"/>
      <c r="CB114" s="1005"/>
      <c r="CC114" s="1005"/>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c r="EC114" s="1005"/>
      <c r="ED114" s="1005"/>
      <c r="EE114" s="1005"/>
      <c r="EF114" s="1005"/>
      <c r="EG114" s="1005"/>
      <c r="EH114" s="1005"/>
      <c r="EI114" s="1005"/>
      <c r="EJ114" s="1005"/>
      <c r="EK114" s="1005"/>
      <c r="EL114" s="1005"/>
      <c r="EM114" s="1005"/>
      <c r="EN114" s="1005"/>
      <c r="EO114" s="1005"/>
      <c r="EP114" s="1005"/>
      <c r="EQ114" s="1005"/>
      <c r="ER114" s="1005"/>
      <c r="ES114" s="1005"/>
      <c r="ET114" s="1005"/>
      <c r="EU114" s="1005"/>
      <c r="EV114" s="1005"/>
      <c r="EW114" s="1005"/>
      <c r="EX114" s="1005"/>
      <c r="EY114" s="1005"/>
      <c r="EZ114" s="1005"/>
      <c r="FA114" s="1005"/>
      <c r="FB114" s="1005"/>
      <c r="FC114" s="1005"/>
      <c r="FD114" s="1005"/>
      <c r="FE114" s="1005"/>
      <c r="FF114" s="1005"/>
      <c r="FG114" s="1005"/>
      <c r="FH114" s="1005"/>
      <c r="FI114" s="1005"/>
      <c r="FJ114" s="1005"/>
      <c r="FK114" s="1005"/>
      <c r="FL114" s="1005"/>
      <c r="FM114" s="1005"/>
      <c r="FN114" s="1005"/>
      <c r="FO114" s="1005"/>
      <c r="FP114" s="1005"/>
      <c r="FQ114" s="1005"/>
      <c r="FR114" s="1005"/>
      <c r="FS114" s="1005"/>
      <c r="FT114" s="1005"/>
      <c r="FU114" s="1005"/>
      <c r="FV114" s="1005"/>
      <c r="FW114" s="1005"/>
      <c r="FX114" s="1005"/>
      <c r="FY114" s="1005"/>
      <c r="FZ114" s="1005"/>
      <c r="GA114" s="1005"/>
      <c r="GB114" s="1005"/>
      <c r="GC114" s="1005"/>
      <c r="GD114" s="1005"/>
      <c r="GE114" s="1005"/>
      <c r="GF114" s="1005"/>
      <c r="GG114" s="1005"/>
      <c r="GH114" s="1005"/>
      <c r="GI114" s="1005"/>
      <c r="GJ114" s="1005"/>
      <c r="GK114" s="1005"/>
      <c r="GL114" s="1005"/>
      <c r="GM114" s="1005"/>
      <c r="GN114" s="1005"/>
      <c r="GO114" s="1005"/>
      <c r="GP114" s="1005"/>
      <c r="GQ114" s="1005"/>
      <c r="GR114" s="1005"/>
      <c r="GS114" s="1005"/>
      <c r="GT114" s="1005"/>
      <c r="GU114" s="1005"/>
      <c r="GV114" s="1005"/>
      <c r="GW114" s="1005"/>
      <c r="GX114" s="1005"/>
      <c r="GY114" s="1005"/>
      <c r="GZ114" s="1005"/>
      <c r="HA114" s="1005"/>
      <c r="HB114" s="1005"/>
      <c r="HC114" s="1005"/>
      <c r="HD114" s="1005"/>
      <c r="HE114" s="1005"/>
      <c r="HF114" s="1005"/>
      <c r="HG114" s="1005"/>
      <c r="HH114" s="1005"/>
      <c r="HI114" s="1005"/>
      <c r="HJ114" s="1005"/>
      <c r="HK114" s="1005"/>
      <c r="HL114" s="1005"/>
      <c r="HM114" s="1005"/>
      <c r="HN114" s="1005"/>
      <c r="HO114" s="1005"/>
      <c r="HP114" s="1005"/>
      <c r="HQ114" s="1005"/>
      <c r="HR114" s="1005"/>
      <c r="HS114" s="1005"/>
      <c r="HT114" s="1005"/>
      <c r="HU114" s="1005"/>
      <c r="HV114" s="1005"/>
      <c r="HW114" s="1005"/>
      <c r="HX114" s="1005"/>
      <c r="HY114" s="1005"/>
      <c r="HZ114" s="1005"/>
      <c r="IA114" s="1005"/>
      <c r="IB114" s="1005"/>
      <c r="IC114" s="1005"/>
      <c r="ID114" s="1005"/>
      <c r="IE114" s="1005"/>
      <c r="IF114" s="1005"/>
      <c r="IG114" s="1005"/>
      <c r="IH114" s="1005"/>
      <c r="II114" s="1005"/>
      <c r="IJ114" s="1005"/>
      <c r="IK114" s="1005"/>
      <c r="IL114" s="1005"/>
      <c r="IM114" s="1005"/>
      <c r="IN114" s="1005"/>
      <c r="IO114" s="1005"/>
      <c r="IP114" s="1005"/>
      <c r="IQ114" s="1005"/>
      <c r="IR114" s="1005"/>
      <c r="IS114" s="1005"/>
      <c r="IT114" s="1005"/>
      <c r="IU114" s="1005"/>
      <c r="IV114" s="1005"/>
      <c r="IW114" s="1005"/>
      <c r="IX114" s="1005"/>
      <c r="IY114" s="1005"/>
      <c r="IZ114" s="1005"/>
      <c r="JA114" s="1005"/>
      <c r="JB114" s="1005"/>
      <c r="JC114" s="1005"/>
      <c r="JD114" s="1005"/>
      <c r="JE114" s="1005"/>
      <c r="JF114" s="1005"/>
      <c r="JG114" s="1005"/>
      <c r="JH114" s="1005"/>
      <c r="JI114" s="1005"/>
      <c r="JJ114" s="1005"/>
      <c r="JK114" s="1005"/>
      <c r="JL114" s="1005"/>
      <c r="JM114" s="1005"/>
      <c r="JN114" s="1005"/>
      <c r="JO114" s="1005"/>
      <c r="JP114" s="1005"/>
      <c r="JQ114" s="1005"/>
      <c r="JR114" s="1005"/>
      <c r="JS114" s="1005"/>
      <c r="JT114" s="1005"/>
      <c r="JU114" s="1005"/>
      <c r="JV114" s="1005"/>
      <c r="JW114" s="1005"/>
      <c r="JX114" s="1005"/>
      <c r="JY114" s="1005"/>
      <c r="JZ114" s="1005"/>
      <c r="KA114" s="1005"/>
      <c r="KB114" s="1005"/>
      <c r="KC114" s="1005"/>
      <c r="KD114" s="1005"/>
      <c r="KE114" s="1005"/>
      <c r="KF114" s="1005"/>
      <c r="KG114" s="1005"/>
      <c r="KH114" s="1005"/>
      <c r="KI114" s="1005"/>
      <c r="KJ114" s="1005"/>
      <c r="KK114" s="1005"/>
      <c r="KL114" s="1005"/>
      <c r="KM114" s="1005"/>
      <c r="KN114" s="1005"/>
      <c r="KO114" s="1005"/>
      <c r="KP114" s="1005"/>
      <c r="KQ114" s="1005"/>
      <c r="KR114" s="1005"/>
      <c r="KS114" s="1005"/>
      <c r="KT114" s="1005"/>
      <c r="KU114" s="1005"/>
      <c r="KV114" s="1005"/>
      <c r="KW114" s="1005"/>
      <c r="KX114" s="1005"/>
      <c r="KY114" s="1005"/>
      <c r="KZ114" s="1005"/>
      <c r="LA114" s="1005"/>
      <c r="LB114" s="1005"/>
      <c r="LC114" s="1005"/>
      <c r="LD114" s="1005"/>
      <c r="LE114" s="1005"/>
      <c r="LF114" s="1005"/>
      <c r="LG114" s="1005"/>
      <c r="LH114" s="1005"/>
      <c r="LI114" s="1005"/>
      <c r="LJ114" s="1005"/>
      <c r="LK114" s="1005"/>
      <c r="LL114" s="1005"/>
      <c r="LM114" s="1005"/>
      <c r="LN114" s="1005"/>
      <c r="LO114" s="1005"/>
      <c r="LP114" s="1005"/>
      <c r="LQ114" s="1005"/>
      <c r="LR114" s="1005"/>
      <c r="LS114" s="1005"/>
      <c r="LT114" s="1005"/>
      <c r="LU114" s="1005"/>
      <c r="LV114" s="1005"/>
      <c r="LW114" s="1005"/>
      <c r="LX114" s="1005"/>
      <c r="LY114" s="1005"/>
      <c r="LZ114" s="1005"/>
      <c r="MA114" s="1005"/>
      <c r="MB114" s="1005"/>
      <c r="MC114" s="1005"/>
      <c r="MD114" s="1005"/>
      <c r="ME114" s="1005"/>
      <c r="MF114" s="1005"/>
      <c r="MG114" s="1005"/>
      <c r="MH114" s="1005"/>
      <c r="MI114" s="1005"/>
      <c r="MJ114" s="1005"/>
      <c r="MK114" s="1005"/>
      <c r="ML114" s="1005"/>
      <c r="MM114" s="1005"/>
      <c r="MN114" s="1005"/>
      <c r="MO114" s="1005"/>
      <c r="MP114" s="1005"/>
      <c r="MQ114" s="1005"/>
      <c r="MR114" s="1005"/>
      <c r="MS114" s="1005"/>
      <c r="MT114" s="1005"/>
      <c r="MU114" s="1005"/>
      <c r="MV114" s="1005"/>
      <c r="MW114" s="1005"/>
      <c r="MX114" s="1005"/>
      <c r="MY114" s="1005"/>
      <c r="MZ114" s="1005"/>
      <c r="NA114" s="1005"/>
      <c r="NB114" s="1005"/>
      <c r="NC114" s="1005"/>
      <c r="ND114" s="1005"/>
      <c r="NE114" s="1005"/>
      <c r="NF114" s="1005"/>
      <c r="NG114" s="1005"/>
      <c r="NH114" s="1005"/>
      <c r="NI114" s="1005"/>
      <c r="NJ114" s="1005"/>
      <c r="NK114" s="1005"/>
      <c r="NL114" s="1005"/>
      <c r="NM114" s="1005"/>
      <c r="NN114" s="1005"/>
      <c r="NO114" s="1005"/>
      <c r="NP114" s="1005"/>
      <c r="NQ114" s="1005"/>
      <c r="NR114" s="1005"/>
      <c r="NS114" s="1005"/>
      <c r="NT114" s="1005"/>
      <c r="NU114" s="1005"/>
      <c r="NV114" s="1005"/>
      <c r="NW114" s="1005"/>
      <c r="NX114" s="1005"/>
      <c r="NY114" s="1005"/>
      <c r="NZ114" s="1005"/>
      <c r="OA114" s="1005"/>
      <c r="OB114" s="1005"/>
      <c r="OC114" s="1005"/>
      <c r="OD114" s="1005"/>
      <c r="OE114" s="1005"/>
      <c r="OF114" s="1005"/>
      <c r="OG114" s="1005"/>
      <c r="OH114" s="1005"/>
      <c r="OI114" s="1005"/>
      <c r="OJ114" s="1005"/>
      <c r="OK114" s="1005"/>
      <c r="OL114" s="1005"/>
      <c r="OM114" s="1005"/>
      <c r="ON114" s="1005"/>
      <c r="OO114" s="1005"/>
      <c r="OP114" s="1005"/>
      <c r="OQ114" s="1005"/>
      <c r="OR114" s="1005"/>
      <c r="OS114" s="1005"/>
      <c r="OT114" s="1005"/>
      <c r="OU114" s="1005"/>
      <c r="OV114" s="1005"/>
      <c r="OW114" s="1005"/>
      <c r="OX114" s="1005"/>
      <c r="OY114" s="1005"/>
      <c r="OZ114" s="1005"/>
      <c r="PA114" s="1005"/>
      <c r="PB114" s="1005"/>
      <c r="PC114" s="1005"/>
      <c r="PD114" s="1005"/>
      <c r="PE114" s="1005"/>
      <c r="PF114" s="1005"/>
      <c r="PG114" s="1005"/>
      <c r="PH114" s="1005"/>
      <c r="PI114" s="1005"/>
      <c r="PJ114" s="1005"/>
      <c r="PK114" s="1005"/>
      <c r="PL114" s="1005"/>
      <c r="PM114" s="1005"/>
      <c r="PN114" s="1005"/>
      <c r="PO114" s="1005"/>
      <c r="PP114" s="1005"/>
      <c r="PQ114" s="1005"/>
      <c r="PR114" s="1005"/>
      <c r="PS114" s="1005"/>
      <c r="PT114" s="1005"/>
      <c r="PU114" s="1005"/>
      <c r="PV114" s="1005"/>
      <c r="PW114" s="1005"/>
      <c r="PX114" s="1005"/>
      <c r="PY114" s="1005"/>
      <c r="PZ114" s="1005"/>
      <c r="QA114" s="1005"/>
      <c r="QB114" s="1005"/>
      <c r="QC114" s="1005"/>
      <c r="QD114" s="1005"/>
      <c r="QE114" s="1005"/>
      <c r="QF114" s="1005"/>
      <c r="QG114" s="1005"/>
      <c r="QH114" s="1005"/>
      <c r="QI114" s="1005"/>
      <c r="QJ114" s="1005"/>
      <c r="QK114" s="1005"/>
      <c r="QL114" s="1005"/>
      <c r="QM114" s="1005"/>
      <c r="QN114" s="1005"/>
      <c r="QO114" s="1005"/>
      <c r="QP114" s="1005"/>
      <c r="QQ114" s="1005"/>
      <c r="QR114" s="1005"/>
      <c r="QS114" s="1005"/>
      <c r="QT114" s="1005"/>
      <c r="QU114" s="1005"/>
      <c r="QV114" s="1005"/>
      <c r="QW114" s="1005"/>
      <c r="QX114" s="1005"/>
      <c r="QY114" s="1005"/>
      <c r="QZ114" s="1005"/>
      <c r="RA114" s="1005"/>
      <c r="RB114" s="1005"/>
      <c r="RC114" s="1005"/>
      <c r="RD114" s="1005"/>
      <c r="RE114" s="1005"/>
      <c r="RF114" s="1005"/>
      <c r="RG114" s="1005"/>
      <c r="RH114" s="1005"/>
      <c r="RI114" s="1005"/>
      <c r="RJ114" s="1005"/>
      <c r="RK114" s="1005"/>
      <c r="RL114" s="1005"/>
      <c r="RM114" s="1005"/>
      <c r="RN114" s="1005"/>
      <c r="RO114" s="1005"/>
      <c r="RP114" s="1005"/>
      <c r="RQ114" s="1005"/>
      <c r="RR114" s="1005"/>
      <c r="RS114" s="1005"/>
      <c r="RT114" s="1005"/>
      <c r="RU114" s="1005"/>
      <c r="RV114" s="1005"/>
      <c r="RW114" s="1005"/>
      <c r="RX114" s="1005"/>
      <c r="RY114" s="1005"/>
      <c r="RZ114" s="1005"/>
      <c r="SA114" s="1005"/>
      <c r="SB114" s="1005"/>
      <c r="SC114" s="1005"/>
      <c r="SD114" s="1005"/>
      <c r="SE114" s="1005"/>
      <c r="SF114" s="1005"/>
      <c r="SG114" s="1005"/>
      <c r="SH114" s="1005"/>
      <c r="SI114" s="1005"/>
      <c r="SJ114" s="1005"/>
      <c r="SK114" s="1005"/>
      <c r="SL114" s="1005"/>
      <c r="SM114" s="1005"/>
      <c r="SN114" s="1005"/>
      <c r="SO114" s="1005"/>
      <c r="SP114" s="1005"/>
      <c r="SQ114" s="1005"/>
      <c r="SR114" s="1005"/>
      <c r="SS114" s="1005"/>
      <c r="ST114" s="1005"/>
      <c r="SU114" s="1005"/>
      <c r="SV114" s="1005"/>
      <c r="SW114" s="1005"/>
      <c r="SX114" s="1005"/>
      <c r="SY114" s="1005"/>
      <c r="SZ114" s="1005"/>
      <c r="TA114" s="1005"/>
      <c r="TB114" s="1005"/>
      <c r="TC114" s="1005"/>
      <c r="TD114" s="1005"/>
      <c r="TE114" s="1005"/>
      <c r="TF114" s="1005"/>
      <c r="TG114" s="1005"/>
      <c r="TH114" s="1005"/>
      <c r="TI114" s="1005"/>
      <c r="TJ114" s="1005"/>
      <c r="TK114" s="1005"/>
      <c r="TL114" s="1005"/>
      <c r="TM114" s="1005"/>
      <c r="TN114" s="1005"/>
      <c r="TO114" s="1005"/>
      <c r="TP114" s="1005"/>
      <c r="TQ114" s="1005"/>
      <c r="TR114" s="1005"/>
      <c r="TS114" s="1005"/>
      <c r="TT114" s="1005"/>
      <c r="TU114" s="1005"/>
      <c r="TV114" s="1005"/>
      <c r="TW114" s="1005"/>
      <c r="TX114" s="1005"/>
      <c r="TY114" s="1005"/>
      <c r="TZ114" s="1005"/>
      <c r="UA114" s="1005"/>
      <c r="UB114" s="1005"/>
      <c r="UC114" s="1005"/>
      <c r="UD114" s="1005"/>
      <c r="UE114" s="1005"/>
      <c r="UF114" s="1005"/>
      <c r="UG114" s="1005"/>
      <c r="UH114" s="1005"/>
      <c r="UI114" s="1005"/>
      <c r="UJ114" s="1005"/>
      <c r="UK114" s="1005"/>
      <c r="UL114" s="1005"/>
      <c r="UM114" s="1005"/>
      <c r="UN114" s="1005"/>
      <c r="UO114" s="1005"/>
      <c r="UP114" s="1005"/>
      <c r="UQ114" s="1005"/>
      <c r="UR114" s="1005"/>
      <c r="US114" s="1005"/>
      <c r="UT114" s="1005"/>
      <c r="UU114" s="1005"/>
      <c r="UV114" s="1005"/>
      <c r="UW114" s="1005"/>
      <c r="UX114" s="1005"/>
      <c r="UY114" s="1005"/>
      <c r="UZ114" s="1005"/>
      <c r="VA114" s="1005"/>
      <c r="VB114" s="1005"/>
      <c r="VC114" s="1005"/>
      <c r="VD114" s="1005"/>
      <c r="VE114" s="1005"/>
      <c r="VF114" s="1005"/>
      <c r="VG114" s="1005"/>
      <c r="VH114" s="1005"/>
      <c r="VI114" s="1005"/>
      <c r="VJ114" s="1005"/>
      <c r="VK114" s="1005"/>
      <c r="VL114" s="1005"/>
      <c r="VM114" s="1005"/>
      <c r="VN114" s="1005"/>
      <c r="VO114" s="1005"/>
      <c r="VP114" s="1005"/>
      <c r="VQ114" s="1005"/>
      <c r="VR114" s="1005"/>
      <c r="VS114" s="1005"/>
      <c r="VT114" s="1005"/>
      <c r="VU114" s="1005"/>
      <c r="VV114" s="1005"/>
      <c r="VW114" s="1005"/>
      <c r="VX114" s="1005"/>
      <c r="VY114" s="1005"/>
      <c r="VZ114" s="1005"/>
      <c r="WA114" s="1005"/>
      <c r="WB114" s="1005"/>
      <c r="WC114" s="1005"/>
      <c r="WD114" s="1005"/>
      <c r="WE114" s="1005"/>
      <c r="WF114" s="1005"/>
      <c r="WG114" s="1005"/>
      <c r="WH114" s="1005"/>
      <c r="WI114" s="1005"/>
      <c r="WJ114" s="1005"/>
      <c r="WK114" s="1005"/>
      <c r="WL114" s="1005"/>
      <c r="WM114" s="1005"/>
      <c r="WN114" s="1005"/>
      <c r="WO114" s="1005"/>
      <c r="WP114" s="1005"/>
      <c r="WQ114" s="1005"/>
      <c r="WR114" s="1005"/>
      <c r="WS114" s="1005"/>
      <c r="WT114" s="1005"/>
      <c r="WU114" s="1005"/>
      <c r="WV114" s="1005"/>
      <c r="WW114" s="1005"/>
      <c r="WX114" s="1005"/>
      <c r="WY114" s="1005"/>
      <c r="WZ114" s="1005"/>
      <c r="XA114" s="1005"/>
      <c r="XB114" s="1005"/>
      <c r="XC114" s="1005"/>
      <c r="XD114" s="1005"/>
      <c r="XE114" s="1005"/>
      <c r="XF114" s="1005"/>
      <c r="XG114" s="1005"/>
      <c r="XH114" s="1005"/>
      <c r="XI114" s="1005"/>
      <c r="XJ114" s="1005"/>
      <c r="XK114" s="1005"/>
      <c r="XL114" s="1005"/>
      <c r="XM114" s="1005"/>
      <c r="XN114" s="1005"/>
      <c r="XO114" s="1005"/>
      <c r="XP114" s="1005"/>
      <c r="XQ114" s="1005"/>
      <c r="XR114" s="1005"/>
      <c r="XS114" s="1005"/>
      <c r="XT114" s="1005"/>
      <c r="XU114" s="1005"/>
      <c r="XV114" s="1005"/>
      <c r="XW114" s="1005"/>
      <c r="XX114" s="1005"/>
      <c r="XY114" s="1005"/>
      <c r="XZ114" s="1005"/>
      <c r="YA114" s="1005"/>
      <c r="YB114" s="1005"/>
      <c r="YC114" s="1005"/>
      <c r="YD114" s="1005"/>
      <c r="YE114" s="1005"/>
      <c r="YF114" s="1005"/>
      <c r="YG114" s="1005"/>
      <c r="YH114" s="1005"/>
      <c r="YI114" s="1005"/>
      <c r="YJ114" s="1005"/>
      <c r="YK114" s="1005"/>
      <c r="YL114" s="1005"/>
      <c r="YM114" s="1005"/>
      <c r="YN114" s="1005"/>
      <c r="YO114" s="1005"/>
      <c r="YP114" s="1005"/>
      <c r="YQ114" s="1005"/>
      <c r="YR114" s="1005"/>
      <c r="YS114" s="1005"/>
      <c r="YT114" s="1005"/>
      <c r="YU114" s="1005"/>
      <c r="YV114" s="1005"/>
      <c r="YW114" s="1005"/>
      <c r="YX114" s="1005"/>
      <c r="YY114" s="1005"/>
      <c r="YZ114" s="1005"/>
      <c r="ZA114" s="1005"/>
      <c r="ZB114" s="1005"/>
      <c r="ZC114" s="1005"/>
      <c r="ZD114" s="1005"/>
      <c r="ZE114" s="1005"/>
      <c r="ZF114" s="1005"/>
      <c r="ZG114" s="1005"/>
      <c r="ZH114" s="1005"/>
      <c r="ZI114" s="1005"/>
      <c r="ZJ114" s="1005"/>
      <c r="ZK114" s="1005"/>
      <c r="ZL114" s="1005"/>
      <c r="ZM114" s="1005"/>
      <c r="ZN114" s="1005"/>
      <c r="ZO114" s="1005"/>
      <c r="ZP114" s="1005"/>
      <c r="ZQ114" s="1005"/>
      <c r="ZR114" s="1005"/>
      <c r="ZS114" s="1005"/>
      <c r="ZT114" s="1005"/>
      <c r="ZU114" s="1005"/>
      <c r="ZV114" s="1005"/>
      <c r="ZW114" s="1005"/>
      <c r="ZX114" s="1005"/>
      <c r="ZY114" s="1005"/>
      <c r="ZZ114" s="1005"/>
      <c r="AAA114" s="1005"/>
      <c r="AAB114" s="1005"/>
      <c r="AAC114" s="1005"/>
      <c r="AAD114" s="1005"/>
      <c r="AAE114" s="1005"/>
      <c r="AAF114" s="1005"/>
      <c r="AAG114" s="1005"/>
      <c r="AAH114" s="1005"/>
      <c r="AAI114" s="1005"/>
      <c r="AAJ114" s="1005"/>
      <c r="AAK114" s="1005"/>
      <c r="AAL114" s="1005"/>
      <c r="AAM114" s="1005"/>
      <c r="AAN114" s="1005"/>
      <c r="AAO114" s="1005"/>
      <c r="AAP114" s="1005"/>
      <c r="AAQ114" s="1005"/>
      <c r="AAR114" s="1005"/>
      <c r="AAS114" s="1005"/>
      <c r="AAT114" s="1005"/>
      <c r="AAU114" s="1005"/>
      <c r="AAV114" s="1005"/>
      <c r="AAW114" s="1005"/>
      <c r="AAX114" s="1005"/>
      <c r="AAY114" s="1005"/>
      <c r="AAZ114" s="1005"/>
      <c r="ABA114" s="1005"/>
      <c r="ABB114" s="1005"/>
      <c r="ABC114" s="1005"/>
      <c r="ABD114" s="1005"/>
      <c r="ABE114" s="1005"/>
      <c r="ABF114" s="1005"/>
      <c r="ABG114" s="1005"/>
      <c r="ABH114" s="1005"/>
      <c r="ABI114" s="1005"/>
      <c r="ABJ114" s="1005"/>
      <c r="ABK114" s="1005"/>
      <c r="ABL114" s="1005"/>
      <c r="ABM114" s="1005"/>
      <c r="ABN114" s="1005"/>
      <c r="ABO114" s="1005"/>
      <c r="ABP114" s="1005"/>
      <c r="ABQ114" s="1005"/>
      <c r="ABR114" s="1005"/>
    </row>
    <row r="115" spans="1:746" s="94" customFormat="1" ht="12.9" customHeight="1" thickBot="1">
      <c r="A115" s="924"/>
      <c r="B115" s="2257" t="s">
        <v>437</v>
      </c>
      <c r="C115" s="2258"/>
      <c r="D115" s="596"/>
      <c r="E115" s="347" t="s">
        <v>0</v>
      </c>
      <c r="F115" s="2259"/>
      <c r="G115" s="2260">
        <v>9.9999999999999995E-8</v>
      </c>
      <c r="H115" s="2261"/>
      <c r="I115" s="1966"/>
      <c r="J115" s="368"/>
      <c r="K115" s="368"/>
      <c r="L115" s="368"/>
      <c r="M115" s="368"/>
      <c r="N115" s="368"/>
      <c r="O115" s="368"/>
      <c r="P115" s="368"/>
      <c r="Q115" s="368"/>
      <c r="R115" s="368"/>
      <c r="S115" s="368"/>
      <c r="T115" s="368"/>
      <c r="U115" s="368"/>
      <c r="V115" s="368"/>
      <c r="W115" s="368"/>
      <c r="X115" s="368"/>
      <c r="Y115" s="368"/>
      <c r="Z115" s="368"/>
      <c r="AA115" s="368"/>
      <c r="AB115" s="368"/>
      <c r="AC115" s="368"/>
      <c r="AD115" s="368"/>
      <c r="AE115" s="368"/>
      <c r="AF115" s="368"/>
      <c r="AG115" s="1042"/>
      <c r="AH115" s="336"/>
      <c r="AI115" s="336"/>
      <c r="AJ115" s="418">
        <f>IF(fx!$C$57=1,SUMIF(fx!I$57:T$57,1,I115:T115),IF(fx!$C$57=2,SUMIF(fx!O$57:AF$57,1,O115:AF115)))</f>
        <v>0</v>
      </c>
      <c r="AK115" s="328"/>
      <c r="AL115" s="417">
        <f>IF(fx!$C$57=1,SUM(U115:AF115),0)</f>
        <v>0</v>
      </c>
      <c r="AM115" s="1004"/>
      <c r="AN115" s="1024"/>
      <c r="AO115" s="1945"/>
      <c r="AP115" s="1935"/>
      <c r="AQ115" s="1936"/>
      <c r="AR115" s="1941"/>
      <c r="AS115" s="1941"/>
      <c r="AT115" s="1941"/>
      <c r="AU115" s="1941"/>
      <c r="AV115" s="1941"/>
      <c r="AW115" s="1941"/>
      <c r="AX115" s="1941"/>
      <c r="AY115" s="1941"/>
      <c r="AZ115" s="1941"/>
      <c r="BA115" s="1941"/>
      <c r="BB115" s="1941"/>
      <c r="BC115" s="1941"/>
      <c r="BD115" s="1941"/>
      <c r="BE115" s="1941"/>
      <c r="BF115" s="1941"/>
      <c r="BG115" s="1941"/>
      <c r="BH115" s="1941"/>
      <c r="BI115" s="1941"/>
      <c r="BJ115" s="1941"/>
      <c r="BK115" s="1941"/>
      <c r="BL115" s="1941"/>
      <c r="BM115" s="1941"/>
      <c r="BN115" s="1941"/>
      <c r="BO115" s="1941"/>
      <c r="BP115" s="1005"/>
      <c r="BQ115" s="1005"/>
      <c r="BR115" s="1005"/>
      <c r="BS115" s="1005"/>
      <c r="BT115" s="1005"/>
      <c r="BU115" s="1005"/>
      <c r="BV115" s="1005"/>
      <c r="BW115" s="1005"/>
      <c r="BX115" s="1005"/>
      <c r="BY115" s="1005"/>
      <c r="BZ115" s="1005"/>
      <c r="CA115" s="1005"/>
      <c r="CB115" s="1005"/>
      <c r="CC115" s="1005"/>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c r="EC115" s="1005"/>
      <c r="ED115" s="1005"/>
      <c r="EE115" s="1005"/>
      <c r="EF115" s="1005"/>
      <c r="EG115" s="1005"/>
      <c r="EH115" s="1005"/>
      <c r="EI115" s="1005"/>
      <c r="EJ115" s="1005"/>
      <c r="EK115" s="1005"/>
      <c r="EL115" s="1005"/>
      <c r="EM115" s="1005"/>
      <c r="EN115" s="1005"/>
      <c r="EO115" s="1005"/>
      <c r="EP115" s="1005"/>
      <c r="EQ115" s="1005"/>
      <c r="ER115" s="1005"/>
      <c r="ES115" s="1005"/>
      <c r="ET115" s="1005"/>
      <c r="EU115" s="1005"/>
      <c r="EV115" s="1005"/>
      <c r="EW115" s="1005"/>
      <c r="EX115" s="1005"/>
      <c r="EY115" s="1005"/>
      <c r="EZ115" s="1005"/>
      <c r="FA115" s="1005"/>
      <c r="FB115" s="1005"/>
      <c r="FC115" s="1005"/>
      <c r="FD115" s="1005"/>
      <c r="FE115" s="1005"/>
      <c r="FF115" s="1005"/>
      <c r="FG115" s="1005"/>
      <c r="FH115" s="1005"/>
      <c r="FI115" s="1005"/>
      <c r="FJ115" s="1005"/>
      <c r="FK115" s="1005"/>
      <c r="FL115" s="1005"/>
      <c r="FM115" s="1005"/>
      <c r="FN115" s="1005"/>
      <c r="FO115" s="1005"/>
      <c r="FP115" s="1005"/>
      <c r="FQ115" s="1005"/>
      <c r="FR115" s="1005"/>
      <c r="FS115" s="1005"/>
      <c r="FT115" s="1005"/>
      <c r="FU115" s="1005"/>
      <c r="FV115" s="1005"/>
      <c r="FW115" s="1005"/>
      <c r="FX115" s="1005"/>
      <c r="FY115" s="1005"/>
      <c r="FZ115" s="1005"/>
      <c r="GA115" s="1005"/>
      <c r="GB115" s="1005"/>
      <c r="GC115" s="1005"/>
      <c r="GD115" s="1005"/>
      <c r="GE115" s="1005"/>
      <c r="GF115" s="1005"/>
      <c r="GG115" s="1005"/>
      <c r="GH115" s="1005"/>
      <c r="GI115" s="1005"/>
      <c r="GJ115" s="1005"/>
      <c r="GK115" s="1005"/>
      <c r="GL115" s="1005"/>
      <c r="GM115" s="1005"/>
      <c r="GN115" s="1005"/>
      <c r="GO115" s="1005"/>
      <c r="GP115" s="1005"/>
      <c r="GQ115" s="1005"/>
      <c r="GR115" s="1005"/>
      <c r="GS115" s="1005"/>
      <c r="GT115" s="1005"/>
      <c r="GU115" s="1005"/>
      <c r="GV115" s="1005"/>
      <c r="GW115" s="1005"/>
      <c r="GX115" s="1005"/>
      <c r="GY115" s="1005"/>
      <c r="GZ115" s="1005"/>
      <c r="HA115" s="1005"/>
      <c r="HB115" s="1005"/>
      <c r="HC115" s="1005"/>
      <c r="HD115" s="1005"/>
      <c r="HE115" s="1005"/>
      <c r="HF115" s="1005"/>
      <c r="HG115" s="1005"/>
      <c r="HH115" s="1005"/>
      <c r="HI115" s="1005"/>
      <c r="HJ115" s="1005"/>
      <c r="HK115" s="1005"/>
      <c r="HL115" s="1005"/>
      <c r="HM115" s="1005"/>
      <c r="HN115" s="1005"/>
      <c r="HO115" s="1005"/>
      <c r="HP115" s="1005"/>
      <c r="HQ115" s="1005"/>
      <c r="HR115" s="1005"/>
      <c r="HS115" s="1005"/>
      <c r="HT115" s="1005"/>
      <c r="HU115" s="1005"/>
      <c r="HV115" s="1005"/>
      <c r="HW115" s="1005"/>
      <c r="HX115" s="1005"/>
      <c r="HY115" s="1005"/>
      <c r="HZ115" s="1005"/>
      <c r="IA115" s="1005"/>
      <c r="IB115" s="1005"/>
      <c r="IC115" s="1005"/>
      <c r="ID115" s="1005"/>
      <c r="IE115" s="1005"/>
      <c r="IF115" s="1005"/>
      <c r="IG115" s="1005"/>
      <c r="IH115" s="1005"/>
      <c r="II115" s="1005"/>
      <c r="IJ115" s="1005"/>
      <c r="IK115" s="1005"/>
      <c r="IL115" s="1005"/>
      <c r="IM115" s="1005"/>
      <c r="IN115" s="1005"/>
      <c r="IO115" s="1005"/>
      <c r="IP115" s="1005"/>
      <c r="IQ115" s="1005"/>
      <c r="IR115" s="1005"/>
      <c r="IS115" s="1005"/>
      <c r="IT115" s="1005"/>
      <c r="IU115" s="1005"/>
      <c r="IV115" s="1005"/>
      <c r="IW115" s="1005"/>
      <c r="IX115" s="1005"/>
      <c r="IY115" s="1005"/>
      <c r="IZ115" s="1005"/>
      <c r="JA115" s="1005"/>
      <c r="JB115" s="1005"/>
      <c r="JC115" s="1005"/>
      <c r="JD115" s="1005"/>
      <c r="JE115" s="1005"/>
      <c r="JF115" s="1005"/>
      <c r="JG115" s="1005"/>
      <c r="JH115" s="1005"/>
      <c r="JI115" s="1005"/>
      <c r="JJ115" s="1005"/>
      <c r="JK115" s="1005"/>
      <c r="JL115" s="1005"/>
      <c r="JM115" s="1005"/>
      <c r="JN115" s="1005"/>
      <c r="JO115" s="1005"/>
      <c r="JP115" s="1005"/>
      <c r="JQ115" s="1005"/>
      <c r="JR115" s="1005"/>
      <c r="JS115" s="1005"/>
      <c r="JT115" s="1005"/>
      <c r="JU115" s="1005"/>
      <c r="JV115" s="1005"/>
      <c r="JW115" s="1005"/>
      <c r="JX115" s="1005"/>
      <c r="JY115" s="1005"/>
      <c r="JZ115" s="1005"/>
      <c r="KA115" s="1005"/>
      <c r="KB115" s="1005"/>
      <c r="KC115" s="1005"/>
      <c r="KD115" s="1005"/>
      <c r="KE115" s="1005"/>
      <c r="KF115" s="1005"/>
      <c r="KG115" s="1005"/>
      <c r="KH115" s="1005"/>
      <c r="KI115" s="1005"/>
      <c r="KJ115" s="1005"/>
      <c r="KK115" s="1005"/>
      <c r="KL115" s="1005"/>
      <c r="KM115" s="1005"/>
      <c r="KN115" s="1005"/>
      <c r="KO115" s="1005"/>
      <c r="KP115" s="1005"/>
      <c r="KQ115" s="1005"/>
      <c r="KR115" s="1005"/>
      <c r="KS115" s="1005"/>
      <c r="KT115" s="1005"/>
      <c r="KU115" s="1005"/>
      <c r="KV115" s="1005"/>
      <c r="KW115" s="1005"/>
      <c r="KX115" s="1005"/>
      <c r="KY115" s="1005"/>
      <c r="KZ115" s="1005"/>
      <c r="LA115" s="1005"/>
      <c r="LB115" s="1005"/>
      <c r="LC115" s="1005"/>
      <c r="LD115" s="1005"/>
      <c r="LE115" s="1005"/>
      <c r="LF115" s="1005"/>
      <c r="LG115" s="1005"/>
      <c r="LH115" s="1005"/>
      <c r="LI115" s="1005"/>
      <c r="LJ115" s="1005"/>
      <c r="LK115" s="1005"/>
      <c r="LL115" s="1005"/>
      <c r="LM115" s="1005"/>
      <c r="LN115" s="1005"/>
      <c r="LO115" s="1005"/>
      <c r="LP115" s="1005"/>
      <c r="LQ115" s="1005"/>
      <c r="LR115" s="1005"/>
      <c r="LS115" s="1005"/>
      <c r="LT115" s="1005"/>
      <c r="LU115" s="1005"/>
      <c r="LV115" s="1005"/>
      <c r="LW115" s="1005"/>
      <c r="LX115" s="1005"/>
      <c r="LY115" s="1005"/>
      <c r="LZ115" s="1005"/>
      <c r="MA115" s="1005"/>
      <c r="MB115" s="1005"/>
      <c r="MC115" s="1005"/>
      <c r="MD115" s="1005"/>
      <c r="ME115" s="1005"/>
      <c r="MF115" s="1005"/>
      <c r="MG115" s="1005"/>
      <c r="MH115" s="1005"/>
      <c r="MI115" s="1005"/>
      <c r="MJ115" s="1005"/>
      <c r="MK115" s="1005"/>
      <c r="ML115" s="1005"/>
      <c r="MM115" s="1005"/>
      <c r="MN115" s="1005"/>
      <c r="MO115" s="1005"/>
      <c r="MP115" s="1005"/>
      <c r="MQ115" s="1005"/>
      <c r="MR115" s="1005"/>
      <c r="MS115" s="1005"/>
      <c r="MT115" s="1005"/>
      <c r="MU115" s="1005"/>
      <c r="MV115" s="1005"/>
      <c r="MW115" s="1005"/>
      <c r="MX115" s="1005"/>
      <c r="MY115" s="1005"/>
      <c r="MZ115" s="1005"/>
      <c r="NA115" s="1005"/>
      <c r="NB115" s="1005"/>
      <c r="NC115" s="1005"/>
      <c r="ND115" s="1005"/>
      <c r="NE115" s="1005"/>
      <c r="NF115" s="1005"/>
      <c r="NG115" s="1005"/>
      <c r="NH115" s="1005"/>
      <c r="NI115" s="1005"/>
      <c r="NJ115" s="1005"/>
      <c r="NK115" s="1005"/>
      <c r="NL115" s="1005"/>
      <c r="NM115" s="1005"/>
      <c r="NN115" s="1005"/>
      <c r="NO115" s="1005"/>
      <c r="NP115" s="1005"/>
      <c r="NQ115" s="1005"/>
      <c r="NR115" s="1005"/>
      <c r="NS115" s="1005"/>
      <c r="NT115" s="1005"/>
      <c r="NU115" s="1005"/>
      <c r="NV115" s="1005"/>
      <c r="NW115" s="1005"/>
      <c r="NX115" s="1005"/>
      <c r="NY115" s="1005"/>
      <c r="NZ115" s="1005"/>
      <c r="OA115" s="1005"/>
      <c r="OB115" s="1005"/>
      <c r="OC115" s="1005"/>
      <c r="OD115" s="1005"/>
      <c r="OE115" s="1005"/>
      <c r="OF115" s="1005"/>
      <c r="OG115" s="1005"/>
      <c r="OH115" s="1005"/>
      <c r="OI115" s="1005"/>
      <c r="OJ115" s="1005"/>
      <c r="OK115" s="1005"/>
      <c r="OL115" s="1005"/>
      <c r="OM115" s="1005"/>
      <c r="ON115" s="1005"/>
      <c r="OO115" s="1005"/>
      <c r="OP115" s="1005"/>
      <c r="OQ115" s="1005"/>
      <c r="OR115" s="1005"/>
      <c r="OS115" s="1005"/>
      <c r="OT115" s="1005"/>
      <c r="OU115" s="1005"/>
      <c r="OV115" s="1005"/>
      <c r="OW115" s="1005"/>
      <c r="OX115" s="1005"/>
      <c r="OY115" s="1005"/>
      <c r="OZ115" s="1005"/>
      <c r="PA115" s="1005"/>
      <c r="PB115" s="1005"/>
      <c r="PC115" s="1005"/>
      <c r="PD115" s="1005"/>
      <c r="PE115" s="1005"/>
      <c r="PF115" s="1005"/>
      <c r="PG115" s="1005"/>
      <c r="PH115" s="1005"/>
      <c r="PI115" s="1005"/>
      <c r="PJ115" s="1005"/>
      <c r="PK115" s="1005"/>
      <c r="PL115" s="1005"/>
      <c r="PM115" s="1005"/>
      <c r="PN115" s="1005"/>
      <c r="PO115" s="1005"/>
      <c r="PP115" s="1005"/>
      <c r="PQ115" s="1005"/>
      <c r="PR115" s="1005"/>
      <c r="PS115" s="1005"/>
      <c r="PT115" s="1005"/>
      <c r="PU115" s="1005"/>
      <c r="PV115" s="1005"/>
      <c r="PW115" s="1005"/>
      <c r="PX115" s="1005"/>
      <c r="PY115" s="1005"/>
      <c r="PZ115" s="1005"/>
      <c r="QA115" s="1005"/>
      <c r="QB115" s="1005"/>
      <c r="QC115" s="1005"/>
      <c r="QD115" s="1005"/>
      <c r="QE115" s="1005"/>
      <c r="QF115" s="1005"/>
      <c r="QG115" s="1005"/>
      <c r="QH115" s="1005"/>
      <c r="QI115" s="1005"/>
      <c r="QJ115" s="1005"/>
      <c r="QK115" s="1005"/>
      <c r="QL115" s="1005"/>
      <c r="QM115" s="1005"/>
      <c r="QN115" s="1005"/>
      <c r="QO115" s="1005"/>
      <c r="QP115" s="1005"/>
      <c r="QQ115" s="1005"/>
      <c r="QR115" s="1005"/>
      <c r="QS115" s="1005"/>
      <c r="QT115" s="1005"/>
      <c r="QU115" s="1005"/>
      <c r="QV115" s="1005"/>
      <c r="QW115" s="1005"/>
      <c r="QX115" s="1005"/>
      <c r="QY115" s="1005"/>
      <c r="QZ115" s="1005"/>
      <c r="RA115" s="1005"/>
      <c r="RB115" s="1005"/>
      <c r="RC115" s="1005"/>
      <c r="RD115" s="1005"/>
      <c r="RE115" s="1005"/>
      <c r="RF115" s="1005"/>
      <c r="RG115" s="1005"/>
      <c r="RH115" s="1005"/>
      <c r="RI115" s="1005"/>
      <c r="RJ115" s="1005"/>
      <c r="RK115" s="1005"/>
      <c r="RL115" s="1005"/>
      <c r="RM115" s="1005"/>
      <c r="RN115" s="1005"/>
      <c r="RO115" s="1005"/>
      <c r="RP115" s="1005"/>
      <c r="RQ115" s="1005"/>
      <c r="RR115" s="1005"/>
      <c r="RS115" s="1005"/>
      <c r="RT115" s="1005"/>
      <c r="RU115" s="1005"/>
      <c r="RV115" s="1005"/>
      <c r="RW115" s="1005"/>
      <c r="RX115" s="1005"/>
      <c r="RY115" s="1005"/>
      <c r="RZ115" s="1005"/>
      <c r="SA115" s="1005"/>
      <c r="SB115" s="1005"/>
      <c r="SC115" s="1005"/>
      <c r="SD115" s="1005"/>
      <c r="SE115" s="1005"/>
      <c r="SF115" s="1005"/>
      <c r="SG115" s="1005"/>
      <c r="SH115" s="1005"/>
      <c r="SI115" s="1005"/>
      <c r="SJ115" s="1005"/>
      <c r="SK115" s="1005"/>
      <c r="SL115" s="1005"/>
      <c r="SM115" s="1005"/>
      <c r="SN115" s="1005"/>
      <c r="SO115" s="1005"/>
      <c r="SP115" s="1005"/>
      <c r="SQ115" s="1005"/>
      <c r="SR115" s="1005"/>
      <c r="SS115" s="1005"/>
      <c r="ST115" s="1005"/>
      <c r="SU115" s="1005"/>
      <c r="SV115" s="1005"/>
      <c r="SW115" s="1005"/>
      <c r="SX115" s="1005"/>
      <c r="SY115" s="1005"/>
      <c r="SZ115" s="1005"/>
      <c r="TA115" s="1005"/>
      <c r="TB115" s="1005"/>
      <c r="TC115" s="1005"/>
      <c r="TD115" s="1005"/>
      <c r="TE115" s="1005"/>
      <c r="TF115" s="1005"/>
      <c r="TG115" s="1005"/>
      <c r="TH115" s="1005"/>
      <c r="TI115" s="1005"/>
      <c r="TJ115" s="1005"/>
      <c r="TK115" s="1005"/>
      <c r="TL115" s="1005"/>
      <c r="TM115" s="1005"/>
      <c r="TN115" s="1005"/>
      <c r="TO115" s="1005"/>
      <c r="TP115" s="1005"/>
      <c r="TQ115" s="1005"/>
      <c r="TR115" s="1005"/>
      <c r="TS115" s="1005"/>
      <c r="TT115" s="1005"/>
      <c r="TU115" s="1005"/>
      <c r="TV115" s="1005"/>
      <c r="TW115" s="1005"/>
      <c r="TX115" s="1005"/>
      <c r="TY115" s="1005"/>
      <c r="TZ115" s="1005"/>
      <c r="UA115" s="1005"/>
      <c r="UB115" s="1005"/>
      <c r="UC115" s="1005"/>
      <c r="UD115" s="1005"/>
      <c r="UE115" s="1005"/>
      <c r="UF115" s="1005"/>
      <c r="UG115" s="1005"/>
      <c r="UH115" s="1005"/>
      <c r="UI115" s="1005"/>
      <c r="UJ115" s="1005"/>
      <c r="UK115" s="1005"/>
      <c r="UL115" s="1005"/>
      <c r="UM115" s="1005"/>
      <c r="UN115" s="1005"/>
      <c r="UO115" s="1005"/>
      <c r="UP115" s="1005"/>
      <c r="UQ115" s="1005"/>
      <c r="UR115" s="1005"/>
      <c r="US115" s="1005"/>
      <c r="UT115" s="1005"/>
      <c r="UU115" s="1005"/>
      <c r="UV115" s="1005"/>
      <c r="UW115" s="1005"/>
      <c r="UX115" s="1005"/>
      <c r="UY115" s="1005"/>
      <c r="UZ115" s="1005"/>
      <c r="VA115" s="1005"/>
      <c r="VB115" s="1005"/>
      <c r="VC115" s="1005"/>
      <c r="VD115" s="1005"/>
      <c r="VE115" s="1005"/>
      <c r="VF115" s="1005"/>
      <c r="VG115" s="1005"/>
      <c r="VH115" s="1005"/>
      <c r="VI115" s="1005"/>
      <c r="VJ115" s="1005"/>
      <c r="VK115" s="1005"/>
      <c r="VL115" s="1005"/>
      <c r="VM115" s="1005"/>
      <c r="VN115" s="1005"/>
      <c r="VO115" s="1005"/>
      <c r="VP115" s="1005"/>
      <c r="VQ115" s="1005"/>
      <c r="VR115" s="1005"/>
      <c r="VS115" s="1005"/>
      <c r="VT115" s="1005"/>
      <c r="VU115" s="1005"/>
      <c r="VV115" s="1005"/>
      <c r="VW115" s="1005"/>
      <c r="VX115" s="1005"/>
      <c r="VY115" s="1005"/>
      <c r="VZ115" s="1005"/>
      <c r="WA115" s="1005"/>
      <c r="WB115" s="1005"/>
      <c r="WC115" s="1005"/>
      <c r="WD115" s="1005"/>
      <c r="WE115" s="1005"/>
      <c r="WF115" s="1005"/>
      <c r="WG115" s="1005"/>
      <c r="WH115" s="1005"/>
      <c r="WI115" s="1005"/>
      <c r="WJ115" s="1005"/>
      <c r="WK115" s="1005"/>
      <c r="WL115" s="1005"/>
      <c r="WM115" s="1005"/>
      <c r="WN115" s="1005"/>
      <c r="WO115" s="1005"/>
      <c r="WP115" s="1005"/>
      <c r="WQ115" s="1005"/>
      <c r="WR115" s="1005"/>
      <c r="WS115" s="1005"/>
      <c r="WT115" s="1005"/>
      <c r="WU115" s="1005"/>
      <c r="WV115" s="1005"/>
      <c r="WW115" s="1005"/>
      <c r="WX115" s="1005"/>
      <c r="WY115" s="1005"/>
      <c r="WZ115" s="1005"/>
      <c r="XA115" s="1005"/>
      <c r="XB115" s="1005"/>
      <c r="XC115" s="1005"/>
      <c r="XD115" s="1005"/>
      <c r="XE115" s="1005"/>
      <c r="XF115" s="1005"/>
      <c r="XG115" s="1005"/>
      <c r="XH115" s="1005"/>
      <c r="XI115" s="1005"/>
      <c r="XJ115" s="1005"/>
      <c r="XK115" s="1005"/>
      <c r="XL115" s="1005"/>
      <c r="XM115" s="1005"/>
      <c r="XN115" s="1005"/>
      <c r="XO115" s="1005"/>
      <c r="XP115" s="1005"/>
      <c r="XQ115" s="1005"/>
      <c r="XR115" s="1005"/>
      <c r="XS115" s="1005"/>
      <c r="XT115" s="1005"/>
      <c r="XU115" s="1005"/>
      <c r="XV115" s="1005"/>
      <c r="XW115" s="1005"/>
      <c r="XX115" s="1005"/>
      <c r="XY115" s="1005"/>
      <c r="XZ115" s="1005"/>
      <c r="YA115" s="1005"/>
      <c r="YB115" s="1005"/>
      <c r="YC115" s="1005"/>
      <c r="YD115" s="1005"/>
      <c r="YE115" s="1005"/>
      <c r="YF115" s="1005"/>
      <c r="YG115" s="1005"/>
      <c r="YH115" s="1005"/>
      <c r="YI115" s="1005"/>
      <c r="YJ115" s="1005"/>
      <c r="YK115" s="1005"/>
      <c r="YL115" s="1005"/>
      <c r="YM115" s="1005"/>
      <c r="YN115" s="1005"/>
      <c r="YO115" s="1005"/>
      <c r="YP115" s="1005"/>
      <c r="YQ115" s="1005"/>
      <c r="YR115" s="1005"/>
      <c r="YS115" s="1005"/>
      <c r="YT115" s="1005"/>
      <c r="YU115" s="1005"/>
      <c r="YV115" s="1005"/>
      <c r="YW115" s="1005"/>
      <c r="YX115" s="1005"/>
      <c r="YY115" s="1005"/>
      <c r="YZ115" s="1005"/>
      <c r="ZA115" s="1005"/>
      <c r="ZB115" s="1005"/>
      <c r="ZC115" s="1005"/>
      <c r="ZD115" s="1005"/>
      <c r="ZE115" s="1005"/>
      <c r="ZF115" s="1005"/>
      <c r="ZG115" s="1005"/>
      <c r="ZH115" s="1005"/>
      <c r="ZI115" s="1005"/>
      <c r="ZJ115" s="1005"/>
      <c r="ZK115" s="1005"/>
      <c r="ZL115" s="1005"/>
      <c r="ZM115" s="1005"/>
      <c r="ZN115" s="1005"/>
      <c r="ZO115" s="1005"/>
      <c r="ZP115" s="1005"/>
      <c r="ZQ115" s="1005"/>
      <c r="ZR115" s="1005"/>
      <c r="ZS115" s="1005"/>
      <c r="ZT115" s="1005"/>
      <c r="ZU115" s="1005"/>
      <c r="ZV115" s="1005"/>
      <c r="ZW115" s="1005"/>
      <c r="ZX115" s="1005"/>
      <c r="ZY115" s="1005"/>
      <c r="ZZ115" s="1005"/>
      <c r="AAA115" s="1005"/>
      <c r="AAB115" s="1005"/>
      <c r="AAC115" s="1005"/>
      <c r="AAD115" s="1005"/>
      <c r="AAE115" s="1005"/>
      <c r="AAF115" s="1005"/>
      <c r="AAG115" s="1005"/>
      <c r="AAH115" s="1005"/>
      <c r="AAI115" s="1005"/>
      <c r="AAJ115" s="1005"/>
      <c r="AAK115" s="1005"/>
      <c r="AAL115" s="1005"/>
      <c r="AAM115" s="1005"/>
      <c r="AAN115" s="1005"/>
      <c r="AAO115" s="1005"/>
      <c r="AAP115" s="1005"/>
      <c r="AAQ115" s="1005"/>
      <c r="AAR115" s="1005"/>
      <c r="AAS115" s="1005"/>
      <c r="AAT115" s="1005"/>
      <c r="AAU115" s="1005"/>
      <c r="AAV115" s="1005"/>
      <c r="AAW115" s="1005"/>
      <c r="AAX115" s="1005"/>
      <c r="AAY115" s="1005"/>
      <c r="AAZ115" s="1005"/>
      <c r="ABA115" s="1005"/>
      <c r="ABB115" s="1005"/>
      <c r="ABC115" s="1005"/>
      <c r="ABD115" s="1005"/>
      <c r="ABE115" s="1005"/>
      <c r="ABF115" s="1005"/>
      <c r="ABG115" s="1005"/>
      <c r="ABH115" s="1005"/>
      <c r="ABI115" s="1005"/>
      <c r="ABJ115" s="1005"/>
      <c r="ABK115" s="1005"/>
      <c r="ABL115" s="1005"/>
      <c r="ABM115" s="1005"/>
      <c r="ABN115" s="1005"/>
      <c r="ABO115" s="1005"/>
      <c r="ABP115" s="1005"/>
      <c r="ABQ115" s="1005"/>
      <c r="ABR115" s="1005"/>
    </row>
    <row r="116" spans="1:746" s="94" customFormat="1" ht="12.9" customHeight="1" thickBot="1">
      <c r="A116" s="924"/>
      <c r="B116" s="327" t="s">
        <v>1304</v>
      </c>
      <c r="C116" s="116"/>
      <c r="D116" s="96"/>
      <c r="E116" s="347" t="s">
        <v>0</v>
      </c>
      <c r="F116" s="1240"/>
      <c r="G116" s="347">
        <v>0.25</v>
      </c>
      <c r="H116" s="2178"/>
      <c r="I116" s="1966"/>
      <c r="J116" s="368"/>
      <c r="K116" s="368"/>
      <c r="L116" s="368"/>
      <c r="M116" s="368"/>
      <c r="N116" s="368"/>
      <c r="O116" s="368"/>
      <c r="P116" s="368"/>
      <c r="Q116" s="368"/>
      <c r="R116" s="368"/>
      <c r="S116" s="368"/>
      <c r="T116" s="368"/>
      <c r="U116" s="368"/>
      <c r="V116" s="368"/>
      <c r="W116" s="368"/>
      <c r="X116" s="368"/>
      <c r="Y116" s="368"/>
      <c r="Z116" s="368"/>
      <c r="AA116" s="368"/>
      <c r="AB116" s="368"/>
      <c r="AC116" s="368"/>
      <c r="AD116" s="368"/>
      <c r="AE116" s="368"/>
      <c r="AF116" s="368"/>
      <c r="AG116" s="1042"/>
      <c r="AH116" s="336"/>
      <c r="AI116" s="336"/>
      <c r="AJ116" s="418">
        <f>IF(fx!$C$57=1,SUMIF(fx!I$57:T$57,1,I116:T116),IF(fx!$C$57=2,SUMIF(fx!O$57:AF$57,1,O116:AF116)))</f>
        <v>0</v>
      </c>
      <c r="AK116" s="328"/>
      <c r="AL116" s="417">
        <f>IF(fx!$C$57=1,SUM(U116:AF116),0)</f>
        <v>0</v>
      </c>
      <c r="AM116" s="1004"/>
      <c r="AN116" s="1024"/>
      <c r="AO116" s="1945"/>
      <c r="AP116" s="1935"/>
      <c r="AQ116" s="1936"/>
      <c r="AR116" s="1941"/>
      <c r="AS116" s="1941"/>
      <c r="AT116" s="1941"/>
      <c r="AU116" s="1941"/>
      <c r="AV116" s="1941"/>
      <c r="AW116" s="1941"/>
      <c r="AX116" s="1941"/>
      <c r="AY116" s="1941"/>
      <c r="AZ116" s="1941"/>
      <c r="BA116" s="1941"/>
      <c r="BB116" s="1941"/>
      <c r="BC116" s="1941"/>
      <c r="BD116" s="1941"/>
      <c r="BE116" s="1941"/>
      <c r="BF116" s="1941"/>
      <c r="BG116" s="1941"/>
      <c r="BH116" s="1941"/>
      <c r="BI116" s="1941"/>
      <c r="BJ116" s="1941"/>
      <c r="BK116" s="1941"/>
      <c r="BL116" s="1941"/>
      <c r="BM116" s="1941"/>
      <c r="BN116" s="1941"/>
      <c r="BO116" s="1941"/>
      <c r="BP116" s="1005"/>
      <c r="BQ116" s="1005"/>
      <c r="BR116" s="1005"/>
      <c r="BS116" s="1005"/>
      <c r="BT116" s="1005"/>
      <c r="BU116" s="1005"/>
      <c r="BV116" s="1005"/>
      <c r="BW116" s="1005"/>
      <c r="BX116" s="1005"/>
      <c r="BY116" s="1005"/>
      <c r="BZ116" s="1005"/>
      <c r="CA116" s="1005"/>
      <c r="CB116" s="1005"/>
      <c r="CC116" s="1005"/>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c r="EC116" s="1005"/>
      <c r="ED116" s="1005"/>
      <c r="EE116" s="1005"/>
      <c r="EF116" s="1005"/>
      <c r="EG116" s="1005"/>
      <c r="EH116" s="1005"/>
      <c r="EI116" s="1005"/>
      <c r="EJ116" s="1005"/>
      <c r="EK116" s="1005"/>
      <c r="EL116" s="1005"/>
      <c r="EM116" s="1005"/>
      <c r="EN116" s="1005"/>
      <c r="EO116" s="1005"/>
      <c r="EP116" s="1005"/>
      <c r="EQ116" s="1005"/>
      <c r="ER116" s="1005"/>
      <c r="ES116" s="1005"/>
      <c r="ET116" s="1005"/>
      <c r="EU116" s="1005"/>
      <c r="EV116" s="1005"/>
      <c r="EW116" s="1005"/>
      <c r="EX116" s="1005"/>
      <c r="EY116" s="1005"/>
      <c r="EZ116" s="1005"/>
      <c r="FA116" s="1005"/>
      <c r="FB116" s="1005"/>
      <c r="FC116" s="1005"/>
      <c r="FD116" s="1005"/>
      <c r="FE116" s="1005"/>
      <c r="FF116" s="1005"/>
      <c r="FG116" s="1005"/>
      <c r="FH116" s="1005"/>
      <c r="FI116" s="1005"/>
      <c r="FJ116" s="1005"/>
      <c r="FK116" s="1005"/>
      <c r="FL116" s="1005"/>
      <c r="FM116" s="1005"/>
      <c r="FN116" s="1005"/>
      <c r="FO116" s="1005"/>
      <c r="FP116" s="1005"/>
      <c r="FQ116" s="1005"/>
      <c r="FR116" s="1005"/>
      <c r="FS116" s="1005"/>
      <c r="FT116" s="1005"/>
      <c r="FU116" s="1005"/>
      <c r="FV116" s="1005"/>
      <c r="FW116" s="1005"/>
      <c r="FX116" s="1005"/>
      <c r="FY116" s="1005"/>
      <c r="FZ116" s="1005"/>
      <c r="GA116" s="1005"/>
      <c r="GB116" s="1005"/>
      <c r="GC116" s="1005"/>
      <c r="GD116" s="1005"/>
      <c r="GE116" s="1005"/>
      <c r="GF116" s="1005"/>
      <c r="GG116" s="1005"/>
      <c r="GH116" s="1005"/>
      <c r="GI116" s="1005"/>
      <c r="GJ116" s="1005"/>
      <c r="GK116" s="1005"/>
      <c r="GL116" s="1005"/>
      <c r="GM116" s="1005"/>
      <c r="GN116" s="1005"/>
      <c r="GO116" s="1005"/>
      <c r="GP116" s="1005"/>
      <c r="GQ116" s="1005"/>
      <c r="GR116" s="1005"/>
      <c r="GS116" s="1005"/>
      <c r="GT116" s="1005"/>
      <c r="GU116" s="1005"/>
      <c r="GV116" s="1005"/>
      <c r="GW116" s="1005"/>
      <c r="GX116" s="1005"/>
      <c r="GY116" s="1005"/>
      <c r="GZ116" s="1005"/>
      <c r="HA116" s="1005"/>
      <c r="HB116" s="1005"/>
      <c r="HC116" s="1005"/>
      <c r="HD116" s="1005"/>
      <c r="HE116" s="1005"/>
      <c r="HF116" s="1005"/>
      <c r="HG116" s="1005"/>
      <c r="HH116" s="1005"/>
      <c r="HI116" s="1005"/>
      <c r="HJ116" s="1005"/>
      <c r="HK116" s="1005"/>
      <c r="HL116" s="1005"/>
      <c r="HM116" s="1005"/>
      <c r="HN116" s="1005"/>
      <c r="HO116" s="1005"/>
      <c r="HP116" s="1005"/>
      <c r="HQ116" s="1005"/>
      <c r="HR116" s="1005"/>
      <c r="HS116" s="1005"/>
      <c r="HT116" s="1005"/>
      <c r="HU116" s="1005"/>
      <c r="HV116" s="1005"/>
      <c r="HW116" s="1005"/>
      <c r="HX116" s="1005"/>
      <c r="HY116" s="1005"/>
      <c r="HZ116" s="1005"/>
      <c r="IA116" s="1005"/>
      <c r="IB116" s="1005"/>
      <c r="IC116" s="1005"/>
      <c r="ID116" s="1005"/>
      <c r="IE116" s="1005"/>
      <c r="IF116" s="1005"/>
      <c r="IG116" s="1005"/>
      <c r="IH116" s="1005"/>
      <c r="II116" s="1005"/>
      <c r="IJ116" s="1005"/>
      <c r="IK116" s="1005"/>
      <c r="IL116" s="1005"/>
      <c r="IM116" s="1005"/>
      <c r="IN116" s="1005"/>
      <c r="IO116" s="1005"/>
      <c r="IP116" s="1005"/>
      <c r="IQ116" s="1005"/>
      <c r="IR116" s="1005"/>
      <c r="IS116" s="1005"/>
      <c r="IT116" s="1005"/>
      <c r="IU116" s="1005"/>
      <c r="IV116" s="1005"/>
      <c r="IW116" s="1005"/>
      <c r="IX116" s="1005"/>
      <c r="IY116" s="1005"/>
      <c r="IZ116" s="1005"/>
      <c r="JA116" s="1005"/>
      <c r="JB116" s="1005"/>
      <c r="JC116" s="1005"/>
      <c r="JD116" s="1005"/>
      <c r="JE116" s="1005"/>
      <c r="JF116" s="1005"/>
      <c r="JG116" s="1005"/>
      <c r="JH116" s="1005"/>
      <c r="JI116" s="1005"/>
      <c r="JJ116" s="1005"/>
      <c r="JK116" s="1005"/>
      <c r="JL116" s="1005"/>
      <c r="JM116" s="1005"/>
      <c r="JN116" s="1005"/>
      <c r="JO116" s="1005"/>
      <c r="JP116" s="1005"/>
      <c r="JQ116" s="1005"/>
      <c r="JR116" s="1005"/>
      <c r="JS116" s="1005"/>
      <c r="JT116" s="1005"/>
      <c r="JU116" s="1005"/>
      <c r="JV116" s="1005"/>
      <c r="JW116" s="1005"/>
      <c r="JX116" s="1005"/>
      <c r="JY116" s="1005"/>
      <c r="JZ116" s="1005"/>
      <c r="KA116" s="1005"/>
      <c r="KB116" s="1005"/>
      <c r="KC116" s="1005"/>
      <c r="KD116" s="1005"/>
      <c r="KE116" s="1005"/>
      <c r="KF116" s="1005"/>
      <c r="KG116" s="1005"/>
      <c r="KH116" s="1005"/>
      <c r="KI116" s="1005"/>
      <c r="KJ116" s="1005"/>
      <c r="KK116" s="1005"/>
      <c r="KL116" s="1005"/>
      <c r="KM116" s="1005"/>
      <c r="KN116" s="1005"/>
      <c r="KO116" s="1005"/>
      <c r="KP116" s="1005"/>
      <c r="KQ116" s="1005"/>
      <c r="KR116" s="1005"/>
      <c r="KS116" s="1005"/>
      <c r="KT116" s="1005"/>
      <c r="KU116" s="1005"/>
      <c r="KV116" s="1005"/>
      <c r="KW116" s="1005"/>
      <c r="KX116" s="1005"/>
      <c r="KY116" s="1005"/>
      <c r="KZ116" s="1005"/>
      <c r="LA116" s="1005"/>
      <c r="LB116" s="1005"/>
      <c r="LC116" s="1005"/>
      <c r="LD116" s="1005"/>
      <c r="LE116" s="1005"/>
      <c r="LF116" s="1005"/>
      <c r="LG116" s="1005"/>
      <c r="LH116" s="1005"/>
      <c r="LI116" s="1005"/>
      <c r="LJ116" s="1005"/>
      <c r="LK116" s="1005"/>
      <c r="LL116" s="1005"/>
      <c r="LM116" s="1005"/>
      <c r="LN116" s="1005"/>
      <c r="LO116" s="1005"/>
      <c r="LP116" s="1005"/>
      <c r="LQ116" s="1005"/>
      <c r="LR116" s="1005"/>
      <c r="LS116" s="1005"/>
      <c r="LT116" s="1005"/>
      <c r="LU116" s="1005"/>
      <c r="LV116" s="1005"/>
      <c r="LW116" s="1005"/>
      <c r="LX116" s="1005"/>
      <c r="LY116" s="1005"/>
      <c r="LZ116" s="1005"/>
      <c r="MA116" s="1005"/>
      <c r="MB116" s="1005"/>
      <c r="MC116" s="1005"/>
      <c r="MD116" s="1005"/>
      <c r="ME116" s="1005"/>
      <c r="MF116" s="1005"/>
      <c r="MG116" s="1005"/>
      <c r="MH116" s="1005"/>
      <c r="MI116" s="1005"/>
      <c r="MJ116" s="1005"/>
      <c r="MK116" s="1005"/>
      <c r="ML116" s="1005"/>
      <c r="MM116" s="1005"/>
      <c r="MN116" s="1005"/>
      <c r="MO116" s="1005"/>
      <c r="MP116" s="1005"/>
      <c r="MQ116" s="1005"/>
      <c r="MR116" s="1005"/>
      <c r="MS116" s="1005"/>
      <c r="MT116" s="1005"/>
      <c r="MU116" s="1005"/>
      <c r="MV116" s="1005"/>
      <c r="MW116" s="1005"/>
      <c r="MX116" s="1005"/>
      <c r="MY116" s="1005"/>
      <c r="MZ116" s="1005"/>
      <c r="NA116" s="1005"/>
      <c r="NB116" s="1005"/>
      <c r="NC116" s="1005"/>
      <c r="ND116" s="1005"/>
      <c r="NE116" s="1005"/>
      <c r="NF116" s="1005"/>
      <c r="NG116" s="1005"/>
      <c r="NH116" s="1005"/>
      <c r="NI116" s="1005"/>
      <c r="NJ116" s="1005"/>
      <c r="NK116" s="1005"/>
      <c r="NL116" s="1005"/>
      <c r="NM116" s="1005"/>
      <c r="NN116" s="1005"/>
      <c r="NO116" s="1005"/>
      <c r="NP116" s="1005"/>
      <c r="NQ116" s="1005"/>
      <c r="NR116" s="1005"/>
      <c r="NS116" s="1005"/>
      <c r="NT116" s="1005"/>
      <c r="NU116" s="1005"/>
      <c r="NV116" s="1005"/>
      <c r="NW116" s="1005"/>
      <c r="NX116" s="1005"/>
      <c r="NY116" s="1005"/>
      <c r="NZ116" s="1005"/>
      <c r="OA116" s="1005"/>
      <c r="OB116" s="1005"/>
      <c r="OC116" s="1005"/>
      <c r="OD116" s="1005"/>
      <c r="OE116" s="1005"/>
      <c r="OF116" s="1005"/>
      <c r="OG116" s="1005"/>
      <c r="OH116" s="1005"/>
      <c r="OI116" s="1005"/>
      <c r="OJ116" s="1005"/>
      <c r="OK116" s="1005"/>
      <c r="OL116" s="1005"/>
      <c r="OM116" s="1005"/>
      <c r="ON116" s="1005"/>
      <c r="OO116" s="1005"/>
      <c r="OP116" s="1005"/>
      <c r="OQ116" s="1005"/>
      <c r="OR116" s="1005"/>
      <c r="OS116" s="1005"/>
      <c r="OT116" s="1005"/>
      <c r="OU116" s="1005"/>
      <c r="OV116" s="1005"/>
      <c r="OW116" s="1005"/>
      <c r="OX116" s="1005"/>
      <c r="OY116" s="1005"/>
      <c r="OZ116" s="1005"/>
      <c r="PA116" s="1005"/>
      <c r="PB116" s="1005"/>
      <c r="PC116" s="1005"/>
      <c r="PD116" s="1005"/>
      <c r="PE116" s="1005"/>
      <c r="PF116" s="1005"/>
      <c r="PG116" s="1005"/>
      <c r="PH116" s="1005"/>
      <c r="PI116" s="1005"/>
      <c r="PJ116" s="1005"/>
      <c r="PK116" s="1005"/>
      <c r="PL116" s="1005"/>
      <c r="PM116" s="1005"/>
      <c r="PN116" s="1005"/>
      <c r="PO116" s="1005"/>
      <c r="PP116" s="1005"/>
      <c r="PQ116" s="1005"/>
      <c r="PR116" s="1005"/>
      <c r="PS116" s="1005"/>
      <c r="PT116" s="1005"/>
      <c r="PU116" s="1005"/>
      <c r="PV116" s="1005"/>
      <c r="PW116" s="1005"/>
      <c r="PX116" s="1005"/>
      <c r="PY116" s="1005"/>
      <c r="PZ116" s="1005"/>
      <c r="QA116" s="1005"/>
      <c r="QB116" s="1005"/>
      <c r="QC116" s="1005"/>
      <c r="QD116" s="1005"/>
      <c r="QE116" s="1005"/>
      <c r="QF116" s="1005"/>
      <c r="QG116" s="1005"/>
      <c r="QH116" s="1005"/>
      <c r="QI116" s="1005"/>
      <c r="QJ116" s="1005"/>
      <c r="QK116" s="1005"/>
      <c r="QL116" s="1005"/>
      <c r="QM116" s="1005"/>
      <c r="QN116" s="1005"/>
      <c r="QO116" s="1005"/>
      <c r="QP116" s="1005"/>
      <c r="QQ116" s="1005"/>
      <c r="QR116" s="1005"/>
      <c r="QS116" s="1005"/>
      <c r="QT116" s="1005"/>
      <c r="QU116" s="1005"/>
      <c r="QV116" s="1005"/>
      <c r="QW116" s="1005"/>
      <c r="QX116" s="1005"/>
      <c r="QY116" s="1005"/>
      <c r="QZ116" s="1005"/>
      <c r="RA116" s="1005"/>
      <c r="RB116" s="1005"/>
      <c r="RC116" s="1005"/>
      <c r="RD116" s="1005"/>
      <c r="RE116" s="1005"/>
      <c r="RF116" s="1005"/>
      <c r="RG116" s="1005"/>
      <c r="RH116" s="1005"/>
      <c r="RI116" s="1005"/>
      <c r="RJ116" s="1005"/>
      <c r="RK116" s="1005"/>
      <c r="RL116" s="1005"/>
      <c r="RM116" s="1005"/>
      <c r="RN116" s="1005"/>
      <c r="RO116" s="1005"/>
      <c r="RP116" s="1005"/>
      <c r="RQ116" s="1005"/>
      <c r="RR116" s="1005"/>
      <c r="RS116" s="1005"/>
      <c r="RT116" s="1005"/>
      <c r="RU116" s="1005"/>
      <c r="RV116" s="1005"/>
      <c r="RW116" s="1005"/>
      <c r="RX116" s="1005"/>
      <c r="RY116" s="1005"/>
      <c r="RZ116" s="1005"/>
      <c r="SA116" s="1005"/>
      <c r="SB116" s="1005"/>
      <c r="SC116" s="1005"/>
      <c r="SD116" s="1005"/>
      <c r="SE116" s="1005"/>
      <c r="SF116" s="1005"/>
      <c r="SG116" s="1005"/>
      <c r="SH116" s="1005"/>
      <c r="SI116" s="1005"/>
      <c r="SJ116" s="1005"/>
      <c r="SK116" s="1005"/>
      <c r="SL116" s="1005"/>
      <c r="SM116" s="1005"/>
      <c r="SN116" s="1005"/>
      <c r="SO116" s="1005"/>
      <c r="SP116" s="1005"/>
      <c r="SQ116" s="1005"/>
      <c r="SR116" s="1005"/>
      <c r="SS116" s="1005"/>
      <c r="ST116" s="1005"/>
      <c r="SU116" s="1005"/>
      <c r="SV116" s="1005"/>
      <c r="SW116" s="1005"/>
      <c r="SX116" s="1005"/>
      <c r="SY116" s="1005"/>
      <c r="SZ116" s="1005"/>
      <c r="TA116" s="1005"/>
      <c r="TB116" s="1005"/>
      <c r="TC116" s="1005"/>
      <c r="TD116" s="1005"/>
      <c r="TE116" s="1005"/>
      <c r="TF116" s="1005"/>
      <c r="TG116" s="1005"/>
      <c r="TH116" s="1005"/>
      <c r="TI116" s="1005"/>
      <c r="TJ116" s="1005"/>
      <c r="TK116" s="1005"/>
      <c r="TL116" s="1005"/>
      <c r="TM116" s="1005"/>
      <c r="TN116" s="1005"/>
      <c r="TO116" s="1005"/>
      <c r="TP116" s="1005"/>
      <c r="TQ116" s="1005"/>
      <c r="TR116" s="1005"/>
      <c r="TS116" s="1005"/>
      <c r="TT116" s="1005"/>
      <c r="TU116" s="1005"/>
      <c r="TV116" s="1005"/>
      <c r="TW116" s="1005"/>
      <c r="TX116" s="1005"/>
      <c r="TY116" s="1005"/>
      <c r="TZ116" s="1005"/>
      <c r="UA116" s="1005"/>
      <c r="UB116" s="1005"/>
      <c r="UC116" s="1005"/>
      <c r="UD116" s="1005"/>
      <c r="UE116" s="1005"/>
      <c r="UF116" s="1005"/>
      <c r="UG116" s="1005"/>
      <c r="UH116" s="1005"/>
      <c r="UI116" s="1005"/>
      <c r="UJ116" s="1005"/>
      <c r="UK116" s="1005"/>
      <c r="UL116" s="1005"/>
      <c r="UM116" s="1005"/>
      <c r="UN116" s="1005"/>
      <c r="UO116" s="1005"/>
      <c r="UP116" s="1005"/>
      <c r="UQ116" s="1005"/>
      <c r="UR116" s="1005"/>
      <c r="US116" s="1005"/>
      <c r="UT116" s="1005"/>
      <c r="UU116" s="1005"/>
      <c r="UV116" s="1005"/>
      <c r="UW116" s="1005"/>
      <c r="UX116" s="1005"/>
      <c r="UY116" s="1005"/>
      <c r="UZ116" s="1005"/>
      <c r="VA116" s="1005"/>
      <c r="VB116" s="1005"/>
      <c r="VC116" s="1005"/>
      <c r="VD116" s="1005"/>
      <c r="VE116" s="1005"/>
      <c r="VF116" s="1005"/>
      <c r="VG116" s="1005"/>
      <c r="VH116" s="1005"/>
      <c r="VI116" s="1005"/>
      <c r="VJ116" s="1005"/>
      <c r="VK116" s="1005"/>
      <c r="VL116" s="1005"/>
      <c r="VM116" s="1005"/>
      <c r="VN116" s="1005"/>
      <c r="VO116" s="1005"/>
      <c r="VP116" s="1005"/>
      <c r="VQ116" s="1005"/>
      <c r="VR116" s="1005"/>
      <c r="VS116" s="1005"/>
      <c r="VT116" s="1005"/>
      <c r="VU116" s="1005"/>
      <c r="VV116" s="1005"/>
      <c r="VW116" s="1005"/>
      <c r="VX116" s="1005"/>
      <c r="VY116" s="1005"/>
      <c r="VZ116" s="1005"/>
      <c r="WA116" s="1005"/>
      <c r="WB116" s="1005"/>
      <c r="WC116" s="1005"/>
      <c r="WD116" s="1005"/>
      <c r="WE116" s="1005"/>
      <c r="WF116" s="1005"/>
      <c r="WG116" s="1005"/>
      <c r="WH116" s="1005"/>
      <c r="WI116" s="1005"/>
      <c r="WJ116" s="1005"/>
      <c r="WK116" s="1005"/>
      <c r="WL116" s="1005"/>
      <c r="WM116" s="1005"/>
      <c r="WN116" s="1005"/>
      <c r="WO116" s="1005"/>
      <c r="WP116" s="1005"/>
      <c r="WQ116" s="1005"/>
      <c r="WR116" s="1005"/>
      <c r="WS116" s="1005"/>
      <c r="WT116" s="1005"/>
      <c r="WU116" s="1005"/>
      <c r="WV116" s="1005"/>
      <c r="WW116" s="1005"/>
      <c r="WX116" s="1005"/>
      <c r="WY116" s="1005"/>
      <c r="WZ116" s="1005"/>
      <c r="XA116" s="1005"/>
      <c r="XB116" s="1005"/>
      <c r="XC116" s="1005"/>
      <c r="XD116" s="1005"/>
      <c r="XE116" s="1005"/>
      <c r="XF116" s="1005"/>
      <c r="XG116" s="1005"/>
      <c r="XH116" s="1005"/>
      <c r="XI116" s="1005"/>
      <c r="XJ116" s="1005"/>
      <c r="XK116" s="1005"/>
      <c r="XL116" s="1005"/>
      <c r="XM116" s="1005"/>
      <c r="XN116" s="1005"/>
      <c r="XO116" s="1005"/>
      <c r="XP116" s="1005"/>
      <c r="XQ116" s="1005"/>
      <c r="XR116" s="1005"/>
      <c r="XS116" s="1005"/>
      <c r="XT116" s="1005"/>
      <c r="XU116" s="1005"/>
      <c r="XV116" s="1005"/>
      <c r="XW116" s="1005"/>
      <c r="XX116" s="1005"/>
      <c r="XY116" s="1005"/>
      <c r="XZ116" s="1005"/>
      <c r="YA116" s="1005"/>
      <c r="YB116" s="1005"/>
      <c r="YC116" s="1005"/>
      <c r="YD116" s="1005"/>
      <c r="YE116" s="1005"/>
      <c r="YF116" s="1005"/>
      <c r="YG116" s="1005"/>
      <c r="YH116" s="1005"/>
      <c r="YI116" s="1005"/>
      <c r="YJ116" s="1005"/>
      <c r="YK116" s="1005"/>
      <c r="YL116" s="1005"/>
      <c r="YM116" s="1005"/>
      <c r="YN116" s="1005"/>
      <c r="YO116" s="1005"/>
      <c r="YP116" s="1005"/>
      <c r="YQ116" s="1005"/>
      <c r="YR116" s="1005"/>
      <c r="YS116" s="1005"/>
      <c r="YT116" s="1005"/>
      <c r="YU116" s="1005"/>
      <c r="YV116" s="1005"/>
      <c r="YW116" s="1005"/>
      <c r="YX116" s="1005"/>
      <c r="YY116" s="1005"/>
      <c r="YZ116" s="1005"/>
      <c r="ZA116" s="1005"/>
      <c r="ZB116" s="1005"/>
      <c r="ZC116" s="1005"/>
      <c r="ZD116" s="1005"/>
      <c r="ZE116" s="1005"/>
      <c r="ZF116" s="1005"/>
      <c r="ZG116" s="1005"/>
      <c r="ZH116" s="1005"/>
      <c r="ZI116" s="1005"/>
      <c r="ZJ116" s="1005"/>
      <c r="ZK116" s="1005"/>
      <c r="ZL116" s="1005"/>
      <c r="ZM116" s="1005"/>
      <c r="ZN116" s="1005"/>
      <c r="ZO116" s="1005"/>
      <c r="ZP116" s="1005"/>
      <c r="ZQ116" s="1005"/>
      <c r="ZR116" s="1005"/>
      <c r="ZS116" s="1005"/>
      <c r="ZT116" s="1005"/>
      <c r="ZU116" s="1005"/>
      <c r="ZV116" s="1005"/>
      <c r="ZW116" s="1005"/>
      <c r="ZX116" s="1005"/>
      <c r="ZY116" s="1005"/>
      <c r="ZZ116" s="1005"/>
      <c r="AAA116" s="1005"/>
      <c r="AAB116" s="1005"/>
      <c r="AAC116" s="1005"/>
      <c r="AAD116" s="1005"/>
      <c r="AAE116" s="1005"/>
      <c r="AAF116" s="1005"/>
      <c r="AAG116" s="1005"/>
      <c r="AAH116" s="1005"/>
      <c r="AAI116" s="1005"/>
      <c r="AAJ116" s="1005"/>
      <c r="AAK116" s="1005"/>
      <c r="AAL116" s="1005"/>
      <c r="AAM116" s="1005"/>
      <c r="AAN116" s="1005"/>
      <c r="AAO116" s="1005"/>
      <c r="AAP116" s="1005"/>
      <c r="AAQ116" s="1005"/>
      <c r="AAR116" s="1005"/>
      <c r="AAS116" s="1005"/>
      <c r="AAT116" s="1005"/>
      <c r="AAU116" s="1005"/>
      <c r="AAV116" s="1005"/>
      <c r="AAW116" s="1005"/>
      <c r="AAX116" s="1005"/>
      <c r="AAY116" s="1005"/>
      <c r="AAZ116" s="1005"/>
      <c r="ABA116" s="1005"/>
      <c r="ABB116" s="1005"/>
      <c r="ABC116" s="1005"/>
      <c r="ABD116" s="1005"/>
      <c r="ABE116" s="1005"/>
      <c r="ABF116" s="1005"/>
      <c r="ABG116" s="1005"/>
      <c r="ABH116" s="1005"/>
      <c r="ABI116" s="1005"/>
      <c r="ABJ116" s="1005"/>
      <c r="ABK116" s="1005"/>
      <c r="ABL116" s="1005"/>
      <c r="ABM116" s="1005"/>
      <c r="ABN116" s="1005"/>
      <c r="ABO116" s="1005"/>
      <c r="ABP116" s="1005"/>
      <c r="ABQ116" s="1005"/>
      <c r="ABR116" s="1005"/>
    </row>
    <row r="117" spans="1:746" s="113" customFormat="1" ht="12.9" customHeight="1" thickBot="1">
      <c r="A117" s="923"/>
      <c r="B117" s="353" t="s">
        <v>438</v>
      </c>
      <c r="C117" s="117"/>
      <c r="D117" s="134"/>
      <c r="E117" s="347" t="s">
        <v>0</v>
      </c>
      <c r="F117" s="1240"/>
      <c r="G117" s="347">
        <v>0.25</v>
      </c>
      <c r="H117" s="2179"/>
      <c r="I117" s="1966"/>
      <c r="J117" s="368"/>
      <c r="K117" s="368"/>
      <c r="L117" s="368"/>
      <c r="M117" s="368"/>
      <c r="N117" s="368"/>
      <c r="O117" s="368"/>
      <c r="P117" s="368"/>
      <c r="Q117" s="368"/>
      <c r="R117" s="368"/>
      <c r="S117" s="368"/>
      <c r="T117" s="368"/>
      <c r="U117" s="368"/>
      <c r="V117" s="368"/>
      <c r="W117" s="368"/>
      <c r="X117" s="368"/>
      <c r="Y117" s="368"/>
      <c r="Z117" s="368"/>
      <c r="AA117" s="368"/>
      <c r="AB117" s="368"/>
      <c r="AC117" s="368"/>
      <c r="AD117" s="368"/>
      <c r="AE117" s="368"/>
      <c r="AF117" s="368"/>
      <c r="AG117" s="1042"/>
      <c r="AH117" s="336"/>
      <c r="AI117" s="336"/>
      <c r="AJ117" s="418">
        <f>IF(fx!$C$57=1,SUMIF(fx!I$57:T$57,1,I117:T117),IF(fx!$C$57=2,SUMIF(fx!O$57:AF$57,1,O117:AF117)))</f>
        <v>0</v>
      </c>
      <c r="AK117" s="328"/>
      <c r="AL117" s="417">
        <f>IF(fx!$C$57=1,SUM(U117:AF117),0)</f>
        <v>0</v>
      </c>
      <c r="AM117" s="1004"/>
      <c r="AN117" s="1024"/>
      <c r="AO117" s="1945"/>
      <c r="AP117" s="1935"/>
      <c r="AQ117" s="1936"/>
      <c r="AR117" s="1941"/>
      <c r="AS117" s="1941"/>
      <c r="AT117" s="1941"/>
      <c r="AU117" s="1941"/>
      <c r="AV117" s="1941"/>
      <c r="AW117" s="1941"/>
      <c r="AX117" s="1941"/>
      <c r="AY117" s="1941"/>
      <c r="AZ117" s="1941"/>
      <c r="BA117" s="1941"/>
      <c r="BB117" s="1941"/>
      <c r="BC117" s="1941"/>
      <c r="BD117" s="1941"/>
      <c r="BE117" s="1941"/>
      <c r="BF117" s="1941"/>
      <c r="BG117" s="1941"/>
      <c r="BH117" s="1941"/>
      <c r="BI117" s="1941"/>
      <c r="BJ117" s="1941"/>
      <c r="BK117" s="1941"/>
      <c r="BL117" s="1941"/>
      <c r="BM117" s="1941"/>
      <c r="BN117" s="1941"/>
      <c r="BO117" s="1941"/>
      <c r="BP117" s="1005"/>
      <c r="BQ117" s="1005"/>
      <c r="BR117" s="1005"/>
      <c r="BS117" s="1005"/>
      <c r="BT117" s="1005"/>
      <c r="BU117" s="1005"/>
      <c r="BV117" s="1005"/>
      <c r="BW117" s="1005"/>
      <c r="BX117" s="1005"/>
      <c r="BY117" s="1005"/>
      <c r="BZ117" s="1005"/>
      <c r="CA117" s="1005"/>
      <c r="CB117" s="1005"/>
      <c r="CC117" s="1005"/>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c r="EC117" s="1005"/>
      <c r="ED117" s="1005"/>
      <c r="EE117" s="1005"/>
      <c r="EF117" s="1005"/>
      <c r="EG117" s="1005"/>
      <c r="EH117" s="1005"/>
      <c r="EI117" s="1005"/>
      <c r="EJ117" s="1005"/>
      <c r="EK117" s="1005"/>
      <c r="EL117" s="1005"/>
      <c r="EM117" s="1005"/>
      <c r="EN117" s="1005"/>
      <c r="EO117" s="1005"/>
      <c r="EP117" s="1005"/>
      <c r="EQ117" s="1005"/>
      <c r="ER117" s="1005"/>
      <c r="ES117" s="1005"/>
      <c r="ET117" s="1005"/>
      <c r="EU117" s="1005"/>
      <c r="EV117" s="1005"/>
      <c r="EW117" s="1005"/>
      <c r="EX117" s="1005"/>
      <c r="EY117" s="1005"/>
      <c r="EZ117" s="1005"/>
      <c r="FA117" s="1005"/>
      <c r="FB117" s="1005"/>
      <c r="FC117" s="1005"/>
      <c r="FD117" s="1005"/>
      <c r="FE117" s="1005"/>
      <c r="FF117" s="1005"/>
      <c r="FG117" s="1005"/>
      <c r="FH117" s="1005"/>
      <c r="FI117" s="1005"/>
      <c r="FJ117" s="1005"/>
      <c r="FK117" s="1005"/>
      <c r="FL117" s="1005"/>
      <c r="FM117" s="1005"/>
      <c r="FN117" s="1005"/>
      <c r="FO117" s="1005"/>
      <c r="FP117" s="1005"/>
      <c r="FQ117" s="1005"/>
      <c r="FR117" s="1005"/>
      <c r="FS117" s="1005"/>
      <c r="FT117" s="1005"/>
      <c r="FU117" s="1005"/>
      <c r="FV117" s="1005"/>
      <c r="FW117" s="1005"/>
      <c r="FX117" s="1005"/>
      <c r="FY117" s="1005"/>
      <c r="FZ117" s="1005"/>
      <c r="GA117" s="1005"/>
      <c r="GB117" s="1005"/>
      <c r="GC117" s="1005"/>
      <c r="GD117" s="1005"/>
      <c r="GE117" s="1005"/>
      <c r="GF117" s="1005"/>
      <c r="GG117" s="1005"/>
      <c r="GH117" s="1005"/>
      <c r="GI117" s="1005"/>
      <c r="GJ117" s="1005"/>
      <c r="GK117" s="1005"/>
      <c r="GL117" s="1005"/>
      <c r="GM117" s="1005"/>
      <c r="GN117" s="1005"/>
      <c r="GO117" s="1005"/>
      <c r="GP117" s="1005"/>
      <c r="GQ117" s="1005"/>
      <c r="GR117" s="1005"/>
      <c r="GS117" s="1005"/>
      <c r="GT117" s="1005"/>
      <c r="GU117" s="1005"/>
      <c r="GV117" s="1005"/>
      <c r="GW117" s="1005"/>
      <c r="GX117" s="1005"/>
      <c r="GY117" s="1005"/>
      <c r="GZ117" s="1005"/>
      <c r="HA117" s="1005"/>
      <c r="HB117" s="1005"/>
      <c r="HC117" s="1005"/>
      <c r="HD117" s="1005"/>
      <c r="HE117" s="1005"/>
      <c r="HF117" s="1005"/>
      <c r="HG117" s="1005"/>
      <c r="HH117" s="1005"/>
      <c r="HI117" s="1005"/>
      <c r="HJ117" s="1005"/>
      <c r="HK117" s="1005"/>
      <c r="HL117" s="1005"/>
      <c r="HM117" s="1005"/>
      <c r="HN117" s="1005"/>
      <c r="HO117" s="1005"/>
      <c r="HP117" s="1005"/>
      <c r="HQ117" s="1005"/>
      <c r="HR117" s="1005"/>
      <c r="HS117" s="1005"/>
      <c r="HT117" s="1005"/>
      <c r="HU117" s="1005"/>
      <c r="HV117" s="1005"/>
      <c r="HW117" s="1005"/>
      <c r="HX117" s="1005"/>
      <c r="HY117" s="1005"/>
      <c r="HZ117" s="1005"/>
      <c r="IA117" s="1005"/>
      <c r="IB117" s="1005"/>
      <c r="IC117" s="1005"/>
      <c r="ID117" s="1005"/>
      <c r="IE117" s="1005"/>
      <c r="IF117" s="1005"/>
      <c r="IG117" s="1005"/>
      <c r="IH117" s="1005"/>
      <c r="II117" s="1005"/>
      <c r="IJ117" s="1005"/>
      <c r="IK117" s="1005"/>
      <c r="IL117" s="1005"/>
      <c r="IM117" s="1005"/>
      <c r="IN117" s="1005"/>
      <c r="IO117" s="1005"/>
      <c r="IP117" s="1005"/>
      <c r="IQ117" s="1005"/>
      <c r="IR117" s="1005"/>
      <c r="IS117" s="1005"/>
      <c r="IT117" s="1005"/>
      <c r="IU117" s="1005"/>
      <c r="IV117" s="1005"/>
      <c r="IW117" s="1005"/>
      <c r="IX117" s="1005"/>
      <c r="IY117" s="1005"/>
      <c r="IZ117" s="1005"/>
      <c r="JA117" s="1005"/>
      <c r="JB117" s="1005"/>
      <c r="JC117" s="1005"/>
      <c r="JD117" s="1005"/>
      <c r="JE117" s="1005"/>
      <c r="JF117" s="1005"/>
      <c r="JG117" s="1005"/>
      <c r="JH117" s="1005"/>
      <c r="JI117" s="1005"/>
      <c r="JJ117" s="1005"/>
      <c r="JK117" s="1005"/>
      <c r="JL117" s="1005"/>
      <c r="JM117" s="1005"/>
      <c r="JN117" s="1005"/>
      <c r="JO117" s="1005"/>
      <c r="JP117" s="1005"/>
      <c r="JQ117" s="1005"/>
      <c r="JR117" s="1005"/>
      <c r="JS117" s="1005"/>
      <c r="JT117" s="1005"/>
      <c r="JU117" s="1005"/>
      <c r="JV117" s="1005"/>
      <c r="JW117" s="1005"/>
      <c r="JX117" s="1005"/>
      <c r="JY117" s="1005"/>
      <c r="JZ117" s="1005"/>
      <c r="KA117" s="1005"/>
      <c r="KB117" s="1005"/>
      <c r="KC117" s="1005"/>
      <c r="KD117" s="1005"/>
      <c r="KE117" s="1005"/>
      <c r="KF117" s="1005"/>
      <c r="KG117" s="1005"/>
      <c r="KH117" s="1005"/>
      <c r="KI117" s="1005"/>
      <c r="KJ117" s="1005"/>
      <c r="KK117" s="1005"/>
      <c r="KL117" s="1005"/>
      <c r="KM117" s="1005"/>
      <c r="KN117" s="1005"/>
      <c r="KO117" s="1005"/>
      <c r="KP117" s="1005"/>
      <c r="KQ117" s="1005"/>
      <c r="KR117" s="1005"/>
      <c r="KS117" s="1005"/>
      <c r="KT117" s="1005"/>
      <c r="KU117" s="1005"/>
      <c r="KV117" s="1005"/>
      <c r="KW117" s="1005"/>
      <c r="KX117" s="1005"/>
      <c r="KY117" s="1005"/>
      <c r="KZ117" s="1005"/>
      <c r="LA117" s="1005"/>
      <c r="LB117" s="1005"/>
      <c r="LC117" s="1005"/>
      <c r="LD117" s="1005"/>
      <c r="LE117" s="1005"/>
      <c r="LF117" s="1005"/>
      <c r="LG117" s="1005"/>
      <c r="LH117" s="1005"/>
      <c r="LI117" s="1005"/>
      <c r="LJ117" s="1005"/>
      <c r="LK117" s="1005"/>
      <c r="LL117" s="1005"/>
      <c r="LM117" s="1005"/>
      <c r="LN117" s="1005"/>
      <c r="LO117" s="1005"/>
      <c r="LP117" s="1005"/>
      <c r="LQ117" s="1005"/>
      <c r="LR117" s="1005"/>
      <c r="LS117" s="1005"/>
      <c r="LT117" s="1005"/>
      <c r="LU117" s="1005"/>
      <c r="LV117" s="1005"/>
      <c r="LW117" s="1005"/>
      <c r="LX117" s="1005"/>
      <c r="LY117" s="1005"/>
      <c r="LZ117" s="1005"/>
      <c r="MA117" s="1005"/>
      <c r="MB117" s="1005"/>
      <c r="MC117" s="1005"/>
      <c r="MD117" s="1005"/>
      <c r="ME117" s="1005"/>
      <c r="MF117" s="1005"/>
      <c r="MG117" s="1005"/>
      <c r="MH117" s="1005"/>
      <c r="MI117" s="1005"/>
      <c r="MJ117" s="1005"/>
      <c r="MK117" s="1005"/>
      <c r="ML117" s="1005"/>
      <c r="MM117" s="1005"/>
      <c r="MN117" s="1005"/>
      <c r="MO117" s="1005"/>
      <c r="MP117" s="1005"/>
      <c r="MQ117" s="1005"/>
      <c r="MR117" s="1005"/>
      <c r="MS117" s="1005"/>
      <c r="MT117" s="1005"/>
      <c r="MU117" s="1005"/>
      <c r="MV117" s="1005"/>
      <c r="MW117" s="1005"/>
      <c r="MX117" s="1005"/>
      <c r="MY117" s="1005"/>
      <c r="MZ117" s="1005"/>
      <c r="NA117" s="1005"/>
      <c r="NB117" s="1005"/>
      <c r="NC117" s="1005"/>
      <c r="ND117" s="1005"/>
      <c r="NE117" s="1005"/>
      <c r="NF117" s="1005"/>
      <c r="NG117" s="1005"/>
      <c r="NH117" s="1005"/>
      <c r="NI117" s="1005"/>
      <c r="NJ117" s="1005"/>
      <c r="NK117" s="1005"/>
      <c r="NL117" s="1005"/>
      <c r="NM117" s="1005"/>
      <c r="NN117" s="1005"/>
      <c r="NO117" s="1005"/>
      <c r="NP117" s="1005"/>
      <c r="NQ117" s="1005"/>
      <c r="NR117" s="1005"/>
      <c r="NS117" s="1005"/>
      <c r="NT117" s="1005"/>
      <c r="NU117" s="1005"/>
      <c r="NV117" s="1005"/>
      <c r="NW117" s="1005"/>
      <c r="NX117" s="1005"/>
      <c r="NY117" s="1005"/>
      <c r="NZ117" s="1005"/>
      <c r="OA117" s="1005"/>
      <c r="OB117" s="1005"/>
      <c r="OC117" s="1005"/>
      <c r="OD117" s="1005"/>
      <c r="OE117" s="1005"/>
      <c r="OF117" s="1005"/>
      <c r="OG117" s="1005"/>
      <c r="OH117" s="1005"/>
      <c r="OI117" s="1005"/>
      <c r="OJ117" s="1005"/>
      <c r="OK117" s="1005"/>
      <c r="OL117" s="1005"/>
      <c r="OM117" s="1005"/>
      <c r="ON117" s="1005"/>
      <c r="OO117" s="1005"/>
      <c r="OP117" s="1005"/>
      <c r="OQ117" s="1005"/>
      <c r="OR117" s="1005"/>
      <c r="OS117" s="1005"/>
      <c r="OT117" s="1005"/>
      <c r="OU117" s="1005"/>
      <c r="OV117" s="1005"/>
      <c r="OW117" s="1005"/>
      <c r="OX117" s="1005"/>
      <c r="OY117" s="1005"/>
      <c r="OZ117" s="1005"/>
      <c r="PA117" s="1005"/>
      <c r="PB117" s="1005"/>
      <c r="PC117" s="1005"/>
      <c r="PD117" s="1005"/>
      <c r="PE117" s="1005"/>
      <c r="PF117" s="1005"/>
      <c r="PG117" s="1005"/>
      <c r="PH117" s="1005"/>
      <c r="PI117" s="1005"/>
      <c r="PJ117" s="1005"/>
      <c r="PK117" s="1005"/>
      <c r="PL117" s="1005"/>
      <c r="PM117" s="1005"/>
      <c r="PN117" s="1005"/>
      <c r="PO117" s="1005"/>
      <c r="PP117" s="1005"/>
      <c r="PQ117" s="1005"/>
      <c r="PR117" s="1005"/>
      <c r="PS117" s="1005"/>
      <c r="PT117" s="1005"/>
      <c r="PU117" s="1005"/>
      <c r="PV117" s="1005"/>
      <c r="PW117" s="1005"/>
      <c r="PX117" s="1005"/>
      <c r="PY117" s="1005"/>
      <c r="PZ117" s="1005"/>
      <c r="QA117" s="1005"/>
      <c r="QB117" s="1005"/>
      <c r="QC117" s="1005"/>
      <c r="QD117" s="1005"/>
      <c r="QE117" s="1005"/>
      <c r="QF117" s="1005"/>
      <c r="QG117" s="1005"/>
      <c r="QH117" s="1005"/>
      <c r="QI117" s="1005"/>
      <c r="QJ117" s="1005"/>
      <c r="QK117" s="1005"/>
      <c r="QL117" s="1005"/>
      <c r="QM117" s="1005"/>
      <c r="QN117" s="1005"/>
      <c r="QO117" s="1005"/>
      <c r="QP117" s="1005"/>
      <c r="QQ117" s="1005"/>
      <c r="QR117" s="1005"/>
      <c r="QS117" s="1005"/>
      <c r="QT117" s="1005"/>
      <c r="QU117" s="1005"/>
      <c r="QV117" s="1005"/>
      <c r="QW117" s="1005"/>
      <c r="QX117" s="1005"/>
      <c r="QY117" s="1005"/>
      <c r="QZ117" s="1005"/>
      <c r="RA117" s="1005"/>
      <c r="RB117" s="1005"/>
      <c r="RC117" s="1005"/>
      <c r="RD117" s="1005"/>
      <c r="RE117" s="1005"/>
      <c r="RF117" s="1005"/>
      <c r="RG117" s="1005"/>
      <c r="RH117" s="1005"/>
      <c r="RI117" s="1005"/>
      <c r="RJ117" s="1005"/>
      <c r="RK117" s="1005"/>
      <c r="RL117" s="1005"/>
      <c r="RM117" s="1005"/>
      <c r="RN117" s="1005"/>
      <c r="RO117" s="1005"/>
      <c r="RP117" s="1005"/>
      <c r="RQ117" s="1005"/>
      <c r="RR117" s="1005"/>
      <c r="RS117" s="1005"/>
      <c r="RT117" s="1005"/>
      <c r="RU117" s="1005"/>
      <c r="RV117" s="1005"/>
      <c r="RW117" s="1005"/>
      <c r="RX117" s="1005"/>
      <c r="RY117" s="1005"/>
      <c r="RZ117" s="1005"/>
      <c r="SA117" s="1005"/>
      <c r="SB117" s="1005"/>
      <c r="SC117" s="1005"/>
      <c r="SD117" s="1005"/>
      <c r="SE117" s="1005"/>
      <c r="SF117" s="1005"/>
      <c r="SG117" s="1005"/>
      <c r="SH117" s="1005"/>
      <c r="SI117" s="1005"/>
      <c r="SJ117" s="1005"/>
      <c r="SK117" s="1005"/>
      <c r="SL117" s="1005"/>
      <c r="SM117" s="1005"/>
      <c r="SN117" s="1005"/>
      <c r="SO117" s="1005"/>
      <c r="SP117" s="1005"/>
      <c r="SQ117" s="1005"/>
      <c r="SR117" s="1005"/>
      <c r="SS117" s="1005"/>
      <c r="ST117" s="1005"/>
      <c r="SU117" s="1005"/>
      <c r="SV117" s="1005"/>
      <c r="SW117" s="1005"/>
      <c r="SX117" s="1005"/>
      <c r="SY117" s="1005"/>
      <c r="SZ117" s="1005"/>
      <c r="TA117" s="1005"/>
      <c r="TB117" s="1005"/>
      <c r="TC117" s="1005"/>
      <c r="TD117" s="1005"/>
      <c r="TE117" s="1005"/>
      <c r="TF117" s="1005"/>
      <c r="TG117" s="1005"/>
      <c r="TH117" s="1005"/>
      <c r="TI117" s="1005"/>
      <c r="TJ117" s="1005"/>
      <c r="TK117" s="1005"/>
      <c r="TL117" s="1005"/>
      <c r="TM117" s="1005"/>
      <c r="TN117" s="1005"/>
      <c r="TO117" s="1005"/>
      <c r="TP117" s="1005"/>
      <c r="TQ117" s="1005"/>
      <c r="TR117" s="1005"/>
      <c r="TS117" s="1005"/>
      <c r="TT117" s="1005"/>
      <c r="TU117" s="1005"/>
      <c r="TV117" s="1005"/>
      <c r="TW117" s="1005"/>
      <c r="TX117" s="1005"/>
      <c r="TY117" s="1005"/>
      <c r="TZ117" s="1005"/>
      <c r="UA117" s="1005"/>
      <c r="UB117" s="1005"/>
      <c r="UC117" s="1005"/>
      <c r="UD117" s="1005"/>
      <c r="UE117" s="1005"/>
      <c r="UF117" s="1005"/>
      <c r="UG117" s="1005"/>
      <c r="UH117" s="1005"/>
      <c r="UI117" s="1005"/>
      <c r="UJ117" s="1005"/>
      <c r="UK117" s="1005"/>
      <c r="UL117" s="1005"/>
      <c r="UM117" s="1005"/>
      <c r="UN117" s="1005"/>
      <c r="UO117" s="1005"/>
      <c r="UP117" s="1005"/>
      <c r="UQ117" s="1005"/>
      <c r="UR117" s="1005"/>
      <c r="US117" s="1005"/>
      <c r="UT117" s="1005"/>
      <c r="UU117" s="1005"/>
      <c r="UV117" s="1005"/>
      <c r="UW117" s="1005"/>
      <c r="UX117" s="1005"/>
      <c r="UY117" s="1005"/>
      <c r="UZ117" s="1005"/>
      <c r="VA117" s="1005"/>
      <c r="VB117" s="1005"/>
      <c r="VC117" s="1005"/>
      <c r="VD117" s="1005"/>
      <c r="VE117" s="1005"/>
      <c r="VF117" s="1005"/>
      <c r="VG117" s="1005"/>
      <c r="VH117" s="1005"/>
      <c r="VI117" s="1005"/>
      <c r="VJ117" s="1005"/>
      <c r="VK117" s="1005"/>
      <c r="VL117" s="1005"/>
      <c r="VM117" s="1005"/>
      <c r="VN117" s="1005"/>
      <c r="VO117" s="1005"/>
      <c r="VP117" s="1005"/>
      <c r="VQ117" s="1005"/>
      <c r="VR117" s="1005"/>
      <c r="VS117" s="1005"/>
      <c r="VT117" s="1005"/>
      <c r="VU117" s="1005"/>
      <c r="VV117" s="1005"/>
      <c r="VW117" s="1005"/>
      <c r="VX117" s="1005"/>
      <c r="VY117" s="1005"/>
      <c r="VZ117" s="1005"/>
      <c r="WA117" s="1005"/>
      <c r="WB117" s="1005"/>
      <c r="WC117" s="1005"/>
      <c r="WD117" s="1005"/>
      <c r="WE117" s="1005"/>
      <c r="WF117" s="1005"/>
      <c r="WG117" s="1005"/>
      <c r="WH117" s="1005"/>
      <c r="WI117" s="1005"/>
      <c r="WJ117" s="1005"/>
      <c r="WK117" s="1005"/>
      <c r="WL117" s="1005"/>
      <c r="WM117" s="1005"/>
      <c r="WN117" s="1005"/>
      <c r="WO117" s="1005"/>
      <c r="WP117" s="1005"/>
      <c r="WQ117" s="1005"/>
      <c r="WR117" s="1005"/>
      <c r="WS117" s="1005"/>
      <c r="WT117" s="1005"/>
      <c r="WU117" s="1005"/>
      <c r="WV117" s="1005"/>
      <c r="WW117" s="1005"/>
      <c r="WX117" s="1005"/>
      <c r="WY117" s="1005"/>
      <c r="WZ117" s="1005"/>
      <c r="XA117" s="1005"/>
      <c r="XB117" s="1005"/>
      <c r="XC117" s="1005"/>
      <c r="XD117" s="1005"/>
      <c r="XE117" s="1005"/>
      <c r="XF117" s="1005"/>
      <c r="XG117" s="1005"/>
      <c r="XH117" s="1005"/>
      <c r="XI117" s="1005"/>
      <c r="XJ117" s="1005"/>
      <c r="XK117" s="1005"/>
      <c r="XL117" s="1005"/>
      <c r="XM117" s="1005"/>
      <c r="XN117" s="1005"/>
      <c r="XO117" s="1005"/>
      <c r="XP117" s="1005"/>
      <c r="XQ117" s="1005"/>
      <c r="XR117" s="1005"/>
      <c r="XS117" s="1005"/>
      <c r="XT117" s="1005"/>
      <c r="XU117" s="1005"/>
      <c r="XV117" s="1005"/>
      <c r="XW117" s="1005"/>
      <c r="XX117" s="1005"/>
      <c r="XY117" s="1005"/>
      <c r="XZ117" s="1005"/>
      <c r="YA117" s="1005"/>
      <c r="YB117" s="1005"/>
      <c r="YC117" s="1005"/>
      <c r="YD117" s="1005"/>
      <c r="YE117" s="1005"/>
      <c r="YF117" s="1005"/>
      <c r="YG117" s="1005"/>
      <c r="YH117" s="1005"/>
      <c r="YI117" s="1005"/>
      <c r="YJ117" s="1005"/>
      <c r="YK117" s="1005"/>
      <c r="YL117" s="1005"/>
      <c r="YM117" s="1005"/>
      <c r="YN117" s="1005"/>
      <c r="YO117" s="1005"/>
      <c r="YP117" s="1005"/>
      <c r="YQ117" s="1005"/>
      <c r="YR117" s="1005"/>
      <c r="YS117" s="1005"/>
      <c r="YT117" s="1005"/>
      <c r="YU117" s="1005"/>
      <c r="YV117" s="1005"/>
      <c r="YW117" s="1005"/>
      <c r="YX117" s="1005"/>
      <c r="YY117" s="1005"/>
      <c r="YZ117" s="1005"/>
      <c r="ZA117" s="1005"/>
      <c r="ZB117" s="1005"/>
      <c r="ZC117" s="1005"/>
      <c r="ZD117" s="1005"/>
      <c r="ZE117" s="1005"/>
      <c r="ZF117" s="1005"/>
      <c r="ZG117" s="1005"/>
      <c r="ZH117" s="1005"/>
      <c r="ZI117" s="1005"/>
      <c r="ZJ117" s="1005"/>
      <c r="ZK117" s="1005"/>
      <c r="ZL117" s="1005"/>
      <c r="ZM117" s="1005"/>
      <c r="ZN117" s="1005"/>
      <c r="ZO117" s="1005"/>
      <c r="ZP117" s="1005"/>
      <c r="ZQ117" s="1005"/>
      <c r="ZR117" s="1005"/>
      <c r="ZS117" s="1005"/>
      <c r="ZT117" s="1005"/>
      <c r="ZU117" s="1005"/>
      <c r="ZV117" s="1005"/>
      <c r="ZW117" s="1005"/>
      <c r="ZX117" s="1005"/>
      <c r="ZY117" s="1005"/>
      <c r="ZZ117" s="1005"/>
      <c r="AAA117" s="1005"/>
      <c r="AAB117" s="1005"/>
      <c r="AAC117" s="1005"/>
      <c r="AAD117" s="1005"/>
      <c r="AAE117" s="1005"/>
      <c r="AAF117" s="1005"/>
      <c r="AAG117" s="1005"/>
      <c r="AAH117" s="1005"/>
      <c r="AAI117" s="1005"/>
      <c r="AAJ117" s="1005"/>
      <c r="AAK117" s="1005"/>
      <c r="AAL117" s="1005"/>
      <c r="AAM117" s="1005"/>
      <c r="AAN117" s="1005"/>
      <c r="AAO117" s="1005"/>
      <c r="AAP117" s="1005"/>
      <c r="AAQ117" s="1005"/>
      <c r="AAR117" s="1005"/>
      <c r="AAS117" s="1005"/>
      <c r="AAT117" s="1005"/>
      <c r="AAU117" s="1005"/>
      <c r="AAV117" s="1005"/>
      <c r="AAW117" s="1005"/>
      <c r="AAX117" s="1005"/>
      <c r="AAY117" s="1005"/>
      <c r="AAZ117" s="1005"/>
      <c r="ABA117" s="1005"/>
      <c r="ABB117" s="1005"/>
      <c r="ABC117" s="1005"/>
      <c r="ABD117" s="1005"/>
      <c r="ABE117" s="1005"/>
      <c r="ABF117" s="1005"/>
      <c r="ABG117" s="1005"/>
      <c r="ABH117" s="1005"/>
      <c r="ABI117" s="1005"/>
      <c r="ABJ117" s="1005"/>
      <c r="ABK117" s="1005"/>
      <c r="ABL117" s="1005"/>
      <c r="ABM117" s="1005"/>
      <c r="ABN117" s="1005"/>
      <c r="ABO117" s="1005"/>
      <c r="ABP117" s="1005"/>
      <c r="ABQ117" s="1005"/>
      <c r="ABR117" s="1005"/>
    </row>
    <row r="118" spans="1:746" s="94" customFormat="1" ht="12.9" customHeight="1" thickBot="1">
      <c r="A118" s="923"/>
      <c r="B118" s="353" t="s">
        <v>183</v>
      </c>
      <c r="C118" s="117"/>
      <c r="D118" s="134"/>
      <c r="E118" s="347" t="s">
        <v>0</v>
      </c>
      <c r="F118" s="1240"/>
      <c r="G118" s="347">
        <v>0.25</v>
      </c>
      <c r="H118" s="2179"/>
      <c r="I118" s="1966"/>
      <c r="J118" s="368"/>
      <c r="K118" s="368"/>
      <c r="L118" s="368"/>
      <c r="M118" s="368"/>
      <c r="N118" s="368"/>
      <c r="O118" s="368"/>
      <c r="P118" s="368"/>
      <c r="Q118" s="368"/>
      <c r="R118" s="368"/>
      <c r="S118" s="368"/>
      <c r="T118" s="368"/>
      <c r="U118" s="368"/>
      <c r="V118" s="368"/>
      <c r="W118" s="368"/>
      <c r="X118" s="368"/>
      <c r="Y118" s="368"/>
      <c r="Z118" s="368"/>
      <c r="AA118" s="368"/>
      <c r="AB118" s="368"/>
      <c r="AC118" s="368"/>
      <c r="AD118" s="368"/>
      <c r="AE118" s="368"/>
      <c r="AF118" s="368"/>
      <c r="AG118" s="1042"/>
      <c r="AH118" s="336"/>
      <c r="AI118" s="336"/>
      <c r="AJ118" s="418">
        <f>IF(fx!$C$57=1,SUMIF(fx!I$57:T$57,1,I118:T118),IF(fx!$C$57=2,SUMIF(fx!O$57:AF$57,1,O118:AF118)))</f>
        <v>0</v>
      </c>
      <c r="AK118" s="328"/>
      <c r="AL118" s="417">
        <f>IF(fx!$C$57=1,SUM(U118:AF118),0)</f>
        <v>0</v>
      </c>
      <c r="AM118" s="1004"/>
      <c r="AN118" s="1024"/>
      <c r="AO118" s="1945"/>
      <c r="AP118" s="1935"/>
      <c r="AQ118" s="1936"/>
      <c r="AR118" s="1941"/>
      <c r="AS118" s="1941"/>
      <c r="AT118" s="1941"/>
      <c r="AU118" s="1941"/>
      <c r="AV118" s="1941"/>
      <c r="AW118" s="1941"/>
      <c r="AX118" s="1941"/>
      <c r="AY118" s="1941"/>
      <c r="AZ118" s="1941"/>
      <c r="BA118" s="1941"/>
      <c r="BB118" s="1941"/>
      <c r="BC118" s="1941"/>
      <c r="BD118" s="1941"/>
      <c r="BE118" s="1941"/>
      <c r="BF118" s="1941"/>
      <c r="BG118" s="1941"/>
      <c r="BH118" s="1941"/>
      <c r="BI118" s="1941"/>
      <c r="BJ118" s="1941"/>
      <c r="BK118" s="1941"/>
      <c r="BL118" s="1941"/>
      <c r="BM118" s="1941"/>
      <c r="BN118" s="1941"/>
      <c r="BO118" s="1941"/>
      <c r="BP118" s="1005"/>
      <c r="BQ118" s="1005"/>
      <c r="BR118" s="1005"/>
      <c r="BS118" s="1005"/>
      <c r="BT118" s="1005"/>
      <c r="BU118" s="1005"/>
      <c r="BV118" s="1005"/>
      <c r="BW118" s="1005"/>
      <c r="BX118" s="1005"/>
      <c r="BY118" s="1005"/>
      <c r="BZ118" s="1005"/>
      <c r="CA118" s="1005"/>
      <c r="CB118" s="1005"/>
      <c r="CC118" s="1005"/>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c r="EC118" s="1005"/>
      <c r="ED118" s="1005"/>
      <c r="EE118" s="1005"/>
      <c r="EF118" s="1005"/>
      <c r="EG118" s="1005"/>
      <c r="EH118" s="1005"/>
      <c r="EI118" s="1005"/>
      <c r="EJ118" s="1005"/>
      <c r="EK118" s="1005"/>
      <c r="EL118" s="1005"/>
      <c r="EM118" s="1005"/>
      <c r="EN118" s="1005"/>
      <c r="EO118" s="1005"/>
      <c r="EP118" s="1005"/>
      <c r="EQ118" s="1005"/>
      <c r="ER118" s="1005"/>
      <c r="ES118" s="1005"/>
      <c r="ET118" s="1005"/>
      <c r="EU118" s="1005"/>
      <c r="EV118" s="1005"/>
      <c r="EW118" s="1005"/>
      <c r="EX118" s="1005"/>
      <c r="EY118" s="1005"/>
      <c r="EZ118" s="1005"/>
      <c r="FA118" s="1005"/>
      <c r="FB118" s="1005"/>
      <c r="FC118" s="1005"/>
      <c r="FD118" s="1005"/>
      <c r="FE118" s="1005"/>
      <c r="FF118" s="1005"/>
      <c r="FG118" s="1005"/>
      <c r="FH118" s="1005"/>
      <c r="FI118" s="1005"/>
      <c r="FJ118" s="1005"/>
      <c r="FK118" s="1005"/>
      <c r="FL118" s="1005"/>
      <c r="FM118" s="1005"/>
      <c r="FN118" s="1005"/>
      <c r="FO118" s="1005"/>
      <c r="FP118" s="1005"/>
      <c r="FQ118" s="1005"/>
      <c r="FR118" s="1005"/>
      <c r="FS118" s="1005"/>
      <c r="FT118" s="1005"/>
      <c r="FU118" s="1005"/>
      <c r="FV118" s="1005"/>
      <c r="FW118" s="1005"/>
      <c r="FX118" s="1005"/>
      <c r="FY118" s="1005"/>
      <c r="FZ118" s="1005"/>
      <c r="GA118" s="1005"/>
      <c r="GB118" s="1005"/>
      <c r="GC118" s="1005"/>
      <c r="GD118" s="1005"/>
      <c r="GE118" s="1005"/>
      <c r="GF118" s="1005"/>
      <c r="GG118" s="1005"/>
      <c r="GH118" s="1005"/>
      <c r="GI118" s="1005"/>
      <c r="GJ118" s="1005"/>
      <c r="GK118" s="1005"/>
      <c r="GL118" s="1005"/>
      <c r="GM118" s="1005"/>
      <c r="GN118" s="1005"/>
      <c r="GO118" s="1005"/>
      <c r="GP118" s="1005"/>
      <c r="GQ118" s="1005"/>
      <c r="GR118" s="1005"/>
      <c r="GS118" s="1005"/>
      <c r="GT118" s="1005"/>
      <c r="GU118" s="1005"/>
      <c r="GV118" s="1005"/>
      <c r="GW118" s="1005"/>
      <c r="GX118" s="1005"/>
      <c r="GY118" s="1005"/>
      <c r="GZ118" s="1005"/>
      <c r="HA118" s="1005"/>
      <c r="HB118" s="1005"/>
      <c r="HC118" s="1005"/>
      <c r="HD118" s="1005"/>
      <c r="HE118" s="1005"/>
      <c r="HF118" s="1005"/>
      <c r="HG118" s="1005"/>
      <c r="HH118" s="1005"/>
      <c r="HI118" s="1005"/>
      <c r="HJ118" s="1005"/>
      <c r="HK118" s="1005"/>
      <c r="HL118" s="1005"/>
      <c r="HM118" s="1005"/>
      <c r="HN118" s="1005"/>
      <c r="HO118" s="1005"/>
      <c r="HP118" s="1005"/>
      <c r="HQ118" s="1005"/>
      <c r="HR118" s="1005"/>
      <c r="HS118" s="1005"/>
      <c r="HT118" s="1005"/>
      <c r="HU118" s="1005"/>
      <c r="HV118" s="1005"/>
      <c r="HW118" s="1005"/>
      <c r="HX118" s="1005"/>
      <c r="HY118" s="1005"/>
      <c r="HZ118" s="1005"/>
      <c r="IA118" s="1005"/>
      <c r="IB118" s="1005"/>
      <c r="IC118" s="1005"/>
      <c r="ID118" s="1005"/>
      <c r="IE118" s="1005"/>
      <c r="IF118" s="1005"/>
      <c r="IG118" s="1005"/>
      <c r="IH118" s="1005"/>
      <c r="II118" s="1005"/>
      <c r="IJ118" s="1005"/>
      <c r="IK118" s="1005"/>
      <c r="IL118" s="1005"/>
      <c r="IM118" s="1005"/>
      <c r="IN118" s="1005"/>
      <c r="IO118" s="1005"/>
      <c r="IP118" s="1005"/>
      <c r="IQ118" s="1005"/>
      <c r="IR118" s="1005"/>
      <c r="IS118" s="1005"/>
      <c r="IT118" s="1005"/>
      <c r="IU118" s="1005"/>
      <c r="IV118" s="1005"/>
      <c r="IW118" s="1005"/>
      <c r="IX118" s="1005"/>
      <c r="IY118" s="1005"/>
      <c r="IZ118" s="1005"/>
      <c r="JA118" s="1005"/>
      <c r="JB118" s="1005"/>
      <c r="JC118" s="1005"/>
      <c r="JD118" s="1005"/>
      <c r="JE118" s="1005"/>
      <c r="JF118" s="1005"/>
      <c r="JG118" s="1005"/>
      <c r="JH118" s="1005"/>
      <c r="JI118" s="1005"/>
      <c r="JJ118" s="1005"/>
      <c r="JK118" s="1005"/>
      <c r="JL118" s="1005"/>
      <c r="JM118" s="1005"/>
      <c r="JN118" s="1005"/>
      <c r="JO118" s="1005"/>
      <c r="JP118" s="1005"/>
      <c r="JQ118" s="1005"/>
      <c r="JR118" s="1005"/>
      <c r="JS118" s="1005"/>
      <c r="JT118" s="1005"/>
      <c r="JU118" s="1005"/>
      <c r="JV118" s="1005"/>
      <c r="JW118" s="1005"/>
      <c r="JX118" s="1005"/>
      <c r="JY118" s="1005"/>
      <c r="JZ118" s="1005"/>
      <c r="KA118" s="1005"/>
      <c r="KB118" s="1005"/>
      <c r="KC118" s="1005"/>
      <c r="KD118" s="1005"/>
      <c r="KE118" s="1005"/>
      <c r="KF118" s="1005"/>
      <c r="KG118" s="1005"/>
      <c r="KH118" s="1005"/>
      <c r="KI118" s="1005"/>
      <c r="KJ118" s="1005"/>
      <c r="KK118" s="1005"/>
      <c r="KL118" s="1005"/>
      <c r="KM118" s="1005"/>
      <c r="KN118" s="1005"/>
      <c r="KO118" s="1005"/>
      <c r="KP118" s="1005"/>
      <c r="KQ118" s="1005"/>
      <c r="KR118" s="1005"/>
      <c r="KS118" s="1005"/>
      <c r="KT118" s="1005"/>
      <c r="KU118" s="1005"/>
      <c r="KV118" s="1005"/>
      <c r="KW118" s="1005"/>
      <c r="KX118" s="1005"/>
      <c r="KY118" s="1005"/>
      <c r="KZ118" s="1005"/>
      <c r="LA118" s="1005"/>
      <c r="LB118" s="1005"/>
      <c r="LC118" s="1005"/>
      <c r="LD118" s="1005"/>
      <c r="LE118" s="1005"/>
      <c r="LF118" s="1005"/>
      <c r="LG118" s="1005"/>
      <c r="LH118" s="1005"/>
      <c r="LI118" s="1005"/>
      <c r="LJ118" s="1005"/>
      <c r="LK118" s="1005"/>
      <c r="LL118" s="1005"/>
      <c r="LM118" s="1005"/>
      <c r="LN118" s="1005"/>
      <c r="LO118" s="1005"/>
      <c r="LP118" s="1005"/>
      <c r="LQ118" s="1005"/>
      <c r="LR118" s="1005"/>
      <c r="LS118" s="1005"/>
      <c r="LT118" s="1005"/>
      <c r="LU118" s="1005"/>
      <c r="LV118" s="1005"/>
      <c r="LW118" s="1005"/>
      <c r="LX118" s="1005"/>
      <c r="LY118" s="1005"/>
      <c r="LZ118" s="1005"/>
      <c r="MA118" s="1005"/>
      <c r="MB118" s="1005"/>
      <c r="MC118" s="1005"/>
      <c r="MD118" s="1005"/>
      <c r="ME118" s="1005"/>
      <c r="MF118" s="1005"/>
      <c r="MG118" s="1005"/>
      <c r="MH118" s="1005"/>
      <c r="MI118" s="1005"/>
      <c r="MJ118" s="1005"/>
      <c r="MK118" s="1005"/>
      <c r="ML118" s="1005"/>
      <c r="MM118" s="1005"/>
      <c r="MN118" s="1005"/>
      <c r="MO118" s="1005"/>
      <c r="MP118" s="1005"/>
      <c r="MQ118" s="1005"/>
      <c r="MR118" s="1005"/>
      <c r="MS118" s="1005"/>
      <c r="MT118" s="1005"/>
      <c r="MU118" s="1005"/>
      <c r="MV118" s="1005"/>
      <c r="MW118" s="1005"/>
      <c r="MX118" s="1005"/>
      <c r="MY118" s="1005"/>
      <c r="MZ118" s="1005"/>
      <c r="NA118" s="1005"/>
      <c r="NB118" s="1005"/>
      <c r="NC118" s="1005"/>
      <c r="ND118" s="1005"/>
      <c r="NE118" s="1005"/>
      <c r="NF118" s="1005"/>
      <c r="NG118" s="1005"/>
      <c r="NH118" s="1005"/>
      <c r="NI118" s="1005"/>
      <c r="NJ118" s="1005"/>
      <c r="NK118" s="1005"/>
      <c r="NL118" s="1005"/>
      <c r="NM118" s="1005"/>
      <c r="NN118" s="1005"/>
      <c r="NO118" s="1005"/>
      <c r="NP118" s="1005"/>
      <c r="NQ118" s="1005"/>
      <c r="NR118" s="1005"/>
      <c r="NS118" s="1005"/>
      <c r="NT118" s="1005"/>
      <c r="NU118" s="1005"/>
      <c r="NV118" s="1005"/>
      <c r="NW118" s="1005"/>
      <c r="NX118" s="1005"/>
      <c r="NY118" s="1005"/>
      <c r="NZ118" s="1005"/>
      <c r="OA118" s="1005"/>
      <c r="OB118" s="1005"/>
      <c r="OC118" s="1005"/>
      <c r="OD118" s="1005"/>
      <c r="OE118" s="1005"/>
      <c r="OF118" s="1005"/>
      <c r="OG118" s="1005"/>
      <c r="OH118" s="1005"/>
      <c r="OI118" s="1005"/>
      <c r="OJ118" s="1005"/>
      <c r="OK118" s="1005"/>
      <c r="OL118" s="1005"/>
      <c r="OM118" s="1005"/>
      <c r="ON118" s="1005"/>
      <c r="OO118" s="1005"/>
      <c r="OP118" s="1005"/>
      <c r="OQ118" s="1005"/>
      <c r="OR118" s="1005"/>
      <c r="OS118" s="1005"/>
      <c r="OT118" s="1005"/>
      <c r="OU118" s="1005"/>
      <c r="OV118" s="1005"/>
      <c r="OW118" s="1005"/>
      <c r="OX118" s="1005"/>
      <c r="OY118" s="1005"/>
      <c r="OZ118" s="1005"/>
      <c r="PA118" s="1005"/>
      <c r="PB118" s="1005"/>
      <c r="PC118" s="1005"/>
      <c r="PD118" s="1005"/>
      <c r="PE118" s="1005"/>
      <c r="PF118" s="1005"/>
      <c r="PG118" s="1005"/>
      <c r="PH118" s="1005"/>
      <c r="PI118" s="1005"/>
      <c r="PJ118" s="1005"/>
      <c r="PK118" s="1005"/>
      <c r="PL118" s="1005"/>
      <c r="PM118" s="1005"/>
      <c r="PN118" s="1005"/>
      <c r="PO118" s="1005"/>
      <c r="PP118" s="1005"/>
      <c r="PQ118" s="1005"/>
      <c r="PR118" s="1005"/>
      <c r="PS118" s="1005"/>
      <c r="PT118" s="1005"/>
      <c r="PU118" s="1005"/>
      <c r="PV118" s="1005"/>
      <c r="PW118" s="1005"/>
      <c r="PX118" s="1005"/>
      <c r="PY118" s="1005"/>
      <c r="PZ118" s="1005"/>
      <c r="QA118" s="1005"/>
      <c r="QB118" s="1005"/>
      <c r="QC118" s="1005"/>
      <c r="QD118" s="1005"/>
      <c r="QE118" s="1005"/>
      <c r="QF118" s="1005"/>
      <c r="QG118" s="1005"/>
      <c r="QH118" s="1005"/>
      <c r="QI118" s="1005"/>
      <c r="QJ118" s="1005"/>
      <c r="QK118" s="1005"/>
      <c r="QL118" s="1005"/>
      <c r="QM118" s="1005"/>
      <c r="QN118" s="1005"/>
      <c r="QO118" s="1005"/>
      <c r="QP118" s="1005"/>
      <c r="QQ118" s="1005"/>
      <c r="QR118" s="1005"/>
      <c r="QS118" s="1005"/>
      <c r="QT118" s="1005"/>
      <c r="QU118" s="1005"/>
      <c r="QV118" s="1005"/>
      <c r="QW118" s="1005"/>
      <c r="QX118" s="1005"/>
      <c r="QY118" s="1005"/>
      <c r="QZ118" s="1005"/>
      <c r="RA118" s="1005"/>
      <c r="RB118" s="1005"/>
      <c r="RC118" s="1005"/>
      <c r="RD118" s="1005"/>
      <c r="RE118" s="1005"/>
      <c r="RF118" s="1005"/>
      <c r="RG118" s="1005"/>
      <c r="RH118" s="1005"/>
      <c r="RI118" s="1005"/>
      <c r="RJ118" s="1005"/>
      <c r="RK118" s="1005"/>
      <c r="RL118" s="1005"/>
      <c r="RM118" s="1005"/>
      <c r="RN118" s="1005"/>
      <c r="RO118" s="1005"/>
      <c r="RP118" s="1005"/>
      <c r="RQ118" s="1005"/>
      <c r="RR118" s="1005"/>
      <c r="RS118" s="1005"/>
      <c r="RT118" s="1005"/>
      <c r="RU118" s="1005"/>
      <c r="RV118" s="1005"/>
      <c r="RW118" s="1005"/>
      <c r="RX118" s="1005"/>
      <c r="RY118" s="1005"/>
      <c r="RZ118" s="1005"/>
      <c r="SA118" s="1005"/>
      <c r="SB118" s="1005"/>
      <c r="SC118" s="1005"/>
      <c r="SD118" s="1005"/>
      <c r="SE118" s="1005"/>
      <c r="SF118" s="1005"/>
      <c r="SG118" s="1005"/>
      <c r="SH118" s="1005"/>
      <c r="SI118" s="1005"/>
      <c r="SJ118" s="1005"/>
      <c r="SK118" s="1005"/>
      <c r="SL118" s="1005"/>
      <c r="SM118" s="1005"/>
      <c r="SN118" s="1005"/>
      <c r="SO118" s="1005"/>
      <c r="SP118" s="1005"/>
      <c r="SQ118" s="1005"/>
      <c r="SR118" s="1005"/>
      <c r="SS118" s="1005"/>
      <c r="ST118" s="1005"/>
      <c r="SU118" s="1005"/>
      <c r="SV118" s="1005"/>
      <c r="SW118" s="1005"/>
      <c r="SX118" s="1005"/>
      <c r="SY118" s="1005"/>
      <c r="SZ118" s="1005"/>
      <c r="TA118" s="1005"/>
      <c r="TB118" s="1005"/>
      <c r="TC118" s="1005"/>
      <c r="TD118" s="1005"/>
      <c r="TE118" s="1005"/>
      <c r="TF118" s="1005"/>
      <c r="TG118" s="1005"/>
      <c r="TH118" s="1005"/>
      <c r="TI118" s="1005"/>
      <c r="TJ118" s="1005"/>
      <c r="TK118" s="1005"/>
      <c r="TL118" s="1005"/>
      <c r="TM118" s="1005"/>
      <c r="TN118" s="1005"/>
      <c r="TO118" s="1005"/>
      <c r="TP118" s="1005"/>
      <c r="TQ118" s="1005"/>
      <c r="TR118" s="1005"/>
      <c r="TS118" s="1005"/>
      <c r="TT118" s="1005"/>
      <c r="TU118" s="1005"/>
      <c r="TV118" s="1005"/>
      <c r="TW118" s="1005"/>
      <c r="TX118" s="1005"/>
      <c r="TY118" s="1005"/>
      <c r="TZ118" s="1005"/>
      <c r="UA118" s="1005"/>
      <c r="UB118" s="1005"/>
      <c r="UC118" s="1005"/>
      <c r="UD118" s="1005"/>
      <c r="UE118" s="1005"/>
      <c r="UF118" s="1005"/>
      <c r="UG118" s="1005"/>
      <c r="UH118" s="1005"/>
      <c r="UI118" s="1005"/>
      <c r="UJ118" s="1005"/>
      <c r="UK118" s="1005"/>
      <c r="UL118" s="1005"/>
      <c r="UM118" s="1005"/>
      <c r="UN118" s="1005"/>
      <c r="UO118" s="1005"/>
      <c r="UP118" s="1005"/>
      <c r="UQ118" s="1005"/>
      <c r="UR118" s="1005"/>
      <c r="US118" s="1005"/>
      <c r="UT118" s="1005"/>
      <c r="UU118" s="1005"/>
      <c r="UV118" s="1005"/>
      <c r="UW118" s="1005"/>
      <c r="UX118" s="1005"/>
      <c r="UY118" s="1005"/>
      <c r="UZ118" s="1005"/>
      <c r="VA118" s="1005"/>
      <c r="VB118" s="1005"/>
      <c r="VC118" s="1005"/>
      <c r="VD118" s="1005"/>
      <c r="VE118" s="1005"/>
      <c r="VF118" s="1005"/>
      <c r="VG118" s="1005"/>
      <c r="VH118" s="1005"/>
      <c r="VI118" s="1005"/>
      <c r="VJ118" s="1005"/>
      <c r="VK118" s="1005"/>
      <c r="VL118" s="1005"/>
      <c r="VM118" s="1005"/>
      <c r="VN118" s="1005"/>
      <c r="VO118" s="1005"/>
      <c r="VP118" s="1005"/>
      <c r="VQ118" s="1005"/>
      <c r="VR118" s="1005"/>
      <c r="VS118" s="1005"/>
      <c r="VT118" s="1005"/>
      <c r="VU118" s="1005"/>
      <c r="VV118" s="1005"/>
      <c r="VW118" s="1005"/>
      <c r="VX118" s="1005"/>
      <c r="VY118" s="1005"/>
      <c r="VZ118" s="1005"/>
      <c r="WA118" s="1005"/>
      <c r="WB118" s="1005"/>
      <c r="WC118" s="1005"/>
      <c r="WD118" s="1005"/>
      <c r="WE118" s="1005"/>
      <c r="WF118" s="1005"/>
      <c r="WG118" s="1005"/>
      <c r="WH118" s="1005"/>
      <c r="WI118" s="1005"/>
      <c r="WJ118" s="1005"/>
      <c r="WK118" s="1005"/>
      <c r="WL118" s="1005"/>
      <c r="WM118" s="1005"/>
      <c r="WN118" s="1005"/>
      <c r="WO118" s="1005"/>
      <c r="WP118" s="1005"/>
      <c r="WQ118" s="1005"/>
      <c r="WR118" s="1005"/>
      <c r="WS118" s="1005"/>
      <c r="WT118" s="1005"/>
      <c r="WU118" s="1005"/>
      <c r="WV118" s="1005"/>
      <c r="WW118" s="1005"/>
      <c r="WX118" s="1005"/>
      <c r="WY118" s="1005"/>
      <c r="WZ118" s="1005"/>
      <c r="XA118" s="1005"/>
      <c r="XB118" s="1005"/>
      <c r="XC118" s="1005"/>
      <c r="XD118" s="1005"/>
      <c r="XE118" s="1005"/>
      <c r="XF118" s="1005"/>
      <c r="XG118" s="1005"/>
      <c r="XH118" s="1005"/>
      <c r="XI118" s="1005"/>
      <c r="XJ118" s="1005"/>
      <c r="XK118" s="1005"/>
      <c r="XL118" s="1005"/>
      <c r="XM118" s="1005"/>
      <c r="XN118" s="1005"/>
      <c r="XO118" s="1005"/>
      <c r="XP118" s="1005"/>
      <c r="XQ118" s="1005"/>
      <c r="XR118" s="1005"/>
      <c r="XS118" s="1005"/>
      <c r="XT118" s="1005"/>
      <c r="XU118" s="1005"/>
      <c r="XV118" s="1005"/>
      <c r="XW118" s="1005"/>
      <c r="XX118" s="1005"/>
      <c r="XY118" s="1005"/>
      <c r="XZ118" s="1005"/>
      <c r="YA118" s="1005"/>
      <c r="YB118" s="1005"/>
      <c r="YC118" s="1005"/>
      <c r="YD118" s="1005"/>
      <c r="YE118" s="1005"/>
      <c r="YF118" s="1005"/>
      <c r="YG118" s="1005"/>
      <c r="YH118" s="1005"/>
      <c r="YI118" s="1005"/>
      <c r="YJ118" s="1005"/>
      <c r="YK118" s="1005"/>
      <c r="YL118" s="1005"/>
      <c r="YM118" s="1005"/>
      <c r="YN118" s="1005"/>
      <c r="YO118" s="1005"/>
      <c r="YP118" s="1005"/>
      <c r="YQ118" s="1005"/>
      <c r="YR118" s="1005"/>
      <c r="YS118" s="1005"/>
      <c r="YT118" s="1005"/>
      <c r="YU118" s="1005"/>
      <c r="YV118" s="1005"/>
      <c r="YW118" s="1005"/>
      <c r="YX118" s="1005"/>
      <c r="YY118" s="1005"/>
      <c r="YZ118" s="1005"/>
      <c r="ZA118" s="1005"/>
      <c r="ZB118" s="1005"/>
      <c r="ZC118" s="1005"/>
      <c r="ZD118" s="1005"/>
      <c r="ZE118" s="1005"/>
      <c r="ZF118" s="1005"/>
      <c r="ZG118" s="1005"/>
      <c r="ZH118" s="1005"/>
      <c r="ZI118" s="1005"/>
      <c r="ZJ118" s="1005"/>
      <c r="ZK118" s="1005"/>
      <c r="ZL118" s="1005"/>
      <c r="ZM118" s="1005"/>
      <c r="ZN118" s="1005"/>
      <c r="ZO118" s="1005"/>
      <c r="ZP118" s="1005"/>
      <c r="ZQ118" s="1005"/>
      <c r="ZR118" s="1005"/>
      <c r="ZS118" s="1005"/>
      <c r="ZT118" s="1005"/>
      <c r="ZU118" s="1005"/>
      <c r="ZV118" s="1005"/>
      <c r="ZW118" s="1005"/>
      <c r="ZX118" s="1005"/>
      <c r="ZY118" s="1005"/>
      <c r="ZZ118" s="1005"/>
      <c r="AAA118" s="1005"/>
      <c r="AAB118" s="1005"/>
      <c r="AAC118" s="1005"/>
      <c r="AAD118" s="1005"/>
      <c r="AAE118" s="1005"/>
      <c r="AAF118" s="1005"/>
      <c r="AAG118" s="1005"/>
      <c r="AAH118" s="1005"/>
      <c r="AAI118" s="1005"/>
      <c r="AAJ118" s="1005"/>
      <c r="AAK118" s="1005"/>
      <c r="AAL118" s="1005"/>
      <c r="AAM118" s="1005"/>
      <c r="AAN118" s="1005"/>
      <c r="AAO118" s="1005"/>
      <c r="AAP118" s="1005"/>
      <c r="AAQ118" s="1005"/>
      <c r="AAR118" s="1005"/>
      <c r="AAS118" s="1005"/>
      <c r="AAT118" s="1005"/>
      <c r="AAU118" s="1005"/>
      <c r="AAV118" s="1005"/>
      <c r="AAW118" s="1005"/>
      <c r="AAX118" s="1005"/>
      <c r="AAY118" s="1005"/>
      <c r="AAZ118" s="1005"/>
      <c r="ABA118" s="1005"/>
      <c r="ABB118" s="1005"/>
      <c r="ABC118" s="1005"/>
      <c r="ABD118" s="1005"/>
      <c r="ABE118" s="1005"/>
      <c r="ABF118" s="1005"/>
      <c r="ABG118" s="1005"/>
      <c r="ABH118" s="1005"/>
      <c r="ABI118" s="1005"/>
      <c r="ABJ118" s="1005"/>
      <c r="ABK118" s="1005"/>
      <c r="ABL118" s="1005"/>
      <c r="ABM118" s="1005"/>
      <c r="ABN118" s="1005"/>
      <c r="ABO118" s="1005"/>
      <c r="ABP118" s="1005"/>
      <c r="ABQ118" s="1005"/>
      <c r="ABR118" s="1005"/>
    </row>
    <row r="119" spans="1:746" s="112" customFormat="1" ht="12.9" customHeight="1" thickBot="1">
      <c r="A119" s="923"/>
      <c r="B119" s="353" t="s">
        <v>197</v>
      </c>
      <c r="C119" s="117"/>
      <c r="D119" s="134"/>
      <c r="E119" s="347" t="s">
        <v>0</v>
      </c>
      <c r="F119" s="1240"/>
      <c r="G119" s="347">
        <v>0.25</v>
      </c>
      <c r="H119" s="2179"/>
      <c r="I119" s="1966"/>
      <c r="J119" s="809"/>
      <c r="K119" s="809"/>
      <c r="L119" s="809"/>
      <c r="M119" s="809"/>
      <c r="N119" s="809"/>
      <c r="O119" s="809"/>
      <c r="P119" s="809"/>
      <c r="Q119" s="809"/>
      <c r="R119" s="809"/>
      <c r="S119" s="809"/>
      <c r="T119" s="809"/>
      <c r="U119" s="368"/>
      <c r="V119" s="368"/>
      <c r="W119" s="368"/>
      <c r="X119" s="368"/>
      <c r="Y119" s="368"/>
      <c r="Z119" s="368"/>
      <c r="AA119" s="368"/>
      <c r="AB119" s="368"/>
      <c r="AC119" s="368"/>
      <c r="AD119" s="368"/>
      <c r="AE119" s="368"/>
      <c r="AF119" s="368"/>
      <c r="AG119" s="1042"/>
      <c r="AH119" s="336"/>
      <c r="AI119" s="336"/>
      <c r="AJ119" s="418">
        <f>IF(fx!$C$57=1,SUMIF(fx!I$57:T$57,1,I119:T119),IF(fx!$C$57=2,SUMIF(fx!O$57:AF$57,1,O119:AF119)))</f>
        <v>0</v>
      </c>
      <c r="AK119" s="328"/>
      <c r="AL119" s="417">
        <f>IF(fx!$C$57=1,SUM(U119:AF119),0)</f>
        <v>0</v>
      </c>
      <c r="AM119" s="1004"/>
      <c r="AN119" s="1024"/>
      <c r="AO119" s="1945"/>
      <c r="AP119" s="1935"/>
      <c r="AQ119" s="1936"/>
      <c r="AR119" s="1941"/>
      <c r="AS119" s="1941"/>
      <c r="AT119" s="1941"/>
      <c r="AU119" s="1941"/>
      <c r="AV119" s="1941"/>
      <c r="AW119" s="1941"/>
      <c r="AX119" s="1941"/>
      <c r="AY119" s="1941"/>
      <c r="AZ119" s="1941"/>
      <c r="BA119" s="1941"/>
      <c r="BB119" s="1941"/>
      <c r="BC119" s="1941"/>
      <c r="BD119" s="1941"/>
      <c r="BE119" s="1941"/>
      <c r="BF119" s="1941"/>
      <c r="BG119" s="1941"/>
      <c r="BH119" s="1941"/>
      <c r="BI119" s="1941"/>
      <c r="BJ119" s="1941"/>
      <c r="BK119" s="1941"/>
      <c r="BL119" s="1941"/>
      <c r="BM119" s="1941"/>
      <c r="BN119" s="1941"/>
      <c r="BO119" s="1941"/>
      <c r="BP119" s="1004"/>
      <c r="BQ119" s="1004"/>
      <c r="BR119" s="1004"/>
      <c r="BS119" s="1004"/>
      <c r="BT119" s="1004"/>
      <c r="BU119" s="1004"/>
      <c r="BV119" s="1004"/>
      <c r="BW119" s="1004"/>
      <c r="BX119" s="1004"/>
      <c r="BY119" s="1004"/>
      <c r="BZ119" s="1004"/>
      <c r="CA119" s="1004"/>
      <c r="CB119" s="1004"/>
      <c r="CC119" s="1004"/>
      <c r="CD119" s="1004"/>
      <c r="CE119" s="1004"/>
      <c r="CF119" s="1004"/>
      <c r="CG119" s="1004"/>
      <c r="CH119" s="1004"/>
      <c r="CI119" s="1004"/>
      <c r="CJ119" s="1004"/>
      <c r="CK119" s="1004"/>
      <c r="CL119" s="1004"/>
      <c r="CM119" s="1004"/>
      <c r="CN119" s="1004"/>
      <c r="CO119" s="1004"/>
      <c r="CP119" s="1004"/>
      <c r="CQ119" s="1004"/>
      <c r="CR119" s="1004"/>
      <c r="CS119" s="1004"/>
      <c r="CT119" s="1004"/>
      <c r="CU119" s="1004"/>
      <c r="CV119" s="1004"/>
      <c r="CW119" s="1004"/>
      <c r="CX119" s="1004"/>
      <c r="CY119" s="1004"/>
      <c r="CZ119" s="1004"/>
      <c r="DA119" s="1004"/>
      <c r="DB119" s="1004"/>
      <c r="DC119" s="1004"/>
      <c r="DD119" s="1004"/>
      <c r="DE119" s="1004"/>
      <c r="DF119" s="1004"/>
      <c r="DG119" s="1004"/>
      <c r="DH119" s="1004"/>
      <c r="DI119" s="1004"/>
      <c r="DJ119" s="1004"/>
      <c r="DK119" s="1004"/>
      <c r="DL119" s="1004"/>
      <c r="DM119" s="1004"/>
      <c r="DN119" s="1004"/>
      <c r="DO119" s="1004"/>
      <c r="DP119" s="1004"/>
      <c r="DQ119" s="1004"/>
      <c r="DR119" s="1004"/>
      <c r="DS119" s="1004"/>
      <c r="DT119" s="1004"/>
      <c r="DU119" s="1004"/>
      <c r="DV119" s="1004"/>
      <c r="DW119" s="1004"/>
      <c r="DX119" s="1004"/>
      <c r="DY119" s="1004"/>
      <c r="DZ119" s="1004"/>
      <c r="EA119" s="1004"/>
      <c r="EB119" s="1004"/>
      <c r="EC119" s="1004"/>
      <c r="ED119" s="1004"/>
      <c r="EE119" s="1004"/>
      <c r="EF119" s="1004"/>
      <c r="EG119" s="1004"/>
      <c r="EH119" s="1004"/>
      <c r="EI119" s="1004"/>
      <c r="EJ119" s="1004"/>
      <c r="EK119" s="1004"/>
      <c r="EL119" s="1004"/>
      <c r="EM119" s="1004"/>
      <c r="EN119" s="1004"/>
      <c r="EO119" s="1004"/>
      <c r="EP119" s="1004"/>
      <c r="EQ119" s="1004"/>
      <c r="ER119" s="1004"/>
      <c r="ES119" s="1004"/>
      <c r="ET119" s="1004"/>
      <c r="EU119" s="1004"/>
      <c r="EV119" s="1004"/>
      <c r="EW119" s="1004"/>
      <c r="EX119" s="1004"/>
      <c r="EY119" s="1004"/>
      <c r="EZ119" s="1004"/>
      <c r="FA119" s="1004"/>
      <c r="FB119" s="1004"/>
      <c r="FC119" s="1004"/>
      <c r="FD119" s="1004"/>
      <c r="FE119" s="1004"/>
      <c r="FF119" s="1004"/>
      <c r="FG119" s="1004"/>
      <c r="FH119" s="1004"/>
      <c r="FI119" s="1004"/>
      <c r="FJ119" s="1004"/>
      <c r="FK119" s="1004"/>
      <c r="FL119" s="1004"/>
      <c r="FM119" s="1004"/>
      <c r="FN119" s="1004"/>
      <c r="FO119" s="1004"/>
      <c r="FP119" s="1004"/>
      <c r="FQ119" s="1004"/>
      <c r="FR119" s="1004"/>
      <c r="FS119" s="1004"/>
      <c r="FT119" s="1004"/>
      <c r="FU119" s="1004"/>
      <c r="FV119" s="1004"/>
      <c r="FW119" s="1004"/>
      <c r="FX119" s="1004"/>
      <c r="FY119" s="1004"/>
      <c r="FZ119" s="1004"/>
      <c r="GA119" s="1004"/>
      <c r="GB119" s="1004"/>
      <c r="GC119" s="1004"/>
      <c r="GD119" s="1004"/>
      <c r="GE119" s="1004"/>
      <c r="GF119" s="1004"/>
      <c r="GG119" s="1004"/>
      <c r="GH119" s="1004"/>
      <c r="GI119" s="1004"/>
      <c r="GJ119" s="1004"/>
      <c r="GK119" s="1004"/>
      <c r="GL119" s="1004"/>
      <c r="GM119" s="1004"/>
      <c r="GN119" s="1004"/>
      <c r="GO119" s="1004"/>
      <c r="GP119" s="1004"/>
      <c r="GQ119" s="1004"/>
      <c r="GR119" s="1004"/>
      <c r="GS119" s="1004"/>
      <c r="GT119" s="1004"/>
      <c r="GU119" s="1004"/>
      <c r="GV119" s="1004"/>
      <c r="GW119" s="1004"/>
      <c r="GX119" s="1004"/>
      <c r="GY119" s="1004"/>
      <c r="GZ119" s="1004"/>
      <c r="HA119" s="1004"/>
      <c r="HB119" s="1004"/>
      <c r="HC119" s="1004"/>
      <c r="HD119" s="1004"/>
      <c r="HE119" s="1004"/>
      <c r="HF119" s="1004"/>
      <c r="HG119" s="1004"/>
      <c r="HH119" s="1004"/>
      <c r="HI119" s="1004"/>
      <c r="HJ119" s="1004"/>
      <c r="HK119" s="1004"/>
      <c r="HL119" s="1004"/>
      <c r="HM119" s="1004"/>
      <c r="HN119" s="1004"/>
      <c r="HO119" s="1004"/>
      <c r="HP119" s="1004"/>
      <c r="HQ119" s="1004"/>
      <c r="HR119" s="1004"/>
      <c r="HS119" s="1004"/>
      <c r="HT119" s="1004"/>
      <c r="HU119" s="1004"/>
      <c r="HV119" s="1004"/>
      <c r="HW119" s="1004"/>
      <c r="HX119" s="1004"/>
      <c r="HY119" s="1004"/>
      <c r="HZ119" s="1004"/>
      <c r="IA119" s="1004"/>
      <c r="IB119" s="1004"/>
      <c r="IC119" s="1004"/>
      <c r="ID119" s="1004"/>
      <c r="IE119" s="1004"/>
      <c r="IF119" s="1004"/>
      <c r="IG119" s="1004"/>
      <c r="IH119" s="1004"/>
      <c r="II119" s="1004"/>
      <c r="IJ119" s="1004"/>
      <c r="IK119" s="1004"/>
      <c r="IL119" s="1004"/>
      <c r="IM119" s="1004"/>
      <c r="IN119" s="1004"/>
      <c r="IO119" s="1004"/>
      <c r="IP119" s="1004"/>
      <c r="IQ119" s="1004"/>
      <c r="IR119" s="1004"/>
      <c r="IS119" s="1004"/>
      <c r="IT119" s="1004"/>
      <c r="IU119" s="1004"/>
      <c r="IV119" s="1004"/>
      <c r="IW119" s="1004"/>
      <c r="IX119" s="1004"/>
      <c r="IY119" s="1004"/>
      <c r="IZ119" s="1004"/>
      <c r="JA119" s="1004"/>
      <c r="JB119" s="1004"/>
      <c r="JC119" s="1004"/>
      <c r="JD119" s="1004"/>
      <c r="JE119" s="1004"/>
      <c r="JF119" s="1004"/>
      <c r="JG119" s="1004"/>
      <c r="JH119" s="1004"/>
      <c r="JI119" s="1004"/>
      <c r="JJ119" s="1004"/>
      <c r="JK119" s="1004"/>
      <c r="JL119" s="1004"/>
      <c r="JM119" s="1004"/>
      <c r="JN119" s="1004"/>
      <c r="JO119" s="1004"/>
      <c r="JP119" s="1004"/>
      <c r="JQ119" s="1004"/>
      <c r="JR119" s="1004"/>
      <c r="JS119" s="1004"/>
      <c r="JT119" s="1004"/>
      <c r="JU119" s="1004"/>
      <c r="JV119" s="1004"/>
      <c r="JW119" s="1004"/>
      <c r="JX119" s="1004"/>
      <c r="JY119" s="1004"/>
      <c r="JZ119" s="1004"/>
      <c r="KA119" s="1004"/>
      <c r="KB119" s="1004"/>
      <c r="KC119" s="1004"/>
      <c r="KD119" s="1004"/>
      <c r="KE119" s="1004"/>
      <c r="KF119" s="1004"/>
      <c r="KG119" s="1004"/>
      <c r="KH119" s="1004"/>
      <c r="KI119" s="1004"/>
      <c r="KJ119" s="1004"/>
      <c r="KK119" s="1004"/>
      <c r="KL119" s="1004"/>
      <c r="KM119" s="1004"/>
      <c r="KN119" s="1004"/>
      <c r="KO119" s="1004"/>
      <c r="KP119" s="1004"/>
      <c r="KQ119" s="1004"/>
      <c r="KR119" s="1004"/>
      <c r="KS119" s="1004"/>
      <c r="KT119" s="1004"/>
      <c r="KU119" s="1004"/>
      <c r="KV119" s="1004"/>
      <c r="KW119" s="1004"/>
      <c r="KX119" s="1004"/>
      <c r="KY119" s="1004"/>
      <c r="KZ119" s="1004"/>
      <c r="LA119" s="1004"/>
      <c r="LB119" s="1004"/>
      <c r="LC119" s="1004"/>
      <c r="LD119" s="1004"/>
      <c r="LE119" s="1004"/>
      <c r="LF119" s="1004"/>
      <c r="LG119" s="1004"/>
      <c r="LH119" s="1004"/>
      <c r="LI119" s="1004"/>
      <c r="LJ119" s="1004"/>
      <c r="LK119" s="1004"/>
      <c r="LL119" s="1004"/>
      <c r="LM119" s="1004"/>
      <c r="LN119" s="1004"/>
      <c r="LO119" s="1004"/>
      <c r="LP119" s="1004"/>
      <c r="LQ119" s="1004"/>
      <c r="LR119" s="1004"/>
      <c r="LS119" s="1004"/>
      <c r="LT119" s="1004"/>
      <c r="LU119" s="1004"/>
      <c r="LV119" s="1004"/>
      <c r="LW119" s="1004"/>
      <c r="LX119" s="1004"/>
      <c r="LY119" s="1004"/>
      <c r="LZ119" s="1004"/>
      <c r="MA119" s="1004"/>
      <c r="MB119" s="1004"/>
      <c r="MC119" s="1004"/>
      <c r="MD119" s="1004"/>
      <c r="ME119" s="1004"/>
      <c r="MF119" s="1004"/>
      <c r="MG119" s="1004"/>
      <c r="MH119" s="1004"/>
      <c r="MI119" s="1004"/>
      <c r="MJ119" s="1004"/>
      <c r="MK119" s="1004"/>
      <c r="ML119" s="1004"/>
      <c r="MM119" s="1004"/>
      <c r="MN119" s="1004"/>
      <c r="MO119" s="1004"/>
      <c r="MP119" s="1004"/>
      <c r="MQ119" s="1004"/>
      <c r="MR119" s="1004"/>
      <c r="MS119" s="1004"/>
      <c r="MT119" s="1004"/>
      <c r="MU119" s="1004"/>
      <c r="MV119" s="1004"/>
      <c r="MW119" s="1004"/>
      <c r="MX119" s="1004"/>
      <c r="MY119" s="1004"/>
      <c r="MZ119" s="1004"/>
      <c r="NA119" s="1004"/>
      <c r="NB119" s="1004"/>
      <c r="NC119" s="1004"/>
      <c r="ND119" s="1004"/>
      <c r="NE119" s="1004"/>
      <c r="NF119" s="1004"/>
      <c r="NG119" s="1004"/>
      <c r="NH119" s="1004"/>
      <c r="NI119" s="1004"/>
      <c r="NJ119" s="1004"/>
      <c r="NK119" s="1004"/>
      <c r="NL119" s="1004"/>
      <c r="NM119" s="1004"/>
      <c r="NN119" s="1004"/>
      <c r="NO119" s="1004"/>
      <c r="NP119" s="1004"/>
      <c r="NQ119" s="1004"/>
      <c r="NR119" s="1004"/>
      <c r="NS119" s="1004"/>
      <c r="NT119" s="1004"/>
      <c r="NU119" s="1004"/>
      <c r="NV119" s="1004"/>
      <c r="NW119" s="1004"/>
      <c r="NX119" s="1004"/>
      <c r="NY119" s="1004"/>
      <c r="NZ119" s="1004"/>
      <c r="OA119" s="1004"/>
      <c r="OB119" s="1004"/>
      <c r="OC119" s="1004"/>
      <c r="OD119" s="1004"/>
      <c r="OE119" s="1004"/>
      <c r="OF119" s="1004"/>
      <c r="OG119" s="1004"/>
      <c r="OH119" s="1004"/>
      <c r="OI119" s="1004"/>
      <c r="OJ119" s="1004"/>
      <c r="OK119" s="1004"/>
      <c r="OL119" s="1004"/>
      <c r="OM119" s="1004"/>
      <c r="ON119" s="1004"/>
      <c r="OO119" s="1004"/>
      <c r="OP119" s="1004"/>
      <c r="OQ119" s="1004"/>
      <c r="OR119" s="1004"/>
      <c r="OS119" s="1004"/>
      <c r="OT119" s="1004"/>
      <c r="OU119" s="1004"/>
      <c r="OV119" s="1004"/>
      <c r="OW119" s="1004"/>
      <c r="OX119" s="1004"/>
      <c r="OY119" s="1004"/>
      <c r="OZ119" s="1004"/>
      <c r="PA119" s="1004"/>
      <c r="PB119" s="1004"/>
      <c r="PC119" s="1004"/>
      <c r="PD119" s="1004"/>
      <c r="PE119" s="1004"/>
      <c r="PF119" s="1004"/>
      <c r="PG119" s="1004"/>
      <c r="PH119" s="1004"/>
      <c r="PI119" s="1004"/>
      <c r="PJ119" s="1004"/>
      <c r="PK119" s="1004"/>
      <c r="PL119" s="1004"/>
      <c r="PM119" s="1004"/>
      <c r="PN119" s="1004"/>
      <c r="PO119" s="1004"/>
      <c r="PP119" s="1004"/>
      <c r="PQ119" s="1004"/>
      <c r="PR119" s="1004"/>
      <c r="PS119" s="1004"/>
      <c r="PT119" s="1004"/>
      <c r="PU119" s="1004"/>
      <c r="PV119" s="1004"/>
      <c r="PW119" s="1004"/>
      <c r="PX119" s="1004"/>
      <c r="PY119" s="1004"/>
      <c r="PZ119" s="1004"/>
      <c r="QA119" s="1004"/>
      <c r="QB119" s="1004"/>
      <c r="QC119" s="1004"/>
      <c r="QD119" s="1004"/>
      <c r="QE119" s="1004"/>
      <c r="QF119" s="1004"/>
      <c r="QG119" s="1004"/>
      <c r="QH119" s="1004"/>
      <c r="QI119" s="1004"/>
      <c r="QJ119" s="1004"/>
      <c r="QK119" s="1004"/>
      <c r="QL119" s="1004"/>
      <c r="QM119" s="1004"/>
      <c r="QN119" s="1004"/>
      <c r="QO119" s="1004"/>
      <c r="QP119" s="1004"/>
      <c r="QQ119" s="1004"/>
      <c r="QR119" s="1004"/>
      <c r="QS119" s="1004"/>
      <c r="QT119" s="1004"/>
      <c r="QU119" s="1004"/>
      <c r="QV119" s="1004"/>
      <c r="QW119" s="1004"/>
      <c r="QX119" s="1004"/>
      <c r="QY119" s="1004"/>
      <c r="QZ119" s="1004"/>
      <c r="RA119" s="1004"/>
      <c r="RB119" s="1004"/>
      <c r="RC119" s="1004"/>
      <c r="RD119" s="1004"/>
      <c r="RE119" s="1004"/>
      <c r="RF119" s="1004"/>
      <c r="RG119" s="1004"/>
      <c r="RH119" s="1004"/>
      <c r="RI119" s="1004"/>
      <c r="RJ119" s="1004"/>
      <c r="RK119" s="1004"/>
      <c r="RL119" s="1004"/>
      <c r="RM119" s="1004"/>
      <c r="RN119" s="1004"/>
      <c r="RO119" s="1004"/>
      <c r="RP119" s="1004"/>
      <c r="RQ119" s="1004"/>
      <c r="RR119" s="1004"/>
      <c r="RS119" s="1004"/>
      <c r="RT119" s="1004"/>
      <c r="RU119" s="1004"/>
      <c r="RV119" s="1004"/>
      <c r="RW119" s="1004"/>
      <c r="RX119" s="1004"/>
      <c r="RY119" s="1004"/>
      <c r="RZ119" s="1004"/>
      <c r="SA119" s="1004"/>
      <c r="SB119" s="1004"/>
      <c r="SC119" s="1004"/>
      <c r="SD119" s="1004"/>
      <c r="SE119" s="1004"/>
      <c r="SF119" s="1004"/>
      <c r="SG119" s="1004"/>
      <c r="SH119" s="1004"/>
      <c r="SI119" s="1004"/>
      <c r="SJ119" s="1004"/>
      <c r="SK119" s="1004"/>
      <c r="SL119" s="1004"/>
      <c r="SM119" s="1004"/>
      <c r="SN119" s="1004"/>
      <c r="SO119" s="1004"/>
      <c r="SP119" s="1004"/>
      <c r="SQ119" s="1004"/>
      <c r="SR119" s="1004"/>
      <c r="SS119" s="1004"/>
      <c r="ST119" s="1004"/>
      <c r="SU119" s="1004"/>
      <c r="SV119" s="1004"/>
      <c r="SW119" s="1004"/>
      <c r="SX119" s="1004"/>
      <c r="SY119" s="1004"/>
      <c r="SZ119" s="1004"/>
      <c r="TA119" s="1004"/>
      <c r="TB119" s="1004"/>
      <c r="TC119" s="1004"/>
      <c r="TD119" s="1004"/>
      <c r="TE119" s="1004"/>
      <c r="TF119" s="1004"/>
      <c r="TG119" s="1004"/>
      <c r="TH119" s="1004"/>
      <c r="TI119" s="1004"/>
      <c r="TJ119" s="1004"/>
      <c r="TK119" s="1004"/>
      <c r="TL119" s="1004"/>
      <c r="TM119" s="1004"/>
      <c r="TN119" s="1004"/>
      <c r="TO119" s="1004"/>
      <c r="TP119" s="1004"/>
      <c r="TQ119" s="1004"/>
      <c r="TR119" s="1004"/>
      <c r="TS119" s="1004"/>
      <c r="TT119" s="1004"/>
      <c r="TU119" s="1004"/>
      <c r="TV119" s="1004"/>
      <c r="TW119" s="1004"/>
      <c r="TX119" s="1004"/>
      <c r="TY119" s="1004"/>
      <c r="TZ119" s="1004"/>
      <c r="UA119" s="1004"/>
      <c r="UB119" s="1004"/>
      <c r="UC119" s="1004"/>
      <c r="UD119" s="1004"/>
      <c r="UE119" s="1004"/>
      <c r="UF119" s="1004"/>
      <c r="UG119" s="1004"/>
      <c r="UH119" s="1004"/>
      <c r="UI119" s="1004"/>
      <c r="UJ119" s="1004"/>
      <c r="UK119" s="1004"/>
      <c r="UL119" s="1004"/>
      <c r="UM119" s="1004"/>
      <c r="UN119" s="1004"/>
      <c r="UO119" s="1004"/>
      <c r="UP119" s="1004"/>
      <c r="UQ119" s="1004"/>
      <c r="UR119" s="1004"/>
      <c r="US119" s="1004"/>
      <c r="UT119" s="1004"/>
      <c r="UU119" s="1004"/>
      <c r="UV119" s="1004"/>
      <c r="UW119" s="1004"/>
      <c r="UX119" s="1004"/>
      <c r="UY119" s="1004"/>
      <c r="UZ119" s="1004"/>
      <c r="VA119" s="1004"/>
      <c r="VB119" s="1004"/>
      <c r="VC119" s="1004"/>
      <c r="VD119" s="1004"/>
      <c r="VE119" s="1004"/>
      <c r="VF119" s="1004"/>
      <c r="VG119" s="1004"/>
      <c r="VH119" s="1004"/>
      <c r="VI119" s="1004"/>
      <c r="VJ119" s="1004"/>
      <c r="VK119" s="1004"/>
      <c r="VL119" s="1004"/>
      <c r="VM119" s="1004"/>
      <c r="VN119" s="1004"/>
      <c r="VO119" s="1004"/>
      <c r="VP119" s="1004"/>
      <c r="VQ119" s="1004"/>
      <c r="VR119" s="1004"/>
      <c r="VS119" s="1004"/>
      <c r="VT119" s="1004"/>
      <c r="VU119" s="1004"/>
      <c r="VV119" s="1004"/>
      <c r="VW119" s="1004"/>
      <c r="VX119" s="1004"/>
      <c r="VY119" s="1004"/>
      <c r="VZ119" s="1004"/>
      <c r="WA119" s="1004"/>
      <c r="WB119" s="1004"/>
      <c r="WC119" s="1004"/>
      <c r="WD119" s="1004"/>
      <c r="WE119" s="1004"/>
      <c r="WF119" s="1004"/>
      <c r="WG119" s="1004"/>
      <c r="WH119" s="1004"/>
      <c r="WI119" s="1004"/>
      <c r="WJ119" s="1004"/>
      <c r="WK119" s="1004"/>
      <c r="WL119" s="1004"/>
      <c r="WM119" s="1004"/>
      <c r="WN119" s="1004"/>
      <c r="WO119" s="1004"/>
      <c r="WP119" s="1004"/>
      <c r="WQ119" s="1004"/>
      <c r="WR119" s="1004"/>
      <c r="WS119" s="1004"/>
      <c r="WT119" s="1004"/>
      <c r="WU119" s="1004"/>
      <c r="WV119" s="1004"/>
      <c r="WW119" s="1004"/>
      <c r="WX119" s="1004"/>
      <c r="WY119" s="1004"/>
      <c r="WZ119" s="1004"/>
      <c r="XA119" s="1004"/>
      <c r="XB119" s="1004"/>
      <c r="XC119" s="1004"/>
      <c r="XD119" s="1004"/>
      <c r="XE119" s="1004"/>
      <c r="XF119" s="1004"/>
      <c r="XG119" s="1004"/>
      <c r="XH119" s="1004"/>
      <c r="XI119" s="1004"/>
      <c r="XJ119" s="1004"/>
      <c r="XK119" s="1004"/>
      <c r="XL119" s="1004"/>
      <c r="XM119" s="1004"/>
      <c r="XN119" s="1004"/>
      <c r="XO119" s="1004"/>
      <c r="XP119" s="1004"/>
      <c r="XQ119" s="1004"/>
      <c r="XR119" s="1004"/>
      <c r="XS119" s="1004"/>
      <c r="XT119" s="1004"/>
      <c r="XU119" s="1004"/>
      <c r="XV119" s="1004"/>
      <c r="XW119" s="1004"/>
      <c r="XX119" s="1004"/>
      <c r="XY119" s="1004"/>
      <c r="XZ119" s="1004"/>
      <c r="YA119" s="1004"/>
      <c r="YB119" s="1004"/>
      <c r="YC119" s="1004"/>
      <c r="YD119" s="1004"/>
      <c r="YE119" s="1004"/>
      <c r="YF119" s="1004"/>
      <c r="YG119" s="1004"/>
      <c r="YH119" s="1004"/>
      <c r="YI119" s="1004"/>
      <c r="YJ119" s="1004"/>
      <c r="YK119" s="1004"/>
      <c r="YL119" s="1004"/>
      <c r="YM119" s="1004"/>
      <c r="YN119" s="1004"/>
      <c r="YO119" s="1004"/>
      <c r="YP119" s="1004"/>
      <c r="YQ119" s="1004"/>
      <c r="YR119" s="1004"/>
      <c r="YS119" s="1004"/>
      <c r="YT119" s="1004"/>
      <c r="YU119" s="1004"/>
      <c r="YV119" s="1004"/>
      <c r="YW119" s="1004"/>
      <c r="YX119" s="1004"/>
      <c r="YY119" s="1004"/>
      <c r="YZ119" s="1004"/>
      <c r="ZA119" s="1004"/>
      <c r="ZB119" s="1004"/>
      <c r="ZC119" s="1004"/>
      <c r="ZD119" s="1004"/>
      <c r="ZE119" s="1004"/>
      <c r="ZF119" s="1004"/>
      <c r="ZG119" s="1004"/>
      <c r="ZH119" s="1004"/>
      <c r="ZI119" s="1004"/>
      <c r="ZJ119" s="1004"/>
      <c r="ZK119" s="1004"/>
      <c r="ZL119" s="1004"/>
      <c r="ZM119" s="1004"/>
      <c r="ZN119" s="1004"/>
      <c r="ZO119" s="1004"/>
      <c r="ZP119" s="1004"/>
      <c r="ZQ119" s="1004"/>
      <c r="ZR119" s="1004"/>
      <c r="ZS119" s="1004"/>
      <c r="ZT119" s="1004"/>
      <c r="ZU119" s="1004"/>
      <c r="ZV119" s="1004"/>
      <c r="ZW119" s="1004"/>
      <c r="ZX119" s="1004"/>
      <c r="ZY119" s="1004"/>
      <c r="ZZ119" s="1004"/>
      <c r="AAA119" s="1004"/>
      <c r="AAB119" s="1004"/>
      <c r="AAC119" s="1004"/>
      <c r="AAD119" s="1004"/>
      <c r="AAE119" s="1004"/>
      <c r="AAF119" s="1004"/>
      <c r="AAG119" s="1004"/>
      <c r="AAH119" s="1004"/>
      <c r="AAI119" s="1004"/>
      <c r="AAJ119" s="1004"/>
      <c r="AAK119" s="1004"/>
      <c r="AAL119" s="1004"/>
      <c r="AAM119" s="1004"/>
      <c r="AAN119" s="1004"/>
      <c r="AAO119" s="1004"/>
      <c r="AAP119" s="1004"/>
      <c r="AAQ119" s="1004"/>
      <c r="AAR119" s="1004"/>
      <c r="AAS119" s="1004"/>
      <c r="AAT119" s="1004"/>
      <c r="AAU119" s="1004"/>
      <c r="AAV119" s="1004"/>
      <c r="AAW119" s="1004"/>
      <c r="AAX119" s="1004"/>
      <c r="AAY119" s="1004"/>
      <c r="AAZ119" s="1004"/>
      <c r="ABA119" s="1004"/>
      <c r="ABB119" s="1004"/>
      <c r="ABC119" s="1004"/>
      <c r="ABD119" s="1004"/>
      <c r="ABE119" s="1004"/>
      <c r="ABF119" s="1004"/>
      <c r="ABG119" s="1004"/>
      <c r="ABH119" s="1004"/>
      <c r="ABI119" s="1004"/>
      <c r="ABJ119" s="1004"/>
      <c r="ABK119" s="1004"/>
      <c r="ABL119" s="1004"/>
      <c r="ABM119" s="1004"/>
      <c r="ABN119" s="1004"/>
      <c r="ABO119" s="1004"/>
      <c r="ABP119" s="1004"/>
      <c r="ABQ119" s="1004"/>
      <c r="ABR119" s="1004"/>
    </row>
    <row r="120" spans="1:746" s="111" customFormat="1" ht="12.9" customHeight="1" thickBot="1">
      <c r="A120" s="923"/>
      <c r="B120" s="353" t="s">
        <v>184</v>
      </c>
      <c r="C120" s="117"/>
      <c r="D120" s="134"/>
      <c r="E120" s="347" t="s">
        <v>0</v>
      </c>
      <c r="F120" s="1240"/>
      <c r="G120" s="347">
        <v>0.25</v>
      </c>
      <c r="H120" s="2179"/>
      <c r="I120" s="1966"/>
      <c r="J120" s="809"/>
      <c r="K120" s="809"/>
      <c r="L120" s="809"/>
      <c r="M120" s="809"/>
      <c r="N120" s="809"/>
      <c r="O120" s="809"/>
      <c r="P120" s="809"/>
      <c r="Q120" s="809"/>
      <c r="R120" s="809"/>
      <c r="S120" s="809"/>
      <c r="T120" s="809"/>
      <c r="U120" s="368"/>
      <c r="V120" s="368"/>
      <c r="W120" s="368"/>
      <c r="X120" s="368"/>
      <c r="Y120" s="368"/>
      <c r="Z120" s="368"/>
      <c r="AA120" s="368"/>
      <c r="AB120" s="368"/>
      <c r="AC120" s="368"/>
      <c r="AD120" s="368"/>
      <c r="AE120" s="368"/>
      <c r="AF120" s="368"/>
      <c r="AG120" s="1042"/>
      <c r="AH120" s="336"/>
      <c r="AI120" s="336"/>
      <c r="AJ120" s="418">
        <f>IF(fx!$C$57=1,SUMIF(fx!I$57:T$57,1,I120:T120),IF(fx!$C$57=2,SUMIF(fx!O$57:AF$57,1,O120:AF120)))</f>
        <v>0</v>
      </c>
      <c r="AK120" s="328"/>
      <c r="AL120" s="417">
        <f>IF(fx!$C$57=1,SUM(U120:AF120),0)</f>
        <v>0</v>
      </c>
      <c r="AM120" s="1004"/>
      <c r="AN120" s="1024"/>
      <c r="AO120" s="1945"/>
      <c r="AP120" s="1935"/>
      <c r="AQ120" s="1936"/>
      <c r="AR120" s="1941"/>
      <c r="AS120" s="1941"/>
      <c r="AT120" s="1941"/>
      <c r="AU120" s="1941"/>
      <c r="AV120" s="1941"/>
      <c r="AW120" s="1941"/>
      <c r="AX120" s="1941"/>
      <c r="AY120" s="1941"/>
      <c r="AZ120" s="1941"/>
      <c r="BA120" s="1941"/>
      <c r="BB120" s="1941"/>
      <c r="BC120" s="1941"/>
      <c r="BD120" s="1941"/>
      <c r="BE120" s="1941"/>
      <c r="BF120" s="1941"/>
      <c r="BG120" s="1941"/>
      <c r="BH120" s="1941"/>
      <c r="BI120" s="1941"/>
      <c r="BJ120" s="1941"/>
      <c r="BK120" s="1941"/>
      <c r="BL120" s="1941"/>
      <c r="BM120" s="1941"/>
      <c r="BN120" s="1941"/>
      <c r="BO120" s="1941"/>
      <c r="BP120" s="1009"/>
      <c r="BQ120" s="1009"/>
      <c r="BR120" s="1009"/>
      <c r="BS120" s="1009"/>
      <c r="BT120" s="1009"/>
      <c r="BU120" s="1009"/>
      <c r="BV120" s="1009"/>
      <c r="BW120" s="1009"/>
      <c r="BX120" s="1009"/>
      <c r="BY120" s="1009"/>
      <c r="BZ120" s="1009"/>
      <c r="CA120" s="1009"/>
      <c r="CB120" s="1009"/>
      <c r="CC120" s="1009"/>
      <c r="CD120" s="1009"/>
      <c r="CE120" s="1009"/>
      <c r="CF120" s="1009"/>
      <c r="CG120" s="1009"/>
      <c r="CH120" s="1009"/>
      <c r="CI120" s="1009"/>
      <c r="CJ120" s="1009"/>
      <c r="CK120" s="1009"/>
      <c r="CL120" s="1009"/>
      <c r="CM120" s="1009"/>
      <c r="CN120" s="1009"/>
      <c r="CO120" s="1009"/>
      <c r="CP120" s="1009"/>
      <c r="CQ120" s="1009"/>
      <c r="CR120" s="1009"/>
      <c r="CS120" s="1009"/>
      <c r="CT120" s="1009"/>
      <c r="CU120" s="1009"/>
      <c r="CV120" s="1009"/>
      <c r="CW120" s="1009"/>
      <c r="CX120" s="1009"/>
      <c r="CY120" s="1009"/>
      <c r="CZ120" s="1009"/>
      <c r="DA120" s="1009"/>
      <c r="DB120" s="1009"/>
      <c r="DC120" s="1009"/>
      <c r="DD120" s="1009"/>
      <c r="DE120" s="1009"/>
      <c r="DF120" s="1009"/>
      <c r="DG120" s="1009"/>
      <c r="DH120" s="1009"/>
      <c r="DI120" s="1009"/>
      <c r="DJ120" s="1009"/>
      <c r="DK120" s="1009"/>
      <c r="DL120" s="1009"/>
      <c r="DM120" s="1009"/>
      <c r="DN120" s="1009"/>
      <c r="DO120" s="1009"/>
      <c r="DP120" s="1009"/>
      <c r="DQ120" s="1009"/>
      <c r="DR120" s="1009"/>
      <c r="DS120" s="1009"/>
      <c r="DT120" s="1009"/>
      <c r="DU120" s="1009"/>
      <c r="DV120" s="1009"/>
      <c r="DW120" s="1009"/>
      <c r="DX120" s="1009"/>
      <c r="DY120" s="1009"/>
      <c r="DZ120" s="1009"/>
      <c r="EA120" s="1009"/>
      <c r="EB120" s="1009"/>
      <c r="EC120" s="1009"/>
      <c r="ED120" s="1009"/>
      <c r="EE120" s="1009"/>
      <c r="EF120" s="1009"/>
      <c r="EG120" s="1009"/>
      <c r="EH120" s="1009"/>
      <c r="EI120" s="1009"/>
      <c r="EJ120" s="1009"/>
      <c r="EK120" s="1009"/>
      <c r="EL120" s="1009"/>
      <c r="EM120" s="1009"/>
      <c r="EN120" s="1009"/>
      <c r="EO120" s="1009"/>
      <c r="EP120" s="1009"/>
      <c r="EQ120" s="1009"/>
      <c r="ER120" s="1009"/>
      <c r="ES120" s="1009"/>
      <c r="ET120" s="1009"/>
      <c r="EU120" s="1009"/>
      <c r="EV120" s="1009"/>
      <c r="EW120" s="1009"/>
      <c r="EX120" s="1009"/>
      <c r="EY120" s="1009"/>
      <c r="EZ120" s="1009"/>
      <c r="FA120" s="1009"/>
      <c r="FB120" s="1009"/>
      <c r="FC120" s="1009"/>
      <c r="FD120" s="1009"/>
      <c r="FE120" s="1009"/>
      <c r="FF120" s="1009"/>
      <c r="FG120" s="1009"/>
      <c r="FH120" s="1009"/>
      <c r="FI120" s="1009"/>
      <c r="FJ120" s="1009"/>
      <c r="FK120" s="1009"/>
      <c r="FL120" s="1009"/>
      <c r="FM120" s="1009"/>
      <c r="FN120" s="1009"/>
      <c r="FO120" s="1009"/>
      <c r="FP120" s="1009"/>
      <c r="FQ120" s="1009"/>
      <c r="FR120" s="1009"/>
      <c r="FS120" s="1009"/>
      <c r="FT120" s="1009"/>
      <c r="FU120" s="1009"/>
      <c r="FV120" s="1009"/>
      <c r="FW120" s="1009"/>
      <c r="FX120" s="1009"/>
      <c r="FY120" s="1009"/>
      <c r="FZ120" s="1009"/>
      <c r="GA120" s="1009"/>
      <c r="GB120" s="1009"/>
      <c r="GC120" s="1009"/>
      <c r="GD120" s="1009"/>
      <c r="GE120" s="1009"/>
      <c r="GF120" s="1009"/>
      <c r="GG120" s="1009"/>
      <c r="GH120" s="1009"/>
      <c r="GI120" s="1009"/>
      <c r="GJ120" s="1009"/>
      <c r="GK120" s="1009"/>
      <c r="GL120" s="1009"/>
      <c r="GM120" s="1009"/>
      <c r="GN120" s="1009"/>
      <c r="GO120" s="1009"/>
      <c r="GP120" s="1009"/>
      <c r="GQ120" s="1009"/>
      <c r="GR120" s="1009"/>
      <c r="GS120" s="1009"/>
      <c r="GT120" s="1009"/>
      <c r="GU120" s="1009"/>
      <c r="GV120" s="1009"/>
      <c r="GW120" s="1009"/>
      <c r="GX120" s="1009"/>
      <c r="GY120" s="1009"/>
      <c r="GZ120" s="1009"/>
      <c r="HA120" s="1009"/>
      <c r="HB120" s="1009"/>
      <c r="HC120" s="1009"/>
      <c r="HD120" s="1009"/>
      <c r="HE120" s="1009"/>
      <c r="HF120" s="1009"/>
      <c r="HG120" s="1009"/>
      <c r="HH120" s="1009"/>
      <c r="HI120" s="1009"/>
      <c r="HJ120" s="1009"/>
      <c r="HK120" s="1009"/>
      <c r="HL120" s="1009"/>
      <c r="HM120" s="1009"/>
      <c r="HN120" s="1009"/>
      <c r="HO120" s="1009"/>
      <c r="HP120" s="1009"/>
      <c r="HQ120" s="1009"/>
      <c r="HR120" s="1009"/>
      <c r="HS120" s="1009"/>
      <c r="HT120" s="1009"/>
      <c r="HU120" s="1009"/>
      <c r="HV120" s="1009"/>
      <c r="HW120" s="1009"/>
      <c r="HX120" s="1009"/>
      <c r="HY120" s="1009"/>
      <c r="HZ120" s="1009"/>
      <c r="IA120" s="1009"/>
      <c r="IB120" s="1009"/>
      <c r="IC120" s="1009"/>
      <c r="ID120" s="1009"/>
      <c r="IE120" s="1009"/>
      <c r="IF120" s="1009"/>
      <c r="IG120" s="1009"/>
      <c r="IH120" s="1009"/>
      <c r="II120" s="1009"/>
      <c r="IJ120" s="1009"/>
      <c r="IK120" s="1009"/>
      <c r="IL120" s="1009"/>
      <c r="IM120" s="1009"/>
      <c r="IN120" s="1009"/>
      <c r="IO120" s="1009"/>
      <c r="IP120" s="1009"/>
      <c r="IQ120" s="1009"/>
      <c r="IR120" s="1009"/>
      <c r="IS120" s="1009"/>
      <c r="IT120" s="1009"/>
      <c r="IU120" s="1009"/>
      <c r="IV120" s="1009"/>
      <c r="IW120" s="1009"/>
      <c r="IX120" s="1009"/>
      <c r="IY120" s="1009"/>
      <c r="IZ120" s="1009"/>
      <c r="JA120" s="1009"/>
      <c r="JB120" s="1009"/>
      <c r="JC120" s="1009"/>
      <c r="JD120" s="1009"/>
      <c r="JE120" s="1009"/>
      <c r="JF120" s="1009"/>
      <c r="JG120" s="1009"/>
      <c r="JH120" s="1009"/>
      <c r="JI120" s="1009"/>
      <c r="JJ120" s="1009"/>
      <c r="JK120" s="1009"/>
      <c r="JL120" s="1009"/>
      <c r="JM120" s="1009"/>
      <c r="JN120" s="1009"/>
      <c r="JO120" s="1009"/>
      <c r="JP120" s="1009"/>
      <c r="JQ120" s="1009"/>
      <c r="JR120" s="1009"/>
      <c r="JS120" s="1009"/>
      <c r="JT120" s="1009"/>
      <c r="JU120" s="1009"/>
      <c r="JV120" s="1009"/>
      <c r="JW120" s="1009"/>
      <c r="JX120" s="1009"/>
      <c r="JY120" s="1009"/>
      <c r="JZ120" s="1009"/>
      <c r="KA120" s="1009"/>
      <c r="KB120" s="1009"/>
      <c r="KC120" s="1009"/>
      <c r="KD120" s="1009"/>
      <c r="KE120" s="1009"/>
      <c r="KF120" s="1009"/>
      <c r="KG120" s="1009"/>
      <c r="KH120" s="1009"/>
      <c r="KI120" s="1009"/>
      <c r="KJ120" s="1009"/>
      <c r="KK120" s="1009"/>
      <c r="KL120" s="1009"/>
      <c r="KM120" s="1009"/>
      <c r="KN120" s="1009"/>
      <c r="KO120" s="1009"/>
      <c r="KP120" s="1009"/>
      <c r="KQ120" s="1009"/>
      <c r="KR120" s="1009"/>
      <c r="KS120" s="1009"/>
      <c r="KT120" s="1009"/>
      <c r="KU120" s="1009"/>
      <c r="KV120" s="1009"/>
      <c r="KW120" s="1009"/>
      <c r="KX120" s="1009"/>
      <c r="KY120" s="1009"/>
      <c r="KZ120" s="1009"/>
      <c r="LA120" s="1009"/>
      <c r="LB120" s="1009"/>
      <c r="LC120" s="1009"/>
      <c r="LD120" s="1009"/>
      <c r="LE120" s="1009"/>
      <c r="LF120" s="1009"/>
      <c r="LG120" s="1009"/>
      <c r="LH120" s="1009"/>
      <c r="LI120" s="1009"/>
      <c r="LJ120" s="1009"/>
      <c r="LK120" s="1009"/>
      <c r="LL120" s="1009"/>
      <c r="LM120" s="1009"/>
      <c r="LN120" s="1009"/>
      <c r="LO120" s="1009"/>
      <c r="LP120" s="1009"/>
      <c r="LQ120" s="1009"/>
      <c r="LR120" s="1009"/>
      <c r="LS120" s="1009"/>
      <c r="LT120" s="1009"/>
      <c r="LU120" s="1009"/>
      <c r="LV120" s="1009"/>
      <c r="LW120" s="1009"/>
      <c r="LX120" s="1009"/>
      <c r="LY120" s="1009"/>
      <c r="LZ120" s="1009"/>
      <c r="MA120" s="1009"/>
      <c r="MB120" s="1009"/>
      <c r="MC120" s="1009"/>
      <c r="MD120" s="1009"/>
      <c r="ME120" s="1009"/>
      <c r="MF120" s="1009"/>
      <c r="MG120" s="1009"/>
      <c r="MH120" s="1009"/>
      <c r="MI120" s="1009"/>
      <c r="MJ120" s="1009"/>
      <c r="MK120" s="1009"/>
      <c r="ML120" s="1009"/>
      <c r="MM120" s="1009"/>
      <c r="MN120" s="1009"/>
      <c r="MO120" s="1009"/>
      <c r="MP120" s="1009"/>
      <c r="MQ120" s="1009"/>
      <c r="MR120" s="1009"/>
      <c r="MS120" s="1009"/>
      <c r="MT120" s="1009"/>
      <c r="MU120" s="1009"/>
      <c r="MV120" s="1009"/>
      <c r="MW120" s="1009"/>
      <c r="MX120" s="1009"/>
      <c r="MY120" s="1009"/>
      <c r="MZ120" s="1009"/>
      <c r="NA120" s="1009"/>
      <c r="NB120" s="1009"/>
      <c r="NC120" s="1009"/>
      <c r="ND120" s="1009"/>
      <c r="NE120" s="1009"/>
      <c r="NF120" s="1009"/>
      <c r="NG120" s="1009"/>
      <c r="NH120" s="1009"/>
      <c r="NI120" s="1009"/>
      <c r="NJ120" s="1009"/>
      <c r="NK120" s="1009"/>
      <c r="NL120" s="1009"/>
      <c r="NM120" s="1009"/>
      <c r="NN120" s="1009"/>
      <c r="NO120" s="1009"/>
      <c r="NP120" s="1009"/>
      <c r="NQ120" s="1009"/>
      <c r="NR120" s="1009"/>
      <c r="NS120" s="1009"/>
      <c r="NT120" s="1009"/>
      <c r="NU120" s="1009"/>
      <c r="NV120" s="1009"/>
      <c r="NW120" s="1009"/>
      <c r="NX120" s="1009"/>
      <c r="NY120" s="1009"/>
      <c r="NZ120" s="1009"/>
      <c r="OA120" s="1009"/>
      <c r="OB120" s="1009"/>
      <c r="OC120" s="1009"/>
      <c r="OD120" s="1009"/>
      <c r="OE120" s="1009"/>
      <c r="OF120" s="1009"/>
      <c r="OG120" s="1009"/>
      <c r="OH120" s="1009"/>
      <c r="OI120" s="1009"/>
      <c r="OJ120" s="1009"/>
      <c r="OK120" s="1009"/>
      <c r="OL120" s="1009"/>
      <c r="OM120" s="1009"/>
      <c r="ON120" s="1009"/>
      <c r="OO120" s="1009"/>
      <c r="OP120" s="1009"/>
      <c r="OQ120" s="1009"/>
      <c r="OR120" s="1009"/>
      <c r="OS120" s="1009"/>
      <c r="OT120" s="1009"/>
      <c r="OU120" s="1009"/>
      <c r="OV120" s="1009"/>
      <c r="OW120" s="1009"/>
      <c r="OX120" s="1009"/>
      <c r="OY120" s="1009"/>
      <c r="OZ120" s="1009"/>
      <c r="PA120" s="1009"/>
      <c r="PB120" s="1009"/>
      <c r="PC120" s="1009"/>
      <c r="PD120" s="1009"/>
      <c r="PE120" s="1009"/>
      <c r="PF120" s="1009"/>
      <c r="PG120" s="1009"/>
      <c r="PH120" s="1009"/>
      <c r="PI120" s="1009"/>
      <c r="PJ120" s="1009"/>
      <c r="PK120" s="1009"/>
      <c r="PL120" s="1009"/>
      <c r="PM120" s="1009"/>
      <c r="PN120" s="1009"/>
      <c r="PO120" s="1009"/>
      <c r="PP120" s="1009"/>
      <c r="PQ120" s="1009"/>
      <c r="PR120" s="1009"/>
      <c r="PS120" s="1009"/>
      <c r="PT120" s="1009"/>
      <c r="PU120" s="1009"/>
      <c r="PV120" s="1009"/>
      <c r="PW120" s="1009"/>
      <c r="PX120" s="1009"/>
      <c r="PY120" s="1009"/>
      <c r="PZ120" s="1009"/>
      <c r="QA120" s="1009"/>
      <c r="QB120" s="1009"/>
      <c r="QC120" s="1009"/>
      <c r="QD120" s="1009"/>
      <c r="QE120" s="1009"/>
      <c r="QF120" s="1009"/>
      <c r="QG120" s="1009"/>
      <c r="QH120" s="1009"/>
      <c r="QI120" s="1009"/>
      <c r="QJ120" s="1009"/>
      <c r="QK120" s="1009"/>
      <c r="QL120" s="1009"/>
      <c r="QM120" s="1009"/>
      <c r="QN120" s="1009"/>
      <c r="QO120" s="1009"/>
      <c r="QP120" s="1009"/>
      <c r="QQ120" s="1009"/>
      <c r="QR120" s="1009"/>
      <c r="QS120" s="1009"/>
      <c r="QT120" s="1009"/>
      <c r="QU120" s="1009"/>
      <c r="QV120" s="1009"/>
      <c r="QW120" s="1009"/>
      <c r="QX120" s="1009"/>
      <c r="QY120" s="1009"/>
      <c r="QZ120" s="1009"/>
      <c r="RA120" s="1009"/>
      <c r="RB120" s="1009"/>
      <c r="RC120" s="1009"/>
      <c r="RD120" s="1009"/>
      <c r="RE120" s="1009"/>
      <c r="RF120" s="1009"/>
      <c r="RG120" s="1009"/>
      <c r="RH120" s="1009"/>
      <c r="RI120" s="1009"/>
      <c r="RJ120" s="1009"/>
      <c r="RK120" s="1009"/>
      <c r="RL120" s="1009"/>
      <c r="RM120" s="1009"/>
      <c r="RN120" s="1009"/>
      <c r="RO120" s="1009"/>
      <c r="RP120" s="1009"/>
      <c r="RQ120" s="1009"/>
      <c r="RR120" s="1009"/>
      <c r="RS120" s="1009"/>
      <c r="RT120" s="1009"/>
      <c r="RU120" s="1009"/>
      <c r="RV120" s="1009"/>
      <c r="RW120" s="1009"/>
      <c r="RX120" s="1009"/>
      <c r="RY120" s="1009"/>
      <c r="RZ120" s="1009"/>
      <c r="SA120" s="1009"/>
      <c r="SB120" s="1009"/>
      <c r="SC120" s="1009"/>
      <c r="SD120" s="1009"/>
      <c r="SE120" s="1009"/>
      <c r="SF120" s="1009"/>
      <c r="SG120" s="1009"/>
      <c r="SH120" s="1009"/>
      <c r="SI120" s="1009"/>
      <c r="SJ120" s="1009"/>
      <c r="SK120" s="1009"/>
      <c r="SL120" s="1009"/>
      <c r="SM120" s="1009"/>
      <c r="SN120" s="1009"/>
      <c r="SO120" s="1009"/>
      <c r="SP120" s="1009"/>
      <c r="SQ120" s="1009"/>
      <c r="SR120" s="1009"/>
      <c r="SS120" s="1009"/>
      <c r="ST120" s="1009"/>
      <c r="SU120" s="1009"/>
      <c r="SV120" s="1009"/>
      <c r="SW120" s="1009"/>
      <c r="SX120" s="1009"/>
      <c r="SY120" s="1009"/>
      <c r="SZ120" s="1009"/>
      <c r="TA120" s="1009"/>
      <c r="TB120" s="1009"/>
      <c r="TC120" s="1009"/>
      <c r="TD120" s="1009"/>
      <c r="TE120" s="1009"/>
      <c r="TF120" s="1009"/>
      <c r="TG120" s="1009"/>
      <c r="TH120" s="1009"/>
      <c r="TI120" s="1009"/>
      <c r="TJ120" s="1009"/>
      <c r="TK120" s="1009"/>
      <c r="TL120" s="1009"/>
      <c r="TM120" s="1009"/>
      <c r="TN120" s="1009"/>
      <c r="TO120" s="1009"/>
      <c r="TP120" s="1009"/>
      <c r="TQ120" s="1009"/>
      <c r="TR120" s="1009"/>
      <c r="TS120" s="1009"/>
      <c r="TT120" s="1009"/>
      <c r="TU120" s="1009"/>
      <c r="TV120" s="1009"/>
      <c r="TW120" s="1009"/>
      <c r="TX120" s="1009"/>
      <c r="TY120" s="1009"/>
      <c r="TZ120" s="1009"/>
      <c r="UA120" s="1009"/>
      <c r="UB120" s="1009"/>
      <c r="UC120" s="1009"/>
      <c r="UD120" s="1009"/>
      <c r="UE120" s="1009"/>
      <c r="UF120" s="1009"/>
      <c r="UG120" s="1009"/>
      <c r="UH120" s="1009"/>
      <c r="UI120" s="1009"/>
      <c r="UJ120" s="1009"/>
      <c r="UK120" s="1009"/>
      <c r="UL120" s="1009"/>
      <c r="UM120" s="1009"/>
      <c r="UN120" s="1009"/>
      <c r="UO120" s="1009"/>
      <c r="UP120" s="1009"/>
      <c r="UQ120" s="1009"/>
      <c r="UR120" s="1009"/>
      <c r="US120" s="1009"/>
      <c r="UT120" s="1009"/>
      <c r="UU120" s="1009"/>
      <c r="UV120" s="1009"/>
      <c r="UW120" s="1009"/>
      <c r="UX120" s="1009"/>
      <c r="UY120" s="1009"/>
      <c r="UZ120" s="1009"/>
      <c r="VA120" s="1009"/>
      <c r="VB120" s="1009"/>
      <c r="VC120" s="1009"/>
      <c r="VD120" s="1009"/>
      <c r="VE120" s="1009"/>
      <c r="VF120" s="1009"/>
      <c r="VG120" s="1009"/>
      <c r="VH120" s="1009"/>
      <c r="VI120" s="1009"/>
      <c r="VJ120" s="1009"/>
      <c r="VK120" s="1009"/>
      <c r="VL120" s="1009"/>
      <c r="VM120" s="1009"/>
      <c r="VN120" s="1009"/>
      <c r="VO120" s="1009"/>
      <c r="VP120" s="1009"/>
      <c r="VQ120" s="1009"/>
      <c r="VR120" s="1009"/>
      <c r="VS120" s="1009"/>
      <c r="VT120" s="1009"/>
      <c r="VU120" s="1009"/>
      <c r="VV120" s="1009"/>
      <c r="VW120" s="1009"/>
      <c r="VX120" s="1009"/>
      <c r="VY120" s="1009"/>
      <c r="VZ120" s="1009"/>
      <c r="WA120" s="1009"/>
      <c r="WB120" s="1009"/>
      <c r="WC120" s="1009"/>
      <c r="WD120" s="1009"/>
      <c r="WE120" s="1009"/>
      <c r="WF120" s="1009"/>
      <c r="WG120" s="1009"/>
      <c r="WH120" s="1009"/>
      <c r="WI120" s="1009"/>
      <c r="WJ120" s="1009"/>
      <c r="WK120" s="1009"/>
      <c r="WL120" s="1009"/>
      <c r="WM120" s="1009"/>
      <c r="WN120" s="1009"/>
      <c r="WO120" s="1009"/>
      <c r="WP120" s="1009"/>
      <c r="WQ120" s="1009"/>
      <c r="WR120" s="1009"/>
      <c r="WS120" s="1009"/>
      <c r="WT120" s="1009"/>
      <c r="WU120" s="1009"/>
      <c r="WV120" s="1009"/>
      <c r="WW120" s="1009"/>
      <c r="WX120" s="1009"/>
      <c r="WY120" s="1009"/>
      <c r="WZ120" s="1009"/>
      <c r="XA120" s="1009"/>
      <c r="XB120" s="1009"/>
      <c r="XC120" s="1009"/>
      <c r="XD120" s="1009"/>
      <c r="XE120" s="1009"/>
      <c r="XF120" s="1009"/>
      <c r="XG120" s="1009"/>
      <c r="XH120" s="1009"/>
      <c r="XI120" s="1009"/>
      <c r="XJ120" s="1009"/>
      <c r="XK120" s="1009"/>
      <c r="XL120" s="1009"/>
      <c r="XM120" s="1009"/>
      <c r="XN120" s="1009"/>
      <c r="XO120" s="1009"/>
      <c r="XP120" s="1009"/>
      <c r="XQ120" s="1009"/>
      <c r="XR120" s="1009"/>
      <c r="XS120" s="1009"/>
      <c r="XT120" s="1009"/>
      <c r="XU120" s="1009"/>
      <c r="XV120" s="1009"/>
      <c r="XW120" s="1009"/>
      <c r="XX120" s="1009"/>
      <c r="XY120" s="1009"/>
      <c r="XZ120" s="1009"/>
      <c r="YA120" s="1009"/>
      <c r="YB120" s="1009"/>
      <c r="YC120" s="1009"/>
      <c r="YD120" s="1009"/>
      <c r="YE120" s="1009"/>
      <c r="YF120" s="1009"/>
      <c r="YG120" s="1009"/>
      <c r="YH120" s="1009"/>
      <c r="YI120" s="1009"/>
      <c r="YJ120" s="1009"/>
      <c r="YK120" s="1009"/>
      <c r="YL120" s="1009"/>
      <c r="YM120" s="1009"/>
      <c r="YN120" s="1009"/>
      <c r="YO120" s="1009"/>
      <c r="YP120" s="1009"/>
      <c r="YQ120" s="1009"/>
      <c r="YR120" s="1009"/>
      <c r="YS120" s="1009"/>
      <c r="YT120" s="1009"/>
      <c r="YU120" s="1009"/>
      <c r="YV120" s="1009"/>
      <c r="YW120" s="1009"/>
      <c r="YX120" s="1009"/>
      <c r="YY120" s="1009"/>
      <c r="YZ120" s="1009"/>
      <c r="ZA120" s="1009"/>
      <c r="ZB120" s="1009"/>
      <c r="ZC120" s="1009"/>
      <c r="ZD120" s="1009"/>
      <c r="ZE120" s="1009"/>
      <c r="ZF120" s="1009"/>
      <c r="ZG120" s="1009"/>
      <c r="ZH120" s="1009"/>
      <c r="ZI120" s="1009"/>
      <c r="ZJ120" s="1009"/>
      <c r="ZK120" s="1009"/>
      <c r="ZL120" s="1009"/>
      <c r="ZM120" s="1009"/>
      <c r="ZN120" s="1009"/>
      <c r="ZO120" s="1009"/>
      <c r="ZP120" s="1009"/>
      <c r="ZQ120" s="1009"/>
      <c r="ZR120" s="1009"/>
      <c r="ZS120" s="1009"/>
      <c r="ZT120" s="1009"/>
      <c r="ZU120" s="1009"/>
      <c r="ZV120" s="1009"/>
      <c r="ZW120" s="1009"/>
      <c r="ZX120" s="1009"/>
      <c r="ZY120" s="1009"/>
      <c r="ZZ120" s="1009"/>
      <c r="AAA120" s="1009"/>
      <c r="AAB120" s="1009"/>
      <c r="AAC120" s="1009"/>
      <c r="AAD120" s="1009"/>
      <c r="AAE120" s="1009"/>
      <c r="AAF120" s="1009"/>
      <c r="AAG120" s="1009"/>
      <c r="AAH120" s="1009"/>
      <c r="AAI120" s="1009"/>
      <c r="AAJ120" s="1009"/>
      <c r="AAK120" s="1009"/>
      <c r="AAL120" s="1009"/>
      <c r="AAM120" s="1009"/>
      <c r="AAN120" s="1009"/>
      <c r="AAO120" s="1009"/>
      <c r="AAP120" s="1009"/>
      <c r="AAQ120" s="1009"/>
      <c r="AAR120" s="1009"/>
      <c r="AAS120" s="1009"/>
      <c r="AAT120" s="1009"/>
      <c r="AAU120" s="1009"/>
      <c r="AAV120" s="1009"/>
      <c r="AAW120" s="1009"/>
      <c r="AAX120" s="1009"/>
      <c r="AAY120" s="1009"/>
      <c r="AAZ120" s="1009"/>
      <c r="ABA120" s="1009"/>
      <c r="ABB120" s="1009"/>
      <c r="ABC120" s="1009"/>
      <c r="ABD120" s="1009"/>
      <c r="ABE120" s="1009"/>
      <c r="ABF120" s="1009"/>
      <c r="ABG120" s="1009"/>
      <c r="ABH120" s="1009"/>
      <c r="ABI120" s="1009"/>
      <c r="ABJ120" s="1009"/>
      <c r="ABK120" s="1009"/>
      <c r="ABL120" s="1009"/>
      <c r="ABM120" s="1009"/>
      <c r="ABN120" s="1009"/>
      <c r="ABO120" s="1009"/>
      <c r="ABP120" s="1009"/>
      <c r="ABQ120" s="1009"/>
      <c r="ABR120" s="1009"/>
    </row>
    <row r="121" spans="1:746" s="1" customFormat="1" ht="12.9" customHeight="1" thickBot="1">
      <c r="A121" s="923"/>
      <c r="B121" s="353" t="s">
        <v>185</v>
      </c>
      <c r="C121" s="117"/>
      <c r="D121" s="134"/>
      <c r="E121" s="347" t="s">
        <v>0</v>
      </c>
      <c r="F121" s="1240"/>
      <c r="G121" s="347">
        <v>0.25</v>
      </c>
      <c r="H121" s="2179"/>
      <c r="I121" s="1966"/>
      <c r="J121" s="809"/>
      <c r="K121" s="809"/>
      <c r="L121" s="809"/>
      <c r="M121" s="809"/>
      <c r="N121" s="809"/>
      <c r="O121" s="809"/>
      <c r="P121" s="809"/>
      <c r="Q121" s="809"/>
      <c r="R121" s="809"/>
      <c r="S121" s="809"/>
      <c r="T121" s="809"/>
      <c r="U121" s="368"/>
      <c r="V121" s="368"/>
      <c r="W121" s="368"/>
      <c r="X121" s="368"/>
      <c r="Y121" s="368"/>
      <c r="Z121" s="368"/>
      <c r="AA121" s="368"/>
      <c r="AB121" s="368"/>
      <c r="AC121" s="368"/>
      <c r="AD121" s="368"/>
      <c r="AE121" s="368"/>
      <c r="AF121" s="368"/>
      <c r="AG121" s="1042"/>
      <c r="AH121" s="336"/>
      <c r="AI121" s="336"/>
      <c r="AJ121" s="418">
        <f>IF(fx!$C$57=1,SUMIF(fx!I$57:T$57,1,I121:T121),IF(fx!$C$57=2,SUMIF(fx!O$57:AF$57,1,O121:AF121)))</f>
        <v>0</v>
      </c>
      <c r="AK121" s="328"/>
      <c r="AL121" s="417">
        <f>IF(fx!$C$57=1,SUM(U121:AF121),0)</f>
        <v>0</v>
      </c>
      <c r="AM121" s="1004"/>
      <c r="AN121" s="1024"/>
      <c r="AO121" s="1945"/>
      <c r="AP121" s="1935"/>
      <c r="AQ121" s="1936"/>
      <c r="AR121" s="1941"/>
      <c r="AS121" s="1941"/>
      <c r="AT121" s="1941"/>
      <c r="AU121" s="1941"/>
      <c r="AV121" s="1941"/>
      <c r="AW121" s="1941"/>
      <c r="AX121" s="1941"/>
      <c r="AY121" s="1941"/>
      <c r="AZ121" s="1941"/>
      <c r="BA121" s="1941"/>
      <c r="BB121" s="1941"/>
      <c r="BC121" s="1941"/>
      <c r="BD121" s="1941"/>
      <c r="BE121" s="1941"/>
      <c r="BF121" s="1941"/>
      <c r="BG121" s="1941"/>
      <c r="BH121" s="1941"/>
      <c r="BI121" s="1941"/>
      <c r="BJ121" s="1941"/>
      <c r="BK121" s="1941"/>
      <c r="BL121" s="1941"/>
      <c r="BM121" s="1941"/>
      <c r="BN121" s="1941"/>
      <c r="BO121" s="1941"/>
      <c r="BP121" s="1004"/>
      <c r="BQ121" s="1004"/>
      <c r="BR121" s="1004"/>
      <c r="BS121" s="1004"/>
      <c r="BT121" s="1004"/>
      <c r="BU121" s="1004"/>
      <c r="BV121" s="1004"/>
      <c r="BW121" s="1004"/>
      <c r="BX121" s="1004"/>
      <c r="BY121" s="1004"/>
      <c r="BZ121" s="1004"/>
      <c r="CA121" s="1004"/>
      <c r="CB121" s="1004"/>
      <c r="CC121" s="1004"/>
      <c r="CD121" s="1004"/>
      <c r="CE121" s="1004"/>
      <c r="CF121" s="1004"/>
      <c r="CG121" s="1004"/>
      <c r="CH121" s="1004"/>
      <c r="CI121" s="1004"/>
      <c r="CJ121" s="1004"/>
      <c r="CK121" s="1004"/>
      <c r="CL121" s="1004"/>
      <c r="CM121" s="1004"/>
      <c r="CN121" s="1004"/>
      <c r="CO121" s="1004"/>
      <c r="CP121" s="1004"/>
      <c r="CQ121" s="1004"/>
      <c r="CR121" s="1004"/>
      <c r="CS121" s="1004"/>
      <c r="CT121" s="1004"/>
      <c r="CU121" s="1004"/>
      <c r="CV121" s="1004"/>
      <c r="CW121" s="1004"/>
      <c r="CX121" s="1004"/>
      <c r="CY121" s="1004"/>
      <c r="CZ121" s="1004"/>
      <c r="DA121" s="1004"/>
      <c r="DB121" s="1004"/>
      <c r="DC121" s="1004"/>
      <c r="DD121" s="1004"/>
      <c r="DE121" s="1004"/>
      <c r="DF121" s="1004"/>
      <c r="DG121" s="1004"/>
      <c r="DH121" s="1004"/>
      <c r="DI121" s="1004"/>
      <c r="DJ121" s="1004"/>
      <c r="DK121" s="1004"/>
      <c r="DL121" s="1004"/>
      <c r="DM121" s="1004"/>
      <c r="DN121" s="1004"/>
      <c r="DO121" s="1004"/>
      <c r="DP121" s="1004"/>
      <c r="DQ121" s="1004"/>
      <c r="DR121" s="1004"/>
      <c r="DS121" s="1004"/>
      <c r="DT121" s="1004"/>
      <c r="DU121" s="1004"/>
      <c r="DV121" s="1004"/>
      <c r="DW121" s="1004"/>
      <c r="DX121" s="1004"/>
      <c r="DY121" s="1004"/>
      <c r="DZ121" s="1004"/>
      <c r="EA121" s="1004"/>
      <c r="EB121" s="1004"/>
      <c r="EC121" s="1004"/>
      <c r="ED121" s="1004"/>
      <c r="EE121" s="1004"/>
      <c r="EF121" s="1004"/>
      <c r="EG121" s="1004"/>
      <c r="EH121" s="1004"/>
      <c r="EI121" s="1004"/>
      <c r="EJ121" s="1004"/>
      <c r="EK121" s="1004"/>
      <c r="EL121" s="1004"/>
      <c r="EM121" s="1004"/>
      <c r="EN121" s="1004"/>
      <c r="EO121" s="1004"/>
      <c r="EP121" s="1004"/>
      <c r="EQ121" s="1004"/>
      <c r="ER121" s="1004"/>
      <c r="ES121" s="1004"/>
      <c r="ET121" s="1004"/>
      <c r="EU121" s="1004"/>
      <c r="EV121" s="1004"/>
      <c r="EW121" s="1004"/>
      <c r="EX121" s="1004"/>
      <c r="EY121" s="1004"/>
      <c r="EZ121" s="1004"/>
      <c r="FA121" s="1004"/>
      <c r="FB121" s="1004"/>
      <c r="FC121" s="1004"/>
      <c r="FD121" s="1004"/>
      <c r="FE121" s="1004"/>
      <c r="FF121" s="1004"/>
      <c r="FG121" s="1004"/>
      <c r="FH121" s="1004"/>
      <c r="FI121" s="1004"/>
      <c r="FJ121" s="1004"/>
      <c r="FK121" s="1004"/>
      <c r="FL121" s="1004"/>
      <c r="FM121" s="1004"/>
      <c r="FN121" s="1004"/>
      <c r="FO121" s="1004"/>
      <c r="FP121" s="1004"/>
      <c r="FQ121" s="1004"/>
      <c r="FR121" s="1004"/>
      <c r="FS121" s="1004"/>
      <c r="FT121" s="1004"/>
      <c r="FU121" s="1004"/>
      <c r="FV121" s="1004"/>
      <c r="FW121" s="1004"/>
      <c r="FX121" s="1004"/>
      <c r="FY121" s="1004"/>
      <c r="FZ121" s="1004"/>
      <c r="GA121" s="1004"/>
      <c r="GB121" s="1004"/>
      <c r="GC121" s="1004"/>
      <c r="GD121" s="1004"/>
      <c r="GE121" s="1004"/>
      <c r="GF121" s="1004"/>
      <c r="GG121" s="1004"/>
      <c r="GH121" s="1004"/>
      <c r="GI121" s="1004"/>
      <c r="GJ121" s="1004"/>
      <c r="GK121" s="1004"/>
      <c r="GL121" s="1004"/>
      <c r="GM121" s="1004"/>
      <c r="GN121" s="1004"/>
      <c r="GO121" s="1004"/>
      <c r="GP121" s="1004"/>
      <c r="GQ121" s="1004"/>
      <c r="GR121" s="1004"/>
      <c r="GS121" s="1004"/>
      <c r="GT121" s="1004"/>
      <c r="GU121" s="1004"/>
      <c r="GV121" s="1004"/>
      <c r="GW121" s="1004"/>
      <c r="GX121" s="1004"/>
      <c r="GY121" s="1004"/>
      <c r="GZ121" s="1004"/>
      <c r="HA121" s="1004"/>
      <c r="HB121" s="1004"/>
      <c r="HC121" s="1004"/>
      <c r="HD121" s="1004"/>
      <c r="HE121" s="1004"/>
      <c r="HF121" s="1004"/>
      <c r="HG121" s="1004"/>
      <c r="HH121" s="1004"/>
      <c r="HI121" s="1004"/>
      <c r="HJ121" s="1004"/>
      <c r="HK121" s="1004"/>
      <c r="HL121" s="1004"/>
      <c r="HM121" s="1004"/>
      <c r="HN121" s="1004"/>
      <c r="HO121" s="1004"/>
      <c r="HP121" s="1004"/>
      <c r="HQ121" s="1004"/>
      <c r="HR121" s="1004"/>
      <c r="HS121" s="1004"/>
      <c r="HT121" s="1004"/>
      <c r="HU121" s="1004"/>
      <c r="HV121" s="1004"/>
      <c r="HW121" s="1004"/>
      <c r="HX121" s="1004"/>
      <c r="HY121" s="1004"/>
      <c r="HZ121" s="1004"/>
      <c r="IA121" s="1004"/>
      <c r="IB121" s="1004"/>
      <c r="IC121" s="1004"/>
      <c r="ID121" s="1004"/>
      <c r="IE121" s="1004"/>
      <c r="IF121" s="1004"/>
      <c r="IG121" s="1004"/>
      <c r="IH121" s="1004"/>
      <c r="II121" s="1004"/>
      <c r="IJ121" s="1004"/>
      <c r="IK121" s="1004"/>
      <c r="IL121" s="1004"/>
      <c r="IM121" s="1004"/>
      <c r="IN121" s="1004"/>
      <c r="IO121" s="1004"/>
      <c r="IP121" s="1004"/>
      <c r="IQ121" s="1004"/>
      <c r="IR121" s="1004"/>
      <c r="IS121" s="1004"/>
      <c r="IT121" s="1004"/>
      <c r="IU121" s="1004"/>
      <c r="IV121" s="1004"/>
      <c r="IW121" s="1004"/>
      <c r="IX121" s="1004"/>
      <c r="IY121" s="1004"/>
      <c r="IZ121" s="1004"/>
      <c r="JA121" s="1004"/>
      <c r="JB121" s="1004"/>
      <c r="JC121" s="1004"/>
      <c r="JD121" s="1004"/>
      <c r="JE121" s="1004"/>
      <c r="JF121" s="1004"/>
      <c r="JG121" s="1004"/>
      <c r="JH121" s="1004"/>
      <c r="JI121" s="1004"/>
      <c r="JJ121" s="1004"/>
      <c r="JK121" s="1004"/>
      <c r="JL121" s="1004"/>
      <c r="JM121" s="1004"/>
      <c r="JN121" s="1004"/>
      <c r="JO121" s="1004"/>
      <c r="JP121" s="1004"/>
      <c r="JQ121" s="1004"/>
      <c r="JR121" s="1004"/>
      <c r="JS121" s="1004"/>
      <c r="JT121" s="1004"/>
      <c r="JU121" s="1004"/>
      <c r="JV121" s="1004"/>
      <c r="JW121" s="1004"/>
      <c r="JX121" s="1004"/>
      <c r="JY121" s="1004"/>
      <c r="JZ121" s="1004"/>
      <c r="KA121" s="1004"/>
      <c r="KB121" s="1004"/>
      <c r="KC121" s="1004"/>
      <c r="KD121" s="1004"/>
      <c r="KE121" s="1004"/>
      <c r="KF121" s="1004"/>
      <c r="KG121" s="1004"/>
      <c r="KH121" s="1004"/>
      <c r="KI121" s="1004"/>
      <c r="KJ121" s="1004"/>
      <c r="KK121" s="1004"/>
      <c r="KL121" s="1004"/>
      <c r="KM121" s="1004"/>
      <c r="KN121" s="1004"/>
      <c r="KO121" s="1004"/>
      <c r="KP121" s="1004"/>
      <c r="KQ121" s="1004"/>
      <c r="KR121" s="1004"/>
      <c r="KS121" s="1004"/>
      <c r="KT121" s="1004"/>
      <c r="KU121" s="1004"/>
      <c r="KV121" s="1004"/>
      <c r="KW121" s="1004"/>
      <c r="KX121" s="1004"/>
      <c r="KY121" s="1004"/>
      <c r="KZ121" s="1004"/>
      <c r="LA121" s="1004"/>
      <c r="LB121" s="1004"/>
      <c r="LC121" s="1004"/>
      <c r="LD121" s="1004"/>
      <c r="LE121" s="1004"/>
      <c r="LF121" s="1004"/>
      <c r="LG121" s="1004"/>
      <c r="LH121" s="1004"/>
      <c r="LI121" s="1004"/>
      <c r="LJ121" s="1004"/>
      <c r="LK121" s="1004"/>
      <c r="LL121" s="1004"/>
      <c r="LM121" s="1004"/>
      <c r="LN121" s="1004"/>
      <c r="LO121" s="1004"/>
      <c r="LP121" s="1004"/>
      <c r="LQ121" s="1004"/>
      <c r="LR121" s="1004"/>
      <c r="LS121" s="1004"/>
      <c r="LT121" s="1004"/>
      <c r="LU121" s="1004"/>
      <c r="LV121" s="1004"/>
      <c r="LW121" s="1004"/>
      <c r="LX121" s="1004"/>
      <c r="LY121" s="1004"/>
      <c r="LZ121" s="1004"/>
      <c r="MA121" s="1004"/>
      <c r="MB121" s="1004"/>
      <c r="MC121" s="1004"/>
      <c r="MD121" s="1004"/>
      <c r="ME121" s="1004"/>
      <c r="MF121" s="1004"/>
      <c r="MG121" s="1004"/>
      <c r="MH121" s="1004"/>
      <c r="MI121" s="1004"/>
      <c r="MJ121" s="1004"/>
      <c r="MK121" s="1004"/>
      <c r="ML121" s="1004"/>
      <c r="MM121" s="1004"/>
      <c r="MN121" s="1004"/>
      <c r="MO121" s="1004"/>
      <c r="MP121" s="1004"/>
      <c r="MQ121" s="1004"/>
      <c r="MR121" s="1004"/>
      <c r="MS121" s="1004"/>
      <c r="MT121" s="1004"/>
      <c r="MU121" s="1004"/>
      <c r="MV121" s="1004"/>
      <c r="MW121" s="1004"/>
      <c r="MX121" s="1004"/>
      <c r="MY121" s="1004"/>
      <c r="MZ121" s="1004"/>
      <c r="NA121" s="1004"/>
      <c r="NB121" s="1004"/>
      <c r="NC121" s="1004"/>
      <c r="ND121" s="1004"/>
      <c r="NE121" s="1004"/>
      <c r="NF121" s="1004"/>
      <c r="NG121" s="1004"/>
      <c r="NH121" s="1004"/>
      <c r="NI121" s="1004"/>
      <c r="NJ121" s="1004"/>
      <c r="NK121" s="1004"/>
      <c r="NL121" s="1004"/>
      <c r="NM121" s="1004"/>
      <c r="NN121" s="1004"/>
      <c r="NO121" s="1004"/>
      <c r="NP121" s="1004"/>
      <c r="NQ121" s="1004"/>
      <c r="NR121" s="1004"/>
      <c r="NS121" s="1004"/>
      <c r="NT121" s="1004"/>
      <c r="NU121" s="1004"/>
      <c r="NV121" s="1004"/>
      <c r="NW121" s="1004"/>
      <c r="NX121" s="1004"/>
      <c r="NY121" s="1004"/>
      <c r="NZ121" s="1004"/>
      <c r="OA121" s="1004"/>
      <c r="OB121" s="1004"/>
      <c r="OC121" s="1004"/>
      <c r="OD121" s="1004"/>
      <c r="OE121" s="1004"/>
      <c r="OF121" s="1004"/>
      <c r="OG121" s="1004"/>
      <c r="OH121" s="1004"/>
      <c r="OI121" s="1004"/>
      <c r="OJ121" s="1004"/>
      <c r="OK121" s="1004"/>
      <c r="OL121" s="1004"/>
      <c r="OM121" s="1004"/>
      <c r="ON121" s="1004"/>
      <c r="OO121" s="1004"/>
      <c r="OP121" s="1004"/>
      <c r="OQ121" s="1004"/>
      <c r="OR121" s="1004"/>
      <c r="OS121" s="1004"/>
      <c r="OT121" s="1004"/>
      <c r="OU121" s="1004"/>
      <c r="OV121" s="1004"/>
      <c r="OW121" s="1004"/>
      <c r="OX121" s="1004"/>
      <c r="OY121" s="1004"/>
      <c r="OZ121" s="1004"/>
      <c r="PA121" s="1004"/>
      <c r="PB121" s="1004"/>
      <c r="PC121" s="1004"/>
      <c r="PD121" s="1004"/>
      <c r="PE121" s="1004"/>
      <c r="PF121" s="1004"/>
      <c r="PG121" s="1004"/>
      <c r="PH121" s="1004"/>
      <c r="PI121" s="1004"/>
      <c r="PJ121" s="1004"/>
      <c r="PK121" s="1004"/>
      <c r="PL121" s="1004"/>
      <c r="PM121" s="1004"/>
      <c r="PN121" s="1004"/>
      <c r="PO121" s="1004"/>
      <c r="PP121" s="1004"/>
      <c r="PQ121" s="1004"/>
      <c r="PR121" s="1004"/>
      <c r="PS121" s="1004"/>
      <c r="PT121" s="1004"/>
      <c r="PU121" s="1004"/>
      <c r="PV121" s="1004"/>
      <c r="PW121" s="1004"/>
      <c r="PX121" s="1004"/>
      <c r="PY121" s="1004"/>
      <c r="PZ121" s="1004"/>
      <c r="QA121" s="1004"/>
      <c r="QB121" s="1004"/>
      <c r="QC121" s="1004"/>
      <c r="QD121" s="1004"/>
      <c r="QE121" s="1004"/>
      <c r="QF121" s="1004"/>
      <c r="QG121" s="1004"/>
      <c r="QH121" s="1004"/>
      <c r="QI121" s="1004"/>
      <c r="QJ121" s="1004"/>
      <c r="QK121" s="1004"/>
      <c r="QL121" s="1004"/>
      <c r="QM121" s="1004"/>
      <c r="QN121" s="1004"/>
      <c r="QO121" s="1004"/>
      <c r="QP121" s="1004"/>
      <c r="QQ121" s="1004"/>
      <c r="QR121" s="1004"/>
      <c r="QS121" s="1004"/>
      <c r="QT121" s="1004"/>
      <c r="QU121" s="1004"/>
      <c r="QV121" s="1004"/>
      <c r="QW121" s="1004"/>
      <c r="QX121" s="1004"/>
      <c r="QY121" s="1004"/>
      <c r="QZ121" s="1004"/>
      <c r="RA121" s="1004"/>
      <c r="RB121" s="1004"/>
      <c r="RC121" s="1004"/>
      <c r="RD121" s="1004"/>
      <c r="RE121" s="1004"/>
      <c r="RF121" s="1004"/>
      <c r="RG121" s="1004"/>
      <c r="RH121" s="1004"/>
      <c r="RI121" s="1004"/>
      <c r="RJ121" s="1004"/>
      <c r="RK121" s="1004"/>
      <c r="RL121" s="1004"/>
      <c r="RM121" s="1004"/>
      <c r="RN121" s="1004"/>
      <c r="RO121" s="1004"/>
      <c r="RP121" s="1004"/>
      <c r="RQ121" s="1004"/>
      <c r="RR121" s="1004"/>
      <c r="RS121" s="1004"/>
      <c r="RT121" s="1004"/>
      <c r="RU121" s="1004"/>
      <c r="RV121" s="1004"/>
      <c r="RW121" s="1004"/>
      <c r="RX121" s="1004"/>
      <c r="RY121" s="1004"/>
      <c r="RZ121" s="1004"/>
      <c r="SA121" s="1004"/>
      <c r="SB121" s="1004"/>
      <c r="SC121" s="1004"/>
      <c r="SD121" s="1004"/>
      <c r="SE121" s="1004"/>
      <c r="SF121" s="1004"/>
      <c r="SG121" s="1004"/>
      <c r="SH121" s="1004"/>
      <c r="SI121" s="1004"/>
      <c r="SJ121" s="1004"/>
      <c r="SK121" s="1004"/>
      <c r="SL121" s="1004"/>
      <c r="SM121" s="1004"/>
      <c r="SN121" s="1004"/>
      <c r="SO121" s="1004"/>
      <c r="SP121" s="1004"/>
      <c r="SQ121" s="1004"/>
      <c r="SR121" s="1004"/>
      <c r="SS121" s="1004"/>
      <c r="ST121" s="1004"/>
      <c r="SU121" s="1004"/>
      <c r="SV121" s="1004"/>
      <c r="SW121" s="1004"/>
      <c r="SX121" s="1004"/>
      <c r="SY121" s="1004"/>
      <c r="SZ121" s="1004"/>
      <c r="TA121" s="1004"/>
      <c r="TB121" s="1004"/>
      <c r="TC121" s="1004"/>
      <c r="TD121" s="1004"/>
      <c r="TE121" s="1004"/>
      <c r="TF121" s="1004"/>
      <c r="TG121" s="1004"/>
      <c r="TH121" s="1004"/>
      <c r="TI121" s="1004"/>
      <c r="TJ121" s="1004"/>
      <c r="TK121" s="1004"/>
      <c r="TL121" s="1004"/>
      <c r="TM121" s="1004"/>
      <c r="TN121" s="1004"/>
      <c r="TO121" s="1004"/>
      <c r="TP121" s="1004"/>
      <c r="TQ121" s="1004"/>
      <c r="TR121" s="1004"/>
      <c r="TS121" s="1004"/>
      <c r="TT121" s="1004"/>
      <c r="TU121" s="1004"/>
      <c r="TV121" s="1004"/>
      <c r="TW121" s="1004"/>
      <c r="TX121" s="1004"/>
      <c r="TY121" s="1004"/>
      <c r="TZ121" s="1004"/>
      <c r="UA121" s="1004"/>
      <c r="UB121" s="1004"/>
      <c r="UC121" s="1004"/>
      <c r="UD121" s="1004"/>
      <c r="UE121" s="1004"/>
      <c r="UF121" s="1004"/>
      <c r="UG121" s="1004"/>
      <c r="UH121" s="1004"/>
      <c r="UI121" s="1004"/>
      <c r="UJ121" s="1004"/>
      <c r="UK121" s="1004"/>
      <c r="UL121" s="1004"/>
      <c r="UM121" s="1004"/>
      <c r="UN121" s="1004"/>
      <c r="UO121" s="1004"/>
      <c r="UP121" s="1004"/>
      <c r="UQ121" s="1004"/>
      <c r="UR121" s="1004"/>
      <c r="US121" s="1004"/>
      <c r="UT121" s="1004"/>
      <c r="UU121" s="1004"/>
      <c r="UV121" s="1004"/>
      <c r="UW121" s="1004"/>
      <c r="UX121" s="1004"/>
      <c r="UY121" s="1004"/>
      <c r="UZ121" s="1004"/>
      <c r="VA121" s="1004"/>
      <c r="VB121" s="1004"/>
      <c r="VC121" s="1004"/>
      <c r="VD121" s="1004"/>
      <c r="VE121" s="1004"/>
      <c r="VF121" s="1004"/>
      <c r="VG121" s="1004"/>
      <c r="VH121" s="1004"/>
      <c r="VI121" s="1004"/>
      <c r="VJ121" s="1004"/>
      <c r="VK121" s="1004"/>
      <c r="VL121" s="1004"/>
      <c r="VM121" s="1004"/>
      <c r="VN121" s="1004"/>
      <c r="VO121" s="1004"/>
      <c r="VP121" s="1004"/>
      <c r="VQ121" s="1004"/>
      <c r="VR121" s="1004"/>
      <c r="VS121" s="1004"/>
      <c r="VT121" s="1004"/>
      <c r="VU121" s="1004"/>
      <c r="VV121" s="1004"/>
      <c r="VW121" s="1004"/>
      <c r="VX121" s="1004"/>
      <c r="VY121" s="1004"/>
      <c r="VZ121" s="1004"/>
      <c r="WA121" s="1004"/>
      <c r="WB121" s="1004"/>
      <c r="WC121" s="1004"/>
      <c r="WD121" s="1004"/>
      <c r="WE121" s="1004"/>
      <c r="WF121" s="1004"/>
      <c r="WG121" s="1004"/>
      <c r="WH121" s="1004"/>
      <c r="WI121" s="1004"/>
      <c r="WJ121" s="1004"/>
      <c r="WK121" s="1004"/>
      <c r="WL121" s="1004"/>
      <c r="WM121" s="1004"/>
      <c r="WN121" s="1004"/>
      <c r="WO121" s="1004"/>
      <c r="WP121" s="1004"/>
      <c r="WQ121" s="1004"/>
      <c r="WR121" s="1004"/>
      <c r="WS121" s="1004"/>
      <c r="WT121" s="1004"/>
      <c r="WU121" s="1004"/>
      <c r="WV121" s="1004"/>
      <c r="WW121" s="1004"/>
      <c r="WX121" s="1004"/>
      <c r="WY121" s="1004"/>
      <c r="WZ121" s="1004"/>
      <c r="XA121" s="1004"/>
      <c r="XB121" s="1004"/>
      <c r="XC121" s="1004"/>
      <c r="XD121" s="1004"/>
      <c r="XE121" s="1004"/>
      <c r="XF121" s="1004"/>
      <c r="XG121" s="1004"/>
      <c r="XH121" s="1004"/>
      <c r="XI121" s="1004"/>
      <c r="XJ121" s="1004"/>
      <c r="XK121" s="1004"/>
      <c r="XL121" s="1004"/>
      <c r="XM121" s="1004"/>
      <c r="XN121" s="1004"/>
      <c r="XO121" s="1004"/>
      <c r="XP121" s="1004"/>
      <c r="XQ121" s="1004"/>
      <c r="XR121" s="1004"/>
      <c r="XS121" s="1004"/>
      <c r="XT121" s="1004"/>
      <c r="XU121" s="1004"/>
      <c r="XV121" s="1004"/>
      <c r="XW121" s="1004"/>
      <c r="XX121" s="1004"/>
      <c r="XY121" s="1004"/>
      <c r="XZ121" s="1004"/>
      <c r="YA121" s="1004"/>
      <c r="YB121" s="1004"/>
      <c r="YC121" s="1004"/>
      <c r="YD121" s="1004"/>
      <c r="YE121" s="1004"/>
      <c r="YF121" s="1004"/>
      <c r="YG121" s="1004"/>
      <c r="YH121" s="1004"/>
      <c r="YI121" s="1004"/>
      <c r="YJ121" s="1004"/>
      <c r="YK121" s="1004"/>
      <c r="YL121" s="1004"/>
      <c r="YM121" s="1004"/>
      <c r="YN121" s="1004"/>
      <c r="YO121" s="1004"/>
      <c r="YP121" s="1004"/>
      <c r="YQ121" s="1004"/>
      <c r="YR121" s="1004"/>
      <c r="YS121" s="1004"/>
      <c r="YT121" s="1004"/>
      <c r="YU121" s="1004"/>
      <c r="YV121" s="1004"/>
      <c r="YW121" s="1004"/>
      <c r="YX121" s="1004"/>
      <c r="YY121" s="1004"/>
      <c r="YZ121" s="1004"/>
      <c r="ZA121" s="1004"/>
      <c r="ZB121" s="1004"/>
      <c r="ZC121" s="1004"/>
      <c r="ZD121" s="1004"/>
      <c r="ZE121" s="1004"/>
      <c r="ZF121" s="1004"/>
      <c r="ZG121" s="1004"/>
      <c r="ZH121" s="1004"/>
      <c r="ZI121" s="1004"/>
      <c r="ZJ121" s="1004"/>
      <c r="ZK121" s="1004"/>
      <c r="ZL121" s="1004"/>
      <c r="ZM121" s="1004"/>
      <c r="ZN121" s="1004"/>
      <c r="ZO121" s="1004"/>
      <c r="ZP121" s="1004"/>
      <c r="ZQ121" s="1004"/>
      <c r="ZR121" s="1004"/>
      <c r="ZS121" s="1004"/>
      <c r="ZT121" s="1004"/>
      <c r="ZU121" s="1004"/>
      <c r="ZV121" s="1004"/>
      <c r="ZW121" s="1004"/>
      <c r="ZX121" s="1004"/>
      <c r="ZY121" s="1004"/>
      <c r="ZZ121" s="1004"/>
      <c r="AAA121" s="1004"/>
      <c r="AAB121" s="1004"/>
      <c r="AAC121" s="1004"/>
      <c r="AAD121" s="1004"/>
      <c r="AAE121" s="1004"/>
      <c r="AAF121" s="1004"/>
      <c r="AAG121" s="1004"/>
      <c r="AAH121" s="1004"/>
      <c r="AAI121" s="1004"/>
      <c r="AAJ121" s="1004"/>
      <c r="AAK121" s="1004"/>
      <c r="AAL121" s="1004"/>
      <c r="AAM121" s="1004"/>
      <c r="AAN121" s="1004"/>
      <c r="AAO121" s="1004"/>
      <c r="AAP121" s="1004"/>
      <c r="AAQ121" s="1004"/>
      <c r="AAR121" s="1004"/>
      <c r="AAS121" s="1004"/>
      <c r="AAT121" s="1004"/>
      <c r="AAU121" s="1004"/>
      <c r="AAV121" s="1004"/>
      <c r="AAW121" s="1004"/>
      <c r="AAX121" s="1004"/>
      <c r="AAY121" s="1004"/>
      <c r="AAZ121" s="1004"/>
      <c r="ABA121" s="1004"/>
      <c r="ABB121" s="1004"/>
      <c r="ABC121" s="1004"/>
      <c r="ABD121" s="1004"/>
      <c r="ABE121" s="1004"/>
      <c r="ABF121" s="1004"/>
      <c r="ABG121" s="1004"/>
      <c r="ABH121" s="1004"/>
      <c r="ABI121" s="1004"/>
      <c r="ABJ121" s="1004"/>
      <c r="ABK121" s="1004"/>
      <c r="ABL121" s="1004"/>
      <c r="ABM121" s="1004"/>
      <c r="ABN121" s="1004"/>
      <c r="ABO121" s="1004"/>
      <c r="ABP121" s="1004"/>
      <c r="ABQ121" s="1004"/>
      <c r="ABR121" s="1004"/>
    </row>
    <row r="122" spans="1:746" s="111" customFormat="1" ht="12.9" customHeight="1" thickBot="1">
      <c r="A122" s="923"/>
      <c r="B122" s="353" t="s">
        <v>938</v>
      </c>
      <c r="C122" s="117"/>
      <c r="D122" s="134"/>
      <c r="E122" s="347" t="s">
        <v>0</v>
      </c>
      <c r="F122" s="1240"/>
      <c r="G122" s="347">
        <v>0.25</v>
      </c>
      <c r="H122" s="2179"/>
      <c r="I122" s="2364"/>
      <c r="J122" s="809"/>
      <c r="K122" s="809"/>
      <c r="L122" s="809"/>
      <c r="M122" s="809"/>
      <c r="N122" s="809"/>
      <c r="O122" s="809"/>
      <c r="P122" s="809"/>
      <c r="Q122" s="809"/>
      <c r="R122" s="809"/>
      <c r="S122" s="809"/>
      <c r="T122" s="809"/>
      <c r="U122" s="368"/>
      <c r="V122" s="368"/>
      <c r="W122" s="368"/>
      <c r="X122" s="368"/>
      <c r="Y122" s="368"/>
      <c r="Z122" s="368"/>
      <c r="AA122" s="368"/>
      <c r="AB122" s="368"/>
      <c r="AC122" s="368"/>
      <c r="AD122" s="368"/>
      <c r="AE122" s="368"/>
      <c r="AF122" s="368"/>
      <c r="AG122" s="1042"/>
      <c r="AH122" s="336"/>
      <c r="AI122" s="336"/>
      <c r="AJ122" s="418">
        <f>IF(fx!$C$57=1,SUMIF(fx!I$57:T$57,1,I122:T122),IF(fx!$C$57=2,SUMIF(fx!O$57:AF$57,1,O122:AF122)))</f>
        <v>0</v>
      </c>
      <c r="AK122" s="328"/>
      <c r="AL122" s="417">
        <f>IF(fx!$C$57=1,SUM(U122:AF122),0)</f>
        <v>0</v>
      </c>
      <c r="AM122" s="1004"/>
      <c r="AN122" s="1024"/>
      <c r="AO122" s="1945"/>
      <c r="AP122" s="1935"/>
      <c r="AQ122" s="1936"/>
      <c r="AR122" s="1941"/>
      <c r="AS122" s="1941"/>
      <c r="AT122" s="1941"/>
      <c r="AU122" s="1941"/>
      <c r="AV122" s="1941"/>
      <c r="AW122" s="1941"/>
      <c r="AX122" s="1941"/>
      <c r="AY122" s="1941"/>
      <c r="AZ122" s="1941"/>
      <c r="BA122" s="1941"/>
      <c r="BB122" s="1941"/>
      <c r="BC122" s="1941"/>
      <c r="BD122" s="1941"/>
      <c r="BE122" s="1941"/>
      <c r="BF122" s="1941"/>
      <c r="BG122" s="1941"/>
      <c r="BH122" s="1941"/>
      <c r="BI122" s="1941"/>
      <c r="BJ122" s="1941"/>
      <c r="BK122" s="1941"/>
      <c r="BL122" s="1941"/>
      <c r="BM122" s="1941"/>
      <c r="BN122" s="1941"/>
      <c r="BO122" s="1941"/>
      <c r="BP122" s="1009"/>
      <c r="BQ122" s="1009"/>
      <c r="BR122" s="1009"/>
      <c r="BS122" s="1009"/>
      <c r="BT122" s="1009"/>
      <c r="BU122" s="1009"/>
      <c r="BV122" s="1009"/>
      <c r="BW122" s="1009"/>
      <c r="BX122" s="1009"/>
      <c r="BY122" s="1009"/>
      <c r="BZ122" s="1009"/>
      <c r="CA122" s="1009"/>
      <c r="CB122" s="1009"/>
      <c r="CC122" s="1009"/>
      <c r="CD122" s="1009"/>
      <c r="CE122" s="1009"/>
      <c r="CF122" s="1009"/>
      <c r="CG122" s="1009"/>
      <c r="CH122" s="1009"/>
      <c r="CI122" s="1009"/>
      <c r="CJ122" s="1009"/>
      <c r="CK122" s="1009"/>
      <c r="CL122" s="1009"/>
      <c r="CM122" s="1009"/>
      <c r="CN122" s="1009"/>
      <c r="CO122" s="1009"/>
      <c r="CP122" s="1009"/>
      <c r="CQ122" s="1009"/>
      <c r="CR122" s="1009"/>
      <c r="CS122" s="1009"/>
      <c r="CT122" s="1009"/>
      <c r="CU122" s="1009"/>
      <c r="CV122" s="1009"/>
      <c r="CW122" s="1009"/>
      <c r="CX122" s="1009"/>
      <c r="CY122" s="1009"/>
      <c r="CZ122" s="1009"/>
      <c r="DA122" s="1009"/>
      <c r="DB122" s="1009"/>
      <c r="DC122" s="1009"/>
      <c r="DD122" s="1009"/>
      <c r="DE122" s="1009"/>
      <c r="DF122" s="1009"/>
      <c r="DG122" s="1009"/>
      <c r="DH122" s="1009"/>
      <c r="DI122" s="1009"/>
      <c r="DJ122" s="1009"/>
      <c r="DK122" s="1009"/>
      <c r="DL122" s="1009"/>
      <c r="DM122" s="1009"/>
      <c r="DN122" s="1009"/>
      <c r="DO122" s="1009"/>
      <c r="DP122" s="1009"/>
      <c r="DQ122" s="1009"/>
      <c r="DR122" s="1009"/>
      <c r="DS122" s="1009"/>
      <c r="DT122" s="1009"/>
      <c r="DU122" s="1009"/>
      <c r="DV122" s="1009"/>
      <c r="DW122" s="1009"/>
      <c r="DX122" s="1009"/>
      <c r="DY122" s="1009"/>
      <c r="DZ122" s="1009"/>
      <c r="EA122" s="1009"/>
      <c r="EB122" s="1009"/>
      <c r="EC122" s="1009"/>
      <c r="ED122" s="1009"/>
      <c r="EE122" s="1009"/>
      <c r="EF122" s="1009"/>
      <c r="EG122" s="1009"/>
      <c r="EH122" s="1009"/>
      <c r="EI122" s="1009"/>
      <c r="EJ122" s="1009"/>
      <c r="EK122" s="1009"/>
      <c r="EL122" s="1009"/>
      <c r="EM122" s="1009"/>
      <c r="EN122" s="1009"/>
      <c r="EO122" s="1009"/>
      <c r="EP122" s="1009"/>
      <c r="EQ122" s="1009"/>
      <c r="ER122" s="1009"/>
      <c r="ES122" s="1009"/>
      <c r="ET122" s="1009"/>
      <c r="EU122" s="1009"/>
      <c r="EV122" s="1009"/>
      <c r="EW122" s="1009"/>
      <c r="EX122" s="1009"/>
      <c r="EY122" s="1009"/>
      <c r="EZ122" s="1009"/>
      <c r="FA122" s="1009"/>
      <c r="FB122" s="1009"/>
      <c r="FC122" s="1009"/>
      <c r="FD122" s="1009"/>
      <c r="FE122" s="1009"/>
      <c r="FF122" s="1009"/>
      <c r="FG122" s="1009"/>
      <c r="FH122" s="1009"/>
      <c r="FI122" s="1009"/>
      <c r="FJ122" s="1009"/>
      <c r="FK122" s="1009"/>
      <c r="FL122" s="1009"/>
      <c r="FM122" s="1009"/>
      <c r="FN122" s="1009"/>
      <c r="FO122" s="1009"/>
      <c r="FP122" s="1009"/>
      <c r="FQ122" s="1009"/>
      <c r="FR122" s="1009"/>
      <c r="FS122" s="1009"/>
      <c r="FT122" s="1009"/>
      <c r="FU122" s="1009"/>
      <c r="FV122" s="1009"/>
      <c r="FW122" s="1009"/>
      <c r="FX122" s="1009"/>
      <c r="FY122" s="1009"/>
      <c r="FZ122" s="1009"/>
      <c r="GA122" s="1009"/>
      <c r="GB122" s="1009"/>
      <c r="GC122" s="1009"/>
      <c r="GD122" s="1009"/>
      <c r="GE122" s="1009"/>
      <c r="GF122" s="1009"/>
      <c r="GG122" s="1009"/>
      <c r="GH122" s="1009"/>
      <c r="GI122" s="1009"/>
      <c r="GJ122" s="1009"/>
      <c r="GK122" s="1009"/>
      <c r="GL122" s="1009"/>
      <c r="GM122" s="1009"/>
      <c r="GN122" s="1009"/>
      <c r="GO122" s="1009"/>
      <c r="GP122" s="1009"/>
      <c r="GQ122" s="1009"/>
      <c r="GR122" s="1009"/>
      <c r="GS122" s="1009"/>
      <c r="GT122" s="1009"/>
      <c r="GU122" s="1009"/>
      <c r="GV122" s="1009"/>
      <c r="GW122" s="1009"/>
      <c r="GX122" s="1009"/>
      <c r="GY122" s="1009"/>
      <c r="GZ122" s="1009"/>
      <c r="HA122" s="1009"/>
      <c r="HB122" s="1009"/>
      <c r="HC122" s="1009"/>
      <c r="HD122" s="1009"/>
      <c r="HE122" s="1009"/>
      <c r="HF122" s="1009"/>
      <c r="HG122" s="1009"/>
      <c r="HH122" s="1009"/>
      <c r="HI122" s="1009"/>
      <c r="HJ122" s="1009"/>
      <c r="HK122" s="1009"/>
      <c r="HL122" s="1009"/>
      <c r="HM122" s="1009"/>
      <c r="HN122" s="1009"/>
      <c r="HO122" s="1009"/>
      <c r="HP122" s="1009"/>
      <c r="HQ122" s="1009"/>
      <c r="HR122" s="1009"/>
      <c r="HS122" s="1009"/>
      <c r="HT122" s="1009"/>
      <c r="HU122" s="1009"/>
      <c r="HV122" s="1009"/>
      <c r="HW122" s="1009"/>
      <c r="HX122" s="1009"/>
      <c r="HY122" s="1009"/>
      <c r="HZ122" s="1009"/>
      <c r="IA122" s="1009"/>
      <c r="IB122" s="1009"/>
      <c r="IC122" s="1009"/>
      <c r="ID122" s="1009"/>
      <c r="IE122" s="1009"/>
      <c r="IF122" s="1009"/>
      <c r="IG122" s="1009"/>
      <c r="IH122" s="1009"/>
      <c r="II122" s="1009"/>
      <c r="IJ122" s="1009"/>
      <c r="IK122" s="1009"/>
      <c r="IL122" s="1009"/>
      <c r="IM122" s="1009"/>
      <c r="IN122" s="1009"/>
      <c r="IO122" s="1009"/>
      <c r="IP122" s="1009"/>
      <c r="IQ122" s="1009"/>
      <c r="IR122" s="1009"/>
      <c r="IS122" s="1009"/>
      <c r="IT122" s="1009"/>
      <c r="IU122" s="1009"/>
      <c r="IV122" s="1009"/>
      <c r="IW122" s="1009"/>
      <c r="IX122" s="1009"/>
      <c r="IY122" s="1009"/>
      <c r="IZ122" s="1009"/>
      <c r="JA122" s="1009"/>
      <c r="JB122" s="1009"/>
      <c r="JC122" s="1009"/>
      <c r="JD122" s="1009"/>
      <c r="JE122" s="1009"/>
      <c r="JF122" s="1009"/>
      <c r="JG122" s="1009"/>
      <c r="JH122" s="1009"/>
      <c r="JI122" s="1009"/>
      <c r="JJ122" s="1009"/>
      <c r="JK122" s="1009"/>
      <c r="JL122" s="1009"/>
      <c r="JM122" s="1009"/>
      <c r="JN122" s="1009"/>
      <c r="JO122" s="1009"/>
      <c r="JP122" s="1009"/>
      <c r="JQ122" s="1009"/>
      <c r="JR122" s="1009"/>
      <c r="JS122" s="1009"/>
      <c r="JT122" s="1009"/>
      <c r="JU122" s="1009"/>
      <c r="JV122" s="1009"/>
      <c r="JW122" s="1009"/>
      <c r="JX122" s="1009"/>
      <c r="JY122" s="1009"/>
      <c r="JZ122" s="1009"/>
      <c r="KA122" s="1009"/>
      <c r="KB122" s="1009"/>
      <c r="KC122" s="1009"/>
      <c r="KD122" s="1009"/>
      <c r="KE122" s="1009"/>
      <c r="KF122" s="1009"/>
      <c r="KG122" s="1009"/>
      <c r="KH122" s="1009"/>
      <c r="KI122" s="1009"/>
      <c r="KJ122" s="1009"/>
      <c r="KK122" s="1009"/>
      <c r="KL122" s="1009"/>
      <c r="KM122" s="1009"/>
      <c r="KN122" s="1009"/>
      <c r="KO122" s="1009"/>
      <c r="KP122" s="1009"/>
      <c r="KQ122" s="1009"/>
      <c r="KR122" s="1009"/>
      <c r="KS122" s="1009"/>
      <c r="KT122" s="1009"/>
      <c r="KU122" s="1009"/>
      <c r="KV122" s="1009"/>
      <c r="KW122" s="1009"/>
      <c r="KX122" s="1009"/>
      <c r="KY122" s="1009"/>
      <c r="KZ122" s="1009"/>
      <c r="LA122" s="1009"/>
      <c r="LB122" s="1009"/>
      <c r="LC122" s="1009"/>
      <c r="LD122" s="1009"/>
      <c r="LE122" s="1009"/>
      <c r="LF122" s="1009"/>
      <c r="LG122" s="1009"/>
      <c r="LH122" s="1009"/>
      <c r="LI122" s="1009"/>
      <c r="LJ122" s="1009"/>
      <c r="LK122" s="1009"/>
      <c r="LL122" s="1009"/>
      <c r="LM122" s="1009"/>
      <c r="LN122" s="1009"/>
      <c r="LO122" s="1009"/>
      <c r="LP122" s="1009"/>
      <c r="LQ122" s="1009"/>
      <c r="LR122" s="1009"/>
      <c r="LS122" s="1009"/>
      <c r="LT122" s="1009"/>
      <c r="LU122" s="1009"/>
      <c r="LV122" s="1009"/>
      <c r="LW122" s="1009"/>
      <c r="LX122" s="1009"/>
      <c r="LY122" s="1009"/>
      <c r="LZ122" s="1009"/>
      <c r="MA122" s="1009"/>
      <c r="MB122" s="1009"/>
      <c r="MC122" s="1009"/>
      <c r="MD122" s="1009"/>
      <c r="ME122" s="1009"/>
      <c r="MF122" s="1009"/>
      <c r="MG122" s="1009"/>
      <c r="MH122" s="1009"/>
      <c r="MI122" s="1009"/>
      <c r="MJ122" s="1009"/>
      <c r="MK122" s="1009"/>
      <c r="ML122" s="1009"/>
      <c r="MM122" s="1009"/>
      <c r="MN122" s="1009"/>
      <c r="MO122" s="1009"/>
      <c r="MP122" s="1009"/>
      <c r="MQ122" s="1009"/>
      <c r="MR122" s="1009"/>
      <c r="MS122" s="1009"/>
      <c r="MT122" s="1009"/>
      <c r="MU122" s="1009"/>
      <c r="MV122" s="1009"/>
      <c r="MW122" s="1009"/>
      <c r="MX122" s="1009"/>
      <c r="MY122" s="1009"/>
      <c r="MZ122" s="1009"/>
      <c r="NA122" s="1009"/>
      <c r="NB122" s="1009"/>
      <c r="NC122" s="1009"/>
      <c r="ND122" s="1009"/>
      <c r="NE122" s="1009"/>
      <c r="NF122" s="1009"/>
      <c r="NG122" s="1009"/>
      <c r="NH122" s="1009"/>
      <c r="NI122" s="1009"/>
      <c r="NJ122" s="1009"/>
      <c r="NK122" s="1009"/>
      <c r="NL122" s="1009"/>
      <c r="NM122" s="1009"/>
      <c r="NN122" s="1009"/>
      <c r="NO122" s="1009"/>
      <c r="NP122" s="1009"/>
      <c r="NQ122" s="1009"/>
      <c r="NR122" s="1009"/>
      <c r="NS122" s="1009"/>
      <c r="NT122" s="1009"/>
      <c r="NU122" s="1009"/>
      <c r="NV122" s="1009"/>
      <c r="NW122" s="1009"/>
      <c r="NX122" s="1009"/>
      <c r="NY122" s="1009"/>
      <c r="NZ122" s="1009"/>
      <c r="OA122" s="1009"/>
      <c r="OB122" s="1009"/>
      <c r="OC122" s="1009"/>
      <c r="OD122" s="1009"/>
      <c r="OE122" s="1009"/>
      <c r="OF122" s="1009"/>
      <c r="OG122" s="1009"/>
      <c r="OH122" s="1009"/>
      <c r="OI122" s="1009"/>
      <c r="OJ122" s="1009"/>
      <c r="OK122" s="1009"/>
      <c r="OL122" s="1009"/>
      <c r="OM122" s="1009"/>
      <c r="ON122" s="1009"/>
      <c r="OO122" s="1009"/>
      <c r="OP122" s="1009"/>
      <c r="OQ122" s="1009"/>
      <c r="OR122" s="1009"/>
      <c r="OS122" s="1009"/>
      <c r="OT122" s="1009"/>
      <c r="OU122" s="1009"/>
      <c r="OV122" s="1009"/>
      <c r="OW122" s="1009"/>
      <c r="OX122" s="1009"/>
      <c r="OY122" s="1009"/>
      <c r="OZ122" s="1009"/>
      <c r="PA122" s="1009"/>
      <c r="PB122" s="1009"/>
      <c r="PC122" s="1009"/>
      <c r="PD122" s="1009"/>
      <c r="PE122" s="1009"/>
      <c r="PF122" s="1009"/>
      <c r="PG122" s="1009"/>
      <c r="PH122" s="1009"/>
      <c r="PI122" s="1009"/>
      <c r="PJ122" s="1009"/>
      <c r="PK122" s="1009"/>
      <c r="PL122" s="1009"/>
      <c r="PM122" s="1009"/>
      <c r="PN122" s="1009"/>
      <c r="PO122" s="1009"/>
      <c r="PP122" s="1009"/>
      <c r="PQ122" s="1009"/>
      <c r="PR122" s="1009"/>
      <c r="PS122" s="1009"/>
      <c r="PT122" s="1009"/>
      <c r="PU122" s="1009"/>
      <c r="PV122" s="1009"/>
      <c r="PW122" s="1009"/>
      <c r="PX122" s="1009"/>
      <c r="PY122" s="1009"/>
      <c r="PZ122" s="1009"/>
      <c r="QA122" s="1009"/>
      <c r="QB122" s="1009"/>
      <c r="QC122" s="1009"/>
      <c r="QD122" s="1009"/>
      <c r="QE122" s="1009"/>
      <c r="QF122" s="1009"/>
      <c r="QG122" s="1009"/>
      <c r="QH122" s="1009"/>
      <c r="QI122" s="1009"/>
      <c r="QJ122" s="1009"/>
      <c r="QK122" s="1009"/>
      <c r="QL122" s="1009"/>
      <c r="QM122" s="1009"/>
      <c r="QN122" s="1009"/>
      <c r="QO122" s="1009"/>
      <c r="QP122" s="1009"/>
      <c r="QQ122" s="1009"/>
      <c r="QR122" s="1009"/>
      <c r="QS122" s="1009"/>
      <c r="QT122" s="1009"/>
      <c r="QU122" s="1009"/>
      <c r="QV122" s="1009"/>
      <c r="QW122" s="1009"/>
      <c r="QX122" s="1009"/>
      <c r="QY122" s="1009"/>
      <c r="QZ122" s="1009"/>
      <c r="RA122" s="1009"/>
      <c r="RB122" s="1009"/>
      <c r="RC122" s="1009"/>
      <c r="RD122" s="1009"/>
      <c r="RE122" s="1009"/>
      <c r="RF122" s="1009"/>
      <c r="RG122" s="1009"/>
      <c r="RH122" s="1009"/>
      <c r="RI122" s="1009"/>
      <c r="RJ122" s="1009"/>
      <c r="RK122" s="1009"/>
      <c r="RL122" s="1009"/>
      <c r="RM122" s="1009"/>
      <c r="RN122" s="1009"/>
      <c r="RO122" s="1009"/>
      <c r="RP122" s="1009"/>
      <c r="RQ122" s="1009"/>
      <c r="RR122" s="1009"/>
      <c r="RS122" s="1009"/>
      <c r="RT122" s="1009"/>
      <c r="RU122" s="1009"/>
      <c r="RV122" s="1009"/>
      <c r="RW122" s="1009"/>
      <c r="RX122" s="1009"/>
      <c r="RY122" s="1009"/>
      <c r="RZ122" s="1009"/>
      <c r="SA122" s="1009"/>
      <c r="SB122" s="1009"/>
      <c r="SC122" s="1009"/>
      <c r="SD122" s="1009"/>
      <c r="SE122" s="1009"/>
      <c r="SF122" s="1009"/>
      <c r="SG122" s="1009"/>
      <c r="SH122" s="1009"/>
      <c r="SI122" s="1009"/>
      <c r="SJ122" s="1009"/>
      <c r="SK122" s="1009"/>
      <c r="SL122" s="1009"/>
      <c r="SM122" s="1009"/>
      <c r="SN122" s="1009"/>
      <c r="SO122" s="1009"/>
      <c r="SP122" s="1009"/>
      <c r="SQ122" s="1009"/>
      <c r="SR122" s="1009"/>
      <c r="SS122" s="1009"/>
      <c r="ST122" s="1009"/>
      <c r="SU122" s="1009"/>
      <c r="SV122" s="1009"/>
      <c r="SW122" s="1009"/>
      <c r="SX122" s="1009"/>
      <c r="SY122" s="1009"/>
      <c r="SZ122" s="1009"/>
      <c r="TA122" s="1009"/>
      <c r="TB122" s="1009"/>
      <c r="TC122" s="1009"/>
      <c r="TD122" s="1009"/>
      <c r="TE122" s="1009"/>
      <c r="TF122" s="1009"/>
      <c r="TG122" s="1009"/>
      <c r="TH122" s="1009"/>
      <c r="TI122" s="1009"/>
      <c r="TJ122" s="1009"/>
      <c r="TK122" s="1009"/>
      <c r="TL122" s="1009"/>
      <c r="TM122" s="1009"/>
      <c r="TN122" s="1009"/>
      <c r="TO122" s="1009"/>
      <c r="TP122" s="1009"/>
      <c r="TQ122" s="1009"/>
      <c r="TR122" s="1009"/>
      <c r="TS122" s="1009"/>
      <c r="TT122" s="1009"/>
      <c r="TU122" s="1009"/>
      <c r="TV122" s="1009"/>
      <c r="TW122" s="1009"/>
      <c r="TX122" s="1009"/>
      <c r="TY122" s="1009"/>
      <c r="TZ122" s="1009"/>
      <c r="UA122" s="1009"/>
      <c r="UB122" s="1009"/>
      <c r="UC122" s="1009"/>
      <c r="UD122" s="1009"/>
      <c r="UE122" s="1009"/>
      <c r="UF122" s="1009"/>
      <c r="UG122" s="1009"/>
      <c r="UH122" s="1009"/>
      <c r="UI122" s="1009"/>
      <c r="UJ122" s="1009"/>
      <c r="UK122" s="1009"/>
      <c r="UL122" s="1009"/>
      <c r="UM122" s="1009"/>
      <c r="UN122" s="1009"/>
      <c r="UO122" s="1009"/>
      <c r="UP122" s="1009"/>
      <c r="UQ122" s="1009"/>
      <c r="UR122" s="1009"/>
      <c r="US122" s="1009"/>
      <c r="UT122" s="1009"/>
      <c r="UU122" s="1009"/>
      <c r="UV122" s="1009"/>
      <c r="UW122" s="1009"/>
      <c r="UX122" s="1009"/>
      <c r="UY122" s="1009"/>
      <c r="UZ122" s="1009"/>
      <c r="VA122" s="1009"/>
      <c r="VB122" s="1009"/>
      <c r="VC122" s="1009"/>
      <c r="VD122" s="1009"/>
      <c r="VE122" s="1009"/>
      <c r="VF122" s="1009"/>
      <c r="VG122" s="1009"/>
      <c r="VH122" s="1009"/>
      <c r="VI122" s="1009"/>
      <c r="VJ122" s="1009"/>
      <c r="VK122" s="1009"/>
      <c r="VL122" s="1009"/>
      <c r="VM122" s="1009"/>
      <c r="VN122" s="1009"/>
      <c r="VO122" s="1009"/>
      <c r="VP122" s="1009"/>
      <c r="VQ122" s="1009"/>
      <c r="VR122" s="1009"/>
      <c r="VS122" s="1009"/>
      <c r="VT122" s="1009"/>
      <c r="VU122" s="1009"/>
      <c r="VV122" s="1009"/>
      <c r="VW122" s="1009"/>
      <c r="VX122" s="1009"/>
      <c r="VY122" s="1009"/>
      <c r="VZ122" s="1009"/>
      <c r="WA122" s="1009"/>
      <c r="WB122" s="1009"/>
      <c r="WC122" s="1009"/>
      <c r="WD122" s="1009"/>
      <c r="WE122" s="1009"/>
      <c r="WF122" s="1009"/>
      <c r="WG122" s="1009"/>
      <c r="WH122" s="1009"/>
      <c r="WI122" s="1009"/>
      <c r="WJ122" s="1009"/>
      <c r="WK122" s="1009"/>
      <c r="WL122" s="1009"/>
      <c r="WM122" s="1009"/>
      <c r="WN122" s="1009"/>
      <c r="WO122" s="1009"/>
      <c r="WP122" s="1009"/>
      <c r="WQ122" s="1009"/>
      <c r="WR122" s="1009"/>
      <c r="WS122" s="1009"/>
      <c r="WT122" s="1009"/>
      <c r="WU122" s="1009"/>
      <c r="WV122" s="1009"/>
      <c r="WW122" s="1009"/>
      <c r="WX122" s="1009"/>
      <c r="WY122" s="1009"/>
      <c r="WZ122" s="1009"/>
      <c r="XA122" s="1009"/>
      <c r="XB122" s="1009"/>
      <c r="XC122" s="1009"/>
      <c r="XD122" s="1009"/>
      <c r="XE122" s="1009"/>
      <c r="XF122" s="1009"/>
      <c r="XG122" s="1009"/>
      <c r="XH122" s="1009"/>
      <c r="XI122" s="1009"/>
      <c r="XJ122" s="1009"/>
      <c r="XK122" s="1009"/>
      <c r="XL122" s="1009"/>
      <c r="XM122" s="1009"/>
      <c r="XN122" s="1009"/>
      <c r="XO122" s="1009"/>
      <c r="XP122" s="1009"/>
      <c r="XQ122" s="1009"/>
      <c r="XR122" s="1009"/>
      <c r="XS122" s="1009"/>
      <c r="XT122" s="1009"/>
      <c r="XU122" s="1009"/>
      <c r="XV122" s="1009"/>
      <c r="XW122" s="1009"/>
      <c r="XX122" s="1009"/>
      <c r="XY122" s="1009"/>
      <c r="XZ122" s="1009"/>
      <c r="YA122" s="1009"/>
      <c r="YB122" s="1009"/>
      <c r="YC122" s="1009"/>
      <c r="YD122" s="1009"/>
      <c r="YE122" s="1009"/>
      <c r="YF122" s="1009"/>
      <c r="YG122" s="1009"/>
      <c r="YH122" s="1009"/>
      <c r="YI122" s="1009"/>
      <c r="YJ122" s="1009"/>
      <c r="YK122" s="1009"/>
      <c r="YL122" s="1009"/>
      <c r="YM122" s="1009"/>
      <c r="YN122" s="1009"/>
      <c r="YO122" s="1009"/>
      <c r="YP122" s="1009"/>
      <c r="YQ122" s="1009"/>
      <c r="YR122" s="1009"/>
      <c r="YS122" s="1009"/>
      <c r="YT122" s="1009"/>
      <c r="YU122" s="1009"/>
      <c r="YV122" s="1009"/>
      <c r="YW122" s="1009"/>
      <c r="YX122" s="1009"/>
      <c r="YY122" s="1009"/>
      <c r="YZ122" s="1009"/>
      <c r="ZA122" s="1009"/>
      <c r="ZB122" s="1009"/>
      <c r="ZC122" s="1009"/>
      <c r="ZD122" s="1009"/>
      <c r="ZE122" s="1009"/>
      <c r="ZF122" s="1009"/>
      <c r="ZG122" s="1009"/>
      <c r="ZH122" s="1009"/>
      <c r="ZI122" s="1009"/>
      <c r="ZJ122" s="1009"/>
      <c r="ZK122" s="1009"/>
      <c r="ZL122" s="1009"/>
      <c r="ZM122" s="1009"/>
      <c r="ZN122" s="1009"/>
      <c r="ZO122" s="1009"/>
      <c r="ZP122" s="1009"/>
      <c r="ZQ122" s="1009"/>
      <c r="ZR122" s="1009"/>
      <c r="ZS122" s="1009"/>
      <c r="ZT122" s="1009"/>
      <c r="ZU122" s="1009"/>
      <c r="ZV122" s="1009"/>
      <c r="ZW122" s="1009"/>
      <c r="ZX122" s="1009"/>
      <c r="ZY122" s="1009"/>
      <c r="ZZ122" s="1009"/>
      <c r="AAA122" s="1009"/>
      <c r="AAB122" s="1009"/>
      <c r="AAC122" s="1009"/>
      <c r="AAD122" s="1009"/>
      <c r="AAE122" s="1009"/>
      <c r="AAF122" s="1009"/>
      <c r="AAG122" s="1009"/>
      <c r="AAH122" s="1009"/>
      <c r="AAI122" s="1009"/>
      <c r="AAJ122" s="1009"/>
      <c r="AAK122" s="1009"/>
      <c r="AAL122" s="1009"/>
      <c r="AAM122" s="1009"/>
      <c r="AAN122" s="1009"/>
      <c r="AAO122" s="1009"/>
      <c r="AAP122" s="1009"/>
      <c r="AAQ122" s="1009"/>
      <c r="AAR122" s="1009"/>
      <c r="AAS122" s="1009"/>
      <c r="AAT122" s="1009"/>
      <c r="AAU122" s="1009"/>
      <c r="AAV122" s="1009"/>
      <c r="AAW122" s="1009"/>
      <c r="AAX122" s="1009"/>
      <c r="AAY122" s="1009"/>
      <c r="AAZ122" s="1009"/>
      <c r="ABA122" s="1009"/>
      <c r="ABB122" s="1009"/>
      <c r="ABC122" s="1009"/>
      <c r="ABD122" s="1009"/>
      <c r="ABE122" s="1009"/>
      <c r="ABF122" s="1009"/>
      <c r="ABG122" s="1009"/>
      <c r="ABH122" s="1009"/>
      <c r="ABI122" s="1009"/>
      <c r="ABJ122" s="1009"/>
      <c r="ABK122" s="1009"/>
      <c r="ABL122" s="1009"/>
      <c r="ABM122" s="1009"/>
      <c r="ABN122" s="1009"/>
      <c r="ABO122" s="1009"/>
      <c r="ABP122" s="1009"/>
      <c r="ABQ122" s="1009"/>
      <c r="ABR122" s="1009"/>
    </row>
    <row r="123" spans="1:746" s="1" customFormat="1" ht="12.9" customHeight="1" thickBot="1">
      <c r="A123" s="923"/>
      <c r="B123" s="354" t="s">
        <v>233</v>
      </c>
      <c r="C123" s="117"/>
      <c r="D123" s="134"/>
      <c r="E123" s="347" t="s">
        <v>0</v>
      </c>
      <c r="F123" s="1240"/>
      <c r="G123" s="347">
        <v>0.25</v>
      </c>
      <c r="H123" s="2179"/>
      <c r="I123" s="2364"/>
      <c r="J123" s="809"/>
      <c r="K123" s="809"/>
      <c r="L123" s="809"/>
      <c r="M123" s="809"/>
      <c r="N123" s="809"/>
      <c r="O123" s="809"/>
      <c r="P123" s="809"/>
      <c r="Q123" s="809"/>
      <c r="R123" s="809"/>
      <c r="S123" s="809"/>
      <c r="T123" s="809"/>
      <c r="U123" s="368"/>
      <c r="V123" s="368"/>
      <c r="W123" s="368"/>
      <c r="X123" s="368"/>
      <c r="Y123" s="368"/>
      <c r="Z123" s="368"/>
      <c r="AA123" s="368"/>
      <c r="AB123" s="368"/>
      <c r="AC123" s="368"/>
      <c r="AD123" s="368"/>
      <c r="AE123" s="368"/>
      <c r="AF123" s="368"/>
      <c r="AG123" s="1042"/>
      <c r="AH123" s="336"/>
      <c r="AI123" s="336"/>
      <c r="AJ123" s="418">
        <f>IF(fx!$C$57=1,SUMIF(fx!I$57:T$57,1,I123:T123),IF(fx!$C$57=2,SUMIF(fx!O$57:AF$57,1,O123:AF123)))</f>
        <v>0</v>
      </c>
      <c r="AK123" s="328"/>
      <c r="AL123" s="417">
        <f>IF(fx!$C$57=1,SUM(U123:AF123),0)</f>
        <v>0</v>
      </c>
      <c r="AM123" s="1004"/>
      <c r="AN123" s="1024"/>
      <c r="AO123" s="1945"/>
      <c r="AP123" s="1935"/>
      <c r="AQ123" s="1936"/>
      <c r="AR123" s="1941"/>
      <c r="AS123" s="1941"/>
      <c r="AT123" s="1941"/>
      <c r="AU123" s="1941"/>
      <c r="AV123" s="1941"/>
      <c r="AW123" s="1941"/>
      <c r="AX123" s="1941"/>
      <c r="AY123" s="1941"/>
      <c r="AZ123" s="1941"/>
      <c r="BA123" s="1941"/>
      <c r="BB123" s="1941"/>
      <c r="BC123" s="1941"/>
      <c r="BD123" s="1941"/>
      <c r="BE123" s="1941"/>
      <c r="BF123" s="1941"/>
      <c r="BG123" s="1941"/>
      <c r="BH123" s="1941"/>
      <c r="BI123" s="1941"/>
      <c r="BJ123" s="1941"/>
      <c r="BK123" s="1941"/>
      <c r="BL123" s="1941"/>
      <c r="BM123" s="1941"/>
      <c r="BN123" s="1941"/>
      <c r="BO123" s="1941"/>
      <c r="BP123" s="1004"/>
      <c r="BQ123" s="1004"/>
      <c r="BR123" s="1004"/>
      <c r="BS123" s="1004"/>
      <c r="BT123" s="1004"/>
      <c r="BU123" s="1004"/>
      <c r="BV123" s="1004"/>
      <c r="BW123" s="1004"/>
      <c r="BX123" s="1004"/>
      <c r="BY123" s="1004"/>
      <c r="BZ123" s="1004"/>
      <c r="CA123" s="1004"/>
      <c r="CB123" s="1004"/>
      <c r="CC123" s="1004"/>
      <c r="CD123" s="1004"/>
      <c r="CE123" s="1004"/>
      <c r="CF123" s="1004"/>
      <c r="CG123" s="1004"/>
      <c r="CH123" s="1004"/>
      <c r="CI123" s="1004"/>
      <c r="CJ123" s="1004"/>
      <c r="CK123" s="1004"/>
      <c r="CL123" s="1004"/>
      <c r="CM123" s="1004"/>
      <c r="CN123" s="1004"/>
      <c r="CO123" s="1004"/>
      <c r="CP123" s="1004"/>
      <c r="CQ123" s="1004"/>
      <c r="CR123" s="1004"/>
      <c r="CS123" s="1004"/>
      <c r="CT123" s="1004"/>
      <c r="CU123" s="1004"/>
      <c r="CV123" s="1004"/>
      <c r="CW123" s="1004"/>
      <c r="CX123" s="1004"/>
      <c r="CY123" s="1004"/>
      <c r="CZ123" s="1004"/>
      <c r="DA123" s="1004"/>
      <c r="DB123" s="1004"/>
      <c r="DC123" s="1004"/>
      <c r="DD123" s="1004"/>
      <c r="DE123" s="1004"/>
      <c r="DF123" s="1004"/>
      <c r="DG123" s="1004"/>
      <c r="DH123" s="1004"/>
      <c r="DI123" s="1004"/>
      <c r="DJ123" s="1004"/>
      <c r="DK123" s="1004"/>
      <c r="DL123" s="1004"/>
      <c r="DM123" s="1004"/>
      <c r="DN123" s="1004"/>
      <c r="DO123" s="1004"/>
      <c r="DP123" s="1004"/>
      <c r="DQ123" s="1004"/>
      <c r="DR123" s="1004"/>
      <c r="DS123" s="1004"/>
      <c r="DT123" s="1004"/>
      <c r="DU123" s="1004"/>
      <c r="DV123" s="1004"/>
      <c r="DW123" s="1004"/>
      <c r="DX123" s="1004"/>
      <c r="DY123" s="1004"/>
      <c r="DZ123" s="1004"/>
      <c r="EA123" s="1004"/>
      <c r="EB123" s="1004"/>
      <c r="EC123" s="1004"/>
      <c r="ED123" s="1004"/>
      <c r="EE123" s="1004"/>
      <c r="EF123" s="1004"/>
      <c r="EG123" s="1004"/>
      <c r="EH123" s="1004"/>
      <c r="EI123" s="1004"/>
      <c r="EJ123" s="1004"/>
      <c r="EK123" s="1004"/>
      <c r="EL123" s="1004"/>
      <c r="EM123" s="1004"/>
      <c r="EN123" s="1004"/>
      <c r="EO123" s="1004"/>
      <c r="EP123" s="1004"/>
      <c r="EQ123" s="1004"/>
      <c r="ER123" s="1004"/>
      <c r="ES123" s="1004"/>
      <c r="ET123" s="1004"/>
      <c r="EU123" s="1004"/>
      <c r="EV123" s="1004"/>
      <c r="EW123" s="1004"/>
      <c r="EX123" s="1004"/>
      <c r="EY123" s="1004"/>
      <c r="EZ123" s="1004"/>
      <c r="FA123" s="1004"/>
      <c r="FB123" s="1004"/>
      <c r="FC123" s="1004"/>
      <c r="FD123" s="1004"/>
      <c r="FE123" s="1004"/>
      <c r="FF123" s="1004"/>
      <c r="FG123" s="1004"/>
      <c r="FH123" s="1004"/>
      <c r="FI123" s="1004"/>
      <c r="FJ123" s="1004"/>
      <c r="FK123" s="1004"/>
      <c r="FL123" s="1004"/>
      <c r="FM123" s="1004"/>
      <c r="FN123" s="1004"/>
      <c r="FO123" s="1004"/>
      <c r="FP123" s="1004"/>
      <c r="FQ123" s="1004"/>
      <c r="FR123" s="1004"/>
      <c r="FS123" s="1004"/>
      <c r="FT123" s="1004"/>
      <c r="FU123" s="1004"/>
      <c r="FV123" s="1004"/>
      <c r="FW123" s="1004"/>
      <c r="FX123" s="1004"/>
      <c r="FY123" s="1004"/>
      <c r="FZ123" s="1004"/>
      <c r="GA123" s="1004"/>
      <c r="GB123" s="1004"/>
      <c r="GC123" s="1004"/>
      <c r="GD123" s="1004"/>
      <c r="GE123" s="1004"/>
      <c r="GF123" s="1004"/>
      <c r="GG123" s="1004"/>
      <c r="GH123" s="1004"/>
      <c r="GI123" s="1004"/>
      <c r="GJ123" s="1004"/>
      <c r="GK123" s="1004"/>
      <c r="GL123" s="1004"/>
      <c r="GM123" s="1004"/>
      <c r="GN123" s="1004"/>
      <c r="GO123" s="1004"/>
      <c r="GP123" s="1004"/>
      <c r="GQ123" s="1004"/>
      <c r="GR123" s="1004"/>
      <c r="GS123" s="1004"/>
      <c r="GT123" s="1004"/>
      <c r="GU123" s="1004"/>
      <c r="GV123" s="1004"/>
      <c r="GW123" s="1004"/>
      <c r="GX123" s="1004"/>
      <c r="GY123" s="1004"/>
      <c r="GZ123" s="1004"/>
      <c r="HA123" s="1004"/>
      <c r="HB123" s="1004"/>
      <c r="HC123" s="1004"/>
      <c r="HD123" s="1004"/>
      <c r="HE123" s="1004"/>
      <c r="HF123" s="1004"/>
      <c r="HG123" s="1004"/>
      <c r="HH123" s="1004"/>
      <c r="HI123" s="1004"/>
      <c r="HJ123" s="1004"/>
      <c r="HK123" s="1004"/>
      <c r="HL123" s="1004"/>
      <c r="HM123" s="1004"/>
      <c r="HN123" s="1004"/>
      <c r="HO123" s="1004"/>
      <c r="HP123" s="1004"/>
      <c r="HQ123" s="1004"/>
      <c r="HR123" s="1004"/>
      <c r="HS123" s="1004"/>
      <c r="HT123" s="1004"/>
      <c r="HU123" s="1004"/>
      <c r="HV123" s="1004"/>
      <c r="HW123" s="1004"/>
      <c r="HX123" s="1004"/>
      <c r="HY123" s="1004"/>
      <c r="HZ123" s="1004"/>
      <c r="IA123" s="1004"/>
      <c r="IB123" s="1004"/>
      <c r="IC123" s="1004"/>
      <c r="ID123" s="1004"/>
      <c r="IE123" s="1004"/>
      <c r="IF123" s="1004"/>
      <c r="IG123" s="1004"/>
      <c r="IH123" s="1004"/>
      <c r="II123" s="1004"/>
      <c r="IJ123" s="1004"/>
      <c r="IK123" s="1004"/>
      <c r="IL123" s="1004"/>
      <c r="IM123" s="1004"/>
      <c r="IN123" s="1004"/>
      <c r="IO123" s="1004"/>
      <c r="IP123" s="1004"/>
      <c r="IQ123" s="1004"/>
      <c r="IR123" s="1004"/>
      <c r="IS123" s="1004"/>
      <c r="IT123" s="1004"/>
      <c r="IU123" s="1004"/>
      <c r="IV123" s="1004"/>
      <c r="IW123" s="1004"/>
      <c r="IX123" s="1004"/>
      <c r="IY123" s="1004"/>
      <c r="IZ123" s="1004"/>
      <c r="JA123" s="1004"/>
      <c r="JB123" s="1004"/>
      <c r="JC123" s="1004"/>
      <c r="JD123" s="1004"/>
      <c r="JE123" s="1004"/>
      <c r="JF123" s="1004"/>
      <c r="JG123" s="1004"/>
      <c r="JH123" s="1004"/>
      <c r="JI123" s="1004"/>
      <c r="JJ123" s="1004"/>
      <c r="JK123" s="1004"/>
      <c r="JL123" s="1004"/>
      <c r="JM123" s="1004"/>
      <c r="JN123" s="1004"/>
      <c r="JO123" s="1004"/>
      <c r="JP123" s="1004"/>
      <c r="JQ123" s="1004"/>
      <c r="JR123" s="1004"/>
      <c r="JS123" s="1004"/>
      <c r="JT123" s="1004"/>
      <c r="JU123" s="1004"/>
      <c r="JV123" s="1004"/>
      <c r="JW123" s="1004"/>
      <c r="JX123" s="1004"/>
      <c r="JY123" s="1004"/>
      <c r="JZ123" s="1004"/>
      <c r="KA123" s="1004"/>
      <c r="KB123" s="1004"/>
      <c r="KC123" s="1004"/>
      <c r="KD123" s="1004"/>
      <c r="KE123" s="1004"/>
      <c r="KF123" s="1004"/>
      <c r="KG123" s="1004"/>
      <c r="KH123" s="1004"/>
      <c r="KI123" s="1004"/>
      <c r="KJ123" s="1004"/>
      <c r="KK123" s="1004"/>
      <c r="KL123" s="1004"/>
      <c r="KM123" s="1004"/>
      <c r="KN123" s="1004"/>
      <c r="KO123" s="1004"/>
      <c r="KP123" s="1004"/>
      <c r="KQ123" s="1004"/>
      <c r="KR123" s="1004"/>
      <c r="KS123" s="1004"/>
      <c r="KT123" s="1004"/>
      <c r="KU123" s="1004"/>
      <c r="KV123" s="1004"/>
      <c r="KW123" s="1004"/>
      <c r="KX123" s="1004"/>
      <c r="KY123" s="1004"/>
      <c r="KZ123" s="1004"/>
      <c r="LA123" s="1004"/>
      <c r="LB123" s="1004"/>
      <c r="LC123" s="1004"/>
      <c r="LD123" s="1004"/>
      <c r="LE123" s="1004"/>
      <c r="LF123" s="1004"/>
      <c r="LG123" s="1004"/>
      <c r="LH123" s="1004"/>
      <c r="LI123" s="1004"/>
      <c r="LJ123" s="1004"/>
      <c r="LK123" s="1004"/>
      <c r="LL123" s="1004"/>
      <c r="LM123" s="1004"/>
      <c r="LN123" s="1004"/>
      <c r="LO123" s="1004"/>
      <c r="LP123" s="1004"/>
      <c r="LQ123" s="1004"/>
      <c r="LR123" s="1004"/>
      <c r="LS123" s="1004"/>
      <c r="LT123" s="1004"/>
      <c r="LU123" s="1004"/>
      <c r="LV123" s="1004"/>
      <c r="LW123" s="1004"/>
      <c r="LX123" s="1004"/>
      <c r="LY123" s="1004"/>
      <c r="LZ123" s="1004"/>
      <c r="MA123" s="1004"/>
      <c r="MB123" s="1004"/>
      <c r="MC123" s="1004"/>
      <c r="MD123" s="1004"/>
      <c r="ME123" s="1004"/>
      <c r="MF123" s="1004"/>
      <c r="MG123" s="1004"/>
      <c r="MH123" s="1004"/>
      <c r="MI123" s="1004"/>
      <c r="MJ123" s="1004"/>
      <c r="MK123" s="1004"/>
      <c r="ML123" s="1004"/>
      <c r="MM123" s="1004"/>
      <c r="MN123" s="1004"/>
      <c r="MO123" s="1004"/>
      <c r="MP123" s="1004"/>
      <c r="MQ123" s="1004"/>
      <c r="MR123" s="1004"/>
      <c r="MS123" s="1004"/>
      <c r="MT123" s="1004"/>
      <c r="MU123" s="1004"/>
      <c r="MV123" s="1004"/>
      <c r="MW123" s="1004"/>
      <c r="MX123" s="1004"/>
      <c r="MY123" s="1004"/>
      <c r="MZ123" s="1004"/>
      <c r="NA123" s="1004"/>
      <c r="NB123" s="1004"/>
      <c r="NC123" s="1004"/>
      <c r="ND123" s="1004"/>
      <c r="NE123" s="1004"/>
      <c r="NF123" s="1004"/>
      <c r="NG123" s="1004"/>
      <c r="NH123" s="1004"/>
      <c r="NI123" s="1004"/>
      <c r="NJ123" s="1004"/>
      <c r="NK123" s="1004"/>
      <c r="NL123" s="1004"/>
      <c r="NM123" s="1004"/>
      <c r="NN123" s="1004"/>
      <c r="NO123" s="1004"/>
      <c r="NP123" s="1004"/>
      <c r="NQ123" s="1004"/>
      <c r="NR123" s="1004"/>
      <c r="NS123" s="1004"/>
      <c r="NT123" s="1004"/>
      <c r="NU123" s="1004"/>
      <c r="NV123" s="1004"/>
      <c r="NW123" s="1004"/>
      <c r="NX123" s="1004"/>
      <c r="NY123" s="1004"/>
      <c r="NZ123" s="1004"/>
      <c r="OA123" s="1004"/>
      <c r="OB123" s="1004"/>
      <c r="OC123" s="1004"/>
      <c r="OD123" s="1004"/>
      <c r="OE123" s="1004"/>
      <c r="OF123" s="1004"/>
      <c r="OG123" s="1004"/>
      <c r="OH123" s="1004"/>
      <c r="OI123" s="1004"/>
      <c r="OJ123" s="1004"/>
      <c r="OK123" s="1004"/>
      <c r="OL123" s="1004"/>
      <c r="OM123" s="1004"/>
      <c r="ON123" s="1004"/>
      <c r="OO123" s="1004"/>
      <c r="OP123" s="1004"/>
      <c r="OQ123" s="1004"/>
      <c r="OR123" s="1004"/>
      <c r="OS123" s="1004"/>
      <c r="OT123" s="1004"/>
      <c r="OU123" s="1004"/>
      <c r="OV123" s="1004"/>
      <c r="OW123" s="1004"/>
      <c r="OX123" s="1004"/>
      <c r="OY123" s="1004"/>
      <c r="OZ123" s="1004"/>
      <c r="PA123" s="1004"/>
      <c r="PB123" s="1004"/>
      <c r="PC123" s="1004"/>
      <c r="PD123" s="1004"/>
      <c r="PE123" s="1004"/>
      <c r="PF123" s="1004"/>
      <c r="PG123" s="1004"/>
      <c r="PH123" s="1004"/>
      <c r="PI123" s="1004"/>
      <c r="PJ123" s="1004"/>
      <c r="PK123" s="1004"/>
      <c r="PL123" s="1004"/>
      <c r="PM123" s="1004"/>
      <c r="PN123" s="1004"/>
      <c r="PO123" s="1004"/>
      <c r="PP123" s="1004"/>
      <c r="PQ123" s="1004"/>
      <c r="PR123" s="1004"/>
      <c r="PS123" s="1004"/>
      <c r="PT123" s="1004"/>
      <c r="PU123" s="1004"/>
      <c r="PV123" s="1004"/>
      <c r="PW123" s="1004"/>
      <c r="PX123" s="1004"/>
      <c r="PY123" s="1004"/>
      <c r="PZ123" s="1004"/>
      <c r="QA123" s="1004"/>
      <c r="QB123" s="1004"/>
      <c r="QC123" s="1004"/>
      <c r="QD123" s="1004"/>
      <c r="QE123" s="1004"/>
      <c r="QF123" s="1004"/>
      <c r="QG123" s="1004"/>
      <c r="QH123" s="1004"/>
      <c r="QI123" s="1004"/>
      <c r="QJ123" s="1004"/>
      <c r="QK123" s="1004"/>
      <c r="QL123" s="1004"/>
      <c r="QM123" s="1004"/>
      <c r="QN123" s="1004"/>
      <c r="QO123" s="1004"/>
      <c r="QP123" s="1004"/>
      <c r="QQ123" s="1004"/>
      <c r="QR123" s="1004"/>
      <c r="QS123" s="1004"/>
      <c r="QT123" s="1004"/>
      <c r="QU123" s="1004"/>
      <c r="QV123" s="1004"/>
      <c r="QW123" s="1004"/>
      <c r="QX123" s="1004"/>
      <c r="QY123" s="1004"/>
      <c r="QZ123" s="1004"/>
      <c r="RA123" s="1004"/>
      <c r="RB123" s="1004"/>
      <c r="RC123" s="1004"/>
      <c r="RD123" s="1004"/>
      <c r="RE123" s="1004"/>
      <c r="RF123" s="1004"/>
      <c r="RG123" s="1004"/>
      <c r="RH123" s="1004"/>
      <c r="RI123" s="1004"/>
      <c r="RJ123" s="1004"/>
      <c r="RK123" s="1004"/>
      <c r="RL123" s="1004"/>
      <c r="RM123" s="1004"/>
      <c r="RN123" s="1004"/>
      <c r="RO123" s="1004"/>
      <c r="RP123" s="1004"/>
      <c r="RQ123" s="1004"/>
      <c r="RR123" s="1004"/>
      <c r="RS123" s="1004"/>
      <c r="RT123" s="1004"/>
      <c r="RU123" s="1004"/>
      <c r="RV123" s="1004"/>
      <c r="RW123" s="1004"/>
      <c r="RX123" s="1004"/>
      <c r="RY123" s="1004"/>
      <c r="RZ123" s="1004"/>
      <c r="SA123" s="1004"/>
      <c r="SB123" s="1004"/>
      <c r="SC123" s="1004"/>
      <c r="SD123" s="1004"/>
      <c r="SE123" s="1004"/>
      <c r="SF123" s="1004"/>
      <c r="SG123" s="1004"/>
      <c r="SH123" s="1004"/>
      <c r="SI123" s="1004"/>
      <c r="SJ123" s="1004"/>
      <c r="SK123" s="1004"/>
      <c r="SL123" s="1004"/>
      <c r="SM123" s="1004"/>
      <c r="SN123" s="1004"/>
      <c r="SO123" s="1004"/>
      <c r="SP123" s="1004"/>
      <c r="SQ123" s="1004"/>
      <c r="SR123" s="1004"/>
      <c r="SS123" s="1004"/>
      <c r="ST123" s="1004"/>
      <c r="SU123" s="1004"/>
      <c r="SV123" s="1004"/>
      <c r="SW123" s="1004"/>
      <c r="SX123" s="1004"/>
      <c r="SY123" s="1004"/>
      <c r="SZ123" s="1004"/>
      <c r="TA123" s="1004"/>
      <c r="TB123" s="1004"/>
      <c r="TC123" s="1004"/>
      <c r="TD123" s="1004"/>
      <c r="TE123" s="1004"/>
      <c r="TF123" s="1004"/>
      <c r="TG123" s="1004"/>
      <c r="TH123" s="1004"/>
      <c r="TI123" s="1004"/>
      <c r="TJ123" s="1004"/>
      <c r="TK123" s="1004"/>
      <c r="TL123" s="1004"/>
      <c r="TM123" s="1004"/>
      <c r="TN123" s="1004"/>
      <c r="TO123" s="1004"/>
      <c r="TP123" s="1004"/>
      <c r="TQ123" s="1004"/>
      <c r="TR123" s="1004"/>
      <c r="TS123" s="1004"/>
      <c r="TT123" s="1004"/>
      <c r="TU123" s="1004"/>
      <c r="TV123" s="1004"/>
      <c r="TW123" s="1004"/>
      <c r="TX123" s="1004"/>
      <c r="TY123" s="1004"/>
      <c r="TZ123" s="1004"/>
      <c r="UA123" s="1004"/>
      <c r="UB123" s="1004"/>
      <c r="UC123" s="1004"/>
      <c r="UD123" s="1004"/>
      <c r="UE123" s="1004"/>
      <c r="UF123" s="1004"/>
      <c r="UG123" s="1004"/>
      <c r="UH123" s="1004"/>
      <c r="UI123" s="1004"/>
      <c r="UJ123" s="1004"/>
      <c r="UK123" s="1004"/>
      <c r="UL123" s="1004"/>
      <c r="UM123" s="1004"/>
      <c r="UN123" s="1004"/>
      <c r="UO123" s="1004"/>
      <c r="UP123" s="1004"/>
      <c r="UQ123" s="1004"/>
      <c r="UR123" s="1004"/>
      <c r="US123" s="1004"/>
      <c r="UT123" s="1004"/>
      <c r="UU123" s="1004"/>
      <c r="UV123" s="1004"/>
      <c r="UW123" s="1004"/>
      <c r="UX123" s="1004"/>
      <c r="UY123" s="1004"/>
      <c r="UZ123" s="1004"/>
      <c r="VA123" s="1004"/>
      <c r="VB123" s="1004"/>
      <c r="VC123" s="1004"/>
      <c r="VD123" s="1004"/>
      <c r="VE123" s="1004"/>
      <c r="VF123" s="1004"/>
      <c r="VG123" s="1004"/>
      <c r="VH123" s="1004"/>
      <c r="VI123" s="1004"/>
      <c r="VJ123" s="1004"/>
      <c r="VK123" s="1004"/>
      <c r="VL123" s="1004"/>
      <c r="VM123" s="1004"/>
      <c r="VN123" s="1004"/>
      <c r="VO123" s="1004"/>
      <c r="VP123" s="1004"/>
      <c r="VQ123" s="1004"/>
      <c r="VR123" s="1004"/>
      <c r="VS123" s="1004"/>
      <c r="VT123" s="1004"/>
      <c r="VU123" s="1004"/>
      <c r="VV123" s="1004"/>
      <c r="VW123" s="1004"/>
      <c r="VX123" s="1004"/>
      <c r="VY123" s="1004"/>
      <c r="VZ123" s="1004"/>
      <c r="WA123" s="1004"/>
      <c r="WB123" s="1004"/>
      <c r="WC123" s="1004"/>
      <c r="WD123" s="1004"/>
      <c r="WE123" s="1004"/>
      <c r="WF123" s="1004"/>
      <c r="WG123" s="1004"/>
      <c r="WH123" s="1004"/>
      <c r="WI123" s="1004"/>
      <c r="WJ123" s="1004"/>
      <c r="WK123" s="1004"/>
      <c r="WL123" s="1004"/>
      <c r="WM123" s="1004"/>
      <c r="WN123" s="1004"/>
      <c r="WO123" s="1004"/>
      <c r="WP123" s="1004"/>
      <c r="WQ123" s="1004"/>
      <c r="WR123" s="1004"/>
      <c r="WS123" s="1004"/>
      <c r="WT123" s="1004"/>
      <c r="WU123" s="1004"/>
      <c r="WV123" s="1004"/>
      <c r="WW123" s="1004"/>
      <c r="WX123" s="1004"/>
      <c r="WY123" s="1004"/>
      <c r="WZ123" s="1004"/>
      <c r="XA123" s="1004"/>
      <c r="XB123" s="1004"/>
      <c r="XC123" s="1004"/>
      <c r="XD123" s="1004"/>
      <c r="XE123" s="1004"/>
      <c r="XF123" s="1004"/>
      <c r="XG123" s="1004"/>
      <c r="XH123" s="1004"/>
      <c r="XI123" s="1004"/>
      <c r="XJ123" s="1004"/>
      <c r="XK123" s="1004"/>
      <c r="XL123" s="1004"/>
      <c r="XM123" s="1004"/>
      <c r="XN123" s="1004"/>
      <c r="XO123" s="1004"/>
      <c r="XP123" s="1004"/>
      <c r="XQ123" s="1004"/>
      <c r="XR123" s="1004"/>
      <c r="XS123" s="1004"/>
      <c r="XT123" s="1004"/>
      <c r="XU123" s="1004"/>
      <c r="XV123" s="1004"/>
      <c r="XW123" s="1004"/>
      <c r="XX123" s="1004"/>
      <c r="XY123" s="1004"/>
      <c r="XZ123" s="1004"/>
      <c r="YA123" s="1004"/>
      <c r="YB123" s="1004"/>
      <c r="YC123" s="1004"/>
      <c r="YD123" s="1004"/>
      <c r="YE123" s="1004"/>
      <c r="YF123" s="1004"/>
      <c r="YG123" s="1004"/>
      <c r="YH123" s="1004"/>
      <c r="YI123" s="1004"/>
      <c r="YJ123" s="1004"/>
      <c r="YK123" s="1004"/>
      <c r="YL123" s="1004"/>
      <c r="YM123" s="1004"/>
      <c r="YN123" s="1004"/>
      <c r="YO123" s="1004"/>
      <c r="YP123" s="1004"/>
      <c r="YQ123" s="1004"/>
      <c r="YR123" s="1004"/>
      <c r="YS123" s="1004"/>
      <c r="YT123" s="1004"/>
      <c r="YU123" s="1004"/>
      <c r="YV123" s="1004"/>
      <c r="YW123" s="1004"/>
      <c r="YX123" s="1004"/>
      <c r="YY123" s="1004"/>
      <c r="YZ123" s="1004"/>
      <c r="ZA123" s="1004"/>
      <c r="ZB123" s="1004"/>
      <c r="ZC123" s="1004"/>
      <c r="ZD123" s="1004"/>
      <c r="ZE123" s="1004"/>
      <c r="ZF123" s="1004"/>
      <c r="ZG123" s="1004"/>
      <c r="ZH123" s="1004"/>
      <c r="ZI123" s="1004"/>
      <c r="ZJ123" s="1004"/>
      <c r="ZK123" s="1004"/>
      <c r="ZL123" s="1004"/>
      <c r="ZM123" s="1004"/>
      <c r="ZN123" s="1004"/>
      <c r="ZO123" s="1004"/>
      <c r="ZP123" s="1004"/>
      <c r="ZQ123" s="1004"/>
      <c r="ZR123" s="1004"/>
      <c r="ZS123" s="1004"/>
      <c r="ZT123" s="1004"/>
      <c r="ZU123" s="1004"/>
      <c r="ZV123" s="1004"/>
      <c r="ZW123" s="1004"/>
      <c r="ZX123" s="1004"/>
      <c r="ZY123" s="1004"/>
      <c r="ZZ123" s="1004"/>
      <c r="AAA123" s="1004"/>
      <c r="AAB123" s="1004"/>
      <c r="AAC123" s="1004"/>
      <c r="AAD123" s="1004"/>
      <c r="AAE123" s="1004"/>
      <c r="AAF123" s="1004"/>
      <c r="AAG123" s="1004"/>
      <c r="AAH123" s="1004"/>
      <c r="AAI123" s="1004"/>
      <c r="AAJ123" s="1004"/>
      <c r="AAK123" s="1004"/>
      <c r="AAL123" s="1004"/>
      <c r="AAM123" s="1004"/>
      <c r="AAN123" s="1004"/>
      <c r="AAO123" s="1004"/>
      <c r="AAP123" s="1004"/>
      <c r="AAQ123" s="1004"/>
      <c r="AAR123" s="1004"/>
      <c r="AAS123" s="1004"/>
      <c r="AAT123" s="1004"/>
      <c r="AAU123" s="1004"/>
      <c r="AAV123" s="1004"/>
      <c r="AAW123" s="1004"/>
      <c r="AAX123" s="1004"/>
      <c r="AAY123" s="1004"/>
      <c r="AAZ123" s="1004"/>
      <c r="ABA123" s="1004"/>
      <c r="ABB123" s="1004"/>
      <c r="ABC123" s="1004"/>
      <c r="ABD123" s="1004"/>
      <c r="ABE123" s="1004"/>
      <c r="ABF123" s="1004"/>
      <c r="ABG123" s="1004"/>
      <c r="ABH123" s="1004"/>
      <c r="ABI123" s="1004"/>
      <c r="ABJ123" s="1004"/>
      <c r="ABK123" s="1004"/>
      <c r="ABL123" s="1004"/>
      <c r="ABM123" s="1004"/>
      <c r="ABN123" s="1004"/>
      <c r="ABO123" s="1004"/>
      <c r="ABP123" s="1004"/>
      <c r="ABQ123" s="1004"/>
      <c r="ABR123" s="1004"/>
    </row>
    <row r="124" spans="1:746" s="111" customFormat="1" ht="12.9" customHeight="1" thickBot="1">
      <c r="A124" s="925"/>
      <c r="B124" s="354" t="s">
        <v>1320</v>
      </c>
      <c r="C124" s="101"/>
      <c r="D124" s="5"/>
      <c r="E124" s="347" t="s">
        <v>0</v>
      </c>
      <c r="F124" s="1240"/>
      <c r="G124" s="347">
        <v>0.25</v>
      </c>
      <c r="H124" s="2180"/>
      <c r="I124" s="2364"/>
      <c r="J124" s="809"/>
      <c r="K124" s="809"/>
      <c r="L124" s="809"/>
      <c r="M124" s="809"/>
      <c r="N124" s="809"/>
      <c r="O124" s="809"/>
      <c r="P124" s="809"/>
      <c r="Q124" s="809"/>
      <c r="R124" s="809"/>
      <c r="S124" s="809"/>
      <c r="T124" s="809"/>
      <c r="U124" s="368"/>
      <c r="V124" s="368"/>
      <c r="W124" s="368"/>
      <c r="X124" s="368"/>
      <c r="Y124" s="368"/>
      <c r="Z124" s="368"/>
      <c r="AA124" s="368"/>
      <c r="AB124" s="368"/>
      <c r="AC124" s="368"/>
      <c r="AD124" s="368"/>
      <c r="AE124" s="368"/>
      <c r="AF124" s="368"/>
      <c r="AG124" s="1042"/>
      <c r="AH124" s="359"/>
      <c r="AI124" s="359"/>
      <c r="AJ124" s="418">
        <f>IF(fx!$C$57=1,SUMIF(fx!I$57:T$57,1,I124:T124),IF(fx!$C$57=2,SUMIF(fx!O$57:AF$57,1,O124:AF124)))</f>
        <v>0</v>
      </c>
      <c r="AK124" s="328"/>
      <c r="AL124" s="417">
        <f>IF(fx!$C$57=1,SUM(U124:AF124),0)</f>
        <v>0</v>
      </c>
      <c r="AM124" s="1004"/>
      <c r="AN124" s="1024"/>
      <c r="AO124" s="1945"/>
      <c r="AP124" s="1935"/>
      <c r="AQ124" s="1936"/>
      <c r="AR124" s="1941"/>
      <c r="AS124" s="1941"/>
      <c r="AT124" s="1941"/>
      <c r="AU124" s="1941"/>
      <c r="AV124" s="1941"/>
      <c r="AW124" s="1941"/>
      <c r="AX124" s="1941"/>
      <c r="AY124" s="1941"/>
      <c r="AZ124" s="1941"/>
      <c r="BA124" s="1941"/>
      <c r="BB124" s="1941"/>
      <c r="BC124" s="1941"/>
      <c r="BD124" s="1941"/>
      <c r="BE124" s="1941"/>
      <c r="BF124" s="1941"/>
      <c r="BG124" s="1941"/>
      <c r="BH124" s="1941"/>
      <c r="BI124" s="1941"/>
      <c r="BJ124" s="1941"/>
      <c r="BK124" s="1941"/>
      <c r="BL124" s="1941"/>
      <c r="BM124" s="1941"/>
      <c r="BN124" s="1941"/>
      <c r="BO124" s="1941"/>
      <c r="BP124" s="1009"/>
      <c r="BQ124" s="1009"/>
      <c r="BR124" s="1009"/>
      <c r="BS124" s="1009"/>
      <c r="BT124" s="1009"/>
      <c r="BU124" s="1009"/>
      <c r="BV124" s="1009"/>
      <c r="BW124" s="1009"/>
      <c r="BX124" s="1009"/>
      <c r="BY124" s="1009"/>
      <c r="BZ124" s="1009"/>
      <c r="CA124" s="1009"/>
      <c r="CB124" s="1009"/>
      <c r="CC124" s="1009"/>
      <c r="CD124" s="1009"/>
      <c r="CE124" s="1009"/>
      <c r="CF124" s="1009"/>
      <c r="CG124" s="1009"/>
      <c r="CH124" s="1009"/>
      <c r="CI124" s="1009"/>
      <c r="CJ124" s="1009"/>
      <c r="CK124" s="1009"/>
      <c r="CL124" s="1009"/>
      <c r="CM124" s="1009"/>
      <c r="CN124" s="1009"/>
      <c r="CO124" s="1009"/>
      <c r="CP124" s="1009"/>
      <c r="CQ124" s="1009"/>
      <c r="CR124" s="1009"/>
      <c r="CS124" s="1009"/>
      <c r="CT124" s="1009"/>
      <c r="CU124" s="1009"/>
      <c r="CV124" s="1009"/>
      <c r="CW124" s="1009"/>
      <c r="CX124" s="1009"/>
      <c r="CY124" s="1009"/>
      <c r="CZ124" s="1009"/>
      <c r="DA124" s="1009"/>
      <c r="DB124" s="1009"/>
      <c r="DC124" s="1009"/>
      <c r="DD124" s="1009"/>
      <c r="DE124" s="1009"/>
      <c r="DF124" s="1009"/>
      <c r="DG124" s="1009"/>
      <c r="DH124" s="1009"/>
      <c r="DI124" s="1009"/>
      <c r="DJ124" s="1009"/>
      <c r="DK124" s="1009"/>
      <c r="DL124" s="1009"/>
      <c r="DM124" s="1009"/>
      <c r="DN124" s="1009"/>
      <c r="DO124" s="1009"/>
      <c r="DP124" s="1009"/>
      <c r="DQ124" s="1009"/>
      <c r="DR124" s="1009"/>
      <c r="DS124" s="1009"/>
      <c r="DT124" s="1009"/>
      <c r="DU124" s="1009"/>
      <c r="DV124" s="1009"/>
      <c r="DW124" s="1009"/>
      <c r="DX124" s="1009"/>
      <c r="DY124" s="1009"/>
      <c r="DZ124" s="1009"/>
      <c r="EA124" s="1009"/>
      <c r="EB124" s="1009"/>
      <c r="EC124" s="1009"/>
      <c r="ED124" s="1009"/>
      <c r="EE124" s="1009"/>
      <c r="EF124" s="1009"/>
      <c r="EG124" s="1009"/>
      <c r="EH124" s="1009"/>
      <c r="EI124" s="1009"/>
      <c r="EJ124" s="1009"/>
      <c r="EK124" s="1009"/>
      <c r="EL124" s="1009"/>
      <c r="EM124" s="1009"/>
      <c r="EN124" s="1009"/>
      <c r="EO124" s="1009"/>
      <c r="EP124" s="1009"/>
      <c r="EQ124" s="1009"/>
      <c r="ER124" s="1009"/>
      <c r="ES124" s="1009"/>
      <c r="ET124" s="1009"/>
      <c r="EU124" s="1009"/>
      <c r="EV124" s="1009"/>
      <c r="EW124" s="1009"/>
      <c r="EX124" s="1009"/>
      <c r="EY124" s="1009"/>
      <c r="EZ124" s="1009"/>
      <c r="FA124" s="1009"/>
      <c r="FB124" s="1009"/>
      <c r="FC124" s="1009"/>
      <c r="FD124" s="1009"/>
      <c r="FE124" s="1009"/>
      <c r="FF124" s="1009"/>
      <c r="FG124" s="1009"/>
      <c r="FH124" s="1009"/>
      <c r="FI124" s="1009"/>
      <c r="FJ124" s="1009"/>
      <c r="FK124" s="1009"/>
      <c r="FL124" s="1009"/>
      <c r="FM124" s="1009"/>
      <c r="FN124" s="1009"/>
      <c r="FO124" s="1009"/>
      <c r="FP124" s="1009"/>
      <c r="FQ124" s="1009"/>
      <c r="FR124" s="1009"/>
      <c r="FS124" s="1009"/>
      <c r="FT124" s="1009"/>
      <c r="FU124" s="1009"/>
      <c r="FV124" s="1009"/>
      <c r="FW124" s="1009"/>
      <c r="FX124" s="1009"/>
      <c r="FY124" s="1009"/>
      <c r="FZ124" s="1009"/>
      <c r="GA124" s="1009"/>
      <c r="GB124" s="1009"/>
      <c r="GC124" s="1009"/>
      <c r="GD124" s="1009"/>
      <c r="GE124" s="1009"/>
      <c r="GF124" s="1009"/>
      <c r="GG124" s="1009"/>
      <c r="GH124" s="1009"/>
      <c r="GI124" s="1009"/>
      <c r="GJ124" s="1009"/>
      <c r="GK124" s="1009"/>
      <c r="GL124" s="1009"/>
      <c r="GM124" s="1009"/>
      <c r="GN124" s="1009"/>
      <c r="GO124" s="1009"/>
      <c r="GP124" s="1009"/>
      <c r="GQ124" s="1009"/>
      <c r="GR124" s="1009"/>
      <c r="GS124" s="1009"/>
      <c r="GT124" s="1009"/>
      <c r="GU124" s="1009"/>
      <c r="GV124" s="1009"/>
      <c r="GW124" s="1009"/>
      <c r="GX124" s="1009"/>
      <c r="GY124" s="1009"/>
      <c r="GZ124" s="1009"/>
      <c r="HA124" s="1009"/>
      <c r="HB124" s="1009"/>
      <c r="HC124" s="1009"/>
      <c r="HD124" s="1009"/>
      <c r="HE124" s="1009"/>
      <c r="HF124" s="1009"/>
      <c r="HG124" s="1009"/>
      <c r="HH124" s="1009"/>
      <c r="HI124" s="1009"/>
      <c r="HJ124" s="1009"/>
      <c r="HK124" s="1009"/>
      <c r="HL124" s="1009"/>
      <c r="HM124" s="1009"/>
      <c r="HN124" s="1009"/>
      <c r="HO124" s="1009"/>
      <c r="HP124" s="1009"/>
      <c r="HQ124" s="1009"/>
      <c r="HR124" s="1009"/>
      <c r="HS124" s="1009"/>
      <c r="HT124" s="1009"/>
      <c r="HU124" s="1009"/>
      <c r="HV124" s="1009"/>
      <c r="HW124" s="1009"/>
      <c r="HX124" s="1009"/>
      <c r="HY124" s="1009"/>
      <c r="HZ124" s="1009"/>
      <c r="IA124" s="1009"/>
      <c r="IB124" s="1009"/>
      <c r="IC124" s="1009"/>
      <c r="ID124" s="1009"/>
      <c r="IE124" s="1009"/>
      <c r="IF124" s="1009"/>
      <c r="IG124" s="1009"/>
      <c r="IH124" s="1009"/>
      <c r="II124" s="1009"/>
      <c r="IJ124" s="1009"/>
      <c r="IK124" s="1009"/>
      <c r="IL124" s="1009"/>
      <c r="IM124" s="1009"/>
      <c r="IN124" s="1009"/>
      <c r="IO124" s="1009"/>
      <c r="IP124" s="1009"/>
      <c r="IQ124" s="1009"/>
      <c r="IR124" s="1009"/>
      <c r="IS124" s="1009"/>
      <c r="IT124" s="1009"/>
      <c r="IU124" s="1009"/>
      <c r="IV124" s="1009"/>
      <c r="IW124" s="1009"/>
      <c r="IX124" s="1009"/>
      <c r="IY124" s="1009"/>
      <c r="IZ124" s="1009"/>
      <c r="JA124" s="1009"/>
      <c r="JB124" s="1009"/>
      <c r="JC124" s="1009"/>
      <c r="JD124" s="1009"/>
      <c r="JE124" s="1009"/>
      <c r="JF124" s="1009"/>
      <c r="JG124" s="1009"/>
      <c r="JH124" s="1009"/>
      <c r="JI124" s="1009"/>
      <c r="JJ124" s="1009"/>
      <c r="JK124" s="1009"/>
      <c r="JL124" s="1009"/>
      <c r="JM124" s="1009"/>
      <c r="JN124" s="1009"/>
      <c r="JO124" s="1009"/>
      <c r="JP124" s="1009"/>
      <c r="JQ124" s="1009"/>
      <c r="JR124" s="1009"/>
      <c r="JS124" s="1009"/>
      <c r="JT124" s="1009"/>
      <c r="JU124" s="1009"/>
      <c r="JV124" s="1009"/>
      <c r="JW124" s="1009"/>
      <c r="JX124" s="1009"/>
      <c r="JY124" s="1009"/>
      <c r="JZ124" s="1009"/>
      <c r="KA124" s="1009"/>
      <c r="KB124" s="1009"/>
      <c r="KC124" s="1009"/>
      <c r="KD124" s="1009"/>
      <c r="KE124" s="1009"/>
      <c r="KF124" s="1009"/>
      <c r="KG124" s="1009"/>
      <c r="KH124" s="1009"/>
      <c r="KI124" s="1009"/>
      <c r="KJ124" s="1009"/>
      <c r="KK124" s="1009"/>
      <c r="KL124" s="1009"/>
      <c r="KM124" s="1009"/>
      <c r="KN124" s="1009"/>
      <c r="KO124" s="1009"/>
      <c r="KP124" s="1009"/>
      <c r="KQ124" s="1009"/>
      <c r="KR124" s="1009"/>
      <c r="KS124" s="1009"/>
      <c r="KT124" s="1009"/>
      <c r="KU124" s="1009"/>
      <c r="KV124" s="1009"/>
      <c r="KW124" s="1009"/>
      <c r="KX124" s="1009"/>
      <c r="KY124" s="1009"/>
      <c r="KZ124" s="1009"/>
      <c r="LA124" s="1009"/>
      <c r="LB124" s="1009"/>
      <c r="LC124" s="1009"/>
      <c r="LD124" s="1009"/>
      <c r="LE124" s="1009"/>
      <c r="LF124" s="1009"/>
      <c r="LG124" s="1009"/>
      <c r="LH124" s="1009"/>
      <c r="LI124" s="1009"/>
      <c r="LJ124" s="1009"/>
      <c r="LK124" s="1009"/>
      <c r="LL124" s="1009"/>
      <c r="LM124" s="1009"/>
      <c r="LN124" s="1009"/>
      <c r="LO124" s="1009"/>
      <c r="LP124" s="1009"/>
      <c r="LQ124" s="1009"/>
      <c r="LR124" s="1009"/>
      <c r="LS124" s="1009"/>
      <c r="LT124" s="1009"/>
      <c r="LU124" s="1009"/>
      <c r="LV124" s="1009"/>
      <c r="LW124" s="1009"/>
      <c r="LX124" s="1009"/>
      <c r="LY124" s="1009"/>
      <c r="LZ124" s="1009"/>
      <c r="MA124" s="1009"/>
      <c r="MB124" s="1009"/>
      <c r="MC124" s="1009"/>
      <c r="MD124" s="1009"/>
      <c r="ME124" s="1009"/>
      <c r="MF124" s="1009"/>
      <c r="MG124" s="1009"/>
      <c r="MH124" s="1009"/>
      <c r="MI124" s="1009"/>
      <c r="MJ124" s="1009"/>
      <c r="MK124" s="1009"/>
      <c r="ML124" s="1009"/>
      <c r="MM124" s="1009"/>
      <c r="MN124" s="1009"/>
      <c r="MO124" s="1009"/>
      <c r="MP124" s="1009"/>
      <c r="MQ124" s="1009"/>
      <c r="MR124" s="1009"/>
      <c r="MS124" s="1009"/>
      <c r="MT124" s="1009"/>
      <c r="MU124" s="1009"/>
      <c r="MV124" s="1009"/>
      <c r="MW124" s="1009"/>
      <c r="MX124" s="1009"/>
      <c r="MY124" s="1009"/>
      <c r="MZ124" s="1009"/>
      <c r="NA124" s="1009"/>
      <c r="NB124" s="1009"/>
      <c r="NC124" s="1009"/>
      <c r="ND124" s="1009"/>
      <c r="NE124" s="1009"/>
      <c r="NF124" s="1009"/>
      <c r="NG124" s="1009"/>
      <c r="NH124" s="1009"/>
      <c r="NI124" s="1009"/>
      <c r="NJ124" s="1009"/>
      <c r="NK124" s="1009"/>
      <c r="NL124" s="1009"/>
      <c r="NM124" s="1009"/>
      <c r="NN124" s="1009"/>
      <c r="NO124" s="1009"/>
      <c r="NP124" s="1009"/>
      <c r="NQ124" s="1009"/>
      <c r="NR124" s="1009"/>
      <c r="NS124" s="1009"/>
      <c r="NT124" s="1009"/>
      <c r="NU124" s="1009"/>
      <c r="NV124" s="1009"/>
      <c r="NW124" s="1009"/>
      <c r="NX124" s="1009"/>
      <c r="NY124" s="1009"/>
      <c r="NZ124" s="1009"/>
      <c r="OA124" s="1009"/>
      <c r="OB124" s="1009"/>
      <c r="OC124" s="1009"/>
      <c r="OD124" s="1009"/>
      <c r="OE124" s="1009"/>
      <c r="OF124" s="1009"/>
      <c r="OG124" s="1009"/>
      <c r="OH124" s="1009"/>
      <c r="OI124" s="1009"/>
      <c r="OJ124" s="1009"/>
      <c r="OK124" s="1009"/>
      <c r="OL124" s="1009"/>
      <c r="OM124" s="1009"/>
      <c r="ON124" s="1009"/>
      <c r="OO124" s="1009"/>
      <c r="OP124" s="1009"/>
      <c r="OQ124" s="1009"/>
      <c r="OR124" s="1009"/>
      <c r="OS124" s="1009"/>
      <c r="OT124" s="1009"/>
      <c r="OU124" s="1009"/>
      <c r="OV124" s="1009"/>
      <c r="OW124" s="1009"/>
      <c r="OX124" s="1009"/>
      <c r="OY124" s="1009"/>
      <c r="OZ124" s="1009"/>
      <c r="PA124" s="1009"/>
      <c r="PB124" s="1009"/>
      <c r="PC124" s="1009"/>
      <c r="PD124" s="1009"/>
      <c r="PE124" s="1009"/>
      <c r="PF124" s="1009"/>
      <c r="PG124" s="1009"/>
      <c r="PH124" s="1009"/>
      <c r="PI124" s="1009"/>
      <c r="PJ124" s="1009"/>
      <c r="PK124" s="1009"/>
      <c r="PL124" s="1009"/>
      <c r="PM124" s="1009"/>
      <c r="PN124" s="1009"/>
      <c r="PO124" s="1009"/>
      <c r="PP124" s="1009"/>
      <c r="PQ124" s="1009"/>
      <c r="PR124" s="1009"/>
      <c r="PS124" s="1009"/>
      <c r="PT124" s="1009"/>
      <c r="PU124" s="1009"/>
      <c r="PV124" s="1009"/>
      <c r="PW124" s="1009"/>
      <c r="PX124" s="1009"/>
      <c r="PY124" s="1009"/>
      <c r="PZ124" s="1009"/>
      <c r="QA124" s="1009"/>
      <c r="QB124" s="1009"/>
      <c r="QC124" s="1009"/>
      <c r="QD124" s="1009"/>
      <c r="QE124" s="1009"/>
      <c r="QF124" s="1009"/>
      <c r="QG124" s="1009"/>
      <c r="QH124" s="1009"/>
      <c r="QI124" s="1009"/>
      <c r="QJ124" s="1009"/>
      <c r="QK124" s="1009"/>
      <c r="QL124" s="1009"/>
      <c r="QM124" s="1009"/>
      <c r="QN124" s="1009"/>
      <c r="QO124" s="1009"/>
      <c r="QP124" s="1009"/>
      <c r="QQ124" s="1009"/>
      <c r="QR124" s="1009"/>
      <c r="QS124" s="1009"/>
      <c r="QT124" s="1009"/>
      <c r="QU124" s="1009"/>
      <c r="QV124" s="1009"/>
      <c r="QW124" s="1009"/>
      <c r="QX124" s="1009"/>
      <c r="QY124" s="1009"/>
      <c r="QZ124" s="1009"/>
      <c r="RA124" s="1009"/>
      <c r="RB124" s="1009"/>
      <c r="RC124" s="1009"/>
      <c r="RD124" s="1009"/>
      <c r="RE124" s="1009"/>
      <c r="RF124" s="1009"/>
      <c r="RG124" s="1009"/>
      <c r="RH124" s="1009"/>
      <c r="RI124" s="1009"/>
      <c r="RJ124" s="1009"/>
      <c r="RK124" s="1009"/>
      <c r="RL124" s="1009"/>
      <c r="RM124" s="1009"/>
      <c r="RN124" s="1009"/>
      <c r="RO124" s="1009"/>
      <c r="RP124" s="1009"/>
      <c r="RQ124" s="1009"/>
      <c r="RR124" s="1009"/>
      <c r="RS124" s="1009"/>
      <c r="RT124" s="1009"/>
      <c r="RU124" s="1009"/>
      <c r="RV124" s="1009"/>
      <c r="RW124" s="1009"/>
      <c r="RX124" s="1009"/>
      <c r="RY124" s="1009"/>
      <c r="RZ124" s="1009"/>
      <c r="SA124" s="1009"/>
      <c r="SB124" s="1009"/>
      <c r="SC124" s="1009"/>
      <c r="SD124" s="1009"/>
      <c r="SE124" s="1009"/>
      <c r="SF124" s="1009"/>
      <c r="SG124" s="1009"/>
      <c r="SH124" s="1009"/>
      <c r="SI124" s="1009"/>
      <c r="SJ124" s="1009"/>
      <c r="SK124" s="1009"/>
      <c r="SL124" s="1009"/>
      <c r="SM124" s="1009"/>
      <c r="SN124" s="1009"/>
      <c r="SO124" s="1009"/>
      <c r="SP124" s="1009"/>
      <c r="SQ124" s="1009"/>
      <c r="SR124" s="1009"/>
      <c r="SS124" s="1009"/>
      <c r="ST124" s="1009"/>
      <c r="SU124" s="1009"/>
      <c r="SV124" s="1009"/>
      <c r="SW124" s="1009"/>
      <c r="SX124" s="1009"/>
      <c r="SY124" s="1009"/>
      <c r="SZ124" s="1009"/>
      <c r="TA124" s="1009"/>
      <c r="TB124" s="1009"/>
      <c r="TC124" s="1009"/>
      <c r="TD124" s="1009"/>
      <c r="TE124" s="1009"/>
      <c r="TF124" s="1009"/>
      <c r="TG124" s="1009"/>
      <c r="TH124" s="1009"/>
      <c r="TI124" s="1009"/>
      <c r="TJ124" s="1009"/>
      <c r="TK124" s="1009"/>
      <c r="TL124" s="1009"/>
      <c r="TM124" s="1009"/>
      <c r="TN124" s="1009"/>
      <c r="TO124" s="1009"/>
      <c r="TP124" s="1009"/>
      <c r="TQ124" s="1009"/>
      <c r="TR124" s="1009"/>
      <c r="TS124" s="1009"/>
      <c r="TT124" s="1009"/>
      <c r="TU124" s="1009"/>
      <c r="TV124" s="1009"/>
      <c r="TW124" s="1009"/>
      <c r="TX124" s="1009"/>
      <c r="TY124" s="1009"/>
      <c r="TZ124" s="1009"/>
      <c r="UA124" s="1009"/>
      <c r="UB124" s="1009"/>
      <c r="UC124" s="1009"/>
      <c r="UD124" s="1009"/>
      <c r="UE124" s="1009"/>
      <c r="UF124" s="1009"/>
      <c r="UG124" s="1009"/>
      <c r="UH124" s="1009"/>
      <c r="UI124" s="1009"/>
      <c r="UJ124" s="1009"/>
      <c r="UK124" s="1009"/>
      <c r="UL124" s="1009"/>
      <c r="UM124" s="1009"/>
      <c r="UN124" s="1009"/>
      <c r="UO124" s="1009"/>
      <c r="UP124" s="1009"/>
      <c r="UQ124" s="1009"/>
      <c r="UR124" s="1009"/>
      <c r="US124" s="1009"/>
      <c r="UT124" s="1009"/>
      <c r="UU124" s="1009"/>
      <c r="UV124" s="1009"/>
      <c r="UW124" s="1009"/>
      <c r="UX124" s="1009"/>
      <c r="UY124" s="1009"/>
      <c r="UZ124" s="1009"/>
      <c r="VA124" s="1009"/>
      <c r="VB124" s="1009"/>
      <c r="VC124" s="1009"/>
      <c r="VD124" s="1009"/>
      <c r="VE124" s="1009"/>
      <c r="VF124" s="1009"/>
      <c r="VG124" s="1009"/>
      <c r="VH124" s="1009"/>
      <c r="VI124" s="1009"/>
      <c r="VJ124" s="1009"/>
      <c r="VK124" s="1009"/>
      <c r="VL124" s="1009"/>
      <c r="VM124" s="1009"/>
      <c r="VN124" s="1009"/>
      <c r="VO124" s="1009"/>
      <c r="VP124" s="1009"/>
      <c r="VQ124" s="1009"/>
      <c r="VR124" s="1009"/>
      <c r="VS124" s="1009"/>
      <c r="VT124" s="1009"/>
      <c r="VU124" s="1009"/>
      <c r="VV124" s="1009"/>
      <c r="VW124" s="1009"/>
      <c r="VX124" s="1009"/>
      <c r="VY124" s="1009"/>
      <c r="VZ124" s="1009"/>
      <c r="WA124" s="1009"/>
      <c r="WB124" s="1009"/>
      <c r="WC124" s="1009"/>
      <c r="WD124" s="1009"/>
      <c r="WE124" s="1009"/>
      <c r="WF124" s="1009"/>
      <c r="WG124" s="1009"/>
      <c r="WH124" s="1009"/>
      <c r="WI124" s="1009"/>
      <c r="WJ124" s="1009"/>
      <c r="WK124" s="1009"/>
      <c r="WL124" s="1009"/>
      <c r="WM124" s="1009"/>
      <c r="WN124" s="1009"/>
      <c r="WO124" s="1009"/>
      <c r="WP124" s="1009"/>
      <c r="WQ124" s="1009"/>
      <c r="WR124" s="1009"/>
      <c r="WS124" s="1009"/>
      <c r="WT124" s="1009"/>
      <c r="WU124" s="1009"/>
      <c r="WV124" s="1009"/>
      <c r="WW124" s="1009"/>
      <c r="WX124" s="1009"/>
      <c r="WY124" s="1009"/>
      <c r="WZ124" s="1009"/>
      <c r="XA124" s="1009"/>
      <c r="XB124" s="1009"/>
      <c r="XC124" s="1009"/>
      <c r="XD124" s="1009"/>
      <c r="XE124" s="1009"/>
      <c r="XF124" s="1009"/>
      <c r="XG124" s="1009"/>
      <c r="XH124" s="1009"/>
      <c r="XI124" s="1009"/>
      <c r="XJ124" s="1009"/>
      <c r="XK124" s="1009"/>
      <c r="XL124" s="1009"/>
      <c r="XM124" s="1009"/>
      <c r="XN124" s="1009"/>
      <c r="XO124" s="1009"/>
      <c r="XP124" s="1009"/>
      <c r="XQ124" s="1009"/>
      <c r="XR124" s="1009"/>
      <c r="XS124" s="1009"/>
      <c r="XT124" s="1009"/>
      <c r="XU124" s="1009"/>
      <c r="XV124" s="1009"/>
      <c r="XW124" s="1009"/>
      <c r="XX124" s="1009"/>
      <c r="XY124" s="1009"/>
      <c r="XZ124" s="1009"/>
      <c r="YA124" s="1009"/>
      <c r="YB124" s="1009"/>
      <c r="YC124" s="1009"/>
      <c r="YD124" s="1009"/>
      <c r="YE124" s="1009"/>
      <c r="YF124" s="1009"/>
      <c r="YG124" s="1009"/>
      <c r="YH124" s="1009"/>
      <c r="YI124" s="1009"/>
      <c r="YJ124" s="1009"/>
      <c r="YK124" s="1009"/>
      <c r="YL124" s="1009"/>
      <c r="YM124" s="1009"/>
      <c r="YN124" s="1009"/>
      <c r="YO124" s="1009"/>
      <c r="YP124" s="1009"/>
      <c r="YQ124" s="1009"/>
      <c r="YR124" s="1009"/>
      <c r="YS124" s="1009"/>
      <c r="YT124" s="1009"/>
      <c r="YU124" s="1009"/>
      <c r="YV124" s="1009"/>
      <c r="YW124" s="1009"/>
      <c r="YX124" s="1009"/>
      <c r="YY124" s="1009"/>
      <c r="YZ124" s="1009"/>
      <c r="ZA124" s="1009"/>
      <c r="ZB124" s="1009"/>
      <c r="ZC124" s="1009"/>
      <c r="ZD124" s="1009"/>
      <c r="ZE124" s="1009"/>
      <c r="ZF124" s="1009"/>
      <c r="ZG124" s="1009"/>
      <c r="ZH124" s="1009"/>
      <c r="ZI124" s="1009"/>
      <c r="ZJ124" s="1009"/>
      <c r="ZK124" s="1009"/>
      <c r="ZL124" s="1009"/>
      <c r="ZM124" s="1009"/>
      <c r="ZN124" s="1009"/>
      <c r="ZO124" s="1009"/>
      <c r="ZP124" s="1009"/>
      <c r="ZQ124" s="1009"/>
      <c r="ZR124" s="1009"/>
      <c r="ZS124" s="1009"/>
      <c r="ZT124" s="1009"/>
      <c r="ZU124" s="1009"/>
      <c r="ZV124" s="1009"/>
      <c r="ZW124" s="1009"/>
      <c r="ZX124" s="1009"/>
      <c r="ZY124" s="1009"/>
      <c r="ZZ124" s="1009"/>
      <c r="AAA124" s="1009"/>
      <c r="AAB124" s="1009"/>
      <c r="AAC124" s="1009"/>
      <c r="AAD124" s="1009"/>
      <c r="AAE124" s="1009"/>
      <c r="AAF124" s="1009"/>
      <c r="AAG124" s="1009"/>
      <c r="AAH124" s="1009"/>
      <c r="AAI124" s="1009"/>
      <c r="AAJ124" s="1009"/>
      <c r="AAK124" s="1009"/>
      <c r="AAL124" s="1009"/>
      <c r="AAM124" s="1009"/>
      <c r="AAN124" s="1009"/>
      <c r="AAO124" s="1009"/>
      <c r="AAP124" s="1009"/>
      <c r="AAQ124" s="1009"/>
      <c r="AAR124" s="1009"/>
      <c r="AAS124" s="1009"/>
      <c r="AAT124" s="1009"/>
      <c r="AAU124" s="1009"/>
      <c r="AAV124" s="1009"/>
      <c r="AAW124" s="1009"/>
      <c r="AAX124" s="1009"/>
      <c r="AAY124" s="1009"/>
      <c r="AAZ124" s="1009"/>
      <c r="ABA124" s="1009"/>
      <c r="ABB124" s="1009"/>
      <c r="ABC124" s="1009"/>
      <c r="ABD124" s="1009"/>
      <c r="ABE124" s="1009"/>
      <c r="ABF124" s="1009"/>
      <c r="ABG124" s="1009"/>
      <c r="ABH124" s="1009"/>
      <c r="ABI124" s="1009"/>
      <c r="ABJ124" s="1009"/>
      <c r="ABK124" s="1009"/>
      <c r="ABL124" s="1009"/>
      <c r="ABM124" s="1009"/>
      <c r="ABN124" s="1009"/>
      <c r="ABO124" s="1009"/>
      <c r="ABP124" s="1009"/>
      <c r="ABQ124" s="1009"/>
      <c r="ABR124" s="1009"/>
    </row>
    <row r="125" spans="1:746" s="112" customFormat="1" ht="12.75" customHeight="1" thickBot="1">
      <c r="A125" s="1252"/>
      <c r="B125" s="354" t="s">
        <v>1311</v>
      </c>
      <c r="C125" s="101"/>
      <c r="D125" s="5"/>
      <c r="E125" s="347" t="s">
        <v>0</v>
      </c>
      <c r="F125" s="1240"/>
      <c r="G125" s="347">
        <v>0.25</v>
      </c>
      <c r="H125" s="2180"/>
      <c r="I125" s="1966"/>
      <c r="J125" s="368"/>
      <c r="K125" s="368"/>
      <c r="L125" s="368"/>
      <c r="M125" s="368"/>
      <c r="N125" s="368"/>
      <c r="O125" s="368"/>
      <c r="P125" s="368"/>
      <c r="Q125" s="368"/>
      <c r="R125" s="368"/>
      <c r="S125" s="368"/>
      <c r="T125" s="368"/>
      <c r="U125" s="368"/>
      <c r="V125" s="368"/>
      <c r="W125" s="368"/>
      <c r="X125" s="368"/>
      <c r="Y125" s="368"/>
      <c r="Z125" s="368"/>
      <c r="AA125" s="368"/>
      <c r="AB125" s="368"/>
      <c r="AC125" s="368"/>
      <c r="AD125" s="368"/>
      <c r="AE125" s="368"/>
      <c r="AF125" s="368"/>
      <c r="AG125" s="2202"/>
      <c r="AH125" s="2199"/>
      <c r="AI125" s="2199"/>
      <c r="AJ125" s="1857">
        <f>IF(fx!$C$57=1,SUMIF(fx!I$57:T$57,1,I125:T125),IF(fx!$C$57=2,SUMIF(fx!O$57:AF$57,1,O125:AF125)))</f>
        <v>0</v>
      </c>
      <c r="AK125" s="328"/>
      <c r="AL125" s="417">
        <f>IF(fx!$C$57=1,SUM(U125:AF125),0)</f>
        <v>0</v>
      </c>
      <c r="AM125" s="1004"/>
      <c r="AN125" s="1024"/>
      <c r="AO125" s="1945"/>
      <c r="AP125" s="1935"/>
      <c r="AQ125" s="1936"/>
      <c r="AR125" s="1941"/>
      <c r="AS125" s="1941"/>
      <c r="AT125" s="1941"/>
      <c r="AU125" s="1941"/>
      <c r="AV125" s="1941"/>
      <c r="AW125" s="1941"/>
      <c r="AX125" s="1941"/>
      <c r="AY125" s="1941"/>
      <c r="AZ125" s="1941"/>
      <c r="BA125" s="1941"/>
      <c r="BB125" s="1941"/>
      <c r="BC125" s="1941"/>
      <c r="BD125" s="1941"/>
      <c r="BE125" s="1941"/>
      <c r="BF125" s="1941"/>
      <c r="BG125" s="1941"/>
      <c r="BH125" s="1941"/>
      <c r="BI125" s="1941"/>
      <c r="BJ125" s="1941"/>
      <c r="BK125" s="1941"/>
      <c r="BL125" s="1941"/>
      <c r="BM125" s="1941"/>
      <c r="BN125" s="1941"/>
      <c r="BO125" s="1941"/>
      <c r="BP125" s="1004"/>
      <c r="BQ125" s="1004"/>
      <c r="BR125" s="1004"/>
      <c r="BS125" s="1004"/>
      <c r="BT125" s="1004"/>
      <c r="BU125" s="1004"/>
      <c r="BV125" s="1004"/>
      <c r="BW125" s="1004"/>
      <c r="BX125" s="1004"/>
      <c r="BY125" s="1004"/>
      <c r="BZ125" s="1004"/>
      <c r="CA125" s="1004"/>
      <c r="CB125" s="1004"/>
      <c r="CC125" s="1004"/>
      <c r="CD125" s="1004"/>
      <c r="CE125" s="1004"/>
      <c r="CF125" s="1004"/>
      <c r="CG125" s="1004"/>
      <c r="CH125" s="1004"/>
      <c r="CI125" s="1004"/>
      <c r="CJ125" s="1004"/>
      <c r="CK125" s="1004"/>
      <c r="CL125" s="1004"/>
      <c r="CM125" s="1004"/>
      <c r="CN125" s="1004"/>
      <c r="CO125" s="1004"/>
      <c r="CP125" s="1004"/>
      <c r="CQ125" s="1004"/>
      <c r="CR125" s="1004"/>
      <c r="CS125" s="1004"/>
      <c r="CT125" s="1004"/>
      <c r="CU125" s="1004"/>
      <c r="CV125" s="1004"/>
      <c r="CW125" s="1004"/>
      <c r="CX125" s="1004"/>
      <c r="CY125" s="1004"/>
      <c r="CZ125" s="1004"/>
      <c r="DA125" s="1004"/>
      <c r="DB125" s="1004"/>
      <c r="DC125" s="1004"/>
      <c r="DD125" s="1004"/>
      <c r="DE125" s="1004"/>
      <c r="DF125" s="1004"/>
      <c r="DG125" s="1004"/>
      <c r="DH125" s="1004"/>
      <c r="DI125" s="1004"/>
      <c r="DJ125" s="1004"/>
      <c r="DK125" s="1004"/>
      <c r="DL125" s="1004"/>
      <c r="DM125" s="1004"/>
      <c r="DN125" s="1004"/>
      <c r="DO125" s="1004"/>
      <c r="DP125" s="1004"/>
      <c r="DQ125" s="1004"/>
      <c r="DR125" s="1004"/>
      <c r="DS125" s="1004"/>
      <c r="DT125" s="1004"/>
      <c r="DU125" s="1004"/>
      <c r="DV125" s="1004"/>
      <c r="DW125" s="1004"/>
      <c r="DX125" s="1004"/>
      <c r="DY125" s="1004"/>
      <c r="DZ125" s="1004"/>
      <c r="EA125" s="1004"/>
      <c r="EB125" s="1004"/>
      <c r="EC125" s="1004"/>
      <c r="ED125" s="1004"/>
      <c r="EE125" s="1004"/>
      <c r="EF125" s="1004"/>
      <c r="EG125" s="1004"/>
      <c r="EH125" s="1004"/>
      <c r="EI125" s="1004"/>
      <c r="EJ125" s="1004"/>
      <c r="EK125" s="1004"/>
      <c r="EL125" s="1004"/>
      <c r="EM125" s="1004"/>
      <c r="EN125" s="1004"/>
      <c r="EO125" s="1004"/>
      <c r="EP125" s="1004"/>
      <c r="EQ125" s="1004"/>
      <c r="ER125" s="1004"/>
      <c r="ES125" s="1004"/>
      <c r="ET125" s="1004"/>
      <c r="EU125" s="1004"/>
      <c r="EV125" s="1004"/>
      <c r="EW125" s="1004"/>
      <c r="EX125" s="1004"/>
      <c r="EY125" s="1004"/>
      <c r="EZ125" s="1004"/>
      <c r="FA125" s="1004"/>
      <c r="FB125" s="1004"/>
      <c r="FC125" s="1004"/>
      <c r="FD125" s="1004"/>
      <c r="FE125" s="1004"/>
      <c r="FF125" s="1004"/>
      <c r="FG125" s="1004"/>
      <c r="FH125" s="1004"/>
      <c r="FI125" s="1004"/>
      <c r="FJ125" s="1004"/>
      <c r="FK125" s="1004"/>
      <c r="FL125" s="1004"/>
      <c r="FM125" s="1004"/>
      <c r="FN125" s="1004"/>
      <c r="FO125" s="1004"/>
      <c r="FP125" s="1004"/>
      <c r="FQ125" s="1004"/>
      <c r="FR125" s="1004"/>
      <c r="FS125" s="1004"/>
      <c r="FT125" s="1004"/>
      <c r="FU125" s="1004"/>
      <c r="FV125" s="1004"/>
      <c r="FW125" s="1004"/>
      <c r="FX125" s="1004"/>
      <c r="FY125" s="1004"/>
      <c r="FZ125" s="1004"/>
      <c r="GA125" s="1004"/>
      <c r="GB125" s="1004"/>
      <c r="GC125" s="1004"/>
      <c r="GD125" s="1004"/>
      <c r="GE125" s="1004"/>
      <c r="GF125" s="1004"/>
      <c r="GG125" s="1004"/>
      <c r="GH125" s="1004"/>
      <c r="GI125" s="1004"/>
      <c r="GJ125" s="1004"/>
      <c r="GK125" s="1004"/>
      <c r="GL125" s="1004"/>
      <c r="GM125" s="1004"/>
      <c r="GN125" s="1004"/>
      <c r="GO125" s="1004"/>
      <c r="GP125" s="1004"/>
      <c r="GQ125" s="1004"/>
      <c r="GR125" s="1004"/>
      <c r="GS125" s="1004"/>
      <c r="GT125" s="1004"/>
      <c r="GU125" s="1004"/>
      <c r="GV125" s="1004"/>
      <c r="GW125" s="1004"/>
      <c r="GX125" s="1004"/>
      <c r="GY125" s="1004"/>
      <c r="GZ125" s="1004"/>
      <c r="HA125" s="1004"/>
      <c r="HB125" s="1004"/>
      <c r="HC125" s="1004"/>
      <c r="HD125" s="1004"/>
      <c r="HE125" s="1004"/>
      <c r="HF125" s="1004"/>
      <c r="HG125" s="1004"/>
      <c r="HH125" s="1004"/>
      <c r="HI125" s="1004"/>
      <c r="HJ125" s="1004"/>
      <c r="HK125" s="1004"/>
      <c r="HL125" s="1004"/>
      <c r="HM125" s="1004"/>
      <c r="HN125" s="1004"/>
      <c r="HO125" s="1004"/>
      <c r="HP125" s="1004"/>
      <c r="HQ125" s="1004"/>
      <c r="HR125" s="1004"/>
      <c r="HS125" s="1004"/>
      <c r="HT125" s="1004"/>
      <c r="HU125" s="1004"/>
      <c r="HV125" s="1004"/>
      <c r="HW125" s="1004"/>
      <c r="HX125" s="1004"/>
      <c r="HY125" s="1004"/>
      <c r="HZ125" s="1004"/>
      <c r="IA125" s="1004"/>
      <c r="IB125" s="1004"/>
      <c r="IC125" s="1004"/>
      <c r="ID125" s="1004"/>
      <c r="IE125" s="1004"/>
      <c r="IF125" s="1004"/>
      <c r="IG125" s="1004"/>
      <c r="IH125" s="1004"/>
      <c r="II125" s="1004"/>
      <c r="IJ125" s="1004"/>
      <c r="IK125" s="1004"/>
      <c r="IL125" s="1004"/>
      <c r="IM125" s="1004"/>
      <c r="IN125" s="1004"/>
      <c r="IO125" s="1004"/>
      <c r="IP125" s="1004"/>
      <c r="IQ125" s="1004"/>
      <c r="IR125" s="1004"/>
      <c r="IS125" s="1004"/>
      <c r="IT125" s="1004"/>
      <c r="IU125" s="1004"/>
      <c r="IV125" s="1004"/>
      <c r="IW125" s="1004"/>
      <c r="IX125" s="1004"/>
      <c r="IY125" s="1004"/>
      <c r="IZ125" s="1004"/>
      <c r="JA125" s="1004"/>
      <c r="JB125" s="1004"/>
      <c r="JC125" s="1004"/>
      <c r="JD125" s="1004"/>
      <c r="JE125" s="1004"/>
      <c r="JF125" s="1004"/>
      <c r="JG125" s="1004"/>
      <c r="JH125" s="1004"/>
      <c r="JI125" s="1004"/>
      <c r="JJ125" s="1004"/>
      <c r="JK125" s="1004"/>
      <c r="JL125" s="1004"/>
      <c r="JM125" s="1004"/>
      <c r="JN125" s="1004"/>
      <c r="JO125" s="1004"/>
      <c r="JP125" s="1004"/>
      <c r="JQ125" s="1004"/>
      <c r="JR125" s="1004"/>
      <c r="JS125" s="1004"/>
      <c r="JT125" s="1004"/>
      <c r="JU125" s="1004"/>
      <c r="JV125" s="1004"/>
      <c r="JW125" s="1004"/>
      <c r="JX125" s="1004"/>
      <c r="JY125" s="1004"/>
      <c r="JZ125" s="1004"/>
      <c r="KA125" s="1004"/>
      <c r="KB125" s="1004"/>
      <c r="KC125" s="1004"/>
      <c r="KD125" s="1004"/>
      <c r="KE125" s="1004"/>
      <c r="KF125" s="1004"/>
      <c r="KG125" s="1004"/>
      <c r="KH125" s="1004"/>
      <c r="KI125" s="1004"/>
      <c r="KJ125" s="1004"/>
      <c r="KK125" s="1004"/>
      <c r="KL125" s="1004"/>
      <c r="KM125" s="1004"/>
      <c r="KN125" s="1004"/>
      <c r="KO125" s="1004"/>
      <c r="KP125" s="1004"/>
      <c r="KQ125" s="1004"/>
      <c r="KR125" s="1004"/>
      <c r="KS125" s="1004"/>
      <c r="KT125" s="1004"/>
      <c r="KU125" s="1004"/>
      <c r="KV125" s="1004"/>
      <c r="KW125" s="1004"/>
      <c r="KX125" s="1004"/>
      <c r="KY125" s="1004"/>
      <c r="KZ125" s="1004"/>
      <c r="LA125" s="1004"/>
      <c r="LB125" s="1004"/>
      <c r="LC125" s="1004"/>
      <c r="LD125" s="1004"/>
      <c r="LE125" s="1004"/>
      <c r="LF125" s="1004"/>
      <c r="LG125" s="1004"/>
      <c r="LH125" s="1004"/>
      <c r="LI125" s="1004"/>
      <c r="LJ125" s="1004"/>
      <c r="LK125" s="1004"/>
      <c r="LL125" s="1004"/>
      <c r="LM125" s="1004"/>
      <c r="LN125" s="1004"/>
      <c r="LO125" s="1004"/>
      <c r="LP125" s="1004"/>
      <c r="LQ125" s="1004"/>
      <c r="LR125" s="1004"/>
      <c r="LS125" s="1004"/>
      <c r="LT125" s="1004"/>
      <c r="LU125" s="1004"/>
      <c r="LV125" s="1004"/>
      <c r="LW125" s="1004"/>
      <c r="LX125" s="1004"/>
      <c r="LY125" s="1004"/>
      <c r="LZ125" s="1004"/>
      <c r="MA125" s="1004"/>
      <c r="MB125" s="1004"/>
      <c r="MC125" s="1004"/>
      <c r="MD125" s="1004"/>
      <c r="ME125" s="1004"/>
      <c r="MF125" s="1004"/>
      <c r="MG125" s="1004"/>
      <c r="MH125" s="1004"/>
      <c r="MI125" s="1004"/>
      <c r="MJ125" s="1004"/>
      <c r="MK125" s="1004"/>
      <c r="ML125" s="1004"/>
      <c r="MM125" s="1004"/>
      <c r="MN125" s="1004"/>
      <c r="MO125" s="1004"/>
      <c r="MP125" s="1004"/>
      <c r="MQ125" s="1004"/>
      <c r="MR125" s="1004"/>
      <c r="MS125" s="1004"/>
      <c r="MT125" s="1004"/>
      <c r="MU125" s="1004"/>
      <c r="MV125" s="1004"/>
      <c r="MW125" s="1004"/>
      <c r="MX125" s="1004"/>
      <c r="MY125" s="1004"/>
      <c r="MZ125" s="1004"/>
      <c r="NA125" s="1004"/>
      <c r="NB125" s="1004"/>
      <c r="NC125" s="1004"/>
      <c r="ND125" s="1004"/>
      <c r="NE125" s="1004"/>
      <c r="NF125" s="1004"/>
      <c r="NG125" s="1004"/>
      <c r="NH125" s="1004"/>
      <c r="NI125" s="1004"/>
      <c r="NJ125" s="1004"/>
      <c r="NK125" s="1004"/>
      <c r="NL125" s="1004"/>
      <c r="NM125" s="1004"/>
      <c r="NN125" s="1004"/>
      <c r="NO125" s="1004"/>
      <c r="NP125" s="1004"/>
      <c r="NQ125" s="1004"/>
      <c r="NR125" s="1004"/>
      <c r="NS125" s="1004"/>
      <c r="NT125" s="1004"/>
      <c r="NU125" s="1004"/>
      <c r="NV125" s="1004"/>
      <c r="NW125" s="1004"/>
      <c r="NX125" s="1004"/>
      <c r="NY125" s="1004"/>
      <c r="NZ125" s="1004"/>
      <c r="OA125" s="1004"/>
      <c r="OB125" s="1004"/>
      <c r="OC125" s="1004"/>
      <c r="OD125" s="1004"/>
      <c r="OE125" s="1004"/>
      <c r="OF125" s="1004"/>
      <c r="OG125" s="1004"/>
      <c r="OH125" s="1004"/>
      <c r="OI125" s="1004"/>
      <c r="OJ125" s="1004"/>
      <c r="OK125" s="1004"/>
      <c r="OL125" s="1004"/>
      <c r="OM125" s="1004"/>
      <c r="ON125" s="1004"/>
      <c r="OO125" s="1004"/>
      <c r="OP125" s="1004"/>
      <c r="OQ125" s="1004"/>
      <c r="OR125" s="1004"/>
      <c r="OS125" s="1004"/>
      <c r="OT125" s="1004"/>
      <c r="OU125" s="1004"/>
      <c r="OV125" s="1004"/>
      <c r="OW125" s="1004"/>
      <c r="OX125" s="1004"/>
      <c r="OY125" s="1004"/>
      <c r="OZ125" s="1004"/>
      <c r="PA125" s="1004"/>
      <c r="PB125" s="1004"/>
      <c r="PC125" s="1004"/>
      <c r="PD125" s="1004"/>
      <c r="PE125" s="1004"/>
      <c r="PF125" s="1004"/>
      <c r="PG125" s="1004"/>
      <c r="PH125" s="1004"/>
      <c r="PI125" s="1004"/>
      <c r="PJ125" s="1004"/>
      <c r="PK125" s="1004"/>
      <c r="PL125" s="1004"/>
      <c r="PM125" s="1004"/>
      <c r="PN125" s="1004"/>
      <c r="PO125" s="1004"/>
      <c r="PP125" s="1004"/>
      <c r="PQ125" s="1004"/>
      <c r="PR125" s="1004"/>
      <c r="PS125" s="1004"/>
      <c r="PT125" s="1004"/>
      <c r="PU125" s="1004"/>
      <c r="PV125" s="1004"/>
      <c r="PW125" s="1004"/>
      <c r="PX125" s="1004"/>
      <c r="PY125" s="1004"/>
      <c r="PZ125" s="1004"/>
      <c r="QA125" s="1004"/>
      <c r="QB125" s="1004"/>
      <c r="QC125" s="1004"/>
      <c r="QD125" s="1004"/>
      <c r="QE125" s="1004"/>
      <c r="QF125" s="1004"/>
      <c r="QG125" s="1004"/>
      <c r="QH125" s="1004"/>
      <c r="QI125" s="1004"/>
      <c r="QJ125" s="1004"/>
      <c r="QK125" s="1004"/>
      <c r="QL125" s="1004"/>
      <c r="QM125" s="1004"/>
      <c r="QN125" s="1004"/>
      <c r="QO125" s="1004"/>
      <c r="QP125" s="1004"/>
      <c r="QQ125" s="1004"/>
      <c r="QR125" s="1004"/>
      <c r="QS125" s="1004"/>
      <c r="QT125" s="1004"/>
      <c r="QU125" s="1004"/>
      <c r="QV125" s="1004"/>
      <c r="QW125" s="1004"/>
      <c r="QX125" s="1004"/>
      <c r="QY125" s="1004"/>
      <c r="QZ125" s="1004"/>
      <c r="RA125" s="1004"/>
      <c r="RB125" s="1004"/>
      <c r="RC125" s="1004"/>
      <c r="RD125" s="1004"/>
      <c r="RE125" s="1004"/>
      <c r="RF125" s="1004"/>
      <c r="RG125" s="1004"/>
      <c r="RH125" s="1004"/>
      <c r="RI125" s="1004"/>
      <c r="RJ125" s="1004"/>
      <c r="RK125" s="1004"/>
      <c r="RL125" s="1004"/>
      <c r="RM125" s="1004"/>
      <c r="RN125" s="1004"/>
      <c r="RO125" s="1004"/>
      <c r="RP125" s="1004"/>
      <c r="RQ125" s="1004"/>
      <c r="RR125" s="1004"/>
      <c r="RS125" s="1004"/>
      <c r="RT125" s="1004"/>
      <c r="RU125" s="1004"/>
      <c r="RV125" s="1004"/>
      <c r="RW125" s="1004"/>
      <c r="RX125" s="1004"/>
      <c r="RY125" s="1004"/>
      <c r="RZ125" s="1004"/>
      <c r="SA125" s="1004"/>
      <c r="SB125" s="1004"/>
      <c r="SC125" s="1004"/>
      <c r="SD125" s="1004"/>
      <c r="SE125" s="1004"/>
      <c r="SF125" s="1004"/>
      <c r="SG125" s="1004"/>
      <c r="SH125" s="1004"/>
      <c r="SI125" s="1004"/>
      <c r="SJ125" s="1004"/>
      <c r="SK125" s="1004"/>
      <c r="SL125" s="1004"/>
      <c r="SM125" s="1004"/>
      <c r="SN125" s="1004"/>
      <c r="SO125" s="1004"/>
      <c r="SP125" s="1004"/>
      <c r="SQ125" s="1004"/>
      <c r="SR125" s="1004"/>
      <c r="SS125" s="1004"/>
      <c r="ST125" s="1004"/>
      <c r="SU125" s="1004"/>
      <c r="SV125" s="1004"/>
      <c r="SW125" s="1004"/>
      <c r="SX125" s="1004"/>
      <c r="SY125" s="1004"/>
      <c r="SZ125" s="1004"/>
      <c r="TA125" s="1004"/>
      <c r="TB125" s="1004"/>
      <c r="TC125" s="1004"/>
      <c r="TD125" s="1004"/>
      <c r="TE125" s="1004"/>
      <c r="TF125" s="1004"/>
      <c r="TG125" s="1004"/>
      <c r="TH125" s="1004"/>
      <c r="TI125" s="1004"/>
      <c r="TJ125" s="1004"/>
      <c r="TK125" s="1004"/>
      <c r="TL125" s="1004"/>
      <c r="TM125" s="1004"/>
      <c r="TN125" s="1004"/>
      <c r="TO125" s="1004"/>
      <c r="TP125" s="1004"/>
      <c r="TQ125" s="1004"/>
      <c r="TR125" s="1004"/>
      <c r="TS125" s="1004"/>
      <c r="TT125" s="1004"/>
      <c r="TU125" s="1004"/>
      <c r="TV125" s="1004"/>
      <c r="TW125" s="1004"/>
      <c r="TX125" s="1004"/>
      <c r="TY125" s="1004"/>
      <c r="TZ125" s="1004"/>
      <c r="UA125" s="1004"/>
      <c r="UB125" s="1004"/>
      <c r="UC125" s="1004"/>
      <c r="UD125" s="1004"/>
      <c r="UE125" s="1004"/>
      <c r="UF125" s="1004"/>
      <c r="UG125" s="1004"/>
      <c r="UH125" s="1004"/>
      <c r="UI125" s="1004"/>
      <c r="UJ125" s="1004"/>
      <c r="UK125" s="1004"/>
      <c r="UL125" s="1004"/>
      <c r="UM125" s="1004"/>
      <c r="UN125" s="1004"/>
      <c r="UO125" s="1004"/>
      <c r="UP125" s="1004"/>
      <c r="UQ125" s="1004"/>
      <c r="UR125" s="1004"/>
      <c r="US125" s="1004"/>
      <c r="UT125" s="1004"/>
      <c r="UU125" s="1004"/>
      <c r="UV125" s="1004"/>
      <c r="UW125" s="1004"/>
      <c r="UX125" s="1004"/>
      <c r="UY125" s="1004"/>
      <c r="UZ125" s="1004"/>
      <c r="VA125" s="1004"/>
      <c r="VB125" s="1004"/>
      <c r="VC125" s="1004"/>
      <c r="VD125" s="1004"/>
      <c r="VE125" s="1004"/>
      <c r="VF125" s="1004"/>
      <c r="VG125" s="1004"/>
      <c r="VH125" s="1004"/>
      <c r="VI125" s="1004"/>
      <c r="VJ125" s="1004"/>
      <c r="VK125" s="1004"/>
      <c r="VL125" s="1004"/>
      <c r="VM125" s="1004"/>
      <c r="VN125" s="1004"/>
      <c r="VO125" s="1004"/>
      <c r="VP125" s="1004"/>
      <c r="VQ125" s="1004"/>
      <c r="VR125" s="1004"/>
      <c r="VS125" s="1004"/>
      <c r="VT125" s="1004"/>
      <c r="VU125" s="1004"/>
      <c r="VV125" s="1004"/>
      <c r="VW125" s="1004"/>
      <c r="VX125" s="1004"/>
      <c r="VY125" s="1004"/>
      <c r="VZ125" s="1004"/>
      <c r="WA125" s="1004"/>
      <c r="WB125" s="1004"/>
      <c r="WC125" s="1004"/>
      <c r="WD125" s="1004"/>
      <c r="WE125" s="1004"/>
      <c r="WF125" s="1004"/>
      <c r="WG125" s="1004"/>
      <c r="WH125" s="1004"/>
      <c r="WI125" s="1004"/>
      <c r="WJ125" s="1004"/>
      <c r="WK125" s="1004"/>
      <c r="WL125" s="1004"/>
      <c r="WM125" s="1004"/>
      <c r="WN125" s="1004"/>
      <c r="WO125" s="1004"/>
      <c r="WP125" s="1004"/>
      <c r="WQ125" s="1004"/>
      <c r="WR125" s="1004"/>
      <c r="WS125" s="1004"/>
      <c r="WT125" s="1004"/>
      <c r="WU125" s="1004"/>
      <c r="WV125" s="1004"/>
      <c r="WW125" s="1004"/>
      <c r="WX125" s="1004"/>
      <c r="WY125" s="1004"/>
      <c r="WZ125" s="1004"/>
      <c r="XA125" s="1004"/>
      <c r="XB125" s="1004"/>
      <c r="XC125" s="1004"/>
      <c r="XD125" s="1004"/>
      <c r="XE125" s="1004"/>
      <c r="XF125" s="1004"/>
      <c r="XG125" s="1004"/>
      <c r="XH125" s="1004"/>
      <c r="XI125" s="1004"/>
      <c r="XJ125" s="1004"/>
      <c r="XK125" s="1004"/>
      <c r="XL125" s="1004"/>
      <c r="XM125" s="1004"/>
      <c r="XN125" s="1004"/>
      <c r="XO125" s="1004"/>
      <c r="XP125" s="1004"/>
      <c r="XQ125" s="1004"/>
      <c r="XR125" s="1004"/>
      <c r="XS125" s="1004"/>
      <c r="XT125" s="1004"/>
      <c r="XU125" s="1004"/>
      <c r="XV125" s="1004"/>
      <c r="XW125" s="1004"/>
      <c r="XX125" s="1004"/>
      <c r="XY125" s="1004"/>
      <c r="XZ125" s="1004"/>
      <c r="YA125" s="1004"/>
      <c r="YB125" s="1004"/>
      <c r="YC125" s="1004"/>
      <c r="YD125" s="1004"/>
      <c r="YE125" s="1004"/>
      <c r="YF125" s="1004"/>
      <c r="YG125" s="1004"/>
      <c r="YH125" s="1004"/>
      <c r="YI125" s="1004"/>
      <c r="YJ125" s="1004"/>
      <c r="YK125" s="1004"/>
      <c r="YL125" s="1004"/>
      <c r="YM125" s="1004"/>
      <c r="YN125" s="1004"/>
      <c r="YO125" s="1004"/>
      <c r="YP125" s="1004"/>
      <c r="YQ125" s="1004"/>
      <c r="YR125" s="1004"/>
      <c r="YS125" s="1004"/>
      <c r="YT125" s="1004"/>
      <c r="YU125" s="1004"/>
      <c r="YV125" s="1004"/>
      <c r="YW125" s="1004"/>
      <c r="YX125" s="1004"/>
      <c r="YY125" s="1004"/>
      <c r="YZ125" s="1004"/>
      <c r="ZA125" s="1004"/>
      <c r="ZB125" s="1004"/>
      <c r="ZC125" s="1004"/>
      <c r="ZD125" s="1004"/>
      <c r="ZE125" s="1004"/>
      <c r="ZF125" s="1004"/>
      <c r="ZG125" s="1004"/>
      <c r="ZH125" s="1004"/>
      <c r="ZI125" s="1004"/>
      <c r="ZJ125" s="1004"/>
      <c r="ZK125" s="1004"/>
      <c r="ZL125" s="1004"/>
      <c r="ZM125" s="1004"/>
      <c r="ZN125" s="1004"/>
      <c r="ZO125" s="1004"/>
      <c r="ZP125" s="1004"/>
      <c r="ZQ125" s="1004"/>
      <c r="ZR125" s="1004"/>
      <c r="ZS125" s="1004"/>
      <c r="ZT125" s="1004"/>
      <c r="ZU125" s="1004"/>
      <c r="ZV125" s="1004"/>
      <c r="ZW125" s="1004"/>
      <c r="ZX125" s="1004"/>
      <c r="ZY125" s="1004"/>
      <c r="ZZ125" s="1004"/>
      <c r="AAA125" s="1004"/>
      <c r="AAB125" s="1004"/>
      <c r="AAC125" s="1004"/>
      <c r="AAD125" s="1004"/>
      <c r="AAE125" s="1004"/>
      <c r="AAF125" s="1004"/>
      <c r="AAG125" s="1004"/>
      <c r="AAH125" s="1004"/>
      <c r="AAI125" s="1004"/>
      <c r="AAJ125" s="1004"/>
      <c r="AAK125" s="1004"/>
      <c r="AAL125" s="1004"/>
      <c r="AAM125" s="1004"/>
      <c r="AAN125" s="1004"/>
      <c r="AAO125" s="1004"/>
      <c r="AAP125" s="1004"/>
      <c r="AAQ125" s="1004"/>
      <c r="AAR125" s="1004"/>
      <c r="AAS125" s="1004"/>
      <c r="AAT125" s="1004"/>
      <c r="AAU125" s="1004"/>
      <c r="AAV125" s="1004"/>
      <c r="AAW125" s="1004"/>
      <c r="AAX125" s="1004"/>
      <c r="AAY125" s="1004"/>
      <c r="AAZ125" s="1004"/>
      <c r="ABA125" s="1004"/>
      <c r="ABB125" s="1004"/>
      <c r="ABC125" s="1004"/>
      <c r="ABD125" s="1004"/>
      <c r="ABE125" s="1004"/>
      <c r="ABF125" s="1004"/>
      <c r="ABG125" s="1004"/>
      <c r="ABH125" s="1004"/>
      <c r="ABI125" s="1004"/>
      <c r="ABJ125" s="1004"/>
      <c r="ABK125" s="1004"/>
      <c r="ABL125" s="1004"/>
      <c r="ABM125" s="1004"/>
      <c r="ABN125" s="1004"/>
      <c r="ABO125" s="1004"/>
      <c r="ABP125" s="1004"/>
      <c r="ABQ125" s="1004"/>
      <c r="ABR125" s="1004"/>
    </row>
    <row r="126" spans="1:746" s="112" customFormat="1" ht="12.75" hidden="1" customHeight="1" thickBot="1">
      <c r="A126" s="1252"/>
      <c r="B126" s="354" t="s">
        <v>1312</v>
      </c>
      <c r="C126" s="101"/>
      <c r="D126" s="5"/>
      <c r="E126" s="347" t="s">
        <v>0</v>
      </c>
      <c r="F126" s="1240"/>
      <c r="G126" s="347">
        <v>0.25</v>
      </c>
      <c r="H126" s="2413"/>
      <c r="I126" s="1966"/>
      <c r="J126" s="368"/>
      <c r="K126" s="368"/>
      <c r="L126" s="368"/>
      <c r="M126" s="368"/>
      <c r="N126" s="368"/>
      <c r="O126" s="368"/>
      <c r="P126" s="368"/>
      <c r="Q126" s="368"/>
      <c r="R126" s="368"/>
      <c r="S126" s="368"/>
      <c r="T126" s="368"/>
      <c r="U126" s="794"/>
      <c r="V126" s="794"/>
      <c r="W126" s="794"/>
      <c r="X126" s="794"/>
      <c r="Y126" s="794"/>
      <c r="Z126" s="794"/>
      <c r="AA126" s="794"/>
      <c r="AB126" s="794"/>
      <c r="AC126" s="794"/>
      <c r="AD126" s="794"/>
      <c r="AE126" s="794"/>
      <c r="AF126" s="794"/>
      <c r="AG126" s="1042"/>
      <c r="AH126" s="2199"/>
      <c r="AI126" s="2199"/>
      <c r="AJ126" s="1857">
        <f>IF(fx!$C$57=1,SUMIF(fx!I$57:T$57,1,I126:T126),IF(fx!$C$57=2,SUMIF(fx!O$57:AF$57,1,O126:AF126)))</f>
        <v>0</v>
      </c>
      <c r="AK126" s="328"/>
      <c r="AL126" s="417">
        <f>IF(fx!$C$57=1,SUM(U126:AF126),0)</f>
        <v>0</v>
      </c>
      <c r="AM126" s="1004"/>
      <c r="AN126" s="1024"/>
      <c r="AO126" s="1945"/>
      <c r="AP126" s="1935"/>
      <c r="AQ126" s="1936"/>
      <c r="AR126" s="1958"/>
      <c r="AS126" s="1958"/>
      <c r="AT126" s="1958"/>
      <c r="AU126" s="1958"/>
      <c r="AV126" s="1958"/>
      <c r="AW126" s="1958"/>
      <c r="AX126" s="1958"/>
      <c r="AY126" s="1958"/>
      <c r="AZ126" s="1958"/>
      <c r="BA126" s="1958"/>
      <c r="BB126" s="1958"/>
      <c r="BC126" s="1958"/>
      <c r="BD126" s="1958"/>
      <c r="BE126" s="1958"/>
      <c r="BF126" s="1958"/>
      <c r="BG126" s="1958"/>
      <c r="BH126" s="1958"/>
      <c r="BI126" s="1958"/>
      <c r="BJ126" s="1958"/>
      <c r="BK126" s="1958"/>
      <c r="BL126" s="1958"/>
      <c r="BM126" s="1958"/>
      <c r="BN126" s="1958"/>
      <c r="BO126" s="1958"/>
      <c r="BP126" s="1004"/>
      <c r="BQ126" s="1004"/>
      <c r="BR126" s="1004"/>
      <c r="BS126" s="1004"/>
      <c r="BT126" s="1004"/>
      <c r="BU126" s="1004"/>
      <c r="BV126" s="1004"/>
      <c r="BW126" s="1004"/>
      <c r="BX126" s="1004"/>
      <c r="BY126" s="1004"/>
      <c r="BZ126" s="1004"/>
      <c r="CA126" s="1004"/>
      <c r="CB126" s="1004"/>
      <c r="CC126" s="1004"/>
      <c r="CD126" s="1004"/>
      <c r="CE126" s="1004"/>
      <c r="CF126" s="1004"/>
      <c r="CG126" s="1004"/>
      <c r="CH126" s="1004"/>
      <c r="CI126" s="1004"/>
      <c r="CJ126" s="1004"/>
      <c r="CK126" s="1004"/>
      <c r="CL126" s="1004"/>
      <c r="CM126" s="1004"/>
      <c r="CN126" s="1004"/>
      <c r="CO126" s="1004"/>
      <c r="CP126" s="1004"/>
      <c r="CQ126" s="1004"/>
      <c r="CR126" s="1004"/>
      <c r="CS126" s="1004"/>
      <c r="CT126" s="1004"/>
      <c r="CU126" s="1004"/>
      <c r="CV126" s="1004"/>
      <c r="CW126" s="1004"/>
      <c r="CX126" s="1004"/>
      <c r="CY126" s="1004"/>
      <c r="CZ126" s="1004"/>
      <c r="DA126" s="1004"/>
      <c r="DB126" s="1004"/>
      <c r="DC126" s="1004"/>
      <c r="DD126" s="1004"/>
      <c r="DE126" s="1004"/>
      <c r="DF126" s="1004"/>
      <c r="DG126" s="1004"/>
      <c r="DH126" s="1004"/>
      <c r="DI126" s="1004"/>
      <c r="DJ126" s="1004"/>
      <c r="DK126" s="1004"/>
      <c r="DL126" s="1004"/>
      <c r="DM126" s="1004"/>
      <c r="DN126" s="1004"/>
      <c r="DO126" s="1004"/>
      <c r="DP126" s="1004"/>
      <c r="DQ126" s="1004"/>
      <c r="DR126" s="1004"/>
      <c r="DS126" s="1004"/>
      <c r="DT126" s="1004"/>
      <c r="DU126" s="1004"/>
      <c r="DV126" s="1004"/>
      <c r="DW126" s="1004"/>
      <c r="DX126" s="1004"/>
      <c r="DY126" s="1004"/>
      <c r="DZ126" s="1004"/>
      <c r="EA126" s="1004"/>
      <c r="EB126" s="1004"/>
      <c r="EC126" s="1004"/>
      <c r="ED126" s="1004"/>
      <c r="EE126" s="1004"/>
      <c r="EF126" s="1004"/>
      <c r="EG126" s="1004"/>
      <c r="EH126" s="1004"/>
      <c r="EI126" s="1004"/>
      <c r="EJ126" s="1004"/>
      <c r="EK126" s="1004"/>
      <c r="EL126" s="1004"/>
      <c r="EM126" s="1004"/>
      <c r="EN126" s="1004"/>
      <c r="EO126" s="1004"/>
      <c r="EP126" s="1004"/>
      <c r="EQ126" s="1004"/>
      <c r="ER126" s="1004"/>
      <c r="ES126" s="1004"/>
      <c r="ET126" s="1004"/>
      <c r="EU126" s="1004"/>
      <c r="EV126" s="1004"/>
      <c r="EW126" s="1004"/>
      <c r="EX126" s="1004"/>
      <c r="EY126" s="1004"/>
      <c r="EZ126" s="1004"/>
      <c r="FA126" s="1004"/>
      <c r="FB126" s="1004"/>
      <c r="FC126" s="1004"/>
      <c r="FD126" s="1004"/>
      <c r="FE126" s="1004"/>
      <c r="FF126" s="1004"/>
      <c r="FG126" s="1004"/>
      <c r="FH126" s="1004"/>
      <c r="FI126" s="1004"/>
      <c r="FJ126" s="1004"/>
      <c r="FK126" s="1004"/>
      <c r="FL126" s="1004"/>
      <c r="FM126" s="1004"/>
      <c r="FN126" s="1004"/>
      <c r="FO126" s="1004"/>
      <c r="FP126" s="1004"/>
      <c r="FQ126" s="1004"/>
      <c r="FR126" s="1004"/>
      <c r="FS126" s="1004"/>
      <c r="FT126" s="1004"/>
      <c r="FU126" s="1004"/>
      <c r="FV126" s="1004"/>
      <c r="FW126" s="1004"/>
      <c r="FX126" s="1004"/>
      <c r="FY126" s="1004"/>
      <c r="FZ126" s="1004"/>
      <c r="GA126" s="1004"/>
      <c r="GB126" s="1004"/>
      <c r="GC126" s="1004"/>
      <c r="GD126" s="1004"/>
      <c r="GE126" s="1004"/>
      <c r="GF126" s="1004"/>
      <c r="GG126" s="1004"/>
      <c r="GH126" s="1004"/>
      <c r="GI126" s="1004"/>
      <c r="GJ126" s="1004"/>
      <c r="GK126" s="1004"/>
      <c r="GL126" s="1004"/>
      <c r="GM126" s="1004"/>
      <c r="GN126" s="1004"/>
      <c r="GO126" s="1004"/>
      <c r="GP126" s="1004"/>
      <c r="GQ126" s="1004"/>
      <c r="GR126" s="1004"/>
      <c r="GS126" s="1004"/>
      <c r="GT126" s="1004"/>
      <c r="GU126" s="1004"/>
      <c r="GV126" s="1004"/>
      <c r="GW126" s="1004"/>
      <c r="GX126" s="1004"/>
      <c r="GY126" s="1004"/>
      <c r="GZ126" s="1004"/>
      <c r="HA126" s="1004"/>
      <c r="HB126" s="1004"/>
      <c r="HC126" s="1004"/>
      <c r="HD126" s="1004"/>
      <c r="HE126" s="1004"/>
      <c r="HF126" s="1004"/>
      <c r="HG126" s="1004"/>
      <c r="HH126" s="1004"/>
      <c r="HI126" s="1004"/>
      <c r="HJ126" s="1004"/>
      <c r="HK126" s="1004"/>
      <c r="HL126" s="1004"/>
      <c r="HM126" s="1004"/>
      <c r="HN126" s="1004"/>
      <c r="HO126" s="1004"/>
      <c r="HP126" s="1004"/>
      <c r="HQ126" s="1004"/>
      <c r="HR126" s="1004"/>
      <c r="HS126" s="1004"/>
      <c r="HT126" s="1004"/>
      <c r="HU126" s="1004"/>
      <c r="HV126" s="1004"/>
      <c r="HW126" s="1004"/>
      <c r="HX126" s="1004"/>
      <c r="HY126" s="1004"/>
      <c r="HZ126" s="1004"/>
      <c r="IA126" s="1004"/>
      <c r="IB126" s="1004"/>
      <c r="IC126" s="1004"/>
      <c r="ID126" s="1004"/>
      <c r="IE126" s="1004"/>
      <c r="IF126" s="1004"/>
      <c r="IG126" s="1004"/>
      <c r="IH126" s="1004"/>
      <c r="II126" s="1004"/>
      <c r="IJ126" s="1004"/>
      <c r="IK126" s="1004"/>
      <c r="IL126" s="1004"/>
      <c r="IM126" s="1004"/>
      <c r="IN126" s="1004"/>
      <c r="IO126" s="1004"/>
      <c r="IP126" s="1004"/>
      <c r="IQ126" s="1004"/>
      <c r="IR126" s="1004"/>
      <c r="IS126" s="1004"/>
      <c r="IT126" s="1004"/>
      <c r="IU126" s="1004"/>
      <c r="IV126" s="1004"/>
      <c r="IW126" s="1004"/>
      <c r="IX126" s="1004"/>
      <c r="IY126" s="1004"/>
      <c r="IZ126" s="1004"/>
      <c r="JA126" s="1004"/>
      <c r="JB126" s="1004"/>
      <c r="JC126" s="1004"/>
      <c r="JD126" s="1004"/>
      <c r="JE126" s="1004"/>
      <c r="JF126" s="1004"/>
      <c r="JG126" s="1004"/>
      <c r="JH126" s="1004"/>
      <c r="JI126" s="1004"/>
      <c r="JJ126" s="1004"/>
      <c r="JK126" s="1004"/>
      <c r="JL126" s="1004"/>
      <c r="JM126" s="1004"/>
      <c r="JN126" s="1004"/>
      <c r="JO126" s="1004"/>
      <c r="JP126" s="1004"/>
      <c r="JQ126" s="1004"/>
      <c r="JR126" s="1004"/>
      <c r="JS126" s="1004"/>
      <c r="JT126" s="1004"/>
      <c r="JU126" s="1004"/>
      <c r="JV126" s="1004"/>
      <c r="JW126" s="1004"/>
      <c r="JX126" s="1004"/>
      <c r="JY126" s="1004"/>
      <c r="JZ126" s="1004"/>
      <c r="KA126" s="1004"/>
      <c r="KB126" s="1004"/>
      <c r="KC126" s="1004"/>
      <c r="KD126" s="1004"/>
      <c r="KE126" s="1004"/>
      <c r="KF126" s="1004"/>
      <c r="KG126" s="1004"/>
      <c r="KH126" s="1004"/>
      <c r="KI126" s="1004"/>
      <c r="KJ126" s="1004"/>
      <c r="KK126" s="1004"/>
      <c r="KL126" s="1004"/>
      <c r="KM126" s="1004"/>
      <c r="KN126" s="1004"/>
      <c r="KO126" s="1004"/>
      <c r="KP126" s="1004"/>
      <c r="KQ126" s="1004"/>
      <c r="KR126" s="1004"/>
      <c r="KS126" s="1004"/>
      <c r="KT126" s="1004"/>
      <c r="KU126" s="1004"/>
      <c r="KV126" s="1004"/>
      <c r="KW126" s="1004"/>
      <c r="KX126" s="1004"/>
      <c r="KY126" s="1004"/>
      <c r="KZ126" s="1004"/>
      <c r="LA126" s="1004"/>
      <c r="LB126" s="1004"/>
      <c r="LC126" s="1004"/>
      <c r="LD126" s="1004"/>
      <c r="LE126" s="1004"/>
      <c r="LF126" s="1004"/>
      <c r="LG126" s="1004"/>
      <c r="LH126" s="1004"/>
      <c r="LI126" s="1004"/>
      <c r="LJ126" s="1004"/>
      <c r="LK126" s="1004"/>
      <c r="LL126" s="1004"/>
      <c r="LM126" s="1004"/>
      <c r="LN126" s="1004"/>
      <c r="LO126" s="1004"/>
      <c r="LP126" s="1004"/>
      <c r="LQ126" s="1004"/>
      <c r="LR126" s="1004"/>
      <c r="LS126" s="1004"/>
      <c r="LT126" s="1004"/>
      <c r="LU126" s="1004"/>
      <c r="LV126" s="1004"/>
      <c r="LW126" s="1004"/>
      <c r="LX126" s="1004"/>
      <c r="LY126" s="1004"/>
      <c r="LZ126" s="1004"/>
      <c r="MA126" s="1004"/>
      <c r="MB126" s="1004"/>
      <c r="MC126" s="1004"/>
      <c r="MD126" s="1004"/>
      <c r="ME126" s="1004"/>
      <c r="MF126" s="1004"/>
      <c r="MG126" s="1004"/>
      <c r="MH126" s="1004"/>
      <c r="MI126" s="1004"/>
      <c r="MJ126" s="1004"/>
      <c r="MK126" s="1004"/>
      <c r="ML126" s="1004"/>
      <c r="MM126" s="1004"/>
      <c r="MN126" s="1004"/>
      <c r="MO126" s="1004"/>
      <c r="MP126" s="1004"/>
      <c r="MQ126" s="1004"/>
      <c r="MR126" s="1004"/>
      <c r="MS126" s="1004"/>
      <c r="MT126" s="1004"/>
      <c r="MU126" s="1004"/>
      <c r="MV126" s="1004"/>
      <c r="MW126" s="1004"/>
      <c r="MX126" s="1004"/>
      <c r="MY126" s="1004"/>
      <c r="MZ126" s="1004"/>
      <c r="NA126" s="1004"/>
      <c r="NB126" s="1004"/>
      <c r="NC126" s="1004"/>
      <c r="ND126" s="1004"/>
      <c r="NE126" s="1004"/>
      <c r="NF126" s="1004"/>
      <c r="NG126" s="1004"/>
      <c r="NH126" s="1004"/>
      <c r="NI126" s="1004"/>
      <c r="NJ126" s="1004"/>
      <c r="NK126" s="1004"/>
      <c r="NL126" s="1004"/>
      <c r="NM126" s="1004"/>
      <c r="NN126" s="1004"/>
      <c r="NO126" s="1004"/>
      <c r="NP126" s="1004"/>
      <c r="NQ126" s="1004"/>
      <c r="NR126" s="1004"/>
      <c r="NS126" s="1004"/>
      <c r="NT126" s="1004"/>
      <c r="NU126" s="1004"/>
      <c r="NV126" s="1004"/>
      <c r="NW126" s="1004"/>
      <c r="NX126" s="1004"/>
      <c r="NY126" s="1004"/>
      <c r="NZ126" s="1004"/>
      <c r="OA126" s="1004"/>
      <c r="OB126" s="1004"/>
      <c r="OC126" s="1004"/>
      <c r="OD126" s="1004"/>
      <c r="OE126" s="1004"/>
      <c r="OF126" s="1004"/>
      <c r="OG126" s="1004"/>
      <c r="OH126" s="1004"/>
      <c r="OI126" s="1004"/>
      <c r="OJ126" s="1004"/>
      <c r="OK126" s="1004"/>
      <c r="OL126" s="1004"/>
      <c r="OM126" s="1004"/>
      <c r="ON126" s="1004"/>
      <c r="OO126" s="1004"/>
      <c r="OP126" s="1004"/>
      <c r="OQ126" s="1004"/>
      <c r="OR126" s="1004"/>
      <c r="OS126" s="1004"/>
      <c r="OT126" s="1004"/>
      <c r="OU126" s="1004"/>
      <c r="OV126" s="1004"/>
      <c r="OW126" s="1004"/>
      <c r="OX126" s="1004"/>
      <c r="OY126" s="1004"/>
      <c r="OZ126" s="1004"/>
      <c r="PA126" s="1004"/>
      <c r="PB126" s="1004"/>
      <c r="PC126" s="1004"/>
      <c r="PD126" s="1004"/>
      <c r="PE126" s="1004"/>
      <c r="PF126" s="1004"/>
      <c r="PG126" s="1004"/>
      <c r="PH126" s="1004"/>
      <c r="PI126" s="1004"/>
      <c r="PJ126" s="1004"/>
      <c r="PK126" s="1004"/>
      <c r="PL126" s="1004"/>
      <c r="PM126" s="1004"/>
      <c r="PN126" s="1004"/>
      <c r="PO126" s="1004"/>
      <c r="PP126" s="1004"/>
      <c r="PQ126" s="1004"/>
      <c r="PR126" s="1004"/>
      <c r="PS126" s="1004"/>
      <c r="PT126" s="1004"/>
      <c r="PU126" s="1004"/>
      <c r="PV126" s="1004"/>
      <c r="PW126" s="1004"/>
      <c r="PX126" s="1004"/>
      <c r="PY126" s="1004"/>
      <c r="PZ126" s="1004"/>
      <c r="QA126" s="1004"/>
      <c r="QB126" s="1004"/>
      <c r="QC126" s="1004"/>
      <c r="QD126" s="1004"/>
      <c r="QE126" s="1004"/>
      <c r="QF126" s="1004"/>
      <c r="QG126" s="1004"/>
      <c r="QH126" s="1004"/>
      <c r="QI126" s="1004"/>
      <c r="QJ126" s="1004"/>
      <c r="QK126" s="1004"/>
      <c r="QL126" s="1004"/>
      <c r="QM126" s="1004"/>
      <c r="QN126" s="1004"/>
      <c r="QO126" s="1004"/>
      <c r="QP126" s="1004"/>
      <c r="QQ126" s="1004"/>
      <c r="QR126" s="1004"/>
      <c r="QS126" s="1004"/>
      <c r="QT126" s="1004"/>
      <c r="QU126" s="1004"/>
      <c r="QV126" s="1004"/>
      <c r="QW126" s="1004"/>
      <c r="QX126" s="1004"/>
      <c r="QY126" s="1004"/>
      <c r="QZ126" s="1004"/>
      <c r="RA126" s="1004"/>
      <c r="RB126" s="1004"/>
      <c r="RC126" s="1004"/>
      <c r="RD126" s="1004"/>
      <c r="RE126" s="1004"/>
      <c r="RF126" s="1004"/>
      <c r="RG126" s="1004"/>
      <c r="RH126" s="1004"/>
      <c r="RI126" s="1004"/>
      <c r="RJ126" s="1004"/>
      <c r="RK126" s="1004"/>
      <c r="RL126" s="1004"/>
      <c r="RM126" s="1004"/>
      <c r="RN126" s="1004"/>
      <c r="RO126" s="1004"/>
      <c r="RP126" s="1004"/>
      <c r="RQ126" s="1004"/>
      <c r="RR126" s="1004"/>
      <c r="RS126" s="1004"/>
      <c r="RT126" s="1004"/>
      <c r="RU126" s="1004"/>
      <c r="RV126" s="1004"/>
      <c r="RW126" s="1004"/>
      <c r="RX126" s="1004"/>
      <c r="RY126" s="1004"/>
      <c r="RZ126" s="1004"/>
      <c r="SA126" s="1004"/>
      <c r="SB126" s="1004"/>
      <c r="SC126" s="1004"/>
      <c r="SD126" s="1004"/>
      <c r="SE126" s="1004"/>
      <c r="SF126" s="1004"/>
      <c r="SG126" s="1004"/>
      <c r="SH126" s="1004"/>
      <c r="SI126" s="1004"/>
      <c r="SJ126" s="1004"/>
      <c r="SK126" s="1004"/>
      <c r="SL126" s="1004"/>
      <c r="SM126" s="1004"/>
      <c r="SN126" s="1004"/>
      <c r="SO126" s="1004"/>
      <c r="SP126" s="1004"/>
      <c r="SQ126" s="1004"/>
      <c r="SR126" s="1004"/>
      <c r="SS126" s="1004"/>
      <c r="ST126" s="1004"/>
      <c r="SU126" s="1004"/>
      <c r="SV126" s="1004"/>
      <c r="SW126" s="1004"/>
      <c r="SX126" s="1004"/>
      <c r="SY126" s="1004"/>
      <c r="SZ126" s="1004"/>
      <c r="TA126" s="1004"/>
      <c r="TB126" s="1004"/>
      <c r="TC126" s="1004"/>
      <c r="TD126" s="1004"/>
      <c r="TE126" s="1004"/>
      <c r="TF126" s="1004"/>
      <c r="TG126" s="1004"/>
      <c r="TH126" s="1004"/>
      <c r="TI126" s="1004"/>
      <c r="TJ126" s="1004"/>
      <c r="TK126" s="1004"/>
      <c r="TL126" s="1004"/>
      <c r="TM126" s="1004"/>
      <c r="TN126" s="1004"/>
      <c r="TO126" s="1004"/>
      <c r="TP126" s="1004"/>
      <c r="TQ126" s="1004"/>
      <c r="TR126" s="1004"/>
      <c r="TS126" s="1004"/>
      <c r="TT126" s="1004"/>
      <c r="TU126" s="1004"/>
      <c r="TV126" s="1004"/>
      <c r="TW126" s="1004"/>
      <c r="TX126" s="1004"/>
      <c r="TY126" s="1004"/>
      <c r="TZ126" s="1004"/>
      <c r="UA126" s="1004"/>
      <c r="UB126" s="1004"/>
      <c r="UC126" s="1004"/>
      <c r="UD126" s="1004"/>
      <c r="UE126" s="1004"/>
      <c r="UF126" s="1004"/>
      <c r="UG126" s="1004"/>
      <c r="UH126" s="1004"/>
      <c r="UI126" s="1004"/>
      <c r="UJ126" s="1004"/>
      <c r="UK126" s="1004"/>
      <c r="UL126" s="1004"/>
      <c r="UM126" s="1004"/>
      <c r="UN126" s="1004"/>
      <c r="UO126" s="1004"/>
      <c r="UP126" s="1004"/>
      <c r="UQ126" s="1004"/>
      <c r="UR126" s="1004"/>
      <c r="US126" s="1004"/>
      <c r="UT126" s="1004"/>
      <c r="UU126" s="1004"/>
      <c r="UV126" s="1004"/>
      <c r="UW126" s="1004"/>
      <c r="UX126" s="1004"/>
      <c r="UY126" s="1004"/>
      <c r="UZ126" s="1004"/>
      <c r="VA126" s="1004"/>
      <c r="VB126" s="1004"/>
      <c r="VC126" s="1004"/>
      <c r="VD126" s="1004"/>
      <c r="VE126" s="1004"/>
      <c r="VF126" s="1004"/>
      <c r="VG126" s="1004"/>
      <c r="VH126" s="1004"/>
      <c r="VI126" s="1004"/>
      <c r="VJ126" s="1004"/>
      <c r="VK126" s="1004"/>
      <c r="VL126" s="1004"/>
      <c r="VM126" s="1004"/>
      <c r="VN126" s="1004"/>
      <c r="VO126" s="1004"/>
      <c r="VP126" s="1004"/>
      <c r="VQ126" s="1004"/>
      <c r="VR126" s="1004"/>
      <c r="VS126" s="1004"/>
      <c r="VT126" s="1004"/>
      <c r="VU126" s="1004"/>
      <c r="VV126" s="1004"/>
      <c r="VW126" s="1004"/>
      <c r="VX126" s="1004"/>
      <c r="VY126" s="1004"/>
      <c r="VZ126" s="1004"/>
      <c r="WA126" s="1004"/>
      <c r="WB126" s="1004"/>
      <c r="WC126" s="1004"/>
      <c r="WD126" s="1004"/>
      <c r="WE126" s="1004"/>
      <c r="WF126" s="1004"/>
      <c r="WG126" s="1004"/>
      <c r="WH126" s="1004"/>
      <c r="WI126" s="1004"/>
      <c r="WJ126" s="1004"/>
      <c r="WK126" s="1004"/>
      <c r="WL126" s="1004"/>
      <c r="WM126" s="1004"/>
      <c r="WN126" s="1004"/>
      <c r="WO126" s="1004"/>
      <c r="WP126" s="1004"/>
      <c r="WQ126" s="1004"/>
      <c r="WR126" s="1004"/>
      <c r="WS126" s="1004"/>
      <c r="WT126" s="1004"/>
      <c r="WU126" s="1004"/>
      <c r="WV126" s="1004"/>
      <c r="WW126" s="1004"/>
      <c r="WX126" s="1004"/>
      <c r="WY126" s="1004"/>
      <c r="WZ126" s="1004"/>
      <c r="XA126" s="1004"/>
      <c r="XB126" s="1004"/>
      <c r="XC126" s="1004"/>
      <c r="XD126" s="1004"/>
      <c r="XE126" s="1004"/>
      <c r="XF126" s="1004"/>
      <c r="XG126" s="1004"/>
      <c r="XH126" s="1004"/>
      <c r="XI126" s="1004"/>
      <c r="XJ126" s="1004"/>
      <c r="XK126" s="1004"/>
      <c r="XL126" s="1004"/>
      <c r="XM126" s="1004"/>
      <c r="XN126" s="1004"/>
      <c r="XO126" s="1004"/>
      <c r="XP126" s="1004"/>
      <c r="XQ126" s="1004"/>
      <c r="XR126" s="1004"/>
      <c r="XS126" s="1004"/>
      <c r="XT126" s="1004"/>
      <c r="XU126" s="1004"/>
      <c r="XV126" s="1004"/>
      <c r="XW126" s="1004"/>
      <c r="XX126" s="1004"/>
      <c r="XY126" s="1004"/>
      <c r="XZ126" s="1004"/>
      <c r="YA126" s="1004"/>
      <c r="YB126" s="1004"/>
      <c r="YC126" s="1004"/>
      <c r="YD126" s="1004"/>
      <c r="YE126" s="1004"/>
      <c r="YF126" s="1004"/>
      <c r="YG126" s="1004"/>
      <c r="YH126" s="1004"/>
      <c r="YI126" s="1004"/>
      <c r="YJ126" s="1004"/>
      <c r="YK126" s="1004"/>
      <c r="YL126" s="1004"/>
      <c r="YM126" s="1004"/>
      <c r="YN126" s="1004"/>
      <c r="YO126" s="1004"/>
      <c r="YP126" s="1004"/>
      <c r="YQ126" s="1004"/>
      <c r="YR126" s="1004"/>
      <c r="YS126" s="1004"/>
      <c r="YT126" s="1004"/>
      <c r="YU126" s="1004"/>
      <c r="YV126" s="1004"/>
      <c r="YW126" s="1004"/>
      <c r="YX126" s="1004"/>
      <c r="YY126" s="1004"/>
      <c r="YZ126" s="1004"/>
      <c r="ZA126" s="1004"/>
      <c r="ZB126" s="1004"/>
      <c r="ZC126" s="1004"/>
      <c r="ZD126" s="1004"/>
      <c r="ZE126" s="1004"/>
      <c r="ZF126" s="1004"/>
      <c r="ZG126" s="1004"/>
      <c r="ZH126" s="1004"/>
      <c r="ZI126" s="1004"/>
      <c r="ZJ126" s="1004"/>
      <c r="ZK126" s="1004"/>
      <c r="ZL126" s="1004"/>
      <c r="ZM126" s="1004"/>
      <c r="ZN126" s="1004"/>
      <c r="ZO126" s="1004"/>
      <c r="ZP126" s="1004"/>
      <c r="ZQ126" s="1004"/>
      <c r="ZR126" s="1004"/>
      <c r="ZS126" s="1004"/>
      <c r="ZT126" s="1004"/>
      <c r="ZU126" s="1004"/>
      <c r="ZV126" s="1004"/>
      <c r="ZW126" s="1004"/>
      <c r="ZX126" s="1004"/>
      <c r="ZY126" s="1004"/>
      <c r="ZZ126" s="1004"/>
      <c r="AAA126" s="1004"/>
      <c r="AAB126" s="1004"/>
      <c r="AAC126" s="1004"/>
      <c r="AAD126" s="1004"/>
      <c r="AAE126" s="1004"/>
      <c r="AAF126" s="1004"/>
      <c r="AAG126" s="1004"/>
      <c r="AAH126" s="1004"/>
      <c r="AAI126" s="1004"/>
      <c r="AAJ126" s="1004"/>
      <c r="AAK126" s="1004"/>
      <c r="AAL126" s="1004"/>
      <c r="AAM126" s="1004"/>
      <c r="AAN126" s="1004"/>
      <c r="AAO126" s="1004"/>
      <c r="AAP126" s="1004"/>
      <c r="AAQ126" s="1004"/>
      <c r="AAR126" s="1004"/>
      <c r="AAS126" s="1004"/>
      <c r="AAT126" s="1004"/>
      <c r="AAU126" s="1004"/>
      <c r="AAV126" s="1004"/>
      <c r="AAW126" s="1004"/>
      <c r="AAX126" s="1004"/>
      <c r="AAY126" s="1004"/>
      <c r="AAZ126" s="1004"/>
      <c r="ABA126" s="1004"/>
      <c r="ABB126" s="1004"/>
      <c r="ABC126" s="1004"/>
      <c r="ABD126" s="1004"/>
      <c r="ABE126" s="1004"/>
      <c r="ABF126" s="1004"/>
      <c r="ABG126" s="1004"/>
      <c r="ABH126" s="1004"/>
      <c r="ABI126" s="1004"/>
      <c r="ABJ126" s="1004"/>
      <c r="ABK126" s="1004"/>
      <c r="ABL126" s="1004"/>
      <c r="ABM126" s="1004"/>
      <c r="ABN126" s="1004"/>
      <c r="ABO126" s="1004"/>
      <c r="ABP126" s="1004"/>
      <c r="ABQ126" s="1004"/>
      <c r="ABR126" s="1004"/>
    </row>
    <row r="127" spans="1:746" s="112" customFormat="1" ht="12.75" hidden="1" customHeight="1" thickBot="1">
      <c r="A127" s="2348"/>
      <c r="B127" s="354" t="s">
        <v>1313</v>
      </c>
      <c r="C127" s="101"/>
      <c r="D127" s="5"/>
      <c r="E127" s="347" t="s">
        <v>0</v>
      </c>
      <c r="F127" s="1240"/>
      <c r="G127" s="347">
        <v>0.25</v>
      </c>
      <c r="H127" s="2413"/>
      <c r="I127" s="1966"/>
      <c r="J127" s="368"/>
      <c r="K127" s="368"/>
      <c r="L127" s="368"/>
      <c r="M127" s="368"/>
      <c r="N127" s="368"/>
      <c r="O127" s="368"/>
      <c r="P127" s="368"/>
      <c r="Q127" s="368"/>
      <c r="R127" s="368"/>
      <c r="S127" s="368"/>
      <c r="T127" s="368"/>
      <c r="U127" s="794"/>
      <c r="V127" s="794"/>
      <c r="W127" s="794"/>
      <c r="X127" s="794"/>
      <c r="Y127" s="794"/>
      <c r="Z127" s="794"/>
      <c r="AA127" s="794"/>
      <c r="AB127" s="794"/>
      <c r="AC127" s="794"/>
      <c r="AD127" s="794"/>
      <c r="AE127" s="794"/>
      <c r="AF127" s="794"/>
      <c r="AG127" s="1042"/>
      <c r="AH127" s="2199"/>
      <c r="AI127" s="2199"/>
      <c r="AJ127" s="1857">
        <f>IF(fx!$C$57=1,SUMIF(fx!I$57:T$57,1,I127:T127),IF(fx!$C$57=2,SUMIF(fx!O$57:AF$57,1,O127:AF127)))</f>
        <v>0</v>
      </c>
      <c r="AK127" s="328"/>
      <c r="AL127" s="417">
        <f>IF(fx!$C$57=1,SUM(U127:AF127),0)</f>
        <v>0</v>
      </c>
      <c r="AM127" s="1004"/>
      <c r="AN127" s="1024"/>
      <c r="AO127" s="1945"/>
      <c r="AP127" s="1935"/>
      <c r="AQ127" s="1936"/>
      <c r="AR127" s="1958"/>
      <c r="AS127" s="1958"/>
      <c r="AT127" s="1958"/>
      <c r="AU127" s="1958"/>
      <c r="AV127" s="1958"/>
      <c r="AW127" s="1958"/>
      <c r="AX127" s="1958"/>
      <c r="AY127" s="1958"/>
      <c r="AZ127" s="1958"/>
      <c r="BA127" s="1958"/>
      <c r="BB127" s="1958"/>
      <c r="BC127" s="1958"/>
      <c r="BD127" s="1958"/>
      <c r="BE127" s="1958"/>
      <c r="BF127" s="1958"/>
      <c r="BG127" s="1958"/>
      <c r="BH127" s="1958"/>
      <c r="BI127" s="1958"/>
      <c r="BJ127" s="1958"/>
      <c r="BK127" s="1958"/>
      <c r="BL127" s="1958"/>
      <c r="BM127" s="1958"/>
      <c r="BN127" s="1958"/>
      <c r="BO127" s="1958"/>
      <c r="BP127" s="1004"/>
      <c r="BQ127" s="1004"/>
      <c r="BR127" s="1004"/>
      <c r="BS127" s="1004"/>
      <c r="BT127" s="1004"/>
      <c r="BU127" s="1004"/>
      <c r="BV127" s="1004"/>
      <c r="BW127" s="1004"/>
      <c r="BX127" s="1004"/>
      <c r="BY127" s="1004"/>
      <c r="BZ127" s="1004"/>
      <c r="CA127" s="1004"/>
      <c r="CB127" s="1004"/>
      <c r="CC127" s="1004"/>
      <c r="CD127" s="1004"/>
      <c r="CE127" s="1004"/>
      <c r="CF127" s="1004"/>
      <c r="CG127" s="1004"/>
      <c r="CH127" s="1004"/>
      <c r="CI127" s="1004"/>
      <c r="CJ127" s="1004"/>
      <c r="CK127" s="1004"/>
      <c r="CL127" s="1004"/>
      <c r="CM127" s="1004"/>
      <c r="CN127" s="1004"/>
      <c r="CO127" s="1004"/>
      <c r="CP127" s="1004"/>
      <c r="CQ127" s="1004"/>
      <c r="CR127" s="1004"/>
      <c r="CS127" s="1004"/>
      <c r="CT127" s="1004"/>
      <c r="CU127" s="1004"/>
      <c r="CV127" s="1004"/>
      <c r="CW127" s="1004"/>
      <c r="CX127" s="1004"/>
      <c r="CY127" s="1004"/>
      <c r="CZ127" s="1004"/>
      <c r="DA127" s="1004"/>
      <c r="DB127" s="1004"/>
      <c r="DC127" s="1004"/>
      <c r="DD127" s="1004"/>
      <c r="DE127" s="1004"/>
      <c r="DF127" s="1004"/>
      <c r="DG127" s="1004"/>
      <c r="DH127" s="1004"/>
      <c r="DI127" s="1004"/>
      <c r="DJ127" s="1004"/>
      <c r="DK127" s="1004"/>
      <c r="DL127" s="1004"/>
      <c r="DM127" s="1004"/>
      <c r="DN127" s="1004"/>
      <c r="DO127" s="1004"/>
      <c r="DP127" s="1004"/>
      <c r="DQ127" s="1004"/>
      <c r="DR127" s="1004"/>
      <c r="DS127" s="1004"/>
      <c r="DT127" s="1004"/>
      <c r="DU127" s="1004"/>
      <c r="DV127" s="1004"/>
      <c r="DW127" s="1004"/>
      <c r="DX127" s="1004"/>
      <c r="DY127" s="1004"/>
      <c r="DZ127" s="1004"/>
      <c r="EA127" s="1004"/>
      <c r="EB127" s="1004"/>
      <c r="EC127" s="1004"/>
      <c r="ED127" s="1004"/>
      <c r="EE127" s="1004"/>
      <c r="EF127" s="1004"/>
      <c r="EG127" s="1004"/>
      <c r="EH127" s="1004"/>
      <c r="EI127" s="1004"/>
      <c r="EJ127" s="1004"/>
      <c r="EK127" s="1004"/>
      <c r="EL127" s="1004"/>
      <c r="EM127" s="1004"/>
      <c r="EN127" s="1004"/>
      <c r="EO127" s="1004"/>
      <c r="EP127" s="1004"/>
      <c r="EQ127" s="1004"/>
      <c r="ER127" s="1004"/>
      <c r="ES127" s="1004"/>
      <c r="ET127" s="1004"/>
      <c r="EU127" s="1004"/>
      <c r="EV127" s="1004"/>
      <c r="EW127" s="1004"/>
      <c r="EX127" s="1004"/>
      <c r="EY127" s="1004"/>
      <c r="EZ127" s="1004"/>
      <c r="FA127" s="1004"/>
      <c r="FB127" s="1004"/>
      <c r="FC127" s="1004"/>
      <c r="FD127" s="1004"/>
      <c r="FE127" s="1004"/>
      <c r="FF127" s="1004"/>
      <c r="FG127" s="1004"/>
      <c r="FH127" s="1004"/>
      <c r="FI127" s="1004"/>
      <c r="FJ127" s="1004"/>
      <c r="FK127" s="1004"/>
      <c r="FL127" s="1004"/>
      <c r="FM127" s="1004"/>
      <c r="FN127" s="1004"/>
      <c r="FO127" s="1004"/>
      <c r="FP127" s="1004"/>
      <c r="FQ127" s="1004"/>
      <c r="FR127" s="1004"/>
      <c r="FS127" s="1004"/>
      <c r="FT127" s="1004"/>
      <c r="FU127" s="1004"/>
      <c r="FV127" s="1004"/>
      <c r="FW127" s="1004"/>
      <c r="FX127" s="1004"/>
      <c r="FY127" s="1004"/>
      <c r="FZ127" s="1004"/>
      <c r="GA127" s="1004"/>
      <c r="GB127" s="1004"/>
      <c r="GC127" s="1004"/>
      <c r="GD127" s="1004"/>
      <c r="GE127" s="1004"/>
      <c r="GF127" s="1004"/>
      <c r="GG127" s="1004"/>
      <c r="GH127" s="1004"/>
      <c r="GI127" s="1004"/>
      <c r="GJ127" s="1004"/>
      <c r="GK127" s="1004"/>
      <c r="GL127" s="1004"/>
      <c r="GM127" s="1004"/>
      <c r="GN127" s="1004"/>
      <c r="GO127" s="1004"/>
      <c r="GP127" s="1004"/>
      <c r="GQ127" s="1004"/>
      <c r="GR127" s="1004"/>
      <c r="GS127" s="1004"/>
      <c r="GT127" s="1004"/>
      <c r="GU127" s="1004"/>
      <c r="GV127" s="1004"/>
      <c r="GW127" s="1004"/>
      <c r="GX127" s="1004"/>
      <c r="GY127" s="1004"/>
      <c r="GZ127" s="1004"/>
      <c r="HA127" s="1004"/>
      <c r="HB127" s="1004"/>
      <c r="HC127" s="1004"/>
      <c r="HD127" s="1004"/>
      <c r="HE127" s="1004"/>
      <c r="HF127" s="1004"/>
      <c r="HG127" s="1004"/>
      <c r="HH127" s="1004"/>
      <c r="HI127" s="1004"/>
      <c r="HJ127" s="1004"/>
      <c r="HK127" s="1004"/>
      <c r="HL127" s="1004"/>
      <c r="HM127" s="1004"/>
      <c r="HN127" s="1004"/>
      <c r="HO127" s="1004"/>
      <c r="HP127" s="1004"/>
      <c r="HQ127" s="1004"/>
      <c r="HR127" s="1004"/>
      <c r="HS127" s="1004"/>
      <c r="HT127" s="1004"/>
      <c r="HU127" s="1004"/>
      <c r="HV127" s="1004"/>
      <c r="HW127" s="1004"/>
      <c r="HX127" s="1004"/>
      <c r="HY127" s="1004"/>
      <c r="HZ127" s="1004"/>
      <c r="IA127" s="1004"/>
      <c r="IB127" s="1004"/>
      <c r="IC127" s="1004"/>
      <c r="ID127" s="1004"/>
      <c r="IE127" s="1004"/>
      <c r="IF127" s="1004"/>
      <c r="IG127" s="1004"/>
      <c r="IH127" s="1004"/>
      <c r="II127" s="1004"/>
      <c r="IJ127" s="1004"/>
      <c r="IK127" s="1004"/>
      <c r="IL127" s="1004"/>
      <c r="IM127" s="1004"/>
      <c r="IN127" s="1004"/>
      <c r="IO127" s="1004"/>
      <c r="IP127" s="1004"/>
      <c r="IQ127" s="1004"/>
      <c r="IR127" s="1004"/>
      <c r="IS127" s="1004"/>
      <c r="IT127" s="1004"/>
      <c r="IU127" s="1004"/>
      <c r="IV127" s="1004"/>
      <c r="IW127" s="1004"/>
      <c r="IX127" s="1004"/>
      <c r="IY127" s="1004"/>
      <c r="IZ127" s="1004"/>
      <c r="JA127" s="1004"/>
      <c r="JB127" s="1004"/>
      <c r="JC127" s="1004"/>
      <c r="JD127" s="1004"/>
      <c r="JE127" s="1004"/>
      <c r="JF127" s="1004"/>
      <c r="JG127" s="1004"/>
      <c r="JH127" s="1004"/>
      <c r="JI127" s="1004"/>
      <c r="JJ127" s="1004"/>
      <c r="JK127" s="1004"/>
      <c r="JL127" s="1004"/>
      <c r="JM127" s="1004"/>
      <c r="JN127" s="1004"/>
      <c r="JO127" s="1004"/>
      <c r="JP127" s="1004"/>
      <c r="JQ127" s="1004"/>
      <c r="JR127" s="1004"/>
      <c r="JS127" s="1004"/>
      <c r="JT127" s="1004"/>
      <c r="JU127" s="1004"/>
      <c r="JV127" s="1004"/>
      <c r="JW127" s="1004"/>
      <c r="JX127" s="1004"/>
      <c r="JY127" s="1004"/>
      <c r="JZ127" s="1004"/>
      <c r="KA127" s="1004"/>
      <c r="KB127" s="1004"/>
      <c r="KC127" s="1004"/>
      <c r="KD127" s="1004"/>
      <c r="KE127" s="1004"/>
      <c r="KF127" s="1004"/>
      <c r="KG127" s="1004"/>
      <c r="KH127" s="1004"/>
      <c r="KI127" s="1004"/>
      <c r="KJ127" s="1004"/>
      <c r="KK127" s="1004"/>
      <c r="KL127" s="1004"/>
      <c r="KM127" s="1004"/>
      <c r="KN127" s="1004"/>
      <c r="KO127" s="1004"/>
      <c r="KP127" s="1004"/>
      <c r="KQ127" s="1004"/>
      <c r="KR127" s="1004"/>
      <c r="KS127" s="1004"/>
      <c r="KT127" s="1004"/>
      <c r="KU127" s="1004"/>
      <c r="KV127" s="1004"/>
      <c r="KW127" s="1004"/>
      <c r="KX127" s="1004"/>
      <c r="KY127" s="1004"/>
      <c r="KZ127" s="1004"/>
      <c r="LA127" s="1004"/>
      <c r="LB127" s="1004"/>
      <c r="LC127" s="1004"/>
      <c r="LD127" s="1004"/>
      <c r="LE127" s="1004"/>
      <c r="LF127" s="1004"/>
      <c r="LG127" s="1004"/>
      <c r="LH127" s="1004"/>
      <c r="LI127" s="1004"/>
      <c r="LJ127" s="1004"/>
      <c r="LK127" s="1004"/>
      <c r="LL127" s="1004"/>
      <c r="LM127" s="1004"/>
      <c r="LN127" s="1004"/>
      <c r="LO127" s="1004"/>
      <c r="LP127" s="1004"/>
      <c r="LQ127" s="1004"/>
      <c r="LR127" s="1004"/>
      <c r="LS127" s="1004"/>
      <c r="LT127" s="1004"/>
      <c r="LU127" s="1004"/>
      <c r="LV127" s="1004"/>
      <c r="LW127" s="1004"/>
      <c r="LX127" s="1004"/>
      <c r="LY127" s="1004"/>
      <c r="LZ127" s="1004"/>
      <c r="MA127" s="1004"/>
      <c r="MB127" s="1004"/>
      <c r="MC127" s="1004"/>
      <c r="MD127" s="1004"/>
      <c r="ME127" s="1004"/>
      <c r="MF127" s="1004"/>
      <c r="MG127" s="1004"/>
      <c r="MH127" s="1004"/>
      <c r="MI127" s="1004"/>
      <c r="MJ127" s="1004"/>
      <c r="MK127" s="1004"/>
      <c r="ML127" s="1004"/>
      <c r="MM127" s="1004"/>
      <c r="MN127" s="1004"/>
      <c r="MO127" s="1004"/>
      <c r="MP127" s="1004"/>
      <c r="MQ127" s="1004"/>
      <c r="MR127" s="1004"/>
      <c r="MS127" s="1004"/>
      <c r="MT127" s="1004"/>
      <c r="MU127" s="1004"/>
      <c r="MV127" s="1004"/>
      <c r="MW127" s="1004"/>
      <c r="MX127" s="1004"/>
      <c r="MY127" s="1004"/>
      <c r="MZ127" s="1004"/>
      <c r="NA127" s="1004"/>
      <c r="NB127" s="1004"/>
      <c r="NC127" s="1004"/>
      <c r="ND127" s="1004"/>
      <c r="NE127" s="1004"/>
      <c r="NF127" s="1004"/>
      <c r="NG127" s="1004"/>
      <c r="NH127" s="1004"/>
      <c r="NI127" s="1004"/>
      <c r="NJ127" s="1004"/>
      <c r="NK127" s="1004"/>
      <c r="NL127" s="1004"/>
      <c r="NM127" s="1004"/>
      <c r="NN127" s="1004"/>
      <c r="NO127" s="1004"/>
      <c r="NP127" s="1004"/>
      <c r="NQ127" s="1004"/>
      <c r="NR127" s="1004"/>
      <c r="NS127" s="1004"/>
      <c r="NT127" s="1004"/>
      <c r="NU127" s="1004"/>
      <c r="NV127" s="1004"/>
      <c r="NW127" s="1004"/>
      <c r="NX127" s="1004"/>
      <c r="NY127" s="1004"/>
      <c r="NZ127" s="1004"/>
      <c r="OA127" s="1004"/>
      <c r="OB127" s="1004"/>
      <c r="OC127" s="1004"/>
      <c r="OD127" s="1004"/>
      <c r="OE127" s="1004"/>
      <c r="OF127" s="1004"/>
      <c r="OG127" s="1004"/>
      <c r="OH127" s="1004"/>
      <c r="OI127" s="1004"/>
      <c r="OJ127" s="1004"/>
      <c r="OK127" s="1004"/>
      <c r="OL127" s="1004"/>
      <c r="OM127" s="1004"/>
      <c r="ON127" s="1004"/>
      <c r="OO127" s="1004"/>
      <c r="OP127" s="1004"/>
      <c r="OQ127" s="1004"/>
      <c r="OR127" s="1004"/>
      <c r="OS127" s="1004"/>
      <c r="OT127" s="1004"/>
      <c r="OU127" s="1004"/>
      <c r="OV127" s="1004"/>
      <c r="OW127" s="1004"/>
      <c r="OX127" s="1004"/>
      <c r="OY127" s="1004"/>
      <c r="OZ127" s="1004"/>
      <c r="PA127" s="1004"/>
      <c r="PB127" s="1004"/>
      <c r="PC127" s="1004"/>
      <c r="PD127" s="1004"/>
      <c r="PE127" s="1004"/>
      <c r="PF127" s="1004"/>
      <c r="PG127" s="1004"/>
      <c r="PH127" s="1004"/>
      <c r="PI127" s="1004"/>
      <c r="PJ127" s="1004"/>
      <c r="PK127" s="1004"/>
      <c r="PL127" s="1004"/>
      <c r="PM127" s="1004"/>
      <c r="PN127" s="1004"/>
      <c r="PO127" s="1004"/>
      <c r="PP127" s="1004"/>
      <c r="PQ127" s="1004"/>
      <c r="PR127" s="1004"/>
      <c r="PS127" s="1004"/>
      <c r="PT127" s="1004"/>
      <c r="PU127" s="1004"/>
      <c r="PV127" s="1004"/>
      <c r="PW127" s="1004"/>
      <c r="PX127" s="1004"/>
      <c r="PY127" s="1004"/>
      <c r="PZ127" s="1004"/>
      <c r="QA127" s="1004"/>
      <c r="QB127" s="1004"/>
      <c r="QC127" s="1004"/>
      <c r="QD127" s="1004"/>
      <c r="QE127" s="1004"/>
      <c r="QF127" s="1004"/>
      <c r="QG127" s="1004"/>
      <c r="QH127" s="1004"/>
      <c r="QI127" s="1004"/>
      <c r="QJ127" s="1004"/>
      <c r="QK127" s="1004"/>
      <c r="QL127" s="1004"/>
      <c r="QM127" s="1004"/>
      <c r="QN127" s="1004"/>
      <c r="QO127" s="1004"/>
      <c r="QP127" s="1004"/>
      <c r="QQ127" s="1004"/>
      <c r="QR127" s="1004"/>
      <c r="QS127" s="1004"/>
      <c r="QT127" s="1004"/>
      <c r="QU127" s="1004"/>
      <c r="QV127" s="1004"/>
      <c r="QW127" s="1004"/>
      <c r="QX127" s="1004"/>
      <c r="QY127" s="1004"/>
      <c r="QZ127" s="1004"/>
      <c r="RA127" s="1004"/>
      <c r="RB127" s="1004"/>
      <c r="RC127" s="1004"/>
      <c r="RD127" s="1004"/>
      <c r="RE127" s="1004"/>
      <c r="RF127" s="1004"/>
      <c r="RG127" s="1004"/>
      <c r="RH127" s="1004"/>
      <c r="RI127" s="1004"/>
      <c r="RJ127" s="1004"/>
      <c r="RK127" s="1004"/>
      <c r="RL127" s="1004"/>
      <c r="RM127" s="1004"/>
      <c r="RN127" s="1004"/>
      <c r="RO127" s="1004"/>
      <c r="RP127" s="1004"/>
      <c r="RQ127" s="1004"/>
      <c r="RR127" s="1004"/>
      <c r="RS127" s="1004"/>
      <c r="RT127" s="1004"/>
      <c r="RU127" s="1004"/>
      <c r="RV127" s="1004"/>
      <c r="RW127" s="1004"/>
      <c r="RX127" s="1004"/>
      <c r="RY127" s="1004"/>
      <c r="RZ127" s="1004"/>
      <c r="SA127" s="1004"/>
      <c r="SB127" s="1004"/>
      <c r="SC127" s="1004"/>
      <c r="SD127" s="1004"/>
      <c r="SE127" s="1004"/>
      <c r="SF127" s="1004"/>
      <c r="SG127" s="1004"/>
      <c r="SH127" s="1004"/>
      <c r="SI127" s="1004"/>
      <c r="SJ127" s="1004"/>
      <c r="SK127" s="1004"/>
      <c r="SL127" s="1004"/>
      <c r="SM127" s="1004"/>
      <c r="SN127" s="1004"/>
      <c r="SO127" s="1004"/>
      <c r="SP127" s="1004"/>
      <c r="SQ127" s="1004"/>
      <c r="SR127" s="1004"/>
      <c r="SS127" s="1004"/>
      <c r="ST127" s="1004"/>
      <c r="SU127" s="1004"/>
      <c r="SV127" s="1004"/>
      <c r="SW127" s="1004"/>
      <c r="SX127" s="1004"/>
      <c r="SY127" s="1004"/>
      <c r="SZ127" s="1004"/>
      <c r="TA127" s="1004"/>
      <c r="TB127" s="1004"/>
      <c r="TC127" s="1004"/>
      <c r="TD127" s="1004"/>
      <c r="TE127" s="1004"/>
      <c r="TF127" s="1004"/>
      <c r="TG127" s="1004"/>
      <c r="TH127" s="1004"/>
      <c r="TI127" s="1004"/>
      <c r="TJ127" s="1004"/>
      <c r="TK127" s="1004"/>
      <c r="TL127" s="1004"/>
      <c r="TM127" s="1004"/>
      <c r="TN127" s="1004"/>
      <c r="TO127" s="1004"/>
      <c r="TP127" s="1004"/>
      <c r="TQ127" s="1004"/>
      <c r="TR127" s="1004"/>
      <c r="TS127" s="1004"/>
      <c r="TT127" s="1004"/>
      <c r="TU127" s="1004"/>
      <c r="TV127" s="1004"/>
      <c r="TW127" s="1004"/>
      <c r="TX127" s="1004"/>
      <c r="TY127" s="1004"/>
      <c r="TZ127" s="1004"/>
      <c r="UA127" s="1004"/>
      <c r="UB127" s="1004"/>
      <c r="UC127" s="1004"/>
      <c r="UD127" s="1004"/>
      <c r="UE127" s="1004"/>
      <c r="UF127" s="1004"/>
      <c r="UG127" s="1004"/>
      <c r="UH127" s="1004"/>
      <c r="UI127" s="1004"/>
      <c r="UJ127" s="1004"/>
      <c r="UK127" s="1004"/>
      <c r="UL127" s="1004"/>
      <c r="UM127" s="1004"/>
      <c r="UN127" s="1004"/>
      <c r="UO127" s="1004"/>
      <c r="UP127" s="1004"/>
      <c r="UQ127" s="1004"/>
      <c r="UR127" s="1004"/>
      <c r="US127" s="1004"/>
      <c r="UT127" s="1004"/>
      <c r="UU127" s="1004"/>
      <c r="UV127" s="1004"/>
      <c r="UW127" s="1004"/>
      <c r="UX127" s="1004"/>
      <c r="UY127" s="1004"/>
      <c r="UZ127" s="1004"/>
      <c r="VA127" s="1004"/>
      <c r="VB127" s="1004"/>
      <c r="VC127" s="1004"/>
      <c r="VD127" s="1004"/>
      <c r="VE127" s="1004"/>
      <c r="VF127" s="1004"/>
      <c r="VG127" s="1004"/>
      <c r="VH127" s="1004"/>
      <c r="VI127" s="1004"/>
      <c r="VJ127" s="1004"/>
      <c r="VK127" s="1004"/>
      <c r="VL127" s="1004"/>
      <c r="VM127" s="1004"/>
      <c r="VN127" s="1004"/>
      <c r="VO127" s="1004"/>
      <c r="VP127" s="1004"/>
      <c r="VQ127" s="1004"/>
      <c r="VR127" s="1004"/>
      <c r="VS127" s="1004"/>
      <c r="VT127" s="1004"/>
      <c r="VU127" s="1004"/>
      <c r="VV127" s="1004"/>
      <c r="VW127" s="1004"/>
      <c r="VX127" s="1004"/>
      <c r="VY127" s="1004"/>
      <c r="VZ127" s="1004"/>
      <c r="WA127" s="1004"/>
      <c r="WB127" s="1004"/>
      <c r="WC127" s="1004"/>
      <c r="WD127" s="1004"/>
      <c r="WE127" s="1004"/>
      <c r="WF127" s="1004"/>
      <c r="WG127" s="1004"/>
      <c r="WH127" s="1004"/>
      <c r="WI127" s="1004"/>
      <c r="WJ127" s="1004"/>
      <c r="WK127" s="1004"/>
      <c r="WL127" s="1004"/>
      <c r="WM127" s="1004"/>
      <c r="WN127" s="1004"/>
      <c r="WO127" s="1004"/>
      <c r="WP127" s="1004"/>
      <c r="WQ127" s="1004"/>
      <c r="WR127" s="1004"/>
      <c r="WS127" s="1004"/>
      <c r="WT127" s="1004"/>
      <c r="WU127" s="1004"/>
      <c r="WV127" s="1004"/>
      <c r="WW127" s="1004"/>
      <c r="WX127" s="1004"/>
      <c r="WY127" s="1004"/>
      <c r="WZ127" s="1004"/>
      <c r="XA127" s="1004"/>
      <c r="XB127" s="1004"/>
      <c r="XC127" s="1004"/>
      <c r="XD127" s="1004"/>
      <c r="XE127" s="1004"/>
      <c r="XF127" s="1004"/>
      <c r="XG127" s="1004"/>
      <c r="XH127" s="1004"/>
      <c r="XI127" s="1004"/>
      <c r="XJ127" s="1004"/>
      <c r="XK127" s="1004"/>
      <c r="XL127" s="1004"/>
      <c r="XM127" s="1004"/>
      <c r="XN127" s="1004"/>
      <c r="XO127" s="1004"/>
      <c r="XP127" s="1004"/>
      <c r="XQ127" s="1004"/>
      <c r="XR127" s="1004"/>
      <c r="XS127" s="1004"/>
      <c r="XT127" s="1004"/>
      <c r="XU127" s="1004"/>
      <c r="XV127" s="1004"/>
      <c r="XW127" s="1004"/>
      <c r="XX127" s="1004"/>
      <c r="XY127" s="1004"/>
      <c r="XZ127" s="1004"/>
      <c r="YA127" s="1004"/>
      <c r="YB127" s="1004"/>
      <c r="YC127" s="1004"/>
      <c r="YD127" s="1004"/>
      <c r="YE127" s="1004"/>
      <c r="YF127" s="1004"/>
      <c r="YG127" s="1004"/>
      <c r="YH127" s="1004"/>
      <c r="YI127" s="1004"/>
      <c r="YJ127" s="1004"/>
      <c r="YK127" s="1004"/>
      <c r="YL127" s="1004"/>
      <c r="YM127" s="1004"/>
      <c r="YN127" s="1004"/>
      <c r="YO127" s="1004"/>
      <c r="YP127" s="1004"/>
      <c r="YQ127" s="1004"/>
      <c r="YR127" s="1004"/>
      <c r="YS127" s="1004"/>
      <c r="YT127" s="1004"/>
      <c r="YU127" s="1004"/>
      <c r="YV127" s="1004"/>
      <c r="YW127" s="1004"/>
      <c r="YX127" s="1004"/>
      <c r="YY127" s="1004"/>
      <c r="YZ127" s="1004"/>
      <c r="ZA127" s="1004"/>
      <c r="ZB127" s="1004"/>
      <c r="ZC127" s="1004"/>
      <c r="ZD127" s="1004"/>
      <c r="ZE127" s="1004"/>
      <c r="ZF127" s="1004"/>
      <c r="ZG127" s="1004"/>
      <c r="ZH127" s="1004"/>
      <c r="ZI127" s="1004"/>
      <c r="ZJ127" s="1004"/>
      <c r="ZK127" s="1004"/>
      <c r="ZL127" s="1004"/>
      <c r="ZM127" s="1004"/>
      <c r="ZN127" s="1004"/>
      <c r="ZO127" s="1004"/>
      <c r="ZP127" s="1004"/>
      <c r="ZQ127" s="1004"/>
      <c r="ZR127" s="1004"/>
      <c r="ZS127" s="1004"/>
      <c r="ZT127" s="1004"/>
      <c r="ZU127" s="1004"/>
      <c r="ZV127" s="1004"/>
      <c r="ZW127" s="1004"/>
      <c r="ZX127" s="1004"/>
      <c r="ZY127" s="1004"/>
      <c r="ZZ127" s="1004"/>
      <c r="AAA127" s="1004"/>
      <c r="AAB127" s="1004"/>
      <c r="AAC127" s="1004"/>
      <c r="AAD127" s="1004"/>
      <c r="AAE127" s="1004"/>
      <c r="AAF127" s="1004"/>
      <c r="AAG127" s="1004"/>
      <c r="AAH127" s="1004"/>
      <c r="AAI127" s="1004"/>
      <c r="AAJ127" s="1004"/>
      <c r="AAK127" s="1004"/>
      <c r="AAL127" s="1004"/>
      <c r="AAM127" s="1004"/>
      <c r="AAN127" s="1004"/>
      <c r="AAO127" s="1004"/>
      <c r="AAP127" s="1004"/>
      <c r="AAQ127" s="1004"/>
      <c r="AAR127" s="1004"/>
      <c r="AAS127" s="1004"/>
      <c r="AAT127" s="1004"/>
      <c r="AAU127" s="1004"/>
      <c r="AAV127" s="1004"/>
      <c r="AAW127" s="1004"/>
      <c r="AAX127" s="1004"/>
      <c r="AAY127" s="1004"/>
      <c r="AAZ127" s="1004"/>
      <c r="ABA127" s="1004"/>
      <c r="ABB127" s="1004"/>
      <c r="ABC127" s="1004"/>
      <c r="ABD127" s="1004"/>
      <c r="ABE127" s="1004"/>
      <c r="ABF127" s="1004"/>
      <c r="ABG127" s="1004"/>
      <c r="ABH127" s="1004"/>
      <c r="ABI127" s="1004"/>
      <c r="ABJ127" s="1004"/>
      <c r="ABK127" s="1004"/>
      <c r="ABL127" s="1004"/>
      <c r="ABM127" s="1004"/>
      <c r="ABN127" s="1004"/>
      <c r="ABO127" s="1004"/>
      <c r="ABP127" s="1004"/>
      <c r="ABQ127" s="1004"/>
      <c r="ABR127" s="1004"/>
    </row>
    <row r="128" spans="1:746" s="112" customFormat="1" ht="12.75" hidden="1" customHeight="1" thickBot="1">
      <c r="A128" s="2348"/>
      <c r="B128" s="354" t="s">
        <v>1314</v>
      </c>
      <c r="C128" s="101"/>
      <c r="D128" s="5"/>
      <c r="E128" s="347" t="s">
        <v>0</v>
      </c>
      <c r="F128" s="1240"/>
      <c r="G128" s="347">
        <v>0.25</v>
      </c>
      <c r="H128" s="2413"/>
      <c r="I128" s="1966"/>
      <c r="J128" s="809"/>
      <c r="K128" s="809"/>
      <c r="L128" s="809"/>
      <c r="M128" s="809"/>
      <c r="N128" s="809"/>
      <c r="O128" s="809"/>
      <c r="P128" s="809"/>
      <c r="Q128" s="809"/>
      <c r="R128" s="809"/>
      <c r="S128" s="809"/>
      <c r="T128" s="809"/>
      <c r="U128" s="794"/>
      <c r="V128" s="794"/>
      <c r="W128" s="794"/>
      <c r="X128" s="794"/>
      <c r="Y128" s="794"/>
      <c r="Z128" s="794"/>
      <c r="AA128" s="794"/>
      <c r="AB128" s="794"/>
      <c r="AC128" s="794"/>
      <c r="AD128" s="794"/>
      <c r="AE128" s="794"/>
      <c r="AF128" s="794"/>
      <c r="AG128" s="1042"/>
      <c r="AH128" s="2199"/>
      <c r="AI128" s="2199"/>
      <c r="AJ128" s="1857">
        <f>IF(fx!$C$57=1,SUMIF(fx!I$57:T$57,1,I128:T128),IF(fx!$C$57=2,SUMIF(fx!O$57:AF$57,1,O128:AF128)))</f>
        <v>0</v>
      </c>
      <c r="AK128" s="328"/>
      <c r="AL128" s="417">
        <f>IF(fx!$C$57=1,SUM(U128:AF128),0)</f>
        <v>0</v>
      </c>
      <c r="AM128" s="1004"/>
      <c r="AN128" s="1024"/>
      <c r="AO128" s="1945"/>
      <c r="AP128" s="1935"/>
      <c r="AQ128" s="1936"/>
      <c r="AR128" s="1958"/>
      <c r="AS128" s="1958"/>
      <c r="AT128" s="1958"/>
      <c r="AU128" s="1958"/>
      <c r="AV128" s="1958"/>
      <c r="AW128" s="1958"/>
      <c r="AX128" s="1958"/>
      <c r="AY128" s="1958"/>
      <c r="AZ128" s="1958"/>
      <c r="BA128" s="1958"/>
      <c r="BB128" s="1958"/>
      <c r="BC128" s="1958"/>
      <c r="BD128" s="1958"/>
      <c r="BE128" s="1958"/>
      <c r="BF128" s="1958"/>
      <c r="BG128" s="1958"/>
      <c r="BH128" s="1958"/>
      <c r="BI128" s="1958"/>
      <c r="BJ128" s="1958"/>
      <c r="BK128" s="1958"/>
      <c r="BL128" s="1958"/>
      <c r="BM128" s="1958"/>
      <c r="BN128" s="1958"/>
      <c r="BO128" s="1958"/>
      <c r="BP128" s="1004"/>
      <c r="BQ128" s="1004"/>
      <c r="BR128" s="1004"/>
      <c r="BS128" s="1004"/>
      <c r="BT128" s="1004"/>
      <c r="BU128" s="1004"/>
      <c r="BV128" s="1004"/>
      <c r="BW128" s="1004"/>
      <c r="BX128" s="1004"/>
      <c r="BY128" s="1004"/>
      <c r="BZ128" s="1004"/>
      <c r="CA128" s="1004"/>
      <c r="CB128" s="1004"/>
      <c r="CC128" s="1004"/>
      <c r="CD128" s="1004"/>
      <c r="CE128" s="1004"/>
      <c r="CF128" s="1004"/>
      <c r="CG128" s="1004"/>
      <c r="CH128" s="1004"/>
      <c r="CI128" s="1004"/>
      <c r="CJ128" s="1004"/>
      <c r="CK128" s="1004"/>
      <c r="CL128" s="1004"/>
      <c r="CM128" s="1004"/>
      <c r="CN128" s="1004"/>
      <c r="CO128" s="1004"/>
      <c r="CP128" s="1004"/>
      <c r="CQ128" s="1004"/>
      <c r="CR128" s="1004"/>
      <c r="CS128" s="1004"/>
      <c r="CT128" s="1004"/>
      <c r="CU128" s="1004"/>
      <c r="CV128" s="1004"/>
      <c r="CW128" s="1004"/>
      <c r="CX128" s="1004"/>
      <c r="CY128" s="1004"/>
      <c r="CZ128" s="1004"/>
      <c r="DA128" s="1004"/>
      <c r="DB128" s="1004"/>
      <c r="DC128" s="1004"/>
      <c r="DD128" s="1004"/>
      <c r="DE128" s="1004"/>
      <c r="DF128" s="1004"/>
      <c r="DG128" s="1004"/>
      <c r="DH128" s="1004"/>
      <c r="DI128" s="1004"/>
      <c r="DJ128" s="1004"/>
      <c r="DK128" s="1004"/>
      <c r="DL128" s="1004"/>
      <c r="DM128" s="1004"/>
      <c r="DN128" s="1004"/>
      <c r="DO128" s="1004"/>
      <c r="DP128" s="1004"/>
      <c r="DQ128" s="1004"/>
      <c r="DR128" s="1004"/>
      <c r="DS128" s="1004"/>
      <c r="DT128" s="1004"/>
      <c r="DU128" s="1004"/>
      <c r="DV128" s="1004"/>
      <c r="DW128" s="1004"/>
      <c r="DX128" s="1004"/>
      <c r="DY128" s="1004"/>
      <c r="DZ128" s="1004"/>
      <c r="EA128" s="1004"/>
      <c r="EB128" s="1004"/>
      <c r="EC128" s="1004"/>
      <c r="ED128" s="1004"/>
      <c r="EE128" s="1004"/>
      <c r="EF128" s="1004"/>
      <c r="EG128" s="1004"/>
      <c r="EH128" s="1004"/>
      <c r="EI128" s="1004"/>
      <c r="EJ128" s="1004"/>
      <c r="EK128" s="1004"/>
      <c r="EL128" s="1004"/>
      <c r="EM128" s="1004"/>
      <c r="EN128" s="1004"/>
      <c r="EO128" s="1004"/>
      <c r="EP128" s="1004"/>
      <c r="EQ128" s="1004"/>
      <c r="ER128" s="1004"/>
      <c r="ES128" s="1004"/>
      <c r="ET128" s="1004"/>
      <c r="EU128" s="1004"/>
      <c r="EV128" s="1004"/>
      <c r="EW128" s="1004"/>
      <c r="EX128" s="1004"/>
      <c r="EY128" s="1004"/>
      <c r="EZ128" s="1004"/>
      <c r="FA128" s="1004"/>
      <c r="FB128" s="1004"/>
      <c r="FC128" s="1004"/>
      <c r="FD128" s="1004"/>
      <c r="FE128" s="1004"/>
      <c r="FF128" s="1004"/>
      <c r="FG128" s="1004"/>
      <c r="FH128" s="1004"/>
      <c r="FI128" s="1004"/>
      <c r="FJ128" s="1004"/>
      <c r="FK128" s="1004"/>
      <c r="FL128" s="1004"/>
      <c r="FM128" s="1004"/>
      <c r="FN128" s="1004"/>
      <c r="FO128" s="1004"/>
      <c r="FP128" s="1004"/>
      <c r="FQ128" s="1004"/>
      <c r="FR128" s="1004"/>
      <c r="FS128" s="1004"/>
      <c r="FT128" s="1004"/>
      <c r="FU128" s="1004"/>
      <c r="FV128" s="1004"/>
      <c r="FW128" s="1004"/>
      <c r="FX128" s="1004"/>
      <c r="FY128" s="1004"/>
      <c r="FZ128" s="1004"/>
      <c r="GA128" s="1004"/>
      <c r="GB128" s="1004"/>
      <c r="GC128" s="1004"/>
      <c r="GD128" s="1004"/>
      <c r="GE128" s="1004"/>
      <c r="GF128" s="1004"/>
      <c r="GG128" s="1004"/>
      <c r="GH128" s="1004"/>
      <c r="GI128" s="1004"/>
      <c r="GJ128" s="1004"/>
      <c r="GK128" s="1004"/>
      <c r="GL128" s="1004"/>
      <c r="GM128" s="1004"/>
      <c r="GN128" s="1004"/>
      <c r="GO128" s="1004"/>
      <c r="GP128" s="1004"/>
      <c r="GQ128" s="1004"/>
      <c r="GR128" s="1004"/>
      <c r="GS128" s="1004"/>
      <c r="GT128" s="1004"/>
      <c r="GU128" s="1004"/>
      <c r="GV128" s="1004"/>
      <c r="GW128" s="1004"/>
      <c r="GX128" s="1004"/>
      <c r="GY128" s="1004"/>
      <c r="GZ128" s="1004"/>
      <c r="HA128" s="1004"/>
      <c r="HB128" s="1004"/>
      <c r="HC128" s="1004"/>
      <c r="HD128" s="1004"/>
      <c r="HE128" s="1004"/>
      <c r="HF128" s="1004"/>
      <c r="HG128" s="1004"/>
      <c r="HH128" s="1004"/>
      <c r="HI128" s="1004"/>
      <c r="HJ128" s="1004"/>
      <c r="HK128" s="1004"/>
      <c r="HL128" s="1004"/>
      <c r="HM128" s="1004"/>
      <c r="HN128" s="1004"/>
      <c r="HO128" s="1004"/>
      <c r="HP128" s="1004"/>
      <c r="HQ128" s="1004"/>
      <c r="HR128" s="1004"/>
      <c r="HS128" s="1004"/>
      <c r="HT128" s="1004"/>
      <c r="HU128" s="1004"/>
      <c r="HV128" s="1004"/>
      <c r="HW128" s="1004"/>
      <c r="HX128" s="1004"/>
      <c r="HY128" s="1004"/>
      <c r="HZ128" s="1004"/>
      <c r="IA128" s="1004"/>
      <c r="IB128" s="1004"/>
      <c r="IC128" s="1004"/>
      <c r="ID128" s="1004"/>
      <c r="IE128" s="1004"/>
      <c r="IF128" s="1004"/>
      <c r="IG128" s="1004"/>
      <c r="IH128" s="1004"/>
      <c r="II128" s="1004"/>
      <c r="IJ128" s="1004"/>
      <c r="IK128" s="1004"/>
      <c r="IL128" s="1004"/>
      <c r="IM128" s="1004"/>
      <c r="IN128" s="1004"/>
      <c r="IO128" s="1004"/>
      <c r="IP128" s="1004"/>
      <c r="IQ128" s="1004"/>
      <c r="IR128" s="1004"/>
      <c r="IS128" s="1004"/>
      <c r="IT128" s="1004"/>
      <c r="IU128" s="1004"/>
      <c r="IV128" s="1004"/>
      <c r="IW128" s="1004"/>
      <c r="IX128" s="1004"/>
      <c r="IY128" s="1004"/>
      <c r="IZ128" s="1004"/>
      <c r="JA128" s="1004"/>
      <c r="JB128" s="1004"/>
      <c r="JC128" s="1004"/>
      <c r="JD128" s="1004"/>
      <c r="JE128" s="1004"/>
      <c r="JF128" s="1004"/>
      <c r="JG128" s="1004"/>
      <c r="JH128" s="1004"/>
      <c r="JI128" s="1004"/>
      <c r="JJ128" s="1004"/>
      <c r="JK128" s="1004"/>
      <c r="JL128" s="1004"/>
      <c r="JM128" s="1004"/>
      <c r="JN128" s="1004"/>
      <c r="JO128" s="1004"/>
      <c r="JP128" s="1004"/>
      <c r="JQ128" s="1004"/>
      <c r="JR128" s="1004"/>
      <c r="JS128" s="1004"/>
      <c r="JT128" s="1004"/>
      <c r="JU128" s="1004"/>
      <c r="JV128" s="1004"/>
      <c r="JW128" s="1004"/>
      <c r="JX128" s="1004"/>
      <c r="JY128" s="1004"/>
      <c r="JZ128" s="1004"/>
      <c r="KA128" s="1004"/>
      <c r="KB128" s="1004"/>
      <c r="KC128" s="1004"/>
      <c r="KD128" s="1004"/>
      <c r="KE128" s="1004"/>
      <c r="KF128" s="1004"/>
      <c r="KG128" s="1004"/>
      <c r="KH128" s="1004"/>
      <c r="KI128" s="1004"/>
      <c r="KJ128" s="1004"/>
      <c r="KK128" s="1004"/>
      <c r="KL128" s="1004"/>
      <c r="KM128" s="1004"/>
      <c r="KN128" s="1004"/>
      <c r="KO128" s="1004"/>
      <c r="KP128" s="1004"/>
      <c r="KQ128" s="1004"/>
      <c r="KR128" s="1004"/>
      <c r="KS128" s="1004"/>
      <c r="KT128" s="1004"/>
      <c r="KU128" s="1004"/>
      <c r="KV128" s="1004"/>
      <c r="KW128" s="1004"/>
      <c r="KX128" s="1004"/>
      <c r="KY128" s="1004"/>
      <c r="KZ128" s="1004"/>
      <c r="LA128" s="1004"/>
      <c r="LB128" s="1004"/>
      <c r="LC128" s="1004"/>
      <c r="LD128" s="1004"/>
      <c r="LE128" s="1004"/>
      <c r="LF128" s="1004"/>
      <c r="LG128" s="1004"/>
      <c r="LH128" s="1004"/>
      <c r="LI128" s="1004"/>
      <c r="LJ128" s="1004"/>
      <c r="LK128" s="1004"/>
      <c r="LL128" s="1004"/>
      <c r="LM128" s="1004"/>
      <c r="LN128" s="1004"/>
      <c r="LO128" s="1004"/>
      <c r="LP128" s="1004"/>
      <c r="LQ128" s="1004"/>
      <c r="LR128" s="1004"/>
      <c r="LS128" s="1004"/>
      <c r="LT128" s="1004"/>
      <c r="LU128" s="1004"/>
      <c r="LV128" s="1004"/>
      <c r="LW128" s="1004"/>
      <c r="LX128" s="1004"/>
      <c r="LY128" s="1004"/>
      <c r="LZ128" s="1004"/>
      <c r="MA128" s="1004"/>
      <c r="MB128" s="1004"/>
      <c r="MC128" s="1004"/>
      <c r="MD128" s="1004"/>
      <c r="ME128" s="1004"/>
      <c r="MF128" s="1004"/>
      <c r="MG128" s="1004"/>
      <c r="MH128" s="1004"/>
      <c r="MI128" s="1004"/>
      <c r="MJ128" s="1004"/>
      <c r="MK128" s="1004"/>
      <c r="ML128" s="1004"/>
      <c r="MM128" s="1004"/>
      <c r="MN128" s="1004"/>
      <c r="MO128" s="1004"/>
      <c r="MP128" s="1004"/>
      <c r="MQ128" s="1004"/>
      <c r="MR128" s="1004"/>
      <c r="MS128" s="1004"/>
      <c r="MT128" s="1004"/>
      <c r="MU128" s="1004"/>
      <c r="MV128" s="1004"/>
      <c r="MW128" s="1004"/>
      <c r="MX128" s="1004"/>
      <c r="MY128" s="1004"/>
      <c r="MZ128" s="1004"/>
      <c r="NA128" s="1004"/>
      <c r="NB128" s="1004"/>
      <c r="NC128" s="1004"/>
      <c r="ND128" s="1004"/>
      <c r="NE128" s="1004"/>
      <c r="NF128" s="1004"/>
      <c r="NG128" s="1004"/>
      <c r="NH128" s="1004"/>
      <c r="NI128" s="1004"/>
      <c r="NJ128" s="1004"/>
      <c r="NK128" s="1004"/>
      <c r="NL128" s="1004"/>
      <c r="NM128" s="1004"/>
      <c r="NN128" s="1004"/>
      <c r="NO128" s="1004"/>
      <c r="NP128" s="1004"/>
      <c r="NQ128" s="1004"/>
      <c r="NR128" s="1004"/>
      <c r="NS128" s="1004"/>
      <c r="NT128" s="1004"/>
      <c r="NU128" s="1004"/>
      <c r="NV128" s="1004"/>
      <c r="NW128" s="1004"/>
      <c r="NX128" s="1004"/>
      <c r="NY128" s="1004"/>
      <c r="NZ128" s="1004"/>
      <c r="OA128" s="1004"/>
      <c r="OB128" s="1004"/>
      <c r="OC128" s="1004"/>
      <c r="OD128" s="1004"/>
      <c r="OE128" s="1004"/>
      <c r="OF128" s="1004"/>
      <c r="OG128" s="1004"/>
      <c r="OH128" s="1004"/>
      <c r="OI128" s="1004"/>
      <c r="OJ128" s="1004"/>
      <c r="OK128" s="1004"/>
      <c r="OL128" s="1004"/>
      <c r="OM128" s="1004"/>
      <c r="ON128" s="1004"/>
      <c r="OO128" s="1004"/>
      <c r="OP128" s="1004"/>
      <c r="OQ128" s="1004"/>
      <c r="OR128" s="1004"/>
      <c r="OS128" s="1004"/>
      <c r="OT128" s="1004"/>
      <c r="OU128" s="1004"/>
      <c r="OV128" s="1004"/>
      <c r="OW128" s="1004"/>
      <c r="OX128" s="1004"/>
      <c r="OY128" s="1004"/>
      <c r="OZ128" s="1004"/>
      <c r="PA128" s="1004"/>
      <c r="PB128" s="1004"/>
      <c r="PC128" s="1004"/>
      <c r="PD128" s="1004"/>
      <c r="PE128" s="1004"/>
      <c r="PF128" s="1004"/>
      <c r="PG128" s="1004"/>
      <c r="PH128" s="1004"/>
      <c r="PI128" s="1004"/>
      <c r="PJ128" s="1004"/>
      <c r="PK128" s="1004"/>
      <c r="PL128" s="1004"/>
      <c r="PM128" s="1004"/>
      <c r="PN128" s="1004"/>
      <c r="PO128" s="1004"/>
      <c r="PP128" s="1004"/>
      <c r="PQ128" s="1004"/>
      <c r="PR128" s="1004"/>
      <c r="PS128" s="1004"/>
      <c r="PT128" s="1004"/>
      <c r="PU128" s="1004"/>
      <c r="PV128" s="1004"/>
      <c r="PW128" s="1004"/>
      <c r="PX128" s="1004"/>
      <c r="PY128" s="1004"/>
      <c r="PZ128" s="1004"/>
      <c r="QA128" s="1004"/>
      <c r="QB128" s="1004"/>
      <c r="QC128" s="1004"/>
      <c r="QD128" s="1004"/>
      <c r="QE128" s="1004"/>
      <c r="QF128" s="1004"/>
      <c r="QG128" s="1004"/>
      <c r="QH128" s="1004"/>
      <c r="QI128" s="1004"/>
      <c r="QJ128" s="1004"/>
      <c r="QK128" s="1004"/>
      <c r="QL128" s="1004"/>
      <c r="QM128" s="1004"/>
      <c r="QN128" s="1004"/>
      <c r="QO128" s="1004"/>
      <c r="QP128" s="1004"/>
      <c r="QQ128" s="1004"/>
      <c r="QR128" s="1004"/>
      <c r="QS128" s="1004"/>
      <c r="QT128" s="1004"/>
      <c r="QU128" s="1004"/>
      <c r="QV128" s="1004"/>
      <c r="QW128" s="1004"/>
      <c r="QX128" s="1004"/>
      <c r="QY128" s="1004"/>
      <c r="QZ128" s="1004"/>
      <c r="RA128" s="1004"/>
      <c r="RB128" s="1004"/>
      <c r="RC128" s="1004"/>
      <c r="RD128" s="1004"/>
      <c r="RE128" s="1004"/>
      <c r="RF128" s="1004"/>
      <c r="RG128" s="1004"/>
      <c r="RH128" s="1004"/>
      <c r="RI128" s="1004"/>
      <c r="RJ128" s="1004"/>
      <c r="RK128" s="1004"/>
      <c r="RL128" s="1004"/>
      <c r="RM128" s="1004"/>
      <c r="RN128" s="1004"/>
      <c r="RO128" s="1004"/>
      <c r="RP128" s="1004"/>
      <c r="RQ128" s="1004"/>
      <c r="RR128" s="1004"/>
      <c r="RS128" s="1004"/>
      <c r="RT128" s="1004"/>
      <c r="RU128" s="1004"/>
      <c r="RV128" s="1004"/>
      <c r="RW128" s="1004"/>
      <c r="RX128" s="1004"/>
      <c r="RY128" s="1004"/>
      <c r="RZ128" s="1004"/>
      <c r="SA128" s="1004"/>
      <c r="SB128" s="1004"/>
      <c r="SC128" s="1004"/>
      <c r="SD128" s="1004"/>
      <c r="SE128" s="1004"/>
      <c r="SF128" s="1004"/>
      <c r="SG128" s="1004"/>
      <c r="SH128" s="1004"/>
      <c r="SI128" s="1004"/>
      <c r="SJ128" s="1004"/>
      <c r="SK128" s="1004"/>
      <c r="SL128" s="1004"/>
      <c r="SM128" s="1004"/>
      <c r="SN128" s="1004"/>
      <c r="SO128" s="1004"/>
      <c r="SP128" s="1004"/>
      <c r="SQ128" s="1004"/>
      <c r="SR128" s="1004"/>
      <c r="SS128" s="1004"/>
      <c r="ST128" s="1004"/>
      <c r="SU128" s="1004"/>
      <c r="SV128" s="1004"/>
      <c r="SW128" s="1004"/>
      <c r="SX128" s="1004"/>
      <c r="SY128" s="1004"/>
      <c r="SZ128" s="1004"/>
      <c r="TA128" s="1004"/>
      <c r="TB128" s="1004"/>
      <c r="TC128" s="1004"/>
      <c r="TD128" s="1004"/>
      <c r="TE128" s="1004"/>
      <c r="TF128" s="1004"/>
      <c r="TG128" s="1004"/>
      <c r="TH128" s="1004"/>
      <c r="TI128" s="1004"/>
      <c r="TJ128" s="1004"/>
      <c r="TK128" s="1004"/>
      <c r="TL128" s="1004"/>
      <c r="TM128" s="1004"/>
      <c r="TN128" s="1004"/>
      <c r="TO128" s="1004"/>
      <c r="TP128" s="1004"/>
      <c r="TQ128" s="1004"/>
      <c r="TR128" s="1004"/>
      <c r="TS128" s="1004"/>
      <c r="TT128" s="1004"/>
      <c r="TU128" s="1004"/>
      <c r="TV128" s="1004"/>
      <c r="TW128" s="1004"/>
      <c r="TX128" s="1004"/>
      <c r="TY128" s="1004"/>
      <c r="TZ128" s="1004"/>
      <c r="UA128" s="1004"/>
      <c r="UB128" s="1004"/>
      <c r="UC128" s="1004"/>
      <c r="UD128" s="1004"/>
      <c r="UE128" s="1004"/>
      <c r="UF128" s="1004"/>
      <c r="UG128" s="1004"/>
      <c r="UH128" s="1004"/>
      <c r="UI128" s="1004"/>
      <c r="UJ128" s="1004"/>
      <c r="UK128" s="1004"/>
      <c r="UL128" s="1004"/>
      <c r="UM128" s="1004"/>
      <c r="UN128" s="1004"/>
      <c r="UO128" s="1004"/>
      <c r="UP128" s="1004"/>
      <c r="UQ128" s="1004"/>
      <c r="UR128" s="1004"/>
      <c r="US128" s="1004"/>
      <c r="UT128" s="1004"/>
      <c r="UU128" s="1004"/>
      <c r="UV128" s="1004"/>
      <c r="UW128" s="1004"/>
      <c r="UX128" s="1004"/>
      <c r="UY128" s="1004"/>
      <c r="UZ128" s="1004"/>
      <c r="VA128" s="1004"/>
      <c r="VB128" s="1004"/>
      <c r="VC128" s="1004"/>
      <c r="VD128" s="1004"/>
      <c r="VE128" s="1004"/>
      <c r="VF128" s="1004"/>
      <c r="VG128" s="1004"/>
      <c r="VH128" s="1004"/>
      <c r="VI128" s="1004"/>
      <c r="VJ128" s="1004"/>
      <c r="VK128" s="1004"/>
      <c r="VL128" s="1004"/>
      <c r="VM128" s="1004"/>
      <c r="VN128" s="1004"/>
      <c r="VO128" s="1004"/>
      <c r="VP128" s="1004"/>
      <c r="VQ128" s="1004"/>
      <c r="VR128" s="1004"/>
      <c r="VS128" s="1004"/>
      <c r="VT128" s="1004"/>
      <c r="VU128" s="1004"/>
      <c r="VV128" s="1004"/>
      <c r="VW128" s="1004"/>
      <c r="VX128" s="1004"/>
      <c r="VY128" s="1004"/>
      <c r="VZ128" s="1004"/>
      <c r="WA128" s="1004"/>
      <c r="WB128" s="1004"/>
      <c r="WC128" s="1004"/>
      <c r="WD128" s="1004"/>
      <c r="WE128" s="1004"/>
      <c r="WF128" s="1004"/>
      <c r="WG128" s="1004"/>
      <c r="WH128" s="1004"/>
      <c r="WI128" s="1004"/>
      <c r="WJ128" s="1004"/>
      <c r="WK128" s="1004"/>
      <c r="WL128" s="1004"/>
      <c r="WM128" s="1004"/>
      <c r="WN128" s="1004"/>
      <c r="WO128" s="1004"/>
      <c r="WP128" s="1004"/>
      <c r="WQ128" s="1004"/>
      <c r="WR128" s="1004"/>
      <c r="WS128" s="1004"/>
      <c r="WT128" s="1004"/>
      <c r="WU128" s="1004"/>
      <c r="WV128" s="1004"/>
      <c r="WW128" s="1004"/>
      <c r="WX128" s="1004"/>
      <c r="WY128" s="1004"/>
      <c r="WZ128" s="1004"/>
      <c r="XA128" s="1004"/>
      <c r="XB128" s="1004"/>
      <c r="XC128" s="1004"/>
      <c r="XD128" s="1004"/>
      <c r="XE128" s="1004"/>
      <c r="XF128" s="1004"/>
      <c r="XG128" s="1004"/>
      <c r="XH128" s="1004"/>
      <c r="XI128" s="1004"/>
      <c r="XJ128" s="1004"/>
      <c r="XK128" s="1004"/>
      <c r="XL128" s="1004"/>
      <c r="XM128" s="1004"/>
      <c r="XN128" s="1004"/>
      <c r="XO128" s="1004"/>
      <c r="XP128" s="1004"/>
      <c r="XQ128" s="1004"/>
      <c r="XR128" s="1004"/>
      <c r="XS128" s="1004"/>
      <c r="XT128" s="1004"/>
      <c r="XU128" s="1004"/>
      <c r="XV128" s="1004"/>
      <c r="XW128" s="1004"/>
      <c r="XX128" s="1004"/>
      <c r="XY128" s="1004"/>
      <c r="XZ128" s="1004"/>
      <c r="YA128" s="1004"/>
      <c r="YB128" s="1004"/>
      <c r="YC128" s="1004"/>
      <c r="YD128" s="1004"/>
      <c r="YE128" s="1004"/>
      <c r="YF128" s="1004"/>
      <c r="YG128" s="1004"/>
      <c r="YH128" s="1004"/>
      <c r="YI128" s="1004"/>
      <c r="YJ128" s="1004"/>
      <c r="YK128" s="1004"/>
      <c r="YL128" s="1004"/>
      <c r="YM128" s="1004"/>
      <c r="YN128" s="1004"/>
      <c r="YO128" s="1004"/>
      <c r="YP128" s="1004"/>
      <c r="YQ128" s="1004"/>
      <c r="YR128" s="1004"/>
      <c r="YS128" s="1004"/>
      <c r="YT128" s="1004"/>
      <c r="YU128" s="1004"/>
      <c r="YV128" s="1004"/>
      <c r="YW128" s="1004"/>
      <c r="YX128" s="1004"/>
      <c r="YY128" s="1004"/>
      <c r="YZ128" s="1004"/>
      <c r="ZA128" s="1004"/>
      <c r="ZB128" s="1004"/>
      <c r="ZC128" s="1004"/>
      <c r="ZD128" s="1004"/>
      <c r="ZE128" s="1004"/>
      <c r="ZF128" s="1004"/>
      <c r="ZG128" s="1004"/>
      <c r="ZH128" s="1004"/>
      <c r="ZI128" s="1004"/>
      <c r="ZJ128" s="1004"/>
      <c r="ZK128" s="1004"/>
      <c r="ZL128" s="1004"/>
      <c r="ZM128" s="1004"/>
      <c r="ZN128" s="1004"/>
      <c r="ZO128" s="1004"/>
      <c r="ZP128" s="1004"/>
      <c r="ZQ128" s="1004"/>
      <c r="ZR128" s="1004"/>
      <c r="ZS128" s="1004"/>
      <c r="ZT128" s="1004"/>
      <c r="ZU128" s="1004"/>
      <c r="ZV128" s="1004"/>
      <c r="ZW128" s="1004"/>
      <c r="ZX128" s="1004"/>
      <c r="ZY128" s="1004"/>
      <c r="ZZ128" s="1004"/>
      <c r="AAA128" s="1004"/>
      <c r="AAB128" s="1004"/>
      <c r="AAC128" s="1004"/>
      <c r="AAD128" s="1004"/>
      <c r="AAE128" s="1004"/>
      <c r="AAF128" s="1004"/>
      <c r="AAG128" s="1004"/>
      <c r="AAH128" s="1004"/>
      <c r="AAI128" s="1004"/>
      <c r="AAJ128" s="1004"/>
      <c r="AAK128" s="1004"/>
      <c r="AAL128" s="1004"/>
      <c r="AAM128" s="1004"/>
      <c r="AAN128" s="1004"/>
      <c r="AAO128" s="1004"/>
      <c r="AAP128" s="1004"/>
      <c r="AAQ128" s="1004"/>
      <c r="AAR128" s="1004"/>
      <c r="AAS128" s="1004"/>
      <c r="AAT128" s="1004"/>
      <c r="AAU128" s="1004"/>
      <c r="AAV128" s="1004"/>
      <c r="AAW128" s="1004"/>
      <c r="AAX128" s="1004"/>
      <c r="AAY128" s="1004"/>
      <c r="AAZ128" s="1004"/>
      <c r="ABA128" s="1004"/>
      <c r="ABB128" s="1004"/>
      <c r="ABC128" s="1004"/>
      <c r="ABD128" s="1004"/>
      <c r="ABE128" s="1004"/>
      <c r="ABF128" s="1004"/>
      <c r="ABG128" s="1004"/>
      <c r="ABH128" s="1004"/>
      <c r="ABI128" s="1004"/>
      <c r="ABJ128" s="1004"/>
      <c r="ABK128" s="1004"/>
      <c r="ABL128" s="1004"/>
      <c r="ABM128" s="1004"/>
      <c r="ABN128" s="1004"/>
      <c r="ABO128" s="1004"/>
      <c r="ABP128" s="1004"/>
      <c r="ABQ128" s="1004"/>
      <c r="ABR128" s="1004"/>
    </row>
    <row r="129" spans="1:746" s="112" customFormat="1" ht="12.75" hidden="1" customHeight="1" thickBot="1">
      <c r="A129" s="2348"/>
      <c r="B129" s="354" t="s">
        <v>1315</v>
      </c>
      <c r="C129" s="101"/>
      <c r="D129" s="5"/>
      <c r="E129" s="347" t="s">
        <v>0</v>
      </c>
      <c r="F129" s="1240"/>
      <c r="G129" s="347">
        <v>0.25</v>
      </c>
      <c r="H129" s="2413"/>
      <c r="I129" s="1966"/>
      <c r="J129" s="809"/>
      <c r="K129" s="809"/>
      <c r="L129" s="809"/>
      <c r="M129" s="809"/>
      <c r="N129" s="809"/>
      <c r="O129" s="809"/>
      <c r="P129" s="809"/>
      <c r="Q129" s="809"/>
      <c r="R129" s="809"/>
      <c r="S129" s="809"/>
      <c r="T129" s="809"/>
      <c r="U129" s="794"/>
      <c r="V129" s="794"/>
      <c r="W129" s="794"/>
      <c r="X129" s="794"/>
      <c r="Y129" s="794"/>
      <c r="Z129" s="794"/>
      <c r="AA129" s="794"/>
      <c r="AB129" s="794"/>
      <c r="AC129" s="794"/>
      <c r="AD129" s="794"/>
      <c r="AE129" s="794"/>
      <c r="AF129" s="794"/>
      <c r="AG129" s="1042"/>
      <c r="AH129" s="2199"/>
      <c r="AI129" s="2199"/>
      <c r="AJ129" s="1857">
        <f>IF(fx!$C$57=1,SUMIF(fx!I$57:T$57,1,I129:T129),IF(fx!$C$57=2,SUMIF(fx!O$57:AF$57,1,O129:AF129)))</f>
        <v>0</v>
      </c>
      <c r="AK129" s="328"/>
      <c r="AL129" s="417">
        <f>IF(fx!$C$57=1,SUM(U129:AF129),0)</f>
        <v>0</v>
      </c>
      <c r="AM129" s="1004"/>
      <c r="AN129" s="1024"/>
      <c r="AO129" s="1945"/>
      <c r="AP129" s="1935"/>
      <c r="AQ129" s="1936"/>
      <c r="AR129" s="1958"/>
      <c r="AS129" s="1958"/>
      <c r="AT129" s="1958"/>
      <c r="AU129" s="1958"/>
      <c r="AV129" s="1958"/>
      <c r="AW129" s="1958"/>
      <c r="AX129" s="1958"/>
      <c r="AY129" s="1958"/>
      <c r="AZ129" s="1958"/>
      <c r="BA129" s="1958"/>
      <c r="BB129" s="1958"/>
      <c r="BC129" s="1958"/>
      <c r="BD129" s="1958"/>
      <c r="BE129" s="1958"/>
      <c r="BF129" s="1958"/>
      <c r="BG129" s="1958"/>
      <c r="BH129" s="1958"/>
      <c r="BI129" s="1958"/>
      <c r="BJ129" s="1958"/>
      <c r="BK129" s="1958"/>
      <c r="BL129" s="1958"/>
      <c r="BM129" s="1958"/>
      <c r="BN129" s="1958"/>
      <c r="BO129" s="1958"/>
      <c r="BP129" s="1004"/>
      <c r="BQ129" s="1004"/>
      <c r="BR129" s="1004"/>
      <c r="BS129" s="1004"/>
      <c r="BT129" s="1004"/>
      <c r="BU129" s="1004"/>
      <c r="BV129" s="1004"/>
      <c r="BW129" s="1004"/>
      <c r="BX129" s="1004"/>
      <c r="BY129" s="1004"/>
      <c r="BZ129" s="1004"/>
      <c r="CA129" s="1004"/>
      <c r="CB129" s="1004"/>
      <c r="CC129" s="1004"/>
      <c r="CD129" s="1004"/>
      <c r="CE129" s="1004"/>
      <c r="CF129" s="1004"/>
      <c r="CG129" s="1004"/>
      <c r="CH129" s="1004"/>
      <c r="CI129" s="1004"/>
      <c r="CJ129" s="1004"/>
      <c r="CK129" s="1004"/>
      <c r="CL129" s="1004"/>
      <c r="CM129" s="1004"/>
      <c r="CN129" s="1004"/>
      <c r="CO129" s="1004"/>
      <c r="CP129" s="1004"/>
      <c r="CQ129" s="1004"/>
      <c r="CR129" s="1004"/>
      <c r="CS129" s="1004"/>
      <c r="CT129" s="1004"/>
      <c r="CU129" s="1004"/>
      <c r="CV129" s="1004"/>
      <c r="CW129" s="1004"/>
      <c r="CX129" s="1004"/>
      <c r="CY129" s="1004"/>
      <c r="CZ129" s="1004"/>
      <c r="DA129" s="1004"/>
      <c r="DB129" s="1004"/>
      <c r="DC129" s="1004"/>
      <c r="DD129" s="1004"/>
      <c r="DE129" s="1004"/>
      <c r="DF129" s="1004"/>
      <c r="DG129" s="1004"/>
      <c r="DH129" s="1004"/>
      <c r="DI129" s="1004"/>
      <c r="DJ129" s="1004"/>
      <c r="DK129" s="1004"/>
      <c r="DL129" s="1004"/>
      <c r="DM129" s="1004"/>
      <c r="DN129" s="1004"/>
      <c r="DO129" s="1004"/>
      <c r="DP129" s="1004"/>
      <c r="DQ129" s="1004"/>
      <c r="DR129" s="1004"/>
      <c r="DS129" s="1004"/>
      <c r="DT129" s="1004"/>
      <c r="DU129" s="1004"/>
      <c r="DV129" s="1004"/>
      <c r="DW129" s="1004"/>
      <c r="DX129" s="1004"/>
      <c r="DY129" s="1004"/>
      <c r="DZ129" s="1004"/>
      <c r="EA129" s="1004"/>
      <c r="EB129" s="1004"/>
      <c r="EC129" s="1004"/>
      <c r="ED129" s="1004"/>
      <c r="EE129" s="1004"/>
      <c r="EF129" s="1004"/>
      <c r="EG129" s="1004"/>
      <c r="EH129" s="1004"/>
      <c r="EI129" s="1004"/>
      <c r="EJ129" s="1004"/>
      <c r="EK129" s="1004"/>
      <c r="EL129" s="1004"/>
      <c r="EM129" s="1004"/>
      <c r="EN129" s="1004"/>
      <c r="EO129" s="1004"/>
      <c r="EP129" s="1004"/>
      <c r="EQ129" s="1004"/>
      <c r="ER129" s="1004"/>
      <c r="ES129" s="1004"/>
      <c r="ET129" s="1004"/>
      <c r="EU129" s="1004"/>
      <c r="EV129" s="1004"/>
      <c r="EW129" s="1004"/>
      <c r="EX129" s="1004"/>
      <c r="EY129" s="1004"/>
      <c r="EZ129" s="1004"/>
      <c r="FA129" s="1004"/>
      <c r="FB129" s="1004"/>
      <c r="FC129" s="1004"/>
      <c r="FD129" s="1004"/>
      <c r="FE129" s="1004"/>
      <c r="FF129" s="1004"/>
      <c r="FG129" s="1004"/>
      <c r="FH129" s="1004"/>
      <c r="FI129" s="1004"/>
      <c r="FJ129" s="1004"/>
      <c r="FK129" s="1004"/>
      <c r="FL129" s="1004"/>
      <c r="FM129" s="1004"/>
      <c r="FN129" s="1004"/>
      <c r="FO129" s="1004"/>
      <c r="FP129" s="1004"/>
      <c r="FQ129" s="1004"/>
      <c r="FR129" s="1004"/>
      <c r="FS129" s="1004"/>
      <c r="FT129" s="1004"/>
      <c r="FU129" s="1004"/>
      <c r="FV129" s="1004"/>
      <c r="FW129" s="1004"/>
      <c r="FX129" s="1004"/>
      <c r="FY129" s="1004"/>
      <c r="FZ129" s="1004"/>
      <c r="GA129" s="1004"/>
      <c r="GB129" s="1004"/>
      <c r="GC129" s="1004"/>
      <c r="GD129" s="1004"/>
      <c r="GE129" s="1004"/>
      <c r="GF129" s="1004"/>
      <c r="GG129" s="1004"/>
      <c r="GH129" s="1004"/>
      <c r="GI129" s="1004"/>
      <c r="GJ129" s="1004"/>
      <c r="GK129" s="1004"/>
      <c r="GL129" s="1004"/>
      <c r="GM129" s="1004"/>
      <c r="GN129" s="1004"/>
      <c r="GO129" s="1004"/>
      <c r="GP129" s="1004"/>
      <c r="GQ129" s="1004"/>
      <c r="GR129" s="1004"/>
      <c r="GS129" s="1004"/>
      <c r="GT129" s="1004"/>
      <c r="GU129" s="1004"/>
      <c r="GV129" s="1004"/>
      <c r="GW129" s="1004"/>
      <c r="GX129" s="1004"/>
      <c r="GY129" s="1004"/>
      <c r="GZ129" s="1004"/>
      <c r="HA129" s="1004"/>
      <c r="HB129" s="1004"/>
      <c r="HC129" s="1004"/>
      <c r="HD129" s="1004"/>
      <c r="HE129" s="1004"/>
      <c r="HF129" s="1004"/>
      <c r="HG129" s="1004"/>
      <c r="HH129" s="1004"/>
      <c r="HI129" s="1004"/>
      <c r="HJ129" s="1004"/>
      <c r="HK129" s="1004"/>
      <c r="HL129" s="1004"/>
      <c r="HM129" s="1004"/>
      <c r="HN129" s="1004"/>
      <c r="HO129" s="1004"/>
      <c r="HP129" s="1004"/>
      <c r="HQ129" s="1004"/>
      <c r="HR129" s="1004"/>
      <c r="HS129" s="1004"/>
      <c r="HT129" s="1004"/>
      <c r="HU129" s="1004"/>
      <c r="HV129" s="1004"/>
      <c r="HW129" s="1004"/>
      <c r="HX129" s="1004"/>
      <c r="HY129" s="1004"/>
      <c r="HZ129" s="1004"/>
      <c r="IA129" s="1004"/>
      <c r="IB129" s="1004"/>
      <c r="IC129" s="1004"/>
      <c r="ID129" s="1004"/>
      <c r="IE129" s="1004"/>
      <c r="IF129" s="1004"/>
      <c r="IG129" s="1004"/>
      <c r="IH129" s="1004"/>
      <c r="II129" s="1004"/>
      <c r="IJ129" s="1004"/>
      <c r="IK129" s="1004"/>
      <c r="IL129" s="1004"/>
      <c r="IM129" s="1004"/>
      <c r="IN129" s="1004"/>
      <c r="IO129" s="1004"/>
      <c r="IP129" s="1004"/>
      <c r="IQ129" s="1004"/>
      <c r="IR129" s="1004"/>
      <c r="IS129" s="1004"/>
      <c r="IT129" s="1004"/>
      <c r="IU129" s="1004"/>
      <c r="IV129" s="1004"/>
      <c r="IW129" s="1004"/>
      <c r="IX129" s="1004"/>
      <c r="IY129" s="1004"/>
      <c r="IZ129" s="1004"/>
      <c r="JA129" s="1004"/>
      <c r="JB129" s="1004"/>
      <c r="JC129" s="1004"/>
      <c r="JD129" s="1004"/>
      <c r="JE129" s="1004"/>
      <c r="JF129" s="1004"/>
      <c r="JG129" s="1004"/>
      <c r="JH129" s="1004"/>
      <c r="JI129" s="1004"/>
      <c r="JJ129" s="1004"/>
      <c r="JK129" s="1004"/>
      <c r="JL129" s="1004"/>
      <c r="JM129" s="1004"/>
      <c r="JN129" s="1004"/>
      <c r="JO129" s="1004"/>
      <c r="JP129" s="1004"/>
      <c r="JQ129" s="1004"/>
      <c r="JR129" s="1004"/>
      <c r="JS129" s="1004"/>
      <c r="JT129" s="1004"/>
      <c r="JU129" s="1004"/>
      <c r="JV129" s="1004"/>
      <c r="JW129" s="1004"/>
      <c r="JX129" s="1004"/>
      <c r="JY129" s="1004"/>
      <c r="JZ129" s="1004"/>
      <c r="KA129" s="1004"/>
      <c r="KB129" s="1004"/>
      <c r="KC129" s="1004"/>
      <c r="KD129" s="1004"/>
      <c r="KE129" s="1004"/>
      <c r="KF129" s="1004"/>
      <c r="KG129" s="1004"/>
      <c r="KH129" s="1004"/>
      <c r="KI129" s="1004"/>
      <c r="KJ129" s="1004"/>
      <c r="KK129" s="1004"/>
      <c r="KL129" s="1004"/>
      <c r="KM129" s="1004"/>
      <c r="KN129" s="1004"/>
      <c r="KO129" s="1004"/>
      <c r="KP129" s="1004"/>
      <c r="KQ129" s="1004"/>
      <c r="KR129" s="1004"/>
      <c r="KS129" s="1004"/>
      <c r="KT129" s="1004"/>
      <c r="KU129" s="1004"/>
      <c r="KV129" s="1004"/>
      <c r="KW129" s="1004"/>
      <c r="KX129" s="1004"/>
      <c r="KY129" s="1004"/>
      <c r="KZ129" s="1004"/>
      <c r="LA129" s="1004"/>
      <c r="LB129" s="1004"/>
      <c r="LC129" s="1004"/>
      <c r="LD129" s="1004"/>
      <c r="LE129" s="1004"/>
      <c r="LF129" s="1004"/>
      <c r="LG129" s="1004"/>
      <c r="LH129" s="1004"/>
      <c r="LI129" s="1004"/>
      <c r="LJ129" s="1004"/>
      <c r="LK129" s="1004"/>
      <c r="LL129" s="1004"/>
      <c r="LM129" s="1004"/>
      <c r="LN129" s="1004"/>
      <c r="LO129" s="1004"/>
      <c r="LP129" s="1004"/>
      <c r="LQ129" s="1004"/>
      <c r="LR129" s="1004"/>
      <c r="LS129" s="1004"/>
      <c r="LT129" s="1004"/>
      <c r="LU129" s="1004"/>
      <c r="LV129" s="1004"/>
      <c r="LW129" s="1004"/>
      <c r="LX129" s="1004"/>
      <c r="LY129" s="1004"/>
      <c r="LZ129" s="1004"/>
      <c r="MA129" s="1004"/>
      <c r="MB129" s="1004"/>
      <c r="MC129" s="1004"/>
      <c r="MD129" s="1004"/>
      <c r="ME129" s="1004"/>
      <c r="MF129" s="1004"/>
      <c r="MG129" s="1004"/>
      <c r="MH129" s="1004"/>
      <c r="MI129" s="1004"/>
      <c r="MJ129" s="1004"/>
      <c r="MK129" s="1004"/>
      <c r="ML129" s="1004"/>
      <c r="MM129" s="1004"/>
      <c r="MN129" s="1004"/>
      <c r="MO129" s="1004"/>
      <c r="MP129" s="1004"/>
      <c r="MQ129" s="1004"/>
      <c r="MR129" s="1004"/>
      <c r="MS129" s="1004"/>
      <c r="MT129" s="1004"/>
      <c r="MU129" s="1004"/>
      <c r="MV129" s="1004"/>
      <c r="MW129" s="1004"/>
      <c r="MX129" s="1004"/>
      <c r="MY129" s="1004"/>
      <c r="MZ129" s="1004"/>
      <c r="NA129" s="1004"/>
      <c r="NB129" s="1004"/>
      <c r="NC129" s="1004"/>
      <c r="ND129" s="1004"/>
      <c r="NE129" s="1004"/>
      <c r="NF129" s="1004"/>
      <c r="NG129" s="1004"/>
      <c r="NH129" s="1004"/>
      <c r="NI129" s="1004"/>
      <c r="NJ129" s="1004"/>
      <c r="NK129" s="1004"/>
      <c r="NL129" s="1004"/>
      <c r="NM129" s="1004"/>
      <c r="NN129" s="1004"/>
      <c r="NO129" s="1004"/>
      <c r="NP129" s="1004"/>
      <c r="NQ129" s="1004"/>
      <c r="NR129" s="1004"/>
      <c r="NS129" s="1004"/>
      <c r="NT129" s="1004"/>
      <c r="NU129" s="1004"/>
      <c r="NV129" s="1004"/>
      <c r="NW129" s="1004"/>
      <c r="NX129" s="1004"/>
      <c r="NY129" s="1004"/>
      <c r="NZ129" s="1004"/>
      <c r="OA129" s="1004"/>
      <c r="OB129" s="1004"/>
      <c r="OC129" s="1004"/>
      <c r="OD129" s="1004"/>
      <c r="OE129" s="1004"/>
      <c r="OF129" s="1004"/>
      <c r="OG129" s="1004"/>
      <c r="OH129" s="1004"/>
      <c r="OI129" s="1004"/>
      <c r="OJ129" s="1004"/>
      <c r="OK129" s="1004"/>
      <c r="OL129" s="1004"/>
      <c r="OM129" s="1004"/>
      <c r="ON129" s="1004"/>
      <c r="OO129" s="1004"/>
      <c r="OP129" s="1004"/>
      <c r="OQ129" s="1004"/>
      <c r="OR129" s="1004"/>
      <c r="OS129" s="1004"/>
      <c r="OT129" s="1004"/>
      <c r="OU129" s="1004"/>
      <c r="OV129" s="1004"/>
      <c r="OW129" s="1004"/>
      <c r="OX129" s="1004"/>
      <c r="OY129" s="1004"/>
      <c r="OZ129" s="1004"/>
      <c r="PA129" s="1004"/>
      <c r="PB129" s="1004"/>
      <c r="PC129" s="1004"/>
      <c r="PD129" s="1004"/>
      <c r="PE129" s="1004"/>
      <c r="PF129" s="1004"/>
      <c r="PG129" s="1004"/>
      <c r="PH129" s="1004"/>
      <c r="PI129" s="1004"/>
      <c r="PJ129" s="1004"/>
      <c r="PK129" s="1004"/>
      <c r="PL129" s="1004"/>
      <c r="PM129" s="1004"/>
      <c r="PN129" s="1004"/>
      <c r="PO129" s="1004"/>
      <c r="PP129" s="1004"/>
      <c r="PQ129" s="1004"/>
      <c r="PR129" s="1004"/>
      <c r="PS129" s="1004"/>
      <c r="PT129" s="1004"/>
      <c r="PU129" s="1004"/>
      <c r="PV129" s="1004"/>
      <c r="PW129" s="1004"/>
      <c r="PX129" s="1004"/>
      <c r="PY129" s="1004"/>
      <c r="PZ129" s="1004"/>
      <c r="QA129" s="1004"/>
      <c r="QB129" s="1004"/>
      <c r="QC129" s="1004"/>
      <c r="QD129" s="1004"/>
      <c r="QE129" s="1004"/>
      <c r="QF129" s="1004"/>
      <c r="QG129" s="1004"/>
      <c r="QH129" s="1004"/>
      <c r="QI129" s="1004"/>
      <c r="QJ129" s="1004"/>
      <c r="QK129" s="1004"/>
      <c r="QL129" s="1004"/>
      <c r="QM129" s="1004"/>
      <c r="QN129" s="1004"/>
      <c r="QO129" s="1004"/>
      <c r="QP129" s="1004"/>
      <c r="QQ129" s="1004"/>
      <c r="QR129" s="1004"/>
      <c r="QS129" s="1004"/>
      <c r="QT129" s="1004"/>
      <c r="QU129" s="1004"/>
      <c r="QV129" s="1004"/>
      <c r="QW129" s="1004"/>
      <c r="QX129" s="1004"/>
      <c r="QY129" s="1004"/>
      <c r="QZ129" s="1004"/>
      <c r="RA129" s="1004"/>
      <c r="RB129" s="1004"/>
      <c r="RC129" s="1004"/>
      <c r="RD129" s="1004"/>
      <c r="RE129" s="1004"/>
      <c r="RF129" s="1004"/>
      <c r="RG129" s="1004"/>
      <c r="RH129" s="1004"/>
      <c r="RI129" s="1004"/>
      <c r="RJ129" s="1004"/>
      <c r="RK129" s="1004"/>
      <c r="RL129" s="1004"/>
      <c r="RM129" s="1004"/>
      <c r="RN129" s="1004"/>
      <c r="RO129" s="1004"/>
      <c r="RP129" s="1004"/>
      <c r="RQ129" s="1004"/>
      <c r="RR129" s="1004"/>
      <c r="RS129" s="1004"/>
      <c r="RT129" s="1004"/>
      <c r="RU129" s="1004"/>
      <c r="RV129" s="1004"/>
      <c r="RW129" s="1004"/>
      <c r="RX129" s="1004"/>
      <c r="RY129" s="1004"/>
      <c r="RZ129" s="1004"/>
      <c r="SA129" s="1004"/>
      <c r="SB129" s="1004"/>
      <c r="SC129" s="1004"/>
      <c r="SD129" s="1004"/>
      <c r="SE129" s="1004"/>
      <c r="SF129" s="1004"/>
      <c r="SG129" s="1004"/>
      <c r="SH129" s="1004"/>
      <c r="SI129" s="1004"/>
      <c r="SJ129" s="1004"/>
      <c r="SK129" s="1004"/>
      <c r="SL129" s="1004"/>
      <c r="SM129" s="1004"/>
      <c r="SN129" s="1004"/>
      <c r="SO129" s="1004"/>
      <c r="SP129" s="1004"/>
      <c r="SQ129" s="1004"/>
      <c r="SR129" s="1004"/>
      <c r="SS129" s="1004"/>
      <c r="ST129" s="1004"/>
      <c r="SU129" s="1004"/>
      <c r="SV129" s="1004"/>
      <c r="SW129" s="1004"/>
      <c r="SX129" s="1004"/>
      <c r="SY129" s="1004"/>
      <c r="SZ129" s="1004"/>
      <c r="TA129" s="1004"/>
      <c r="TB129" s="1004"/>
      <c r="TC129" s="1004"/>
      <c r="TD129" s="1004"/>
      <c r="TE129" s="1004"/>
      <c r="TF129" s="1004"/>
      <c r="TG129" s="1004"/>
      <c r="TH129" s="1004"/>
      <c r="TI129" s="1004"/>
      <c r="TJ129" s="1004"/>
      <c r="TK129" s="1004"/>
      <c r="TL129" s="1004"/>
      <c r="TM129" s="1004"/>
      <c r="TN129" s="1004"/>
      <c r="TO129" s="1004"/>
      <c r="TP129" s="1004"/>
      <c r="TQ129" s="1004"/>
      <c r="TR129" s="1004"/>
      <c r="TS129" s="1004"/>
      <c r="TT129" s="1004"/>
      <c r="TU129" s="1004"/>
      <c r="TV129" s="1004"/>
      <c r="TW129" s="1004"/>
      <c r="TX129" s="1004"/>
      <c r="TY129" s="1004"/>
      <c r="TZ129" s="1004"/>
      <c r="UA129" s="1004"/>
      <c r="UB129" s="1004"/>
      <c r="UC129" s="1004"/>
      <c r="UD129" s="1004"/>
      <c r="UE129" s="1004"/>
      <c r="UF129" s="1004"/>
      <c r="UG129" s="1004"/>
      <c r="UH129" s="1004"/>
      <c r="UI129" s="1004"/>
      <c r="UJ129" s="1004"/>
      <c r="UK129" s="1004"/>
      <c r="UL129" s="1004"/>
      <c r="UM129" s="1004"/>
      <c r="UN129" s="1004"/>
      <c r="UO129" s="1004"/>
      <c r="UP129" s="1004"/>
      <c r="UQ129" s="1004"/>
      <c r="UR129" s="1004"/>
      <c r="US129" s="1004"/>
      <c r="UT129" s="1004"/>
      <c r="UU129" s="1004"/>
      <c r="UV129" s="1004"/>
      <c r="UW129" s="1004"/>
      <c r="UX129" s="1004"/>
      <c r="UY129" s="1004"/>
      <c r="UZ129" s="1004"/>
      <c r="VA129" s="1004"/>
      <c r="VB129" s="1004"/>
      <c r="VC129" s="1004"/>
      <c r="VD129" s="1004"/>
      <c r="VE129" s="1004"/>
      <c r="VF129" s="1004"/>
      <c r="VG129" s="1004"/>
      <c r="VH129" s="1004"/>
      <c r="VI129" s="1004"/>
      <c r="VJ129" s="1004"/>
      <c r="VK129" s="1004"/>
      <c r="VL129" s="1004"/>
      <c r="VM129" s="1004"/>
      <c r="VN129" s="1004"/>
      <c r="VO129" s="1004"/>
      <c r="VP129" s="1004"/>
      <c r="VQ129" s="1004"/>
      <c r="VR129" s="1004"/>
      <c r="VS129" s="1004"/>
      <c r="VT129" s="1004"/>
      <c r="VU129" s="1004"/>
      <c r="VV129" s="1004"/>
      <c r="VW129" s="1004"/>
      <c r="VX129" s="1004"/>
      <c r="VY129" s="1004"/>
      <c r="VZ129" s="1004"/>
      <c r="WA129" s="1004"/>
      <c r="WB129" s="1004"/>
      <c r="WC129" s="1004"/>
      <c r="WD129" s="1004"/>
      <c r="WE129" s="1004"/>
      <c r="WF129" s="1004"/>
      <c r="WG129" s="1004"/>
      <c r="WH129" s="1004"/>
      <c r="WI129" s="1004"/>
      <c r="WJ129" s="1004"/>
      <c r="WK129" s="1004"/>
      <c r="WL129" s="1004"/>
      <c r="WM129" s="1004"/>
      <c r="WN129" s="1004"/>
      <c r="WO129" s="1004"/>
      <c r="WP129" s="1004"/>
      <c r="WQ129" s="1004"/>
      <c r="WR129" s="1004"/>
      <c r="WS129" s="1004"/>
      <c r="WT129" s="1004"/>
      <c r="WU129" s="1004"/>
      <c r="WV129" s="1004"/>
      <c r="WW129" s="1004"/>
      <c r="WX129" s="1004"/>
      <c r="WY129" s="1004"/>
      <c r="WZ129" s="1004"/>
      <c r="XA129" s="1004"/>
      <c r="XB129" s="1004"/>
      <c r="XC129" s="1004"/>
      <c r="XD129" s="1004"/>
      <c r="XE129" s="1004"/>
      <c r="XF129" s="1004"/>
      <c r="XG129" s="1004"/>
      <c r="XH129" s="1004"/>
      <c r="XI129" s="1004"/>
      <c r="XJ129" s="1004"/>
      <c r="XK129" s="1004"/>
      <c r="XL129" s="1004"/>
      <c r="XM129" s="1004"/>
      <c r="XN129" s="1004"/>
      <c r="XO129" s="1004"/>
      <c r="XP129" s="1004"/>
      <c r="XQ129" s="1004"/>
      <c r="XR129" s="1004"/>
      <c r="XS129" s="1004"/>
      <c r="XT129" s="1004"/>
      <c r="XU129" s="1004"/>
      <c r="XV129" s="1004"/>
      <c r="XW129" s="1004"/>
      <c r="XX129" s="1004"/>
      <c r="XY129" s="1004"/>
      <c r="XZ129" s="1004"/>
      <c r="YA129" s="1004"/>
      <c r="YB129" s="1004"/>
      <c r="YC129" s="1004"/>
      <c r="YD129" s="1004"/>
      <c r="YE129" s="1004"/>
      <c r="YF129" s="1004"/>
      <c r="YG129" s="1004"/>
      <c r="YH129" s="1004"/>
      <c r="YI129" s="1004"/>
      <c r="YJ129" s="1004"/>
      <c r="YK129" s="1004"/>
      <c r="YL129" s="1004"/>
      <c r="YM129" s="1004"/>
      <c r="YN129" s="1004"/>
      <c r="YO129" s="1004"/>
      <c r="YP129" s="1004"/>
      <c r="YQ129" s="1004"/>
      <c r="YR129" s="1004"/>
      <c r="YS129" s="1004"/>
      <c r="YT129" s="1004"/>
      <c r="YU129" s="1004"/>
      <c r="YV129" s="1004"/>
      <c r="YW129" s="1004"/>
      <c r="YX129" s="1004"/>
      <c r="YY129" s="1004"/>
      <c r="YZ129" s="1004"/>
      <c r="ZA129" s="1004"/>
      <c r="ZB129" s="1004"/>
      <c r="ZC129" s="1004"/>
      <c r="ZD129" s="1004"/>
      <c r="ZE129" s="1004"/>
      <c r="ZF129" s="1004"/>
      <c r="ZG129" s="1004"/>
      <c r="ZH129" s="1004"/>
      <c r="ZI129" s="1004"/>
      <c r="ZJ129" s="1004"/>
      <c r="ZK129" s="1004"/>
      <c r="ZL129" s="1004"/>
      <c r="ZM129" s="1004"/>
      <c r="ZN129" s="1004"/>
      <c r="ZO129" s="1004"/>
      <c r="ZP129" s="1004"/>
      <c r="ZQ129" s="1004"/>
      <c r="ZR129" s="1004"/>
      <c r="ZS129" s="1004"/>
      <c r="ZT129" s="1004"/>
      <c r="ZU129" s="1004"/>
      <c r="ZV129" s="1004"/>
      <c r="ZW129" s="1004"/>
      <c r="ZX129" s="1004"/>
      <c r="ZY129" s="1004"/>
      <c r="ZZ129" s="1004"/>
      <c r="AAA129" s="1004"/>
      <c r="AAB129" s="1004"/>
      <c r="AAC129" s="1004"/>
      <c r="AAD129" s="1004"/>
      <c r="AAE129" s="1004"/>
      <c r="AAF129" s="1004"/>
      <c r="AAG129" s="1004"/>
      <c r="AAH129" s="1004"/>
      <c r="AAI129" s="1004"/>
      <c r="AAJ129" s="1004"/>
      <c r="AAK129" s="1004"/>
      <c r="AAL129" s="1004"/>
      <c r="AAM129" s="1004"/>
      <c r="AAN129" s="1004"/>
      <c r="AAO129" s="1004"/>
      <c r="AAP129" s="1004"/>
      <c r="AAQ129" s="1004"/>
      <c r="AAR129" s="1004"/>
      <c r="AAS129" s="1004"/>
      <c r="AAT129" s="1004"/>
      <c r="AAU129" s="1004"/>
      <c r="AAV129" s="1004"/>
      <c r="AAW129" s="1004"/>
      <c r="AAX129" s="1004"/>
      <c r="AAY129" s="1004"/>
      <c r="AAZ129" s="1004"/>
      <c r="ABA129" s="1004"/>
      <c r="ABB129" s="1004"/>
      <c r="ABC129" s="1004"/>
      <c r="ABD129" s="1004"/>
      <c r="ABE129" s="1004"/>
      <c r="ABF129" s="1004"/>
      <c r="ABG129" s="1004"/>
      <c r="ABH129" s="1004"/>
      <c r="ABI129" s="1004"/>
      <c r="ABJ129" s="1004"/>
      <c r="ABK129" s="1004"/>
      <c r="ABL129" s="1004"/>
      <c r="ABM129" s="1004"/>
      <c r="ABN129" s="1004"/>
      <c r="ABO129" s="1004"/>
      <c r="ABP129" s="1004"/>
      <c r="ABQ129" s="1004"/>
      <c r="ABR129" s="1004"/>
    </row>
    <row r="130" spans="1:746" s="112" customFormat="1" ht="12.75" hidden="1" customHeight="1" thickBot="1">
      <c r="A130" s="2348"/>
      <c r="B130" s="354" t="s">
        <v>1316</v>
      </c>
      <c r="C130" s="101"/>
      <c r="D130" s="5"/>
      <c r="E130" s="347" t="s">
        <v>0</v>
      </c>
      <c r="F130" s="1240"/>
      <c r="G130" s="347">
        <v>0.25</v>
      </c>
      <c r="H130" s="2413"/>
      <c r="I130" s="1966"/>
      <c r="J130" s="809"/>
      <c r="K130" s="809"/>
      <c r="L130" s="809"/>
      <c r="M130" s="809"/>
      <c r="N130" s="809"/>
      <c r="O130" s="809"/>
      <c r="P130" s="809"/>
      <c r="Q130" s="809"/>
      <c r="R130" s="809"/>
      <c r="S130" s="809"/>
      <c r="T130" s="809"/>
      <c r="U130" s="794"/>
      <c r="V130" s="794"/>
      <c r="W130" s="794"/>
      <c r="X130" s="794"/>
      <c r="Y130" s="794"/>
      <c r="Z130" s="794"/>
      <c r="AA130" s="794"/>
      <c r="AB130" s="794"/>
      <c r="AC130" s="794"/>
      <c r="AD130" s="794"/>
      <c r="AE130" s="794"/>
      <c r="AF130" s="794"/>
      <c r="AG130" s="1042"/>
      <c r="AH130" s="2199"/>
      <c r="AI130" s="2199"/>
      <c r="AJ130" s="1857">
        <f>IF(fx!$C$57=1,SUMIF(fx!I$57:T$57,1,I130:T130),IF(fx!$C$57=2,SUMIF(fx!O$57:AF$57,1,O130:AF130)))</f>
        <v>0</v>
      </c>
      <c r="AK130" s="328"/>
      <c r="AL130" s="417">
        <f>IF(fx!$C$57=1,SUM(U130:AF130),0)</f>
        <v>0</v>
      </c>
      <c r="AM130" s="1004"/>
      <c r="AN130" s="1024"/>
      <c r="AO130" s="1945"/>
      <c r="AP130" s="1935"/>
      <c r="AQ130" s="1936"/>
      <c r="AR130" s="1958"/>
      <c r="AS130" s="1958"/>
      <c r="AT130" s="1958"/>
      <c r="AU130" s="1958"/>
      <c r="AV130" s="1958"/>
      <c r="AW130" s="1958"/>
      <c r="AX130" s="1958"/>
      <c r="AY130" s="1958"/>
      <c r="AZ130" s="1958"/>
      <c r="BA130" s="1958"/>
      <c r="BB130" s="1958"/>
      <c r="BC130" s="1958"/>
      <c r="BD130" s="1958"/>
      <c r="BE130" s="1958"/>
      <c r="BF130" s="1958"/>
      <c r="BG130" s="1958"/>
      <c r="BH130" s="1958"/>
      <c r="BI130" s="1958"/>
      <c r="BJ130" s="1958"/>
      <c r="BK130" s="1958"/>
      <c r="BL130" s="1958"/>
      <c r="BM130" s="1958"/>
      <c r="BN130" s="1958"/>
      <c r="BO130" s="1958"/>
      <c r="BP130" s="1004"/>
      <c r="BQ130" s="1004"/>
      <c r="BR130" s="1004"/>
      <c r="BS130" s="1004"/>
      <c r="BT130" s="1004"/>
      <c r="BU130" s="1004"/>
      <c r="BV130" s="1004"/>
      <c r="BW130" s="1004"/>
      <c r="BX130" s="1004"/>
      <c r="BY130" s="1004"/>
      <c r="BZ130" s="1004"/>
      <c r="CA130" s="1004"/>
      <c r="CB130" s="1004"/>
      <c r="CC130" s="1004"/>
      <c r="CD130" s="1004"/>
      <c r="CE130" s="1004"/>
      <c r="CF130" s="1004"/>
      <c r="CG130" s="1004"/>
      <c r="CH130" s="1004"/>
      <c r="CI130" s="1004"/>
      <c r="CJ130" s="1004"/>
      <c r="CK130" s="1004"/>
      <c r="CL130" s="1004"/>
      <c r="CM130" s="1004"/>
      <c r="CN130" s="1004"/>
      <c r="CO130" s="1004"/>
      <c r="CP130" s="1004"/>
      <c r="CQ130" s="1004"/>
      <c r="CR130" s="1004"/>
      <c r="CS130" s="1004"/>
      <c r="CT130" s="1004"/>
      <c r="CU130" s="1004"/>
      <c r="CV130" s="1004"/>
      <c r="CW130" s="1004"/>
      <c r="CX130" s="1004"/>
      <c r="CY130" s="1004"/>
      <c r="CZ130" s="1004"/>
      <c r="DA130" s="1004"/>
      <c r="DB130" s="1004"/>
      <c r="DC130" s="1004"/>
      <c r="DD130" s="1004"/>
      <c r="DE130" s="1004"/>
      <c r="DF130" s="1004"/>
      <c r="DG130" s="1004"/>
      <c r="DH130" s="1004"/>
      <c r="DI130" s="1004"/>
      <c r="DJ130" s="1004"/>
      <c r="DK130" s="1004"/>
      <c r="DL130" s="1004"/>
      <c r="DM130" s="1004"/>
      <c r="DN130" s="1004"/>
      <c r="DO130" s="1004"/>
      <c r="DP130" s="1004"/>
      <c r="DQ130" s="1004"/>
      <c r="DR130" s="1004"/>
      <c r="DS130" s="1004"/>
      <c r="DT130" s="1004"/>
      <c r="DU130" s="1004"/>
      <c r="DV130" s="1004"/>
      <c r="DW130" s="1004"/>
      <c r="DX130" s="1004"/>
      <c r="DY130" s="1004"/>
      <c r="DZ130" s="1004"/>
      <c r="EA130" s="1004"/>
      <c r="EB130" s="1004"/>
      <c r="EC130" s="1004"/>
      <c r="ED130" s="1004"/>
      <c r="EE130" s="1004"/>
      <c r="EF130" s="1004"/>
      <c r="EG130" s="1004"/>
      <c r="EH130" s="1004"/>
      <c r="EI130" s="1004"/>
      <c r="EJ130" s="1004"/>
      <c r="EK130" s="1004"/>
      <c r="EL130" s="1004"/>
      <c r="EM130" s="1004"/>
      <c r="EN130" s="1004"/>
      <c r="EO130" s="1004"/>
      <c r="EP130" s="1004"/>
      <c r="EQ130" s="1004"/>
      <c r="ER130" s="1004"/>
      <c r="ES130" s="1004"/>
      <c r="ET130" s="1004"/>
      <c r="EU130" s="1004"/>
      <c r="EV130" s="1004"/>
      <c r="EW130" s="1004"/>
      <c r="EX130" s="1004"/>
      <c r="EY130" s="1004"/>
      <c r="EZ130" s="1004"/>
      <c r="FA130" s="1004"/>
      <c r="FB130" s="1004"/>
      <c r="FC130" s="1004"/>
      <c r="FD130" s="1004"/>
      <c r="FE130" s="1004"/>
      <c r="FF130" s="1004"/>
      <c r="FG130" s="1004"/>
      <c r="FH130" s="1004"/>
      <c r="FI130" s="1004"/>
      <c r="FJ130" s="1004"/>
      <c r="FK130" s="1004"/>
      <c r="FL130" s="1004"/>
      <c r="FM130" s="1004"/>
      <c r="FN130" s="1004"/>
      <c r="FO130" s="1004"/>
      <c r="FP130" s="1004"/>
      <c r="FQ130" s="1004"/>
      <c r="FR130" s="1004"/>
      <c r="FS130" s="1004"/>
      <c r="FT130" s="1004"/>
      <c r="FU130" s="1004"/>
      <c r="FV130" s="1004"/>
      <c r="FW130" s="1004"/>
      <c r="FX130" s="1004"/>
      <c r="FY130" s="1004"/>
      <c r="FZ130" s="1004"/>
      <c r="GA130" s="1004"/>
      <c r="GB130" s="1004"/>
      <c r="GC130" s="1004"/>
      <c r="GD130" s="1004"/>
      <c r="GE130" s="1004"/>
      <c r="GF130" s="1004"/>
      <c r="GG130" s="1004"/>
      <c r="GH130" s="1004"/>
      <c r="GI130" s="1004"/>
      <c r="GJ130" s="1004"/>
      <c r="GK130" s="1004"/>
      <c r="GL130" s="1004"/>
      <c r="GM130" s="1004"/>
      <c r="GN130" s="1004"/>
      <c r="GO130" s="1004"/>
      <c r="GP130" s="1004"/>
      <c r="GQ130" s="1004"/>
      <c r="GR130" s="1004"/>
      <c r="GS130" s="1004"/>
      <c r="GT130" s="1004"/>
      <c r="GU130" s="1004"/>
      <c r="GV130" s="1004"/>
      <c r="GW130" s="1004"/>
      <c r="GX130" s="1004"/>
      <c r="GY130" s="1004"/>
      <c r="GZ130" s="1004"/>
      <c r="HA130" s="1004"/>
      <c r="HB130" s="1004"/>
      <c r="HC130" s="1004"/>
      <c r="HD130" s="1004"/>
      <c r="HE130" s="1004"/>
      <c r="HF130" s="1004"/>
      <c r="HG130" s="1004"/>
      <c r="HH130" s="1004"/>
      <c r="HI130" s="1004"/>
      <c r="HJ130" s="1004"/>
      <c r="HK130" s="1004"/>
      <c r="HL130" s="1004"/>
      <c r="HM130" s="1004"/>
      <c r="HN130" s="1004"/>
      <c r="HO130" s="1004"/>
      <c r="HP130" s="1004"/>
      <c r="HQ130" s="1004"/>
      <c r="HR130" s="1004"/>
      <c r="HS130" s="1004"/>
      <c r="HT130" s="1004"/>
      <c r="HU130" s="1004"/>
      <c r="HV130" s="1004"/>
      <c r="HW130" s="1004"/>
      <c r="HX130" s="1004"/>
      <c r="HY130" s="1004"/>
      <c r="HZ130" s="1004"/>
      <c r="IA130" s="1004"/>
      <c r="IB130" s="1004"/>
      <c r="IC130" s="1004"/>
      <c r="ID130" s="1004"/>
      <c r="IE130" s="1004"/>
      <c r="IF130" s="1004"/>
      <c r="IG130" s="1004"/>
      <c r="IH130" s="1004"/>
      <c r="II130" s="1004"/>
      <c r="IJ130" s="1004"/>
      <c r="IK130" s="1004"/>
      <c r="IL130" s="1004"/>
      <c r="IM130" s="1004"/>
      <c r="IN130" s="1004"/>
      <c r="IO130" s="1004"/>
      <c r="IP130" s="1004"/>
      <c r="IQ130" s="1004"/>
      <c r="IR130" s="1004"/>
      <c r="IS130" s="1004"/>
      <c r="IT130" s="1004"/>
      <c r="IU130" s="1004"/>
      <c r="IV130" s="1004"/>
      <c r="IW130" s="1004"/>
      <c r="IX130" s="1004"/>
      <c r="IY130" s="1004"/>
      <c r="IZ130" s="1004"/>
      <c r="JA130" s="1004"/>
      <c r="JB130" s="1004"/>
      <c r="JC130" s="1004"/>
      <c r="JD130" s="1004"/>
      <c r="JE130" s="1004"/>
      <c r="JF130" s="1004"/>
      <c r="JG130" s="1004"/>
      <c r="JH130" s="1004"/>
      <c r="JI130" s="1004"/>
      <c r="JJ130" s="1004"/>
      <c r="JK130" s="1004"/>
      <c r="JL130" s="1004"/>
      <c r="JM130" s="1004"/>
      <c r="JN130" s="1004"/>
      <c r="JO130" s="1004"/>
      <c r="JP130" s="1004"/>
      <c r="JQ130" s="1004"/>
      <c r="JR130" s="1004"/>
      <c r="JS130" s="1004"/>
      <c r="JT130" s="1004"/>
      <c r="JU130" s="1004"/>
      <c r="JV130" s="1004"/>
      <c r="JW130" s="1004"/>
      <c r="JX130" s="1004"/>
      <c r="JY130" s="1004"/>
      <c r="JZ130" s="1004"/>
      <c r="KA130" s="1004"/>
      <c r="KB130" s="1004"/>
      <c r="KC130" s="1004"/>
      <c r="KD130" s="1004"/>
      <c r="KE130" s="1004"/>
      <c r="KF130" s="1004"/>
      <c r="KG130" s="1004"/>
      <c r="KH130" s="1004"/>
      <c r="KI130" s="1004"/>
      <c r="KJ130" s="1004"/>
      <c r="KK130" s="1004"/>
      <c r="KL130" s="1004"/>
      <c r="KM130" s="1004"/>
      <c r="KN130" s="1004"/>
      <c r="KO130" s="1004"/>
      <c r="KP130" s="1004"/>
      <c r="KQ130" s="1004"/>
      <c r="KR130" s="1004"/>
      <c r="KS130" s="1004"/>
      <c r="KT130" s="1004"/>
      <c r="KU130" s="1004"/>
      <c r="KV130" s="1004"/>
      <c r="KW130" s="1004"/>
      <c r="KX130" s="1004"/>
      <c r="KY130" s="1004"/>
      <c r="KZ130" s="1004"/>
      <c r="LA130" s="1004"/>
      <c r="LB130" s="1004"/>
      <c r="LC130" s="1004"/>
      <c r="LD130" s="1004"/>
      <c r="LE130" s="1004"/>
      <c r="LF130" s="1004"/>
      <c r="LG130" s="1004"/>
      <c r="LH130" s="1004"/>
      <c r="LI130" s="1004"/>
      <c r="LJ130" s="1004"/>
      <c r="LK130" s="1004"/>
      <c r="LL130" s="1004"/>
      <c r="LM130" s="1004"/>
      <c r="LN130" s="1004"/>
      <c r="LO130" s="1004"/>
      <c r="LP130" s="1004"/>
      <c r="LQ130" s="1004"/>
      <c r="LR130" s="1004"/>
      <c r="LS130" s="1004"/>
      <c r="LT130" s="1004"/>
      <c r="LU130" s="1004"/>
      <c r="LV130" s="1004"/>
      <c r="LW130" s="1004"/>
      <c r="LX130" s="1004"/>
      <c r="LY130" s="1004"/>
      <c r="LZ130" s="1004"/>
      <c r="MA130" s="1004"/>
      <c r="MB130" s="1004"/>
      <c r="MC130" s="1004"/>
      <c r="MD130" s="1004"/>
      <c r="ME130" s="1004"/>
      <c r="MF130" s="1004"/>
      <c r="MG130" s="1004"/>
      <c r="MH130" s="1004"/>
      <c r="MI130" s="1004"/>
      <c r="MJ130" s="1004"/>
      <c r="MK130" s="1004"/>
      <c r="ML130" s="1004"/>
      <c r="MM130" s="1004"/>
      <c r="MN130" s="1004"/>
      <c r="MO130" s="1004"/>
      <c r="MP130" s="1004"/>
      <c r="MQ130" s="1004"/>
      <c r="MR130" s="1004"/>
      <c r="MS130" s="1004"/>
      <c r="MT130" s="1004"/>
      <c r="MU130" s="1004"/>
      <c r="MV130" s="1004"/>
      <c r="MW130" s="1004"/>
      <c r="MX130" s="1004"/>
      <c r="MY130" s="1004"/>
      <c r="MZ130" s="1004"/>
      <c r="NA130" s="1004"/>
      <c r="NB130" s="1004"/>
      <c r="NC130" s="1004"/>
      <c r="ND130" s="1004"/>
      <c r="NE130" s="1004"/>
      <c r="NF130" s="1004"/>
      <c r="NG130" s="1004"/>
      <c r="NH130" s="1004"/>
      <c r="NI130" s="1004"/>
      <c r="NJ130" s="1004"/>
      <c r="NK130" s="1004"/>
      <c r="NL130" s="1004"/>
      <c r="NM130" s="1004"/>
      <c r="NN130" s="1004"/>
      <c r="NO130" s="1004"/>
      <c r="NP130" s="1004"/>
      <c r="NQ130" s="1004"/>
      <c r="NR130" s="1004"/>
      <c r="NS130" s="1004"/>
      <c r="NT130" s="1004"/>
      <c r="NU130" s="1004"/>
      <c r="NV130" s="1004"/>
      <c r="NW130" s="1004"/>
      <c r="NX130" s="1004"/>
      <c r="NY130" s="1004"/>
      <c r="NZ130" s="1004"/>
      <c r="OA130" s="1004"/>
      <c r="OB130" s="1004"/>
      <c r="OC130" s="1004"/>
      <c r="OD130" s="1004"/>
      <c r="OE130" s="1004"/>
      <c r="OF130" s="1004"/>
      <c r="OG130" s="1004"/>
      <c r="OH130" s="1004"/>
      <c r="OI130" s="1004"/>
      <c r="OJ130" s="1004"/>
      <c r="OK130" s="1004"/>
      <c r="OL130" s="1004"/>
      <c r="OM130" s="1004"/>
      <c r="ON130" s="1004"/>
      <c r="OO130" s="1004"/>
      <c r="OP130" s="1004"/>
      <c r="OQ130" s="1004"/>
      <c r="OR130" s="1004"/>
      <c r="OS130" s="1004"/>
      <c r="OT130" s="1004"/>
      <c r="OU130" s="1004"/>
      <c r="OV130" s="1004"/>
      <c r="OW130" s="1004"/>
      <c r="OX130" s="1004"/>
      <c r="OY130" s="1004"/>
      <c r="OZ130" s="1004"/>
      <c r="PA130" s="1004"/>
      <c r="PB130" s="1004"/>
      <c r="PC130" s="1004"/>
      <c r="PD130" s="1004"/>
      <c r="PE130" s="1004"/>
      <c r="PF130" s="1004"/>
      <c r="PG130" s="1004"/>
      <c r="PH130" s="1004"/>
      <c r="PI130" s="1004"/>
      <c r="PJ130" s="1004"/>
      <c r="PK130" s="1004"/>
      <c r="PL130" s="1004"/>
      <c r="PM130" s="1004"/>
      <c r="PN130" s="1004"/>
      <c r="PO130" s="1004"/>
      <c r="PP130" s="1004"/>
      <c r="PQ130" s="1004"/>
      <c r="PR130" s="1004"/>
      <c r="PS130" s="1004"/>
      <c r="PT130" s="1004"/>
      <c r="PU130" s="1004"/>
      <c r="PV130" s="1004"/>
      <c r="PW130" s="1004"/>
      <c r="PX130" s="1004"/>
      <c r="PY130" s="1004"/>
      <c r="PZ130" s="1004"/>
      <c r="QA130" s="1004"/>
      <c r="QB130" s="1004"/>
      <c r="QC130" s="1004"/>
      <c r="QD130" s="1004"/>
      <c r="QE130" s="1004"/>
      <c r="QF130" s="1004"/>
      <c r="QG130" s="1004"/>
      <c r="QH130" s="1004"/>
      <c r="QI130" s="1004"/>
      <c r="QJ130" s="1004"/>
      <c r="QK130" s="1004"/>
      <c r="QL130" s="1004"/>
      <c r="QM130" s="1004"/>
      <c r="QN130" s="1004"/>
      <c r="QO130" s="1004"/>
      <c r="QP130" s="1004"/>
      <c r="QQ130" s="1004"/>
      <c r="QR130" s="1004"/>
      <c r="QS130" s="1004"/>
      <c r="QT130" s="1004"/>
      <c r="QU130" s="1004"/>
      <c r="QV130" s="1004"/>
      <c r="QW130" s="1004"/>
      <c r="QX130" s="1004"/>
      <c r="QY130" s="1004"/>
      <c r="QZ130" s="1004"/>
      <c r="RA130" s="1004"/>
      <c r="RB130" s="1004"/>
      <c r="RC130" s="1004"/>
      <c r="RD130" s="1004"/>
      <c r="RE130" s="1004"/>
      <c r="RF130" s="1004"/>
      <c r="RG130" s="1004"/>
      <c r="RH130" s="1004"/>
      <c r="RI130" s="1004"/>
      <c r="RJ130" s="1004"/>
      <c r="RK130" s="1004"/>
      <c r="RL130" s="1004"/>
      <c r="RM130" s="1004"/>
      <c r="RN130" s="1004"/>
      <c r="RO130" s="1004"/>
      <c r="RP130" s="1004"/>
      <c r="RQ130" s="1004"/>
      <c r="RR130" s="1004"/>
      <c r="RS130" s="1004"/>
      <c r="RT130" s="1004"/>
      <c r="RU130" s="1004"/>
      <c r="RV130" s="1004"/>
      <c r="RW130" s="1004"/>
      <c r="RX130" s="1004"/>
      <c r="RY130" s="1004"/>
      <c r="RZ130" s="1004"/>
      <c r="SA130" s="1004"/>
      <c r="SB130" s="1004"/>
      <c r="SC130" s="1004"/>
      <c r="SD130" s="1004"/>
      <c r="SE130" s="1004"/>
      <c r="SF130" s="1004"/>
      <c r="SG130" s="1004"/>
      <c r="SH130" s="1004"/>
      <c r="SI130" s="1004"/>
      <c r="SJ130" s="1004"/>
      <c r="SK130" s="1004"/>
      <c r="SL130" s="1004"/>
      <c r="SM130" s="1004"/>
      <c r="SN130" s="1004"/>
      <c r="SO130" s="1004"/>
      <c r="SP130" s="1004"/>
      <c r="SQ130" s="1004"/>
      <c r="SR130" s="1004"/>
      <c r="SS130" s="1004"/>
      <c r="ST130" s="1004"/>
      <c r="SU130" s="1004"/>
      <c r="SV130" s="1004"/>
      <c r="SW130" s="1004"/>
      <c r="SX130" s="1004"/>
      <c r="SY130" s="1004"/>
      <c r="SZ130" s="1004"/>
      <c r="TA130" s="1004"/>
      <c r="TB130" s="1004"/>
      <c r="TC130" s="1004"/>
      <c r="TD130" s="1004"/>
      <c r="TE130" s="1004"/>
      <c r="TF130" s="1004"/>
      <c r="TG130" s="1004"/>
      <c r="TH130" s="1004"/>
      <c r="TI130" s="1004"/>
      <c r="TJ130" s="1004"/>
      <c r="TK130" s="1004"/>
      <c r="TL130" s="1004"/>
      <c r="TM130" s="1004"/>
      <c r="TN130" s="1004"/>
      <c r="TO130" s="1004"/>
      <c r="TP130" s="1004"/>
      <c r="TQ130" s="1004"/>
      <c r="TR130" s="1004"/>
      <c r="TS130" s="1004"/>
      <c r="TT130" s="1004"/>
      <c r="TU130" s="1004"/>
      <c r="TV130" s="1004"/>
      <c r="TW130" s="1004"/>
      <c r="TX130" s="1004"/>
      <c r="TY130" s="1004"/>
      <c r="TZ130" s="1004"/>
      <c r="UA130" s="1004"/>
      <c r="UB130" s="1004"/>
      <c r="UC130" s="1004"/>
      <c r="UD130" s="1004"/>
      <c r="UE130" s="1004"/>
      <c r="UF130" s="1004"/>
      <c r="UG130" s="1004"/>
      <c r="UH130" s="1004"/>
      <c r="UI130" s="1004"/>
      <c r="UJ130" s="1004"/>
      <c r="UK130" s="1004"/>
      <c r="UL130" s="1004"/>
      <c r="UM130" s="1004"/>
      <c r="UN130" s="1004"/>
      <c r="UO130" s="1004"/>
      <c r="UP130" s="1004"/>
      <c r="UQ130" s="1004"/>
      <c r="UR130" s="1004"/>
      <c r="US130" s="1004"/>
      <c r="UT130" s="1004"/>
      <c r="UU130" s="1004"/>
      <c r="UV130" s="1004"/>
      <c r="UW130" s="1004"/>
      <c r="UX130" s="1004"/>
      <c r="UY130" s="1004"/>
      <c r="UZ130" s="1004"/>
      <c r="VA130" s="1004"/>
      <c r="VB130" s="1004"/>
      <c r="VC130" s="1004"/>
      <c r="VD130" s="1004"/>
      <c r="VE130" s="1004"/>
      <c r="VF130" s="1004"/>
      <c r="VG130" s="1004"/>
      <c r="VH130" s="1004"/>
      <c r="VI130" s="1004"/>
      <c r="VJ130" s="1004"/>
      <c r="VK130" s="1004"/>
      <c r="VL130" s="1004"/>
      <c r="VM130" s="1004"/>
      <c r="VN130" s="1004"/>
      <c r="VO130" s="1004"/>
      <c r="VP130" s="1004"/>
      <c r="VQ130" s="1004"/>
      <c r="VR130" s="1004"/>
      <c r="VS130" s="1004"/>
      <c r="VT130" s="1004"/>
      <c r="VU130" s="1004"/>
      <c r="VV130" s="1004"/>
      <c r="VW130" s="1004"/>
      <c r="VX130" s="1004"/>
      <c r="VY130" s="1004"/>
      <c r="VZ130" s="1004"/>
      <c r="WA130" s="1004"/>
      <c r="WB130" s="1004"/>
      <c r="WC130" s="1004"/>
      <c r="WD130" s="1004"/>
      <c r="WE130" s="1004"/>
      <c r="WF130" s="1004"/>
      <c r="WG130" s="1004"/>
      <c r="WH130" s="1004"/>
      <c r="WI130" s="1004"/>
      <c r="WJ130" s="1004"/>
      <c r="WK130" s="1004"/>
      <c r="WL130" s="1004"/>
      <c r="WM130" s="1004"/>
      <c r="WN130" s="1004"/>
      <c r="WO130" s="1004"/>
      <c r="WP130" s="1004"/>
      <c r="WQ130" s="1004"/>
      <c r="WR130" s="1004"/>
      <c r="WS130" s="1004"/>
      <c r="WT130" s="1004"/>
      <c r="WU130" s="1004"/>
      <c r="WV130" s="1004"/>
      <c r="WW130" s="1004"/>
      <c r="WX130" s="1004"/>
      <c r="WY130" s="1004"/>
      <c r="WZ130" s="1004"/>
      <c r="XA130" s="1004"/>
      <c r="XB130" s="1004"/>
      <c r="XC130" s="1004"/>
      <c r="XD130" s="1004"/>
      <c r="XE130" s="1004"/>
      <c r="XF130" s="1004"/>
      <c r="XG130" s="1004"/>
      <c r="XH130" s="1004"/>
      <c r="XI130" s="1004"/>
      <c r="XJ130" s="1004"/>
      <c r="XK130" s="1004"/>
      <c r="XL130" s="1004"/>
      <c r="XM130" s="1004"/>
      <c r="XN130" s="1004"/>
      <c r="XO130" s="1004"/>
      <c r="XP130" s="1004"/>
      <c r="XQ130" s="1004"/>
      <c r="XR130" s="1004"/>
      <c r="XS130" s="1004"/>
      <c r="XT130" s="1004"/>
      <c r="XU130" s="1004"/>
      <c r="XV130" s="1004"/>
      <c r="XW130" s="1004"/>
      <c r="XX130" s="1004"/>
      <c r="XY130" s="1004"/>
      <c r="XZ130" s="1004"/>
      <c r="YA130" s="1004"/>
      <c r="YB130" s="1004"/>
      <c r="YC130" s="1004"/>
      <c r="YD130" s="1004"/>
      <c r="YE130" s="1004"/>
      <c r="YF130" s="1004"/>
      <c r="YG130" s="1004"/>
      <c r="YH130" s="1004"/>
      <c r="YI130" s="1004"/>
      <c r="YJ130" s="1004"/>
      <c r="YK130" s="1004"/>
      <c r="YL130" s="1004"/>
      <c r="YM130" s="1004"/>
      <c r="YN130" s="1004"/>
      <c r="YO130" s="1004"/>
      <c r="YP130" s="1004"/>
      <c r="YQ130" s="1004"/>
      <c r="YR130" s="1004"/>
      <c r="YS130" s="1004"/>
      <c r="YT130" s="1004"/>
      <c r="YU130" s="1004"/>
      <c r="YV130" s="1004"/>
      <c r="YW130" s="1004"/>
      <c r="YX130" s="1004"/>
      <c r="YY130" s="1004"/>
      <c r="YZ130" s="1004"/>
      <c r="ZA130" s="1004"/>
      <c r="ZB130" s="1004"/>
      <c r="ZC130" s="1004"/>
      <c r="ZD130" s="1004"/>
      <c r="ZE130" s="1004"/>
      <c r="ZF130" s="1004"/>
      <c r="ZG130" s="1004"/>
      <c r="ZH130" s="1004"/>
      <c r="ZI130" s="1004"/>
      <c r="ZJ130" s="1004"/>
      <c r="ZK130" s="1004"/>
      <c r="ZL130" s="1004"/>
      <c r="ZM130" s="1004"/>
      <c r="ZN130" s="1004"/>
      <c r="ZO130" s="1004"/>
      <c r="ZP130" s="1004"/>
      <c r="ZQ130" s="1004"/>
      <c r="ZR130" s="1004"/>
      <c r="ZS130" s="1004"/>
      <c r="ZT130" s="1004"/>
      <c r="ZU130" s="1004"/>
      <c r="ZV130" s="1004"/>
      <c r="ZW130" s="1004"/>
      <c r="ZX130" s="1004"/>
      <c r="ZY130" s="1004"/>
      <c r="ZZ130" s="1004"/>
      <c r="AAA130" s="1004"/>
      <c r="AAB130" s="1004"/>
      <c r="AAC130" s="1004"/>
      <c r="AAD130" s="1004"/>
      <c r="AAE130" s="1004"/>
      <c r="AAF130" s="1004"/>
      <c r="AAG130" s="1004"/>
      <c r="AAH130" s="1004"/>
      <c r="AAI130" s="1004"/>
      <c r="AAJ130" s="1004"/>
      <c r="AAK130" s="1004"/>
      <c r="AAL130" s="1004"/>
      <c r="AAM130" s="1004"/>
      <c r="AAN130" s="1004"/>
      <c r="AAO130" s="1004"/>
      <c r="AAP130" s="1004"/>
      <c r="AAQ130" s="1004"/>
      <c r="AAR130" s="1004"/>
      <c r="AAS130" s="1004"/>
      <c r="AAT130" s="1004"/>
      <c r="AAU130" s="1004"/>
      <c r="AAV130" s="1004"/>
      <c r="AAW130" s="1004"/>
      <c r="AAX130" s="1004"/>
      <c r="AAY130" s="1004"/>
      <c r="AAZ130" s="1004"/>
      <c r="ABA130" s="1004"/>
      <c r="ABB130" s="1004"/>
      <c r="ABC130" s="1004"/>
      <c r="ABD130" s="1004"/>
      <c r="ABE130" s="1004"/>
      <c r="ABF130" s="1004"/>
      <c r="ABG130" s="1004"/>
      <c r="ABH130" s="1004"/>
      <c r="ABI130" s="1004"/>
      <c r="ABJ130" s="1004"/>
      <c r="ABK130" s="1004"/>
      <c r="ABL130" s="1004"/>
      <c r="ABM130" s="1004"/>
      <c r="ABN130" s="1004"/>
      <c r="ABO130" s="1004"/>
      <c r="ABP130" s="1004"/>
      <c r="ABQ130" s="1004"/>
      <c r="ABR130" s="1004"/>
    </row>
    <row r="131" spans="1:746" s="112" customFormat="1" ht="12.75" hidden="1" customHeight="1" thickBot="1">
      <c r="A131" s="2348"/>
      <c r="B131" s="354" t="s">
        <v>1317</v>
      </c>
      <c r="C131" s="101"/>
      <c r="D131" s="5"/>
      <c r="E131" s="347" t="s">
        <v>0</v>
      </c>
      <c r="F131" s="1240"/>
      <c r="G131" s="347">
        <v>0.25</v>
      </c>
      <c r="H131" s="2413"/>
      <c r="I131" s="2364"/>
      <c r="J131" s="809"/>
      <c r="K131" s="809"/>
      <c r="L131" s="809"/>
      <c r="M131" s="809"/>
      <c r="N131" s="809"/>
      <c r="O131" s="809"/>
      <c r="P131" s="809"/>
      <c r="Q131" s="809"/>
      <c r="R131" s="809"/>
      <c r="S131" s="809"/>
      <c r="T131" s="809"/>
      <c r="U131" s="794"/>
      <c r="V131" s="794"/>
      <c r="W131" s="794"/>
      <c r="X131" s="794"/>
      <c r="Y131" s="794"/>
      <c r="Z131" s="794"/>
      <c r="AA131" s="794"/>
      <c r="AB131" s="794"/>
      <c r="AC131" s="794"/>
      <c r="AD131" s="794"/>
      <c r="AE131" s="794"/>
      <c r="AF131" s="794"/>
      <c r="AG131" s="1042"/>
      <c r="AH131" s="2199"/>
      <c r="AI131" s="2199"/>
      <c r="AJ131" s="1857">
        <f>IF(fx!$C$57=1,SUMIF(fx!I$57:T$57,1,I131:T131),IF(fx!$C$57=2,SUMIF(fx!O$57:AF$57,1,O131:AF131)))</f>
        <v>0</v>
      </c>
      <c r="AK131" s="328"/>
      <c r="AL131" s="417">
        <f>IF(fx!$C$57=1,SUM(U131:AF131),0)</f>
        <v>0</v>
      </c>
      <c r="AM131" s="1004"/>
      <c r="AN131" s="1024"/>
      <c r="AO131" s="1945"/>
      <c r="AP131" s="1935"/>
      <c r="AQ131" s="1936"/>
      <c r="AR131" s="1958"/>
      <c r="AS131" s="1958"/>
      <c r="AT131" s="1958"/>
      <c r="AU131" s="1958"/>
      <c r="AV131" s="1958"/>
      <c r="AW131" s="1958"/>
      <c r="AX131" s="1958"/>
      <c r="AY131" s="1958"/>
      <c r="AZ131" s="1958"/>
      <c r="BA131" s="1958"/>
      <c r="BB131" s="1958"/>
      <c r="BC131" s="1958"/>
      <c r="BD131" s="1958"/>
      <c r="BE131" s="1958"/>
      <c r="BF131" s="1958"/>
      <c r="BG131" s="1958"/>
      <c r="BH131" s="1958"/>
      <c r="BI131" s="1958"/>
      <c r="BJ131" s="1958"/>
      <c r="BK131" s="1958"/>
      <c r="BL131" s="1958"/>
      <c r="BM131" s="1958"/>
      <c r="BN131" s="1958"/>
      <c r="BO131" s="1958"/>
      <c r="BP131" s="1004"/>
      <c r="BQ131" s="1004"/>
      <c r="BR131" s="1004"/>
      <c r="BS131" s="1004"/>
      <c r="BT131" s="1004"/>
      <c r="BU131" s="1004"/>
      <c r="BV131" s="1004"/>
      <c r="BW131" s="1004"/>
      <c r="BX131" s="1004"/>
      <c r="BY131" s="1004"/>
      <c r="BZ131" s="1004"/>
      <c r="CA131" s="1004"/>
      <c r="CB131" s="1004"/>
      <c r="CC131" s="1004"/>
      <c r="CD131" s="1004"/>
      <c r="CE131" s="1004"/>
      <c r="CF131" s="1004"/>
      <c r="CG131" s="1004"/>
      <c r="CH131" s="1004"/>
      <c r="CI131" s="1004"/>
      <c r="CJ131" s="1004"/>
      <c r="CK131" s="1004"/>
      <c r="CL131" s="1004"/>
      <c r="CM131" s="1004"/>
      <c r="CN131" s="1004"/>
      <c r="CO131" s="1004"/>
      <c r="CP131" s="1004"/>
      <c r="CQ131" s="1004"/>
      <c r="CR131" s="1004"/>
      <c r="CS131" s="1004"/>
      <c r="CT131" s="1004"/>
      <c r="CU131" s="1004"/>
      <c r="CV131" s="1004"/>
      <c r="CW131" s="1004"/>
      <c r="CX131" s="1004"/>
      <c r="CY131" s="1004"/>
      <c r="CZ131" s="1004"/>
      <c r="DA131" s="1004"/>
      <c r="DB131" s="1004"/>
      <c r="DC131" s="1004"/>
      <c r="DD131" s="1004"/>
      <c r="DE131" s="1004"/>
      <c r="DF131" s="1004"/>
      <c r="DG131" s="1004"/>
      <c r="DH131" s="1004"/>
      <c r="DI131" s="1004"/>
      <c r="DJ131" s="1004"/>
      <c r="DK131" s="1004"/>
      <c r="DL131" s="1004"/>
      <c r="DM131" s="1004"/>
      <c r="DN131" s="1004"/>
      <c r="DO131" s="1004"/>
      <c r="DP131" s="1004"/>
      <c r="DQ131" s="1004"/>
      <c r="DR131" s="1004"/>
      <c r="DS131" s="1004"/>
      <c r="DT131" s="1004"/>
      <c r="DU131" s="1004"/>
      <c r="DV131" s="1004"/>
      <c r="DW131" s="1004"/>
      <c r="DX131" s="1004"/>
      <c r="DY131" s="1004"/>
      <c r="DZ131" s="1004"/>
      <c r="EA131" s="1004"/>
      <c r="EB131" s="1004"/>
      <c r="EC131" s="1004"/>
      <c r="ED131" s="1004"/>
      <c r="EE131" s="1004"/>
      <c r="EF131" s="1004"/>
      <c r="EG131" s="1004"/>
      <c r="EH131" s="1004"/>
      <c r="EI131" s="1004"/>
      <c r="EJ131" s="1004"/>
      <c r="EK131" s="1004"/>
      <c r="EL131" s="1004"/>
      <c r="EM131" s="1004"/>
      <c r="EN131" s="1004"/>
      <c r="EO131" s="1004"/>
      <c r="EP131" s="1004"/>
      <c r="EQ131" s="1004"/>
      <c r="ER131" s="1004"/>
      <c r="ES131" s="1004"/>
      <c r="ET131" s="1004"/>
      <c r="EU131" s="1004"/>
      <c r="EV131" s="1004"/>
      <c r="EW131" s="1004"/>
      <c r="EX131" s="1004"/>
      <c r="EY131" s="1004"/>
      <c r="EZ131" s="1004"/>
      <c r="FA131" s="1004"/>
      <c r="FB131" s="1004"/>
      <c r="FC131" s="1004"/>
      <c r="FD131" s="1004"/>
      <c r="FE131" s="1004"/>
      <c r="FF131" s="1004"/>
      <c r="FG131" s="1004"/>
      <c r="FH131" s="1004"/>
      <c r="FI131" s="1004"/>
      <c r="FJ131" s="1004"/>
      <c r="FK131" s="1004"/>
      <c r="FL131" s="1004"/>
      <c r="FM131" s="1004"/>
      <c r="FN131" s="1004"/>
      <c r="FO131" s="1004"/>
      <c r="FP131" s="1004"/>
      <c r="FQ131" s="1004"/>
      <c r="FR131" s="1004"/>
      <c r="FS131" s="1004"/>
      <c r="FT131" s="1004"/>
      <c r="FU131" s="1004"/>
      <c r="FV131" s="1004"/>
      <c r="FW131" s="1004"/>
      <c r="FX131" s="1004"/>
      <c r="FY131" s="1004"/>
      <c r="FZ131" s="1004"/>
      <c r="GA131" s="1004"/>
      <c r="GB131" s="1004"/>
      <c r="GC131" s="1004"/>
      <c r="GD131" s="1004"/>
      <c r="GE131" s="1004"/>
      <c r="GF131" s="1004"/>
      <c r="GG131" s="1004"/>
      <c r="GH131" s="1004"/>
      <c r="GI131" s="1004"/>
      <c r="GJ131" s="1004"/>
      <c r="GK131" s="1004"/>
      <c r="GL131" s="1004"/>
      <c r="GM131" s="1004"/>
      <c r="GN131" s="1004"/>
      <c r="GO131" s="1004"/>
      <c r="GP131" s="1004"/>
      <c r="GQ131" s="1004"/>
      <c r="GR131" s="1004"/>
      <c r="GS131" s="1004"/>
      <c r="GT131" s="1004"/>
      <c r="GU131" s="1004"/>
      <c r="GV131" s="1004"/>
      <c r="GW131" s="1004"/>
      <c r="GX131" s="1004"/>
      <c r="GY131" s="1004"/>
      <c r="GZ131" s="1004"/>
      <c r="HA131" s="1004"/>
      <c r="HB131" s="1004"/>
      <c r="HC131" s="1004"/>
      <c r="HD131" s="1004"/>
      <c r="HE131" s="1004"/>
      <c r="HF131" s="1004"/>
      <c r="HG131" s="1004"/>
      <c r="HH131" s="1004"/>
      <c r="HI131" s="1004"/>
      <c r="HJ131" s="1004"/>
      <c r="HK131" s="1004"/>
      <c r="HL131" s="1004"/>
      <c r="HM131" s="1004"/>
      <c r="HN131" s="1004"/>
      <c r="HO131" s="1004"/>
      <c r="HP131" s="1004"/>
      <c r="HQ131" s="1004"/>
      <c r="HR131" s="1004"/>
      <c r="HS131" s="1004"/>
      <c r="HT131" s="1004"/>
      <c r="HU131" s="1004"/>
      <c r="HV131" s="1004"/>
      <c r="HW131" s="1004"/>
      <c r="HX131" s="1004"/>
      <c r="HY131" s="1004"/>
      <c r="HZ131" s="1004"/>
      <c r="IA131" s="1004"/>
      <c r="IB131" s="1004"/>
      <c r="IC131" s="1004"/>
      <c r="ID131" s="1004"/>
      <c r="IE131" s="1004"/>
      <c r="IF131" s="1004"/>
      <c r="IG131" s="1004"/>
      <c r="IH131" s="1004"/>
      <c r="II131" s="1004"/>
      <c r="IJ131" s="1004"/>
      <c r="IK131" s="1004"/>
      <c r="IL131" s="1004"/>
      <c r="IM131" s="1004"/>
      <c r="IN131" s="1004"/>
      <c r="IO131" s="1004"/>
      <c r="IP131" s="1004"/>
      <c r="IQ131" s="1004"/>
      <c r="IR131" s="1004"/>
      <c r="IS131" s="1004"/>
      <c r="IT131" s="1004"/>
      <c r="IU131" s="1004"/>
      <c r="IV131" s="1004"/>
      <c r="IW131" s="1004"/>
      <c r="IX131" s="1004"/>
      <c r="IY131" s="1004"/>
      <c r="IZ131" s="1004"/>
      <c r="JA131" s="1004"/>
      <c r="JB131" s="1004"/>
      <c r="JC131" s="1004"/>
      <c r="JD131" s="1004"/>
      <c r="JE131" s="1004"/>
      <c r="JF131" s="1004"/>
      <c r="JG131" s="1004"/>
      <c r="JH131" s="1004"/>
      <c r="JI131" s="1004"/>
      <c r="JJ131" s="1004"/>
      <c r="JK131" s="1004"/>
      <c r="JL131" s="1004"/>
      <c r="JM131" s="1004"/>
      <c r="JN131" s="1004"/>
      <c r="JO131" s="1004"/>
      <c r="JP131" s="1004"/>
      <c r="JQ131" s="1004"/>
      <c r="JR131" s="1004"/>
      <c r="JS131" s="1004"/>
      <c r="JT131" s="1004"/>
      <c r="JU131" s="1004"/>
      <c r="JV131" s="1004"/>
      <c r="JW131" s="1004"/>
      <c r="JX131" s="1004"/>
      <c r="JY131" s="1004"/>
      <c r="JZ131" s="1004"/>
      <c r="KA131" s="1004"/>
      <c r="KB131" s="1004"/>
      <c r="KC131" s="1004"/>
      <c r="KD131" s="1004"/>
      <c r="KE131" s="1004"/>
      <c r="KF131" s="1004"/>
      <c r="KG131" s="1004"/>
      <c r="KH131" s="1004"/>
      <c r="KI131" s="1004"/>
      <c r="KJ131" s="1004"/>
      <c r="KK131" s="1004"/>
      <c r="KL131" s="1004"/>
      <c r="KM131" s="1004"/>
      <c r="KN131" s="1004"/>
      <c r="KO131" s="1004"/>
      <c r="KP131" s="1004"/>
      <c r="KQ131" s="1004"/>
      <c r="KR131" s="1004"/>
      <c r="KS131" s="1004"/>
      <c r="KT131" s="1004"/>
      <c r="KU131" s="1004"/>
      <c r="KV131" s="1004"/>
      <c r="KW131" s="1004"/>
      <c r="KX131" s="1004"/>
      <c r="KY131" s="1004"/>
      <c r="KZ131" s="1004"/>
      <c r="LA131" s="1004"/>
      <c r="LB131" s="1004"/>
      <c r="LC131" s="1004"/>
      <c r="LD131" s="1004"/>
      <c r="LE131" s="1004"/>
      <c r="LF131" s="1004"/>
      <c r="LG131" s="1004"/>
      <c r="LH131" s="1004"/>
      <c r="LI131" s="1004"/>
      <c r="LJ131" s="1004"/>
      <c r="LK131" s="1004"/>
      <c r="LL131" s="1004"/>
      <c r="LM131" s="1004"/>
      <c r="LN131" s="1004"/>
      <c r="LO131" s="1004"/>
      <c r="LP131" s="1004"/>
      <c r="LQ131" s="1004"/>
      <c r="LR131" s="1004"/>
      <c r="LS131" s="1004"/>
      <c r="LT131" s="1004"/>
      <c r="LU131" s="1004"/>
      <c r="LV131" s="1004"/>
      <c r="LW131" s="1004"/>
      <c r="LX131" s="1004"/>
      <c r="LY131" s="1004"/>
      <c r="LZ131" s="1004"/>
      <c r="MA131" s="1004"/>
      <c r="MB131" s="1004"/>
      <c r="MC131" s="1004"/>
      <c r="MD131" s="1004"/>
      <c r="ME131" s="1004"/>
      <c r="MF131" s="1004"/>
      <c r="MG131" s="1004"/>
      <c r="MH131" s="1004"/>
      <c r="MI131" s="1004"/>
      <c r="MJ131" s="1004"/>
      <c r="MK131" s="1004"/>
      <c r="ML131" s="1004"/>
      <c r="MM131" s="1004"/>
      <c r="MN131" s="1004"/>
      <c r="MO131" s="1004"/>
      <c r="MP131" s="1004"/>
      <c r="MQ131" s="1004"/>
      <c r="MR131" s="1004"/>
      <c r="MS131" s="1004"/>
      <c r="MT131" s="1004"/>
      <c r="MU131" s="1004"/>
      <c r="MV131" s="1004"/>
      <c r="MW131" s="1004"/>
      <c r="MX131" s="1004"/>
      <c r="MY131" s="1004"/>
      <c r="MZ131" s="1004"/>
      <c r="NA131" s="1004"/>
      <c r="NB131" s="1004"/>
      <c r="NC131" s="1004"/>
      <c r="ND131" s="1004"/>
      <c r="NE131" s="1004"/>
      <c r="NF131" s="1004"/>
      <c r="NG131" s="1004"/>
      <c r="NH131" s="1004"/>
      <c r="NI131" s="1004"/>
      <c r="NJ131" s="1004"/>
      <c r="NK131" s="1004"/>
      <c r="NL131" s="1004"/>
      <c r="NM131" s="1004"/>
      <c r="NN131" s="1004"/>
      <c r="NO131" s="1004"/>
      <c r="NP131" s="1004"/>
      <c r="NQ131" s="1004"/>
      <c r="NR131" s="1004"/>
      <c r="NS131" s="1004"/>
      <c r="NT131" s="1004"/>
      <c r="NU131" s="1004"/>
      <c r="NV131" s="1004"/>
      <c r="NW131" s="1004"/>
      <c r="NX131" s="1004"/>
      <c r="NY131" s="1004"/>
      <c r="NZ131" s="1004"/>
      <c r="OA131" s="1004"/>
      <c r="OB131" s="1004"/>
      <c r="OC131" s="1004"/>
      <c r="OD131" s="1004"/>
      <c r="OE131" s="1004"/>
      <c r="OF131" s="1004"/>
      <c r="OG131" s="1004"/>
      <c r="OH131" s="1004"/>
      <c r="OI131" s="1004"/>
      <c r="OJ131" s="1004"/>
      <c r="OK131" s="1004"/>
      <c r="OL131" s="1004"/>
      <c r="OM131" s="1004"/>
      <c r="ON131" s="1004"/>
      <c r="OO131" s="1004"/>
      <c r="OP131" s="1004"/>
      <c r="OQ131" s="1004"/>
      <c r="OR131" s="1004"/>
      <c r="OS131" s="1004"/>
      <c r="OT131" s="1004"/>
      <c r="OU131" s="1004"/>
      <c r="OV131" s="1004"/>
      <c r="OW131" s="1004"/>
      <c r="OX131" s="1004"/>
      <c r="OY131" s="1004"/>
      <c r="OZ131" s="1004"/>
      <c r="PA131" s="1004"/>
      <c r="PB131" s="1004"/>
      <c r="PC131" s="1004"/>
      <c r="PD131" s="1004"/>
      <c r="PE131" s="1004"/>
      <c r="PF131" s="1004"/>
      <c r="PG131" s="1004"/>
      <c r="PH131" s="1004"/>
      <c r="PI131" s="1004"/>
      <c r="PJ131" s="1004"/>
      <c r="PK131" s="1004"/>
      <c r="PL131" s="1004"/>
      <c r="PM131" s="1004"/>
      <c r="PN131" s="1004"/>
      <c r="PO131" s="1004"/>
      <c r="PP131" s="1004"/>
      <c r="PQ131" s="1004"/>
      <c r="PR131" s="1004"/>
      <c r="PS131" s="1004"/>
      <c r="PT131" s="1004"/>
      <c r="PU131" s="1004"/>
      <c r="PV131" s="1004"/>
      <c r="PW131" s="1004"/>
      <c r="PX131" s="1004"/>
      <c r="PY131" s="1004"/>
      <c r="PZ131" s="1004"/>
      <c r="QA131" s="1004"/>
      <c r="QB131" s="1004"/>
      <c r="QC131" s="1004"/>
      <c r="QD131" s="1004"/>
      <c r="QE131" s="1004"/>
      <c r="QF131" s="1004"/>
      <c r="QG131" s="1004"/>
      <c r="QH131" s="1004"/>
      <c r="QI131" s="1004"/>
      <c r="QJ131" s="1004"/>
      <c r="QK131" s="1004"/>
      <c r="QL131" s="1004"/>
      <c r="QM131" s="1004"/>
      <c r="QN131" s="1004"/>
      <c r="QO131" s="1004"/>
      <c r="QP131" s="1004"/>
      <c r="QQ131" s="1004"/>
      <c r="QR131" s="1004"/>
      <c r="QS131" s="1004"/>
      <c r="QT131" s="1004"/>
      <c r="QU131" s="1004"/>
      <c r="QV131" s="1004"/>
      <c r="QW131" s="1004"/>
      <c r="QX131" s="1004"/>
      <c r="QY131" s="1004"/>
      <c r="QZ131" s="1004"/>
      <c r="RA131" s="1004"/>
      <c r="RB131" s="1004"/>
      <c r="RC131" s="1004"/>
      <c r="RD131" s="1004"/>
      <c r="RE131" s="1004"/>
      <c r="RF131" s="1004"/>
      <c r="RG131" s="1004"/>
      <c r="RH131" s="1004"/>
      <c r="RI131" s="1004"/>
      <c r="RJ131" s="1004"/>
      <c r="RK131" s="1004"/>
      <c r="RL131" s="1004"/>
      <c r="RM131" s="1004"/>
      <c r="RN131" s="1004"/>
      <c r="RO131" s="1004"/>
      <c r="RP131" s="1004"/>
      <c r="RQ131" s="1004"/>
      <c r="RR131" s="1004"/>
      <c r="RS131" s="1004"/>
      <c r="RT131" s="1004"/>
      <c r="RU131" s="1004"/>
      <c r="RV131" s="1004"/>
      <c r="RW131" s="1004"/>
      <c r="RX131" s="1004"/>
      <c r="RY131" s="1004"/>
      <c r="RZ131" s="1004"/>
      <c r="SA131" s="1004"/>
      <c r="SB131" s="1004"/>
      <c r="SC131" s="1004"/>
      <c r="SD131" s="1004"/>
      <c r="SE131" s="1004"/>
      <c r="SF131" s="1004"/>
      <c r="SG131" s="1004"/>
      <c r="SH131" s="1004"/>
      <c r="SI131" s="1004"/>
      <c r="SJ131" s="1004"/>
      <c r="SK131" s="1004"/>
      <c r="SL131" s="1004"/>
      <c r="SM131" s="1004"/>
      <c r="SN131" s="1004"/>
      <c r="SO131" s="1004"/>
      <c r="SP131" s="1004"/>
      <c r="SQ131" s="1004"/>
      <c r="SR131" s="1004"/>
      <c r="SS131" s="1004"/>
      <c r="ST131" s="1004"/>
      <c r="SU131" s="1004"/>
      <c r="SV131" s="1004"/>
      <c r="SW131" s="1004"/>
      <c r="SX131" s="1004"/>
      <c r="SY131" s="1004"/>
      <c r="SZ131" s="1004"/>
      <c r="TA131" s="1004"/>
      <c r="TB131" s="1004"/>
      <c r="TC131" s="1004"/>
      <c r="TD131" s="1004"/>
      <c r="TE131" s="1004"/>
      <c r="TF131" s="1004"/>
      <c r="TG131" s="1004"/>
      <c r="TH131" s="1004"/>
      <c r="TI131" s="1004"/>
      <c r="TJ131" s="1004"/>
      <c r="TK131" s="1004"/>
      <c r="TL131" s="1004"/>
      <c r="TM131" s="1004"/>
      <c r="TN131" s="1004"/>
      <c r="TO131" s="1004"/>
      <c r="TP131" s="1004"/>
      <c r="TQ131" s="1004"/>
      <c r="TR131" s="1004"/>
      <c r="TS131" s="1004"/>
      <c r="TT131" s="1004"/>
      <c r="TU131" s="1004"/>
      <c r="TV131" s="1004"/>
      <c r="TW131" s="1004"/>
      <c r="TX131" s="1004"/>
      <c r="TY131" s="1004"/>
      <c r="TZ131" s="1004"/>
      <c r="UA131" s="1004"/>
      <c r="UB131" s="1004"/>
      <c r="UC131" s="1004"/>
      <c r="UD131" s="1004"/>
      <c r="UE131" s="1004"/>
      <c r="UF131" s="1004"/>
      <c r="UG131" s="1004"/>
      <c r="UH131" s="1004"/>
      <c r="UI131" s="1004"/>
      <c r="UJ131" s="1004"/>
      <c r="UK131" s="1004"/>
      <c r="UL131" s="1004"/>
      <c r="UM131" s="1004"/>
      <c r="UN131" s="1004"/>
      <c r="UO131" s="1004"/>
      <c r="UP131" s="1004"/>
      <c r="UQ131" s="1004"/>
      <c r="UR131" s="1004"/>
      <c r="US131" s="1004"/>
      <c r="UT131" s="1004"/>
      <c r="UU131" s="1004"/>
      <c r="UV131" s="1004"/>
      <c r="UW131" s="1004"/>
      <c r="UX131" s="1004"/>
      <c r="UY131" s="1004"/>
      <c r="UZ131" s="1004"/>
      <c r="VA131" s="1004"/>
      <c r="VB131" s="1004"/>
      <c r="VC131" s="1004"/>
      <c r="VD131" s="1004"/>
      <c r="VE131" s="1004"/>
      <c r="VF131" s="1004"/>
      <c r="VG131" s="1004"/>
      <c r="VH131" s="1004"/>
      <c r="VI131" s="1004"/>
      <c r="VJ131" s="1004"/>
      <c r="VK131" s="1004"/>
      <c r="VL131" s="1004"/>
      <c r="VM131" s="1004"/>
      <c r="VN131" s="1004"/>
      <c r="VO131" s="1004"/>
      <c r="VP131" s="1004"/>
      <c r="VQ131" s="1004"/>
      <c r="VR131" s="1004"/>
      <c r="VS131" s="1004"/>
      <c r="VT131" s="1004"/>
      <c r="VU131" s="1004"/>
      <c r="VV131" s="1004"/>
      <c r="VW131" s="1004"/>
      <c r="VX131" s="1004"/>
      <c r="VY131" s="1004"/>
      <c r="VZ131" s="1004"/>
      <c r="WA131" s="1004"/>
      <c r="WB131" s="1004"/>
      <c r="WC131" s="1004"/>
      <c r="WD131" s="1004"/>
      <c r="WE131" s="1004"/>
      <c r="WF131" s="1004"/>
      <c r="WG131" s="1004"/>
      <c r="WH131" s="1004"/>
      <c r="WI131" s="1004"/>
      <c r="WJ131" s="1004"/>
      <c r="WK131" s="1004"/>
      <c r="WL131" s="1004"/>
      <c r="WM131" s="1004"/>
      <c r="WN131" s="1004"/>
      <c r="WO131" s="1004"/>
      <c r="WP131" s="1004"/>
      <c r="WQ131" s="1004"/>
      <c r="WR131" s="1004"/>
      <c r="WS131" s="1004"/>
      <c r="WT131" s="1004"/>
      <c r="WU131" s="1004"/>
      <c r="WV131" s="1004"/>
      <c r="WW131" s="1004"/>
      <c r="WX131" s="1004"/>
      <c r="WY131" s="1004"/>
      <c r="WZ131" s="1004"/>
      <c r="XA131" s="1004"/>
      <c r="XB131" s="1004"/>
      <c r="XC131" s="1004"/>
      <c r="XD131" s="1004"/>
      <c r="XE131" s="1004"/>
      <c r="XF131" s="1004"/>
      <c r="XG131" s="1004"/>
      <c r="XH131" s="1004"/>
      <c r="XI131" s="1004"/>
      <c r="XJ131" s="1004"/>
      <c r="XK131" s="1004"/>
      <c r="XL131" s="1004"/>
      <c r="XM131" s="1004"/>
      <c r="XN131" s="1004"/>
      <c r="XO131" s="1004"/>
      <c r="XP131" s="1004"/>
      <c r="XQ131" s="1004"/>
      <c r="XR131" s="1004"/>
      <c r="XS131" s="1004"/>
      <c r="XT131" s="1004"/>
      <c r="XU131" s="1004"/>
      <c r="XV131" s="1004"/>
      <c r="XW131" s="1004"/>
      <c r="XX131" s="1004"/>
      <c r="XY131" s="1004"/>
      <c r="XZ131" s="1004"/>
      <c r="YA131" s="1004"/>
      <c r="YB131" s="1004"/>
      <c r="YC131" s="1004"/>
      <c r="YD131" s="1004"/>
      <c r="YE131" s="1004"/>
      <c r="YF131" s="1004"/>
      <c r="YG131" s="1004"/>
      <c r="YH131" s="1004"/>
      <c r="YI131" s="1004"/>
      <c r="YJ131" s="1004"/>
      <c r="YK131" s="1004"/>
      <c r="YL131" s="1004"/>
      <c r="YM131" s="1004"/>
      <c r="YN131" s="1004"/>
      <c r="YO131" s="1004"/>
      <c r="YP131" s="1004"/>
      <c r="YQ131" s="1004"/>
      <c r="YR131" s="1004"/>
      <c r="YS131" s="1004"/>
      <c r="YT131" s="1004"/>
      <c r="YU131" s="1004"/>
      <c r="YV131" s="1004"/>
      <c r="YW131" s="1004"/>
      <c r="YX131" s="1004"/>
      <c r="YY131" s="1004"/>
      <c r="YZ131" s="1004"/>
      <c r="ZA131" s="1004"/>
      <c r="ZB131" s="1004"/>
      <c r="ZC131" s="1004"/>
      <c r="ZD131" s="1004"/>
      <c r="ZE131" s="1004"/>
      <c r="ZF131" s="1004"/>
      <c r="ZG131" s="1004"/>
      <c r="ZH131" s="1004"/>
      <c r="ZI131" s="1004"/>
      <c r="ZJ131" s="1004"/>
      <c r="ZK131" s="1004"/>
      <c r="ZL131" s="1004"/>
      <c r="ZM131" s="1004"/>
      <c r="ZN131" s="1004"/>
      <c r="ZO131" s="1004"/>
      <c r="ZP131" s="1004"/>
      <c r="ZQ131" s="1004"/>
      <c r="ZR131" s="1004"/>
      <c r="ZS131" s="1004"/>
      <c r="ZT131" s="1004"/>
      <c r="ZU131" s="1004"/>
      <c r="ZV131" s="1004"/>
      <c r="ZW131" s="1004"/>
      <c r="ZX131" s="1004"/>
      <c r="ZY131" s="1004"/>
      <c r="ZZ131" s="1004"/>
      <c r="AAA131" s="1004"/>
      <c r="AAB131" s="1004"/>
      <c r="AAC131" s="1004"/>
      <c r="AAD131" s="1004"/>
      <c r="AAE131" s="1004"/>
      <c r="AAF131" s="1004"/>
      <c r="AAG131" s="1004"/>
      <c r="AAH131" s="1004"/>
      <c r="AAI131" s="1004"/>
      <c r="AAJ131" s="1004"/>
      <c r="AAK131" s="1004"/>
      <c r="AAL131" s="1004"/>
      <c r="AAM131" s="1004"/>
      <c r="AAN131" s="1004"/>
      <c r="AAO131" s="1004"/>
      <c r="AAP131" s="1004"/>
      <c r="AAQ131" s="1004"/>
      <c r="AAR131" s="1004"/>
      <c r="AAS131" s="1004"/>
      <c r="AAT131" s="1004"/>
      <c r="AAU131" s="1004"/>
      <c r="AAV131" s="1004"/>
      <c r="AAW131" s="1004"/>
      <c r="AAX131" s="1004"/>
      <c r="AAY131" s="1004"/>
      <c r="AAZ131" s="1004"/>
      <c r="ABA131" s="1004"/>
      <c r="ABB131" s="1004"/>
      <c r="ABC131" s="1004"/>
      <c r="ABD131" s="1004"/>
      <c r="ABE131" s="1004"/>
      <c r="ABF131" s="1004"/>
      <c r="ABG131" s="1004"/>
      <c r="ABH131" s="1004"/>
      <c r="ABI131" s="1004"/>
      <c r="ABJ131" s="1004"/>
      <c r="ABK131" s="1004"/>
      <c r="ABL131" s="1004"/>
      <c r="ABM131" s="1004"/>
      <c r="ABN131" s="1004"/>
      <c r="ABO131" s="1004"/>
      <c r="ABP131" s="1004"/>
      <c r="ABQ131" s="1004"/>
      <c r="ABR131" s="1004"/>
    </row>
    <row r="132" spans="1:746" s="112" customFormat="1" ht="12.75" hidden="1" customHeight="1" thickBot="1">
      <c r="A132" s="2348"/>
      <c r="B132" s="354" t="s">
        <v>1318</v>
      </c>
      <c r="C132" s="101"/>
      <c r="D132" s="5"/>
      <c r="E132" s="347" t="s">
        <v>0</v>
      </c>
      <c r="F132" s="1240"/>
      <c r="G132" s="347">
        <v>0.25</v>
      </c>
      <c r="H132" s="2413"/>
      <c r="I132" s="2364"/>
      <c r="J132" s="809"/>
      <c r="K132" s="809"/>
      <c r="L132" s="809"/>
      <c r="M132" s="809"/>
      <c r="N132" s="809"/>
      <c r="O132" s="809"/>
      <c r="P132" s="809"/>
      <c r="Q132" s="809"/>
      <c r="R132" s="809"/>
      <c r="S132" s="809"/>
      <c r="T132" s="809"/>
      <c r="U132" s="794"/>
      <c r="V132" s="794"/>
      <c r="W132" s="794"/>
      <c r="X132" s="794"/>
      <c r="Y132" s="794"/>
      <c r="Z132" s="794"/>
      <c r="AA132" s="794"/>
      <c r="AB132" s="794"/>
      <c r="AC132" s="794"/>
      <c r="AD132" s="794"/>
      <c r="AE132" s="794"/>
      <c r="AF132" s="794"/>
      <c r="AG132" s="1042"/>
      <c r="AH132" s="2199"/>
      <c r="AI132" s="2199"/>
      <c r="AJ132" s="1857">
        <f>IF(fx!$C$57=1,SUMIF(fx!I$57:T$57,1,I132:T132),IF(fx!$C$57=2,SUMIF(fx!O$57:AF$57,1,O132:AF132)))</f>
        <v>0</v>
      </c>
      <c r="AK132" s="328"/>
      <c r="AL132" s="417">
        <f>IF(fx!$C$57=1,SUM(U132:AF132),0)</f>
        <v>0</v>
      </c>
      <c r="AM132" s="1004"/>
      <c r="AN132" s="1024"/>
      <c r="AO132" s="1945"/>
      <c r="AP132" s="1935"/>
      <c r="AQ132" s="1936"/>
      <c r="AR132" s="1958"/>
      <c r="AS132" s="1958"/>
      <c r="AT132" s="1958"/>
      <c r="AU132" s="1958"/>
      <c r="AV132" s="1958"/>
      <c r="AW132" s="1958"/>
      <c r="AX132" s="1958"/>
      <c r="AY132" s="1958"/>
      <c r="AZ132" s="1958"/>
      <c r="BA132" s="1958"/>
      <c r="BB132" s="1958"/>
      <c r="BC132" s="1958"/>
      <c r="BD132" s="1958"/>
      <c r="BE132" s="1958"/>
      <c r="BF132" s="1958"/>
      <c r="BG132" s="1958"/>
      <c r="BH132" s="1958"/>
      <c r="BI132" s="1958"/>
      <c r="BJ132" s="1958"/>
      <c r="BK132" s="1958"/>
      <c r="BL132" s="1958"/>
      <c r="BM132" s="1958"/>
      <c r="BN132" s="1958"/>
      <c r="BO132" s="1958"/>
      <c r="BP132" s="1004"/>
      <c r="BQ132" s="1004"/>
      <c r="BR132" s="1004"/>
      <c r="BS132" s="1004"/>
      <c r="BT132" s="1004"/>
      <c r="BU132" s="1004"/>
      <c r="BV132" s="1004"/>
      <c r="BW132" s="1004"/>
      <c r="BX132" s="1004"/>
      <c r="BY132" s="1004"/>
      <c r="BZ132" s="1004"/>
      <c r="CA132" s="1004"/>
      <c r="CB132" s="1004"/>
      <c r="CC132" s="1004"/>
      <c r="CD132" s="1004"/>
      <c r="CE132" s="1004"/>
      <c r="CF132" s="1004"/>
      <c r="CG132" s="1004"/>
      <c r="CH132" s="1004"/>
      <c r="CI132" s="1004"/>
      <c r="CJ132" s="1004"/>
      <c r="CK132" s="1004"/>
      <c r="CL132" s="1004"/>
      <c r="CM132" s="1004"/>
      <c r="CN132" s="1004"/>
      <c r="CO132" s="1004"/>
      <c r="CP132" s="1004"/>
      <c r="CQ132" s="1004"/>
      <c r="CR132" s="1004"/>
      <c r="CS132" s="1004"/>
      <c r="CT132" s="1004"/>
      <c r="CU132" s="1004"/>
      <c r="CV132" s="1004"/>
      <c r="CW132" s="1004"/>
      <c r="CX132" s="1004"/>
      <c r="CY132" s="1004"/>
      <c r="CZ132" s="1004"/>
      <c r="DA132" s="1004"/>
      <c r="DB132" s="1004"/>
      <c r="DC132" s="1004"/>
      <c r="DD132" s="1004"/>
      <c r="DE132" s="1004"/>
      <c r="DF132" s="1004"/>
      <c r="DG132" s="1004"/>
      <c r="DH132" s="1004"/>
      <c r="DI132" s="1004"/>
      <c r="DJ132" s="1004"/>
      <c r="DK132" s="1004"/>
      <c r="DL132" s="1004"/>
      <c r="DM132" s="1004"/>
      <c r="DN132" s="1004"/>
      <c r="DO132" s="1004"/>
      <c r="DP132" s="1004"/>
      <c r="DQ132" s="1004"/>
      <c r="DR132" s="1004"/>
      <c r="DS132" s="1004"/>
      <c r="DT132" s="1004"/>
      <c r="DU132" s="1004"/>
      <c r="DV132" s="1004"/>
      <c r="DW132" s="1004"/>
      <c r="DX132" s="1004"/>
      <c r="DY132" s="1004"/>
      <c r="DZ132" s="1004"/>
      <c r="EA132" s="1004"/>
      <c r="EB132" s="1004"/>
      <c r="EC132" s="1004"/>
      <c r="ED132" s="1004"/>
      <c r="EE132" s="1004"/>
      <c r="EF132" s="1004"/>
      <c r="EG132" s="1004"/>
      <c r="EH132" s="1004"/>
      <c r="EI132" s="1004"/>
      <c r="EJ132" s="1004"/>
      <c r="EK132" s="1004"/>
      <c r="EL132" s="1004"/>
      <c r="EM132" s="1004"/>
      <c r="EN132" s="1004"/>
      <c r="EO132" s="1004"/>
      <c r="EP132" s="1004"/>
      <c r="EQ132" s="1004"/>
      <c r="ER132" s="1004"/>
      <c r="ES132" s="1004"/>
      <c r="ET132" s="1004"/>
      <c r="EU132" s="1004"/>
      <c r="EV132" s="1004"/>
      <c r="EW132" s="1004"/>
      <c r="EX132" s="1004"/>
      <c r="EY132" s="1004"/>
      <c r="EZ132" s="1004"/>
      <c r="FA132" s="1004"/>
      <c r="FB132" s="1004"/>
      <c r="FC132" s="1004"/>
      <c r="FD132" s="1004"/>
      <c r="FE132" s="1004"/>
      <c r="FF132" s="1004"/>
      <c r="FG132" s="1004"/>
      <c r="FH132" s="1004"/>
      <c r="FI132" s="1004"/>
      <c r="FJ132" s="1004"/>
      <c r="FK132" s="1004"/>
      <c r="FL132" s="1004"/>
      <c r="FM132" s="1004"/>
      <c r="FN132" s="1004"/>
      <c r="FO132" s="1004"/>
      <c r="FP132" s="1004"/>
      <c r="FQ132" s="1004"/>
      <c r="FR132" s="1004"/>
      <c r="FS132" s="1004"/>
      <c r="FT132" s="1004"/>
      <c r="FU132" s="1004"/>
      <c r="FV132" s="1004"/>
      <c r="FW132" s="1004"/>
      <c r="FX132" s="1004"/>
      <c r="FY132" s="1004"/>
      <c r="FZ132" s="1004"/>
      <c r="GA132" s="1004"/>
      <c r="GB132" s="1004"/>
      <c r="GC132" s="1004"/>
      <c r="GD132" s="1004"/>
      <c r="GE132" s="1004"/>
      <c r="GF132" s="1004"/>
      <c r="GG132" s="1004"/>
      <c r="GH132" s="1004"/>
      <c r="GI132" s="1004"/>
      <c r="GJ132" s="1004"/>
      <c r="GK132" s="1004"/>
      <c r="GL132" s="1004"/>
      <c r="GM132" s="1004"/>
      <c r="GN132" s="1004"/>
      <c r="GO132" s="1004"/>
      <c r="GP132" s="1004"/>
      <c r="GQ132" s="1004"/>
      <c r="GR132" s="1004"/>
      <c r="GS132" s="1004"/>
      <c r="GT132" s="1004"/>
      <c r="GU132" s="1004"/>
      <c r="GV132" s="1004"/>
      <c r="GW132" s="1004"/>
      <c r="GX132" s="1004"/>
      <c r="GY132" s="1004"/>
      <c r="GZ132" s="1004"/>
      <c r="HA132" s="1004"/>
      <c r="HB132" s="1004"/>
      <c r="HC132" s="1004"/>
      <c r="HD132" s="1004"/>
      <c r="HE132" s="1004"/>
      <c r="HF132" s="1004"/>
      <c r="HG132" s="1004"/>
      <c r="HH132" s="1004"/>
      <c r="HI132" s="1004"/>
      <c r="HJ132" s="1004"/>
      <c r="HK132" s="1004"/>
      <c r="HL132" s="1004"/>
      <c r="HM132" s="1004"/>
      <c r="HN132" s="1004"/>
      <c r="HO132" s="1004"/>
      <c r="HP132" s="1004"/>
      <c r="HQ132" s="1004"/>
      <c r="HR132" s="1004"/>
      <c r="HS132" s="1004"/>
      <c r="HT132" s="1004"/>
      <c r="HU132" s="1004"/>
      <c r="HV132" s="1004"/>
      <c r="HW132" s="1004"/>
      <c r="HX132" s="1004"/>
      <c r="HY132" s="1004"/>
      <c r="HZ132" s="1004"/>
      <c r="IA132" s="1004"/>
      <c r="IB132" s="1004"/>
      <c r="IC132" s="1004"/>
      <c r="ID132" s="1004"/>
      <c r="IE132" s="1004"/>
      <c r="IF132" s="1004"/>
      <c r="IG132" s="1004"/>
      <c r="IH132" s="1004"/>
      <c r="II132" s="1004"/>
      <c r="IJ132" s="1004"/>
      <c r="IK132" s="1004"/>
      <c r="IL132" s="1004"/>
      <c r="IM132" s="1004"/>
      <c r="IN132" s="1004"/>
      <c r="IO132" s="1004"/>
      <c r="IP132" s="1004"/>
      <c r="IQ132" s="1004"/>
      <c r="IR132" s="1004"/>
      <c r="IS132" s="1004"/>
      <c r="IT132" s="1004"/>
      <c r="IU132" s="1004"/>
      <c r="IV132" s="1004"/>
      <c r="IW132" s="1004"/>
      <c r="IX132" s="1004"/>
      <c r="IY132" s="1004"/>
      <c r="IZ132" s="1004"/>
      <c r="JA132" s="1004"/>
      <c r="JB132" s="1004"/>
      <c r="JC132" s="1004"/>
      <c r="JD132" s="1004"/>
      <c r="JE132" s="1004"/>
      <c r="JF132" s="1004"/>
      <c r="JG132" s="1004"/>
      <c r="JH132" s="1004"/>
      <c r="JI132" s="1004"/>
      <c r="JJ132" s="1004"/>
      <c r="JK132" s="1004"/>
      <c r="JL132" s="1004"/>
      <c r="JM132" s="1004"/>
      <c r="JN132" s="1004"/>
      <c r="JO132" s="1004"/>
      <c r="JP132" s="1004"/>
      <c r="JQ132" s="1004"/>
      <c r="JR132" s="1004"/>
      <c r="JS132" s="1004"/>
      <c r="JT132" s="1004"/>
      <c r="JU132" s="1004"/>
      <c r="JV132" s="1004"/>
      <c r="JW132" s="1004"/>
      <c r="JX132" s="1004"/>
      <c r="JY132" s="1004"/>
      <c r="JZ132" s="1004"/>
      <c r="KA132" s="1004"/>
      <c r="KB132" s="1004"/>
      <c r="KC132" s="1004"/>
      <c r="KD132" s="1004"/>
      <c r="KE132" s="1004"/>
      <c r="KF132" s="1004"/>
      <c r="KG132" s="1004"/>
      <c r="KH132" s="1004"/>
      <c r="KI132" s="1004"/>
      <c r="KJ132" s="1004"/>
      <c r="KK132" s="1004"/>
      <c r="KL132" s="1004"/>
      <c r="KM132" s="1004"/>
      <c r="KN132" s="1004"/>
      <c r="KO132" s="1004"/>
      <c r="KP132" s="1004"/>
      <c r="KQ132" s="1004"/>
      <c r="KR132" s="1004"/>
      <c r="KS132" s="1004"/>
      <c r="KT132" s="1004"/>
      <c r="KU132" s="1004"/>
      <c r="KV132" s="1004"/>
      <c r="KW132" s="1004"/>
      <c r="KX132" s="1004"/>
      <c r="KY132" s="1004"/>
      <c r="KZ132" s="1004"/>
      <c r="LA132" s="1004"/>
      <c r="LB132" s="1004"/>
      <c r="LC132" s="1004"/>
      <c r="LD132" s="1004"/>
      <c r="LE132" s="1004"/>
      <c r="LF132" s="1004"/>
      <c r="LG132" s="1004"/>
      <c r="LH132" s="1004"/>
      <c r="LI132" s="1004"/>
      <c r="LJ132" s="1004"/>
      <c r="LK132" s="1004"/>
      <c r="LL132" s="1004"/>
      <c r="LM132" s="1004"/>
      <c r="LN132" s="1004"/>
      <c r="LO132" s="1004"/>
      <c r="LP132" s="1004"/>
      <c r="LQ132" s="1004"/>
      <c r="LR132" s="1004"/>
      <c r="LS132" s="1004"/>
      <c r="LT132" s="1004"/>
      <c r="LU132" s="1004"/>
      <c r="LV132" s="1004"/>
      <c r="LW132" s="1004"/>
      <c r="LX132" s="1004"/>
      <c r="LY132" s="1004"/>
      <c r="LZ132" s="1004"/>
      <c r="MA132" s="1004"/>
      <c r="MB132" s="1004"/>
      <c r="MC132" s="1004"/>
      <c r="MD132" s="1004"/>
      <c r="ME132" s="1004"/>
      <c r="MF132" s="1004"/>
      <c r="MG132" s="1004"/>
      <c r="MH132" s="1004"/>
      <c r="MI132" s="1004"/>
      <c r="MJ132" s="1004"/>
      <c r="MK132" s="1004"/>
      <c r="ML132" s="1004"/>
      <c r="MM132" s="1004"/>
      <c r="MN132" s="1004"/>
      <c r="MO132" s="1004"/>
      <c r="MP132" s="1004"/>
      <c r="MQ132" s="1004"/>
      <c r="MR132" s="1004"/>
      <c r="MS132" s="1004"/>
      <c r="MT132" s="1004"/>
      <c r="MU132" s="1004"/>
      <c r="MV132" s="1004"/>
      <c r="MW132" s="1004"/>
      <c r="MX132" s="1004"/>
      <c r="MY132" s="1004"/>
      <c r="MZ132" s="1004"/>
      <c r="NA132" s="1004"/>
      <c r="NB132" s="1004"/>
      <c r="NC132" s="1004"/>
      <c r="ND132" s="1004"/>
      <c r="NE132" s="1004"/>
      <c r="NF132" s="1004"/>
      <c r="NG132" s="1004"/>
      <c r="NH132" s="1004"/>
      <c r="NI132" s="1004"/>
      <c r="NJ132" s="1004"/>
      <c r="NK132" s="1004"/>
      <c r="NL132" s="1004"/>
      <c r="NM132" s="1004"/>
      <c r="NN132" s="1004"/>
      <c r="NO132" s="1004"/>
      <c r="NP132" s="1004"/>
      <c r="NQ132" s="1004"/>
      <c r="NR132" s="1004"/>
      <c r="NS132" s="1004"/>
      <c r="NT132" s="1004"/>
      <c r="NU132" s="1004"/>
      <c r="NV132" s="1004"/>
      <c r="NW132" s="1004"/>
      <c r="NX132" s="1004"/>
      <c r="NY132" s="1004"/>
      <c r="NZ132" s="1004"/>
      <c r="OA132" s="1004"/>
      <c r="OB132" s="1004"/>
      <c r="OC132" s="1004"/>
      <c r="OD132" s="1004"/>
      <c r="OE132" s="1004"/>
      <c r="OF132" s="1004"/>
      <c r="OG132" s="1004"/>
      <c r="OH132" s="1004"/>
      <c r="OI132" s="1004"/>
      <c r="OJ132" s="1004"/>
      <c r="OK132" s="1004"/>
      <c r="OL132" s="1004"/>
      <c r="OM132" s="1004"/>
      <c r="ON132" s="1004"/>
      <c r="OO132" s="1004"/>
      <c r="OP132" s="1004"/>
      <c r="OQ132" s="1004"/>
      <c r="OR132" s="1004"/>
      <c r="OS132" s="1004"/>
      <c r="OT132" s="1004"/>
      <c r="OU132" s="1004"/>
      <c r="OV132" s="1004"/>
      <c r="OW132" s="1004"/>
      <c r="OX132" s="1004"/>
      <c r="OY132" s="1004"/>
      <c r="OZ132" s="1004"/>
      <c r="PA132" s="1004"/>
      <c r="PB132" s="1004"/>
      <c r="PC132" s="1004"/>
      <c r="PD132" s="1004"/>
      <c r="PE132" s="1004"/>
      <c r="PF132" s="1004"/>
      <c r="PG132" s="1004"/>
      <c r="PH132" s="1004"/>
      <c r="PI132" s="1004"/>
      <c r="PJ132" s="1004"/>
      <c r="PK132" s="1004"/>
      <c r="PL132" s="1004"/>
      <c r="PM132" s="1004"/>
      <c r="PN132" s="1004"/>
      <c r="PO132" s="1004"/>
      <c r="PP132" s="1004"/>
      <c r="PQ132" s="1004"/>
      <c r="PR132" s="1004"/>
      <c r="PS132" s="1004"/>
      <c r="PT132" s="1004"/>
      <c r="PU132" s="1004"/>
      <c r="PV132" s="1004"/>
      <c r="PW132" s="1004"/>
      <c r="PX132" s="1004"/>
      <c r="PY132" s="1004"/>
      <c r="PZ132" s="1004"/>
      <c r="QA132" s="1004"/>
      <c r="QB132" s="1004"/>
      <c r="QC132" s="1004"/>
      <c r="QD132" s="1004"/>
      <c r="QE132" s="1004"/>
      <c r="QF132" s="1004"/>
      <c r="QG132" s="1004"/>
      <c r="QH132" s="1004"/>
      <c r="QI132" s="1004"/>
      <c r="QJ132" s="1004"/>
      <c r="QK132" s="1004"/>
      <c r="QL132" s="1004"/>
      <c r="QM132" s="1004"/>
      <c r="QN132" s="1004"/>
      <c r="QO132" s="1004"/>
      <c r="QP132" s="1004"/>
      <c r="QQ132" s="1004"/>
      <c r="QR132" s="1004"/>
      <c r="QS132" s="1004"/>
      <c r="QT132" s="1004"/>
      <c r="QU132" s="1004"/>
      <c r="QV132" s="1004"/>
      <c r="QW132" s="1004"/>
      <c r="QX132" s="1004"/>
      <c r="QY132" s="1004"/>
      <c r="QZ132" s="1004"/>
      <c r="RA132" s="1004"/>
      <c r="RB132" s="1004"/>
      <c r="RC132" s="1004"/>
      <c r="RD132" s="1004"/>
      <c r="RE132" s="1004"/>
      <c r="RF132" s="1004"/>
      <c r="RG132" s="1004"/>
      <c r="RH132" s="1004"/>
      <c r="RI132" s="1004"/>
      <c r="RJ132" s="1004"/>
      <c r="RK132" s="1004"/>
      <c r="RL132" s="1004"/>
      <c r="RM132" s="1004"/>
      <c r="RN132" s="1004"/>
      <c r="RO132" s="1004"/>
      <c r="RP132" s="1004"/>
      <c r="RQ132" s="1004"/>
      <c r="RR132" s="1004"/>
      <c r="RS132" s="1004"/>
      <c r="RT132" s="1004"/>
      <c r="RU132" s="1004"/>
      <c r="RV132" s="1004"/>
      <c r="RW132" s="1004"/>
      <c r="RX132" s="1004"/>
      <c r="RY132" s="1004"/>
      <c r="RZ132" s="1004"/>
      <c r="SA132" s="1004"/>
      <c r="SB132" s="1004"/>
      <c r="SC132" s="1004"/>
      <c r="SD132" s="1004"/>
      <c r="SE132" s="1004"/>
      <c r="SF132" s="1004"/>
      <c r="SG132" s="1004"/>
      <c r="SH132" s="1004"/>
      <c r="SI132" s="1004"/>
      <c r="SJ132" s="1004"/>
      <c r="SK132" s="1004"/>
      <c r="SL132" s="1004"/>
      <c r="SM132" s="1004"/>
      <c r="SN132" s="1004"/>
      <c r="SO132" s="1004"/>
      <c r="SP132" s="1004"/>
      <c r="SQ132" s="1004"/>
      <c r="SR132" s="1004"/>
      <c r="SS132" s="1004"/>
      <c r="ST132" s="1004"/>
      <c r="SU132" s="1004"/>
      <c r="SV132" s="1004"/>
      <c r="SW132" s="1004"/>
      <c r="SX132" s="1004"/>
      <c r="SY132" s="1004"/>
      <c r="SZ132" s="1004"/>
      <c r="TA132" s="1004"/>
      <c r="TB132" s="1004"/>
      <c r="TC132" s="1004"/>
      <c r="TD132" s="1004"/>
      <c r="TE132" s="1004"/>
      <c r="TF132" s="1004"/>
      <c r="TG132" s="1004"/>
      <c r="TH132" s="1004"/>
      <c r="TI132" s="1004"/>
      <c r="TJ132" s="1004"/>
      <c r="TK132" s="1004"/>
      <c r="TL132" s="1004"/>
      <c r="TM132" s="1004"/>
      <c r="TN132" s="1004"/>
      <c r="TO132" s="1004"/>
      <c r="TP132" s="1004"/>
      <c r="TQ132" s="1004"/>
      <c r="TR132" s="1004"/>
      <c r="TS132" s="1004"/>
      <c r="TT132" s="1004"/>
      <c r="TU132" s="1004"/>
      <c r="TV132" s="1004"/>
      <c r="TW132" s="1004"/>
      <c r="TX132" s="1004"/>
      <c r="TY132" s="1004"/>
      <c r="TZ132" s="1004"/>
      <c r="UA132" s="1004"/>
      <c r="UB132" s="1004"/>
      <c r="UC132" s="1004"/>
      <c r="UD132" s="1004"/>
      <c r="UE132" s="1004"/>
      <c r="UF132" s="1004"/>
      <c r="UG132" s="1004"/>
      <c r="UH132" s="1004"/>
      <c r="UI132" s="1004"/>
      <c r="UJ132" s="1004"/>
      <c r="UK132" s="1004"/>
      <c r="UL132" s="1004"/>
      <c r="UM132" s="1004"/>
      <c r="UN132" s="1004"/>
      <c r="UO132" s="1004"/>
      <c r="UP132" s="1004"/>
      <c r="UQ132" s="1004"/>
      <c r="UR132" s="1004"/>
      <c r="US132" s="1004"/>
      <c r="UT132" s="1004"/>
      <c r="UU132" s="1004"/>
      <c r="UV132" s="1004"/>
      <c r="UW132" s="1004"/>
      <c r="UX132" s="1004"/>
      <c r="UY132" s="1004"/>
      <c r="UZ132" s="1004"/>
      <c r="VA132" s="1004"/>
      <c r="VB132" s="1004"/>
      <c r="VC132" s="1004"/>
      <c r="VD132" s="1004"/>
      <c r="VE132" s="1004"/>
      <c r="VF132" s="1004"/>
      <c r="VG132" s="1004"/>
      <c r="VH132" s="1004"/>
      <c r="VI132" s="1004"/>
      <c r="VJ132" s="1004"/>
      <c r="VK132" s="1004"/>
      <c r="VL132" s="1004"/>
      <c r="VM132" s="1004"/>
      <c r="VN132" s="1004"/>
      <c r="VO132" s="1004"/>
      <c r="VP132" s="1004"/>
      <c r="VQ132" s="1004"/>
      <c r="VR132" s="1004"/>
      <c r="VS132" s="1004"/>
      <c r="VT132" s="1004"/>
      <c r="VU132" s="1004"/>
      <c r="VV132" s="1004"/>
      <c r="VW132" s="1004"/>
      <c r="VX132" s="1004"/>
      <c r="VY132" s="1004"/>
      <c r="VZ132" s="1004"/>
      <c r="WA132" s="1004"/>
      <c r="WB132" s="1004"/>
      <c r="WC132" s="1004"/>
      <c r="WD132" s="1004"/>
      <c r="WE132" s="1004"/>
      <c r="WF132" s="1004"/>
      <c r="WG132" s="1004"/>
      <c r="WH132" s="1004"/>
      <c r="WI132" s="1004"/>
      <c r="WJ132" s="1004"/>
      <c r="WK132" s="1004"/>
      <c r="WL132" s="1004"/>
      <c r="WM132" s="1004"/>
      <c r="WN132" s="1004"/>
      <c r="WO132" s="1004"/>
      <c r="WP132" s="1004"/>
      <c r="WQ132" s="1004"/>
      <c r="WR132" s="1004"/>
      <c r="WS132" s="1004"/>
      <c r="WT132" s="1004"/>
      <c r="WU132" s="1004"/>
      <c r="WV132" s="1004"/>
      <c r="WW132" s="1004"/>
      <c r="WX132" s="1004"/>
      <c r="WY132" s="1004"/>
      <c r="WZ132" s="1004"/>
      <c r="XA132" s="1004"/>
      <c r="XB132" s="1004"/>
      <c r="XC132" s="1004"/>
      <c r="XD132" s="1004"/>
      <c r="XE132" s="1004"/>
      <c r="XF132" s="1004"/>
      <c r="XG132" s="1004"/>
      <c r="XH132" s="1004"/>
      <c r="XI132" s="1004"/>
      <c r="XJ132" s="1004"/>
      <c r="XK132" s="1004"/>
      <c r="XL132" s="1004"/>
      <c r="XM132" s="1004"/>
      <c r="XN132" s="1004"/>
      <c r="XO132" s="1004"/>
      <c r="XP132" s="1004"/>
      <c r="XQ132" s="1004"/>
      <c r="XR132" s="1004"/>
      <c r="XS132" s="1004"/>
      <c r="XT132" s="1004"/>
      <c r="XU132" s="1004"/>
      <c r="XV132" s="1004"/>
      <c r="XW132" s="1004"/>
      <c r="XX132" s="1004"/>
      <c r="XY132" s="1004"/>
      <c r="XZ132" s="1004"/>
      <c r="YA132" s="1004"/>
      <c r="YB132" s="1004"/>
      <c r="YC132" s="1004"/>
      <c r="YD132" s="1004"/>
      <c r="YE132" s="1004"/>
      <c r="YF132" s="1004"/>
      <c r="YG132" s="1004"/>
      <c r="YH132" s="1004"/>
      <c r="YI132" s="1004"/>
      <c r="YJ132" s="1004"/>
      <c r="YK132" s="1004"/>
      <c r="YL132" s="1004"/>
      <c r="YM132" s="1004"/>
      <c r="YN132" s="1004"/>
      <c r="YO132" s="1004"/>
      <c r="YP132" s="1004"/>
      <c r="YQ132" s="1004"/>
      <c r="YR132" s="1004"/>
      <c r="YS132" s="1004"/>
      <c r="YT132" s="1004"/>
      <c r="YU132" s="1004"/>
      <c r="YV132" s="1004"/>
      <c r="YW132" s="1004"/>
      <c r="YX132" s="1004"/>
      <c r="YY132" s="1004"/>
      <c r="YZ132" s="1004"/>
      <c r="ZA132" s="1004"/>
      <c r="ZB132" s="1004"/>
      <c r="ZC132" s="1004"/>
      <c r="ZD132" s="1004"/>
      <c r="ZE132" s="1004"/>
      <c r="ZF132" s="1004"/>
      <c r="ZG132" s="1004"/>
      <c r="ZH132" s="1004"/>
      <c r="ZI132" s="1004"/>
      <c r="ZJ132" s="1004"/>
      <c r="ZK132" s="1004"/>
      <c r="ZL132" s="1004"/>
      <c r="ZM132" s="1004"/>
      <c r="ZN132" s="1004"/>
      <c r="ZO132" s="1004"/>
      <c r="ZP132" s="1004"/>
      <c r="ZQ132" s="1004"/>
      <c r="ZR132" s="1004"/>
      <c r="ZS132" s="1004"/>
      <c r="ZT132" s="1004"/>
      <c r="ZU132" s="1004"/>
      <c r="ZV132" s="1004"/>
      <c r="ZW132" s="1004"/>
      <c r="ZX132" s="1004"/>
      <c r="ZY132" s="1004"/>
      <c r="ZZ132" s="1004"/>
      <c r="AAA132" s="1004"/>
      <c r="AAB132" s="1004"/>
      <c r="AAC132" s="1004"/>
      <c r="AAD132" s="1004"/>
      <c r="AAE132" s="1004"/>
      <c r="AAF132" s="1004"/>
      <c r="AAG132" s="1004"/>
      <c r="AAH132" s="1004"/>
      <c r="AAI132" s="1004"/>
      <c r="AAJ132" s="1004"/>
      <c r="AAK132" s="1004"/>
      <c r="AAL132" s="1004"/>
      <c r="AAM132" s="1004"/>
      <c r="AAN132" s="1004"/>
      <c r="AAO132" s="1004"/>
      <c r="AAP132" s="1004"/>
      <c r="AAQ132" s="1004"/>
      <c r="AAR132" s="1004"/>
      <c r="AAS132" s="1004"/>
      <c r="AAT132" s="1004"/>
      <c r="AAU132" s="1004"/>
      <c r="AAV132" s="1004"/>
      <c r="AAW132" s="1004"/>
      <c r="AAX132" s="1004"/>
      <c r="AAY132" s="1004"/>
      <c r="AAZ132" s="1004"/>
      <c r="ABA132" s="1004"/>
      <c r="ABB132" s="1004"/>
      <c r="ABC132" s="1004"/>
      <c r="ABD132" s="1004"/>
      <c r="ABE132" s="1004"/>
      <c r="ABF132" s="1004"/>
      <c r="ABG132" s="1004"/>
      <c r="ABH132" s="1004"/>
      <c r="ABI132" s="1004"/>
      <c r="ABJ132" s="1004"/>
      <c r="ABK132" s="1004"/>
      <c r="ABL132" s="1004"/>
      <c r="ABM132" s="1004"/>
      <c r="ABN132" s="1004"/>
      <c r="ABO132" s="1004"/>
      <c r="ABP132" s="1004"/>
      <c r="ABQ132" s="1004"/>
      <c r="ABR132" s="1004"/>
    </row>
    <row r="133" spans="1:746" s="112" customFormat="1" ht="12.75" hidden="1" customHeight="1" thickBot="1">
      <c r="A133" s="1254"/>
      <c r="B133" s="354" t="s">
        <v>1319</v>
      </c>
      <c r="C133" s="101"/>
      <c r="D133" s="5"/>
      <c r="E133" s="347" t="s">
        <v>0</v>
      </c>
      <c r="F133" s="1240"/>
      <c r="G133" s="347">
        <v>0.25</v>
      </c>
      <c r="H133" s="2413"/>
      <c r="I133" s="2364"/>
      <c r="J133" s="809"/>
      <c r="K133" s="809"/>
      <c r="L133" s="809"/>
      <c r="M133" s="809"/>
      <c r="N133" s="809"/>
      <c r="O133" s="809"/>
      <c r="P133" s="809"/>
      <c r="Q133" s="809"/>
      <c r="R133" s="809"/>
      <c r="S133" s="809"/>
      <c r="T133" s="809"/>
      <c r="U133" s="794"/>
      <c r="V133" s="794"/>
      <c r="W133" s="794"/>
      <c r="X133" s="794"/>
      <c r="Y133" s="794"/>
      <c r="Z133" s="794"/>
      <c r="AA133" s="794"/>
      <c r="AB133" s="794"/>
      <c r="AC133" s="794"/>
      <c r="AD133" s="794"/>
      <c r="AE133" s="794"/>
      <c r="AF133" s="794"/>
      <c r="AG133" s="1042"/>
      <c r="AH133" s="2199"/>
      <c r="AI133" s="2199"/>
      <c r="AJ133" s="1857">
        <f>IF(fx!$C$57=1,SUMIF(fx!I$57:T$57,1,I133:T133),IF(fx!$C$57=2,SUMIF(fx!O$57:AF$57,1,O133:AF133)))</f>
        <v>0</v>
      </c>
      <c r="AK133" s="328"/>
      <c r="AL133" s="417">
        <f>IF(fx!$C$57=1,SUM(U133:AF133),0)</f>
        <v>0</v>
      </c>
      <c r="AM133" s="1004"/>
      <c r="AN133" s="1024"/>
      <c r="AO133" s="1945"/>
      <c r="AP133" s="1935"/>
      <c r="AQ133" s="1936"/>
      <c r="AR133" s="1958"/>
      <c r="AS133" s="1958"/>
      <c r="AT133" s="1958"/>
      <c r="AU133" s="1958"/>
      <c r="AV133" s="1958"/>
      <c r="AW133" s="1958"/>
      <c r="AX133" s="1958"/>
      <c r="AY133" s="1958"/>
      <c r="AZ133" s="1958"/>
      <c r="BA133" s="1958"/>
      <c r="BB133" s="1958"/>
      <c r="BC133" s="1958"/>
      <c r="BD133" s="1958"/>
      <c r="BE133" s="1958"/>
      <c r="BF133" s="1958"/>
      <c r="BG133" s="1958"/>
      <c r="BH133" s="1958"/>
      <c r="BI133" s="1958"/>
      <c r="BJ133" s="1958"/>
      <c r="BK133" s="1958"/>
      <c r="BL133" s="1958"/>
      <c r="BM133" s="1958"/>
      <c r="BN133" s="1958"/>
      <c r="BO133" s="1958"/>
      <c r="BP133" s="1004"/>
      <c r="BQ133" s="1004"/>
      <c r="BR133" s="1004"/>
      <c r="BS133" s="1004"/>
      <c r="BT133" s="1004"/>
      <c r="BU133" s="1004"/>
      <c r="BV133" s="1004"/>
      <c r="BW133" s="1004"/>
      <c r="BX133" s="1004"/>
      <c r="BY133" s="1004"/>
      <c r="BZ133" s="1004"/>
      <c r="CA133" s="1004"/>
      <c r="CB133" s="1004"/>
      <c r="CC133" s="1004"/>
      <c r="CD133" s="1004"/>
      <c r="CE133" s="1004"/>
      <c r="CF133" s="1004"/>
      <c r="CG133" s="1004"/>
      <c r="CH133" s="1004"/>
      <c r="CI133" s="1004"/>
      <c r="CJ133" s="1004"/>
      <c r="CK133" s="1004"/>
      <c r="CL133" s="1004"/>
      <c r="CM133" s="1004"/>
      <c r="CN133" s="1004"/>
      <c r="CO133" s="1004"/>
      <c r="CP133" s="1004"/>
      <c r="CQ133" s="1004"/>
      <c r="CR133" s="1004"/>
      <c r="CS133" s="1004"/>
      <c r="CT133" s="1004"/>
      <c r="CU133" s="1004"/>
      <c r="CV133" s="1004"/>
      <c r="CW133" s="1004"/>
      <c r="CX133" s="1004"/>
      <c r="CY133" s="1004"/>
      <c r="CZ133" s="1004"/>
      <c r="DA133" s="1004"/>
      <c r="DB133" s="1004"/>
      <c r="DC133" s="1004"/>
      <c r="DD133" s="1004"/>
      <c r="DE133" s="1004"/>
      <c r="DF133" s="1004"/>
      <c r="DG133" s="1004"/>
      <c r="DH133" s="1004"/>
      <c r="DI133" s="1004"/>
      <c r="DJ133" s="1004"/>
      <c r="DK133" s="1004"/>
      <c r="DL133" s="1004"/>
      <c r="DM133" s="1004"/>
      <c r="DN133" s="1004"/>
      <c r="DO133" s="1004"/>
      <c r="DP133" s="1004"/>
      <c r="DQ133" s="1004"/>
      <c r="DR133" s="1004"/>
      <c r="DS133" s="1004"/>
      <c r="DT133" s="1004"/>
      <c r="DU133" s="1004"/>
      <c r="DV133" s="1004"/>
      <c r="DW133" s="1004"/>
      <c r="DX133" s="1004"/>
      <c r="DY133" s="1004"/>
      <c r="DZ133" s="1004"/>
      <c r="EA133" s="1004"/>
      <c r="EB133" s="1004"/>
      <c r="EC133" s="1004"/>
      <c r="ED133" s="1004"/>
      <c r="EE133" s="1004"/>
      <c r="EF133" s="1004"/>
      <c r="EG133" s="1004"/>
      <c r="EH133" s="1004"/>
      <c r="EI133" s="1004"/>
      <c r="EJ133" s="1004"/>
      <c r="EK133" s="1004"/>
      <c r="EL133" s="1004"/>
      <c r="EM133" s="1004"/>
      <c r="EN133" s="1004"/>
      <c r="EO133" s="1004"/>
      <c r="EP133" s="1004"/>
      <c r="EQ133" s="1004"/>
      <c r="ER133" s="1004"/>
      <c r="ES133" s="1004"/>
      <c r="ET133" s="1004"/>
      <c r="EU133" s="1004"/>
      <c r="EV133" s="1004"/>
      <c r="EW133" s="1004"/>
      <c r="EX133" s="1004"/>
      <c r="EY133" s="1004"/>
      <c r="EZ133" s="1004"/>
      <c r="FA133" s="1004"/>
      <c r="FB133" s="1004"/>
      <c r="FC133" s="1004"/>
      <c r="FD133" s="1004"/>
      <c r="FE133" s="1004"/>
      <c r="FF133" s="1004"/>
      <c r="FG133" s="1004"/>
      <c r="FH133" s="1004"/>
      <c r="FI133" s="1004"/>
      <c r="FJ133" s="1004"/>
      <c r="FK133" s="1004"/>
      <c r="FL133" s="1004"/>
      <c r="FM133" s="1004"/>
      <c r="FN133" s="1004"/>
      <c r="FO133" s="1004"/>
      <c r="FP133" s="1004"/>
      <c r="FQ133" s="1004"/>
      <c r="FR133" s="1004"/>
      <c r="FS133" s="1004"/>
      <c r="FT133" s="1004"/>
      <c r="FU133" s="1004"/>
      <c r="FV133" s="1004"/>
      <c r="FW133" s="1004"/>
      <c r="FX133" s="1004"/>
      <c r="FY133" s="1004"/>
      <c r="FZ133" s="1004"/>
      <c r="GA133" s="1004"/>
      <c r="GB133" s="1004"/>
      <c r="GC133" s="1004"/>
      <c r="GD133" s="1004"/>
      <c r="GE133" s="1004"/>
      <c r="GF133" s="1004"/>
      <c r="GG133" s="1004"/>
      <c r="GH133" s="1004"/>
      <c r="GI133" s="1004"/>
      <c r="GJ133" s="1004"/>
      <c r="GK133" s="1004"/>
      <c r="GL133" s="1004"/>
      <c r="GM133" s="1004"/>
      <c r="GN133" s="1004"/>
      <c r="GO133" s="1004"/>
      <c r="GP133" s="1004"/>
      <c r="GQ133" s="1004"/>
      <c r="GR133" s="1004"/>
      <c r="GS133" s="1004"/>
      <c r="GT133" s="1004"/>
      <c r="GU133" s="1004"/>
      <c r="GV133" s="1004"/>
      <c r="GW133" s="1004"/>
      <c r="GX133" s="1004"/>
      <c r="GY133" s="1004"/>
      <c r="GZ133" s="1004"/>
      <c r="HA133" s="1004"/>
      <c r="HB133" s="1004"/>
      <c r="HC133" s="1004"/>
      <c r="HD133" s="1004"/>
      <c r="HE133" s="1004"/>
      <c r="HF133" s="1004"/>
      <c r="HG133" s="1004"/>
      <c r="HH133" s="1004"/>
      <c r="HI133" s="1004"/>
      <c r="HJ133" s="1004"/>
      <c r="HK133" s="1004"/>
      <c r="HL133" s="1004"/>
      <c r="HM133" s="1004"/>
      <c r="HN133" s="1004"/>
      <c r="HO133" s="1004"/>
      <c r="HP133" s="1004"/>
      <c r="HQ133" s="1004"/>
      <c r="HR133" s="1004"/>
      <c r="HS133" s="1004"/>
      <c r="HT133" s="1004"/>
      <c r="HU133" s="1004"/>
      <c r="HV133" s="1004"/>
      <c r="HW133" s="1004"/>
      <c r="HX133" s="1004"/>
      <c r="HY133" s="1004"/>
      <c r="HZ133" s="1004"/>
      <c r="IA133" s="1004"/>
      <c r="IB133" s="1004"/>
      <c r="IC133" s="1004"/>
      <c r="ID133" s="1004"/>
      <c r="IE133" s="1004"/>
      <c r="IF133" s="1004"/>
      <c r="IG133" s="1004"/>
      <c r="IH133" s="1004"/>
      <c r="II133" s="1004"/>
      <c r="IJ133" s="1004"/>
      <c r="IK133" s="1004"/>
      <c r="IL133" s="1004"/>
      <c r="IM133" s="1004"/>
      <c r="IN133" s="1004"/>
      <c r="IO133" s="1004"/>
      <c r="IP133" s="1004"/>
      <c r="IQ133" s="1004"/>
      <c r="IR133" s="1004"/>
      <c r="IS133" s="1004"/>
      <c r="IT133" s="1004"/>
      <c r="IU133" s="1004"/>
      <c r="IV133" s="1004"/>
      <c r="IW133" s="1004"/>
      <c r="IX133" s="1004"/>
      <c r="IY133" s="1004"/>
      <c r="IZ133" s="1004"/>
      <c r="JA133" s="1004"/>
      <c r="JB133" s="1004"/>
      <c r="JC133" s="1004"/>
      <c r="JD133" s="1004"/>
      <c r="JE133" s="1004"/>
      <c r="JF133" s="1004"/>
      <c r="JG133" s="1004"/>
      <c r="JH133" s="1004"/>
      <c r="JI133" s="1004"/>
      <c r="JJ133" s="1004"/>
      <c r="JK133" s="1004"/>
      <c r="JL133" s="1004"/>
      <c r="JM133" s="1004"/>
      <c r="JN133" s="1004"/>
      <c r="JO133" s="1004"/>
      <c r="JP133" s="1004"/>
      <c r="JQ133" s="1004"/>
      <c r="JR133" s="1004"/>
      <c r="JS133" s="1004"/>
      <c r="JT133" s="1004"/>
      <c r="JU133" s="1004"/>
      <c r="JV133" s="1004"/>
      <c r="JW133" s="1004"/>
      <c r="JX133" s="1004"/>
      <c r="JY133" s="1004"/>
      <c r="JZ133" s="1004"/>
      <c r="KA133" s="1004"/>
      <c r="KB133" s="1004"/>
      <c r="KC133" s="1004"/>
      <c r="KD133" s="1004"/>
      <c r="KE133" s="1004"/>
      <c r="KF133" s="1004"/>
      <c r="KG133" s="1004"/>
      <c r="KH133" s="1004"/>
      <c r="KI133" s="1004"/>
      <c r="KJ133" s="1004"/>
      <c r="KK133" s="1004"/>
      <c r="KL133" s="1004"/>
      <c r="KM133" s="1004"/>
      <c r="KN133" s="1004"/>
      <c r="KO133" s="1004"/>
      <c r="KP133" s="1004"/>
      <c r="KQ133" s="1004"/>
      <c r="KR133" s="1004"/>
      <c r="KS133" s="1004"/>
      <c r="KT133" s="1004"/>
      <c r="KU133" s="1004"/>
      <c r="KV133" s="1004"/>
      <c r="KW133" s="1004"/>
      <c r="KX133" s="1004"/>
      <c r="KY133" s="1004"/>
      <c r="KZ133" s="1004"/>
      <c r="LA133" s="1004"/>
      <c r="LB133" s="1004"/>
      <c r="LC133" s="1004"/>
      <c r="LD133" s="1004"/>
      <c r="LE133" s="1004"/>
      <c r="LF133" s="1004"/>
      <c r="LG133" s="1004"/>
      <c r="LH133" s="1004"/>
      <c r="LI133" s="1004"/>
      <c r="LJ133" s="1004"/>
      <c r="LK133" s="1004"/>
      <c r="LL133" s="1004"/>
      <c r="LM133" s="1004"/>
      <c r="LN133" s="1004"/>
      <c r="LO133" s="1004"/>
      <c r="LP133" s="1004"/>
      <c r="LQ133" s="1004"/>
      <c r="LR133" s="1004"/>
      <c r="LS133" s="1004"/>
      <c r="LT133" s="1004"/>
      <c r="LU133" s="1004"/>
      <c r="LV133" s="1004"/>
      <c r="LW133" s="1004"/>
      <c r="LX133" s="1004"/>
      <c r="LY133" s="1004"/>
      <c r="LZ133" s="1004"/>
      <c r="MA133" s="1004"/>
      <c r="MB133" s="1004"/>
      <c r="MC133" s="1004"/>
      <c r="MD133" s="1004"/>
      <c r="ME133" s="1004"/>
      <c r="MF133" s="1004"/>
      <c r="MG133" s="1004"/>
      <c r="MH133" s="1004"/>
      <c r="MI133" s="1004"/>
      <c r="MJ133" s="1004"/>
      <c r="MK133" s="1004"/>
      <c r="ML133" s="1004"/>
      <c r="MM133" s="1004"/>
      <c r="MN133" s="1004"/>
      <c r="MO133" s="1004"/>
      <c r="MP133" s="1004"/>
      <c r="MQ133" s="1004"/>
      <c r="MR133" s="1004"/>
      <c r="MS133" s="1004"/>
      <c r="MT133" s="1004"/>
      <c r="MU133" s="1004"/>
      <c r="MV133" s="1004"/>
      <c r="MW133" s="1004"/>
      <c r="MX133" s="1004"/>
      <c r="MY133" s="1004"/>
      <c r="MZ133" s="1004"/>
      <c r="NA133" s="1004"/>
      <c r="NB133" s="1004"/>
      <c r="NC133" s="1004"/>
      <c r="ND133" s="1004"/>
      <c r="NE133" s="1004"/>
      <c r="NF133" s="1004"/>
      <c r="NG133" s="1004"/>
      <c r="NH133" s="1004"/>
      <c r="NI133" s="1004"/>
      <c r="NJ133" s="1004"/>
      <c r="NK133" s="1004"/>
      <c r="NL133" s="1004"/>
      <c r="NM133" s="1004"/>
      <c r="NN133" s="1004"/>
      <c r="NO133" s="1004"/>
      <c r="NP133" s="1004"/>
      <c r="NQ133" s="1004"/>
      <c r="NR133" s="1004"/>
      <c r="NS133" s="1004"/>
      <c r="NT133" s="1004"/>
      <c r="NU133" s="1004"/>
      <c r="NV133" s="1004"/>
      <c r="NW133" s="1004"/>
      <c r="NX133" s="1004"/>
      <c r="NY133" s="1004"/>
      <c r="NZ133" s="1004"/>
      <c r="OA133" s="1004"/>
      <c r="OB133" s="1004"/>
      <c r="OC133" s="1004"/>
      <c r="OD133" s="1004"/>
      <c r="OE133" s="1004"/>
      <c r="OF133" s="1004"/>
      <c r="OG133" s="1004"/>
      <c r="OH133" s="1004"/>
      <c r="OI133" s="1004"/>
      <c r="OJ133" s="1004"/>
      <c r="OK133" s="1004"/>
      <c r="OL133" s="1004"/>
      <c r="OM133" s="1004"/>
      <c r="ON133" s="1004"/>
      <c r="OO133" s="1004"/>
      <c r="OP133" s="1004"/>
      <c r="OQ133" s="1004"/>
      <c r="OR133" s="1004"/>
      <c r="OS133" s="1004"/>
      <c r="OT133" s="1004"/>
      <c r="OU133" s="1004"/>
      <c r="OV133" s="1004"/>
      <c r="OW133" s="1004"/>
      <c r="OX133" s="1004"/>
      <c r="OY133" s="1004"/>
      <c r="OZ133" s="1004"/>
      <c r="PA133" s="1004"/>
      <c r="PB133" s="1004"/>
      <c r="PC133" s="1004"/>
      <c r="PD133" s="1004"/>
      <c r="PE133" s="1004"/>
      <c r="PF133" s="1004"/>
      <c r="PG133" s="1004"/>
      <c r="PH133" s="1004"/>
      <c r="PI133" s="1004"/>
      <c r="PJ133" s="1004"/>
      <c r="PK133" s="1004"/>
      <c r="PL133" s="1004"/>
      <c r="PM133" s="1004"/>
      <c r="PN133" s="1004"/>
      <c r="PO133" s="1004"/>
      <c r="PP133" s="1004"/>
      <c r="PQ133" s="1004"/>
      <c r="PR133" s="1004"/>
      <c r="PS133" s="1004"/>
      <c r="PT133" s="1004"/>
      <c r="PU133" s="1004"/>
      <c r="PV133" s="1004"/>
      <c r="PW133" s="1004"/>
      <c r="PX133" s="1004"/>
      <c r="PY133" s="1004"/>
      <c r="PZ133" s="1004"/>
      <c r="QA133" s="1004"/>
      <c r="QB133" s="1004"/>
      <c r="QC133" s="1004"/>
      <c r="QD133" s="1004"/>
      <c r="QE133" s="1004"/>
      <c r="QF133" s="1004"/>
      <c r="QG133" s="1004"/>
      <c r="QH133" s="1004"/>
      <c r="QI133" s="1004"/>
      <c r="QJ133" s="1004"/>
      <c r="QK133" s="1004"/>
      <c r="QL133" s="1004"/>
      <c r="QM133" s="1004"/>
      <c r="QN133" s="1004"/>
      <c r="QO133" s="1004"/>
      <c r="QP133" s="1004"/>
      <c r="QQ133" s="1004"/>
      <c r="QR133" s="1004"/>
      <c r="QS133" s="1004"/>
      <c r="QT133" s="1004"/>
      <c r="QU133" s="1004"/>
      <c r="QV133" s="1004"/>
      <c r="QW133" s="1004"/>
      <c r="QX133" s="1004"/>
      <c r="QY133" s="1004"/>
      <c r="QZ133" s="1004"/>
      <c r="RA133" s="1004"/>
      <c r="RB133" s="1004"/>
      <c r="RC133" s="1004"/>
      <c r="RD133" s="1004"/>
      <c r="RE133" s="1004"/>
      <c r="RF133" s="1004"/>
      <c r="RG133" s="1004"/>
      <c r="RH133" s="1004"/>
      <c r="RI133" s="1004"/>
      <c r="RJ133" s="1004"/>
      <c r="RK133" s="1004"/>
      <c r="RL133" s="1004"/>
      <c r="RM133" s="1004"/>
      <c r="RN133" s="1004"/>
      <c r="RO133" s="1004"/>
      <c r="RP133" s="1004"/>
      <c r="RQ133" s="1004"/>
      <c r="RR133" s="1004"/>
      <c r="RS133" s="1004"/>
      <c r="RT133" s="1004"/>
      <c r="RU133" s="1004"/>
      <c r="RV133" s="1004"/>
      <c r="RW133" s="1004"/>
      <c r="RX133" s="1004"/>
      <c r="RY133" s="1004"/>
      <c r="RZ133" s="1004"/>
      <c r="SA133" s="1004"/>
      <c r="SB133" s="1004"/>
      <c r="SC133" s="1004"/>
      <c r="SD133" s="1004"/>
      <c r="SE133" s="1004"/>
      <c r="SF133" s="1004"/>
      <c r="SG133" s="1004"/>
      <c r="SH133" s="1004"/>
      <c r="SI133" s="1004"/>
      <c r="SJ133" s="1004"/>
      <c r="SK133" s="1004"/>
      <c r="SL133" s="1004"/>
      <c r="SM133" s="1004"/>
      <c r="SN133" s="1004"/>
      <c r="SO133" s="1004"/>
      <c r="SP133" s="1004"/>
      <c r="SQ133" s="1004"/>
      <c r="SR133" s="1004"/>
      <c r="SS133" s="1004"/>
      <c r="ST133" s="1004"/>
      <c r="SU133" s="1004"/>
      <c r="SV133" s="1004"/>
      <c r="SW133" s="1004"/>
      <c r="SX133" s="1004"/>
      <c r="SY133" s="1004"/>
      <c r="SZ133" s="1004"/>
      <c r="TA133" s="1004"/>
      <c r="TB133" s="1004"/>
      <c r="TC133" s="1004"/>
      <c r="TD133" s="1004"/>
      <c r="TE133" s="1004"/>
      <c r="TF133" s="1004"/>
      <c r="TG133" s="1004"/>
      <c r="TH133" s="1004"/>
      <c r="TI133" s="1004"/>
      <c r="TJ133" s="1004"/>
      <c r="TK133" s="1004"/>
      <c r="TL133" s="1004"/>
      <c r="TM133" s="1004"/>
      <c r="TN133" s="1004"/>
      <c r="TO133" s="1004"/>
      <c r="TP133" s="1004"/>
      <c r="TQ133" s="1004"/>
      <c r="TR133" s="1004"/>
      <c r="TS133" s="1004"/>
      <c r="TT133" s="1004"/>
      <c r="TU133" s="1004"/>
      <c r="TV133" s="1004"/>
      <c r="TW133" s="1004"/>
      <c r="TX133" s="1004"/>
      <c r="TY133" s="1004"/>
      <c r="TZ133" s="1004"/>
      <c r="UA133" s="1004"/>
      <c r="UB133" s="1004"/>
      <c r="UC133" s="1004"/>
      <c r="UD133" s="1004"/>
      <c r="UE133" s="1004"/>
      <c r="UF133" s="1004"/>
      <c r="UG133" s="1004"/>
      <c r="UH133" s="1004"/>
      <c r="UI133" s="1004"/>
      <c r="UJ133" s="1004"/>
      <c r="UK133" s="1004"/>
      <c r="UL133" s="1004"/>
      <c r="UM133" s="1004"/>
      <c r="UN133" s="1004"/>
      <c r="UO133" s="1004"/>
      <c r="UP133" s="1004"/>
      <c r="UQ133" s="1004"/>
      <c r="UR133" s="1004"/>
      <c r="US133" s="1004"/>
      <c r="UT133" s="1004"/>
      <c r="UU133" s="1004"/>
      <c r="UV133" s="1004"/>
      <c r="UW133" s="1004"/>
      <c r="UX133" s="1004"/>
      <c r="UY133" s="1004"/>
      <c r="UZ133" s="1004"/>
      <c r="VA133" s="1004"/>
      <c r="VB133" s="1004"/>
      <c r="VC133" s="1004"/>
      <c r="VD133" s="1004"/>
      <c r="VE133" s="1004"/>
      <c r="VF133" s="1004"/>
      <c r="VG133" s="1004"/>
      <c r="VH133" s="1004"/>
      <c r="VI133" s="1004"/>
      <c r="VJ133" s="1004"/>
      <c r="VK133" s="1004"/>
      <c r="VL133" s="1004"/>
      <c r="VM133" s="1004"/>
      <c r="VN133" s="1004"/>
      <c r="VO133" s="1004"/>
      <c r="VP133" s="1004"/>
      <c r="VQ133" s="1004"/>
      <c r="VR133" s="1004"/>
      <c r="VS133" s="1004"/>
      <c r="VT133" s="1004"/>
      <c r="VU133" s="1004"/>
      <c r="VV133" s="1004"/>
      <c r="VW133" s="1004"/>
      <c r="VX133" s="1004"/>
      <c r="VY133" s="1004"/>
      <c r="VZ133" s="1004"/>
      <c r="WA133" s="1004"/>
      <c r="WB133" s="1004"/>
      <c r="WC133" s="1004"/>
      <c r="WD133" s="1004"/>
      <c r="WE133" s="1004"/>
      <c r="WF133" s="1004"/>
      <c r="WG133" s="1004"/>
      <c r="WH133" s="1004"/>
      <c r="WI133" s="1004"/>
      <c r="WJ133" s="1004"/>
      <c r="WK133" s="1004"/>
      <c r="WL133" s="1004"/>
      <c r="WM133" s="1004"/>
      <c r="WN133" s="1004"/>
      <c r="WO133" s="1004"/>
      <c r="WP133" s="1004"/>
      <c r="WQ133" s="1004"/>
      <c r="WR133" s="1004"/>
      <c r="WS133" s="1004"/>
      <c r="WT133" s="1004"/>
      <c r="WU133" s="1004"/>
      <c r="WV133" s="1004"/>
      <c r="WW133" s="1004"/>
      <c r="WX133" s="1004"/>
      <c r="WY133" s="1004"/>
      <c r="WZ133" s="1004"/>
      <c r="XA133" s="1004"/>
      <c r="XB133" s="1004"/>
      <c r="XC133" s="1004"/>
      <c r="XD133" s="1004"/>
      <c r="XE133" s="1004"/>
      <c r="XF133" s="1004"/>
      <c r="XG133" s="1004"/>
      <c r="XH133" s="1004"/>
      <c r="XI133" s="1004"/>
      <c r="XJ133" s="1004"/>
      <c r="XK133" s="1004"/>
      <c r="XL133" s="1004"/>
      <c r="XM133" s="1004"/>
      <c r="XN133" s="1004"/>
      <c r="XO133" s="1004"/>
      <c r="XP133" s="1004"/>
      <c r="XQ133" s="1004"/>
      <c r="XR133" s="1004"/>
      <c r="XS133" s="1004"/>
      <c r="XT133" s="1004"/>
      <c r="XU133" s="1004"/>
      <c r="XV133" s="1004"/>
      <c r="XW133" s="1004"/>
      <c r="XX133" s="1004"/>
      <c r="XY133" s="1004"/>
      <c r="XZ133" s="1004"/>
      <c r="YA133" s="1004"/>
      <c r="YB133" s="1004"/>
      <c r="YC133" s="1004"/>
      <c r="YD133" s="1004"/>
      <c r="YE133" s="1004"/>
      <c r="YF133" s="1004"/>
      <c r="YG133" s="1004"/>
      <c r="YH133" s="1004"/>
      <c r="YI133" s="1004"/>
      <c r="YJ133" s="1004"/>
      <c r="YK133" s="1004"/>
      <c r="YL133" s="1004"/>
      <c r="YM133" s="1004"/>
      <c r="YN133" s="1004"/>
      <c r="YO133" s="1004"/>
      <c r="YP133" s="1004"/>
      <c r="YQ133" s="1004"/>
      <c r="YR133" s="1004"/>
      <c r="YS133" s="1004"/>
      <c r="YT133" s="1004"/>
      <c r="YU133" s="1004"/>
      <c r="YV133" s="1004"/>
      <c r="YW133" s="1004"/>
      <c r="YX133" s="1004"/>
      <c r="YY133" s="1004"/>
      <c r="YZ133" s="1004"/>
      <c r="ZA133" s="1004"/>
      <c r="ZB133" s="1004"/>
      <c r="ZC133" s="1004"/>
      <c r="ZD133" s="1004"/>
      <c r="ZE133" s="1004"/>
      <c r="ZF133" s="1004"/>
      <c r="ZG133" s="1004"/>
      <c r="ZH133" s="1004"/>
      <c r="ZI133" s="1004"/>
      <c r="ZJ133" s="1004"/>
      <c r="ZK133" s="1004"/>
      <c r="ZL133" s="1004"/>
      <c r="ZM133" s="1004"/>
      <c r="ZN133" s="1004"/>
      <c r="ZO133" s="1004"/>
      <c r="ZP133" s="1004"/>
      <c r="ZQ133" s="1004"/>
      <c r="ZR133" s="1004"/>
      <c r="ZS133" s="1004"/>
      <c r="ZT133" s="1004"/>
      <c r="ZU133" s="1004"/>
      <c r="ZV133" s="1004"/>
      <c r="ZW133" s="1004"/>
      <c r="ZX133" s="1004"/>
      <c r="ZY133" s="1004"/>
      <c r="ZZ133" s="1004"/>
      <c r="AAA133" s="1004"/>
      <c r="AAB133" s="1004"/>
      <c r="AAC133" s="1004"/>
      <c r="AAD133" s="1004"/>
      <c r="AAE133" s="1004"/>
      <c r="AAF133" s="1004"/>
      <c r="AAG133" s="1004"/>
      <c r="AAH133" s="1004"/>
      <c r="AAI133" s="1004"/>
      <c r="AAJ133" s="1004"/>
      <c r="AAK133" s="1004"/>
      <c r="AAL133" s="1004"/>
      <c r="AAM133" s="1004"/>
      <c r="AAN133" s="1004"/>
      <c r="AAO133" s="1004"/>
      <c r="AAP133" s="1004"/>
      <c r="AAQ133" s="1004"/>
      <c r="AAR133" s="1004"/>
      <c r="AAS133" s="1004"/>
      <c r="AAT133" s="1004"/>
      <c r="AAU133" s="1004"/>
      <c r="AAV133" s="1004"/>
      <c r="AAW133" s="1004"/>
      <c r="AAX133" s="1004"/>
      <c r="AAY133" s="1004"/>
      <c r="AAZ133" s="1004"/>
      <c r="ABA133" s="1004"/>
      <c r="ABB133" s="1004"/>
      <c r="ABC133" s="1004"/>
      <c r="ABD133" s="1004"/>
      <c r="ABE133" s="1004"/>
      <c r="ABF133" s="1004"/>
      <c r="ABG133" s="1004"/>
      <c r="ABH133" s="1004"/>
      <c r="ABI133" s="1004"/>
      <c r="ABJ133" s="1004"/>
      <c r="ABK133" s="1004"/>
      <c r="ABL133" s="1004"/>
      <c r="ABM133" s="1004"/>
      <c r="ABN133" s="1004"/>
      <c r="ABO133" s="1004"/>
      <c r="ABP133" s="1004"/>
      <c r="ABQ133" s="1004"/>
      <c r="ABR133" s="1004"/>
    </row>
    <row r="134" spans="1:746" s="112" customFormat="1" ht="12.75" customHeight="1">
      <c r="A134" s="1254"/>
      <c r="B134" s="2276" t="s">
        <v>1159</v>
      </c>
      <c r="C134" s="572"/>
      <c r="D134" s="599"/>
      <c r="E134" s="598"/>
      <c r="F134" s="548"/>
      <c r="G134" s="825"/>
      <c r="H134" s="1850">
        <f>IF(SUM(I114:T125)&gt;SUM(I134:T134),1,0)</f>
        <v>0</v>
      </c>
      <c r="I134" s="345">
        <f>(SUM(I115:I133)*fx!I57)</f>
        <v>0</v>
      </c>
      <c r="J134" s="344">
        <f>(SUM(J115:J133)*fx!J57)</f>
        <v>0</v>
      </c>
      <c r="K134" s="344">
        <f>(SUM(K115:K133)*fx!K57)</f>
        <v>0</v>
      </c>
      <c r="L134" s="344">
        <f>(SUM(L115:L133)*fx!L57)</f>
        <v>0</v>
      </c>
      <c r="M134" s="344">
        <f>(SUM(M115:M133)*fx!M57)</f>
        <v>0</v>
      </c>
      <c r="N134" s="344">
        <f>(SUM(N115:N133)*fx!N57)</f>
        <v>0</v>
      </c>
      <c r="O134" s="344">
        <f>(SUM(O115:O133)*fx!O57)</f>
        <v>0</v>
      </c>
      <c r="P134" s="344">
        <f>(SUM(P115:P133)*fx!P57)</f>
        <v>0</v>
      </c>
      <c r="Q134" s="344">
        <f>(SUM(Q115:Q133)*fx!Q57)</f>
        <v>0</v>
      </c>
      <c r="R134" s="344">
        <f>(SUM(R115:R133)*fx!R57)</f>
        <v>0</v>
      </c>
      <c r="S134" s="344">
        <f>(SUM(S115:S133)*fx!S57)</f>
        <v>0</v>
      </c>
      <c r="T134" s="344">
        <f>(SUM(T115:T133)*fx!T57)</f>
        <v>0</v>
      </c>
      <c r="U134" s="344">
        <f>(SUM(U115:U133)*fx!U57)</f>
        <v>0</v>
      </c>
      <c r="V134" s="344">
        <f>(SUM(V115:V133)*fx!V57)</f>
        <v>0</v>
      </c>
      <c r="W134" s="344">
        <f>(SUM(W115:W133)*fx!W57)</f>
        <v>0</v>
      </c>
      <c r="X134" s="344">
        <f>(SUM(X115:X133)*fx!X57)</f>
        <v>0</v>
      </c>
      <c r="Y134" s="344">
        <f>(SUM(Y115:Y133)*fx!Y57)</f>
        <v>0</v>
      </c>
      <c r="Z134" s="344">
        <f>(SUM(Z115:Z133)*fx!Z57)</f>
        <v>0</v>
      </c>
      <c r="AA134" s="344">
        <f>(SUM(AA115:AA133)*fx!AA57)</f>
        <v>0</v>
      </c>
      <c r="AB134" s="344">
        <f>(SUM(AB115:AB133)*fx!AB57)</f>
        <v>0</v>
      </c>
      <c r="AC134" s="344">
        <f>(SUM(AC115:AC133)*fx!AC57)</f>
        <v>0</v>
      </c>
      <c r="AD134" s="344">
        <f>(SUM(AD115:AD133)*fx!AD57)</f>
        <v>0</v>
      </c>
      <c r="AE134" s="344">
        <f>(SUM(AE115:AE133)*fx!AE57)</f>
        <v>0</v>
      </c>
      <c r="AF134" s="344">
        <f>(SUM(AF115:AF133)*fx!AF57)</f>
        <v>0</v>
      </c>
      <c r="AH134" s="2199"/>
      <c r="AI134" s="2199"/>
      <c r="AJ134" s="1857">
        <f>IF(fx!$C$57=1,SUM(I134:T134),IF(fx!$C$57=2,SUM(O134:AF134)))</f>
        <v>0</v>
      </c>
      <c r="AK134" s="328"/>
      <c r="AL134" s="417">
        <f>IF(fx!$C$57=1,SUM(U134:AF134),0)</f>
        <v>0</v>
      </c>
      <c r="AM134" s="1004"/>
      <c r="AN134" s="1017"/>
      <c r="AO134" s="1945"/>
      <c r="AP134" s="1935"/>
      <c r="AQ134" s="1936"/>
      <c r="AR134" s="1941"/>
      <c r="AS134" s="1941"/>
      <c r="AT134" s="1941"/>
      <c r="AU134" s="1941"/>
      <c r="AV134" s="1941"/>
      <c r="AW134" s="1941"/>
      <c r="AX134" s="1941"/>
      <c r="AY134" s="1941"/>
      <c r="AZ134" s="1941"/>
      <c r="BA134" s="1941"/>
      <c r="BB134" s="1941"/>
      <c r="BC134" s="1941"/>
      <c r="BD134" s="1941"/>
      <c r="BE134" s="1941"/>
      <c r="BF134" s="1941"/>
      <c r="BG134" s="1941"/>
      <c r="BH134" s="1941"/>
      <c r="BI134" s="1941"/>
      <c r="BJ134" s="1941"/>
      <c r="BK134" s="1941"/>
      <c r="BL134" s="1941"/>
      <c r="BM134" s="1941"/>
      <c r="BN134" s="1941"/>
      <c r="BO134" s="1941"/>
      <c r="BP134" s="1004"/>
      <c r="BQ134" s="1004"/>
      <c r="BR134" s="1004"/>
      <c r="BS134" s="1004"/>
      <c r="BT134" s="1004"/>
      <c r="BU134" s="1004"/>
      <c r="BV134" s="1004"/>
      <c r="BW134" s="1004"/>
      <c r="BX134" s="1004"/>
      <c r="BY134" s="1004"/>
      <c r="BZ134" s="1004"/>
      <c r="CA134" s="1004"/>
      <c r="CB134" s="1004"/>
      <c r="CC134" s="1004"/>
      <c r="CD134" s="1004"/>
      <c r="CE134" s="1004"/>
      <c r="CF134" s="1004"/>
      <c r="CG134" s="1004"/>
      <c r="CH134" s="1004"/>
      <c r="CI134" s="1004"/>
      <c r="CJ134" s="1004"/>
      <c r="CK134" s="1004"/>
      <c r="CL134" s="1004"/>
      <c r="CM134" s="1004"/>
      <c r="CN134" s="1004"/>
      <c r="CO134" s="1004"/>
      <c r="CP134" s="1004"/>
      <c r="CQ134" s="1004"/>
      <c r="CR134" s="1004"/>
      <c r="CS134" s="1004"/>
      <c r="CT134" s="1004"/>
      <c r="CU134" s="1004"/>
      <c r="CV134" s="1004"/>
      <c r="CW134" s="1004"/>
      <c r="CX134" s="1004"/>
      <c r="CY134" s="1004"/>
      <c r="CZ134" s="1004"/>
      <c r="DA134" s="1004"/>
      <c r="DB134" s="1004"/>
      <c r="DC134" s="1004"/>
      <c r="DD134" s="1004"/>
      <c r="DE134" s="1004"/>
      <c r="DF134" s="1004"/>
      <c r="DG134" s="1004"/>
      <c r="DH134" s="1004"/>
      <c r="DI134" s="1004"/>
      <c r="DJ134" s="1004"/>
      <c r="DK134" s="1004"/>
      <c r="DL134" s="1004"/>
      <c r="DM134" s="1004"/>
      <c r="DN134" s="1004"/>
      <c r="DO134" s="1004"/>
      <c r="DP134" s="1004"/>
      <c r="DQ134" s="1004"/>
      <c r="DR134" s="1004"/>
      <c r="DS134" s="1004"/>
      <c r="DT134" s="1004"/>
      <c r="DU134" s="1004"/>
      <c r="DV134" s="1004"/>
      <c r="DW134" s="1004"/>
      <c r="DX134" s="1004"/>
      <c r="DY134" s="1004"/>
      <c r="DZ134" s="1004"/>
      <c r="EA134" s="1004"/>
      <c r="EB134" s="1004"/>
      <c r="EC134" s="1004"/>
      <c r="ED134" s="1004"/>
      <c r="EE134" s="1004"/>
      <c r="EF134" s="1004"/>
      <c r="EG134" s="1004"/>
      <c r="EH134" s="1004"/>
      <c r="EI134" s="1004"/>
      <c r="EJ134" s="1004"/>
      <c r="EK134" s="1004"/>
      <c r="EL134" s="1004"/>
      <c r="EM134" s="1004"/>
      <c r="EN134" s="1004"/>
      <c r="EO134" s="1004"/>
      <c r="EP134" s="1004"/>
      <c r="EQ134" s="1004"/>
      <c r="ER134" s="1004"/>
      <c r="ES134" s="1004"/>
      <c r="ET134" s="1004"/>
      <c r="EU134" s="1004"/>
      <c r="EV134" s="1004"/>
      <c r="EW134" s="1004"/>
      <c r="EX134" s="1004"/>
      <c r="EY134" s="1004"/>
      <c r="EZ134" s="1004"/>
      <c r="FA134" s="1004"/>
      <c r="FB134" s="1004"/>
      <c r="FC134" s="1004"/>
      <c r="FD134" s="1004"/>
      <c r="FE134" s="1004"/>
      <c r="FF134" s="1004"/>
      <c r="FG134" s="1004"/>
      <c r="FH134" s="1004"/>
      <c r="FI134" s="1004"/>
      <c r="FJ134" s="1004"/>
      <c r="FK134" s="1004"/>
      <c r="FL134" s="1004"/>
      <c r="FM134" s="1004"/>
      <c r="FN134" s="1004"/>
      <c r="FO134" s="1004"/>
      <c r="FP134" s="1004"/>
      <c r="FQ134" s="1004"/>
      <c r="FR134" s="1004"/>
      <c r="FS134" s="1004"/>
      <c r="FT134" s="1004"/>
      <c r="FU134" s="1004"/>
      <c r="FV134" s="1004"/>
      <c r="FW134" s="1004"/>
      <c r="FX134" s="1004"/>
      <c r="FY134" s="1004"/>
      <c r="FZ134" s="1004"/>
      <c r="GA134" s="1004"/>
      <c r="GB134" s="1004"/>
      <c r="GC134" s="1004"/>
      <c r="GD134" s="1004"/>
      <c r="GE134" s="1004"/>
      <c r="GF134" s="1004"/>
      <c r="GG134" s="1004"/>
      <c r="GH134" s="1004"/>
      <c r="GI134" s="1004"/>
      <c r="GJ134" s="1004"/>
      <c r="GK134" s="1004"/>
      <c r="GL134" s="1004"/>
      <c r="GM134" s="1004"/>
      <c r="GN134" s="1004"/>
      <c r="GO134" s="1004"/>
      <c r="GP134" s="1004"/>
      <c r="GQ134" s="1004"/>
      <c r="GR134" s="1004"/>
      <c r="GS134" s="1004"/>
      <c r="GT134" s="1004"/>
      <c r="GU134" s="1004"/>
      <c r="GV134" s="1004"/>
      <c r="GW134" s="1004"/>
      <c r="GX134" s="1004"/>
      <c r="GY134" s="1004"/>
      <c r="GZ134" s="1004"/>
      <c r="HA134" s="1004"/>
      <c r="HB134" s="1004"/>
      <c r="HC134" s="1004"/>
      <c r="HD134" s="1004"/>
      <c r="HE134" s="1004"/>
      <c r="HF134" s="1004"/>
      <c r="HG134" s="1004"/>
      <c r="HH134" s="1004"/>
      <c r="HI134" s="1004"/>
      <c r="HJ134" s="1004"/>
      <c r="HK134" s="1004"/>
      <c r="HL134" s="1004"/>
      <c r="HM134" s="1004"/>
      <c r="HN134" s="1004"/>
      <c r="HO134" s="1004"/>
      <c r="HP134" s="1004"/>
      <c r="HQ134" s="1004"/>
      <c r="HR134" s="1004"/>
      <c r="HS134" s="1004"/>
      <c r="HT134" s="1004"/>
      <c r="HU134" s="1004"/>
      <c r="HV134" s="1004"/>
      <c r="HW134" s="1004"/>
      <c r="HX134" s="1004"/>
      <c r="HY134" s="1004"/>
      <c r="HZ134" s="1004"/>
      <c r="IA134" s="1004"/>
      <c r="IB134" s="1004"/>
      <c r="IC134" s="1004"/>
      <c r="ID134" s="1004"/>
      <c r="IE134" s="1004"/>
      <c r="IF134" s="1004"/>
      <c r="IG134" s="1004"/>
      <c r="IH134" s="1004"/>
      <c r="II134" s="1004"/>
      <c r="IJ134" s="1004"/>
      <c r="IK134" s="1004"/>
      <c r="IL134" s="1004"/>
      <c r="IM134" s="1004"/>
      <c r="IN134" s="1004"/>
      <c r="IO134" s="1004"/>
      <c r="IP134" s="1004"/>
      <c r="IQ134" s="1004"/>
      <c r="IR134" s="1004"/>
      <c r="IS134" s="1004"/>
      <c r="IT134" s="1004"/>
      <c r="IU134" s="1004"/>
      <c r="IV134" s="1004"/>
      <c r="IW134" s="1004"/>
      <c r="IX134" s="1004"/>
      <c r="IY134" s="1004"/>
      <c r="IZ134" s="1004"/>
      <c r="JA134" s="1004"/>
      <c r="JB134" s="1004"/>
      <c r="JC134" s="1004"/>
      <c r="JD134" s="1004"/>
      <c r="JE134" s="1004"/>
      <c r="JF134" s="1004"/>
      <c r="JG134" s="1004"/>
      <c r="JH134" s="1004"/>
      <c r="JI134" s="1004"/>
      <c r="JJ134" s="1004"/>
      <c r="JK134" s="1004"/>
      <c r="JL134" s="1004"/>
      <c r="JM134" s="1004"/>
      <c r="JN134" s="1004"/>
      <c r="JO134" s="1004"/>
      <c r="JP134" s="1004"/>
      <c r="JQ134" s="1004"/>
      <c r="JR134" s="1004"/>
      <c r="JS134" s="1004"/>
      <c r="JT134" s="1004"/>
      <c r="JU134" s="1004"/>
      <c r="JV134" s="1004"/>
      <c r="JW134" s="1004"/>
      <c r="JX134" s="1004"/>
      <c r="JY134" s="1004"/>
      <c r="JZ134" s="1004"/>
      <c r="KA134" s="1004"/>
      <c r="KB134" s="1004"/>
      <c r="KC134" s="1004"/>
      <c r="KD134" s="1004"/>
      <c r="KE134" s="1004"/>
      <c r="KF134" s="1004"/>
      <c r="KG134" s="1004"/>
      <c r="KH134" s="1004"/>
      <c r="KI134" s="1004"/>
      <c r="KJ134" s="1004"/>
      <c r="KK134" s="1004"/>
      <c r="KL134" s="1004"/>
      <c r="KM134" s="1004"/>
      <c r="KN134" s="1004"/>
      <c r="KO134" s="1004"/>
      <c r="KP134" s="1004"/>
      <c r="KQ134" s="1004"/>
      <c r="KR134" s="1004"/>
      <c r="KS134" s="1004"/>
      <c r="KT134" s="1004"/>
      <c r="KU134" s="1004"/>
      <c r="KV134" s="1004"/>
      <c r="KW134" s="1004"/>
      <c r="KX134" s="1004"/>
      <c r="KY134" s="1004"/>
      <c r="KZ134" s="1004"/>
      <c r="LA134" s="1004"/>
      <c r="LB134" s="1004"/>
      <c r="LC134" s="1004"/>
      <c r="LD134" s="1004"/>
      <c r="LE134" s="1004"/>
      <c r="LF134" s="1004"/>
      <c r="LG134" s="1004"/>
      <c r="LH134" s="1004"/>
      <c r="LI134" s="1004"/>
      <c r="LJ134" s="1004"/>
      <c r="LK134" s="1004"/>
      <c r="LL134" s="1004"/>
      <c r="LM134" s="1004"/>
      <c r="LN134" s="1004"/>
      <c r="LO134" s="1004"/>
      <c r="LP134" s="1004"/>
      <c r="LQ134" s="1004"/>
      <c r="LR134" s="1004"/>
      <c r="LS134" s="1004"/>
      <c r="LT134" s="1004"/>
      <c r="LU134" s="1004"/>
      <c r="LV134" s="1004"/>
      <c r="LW134" s="1004"/>
      <c r="LX134" s="1004"/>
      <c r="LY134" s="1004"/>
      <c r="LZ134" s="1004"/>
      <c r="MA134" s="1004"/>
      <c r="MB134" s="1004"/>
      <c r="MC134" s="1004"/>
      <c r="MD134" s="1004"/>
      <c r="ME134" s="1004"/>
      <c r="MF134" s="1004"/>
      <c r="MG134" s="1004"/>
      <c r="MH134" s="1004"/>
      <c r="MI134" s="1004"/>
      <c r="MJ134" s="1004"/>
      <c r="MK134" s="1004"/>
      <c r="ML134" s="1004"/>
      <c r="MM134" s="1004"/>
      <c r="MN134" s="1004"/>
      <c r="MO134" s="1004"/>
      <c r="MP134" s="1004"/>
      <c r="MQ134" s="1004"/>
      <c r="MR134" s="1004"/>
      <c r="MS134" s="1004"/>
      <c r="MT134" s="1004"/>
      <c r="MU134" s="1004"/>
      <c r="MV134" s="1004"/>
      <c r="MW134" s="1004"/>
      <c r="MX134" s="1004"/>
      <c r="MY134" s="1004"/>
      <c r="MZ134" s="1004"/>
      <c r="NA134" s="1004"/>
      <c r="NB134" s="1004"/>
      <c r="NC134" s="1004"/>
      <c r="ND134" s="1004"/>
      <c r="NE134" s="1004"/>
      <c r="NF134" s="1004"/>
      <c r="NG134" s="1004"/>
      <c r="NH134" s="1004"/>
      <c r="NI134" s="1004"/>
      <c r="NJ134" s="1004"/>
      <c r="NK134" s="1004"/>
      <c r="NL134" s="1004"/>
      <c r="NM134" s="1004"/>
      <c r="NN134" s="1004"/>
      <c r="NO134" s="1004"/>
      <c r="NP134" s="1004"/>
      <c r="NQ134" s="1004"/>
      <c r="NR134" s="1004"/>
      <c r="NS134" s="1004"/>
      <c r="NT134" s="1004"/>
      <c r="NU134" s="1004"/>
      <c r="NV134" s="1004"/>
      <c r="NW134" s="1004"/>
      <c r="NX134" s="1004"/>
      <c r="NY134" s="1004"/>
      <c r="NZ134" s="1004"/>
      <c r="OA134" s="1004"/>
      <c r="OB134" s="1004"/>
      <c r="OC134" s="1004"/>
      <c r="OD134" s="1004"/>
      <c r="OE134" s="1004"/>
      <c r="OF134" s="1004"/>
      <c r="OG134" s="1004"/>
      <c r="OH134" s="1004"/>
      <c r="OI134" s="1004"/>
      <c r="OJ134" s="1004"/>
      <c r="OK134" s="1004"/>
      <c r="OL134" s="1004"/>
      <c r="OM134" s="1004"/>
      <c r="ON134" s="1004"/>
      <c r="OO134" s="1004"/>
      <c r="OP134" s="1004"/>
      <c r="OQ134" s="1004"/>
      <c r="OR134" s="1004"/>
      <c r="OS134" s="1004"/>
      <c r="OT134" s="1004"/>
      <c r="OU134" s="1004"/>
      <c r="OV134" s="1004"/>
      <c r="OW134" s="1004"/>
      <c r="OX134" s="1004"/>
      <c r="OY134" s="1004"/>
      <c r="OZ134" s="1004"/>
      <c r="PA134" s="1004"/>
      <c r="PB134" s="1004"/>
      <c r="PC134" s="1004"/>
      <c r="PD134" s="1004"/>
      <c r="PE134" s="1004"/>
      <c r="PF134" s="1004"/>
      <c r="PG134" s="1004"/>
      <c r="PH134" s="1004"/>
      <c r="PI134" s="1004"/>
      <c r="PJ134" s="1004"/>
      <c r="PK134" s="1004"/>
      <c r="PL134" s="1004"/>
      <c r="PM134" s="1004"/>
      <c r="PN134" s="1004"/>
      <c r="PO134" s="1004"/>
      <c r="PP134" s="1004"/>
      <c r="PQ134" s="1004"/>
      <c r="PR134" s="1004"/>
      <c r="PS134" s="1004"/>
      <c r="PT134" s="1004"/>
      <c r="PU134" s="1004"/>
      <c r="PV134" s="1004"/>
      <c r="PW134" s="1004"/>
      <c r="PX134" s="1004"/>
      <c r="PY134" s="1004"/>
      <c r="PZ134" s="1004"/>
      <c r="QA134" s="1004"/>
      <c r="QB134" s="1004"/>
      <c r="QC134" s="1004"/>
      <c r="QD134" s="1004"/>
      <c r="QE134" s="1004"/>
      <c r="QF134" s="1004"/>
      <c r="QG134" s="1004"/>
      <c r="QH134" s="1004"/>
      <c r="QI134" s="1004"/>
      <c r="QJ134" s="1004"/>
      <c r="QK134" s="1004"/>
      <c r="QL134" s="1004"/>
      <c r="QM134" s="1004"/>
      <c r="QN134" s="1004"/>
      <c r="QO134" s="1004"/>
      <c r="QP134" s="1004"/>
      <c r="QQ134" s="1004"/>
      <c r="QR134" s="1004"/>
      <c r="QS134" s="1004"/>
      <c r="QT134" s="1004"/>
      <c r="QU134" s="1004"/>
      <c r="QV134" s="1004"/>
      <c r="QW134" s="1004"/>
      <c r="QX134" s="1004"/>
      <c r="QY134" s="1004"/>
      <c r="QZ134" s="1004"/>
      <c r="RA134" s="1004"/>
      <c r="RB134" s="1004"/>
      <c r="RC134" s="1004"/>
      <c r="RD134" s="1004"/>
      <c r="RE134" s="1004"/>
      <c r="RF134" s="1004"/>
      <c r="RG134" s="1004"/>
      <c r="RH134" s="1004"/>
      <c r="RI134" s="1004"/>
      <c r="RJ134" s="1004"/>
      <c r="RK134" s="1004"/>
      <c r="RL134" s="1004"/>
      <c r="RM134" s="1004"/>
      <c r="RN134" s="1004"/>
      <c r="RO134" s="1004"/>
      <c r="RP134" s="1004"/>
      <c r="RQ134" s="1004"/>
      <c r="RR134" s="1004"/>
      <c r="RS134" s="1004"/>
      <c r="RT134" s="1004"/>
      <c r="RU134" s="1004"/>
      <c r="RV134" s="1004"/>
      <c r="RW134" s="1004"/>
      <c r="RX134" s="1004"/>
      <c r="RY134" s="1004"/>
      <c r="RZ134" s="1004"/>
      <c r="SA134" s="1004"/>
      <c r="SB134" s="1004"/>
      <c r="SC134" s="1004"/>
      <c r="SD134" s="1004"/>
      <c r="SE134" s="1004"/>
      <c r="SF134" s="1004"/>
      <c r="SG134" s="1004"/>
      <c r="SH134" s="1004"/>
      <c r="SI134" s="1004"/>
      <c r="SJ134" s="1004"/>
      <c r="SK134" s="1004"/>
      <c r="SL134" s="1004"/>
      <c r="SM134" s="1004"/>
      <c r="SN134" s="1004"/>
      <c r="SO134" s="1004"/>
      <c r="SP134" s="1004"/>
      <c r="SQ134" s="1004"/>
      <c r="SR134" s="1004"/>
      <c r="SS134" s="1004"/>
      <c r="ST134" s="1004"/>
      <c r="SU134" s="1004"/>
      <c r="SV134" s="1004"/>
      <c r="SW134" s="1004"/>
      <c r="SX134" s="1004"/>
      <c r="SY134" s="1004"/>
      <c r="SZ134" s="1004"/>
      <c r="TA134" s="1004"/>
      <c r="TB134" s="1004"/>
      <c r="TC134" s="1004"/>
      <c r="TD134" s="1004"/>
      <c r="TE134" s="1004"/>
      <c r="TF134" s="1004"/>
      <c r="TG134" s="1004"/>
      <c r="TH134" s="1004"/>
      <c r="TI134" s="1004"/>
      <c r="TJ134" s="1004"/>
      <c r="TK134" s="1004"/>
      <c r="TL134" s="1004"/>
      <c r="TM134" s="1004"/>
      <c r="TN134" s="1004"/>
      <c r="TO134" s="1004"/>
      <c r="TP134" s="1004"/>
      <c r="TQ134" s="1004"/>
      <c r="TR134" s="1004"/>
      <c r="TS134" s="1004"/>
      <c r="TT134" s="1004"/>
      <c r="TU134" s="1004"/>
      <c r="TV134" s="1004"/>
      <c r="TW134" s="1004"/>
      <c r="TX134" s="1004"/>
      <c r="TY134" s="1004"/>
      <c r="TZ134" s="1004"/>
      <c r="UA134" s="1004"/>
      <c r="UB134" s="1004"/>
      <c r="UC134" s="1004"/>
      <c r="UD134" s="1004"/>
      <c r="UE134" s="1004"/>
      <c r="UF134" s="1004"/>
      <c r="UG134" s="1004"/>
      <c r="UH134" s="1004"/>
      <c r="UI134" s="1004"/>
      <c r="UJ134" s="1004"/>
      <c r="UK134" s="1004"/>
      <c r="UL134" s="1004"/>
      <c r="UM134" s="1004"/>
      <c r="UN134" s="1004"/>
      <c r="UO134" s="1004"/>
      <c r="UP134" s="1004"/>
      <c r="UQ134" s="1004"/>
      <c r="UR134" s="1004"/>
      <c r="US134" s="1004"/>
      <c r="UT134" s="1004"/>
      <c r="UU134" s="1004"/>
      <c r="UV134" s="1004"/>
      <c r="UW134" s="1004"/>
      <c r="UX134" s="1004"/>
      <c r="UY134" s="1004"/>
      <c r="UZ134" s="1004"/>
      <c r="VA134" s="1004"/>
      <c r="VB134" s="1004"/>
      <c r="VC134" s="1004"/>
      <c r="VD134" s="1004"/>
      <c r="VE134" s="1004"/>
      <c r="VF134" s="1004"/>
      <c r="VG134" s="1004"/>
      <c r="VH134" s="1004"/>
      <c r="VI134" s="1004"/>
      <c r="VJ134" s="1004"/>
      <c r="VK134" s="1004"/>
      <c r="VL134" s="1004"/>
      <c r="VM134" s="1004"/>
      <c r="VN134" s="1004"/>
      <c r="VO134" s="1004"/>
      <c r="VP134" s="1004"/>
      <c r="VQ134" s="1004"/>
      <c r="VR134" s="1004"/>
      <c r="VS134" s="1004"/>
      <c r="VT134" s="1004"/>
      <c r="VU134" s="1004"/>
      <c r="VV134" s="1004"/>
      <c r="VW134" s="1004"/>
      <c r="VX134" s="1004"/>
      <c r="VY134" s="1004"/>
      <c r="VZ134" s="1004"/>
      <c r="WA134" s="1004"/>
      <c r="WB134" s="1004"/>
      <c r="WC134" s="1004"/>
      <c r="WD134" s="1004"/>
      <c r="WE134" s="1004"/>
      <c r="WF134" s="1004"/>
      <c r="WG134" s="1004"/>
      <c r="WH134" s="1004"/>
      <c r="WI134" s="1004"/>
      <c r="WJ134" s="1004"/>
      <c r="WK134" s="1004"/>
      <c r="WL134" s="1004"/>
      <c r="WM134" s="1004"/>
      <c r="WN134" s="1004"/>
      <c r="WO134" s="1004"/>
      <c r="WP134" s="1004"/>
      <c r="WQ134" s="1004"/>
      <c r="WR134" s="1004"/>
      <c r="WS134" s="1004"/>
      <c r="WT134" s="1004"/>
      <c r="WU134" s="1004"/>
      <c r="WV134" s="1004"/>
      <c r="WW134" s="1004"/>
      <c r="WX134" s="1004"/>
      <c r="WY134" s="1004"/>
      <c r="WZ134" s="1004"/>
      <c r="XA134" s="1004"/>
      <c r="XB134" s="1004"/>
      <c r="XC134" s="1004"/>
      <c r="XD134" s="1004"/>
      <c r="XE134" s="1004"/>
      <c r="XF134" s="1004"/>
      <c r="XG134" s="1004"/>
      <c r="XH134" s="1004"/>
      <c r="XI134" s="1004"/>
      <c r="XJ134" s="1004"/>
      <c r="XK134" s="1004"/>
      <c r="XL134" s="1004"/>
      <c r="XM134" s="1004"/>
      <c r="XN134" s="1004"/>
      <c r="XO134" s="1004"/>
      <c r="XP134" s="1004"/>
      <c r="XQ134" s="1004"/>
      <c r="XR134" s="1004"/>
      <c r="XS134" s="1004"/>
      <c r="XT134" s="1004"/>
      <c r="XU134" s="1004"/>
      <c r="XV134" s="1004"/>
      <c r="XW134" s="1004"/>
      <c r="XX134" s="1004"/>
      <c r="XY134" s="1004"/>
      <c r="XZ134" s="1004"/>
      <c r="YA134" s="1004"/>
      <c r="YB134" s="1004"/>
      <c r="YC134" s="1004"/>
      <c r="YD134" s="1004"/>
      <c r="YE134" s="1004"/>
      <c r="YF134" s="1004"/>
      <c r="YG134" s="1004"/>
      <c r="YH134" s="1004"/>
      <c r="YI134" s="1004"/>
      <c r="YJ134" s="1004"/>
      <c r="YK134" s="1004"/>
      <c r="YL134" s="1004"/>
      <c r="YM134" s="1004"/>
      <c r="YN134" s="1004"/>
      <c r="YO134" s="1004"/>
      <c r="YP134" s="1004"/>
      <c r="YQ134" s="1004"/>
      <c r="YR134" s="1004"/>
      <c r="YS134" s="1004"/>
      <c r="YT134" s="1004"/>
      <c r="YU134" s="1004"/>
      <c r="YV134" s="1004"/>
      <c r="YW134" s="1004"/>
      <c r="YX134" s="1004"/>
      <c r="YY134" s="1004"/>
      <c r="YZ134" s="1004"/>
      <c r="ZA134" s="1004"/>
      <c r="ZB134" s="1004"/>
      <c r="ZC134" s="1004"/>
      <c r="ZD134" s="1004"/>
      <c r="ZE134" s="1004"/>
      <c r="ZF134" s="1004"/>
      <c r="ZG134" s="1004"/>
      <c r="ZH134" s="1004"/>
      <c r="ZI134" s="1004"/>
      <c r="ZJ134" s="1004"/>
      <c r="ZK134" s="1004"/>
      <c r="ZL134" s="1004"/>
      <c r="ZM134" s="1004"/>
      <c r="ZN134" s="1004"/>
      <c r="ZO134" s="1004"/>
      <c r="ZP134" s="1004"/>
      <c r="ZQ134" s="1004"/>
      <c r="ZR134" s="1004"/>
      <c r="ZS134" s="1004"/>
      <c r="ZT134" s="1004"/>
      <c r="ZU134" s="1004"/>
      <c r="ZV134" s="1004"/>
      <c r="ZW134" s="1004"/>
      <c r="ZX134" s="1004"/>
      <c r="ZY134" s="1004"/>
      <c r="ZZ134" s="1004"/>
      <c r="AAA134" s="1004"/>
      <c r="AAB134" s="1004"/>
      <c r="AAC134" s="1004"/>
      <c r="AAD134" s="1004"/>
      <c r="AAE134" s="1004"/>
      <c r="AAF134" s="1004"/>
      <c r="AAG134" s="1004"/>
      <c r="AAH134" s="1004"/>
      <c r="AAI134" s="1004"/>
      <c r="AAJ134" s="1004"/>
      <c r="AAK134" s="1004"/>
      <c r="AAL134" s="1004"/>
      <c r="AAM134" s="1004"/>
      <c r="AAN134" s="1004"/>
      <c r="AAO134" s="1004"/>
      <c r="AAP134" s="1004"/>
      <c r="AAQ134" s="1004"/>
      <c r="AAR134" s="1004"/>
      <c r="AAS134" s="1004"/>
      <c r="AAT134" s="1004"/>
      <c r="AAU134" s="1004"/>
      <c r="AAV134" s="1004"/>
      <c r="AAW134" s="1004"/>
      <c r="AAX134" s="1004"/>
      <c r="AAY134" s="1004"/>
      <c r="AAZ134" s="1004"/>
      <c r="ABA134" s="1004"/>
      <c r="ABB134" s="1004"/>
      <c r="ABC134" s="1004"/>
      <c r="ABD134" s="1004"/>
      <c r="ABE134" s="1004"/>
      <c r="ABF134" s="1004"/>
      <c r="ABG134" s="1004"/>
      <c r="ABH134" s="1004"/>
      <c r="ABI134" s="1004"/>
      <c r="ABJ134" s="1004"/>
      <c r="ABK134" s="1004"/>
      <c r="ABL134" s="1004"/>
      <c r="ABM134" s="1004"/>
      <c r="ABN134" s="1004"/>
      <c r="ABO134" s="1004"/>
      <c r="ABP134" s="1004"/>
      <c r="ABQ134" s="1004"/>
      <c r="ABR134" s="1004"/>
    </row>
    <row r="135" spans="1:746" s="112" customFormat="1" ht="12" customHeight="1">
      <c r="A135" s="924"/>
      <c r="B135" s="2275" t="s">
        <v>1158</v>
      </c>
      <c r="C135" s="2264"/>
      <c r="D135" s="2265"/>
      <c r="E135" s="2266"/>
      <c r="F135" s="2267"/>
      <c r="G135" s="2266"/>
      <c r="H135" s="2265"/>
      <c r="I135" s="345">
        <f>(I241+I114)*fx!I57</f>
        <v>0</v>
      </c>
      <c r="J135" s="344">
        <f>(J241+J114)*fx!J57</f>
        <v>0</v>
      </c>
      <c r="K135" s="344">
        <f>(K241+K114)*fx!K57</f>
        <v>0</v>
      </c>
      <c r="L135" s="344">
        <f>(L241+L114)*fx!L57</f>
        <v>0</v>
      </c>
      <c r="M135" s="344">
        <f>(M241+M114)*fx!M57</f>
        <v>0</v>
      </c>
      <c r="N135" s="344">
        <f>(N241+N114)*fx!N57</f>
        <v>0</v>
      </c>
      <c r="O135" s="344">
        <f>(O241+O114)*fx!O57</f>
        <v>0</v>
      </c>
      <c r="P135" s="344">
        <f>(P241+P114)*fx!P57</f>
        <v>0</v>
      </c>
      <c r="Q135" s="344">
        <f>(Q241+Q114)*fx!Q57</f>
        <v>0</v>
      </c>
      <c r="R135" s="344">
        <f>(R241+R114)*fx!R57</f>
        <v>0</v>
      </c>
      <c r="S135" s="344">
        <f>(S241+S114)*fx!S57</f>
        <v>0</v>
      </c>
      <c r="T135" s="344">
        <f>(T241+T114)*fx!T57</f>
        <v>0</v>
      </c>
      <c r="U135" s="344">
        <f>(U241+U114)*fx!U57</f>
        <v>0</v>
      </c>
      <c r="V135" s="344">
        <f>(V241+V114)*fx!V57</f>
        <v>0</v>
      </c>
      <c r="W135" s="344">
        <f>(W241+W114)*fx!W57</f>
        <v>0</v>
      </c>
      <c r="X135" s="344">
        <f>(X241+X114)*fx!X57</f>
        <v>0</v>
      </c>
      <c r="Y135" s="344">
        <f>(Y241+Y114)*fx!Y57</f>
        <v>0</v>
      </c>
      <c r="Z135" s="344">
        <f>(Z241+Z114)*fx!Z57</f>
        <v>0</v>
      </c>
      <c r="AA135" s="344">
        <f>(AA241+AA114)*fx!AA57</f>
        <v>0</v>
      </c>
      <c r="AB135" s="344">
        <f>(AB241+AB114)*fx!AB57</f>
        <v>0</v>
      </c>
      <c r="AC135" s="344">
        <f>(AC241+AC114)*fx!AC57</f>
        <v>0</v>
      </c>
      <c r="AD135" s="344">
        <f>(AD241+AD114)*fx!AD57</f>
        <v>0</v>
      </c>
      <c r="AE135" s="344">
        <f>(AE241+AE114)*fx!AE57</f>
        <v>0</v>
      </c>
      <c r="AF135" s="344">
        <f>(AF241+AF114)*fx!AF57</f>
        <v>0</v>
      </c>
      <c r="AG135" s="2284"/>
      <c r="AH135" s="337"/>
      <c r="AI135" s="336"/>
      <c r="AJ135" s="418">
        <f>IF(fx!$C$57=1,SUMIF(fx!I$57:T$57,1,I135:T135),IF(fx!$C$57=2,SUMIF(fx!O$57:AF$57,1,O135:AF135)))</f>
        <v>0</v>
      </c>
      <c r="AK135" s="328"/>
      <c r="AL135" s="417">
        <f>IF(fx!$C$57=1,SUM(U135:AF135),0)</f>
        <v>0</v>
      </c>
      <c r="AM135" s="1009"/>
      <c r="AN135" s="1015"/>
      <c r="AO135" s="1945"/>
      <c r="AP135" s="1935"/>
      <c r="AQ135" s="1936"/>
      <c r="AR135" s="1941"/>
      <c r="AS135" s="1941"/>
      <c r="AT135" s="1941"/>
      <c r="AU135" s="1941"/>
      <c r="AV135" s="1941"/>
      <c r="AW135" s="1941"/>
      <c r="AX135" s="1941"/>
      <c r="AY135" s="1941"/>
      <c r="AZ135" s="1941"/>
      <c r="BA135" s="1941"/>
      <c r="BB135" s="1941"/>
      <c r="BC135" s="1941"/>
      <c r="BD135" s="1941"/>
      <c r="BE135" s="1941"/>
      <c r="BF135" s="1941"/>
      <c r="BG135" s="1941"/>
      <c r="BH135" s="1941"/>
      <c r="BI135" s="1941"/>
      <c r="BJ135" s="1941"/>
      <c r="BK135" s="1941"/>
      <c r="BL135" s="1941"/>
      <c r="BM135" s="1941"/>
      <c r="BN135" s="1941"/>
      <c r="BO135" s="1941"/>
      <c r="BP135" s="1004"/>
      <c r="BQ135" s="1004"/>
      <c r="BR135" s="1004"/>
      <c r="BS135" s="1004"/>
      <c r="BT135" s="1004"/>
      <c r="BU135" s="1004"/>
      <c r="BV135" s="1004"/>
      <c r="BW135" s="1004"/>
      <c r="BX135" s="1004"/>
      <c r="BY135" s="1004"/>
      <c r="BZ135" s="1004"/>
      <c r="CA135" s="1004"/>
      <c r="CB135" s="1004"/>
      <c r="CC135" s="1004"/>
      <c r="CD135" s="1004"/>
      <c r="CE135" s="1004"/>
      <c r="CF135" s="1004"/>
      <c r="CG135" s="1004"/>
      <c r="CH135" s="1004"/>
      <c r="CI135" s="1004"/>
      <c r="CJ135" s="1004"/>
      <c r="CK135" s="1004"/>
      <c r="CL135" s="1004"/>
      <c r="CM135" s="1004"/>
      <c r="CN135" s="1004"/>
      <c r="CO135" s="1004"/>
      <c r="CP135" s="1004"/>
      <c r="CQ135" s="1004"/>
      <c r="CR135" s="1004"/>
      <c r="CS135" s="1004"/>
      <c r="CT135" s="1004"/>
      <c r="CU135" s="1004"/>
      <c r="CV135" s="1004"/>
      <c r="CW135" s="1004"/>
      <c r="CX135" s="1004"/>
      <c r="CY135" s="1004"/>
      <c r="CZ135" s="1004"/>
      <c r="DA135" s="1004"/>
      <c r="DB135" s="1004"/>
      <c r="DC135" s="1004"/>
      <c r="DD135" s="1004"/>
      <c r="DE135" s="1004"/>
      <c r="DF135" s="1004"/>
      <c r="DG135" s="1004"/>
      <c r="DH135" s="1004"/>
      <c r="DI135" s="1004"/>
      <c r="DJ135" s="1004"/>
      <c r="DK135" s="1004"/>
      <c r="DL135" s="1004"/>
      <c r="DM135" s="1004"/>
      <c r="DN135" s="1004"/>
      <c r="DO135" s="1004"/>
      <c r="DP135" s="1004"/>
      <c r="DQ135" s="1004"/>
      <c r="DR135" s="1004"/>
      <c r="DS135" s="1004"/>
      <c r="DT135" s="1004"/>
      <c r="DU135" s="1004"/>
      <c r="DV135" s="1004"/>
      <c r="DW135" s="1004"/>
      <c r="DX135" s="1004"/>
      <c r="DY135" s="1004"/>
      <c r="DZ135" s="1004"/>
      <c r="EA135" s="1004"/>
      <c r="EB135" s="1004"/>
      <c r="EC135" s="1004"/>
      <c r="ED135" s="1004"/>
      <c r="EE135" s="1004"/>
      <c r="EF135" s="1004"/>
      <c r="EG135" s="1004"/>
      <c r="EH135" s="1004"/>
      <c r="EI135" s="1004"/>
      <c r="EJ135" s="1004"/>
      <c r="EK135" s="1004"/>
      <c r="EL135" s="1004"/>
      <c r="EM135" s="1004"/>
      <c r="EN135" s="1004"/>
      <c r="EO135" s="1004"/>
      <c r="EP135" s="1004"/>
      <c r="EQ135" s="1004"/>
      <c r="ER135" s="1004"/>
      <c r="ES135" s="1004"/>
      <c r="ET135" s="1004"/>
      <c r="EU135" s="1004"/>
      <c r="EV135" s="1004"/>
      <c r="EW135" s="1004"/>
      <c r="EX135" s="1004"/>
      <c r="EY135" s="1004"/>
      <c r="EZ135" s="1004"/>
      <c r="FA135" s="1004"/>
      <c r="FB135" s="1004"/>
      <c r="FC135" s="1004"/>
      <c r="FD135" s="1004"/>
      <c r="FE135" s="1004"/>
      <c r="FF135" s="1004"/>
      <c r="FG135" s="1004"/>
      <c r="FH135" s="1004"/>
      <c r="FI135" s="1004"/>
      <c r="FJ135" s="1004"/>
      <c r="FK135" s="1004"/>
      <c r="FL135" s="1004"/>
      <c r="FM135" s="1004"/>
      <c r="FN135" s="1004"/>
      <c r="FO135" s="1004"/>
      <c r="FP135" s="1004"/>
      <c r="FQ135" s="1004"/>
      <c r="FR135" s="1004"/>
      <c r="FS135" s="1004"/>
      <c r="FT135" s="1004"/>
      <c r="FU135" s="1004"/>
      <c r="FV135" s="1004"/>
      <c r="FW135" s="1004"/>
      <c r="FX135" s="1004"/>
      <c r="FY135" s="1004"/>
      <c r="FZ135" s="1004"/>
      <c r="GA135" s="1004"/>
      <c r="GB135" s="1004"/>
      <c r="GC135" s="1004"/>
      <c r="GD135" s="1004"/>
      <c r="GE135" s="1004"/>
      <c r="GF135" s="1004"/>
      <c r="GG135" s="1004"/>
      <c r="GH135" s="1004"/>
      <c r="GI135" s="1004"/>
      <c r="GJ135" s="1004"/>
      <c r="GK135" s="1004"/>
      <c r="GL135" s="1004"/>
      <c r="GM135" s="1004"/>
      <c r="GN135" s="1004"/>
      <c r="GO135" s="1004"/>
      <c r="GP135" s="1004"/>
      <c r="GQ135" s="1004"/>
      <c r="GR135" s="1004"/>
      <c r="GS135" s="1004"/>
      <c r="GT135" s="1004"/>
      <c r="GU135" s="1004"/>
      <c r="GV135" s="1004"/>
      <c r="GW135" s="1004"/>
      <c r="GX135" s="1004"/>
      <c r="GY135" s="1004"/>
      <c r="GZ135" s="1004"/>
      <c r="HA135" s="1004"/>
      <c r="HB135" s="1004"/>
      <c r="HC135" s="1004"/>
      <c r="HD135" s="1004"/>
      <c r="HE135" s="1004"/>
      <c r="HF135" s="1004"/>
      <c r="HG135" s="1004"/>
      <c r="HH135" s="1004"/>
      <c r="HI135" s="1004"/>
      <c r="HJ135" s="1004"/>
      <c r="HK135" s="1004"/>
      <c r="HL135" s="1004"/>
      <c r="HM135" s="1004"/>
      <c r="HN135" s="1004"/>
      <c r="HO135" s="1004"/>
      <c r="HP135" s="1004"/>
      <c r="HQ135" s="1004"/>
      <c r="HR135" s="1004"/>
      <c r="HS135" s="1004"/>
      <c r="HT135" s="1004"/>
      <c r="HU135" s="1004"/>
      <c r="HV135" s="1004"/>
      <c r="HW135" s="1004"/>
      <c r="HX135" s="1004"/>
      <c r="HY135" s="1004"/>
      <c r="HZ135" s="1004"/>
      <c r="IA135" s="1004"/>
      <c r="IB135" s="1004"/>
      <c r="IC135" s="1004"/>
      <c r="ID135" s="1004"/>
      <c r="IE135" s="1004"/>
      <c r="IF135" s="1004"/>
      <c r="IG135" s="1004"/>
      <c r="IH135" s="1004"/>
      <c r="II135" s="1004"/>
      <c r="IJ135" s="1004"/>
      <c r="IK135" s="1004"/>
      <c r="IL135" s="1004"/>
      <c r="IM135" s="1004"/>
      <c r="IN135" s="1004"/>
      <c r="IO135" s="1004"/>
      <c r="IP135" s="1004"/>
      <c r="IQ135" s="1004"/>
      <c r="IR135" s="1004"/>
      <c r="IS135" s="1004"/>
      <c r="IT135" s="1004"/>
      <c r="IU135" s="1004"/>
      <c r="IV135" s="1004"/>
      <c r="IW135" s="1004"/>
      <c r="IX135" s="1004"/>
      <c r="IY135" s="1004"/>
      <c r="IZ135" s="1004"/>
      <c r="JA135" s="1004"/>
      <c r="JB135" s="1004"/>
      <c r="JC135" s="1004"/>
      <c r="JD135" s="1004"/>
      <c r="JE135" s="1004"/>
      <c r="JF135" s="1004"/>
      <c r="JG135" s="1004"/>
      <c r="JH135" s="1004"/>
      <c r="JI135" s="1004"/>
      <c r="JJ135" s="1004"/>
      <c r="JK135" s="1004"/>
      <c r="JL135" s="1004"/>
      <c r="JM135" s="1004"/>
      <c r="JN135" s="1004"/>
      <c r="JO135" s="1004"/>
      <c r="JP135" s="1004"/>
      <c r="JQ135" s="1004"/>
      <c r="JR135" s="1004"/>
      <c r="JS135" s="1004"/>
      <c r="JT135" s="1004"/>
      <c r="JU135" s="1004"/>
      <c r="JV135" s="1004"/>
      <c r="JW135" s="1004"/>
      <c r="JX135" s="1004"/>
      <c r="JY135" s="1004"/>
      <c r="JZ135" s="1004"/>
      <c r="KA135" s="1004"/>
      <c r="KB135" s="1004"/>
      <c r="KC135" s="1004"/>
      <c r="KD135" s="1004"/>
      <c r="KE135" s="1004"/>
      <c r="KF135" s="1004"/>
      <c r="KG135" s="1004"/>
      <c r="KH135" s="1004"/>
      <c r="KI135" s="1004"/>
      <c r="KJ135" s="1004"/>
      <c r="KK135" s="1004"/>
      <c r="KL135" s="1004"/>
      <c r="KM135" s="1004"/>
      <c r="KN135" s="1004"/>
      <c r="KO135" s="1004"/>
      <c r="KP135" s="1004"/>
      <c r="KQ135" s="1004"/>
      <c r="KR135" s="1004"/>
      <c r="KS135" s="1004"/>
      <c r="KT135" s="1004"/>
      <c r="KU135" s="1004"/>
      <c r="KV135" s="1004"/>
      <c r="KW135" s="1004"/>
      <c r="KX135" s="1004"/>
      <c r="KY135" s="1004"/>
      <c r="KZ135" s="1004"/>
      <c r="LA135" s="1004"/>
      <c r="LB135" s="1004"/>
      <c r="LC135" s="1004"/>
      <c r="LD135" s="1004"/>
      <c r="LE135" s="1004"/>
      <c r="LF135" s="1004"/>
      <c r="LG135" s="1004"/>
      <c r="LH135" s="1004"/>
      <c r="LI135" s="1004"/>
      <c r="LJ135" s="1004"/>
      <c r="LK135" s="1004"/>
      <c r="LL135" s="1004"/>
      <c r="LM135" s="1004"/>
      <c r="LN135" s="1004"/>
      <c r="LO135" s="1004"/>
      <c r="LP135" s="1004"/>
      <c r="LQ135" s="1004"/>
      <c r="LR135" s="1004"/>
      <c r="LS135" s="1004"/>
      <c r="LT135" s="1004"/>
      <c r="LU135" s="1004"/>
      <c r="LV135" s="1004"/>
      <c r="LW135" s="1004"/>
      <c r="LX135" s="1004"/>
      <c r="LY135" s="1004"/>
      <c r="LZ135" s="1004"/>
      <c r="MA135" s="1004"/>
      <c r="MB135" s="1004"/>
      <c r="MC135" s="1004"/>
      <c r="MD135" s="1004"/>
      <c r="ME135" s="1004"/>
      <c r="MF135" s="1004"/>
      <c r="MG135" s="1004"/>
      <c r="MH135" s="1004"/>
      <c r="MI135" s="1004"/>
      <c r="MJ135" s="1004"/>
      <c r="MK135" s="1004"/>
      <c r="ML135" s="1004"/>
      <c r="MM135" s="1004"/>
      <c r="MN135" s="1004"/>
      <c r="MO135" s="1004"/>
      <c r="MP135" s="1004"/>
      <c r="MQ135" s="1004"/>
      <c r="MR135" s="1004"/>
      <c r="MS135" s="1004"/>
      <c r="MT135" s="1004"/>
      <c r="MU135" s="1004"/>
      <c r="MV135" s="1004"/>
      <c r="MW135" s="1004"/>
      <c r="MX135" s="1004"/>
      <c r="MY135" s="1004"/>
      <c r="MZ135" s="1004"/>
      <c r="NA135" s="1004"/>
      <c r="NB135" s="1004"/>
      <c r="NC135" s="1004"/>
      <c r="ND135" s="1004"/>
      <c r="NE135" s="1004"/>
      <c r="NF135" s="1004"/>
      <c r="NG135" s="1004"/>
      <c r="NH135" s="1004"/>
      <c r="NI135" s="1004"/>
      <c r="NJ135" s="1004"/>
      <c r="NK135" s="1004"/>
      <c r="NL135" s="1004"/>
      <c r="NM135" s="1004"/>
      <c r="NN135" s="1004"/>
      <c r="NO135" s="1004"/>
      <c r="NP135" s="1004"/>
      <c r="NQ135" s="1004"/>
      <c r="NR135" s="1004"/>
      <c r="NS135" s="1004"/>
      <c r="NT135" s="1004"/>
      <c r="NU135" s="1004"/>
      <c r="NV135" s="1004"/>
      <c r="NW135" s="1004"/>
      <c r="NX135" s="1004"/>
      <c r="NY135" s="1004"/>
      <c r="NZ135" s="1004"/>
      <c r="OA135" s="1004"/>
      <c r="OB135" s="1004"/>
      <c r="OC135" s="1004"/>
      <c r="OD135" s="1004"/>
      <c r="OE135" s="1004"/>
      <c r="OF135" s="1004"/>
      <c r="OG135" s="1004"/>
      <c r="OH135" s="1004"/>
      <c r="OI135" s="1004"/>
      <c r="OJ135" s="1004"/>
      <c r="OK135" s="1004"/>
      <c r="OL135" s="1004"/>
      <c r="OM135" s="1004"/>
      <c r="ON135" s="1004"/>
      <c r="OO135" s="1004"/>
      <c r="OP135" s="1004"/>
      <c r="OQ135" s="1004"/>
      <c r="OR135" s="1004"/>
      <c r="OS135" s="1004"/>
      <c r="OT135" s="1004"/>
      <c r="OU135" s="1004"/>
      <c r="OV135" s="1004"/>
      <c r="OW135" s="1004"/>
      <c r="OX135" s="1004"/>
      <c r="OY135" s="1004"/>
      <c r="OZ135" s="1004"/>
      <c r="PA135" s="1004"/>
      <c r="PB135" s="1004"/>
      <c r="PC135" s="1004"/>
      <c r="PD135" s="1004"/>
      <c r="PE135" s="1004"/>
      <c r="PF135" s="1004"/>
      <c r="PG135" s="1004"/>
      <c r="PH135" s="1004"/>
      <c r="PI135" s="1004"/>
      <c r="PJ135" s="1004"/>
      <c r="PK135" s="1004"/>
      <c r="PL135" s="1004"/>
      <c r="PM135" s="1004"/>
      <c r="PN135" s="1004"/>
      <c r="PO135" s="1004"/>
      <c r="PP135" s="1004"/>
      <c r="PQ135" s="1004"/>
      <c r="PR135" s="1004"/>
      <c r="PS135" s="1004"/>
      <c r="PT135" s="1004"/>
      <c r="PU135" s="1004"/>
      <c r="PV135" s="1004"/>
      <c r="PW135" s="1004"/>
      <c r="PX135" s="1004"/>
      <c r="PY135" s="1004"/>
      <c r="PZ135" s="1004"/>
      <c r="QA135" s="1004"/>
      <c r="QB135" s="1004"/>
      <c r="QC135" s="1004"/>
      <c r="QD135" s="1004"/>
      <c r="QE135" s="1004"/>
      <c r="QF135" s="1004"/>
      <c r="QG135" s="1004"/>
      <c r="QH135" s="1004"/>
      <c r="QI135" s="1004"/>
      <c r="QJ135" s="1004"/>
      <c r="QK135" s="1004"/>
      <c r="QL135" s="1004"/>
      <c r="QM135" s="1004"/>
      <c r="QN135" s="1004"/>
      <c r="QO135" s="1004"/>
      <c r="QP135" s="1004"/>
      <c r="QQ135" s="1004"/>
      <c r="QR135" s="1004"/>
      <c r="QS135" s="1004"/>
      <c r="QT135" s="1004"/>
      <c r="QU135" s="1004"/>
      <c r="QV135" s="1004"/>
      <c r="QW135" s="1004"/>
      <c r="QX135" s="1004"/>
      <c r="QY135" s="1004"/>
      <c r="QZ135" s="1004"/>
      <c r="RA135" s="1004"/>
      <c r="RB135" s="1004"/>
      <c r="RC135" s="1004"/>
      <c r="RD135" s="1004"/>
      <c r="RE135" s="1004"/>
      <c r="RF135" s="1004"/>
      <c r="RG135" s="1004"/>
      <c r="RH135" s="1004"/>
      <c r="RI135" s="1004"/>
      <c r="RJ135" s="1004"/>
      <c r="RK135" s="1004"/>
      <c r="RL135" s="1004"/>
      <c r="RM135" s="1004"/>
      <c r="RN135" s="1004"/>
      <c r="RO135" s="1004"/>
      <c r="RP135" s="1004"/>
      <c r="RQ135" s="1004"/>
      <c r="RR135" s="1004"/>
      <c r="RS135" s="1004"/>
      <c r="RT135" s="1004"/>
      <c r="RU135" s="1004"/>
      <c r="RV135" s="1004"/>
      <c r="RW135" s="1004"/>
      <c r="RX135" s="1004"/>
      <c r="RY135" s="1004"/>
      <c r="RZ135" s="1004"/>
      <c r="SA135" s="1004"/>
      <c r="SB135" s="1004"/>
      <c r="SC135" s="1004"/>
      <c r="SD135" s="1004"/>
      <c r="SE135" s="1004"/>
      <c r="SF135" s="1004"/>
      <c r="SG135" s="1004"/>
      <c r="SH135" s="1004"/>
      <c r="SI135" s="1004"/>
      <c r="SJ135" s="1004"/>
      <c r="SK135" s="1004"/>
      <c r="SL135" s="1004"/>
      <c r="SM135" s="1004"/>
      <c r="SN135" s="1004"/>
      <c r="SO135" s="1004"/>
      <c r="SP135" s="1004"/>
      <c r="SQ135" s="1004"/>
      <c r="SR135" s="1004"/>
      <c r="SS135" s="1004"/>
      <c r="ST135" s="1004"/>
      <c r="SU135" s="1004"/>
      <c r="SV135" s="1004"/>
      <c r="SW135" s="1004"/>
      <c r="SX135" s="1004"/>
      <c r="SY135" s="1004"/>
      <c r="SZ135" s="1004"/>
      <c r="TA135" s="1004"/>
      <c r="TB135" s="1004"/>
      <c r="TC135" s="1004"/>
      <c r="TD135" s="1004"/>
      <c r="TE135" s="1004"/>
      <c r="TF135" s="1004"/>
      <c r="TG135" s="1004"/>
      <c r="TH135" s="1004"/>
      <c r="TI135" s="1004"/>
      <c r="TJ135" s="1004"/>
      <c r="TK135" s="1004"/>
      <c r="TL135" s="1004"/>
      <c r="TM135" s="1004"/>
      <c r="TN135" s="1004"/>
      <c r="TO135" s="1004"/>
      <c r="TP135" s="1004"/>
      <c r="TQ135" s="1004"/>
      <c r="TR135" s="1004"/>
      <c r="TS135" s="1004"/>
      <c r="TT135" s="1004"/>
      <c r="TU135" s="1004"/>
      <c r="TV135" s="1004"/>
      <c r="TW135" s="1004"/>
      <c r="TX135" s="1004"/>
      <c r="TY135" s="1004"/>
      <c r="TZ135" s="1004"/>
      <c r="UA135" s="1004"/>
      <c r="UB135" s="1004"/>
      <c r="UC135" s="1004"/>
      <c r="UD135" s="1004"/>
      <c r="UE135" s="1004"/>
      <c r="UF135" s="1004"/>
      <c r="UG135" s="1004"/>
      <c r="UH135" s="1004"/>
      <c r="UI135" s="1004"/>
      <c r="UJ135" s="1004"/>
      <c r="UK135" s="1004"/>
      <c r="UL135" s="1004"/>
      <c r="UM135" s="1004"/>
      <c r="UN135" s="1004"/>
      <c r="UO135" s="1004"/>
      <c r="UP135" s="1004"/>
      <c r="UQ135" s="1004"/>
      <c r="UR135" s="1004"/>
      <c r="US135" s="1004"/>
      <c r="UT135" s="1004"/>
      <c r="UU135" s="1004"/>
      <c r="UV135" s="1004"/>
      <c r="UW135" s="1004"/>
      <c r="UX135" s="1004"/>
      <c r="UY135" s="1004"/>
      <c r="UZ135" s="1004"/>
      <c r="VA135" s="1004"/>
      <c r="VB135" s="1004"/>
      <c r="VC135" s="1004"/>
      <c r="VD135" s="1004"/>
      <c r="VE135" s="1004"/>
      <c r="VF135" s="1004"/>
      <c r="VG135" s="1004"/>
      <c r="VH135" s="1004"/>
      <c r="VI135" s="1004"/>
      <c r="VJ135" s="1004"/>
      <c r="VK135" s="1004"/>
      <c r="VL135" s="1004"/>
      <c r="VM135" s="1004"/>
      <c r="VN135" s="1004"/>
      <c r="VO135" s="1004"/>
      <c r="VP135" s="1004"/>
      <c r="VQ135" s="1004"/>
      <c r="VR135" s="1004"/>
      <c r="VS135" s="1004"/>
      <c r="VT135" s="1004"/>
      <c r="VU135" s="1004"/>
      <c r="VV135" s="1004"/>
      <c r="VW135" s="1004"/>
      <c r="VX135" s="1004"/>
      <c r="VY135" s="1004"/>
      <c r="VZ135" s="1004"/>
      <c r="WA135" s="1004"/>
      <c r="WB135" s="1004"/>
      <c r="WC135" s="1004"/>
      <c r="WD135" s="1004"/>
      <c r="WE135" s="1004"/>
      <c r="WF135" s="1004"/>
      <c r="WG135" s="1004"/>
      <c r="WH135" s="1004"/>
      <c r="WI135" s="1004"/>
      <c r="WJ135" s="1004"/>
      <c r="WK135" s="1004"/>
      <c r="WL135" s="1004"/>
      <c r="WM135" s="1004"/>
      <c r="WN135" s="1004"/>
      <c r="WO135" s="1004"/>
      <c r="WP135" s="1004"/>
      <c r="WQ135" s="1004"/>
      <c r="WR135" s="1004"/>
      <c r="WS135" s="1004"/>
      <c r="WT135" s="1004"/>
      <c r="WU135" s="1004"/>
      <c r="WV135" s="1004"/>
      <c r="WW135" s="1004"/>
      <c r="WX135" s="1004"/>
      <c r="WY135" s="1004"/>
      <c r="WZ135" s="1004"/>
      <c r="XA135" s="1004"/>
      <c r="XB135" s="1004"/>
      <c r="XC135" s="1004"/>
      <c r="XD135" s="1004"/>
      <c r="XE135" s="1004"/>
      <c r="XF135" s="1004"/>
      <c r="XG135" s="1004"/>
      <c r="XH135" s="1004"/>
      <c r="XI135" s="1004"/>
      <c r="XJ135" s="1004"/>
      <c r="XK135" s="1004"/>
      <c r="XL135" s="1004"/>
      <c r="XM135" s="1004"/>
      <c r="XN135" s="1004"/>
      <c r="XO135" s="1004"/>
      <c r="XP135" s="1004"/>
      <c r="XQ135" s="1004"/>
      <c r="XR135" s="1004"/>
      <c r="XS135" s="1004"/>
      <c r="XT135" s="1004"/>
      <c r="XU135" s="1004"/>
      <c r="XV135" s="1004"/>
      <c r="XW135" s="1004"/>
      <c r="XX135" s="1004"/>
      <c r="XY135" s="1004"/>
      <c r="XZ135" s="1004"/>
      <c r="YA135" s="1004"/>
      <c r="YB135" s="1004"/>
      <c r="YC135" s="1004"/>
      <c r="YD135" s="1004"/>
      <c r="YE135" s="1004"/>
      <c r="YF135" s="1004"/>
      <c r="YG135" s="1004"/>
      <c r="YH135" s="1004"/>
      <c r="YI135" s="1004"/>
      <c r="YJ135" s="1004"/>
      <c r="YK135" s="1004"/>
      <c r="YL135" s="1004"/>
      <c r="YM135" s="1004"/>
      <c r="YN135" s="1004"/>
      <c r="YO135" s="1004"/>
      <c r="YP135" s="1004"/>
      <c r="YQ135" s="1004"/>
      <c r="YR135" s="1004"/>
      <c r="YS135" s="1004"/>
      <c r="YT135" s="1004"/>
      <c r="YU135" s="1004"/>
      <c r="YV135" s="1004"/>
      <c r="YW135" s="1004"/>
      <c r="YX135" s="1004"/>
      <c r="YY135" s="1004"/>
      <c r="YZ135" s="1004"/>
      <c r="ZA135" s="1004"/>
      <c r="ZB135" s="1004"/>
      <c r="ZC135" s="1004"/>
      <c r="ZD135" s="1004"/>
      <c r="ZE135" s="1004"/>
      <c r="ZF135" s="1004"/>
      <c r="ZG135" s="1004"/>
      <c r="ZH135" s="1004"/>
      <c r="ZI135" s="1004"/>
      <c r="ZJ135" s="1004"/>
      <c r="ZK135" s="1004"/>
      <c r="ZL135" s="1004"/>
      <c r="ZM135" s="1004"/>
      <c r="ZN135" s="1004"/>
      <c r="ZO135" s="1004"/>
      <c r="ZP135" s="1004"/>
      <c r="ZQ135" s="1004"/>
      <c r="ZR135" s="1004"/>
      <c r="ZS135" s="1004"/>
      <c r="ZT135" s="1004"/>
      <c r="ZU135" s="1004"/>
      <c r="ZV135" s="1004"/>
      <c r="ZW135" s="1004"/>
      <c r="ZX135" s="1004"/>
      <c r="ZY135" s="1004"/>
      <c r="ZZ135" s="1004"/>
      <c r="AAA135" s="1004"/>
      <c r="AAB135" s="1004"/>
      <c r="AAC135" s="1004"/>
      <c r="AAD135" s="1004"/>
      <c r="AAE135" s="1004"/>
      <c r="AAF135" s="1004"/>
      <c r="AAG135" s="1004"/>
      <c r="AAH135" s="1004"/>
      <c r="AAI135" s="1004"/>
      <c r="AAJ135" s="1004"/>
      <c r="AAK135" s="1004"/>
      <c r="AAL135" s="1004"/>
      <c r="AAM135" s="1004"/>
      <c r="AAN135" s="1004"/>
      <c r="AAO135" s="1004"/>
      <c r="AAP135" s="1004"/>
      <c r="AAQ135" s="1004"/>
      <c r="AAR135" s="1004"/>
      <c r="AAS135" s="1004"/>
      <c r="AAT135" s="1004"/>
      <c r="AAU135" s="1004"/>
      <c r="AAV135" s="1004"/>
      <c r="AAW135" s="1004"/>
      <c r="AAX135" s="1004"/>
      <c r="AAY135" s="1004"/>
      <c r="AAZ135" s="1004"/>
      <c r="ABA135" s="1004"/>
      <c r="ABB135" s="1004"/>
      <c r="ABC135" s="1004"/>
      <c r="ABD135" s="1004"/>
      <c r="ABE135" s="1004"/>
      <c r="ABF135" s="1004"/>
      <c r="ABG135" s="1004"/>
      <c r="ABH135" s="1004"/>
      <c r="ABI135" s="1004"/>
      <c r="ABJ135" s="1004"/>
      <c r="ABK135" s="1004"/>
      <c r="ABL135" s="1004"/>
      <c r="ABM135" s="1004"/>
      <c r="ABN135" s="1004"/>
      <c r="ABO135" s="1004"/>
      <c r="ABP135" s="1004"/>
      <c r="ABQ135" s="1004"/>
      <c r="ABR135" s="1004"/>
    </row>
    <row r="136" spans="1:746" s="112" customFormat="1" ht="12" customHeight="1">
      <c r="A136" s="925"/>
      <c r="B136" s="2262"/>
      <c r="C136" s="1308"/>
      <c r="D136" s="1308"/>
      <c r="E136" s="1308"/>
      <c r="F136" s="1308"/>
      <c r="G136" s="1309"/>
      <c r="H136" s="1844"/>
      <c r="I136" s="2570" t="str">
        <f>IF(fx!I$57=0,"&gt;&gt;",IF($L$4=I$6,"","Välj 1-12 i P4"))</f>
        <v/>
      </c>
      <c r="J136" s="1843" t="str">
        <f>IF(fx!J$57=0,"&gt;&gt;",IF($L$4=J$6,"Startmånad",""))</f>
        <v/>
      </c>
      <c r="K136" s="1843" t="str">
        <f>IF(fx!K$57=0,"&gt;&gt;",IF($L$4=K$6,"Startmånad",""))</f>
        <v/>
      </c>
      <c r="L136" s="1843" t="str">
        <f>IF(fx!L$57=0,"&gt;&gt;",IF($L$4=L$6,"Startmånad",""))</f>
        <v/>
      </c>
      <c r="M136" s="1843" t="str">
        <f>IF(fx!M$57=0,"&gt;&gt;",IF($L$4=M$6,"Startmånad",""))</f>
        <v/>
      </c>
      <c r="N136" s="1843" t="str">
        <f>IF(fx!N$57=0,"&gt;&gt;",IF($L$4=N$6,"Startmånad",""))</f>
        <v/>
      </c>
      <c r="O136" s="1843" t="str">
        <f>IF(AND(fx!$C$57=1,fx!O$57=0),"&gt;&gt;",IF(AND(fx!$C$57=1,$L$4=$O$6),"Startmånad",IF(AND(fx!$C$57=2,$L$4&lt;7),"Välj 7-12 i P4",IF(AND(fx!$C$57=2,$L$4=$O$6),"Startmånad",IF(AND(fx!$C$57=2,$L$4&gt;$O$6),"&gt;&gt;","")))))</f>
        <v/>
      </c>
      <c r="P136" s="1843" t="str">
        <f>IF(fx!P$57=0,"&gt;&gt;",IF($L$4=P$6,"Startmånad",""))</f>
        <v/>
      </c>
      <c r="Q136" s="1843" t="str">
        <f>IF(fx!Q$57=0,"&gt;&gt;",IF($L$4=Q$6,"Startmånad",""))</f>
        <v/>
      </c>
      <c r="R136" s="1843" t="str">
        <f>IF(fx!R$57=0,"&gt;&gt;",IF($L$4=R$6,"Startmånad",""))</f>
        <v/>
      </c>
      <c r="S136" s="1843" t="str">
        <f>IF(fx!S$57=0,"&gt;&gt;",IF($L$4=S$6,"Startmånad",""))</f>
        <v/>
      </c>
      <c r="T136" s="2717" t="str">
        <f>IF(fx!T$57=0,"&gt;&gt;",IF($L$4=T$6,"Startmånad",""))</f>
        <v/>
      </c>
      <c r="U136" s="2718"/>
      <c r="V136" s="2263"/>
      <c r="W136" s="2263"/>
      <c r="X136" s="2263"/>
      <c r="Y136" s="2263"/>
      <c r="Z136" s="2263"/>
      <c r="AA136" s="2263"/>
      <c r="AB136" s="2263"/>
      <c r="AC136" s="2263"/>
      <c r="AD136" s="2263"/>
      <c r="AE136" s="2263"/>
      <c r="AF136" s="2254"/>
      <c r="AG136" s="376"/>
      <c r="AH136" s="2199"/>
      <c r="AI136" s="2199"/>
      <c r="AJ136" s="434"/>
      <c r="AK136" s="1289"/>
      <c r="AL136" s="773"/>
      <c r="AM136" s="1009"/>
      <c r="AN136" s="1015"/>
      <c r="AO136" s="1945"/>
      <c r="AP136" s="1935"/>
      <c r="AQ136" s="1936"/>
      <c r="AR136" s="1941"/>
      <c r="AS136" s="1941"/>
      <c r="AT136" s="1941"/>
      <c r="AU136" s="1941"/>
      <c r="AV136" s="1941"/>
      <c r="AW136" s="1941"/>
      <c r="AX136" s="1941"/>
      <c r="AY136" s="1941"/>
      <c r="AZ136" s="1941"/>
      <c r="BA136" s="1941"/>
      <c r="BB136" s="1941"/>
      <c r="BC136" s="1941"/>
      <c r="BD136" s="1941"/>
      <c r="BE136" s="1941"/>
      <c r="BF136" s="1941"/>
      <c r="BG136" s="1941"/>
      <c r="BH136" s="1941"/>
      <c r="BI136" s="1941"/>
      <c r="BJ136" s="1941"/>
      <c r="BK136" s="1941"/>
      <c r="BL136" s="1941"/>
      <c r="BM136" s="1941"/>
      <c r="BN136" s="1941"/>
      <c r="BO136" s="1941"/>
      <c r="BP136" s="1004"/>
      <c r="BQ136" s="1004"/>
      <c r="BR136" s="1004"/>
      <c r="BS136" s="1004"/>
      <c r="BT136" s="1004"/>
      <c r="BU136" s="1004"/>
      <c r="BV136" s="1004"/>
      <c r="BW136" s="1004"/>
      <c r="BX136" s="1004"/>
      <c r="BY136" s="1004"/>
      <c r="BZ136" s="1004"/>
      <c r="CA136" s="1004"/>
      <c r="CB136" s="1004"/>
      <c r="CC136" s="1004"/>
      <c r="CD136" s="1004"/>
      <c r="CE136" s="1004"/>
      <c r="CF136" s="1004"/>
      <c r="CG136" s="1004"/>
      <c r="CH136" s="1004"/>
      <c r="CI136" s="1004"/>
      <c r="CJ136" s="1004"/>
      <c r="CK136" s="1004"/>
      <c r="CL136" s="1004"/>
      <c r="CM136" s="1004"/>
      <c r="CN136" s="1004"/>
      <c r="CO136" s="1004"/>
      <c r="CP136" s="1004"/>
      <c r="CQ136" s="1004"/>
      <c r="CR136" s="1004"/>
      <c r="CS136" s="1004"/>
      <c r="CT136" s="1004"/>
      <c r="CU136" s="1004"/>
      <c r="CV136" s="1004"/>
      <c r="CW136" s="1004"/>
      <c r="CX136" s="1004"/>
      <c r="CY136" s="1004"/>
      <c r="CZ136" s="1004"/>
      <c r="DA136" s="1004"/>
      <c r="DB136" s="1004"/>
      <c r="DC136" s="1004"/>
      <c r="DD136" s="1004"/>
      <c r="DE136" s="1004"/>
      <c r="DF136" s="1004"/>
      <c r="DG136" s="1004"/>
      <c r="DH136" s="1004"/>
      <c r="DI136" s="1004"/>
      <c r="DJ136" s="1004"/>
      <c r="DK136" s="1004"/>
      <c r="DL136" s="1004"/>
      <c r="DM136" s="1004"/>
      <c r="DN136" s="1004"/>
      <c r="DO136" s="1004"/>
      <c r="DP136" s="1004"/>
      <c r="DQ136" s="1004"/>
      <c r="DR136" s="1004"/>
      <c r="DS136" s="1004"/>
      <c r="DT136" s="1004"/>
      <c r="DU136" s="1004"/>
      <c r="DV136" s="1004"/>
      <c r="DW136" s="1004"/>
      <c r="DX136" s="1004"/>
      <c r="DY136" s="1004"/>
      <c r="DZ136" s="1004"/>
      <c r="EA136" s="1004"/>
      <c r="EB136" s="1004"/>
      <c r="EC136" s="1004"/>
      <c r="ED136" s="1004"/>
      <c r="EE136" s="1004"/>
      <c r="EF136" s="1004"/>
      <c r="EG136" s="1004"/>
      <c r="EH136" s="1004"/>
      <c r="EI136" s="1004"/>
      <c r="EJ136" s="1004"/>
      <c r="EK136" s="1004"/>
      <c r="EL136" s="1004"/>
      <c r="EM136" s="1004"/>
      <c r="EN136" s="1004"/>
      <c r="EO136" s="1004"/>
      <c r="EP136" s="1004"/>
      <c r="EQ136" s="1004"/>
      <c r="ER136" s="1004"/>
      <c r="ES136" s="1004"/>
      <c r="ET136" s="1004"/>
      <c r="EU136" s="1004"/>
      <c r="EV136" s="1004"/>
      <c r="EW136" s="1004"/>
      <c r="EX136" s="1004"/>
      <c r="EY136" s="1004"/>
      <c r="EZ136" s="1004"/>
      <c r="FA136" s="1004"/>
      <c r="FB136" s="1004"/>
      <c r="FC136" s="1004"/>
      <c r="FD136" s="1004"/>
      <c r="FE136" s="1004"/>
      <c r="FF136" s="1004"/>
      <c r="FG136" s="1004"/>
      <c r="FH136" s="1004"/>
      <c r="FI136" s="1004"/>
      <c r="FJ136" s="1004"/>
      <c r="FK136" s="1004"/>
      <c r="FL136" s="1004"/>
      <c r="FM136" s="1004"/>
      <c r="FN136" s="1004"/>
      <c r="FO136" s="1004"/>
      <c r="FP136" s="1004"/>
      <c r="FQ136" s="1004"/>
      <c r="FR136" s="1004"/>
      <c r="FS136" s="1004"/>
      <c r="FT136" s="1004"/>
      <c r="FU136" s="1004"/>
      <c r="FV136" s="1004"/>
      <c r="FW136" s="1004"/>
      <c r="FX136" s="1004"/>
      <c r="FY136" s="1004"/>
      <c r="FZ136" s="1004"/>
      <c r="GA136" s="1004"/>
      <c r="GB136" s="1004"/>
      <c r="GC136" s="1004"/>
      <c r="GD136" s="1004"/>
      <c r="GE136" s="1004"/>
      <c r="GF136" s="1004"/>
      <c r="GG136" s="1004"/>
      <c r="GH136" s="1004"/>
      <c r="GI136" s="1004"/>
      <c r="GJ136" s="1004"/>
      <c r="GK136" s="1004"/>
      <c r="GL136" s="1004"/>
      <c r="GM136" s="1004"/>
      <c r="GN136" s="1004"/>
      <c r="GO136" s="1004"/>
      <c r="GP136" s="1004"/>
      <c r="GQ136" s="1004"/>
      <c r="GR136" s="1004"/>
      <c r="GS136" s="1004"/>
      <c r="GT136" s="1004"/>
      <c r="GU136" s="1004"/>
      <c r="GV136" s="1004"/>
      <c r="GW136" s="1004"/>
      <c r="GX136" s="1004"/>
      <c r="GY136" s="1004"/>
      <c r="GZ136" s="1004"/>
      <c r="HA136" s="1004"/>
      <c r="HB136" s="1004"/>
      <c r="HC136" s="1004"/>
      <c r="HD136" s="1004"/>
      <c r="HE136" s="1004"/>
      <c r="HF136" s="1004"/>
      <c r="HG136" s="1004"/>
      <c r="HH136" s="1004"/>
      <c r="HI136" s="1004"/>
      <c r="HJ136" s="1004"/>
      <c r="HK136" s="1004"/>
      <c r="HL136" s="1004"/>
      <c r="HM136" s="1004"/>
      <c r="HN136" s="1004"/>
      <c r="HO136" s="1004"/>
      <c r="HP136" s="1004"/>
      <c r="HQ136" s="1004"/>
      <c r="HR136" s="1004"/>
      <c r="HS136" s="1004"/>
      <c r="HT136" s="1004"/>
      <c r="HU136" s="1004"/>
      <c r="HV136" s="1004"/>
      <c r="HW136" s="1004"/>
      <c r="HX136" s="1004"/>
      <c r="HY136" s="1004"/>
      <c r="HZ136" s="1004"/>
      <c r="IA136" s="1004"/>
      <c r="IB136" s="1004"/>
      <c r="IC136" s="1004"/>
      <c r="ID136" s="1004"/>
      <c r="IE136" s="1004"/>
      <c r="IF136" s="1004"/>
      <c r="IG136" s="1004"/>
      <c r="IH136" s="1004"/>
      <c r="II136" s="1004"/>
      <c r="IJ136" s="1004"/>
      <c r="IK136" s="1004"/>
      <c r="IL136" s="1004"/>
      <c r="IM136" s="1004"/>
      <c r="IN136" s="1004"/>
      <c r="IO136" s="1004"/>
      <c r="IP136" s="1004"/>
      <c r="IQ136" s="1004"/>
      <c r="IR136" s="1004"/>
      <c r="IS136" s="1004"/>
      <c r="IT136" s="1004"/>
      <c r="IU136" s="1004"/>
      <c r="IV136" s="1004"/>
      <c r="IW136" s="1004"/>
      <c r="IX136" s="1004"/>
      <c r="IY136" s="1004"/>
      <c r="IZ136" s="1004"/>
      <c r="JA136" s="1004"/>
      <c r="JB136" s="1004"/>
      <c r="JC136" s="1004"/>
      <c r="JD136" s="1004"/>
      <c r="JE136" s="1004"/>
      <c r="JF136" s="1004"/>
      <c r="JG136" s="1004"/>
      <c r="JH136" s="1004"/>
      <c r="JI136" s="1004"/>
      <c r="JJ136" s="1004"/>
      <c r="JK136" s="1004"/>
      <c r="JL136" s="1004"/>
      <c r="JM136" s="1004"/>
      <c r="JN136" s="1004"/>
      <c r="JO136" s="1004"/>
      <c r="JP136" s="1004"/>
      <c r="JQ136" s="1004"/>
      <c r="JR136" s="1004"/>
      <c r="JS136" s="1004"/>
      <c r="JT136" s="1004"/>
      <c r="JU136" s="1004"/>
      <c r="JV136" s="1004"/>
      <c r="JW136" s="1004"/>
      <c r="JX136" s="1004"/>
      <c r="JY136" s="1004"/>
      <c r="JZ136" s="1004"/>
      <c r="KA136" s="1004"/>
      <c r="KB136" s="1004"/>
      <c r="KC136" s="1004"/>
      <c r="KD136" s="1004"/>
      <c r="KE136" s="1004"/>
      <c r="KF136" s="1004"/>
      <c r="KG136" s="1004"/>
      <c r="KH136" s="1004"/>
      <c r="KI136" s="1004"/>
      <c r="KJ136" s="1004"/>
      <c r="KK136" s="1004"/>
      <c r="KL136" s="1004"/>
      <c r="KM136" s="1004"/>
      <c r="KN136" s="1004"/>
      <c r="KO136" s="1004"/>
      <c r="KP136" s="1004"/>
      <c r="KQ136" s="1004"/>
      <c r="KR136" s="1004"/>
      <c r="KS136" s="1004"/>
      <c r="KT136" s="1004"/>
      <c r="KU136" s="1004"/>
      <c r="KV136" s="1004"/>
      <c r="KW136" s="1004"/>
      <c r="KX136" s="1004"/>
      <c r="KY136" s="1004"/>
      <c r="KZ136" s="1004"/>
      <c r="LA136" s="1004"/>
      <c r="LB136" s="1004"/>
      <c r="LC136" s="1004"/>
      <c r="LD136" s="1004"/>
      <c r="LE136" s="1004"/>
      <c r="LF136" s="1004"/>
      <c r="LG136" s="1004"/>
      <c r="LH136" s="1004"/>
      <c r="LI136" s="1004"/>
      <c r="LJ136" s="1004"/>
      <c r="LK136" s="1004"/>
      <c r="LL136" s="1004"/>
      <c r="LM136" s="1004"/>
      <c r="LN136" s="1004"/>
      <c r="LO136" s="1004"/>
      <c r="LP136" s="1004"/>
      <c r="LQ136" s="1004"/>
      <c r="LR136" s="1004"/>
      <c r="LS136" s="1004"/>
      <c r="LT136" s="1004"/>
      <c r="LU136" s="1004"/>
      <c r="LV136" s="1004"/>
      <c r="LW136" s="1004"/>
      <c r="LX136" s="1004"/>
      <c r="LY136" s="1004"/>
      <c r="LZ136" s="1004"/>
      <c r="MA136" s="1004"/>
      <c r="MB136" s="1004"/>
      <c r="MC136" s="1004"/>
      <c r="MD136" s="1004"/>
      <c r="ME136" s="1004"/>
      <c r="MF136" s="1004"/>
      <c r="MG136" s="1004"/>
      <c r="MH136" s="1004"/>
      <c r="MI136" s="1004"/>
      <c r="MJ136" s="1004"/>
      <c r="MK136" s="1004"/>
      <c r="ML136" s="1004"/>
      <c r="MM136" s="1004"/>
      <c r="MN136" s="1004"/>
      <c r="MO136" s="1004"/>
      <c r="MP136" s="1004"/>
      <c r="MQ136" s="1004"/>
      <c r="MR136" s="1004"/>
      <c r="MS136" s="1004"/>
      <c r="MT136" s="1004"/>
      <c r="MU136" s="1004"/>
      <c r="MV136" s="1004"/>
      <c r="MW136" s="1004"/>
      <c r="MX136" s="1004"/>
      <c r="MY136" s="1004"/>
      <c r="MZ136" s="1004"/>
      <c r="NA136" s="1004"/>
      <c r="NB136" s="1004"/>
      <c r="NC136" s="1004"/>
      <c r="ND136" s="1004"/>
      <c r="NE136" s="1004"/>
      <c r="NF136" s="1004"/>
      <c r="NG136" s="1004"/>
      <c r="NH136" s="1004"/>
      <c r="NI136" s="1004"/>
      <c r="NJ136" s="1004"/>
      <c r="NK136" s="1004"/>
      <c r="NL136" s="1004"/>
      <c r="NM136" s="1004"/>
      <c r="NN136" s="1004"/>
      <c r="NO136" s="1004"/>
      <c r="NP136" s="1004"/>
      <c r="NQ136" s="1004"/>
      <c r="NR136" s="1004"/>
      <c r="NS136" s="1004"/>
      <c r="NT136" s="1004"/>
      <c r="NU136" s="1004"/>
      <c r="NV136" s="1004"/>
      <c r="NW136" s="1004"/>
      <c r="NX136" s="1004"/>
      <c r="NY136" s="1004"/>
      <c r="NZ136" s="1004"/>
      <c r="OA136" s="1004"/>
      <c r="OB136" s="1004"/>
      <c r="OC136" s="1004"/>
      <c r="OD136" s="1004"/>
      <c r="OE136" s="1004"/>
      <c r="OF136" s="1004"/>
      <c r="OG136" s="1004"/>
      <c r="OH136" s="1004"/>
      <c r="OI136" s="1004"/>
      <c r="OJ136" s="1004"/>
      <c r="OK136" s="1004"/>
      <c r="OL136" s="1004"/>
      <c r="OM136" s="1004"/>
      <c r="ON136" s="1004"/>
      <c r="OO136" s="1004"/>
      <c r="OP136" s="1004"/>
      <c r="OQ136" s="1004"/>
      <c r="OR136" s="1004"/>
      <c r="OS136" s="1004"/>
      <c r="OT136" s="1004"/>
      <c r="OU136" s="1004"/>
      <c r="OV136" s="1004"/>
      <c r="OW136" s="1004"/>
      <c r="OX136" s="1004"/>
      <c r="OY136" s="1004"/>
      <c r="OZ136" s="1004"/>
      <c r="PA136" s="1004"/>
      <c r="PB136" s="1004"/>
      <c r="PC136" s="1004"/>
      <c r="PD136" s="1004"/>
      <c r="PE136" s="1004"/>
      <c r="PF136" s="1004"/>
      <c r="PG136" s="1004"/>
      <c r="PH136" s="1004"/>
      <c r="PI136" s="1004"/>
      <c r="PJ136" s="1004"/>
      <c r="PK136" s="1004"/>
      <c r="PL136" s="1004"/>
      <c r="PM136" s="1004"/>
      <c r="PN136" s="1004"/>
      <c r="PO136" s="1004"/>
      <c r="PP136" s="1004"/>
      <c r="PQ136" s="1004"/>
      <c r="PR136" s="1004"/>
      <c r="PS136" s="1004"/>
      <c r="PT136" s="1004"/>
      <c r="PU136" s="1004"/>
      <c r="PV136" s="1004"/>
      <c r="PW136" s="1004"/>
      <c r="PX136" s="1004"/>
      <c r="PY136" s="1004"/>
      <c r="PZ136" s="1004"/>
      <c r="QA136" s="1004"/>
      <c r="QB136" s="1004"/>
      <c r="QC136" s="1004"/>
      <c r="QD136" s="1004"/>
      <c r="QE136" s="1004"/>
      <c r="QF136" s="1004"/>
      <c r="QG136" s="1004"/>
      <c r="QH136" s="1004"/>
      <c r="QI136" s="1004"/>
      <c r="QJ136" s="1004"/>
      <c r="QK136" s="1004"/>
      <c r="QL136" s="1004"/>
      <c r="QM136" s="1004"/>
      <c r="QN136" s="1004"/>
      <c r="QO136" s="1004"/>
      <c r="QP136" s="1004"/>
      <c r="QQ136" s="1004"/>
      <c r="QR136" s="1004"/>
      <c r="QS136" s="1004"/>
      <c r="QT136" s="1004"/>
      <c r="QU136" s="1004"/>
      <c r="QV136" s="1004"/>
      <c r="QW136" s="1004"/>
      <c r="QX136" s="1004"/>
      <c r="QY136" s="1004"/>
      <c r="QZ136" s="1004"/>
      <c r="RA136" s="1004"/>
      <c r="RB136" s="1004"/>
      <c r="RC136" s="1004"/>
      <c r="RD136" s="1004"/>
      <c r="RE136" s="1004"/>
      <c r="RF136" s="1004"/>
      <c r="RG136" s="1004"/>
      <c r="RH136" s="1004"/>
      <c r="RI136" s="1004"/>
      <c r="RJ136" s="1004"/>
      <c r="RK136" s="1004"/>
      <c r="RL136" s="1004"/>
      <c r="RM136" s="1004"/>
      <c r="RN136" s="1004"/>
      <c r="RO136" s="1004"/>
      <c r="RP136" s="1004"/>
      <c r="RQ136" s="1004"/>
      <c r="RR136" s="1004"/>
      <c r="RS136" s="1004"/>
      <c r="RT136" s="1004"/>
      <c r="RU136" s="1004"/>
      <c r="RV136" s="1004"/>
      <c r="RW136" s="1004"/>
      <c r="RX136" s="1004"/>
      <c r="RY136" s="1004"/>
      <c r="RZ136" s="1004"/>
      <c r="SA136" s="1004"/>
      <c r="SB136" s="1004"/>
      <c r="SC136" s="1004"/>
      <c r="SD136" s="1004"/>
      <c r="SE136" s="1004"/>
      <c r="SF136" s="1004"/>
      <c r="SG136" s="1004"/>
      <c r="SH136" s="1004"/>
      <c r="SI136" s="1004"/>
      <c r="SJ136" s="1004"/>
      <c r="SK136" s="1004"/>
      <c r="SL136" s="1004"/>
      <c r="SM136" s="1004"/>
      <c r="SN136" s="1004"/>
      <c r="SO136" s="1004"/>
      <c r="SP136" s="1004"/>
      <c r="SQ136" s="1004"/>
      <c r="SR136" s="1004"/>
      <c r="SS136" s="1004"/>
      <c r="ST136" s="1004"/>
      <c r="SU136" s="1004"/>
      <c r="SV136" s="1004"/>
      <c r="SW136" s="1004"/>
      <c r="SX136" s="1004"/>
      <c r="SY136" s="1004"/>
      <c r="SZ136" s="1004"/>
      <c r="TA136" s="1004"/>
      <c r="TB136" s="1004"/>
      <c r="TC136" s="1004"/>
      <c r="TD136" s="1004"/>
      <c r="TE136" s="1004"/>
      <c r="TF136" s="1004"/>
      <c r="TG136" s="1004"/>
      <c r="TH136" s="1004"/>
      <c r="TI136" s="1004"/>
      <c r="TJ136" s="1004"/>
      <c r="TK136" s="1004"/>
      <c r="TL136" s="1004"/>
      <c r="TM136" s="1004"/>
      <c r="TN136" s="1004"/>
      <c r="TO136" s="1004"/>
      <c r="TP136" s="1004"/>
      <c r="TQ136" s="1004"/>
      <c r="TR136" s="1004"/>
      <c r="TS136" s="1004"/>
      <c r="TT136" s="1004"/>
      <c r="TU136" s="1004"/>
      <c r="TV136" s="1004"/>
      <c r="TW136" s="1004"/>
      <c r="TX136" s="1004"/>
      <c r="TY136" s="1004"/>
      <c r="TZ136" s="1004"/>
      <c r="UA136" s="1004"/>
      <c r="UB136" s="1004"/>
      <c r="UC136" s="1004"/>
      <c r="UD136" s="1004"/>
      <c r="UE136" s="1004"/>
      <c r="UF136" s="1004"/>
      <c r="UG136" s="1004"/>
      <c r="UH136" s="1004"/>
      <c r="UI136" s="1004"/>
      <c r="UJ136" s="1004"/>
      <c r="UK136" s="1004"/>
      <c r="UL136" s="1004"/>
      <c r="UM136" s="1004"/>
      <c r="UN136" s="1004"/>
      <c r="UO136" s="1004"/>
      <c r="UP136" s="1004"/>
      <c r="UQ136" s="1004"/>
      <c r="UR136" s="1004"/>
      <c r="US136" s="1004"/>
      <c r="UT136" s="1004"/>
      <c r="UU136" s="1004"/>
      <c r="UV136" s="1004"/>
      <c r="UW136" s="1004"/>
      <c r="UX136" s="1004"/>
      <c r="UY136" s="1004"/>
      <c r="UZ136" s="1004"/>
      <c r="VA136" s="1004"/>
      <c r="VB136" s="1004"/>
      <c r="VC136" s="1004"/>
      <c r="VD136" s="1004"/>
      <c r="VE136" s="1004"/>
      <c r="VF136" s="1004"/>
      <c r="VG136" s="1004"/>
      <c r="VH136" s="1004"/>
      <c r="VI136" s="1004"/>
      <c r="VJ136" s="1004"/>
      <c r="VK136" s="1004"/>
      <c r="VL136" s="1004"/>
      <c r="VM136" s="1004"/>
      <c r="VN136" s="1004"/>
      <c r="VO136" s="1004"/>
      <c r="VP136" s="1004"/>
      <c r="VQ136" s="1004"/>
      <c r="VR136" s="1004"/>
      <c r="VS136" s="1004"/>
      <c r="VT136" s="1004"/>
      <c r="VU136" s="1004"/>
      <c r="VV136" s="1004"/>
      <c r="VW136" s="1004"/>
      <c r="VX136" s="1004"/>
      <c r="VY136" s="1004"/>
      <c r="VZ136" s="1004"/>
      <c r="WA136" s="1004"/>
      <c r="WB136" s="1004"/>
      <c r="WC136" s="1004"/>
      <c r="WD136" s="1004"/>
      <c r="WE136" s="1004"/>
      <c r="WF136" s="1004"/>
      <c r="WG136" s="1004"/>
      <c r="WH136" s="1004"/>
      <c r="WI136" s="1004"/>
      <c r="WJ136" s="1004"/>
      <c r="WK136" s="1004"/>
      <c r="WL136" s="1004"/>
      <c r="WM136" s="1004"/>
      <c r="WN136" s="1004"/>
      <c r="WO136" s="1004"/>
      <c r="WP136" s="1004"/>
      <c r="WQ136" s="1004"/>
      <c r="WR136" s="1004"/>
      <c r="WS136" s="1004"/>
      <c r="WT136" s="1004"/>
      <c r="WU136" s="1004"/>
      <c r="WV136" s="1004"/>
      <c r="WW136" s="1004"/>
      <c r="WX136" s="1004"/>
      <c r="WY136" s="1004"/>
      <c r="WZ136" s="1004"/>
      <c r="XA136" s="1004"/>
      <c r="XB136" s="1004"/>
      <c r="XC136" s="1004"/>
      <c r="XD136" s="1004"/>
      <c r="XE136" s="1004"/>
      <c r="XF136" s="1004"/>
      <c r="XG136" s="1004"/>
      <c r="XH136" s="1004"/>
      <c r="XI136" s="1004"/>
      <c r="XJ136" s="1004"/>
      <c r="XK136" s="1004"/>
      <c r="XL136" s="1004"/>
      <c r="XM136" s="1004"/>
      <c r="XN136" s="1004"/>
      <c r="XO136" s="1004"/>
      <c r="XP136" s="1004"/>
      <c r="XQ136" s="1004"/>
      <c r="XR136" s="1004"/>
      <c r="XS136" s="1004"/>
      <c r="XT136" s="1004"/>
      <c r="XU136" s="1004"/>
      <c r="XV136" s="1004"/>
      <c r="XW136" s="1004"/>
      <c r="XX136" s="1004"/>
      <c r="XY136" s="1004"/>
      <c r="XZ136" s="1004"/>
      <c r="YA136" s="1004"/>
      <c r="YB136" s="1004"/>
      <c r="YC136" s="1004"/>
      <c r="YD136" s="1004"/>
      <c r="YE136" s="1004"/>
      <c r="YF136" s="1004"/>
      <c r="YG136" s="1004"/>
      <c r="YH136" s="1004"/>
      <c r="YI136" s="1004"/>
      <c r="YJ136" s="1004"/>
      <c r="YK136" s="1004"/>
      <c r="YL136" s="1004"/>
      <c r="YM136" s="1004"/>
      <c r="YN136" s="1004"/>
      <c r="YO136" s="1004"/>
      <c r="YP136" s="1004"/>
      <c r="YQ136" s="1004"/>
      <c r="YR136" s="1004"/>
      <c r="YS136" s="1004"/>
      <c r="YT136" s="1004"/>
      <c r="YU136" s="1004"/>
      <c r="YV136" s="1004"/>
      <c r="YW136" s="1004"/>
      <c r="YX136" s="1004"/>
      <c r="YY136" s="1004"/>
      <c r="YZ136" s="1004"/>
      <c r="ZA136" s="1004"/>
      <c r="ZB136" s="1004"/>
      <c r="ZC136" s="1004"/>
      <c r="ZD136" s="1004"/>
      <c r="ZE136" s="1004"/>
      <c r="ZF136" s="1004"/>
      <c r="ZG136" s="1004"/>
      <c r="ZH136" s="1004"/>
      <c r="ZI136" s="1004"/>
      <c r="ZJ136" s="1004"/>
      <c r="ZK136" s="1004"/>
      <c r="ZL136" s="1004"/>
      <c r="ZM136" s="1004"/>
      <c r="ZN136" s="1004"/>
      <c r="ZO136" s="1004"/>
      <c r="ZP136" s="1004"/>
      <c r="ZQ136" s="1004"/>
      <c r="ZR136" s="1004"/>
      <c r="ZS136" s="1004"/>
      <c r="ZT136" s="1004"/>
      <c r="ZU136" s="1004"/>
      <c r="ZV136" s="1004"/>
      <c r="ZW136" s="1004"/>
      <c r="ZX136" s="1004"/>
      <c r="ZY136" s="1004"/>
      <c r="ZZ136" s="1004"/>
      <c r="AAA136" s="1004"/>
      <c r="AAB136" s="1004"/>
      <c r="AAC136" s="1004"/>
      <c r="AAD136" s="1004"/>
      <c r="AAE136" s="1004"/>
      <c r="AAF136" s="1004"/>
      <c r="AAG136" s="1004"/>
      <c r="AAH136" s="1004"/>
      <c r="AAI136" s="1004"/>
      <c r="AAJ136" s="1004"/>
      <c r="AAK136" s="1004"/>
      <c r="AAL136" s="1004"/>
      <c r="AAM136" s="1004"/>
      <c r="AAN136" s="1004"/>
      <c r="AAO136" s="1004"/>
      <c r="AAP136" s="1004"/>
      <c r="AAQ136" s="1004"/>
      <c r="AAR136" s="1004"/>
      <c r="AAS136" s="1004"/>
      <c r="AAT136" s="1004"/>
      <c r="AAU136" s="1004"/>
      <c r="AAV136" s="1004"/>
      <c r="AAW136" s="1004"/>
      <c r="AAX136" s="1004"/>
      <c r="AAY136" s="1004"/>
      <c r="AAZ136" s="1004"/>
      <c r="ABA136" s="1004"/>
      <c r="ABB136" s="1004"/>
      <c r="ABC136" s="1004"/>
      <c r="ABD136" s="1004"/>
      <c r="ABE136" s="1004"/>
      <c r="ABF136" s="1004"/>
      <c r="ABG136" s="1004"/>
      <c r="ABH136" s="1004"/>
      <c r="ABI136" s="1004"/>
      <c r="ABJ136" s="1004"/>
      <c r="ABK136" s="1004"/>
      <c r="ABL136" s="1004"/>
      <c r="ABM136" s="1004"/>
      <c r="ABN136" s="1004"/>
      <c r="ABO136" s="1004"/>
      <c r="ABP136" s="1004"/>
      <c r="ABQ136" s="1004"/>
      <c r="ABR136" s="1004"/>
    </row>
    <row r="137" spans="1:746" s="112" customFormat="1" ht="12.75" customHeight="1">
      <c r="A137" s="925"/>
      <c r="B137" s="2362" t="s">
        <v>198</v>
      </c>
      <c r="C137" s="2268"/>
      <c r="D137" s="2269"/>
      <c r="E137" s="2164"/>
      <c r="F137" s="2270"/>
      <c r="G137" s="2164"/>
      <c r="H137" s="2164"/>
      <c r="I137" s="2582" t="s">
        <v>1373</v>
      </c>
      <c r="J137" s="364"/>
      <c r="K137" s="343"/>
      <c r="L137" s="343"/>
      <c r="M137" s="343"/>
      <c r="N137" s="343"/>
      <c r="O137" s="343"/>
      <c r="P137" s="343"/>
      <c r="Q137" s="343"/>
      <c r="R137" s="343"/>
      <c r="S137" s="343"/>
      <c r="T137" s="984"/>
      <c r="U137" s="366"/>
      <c r="V137" s="364"/>
      <c r="W137" s="343"/>
      <c r="X137" s="343"/>
      <c r="Y137" s="343"/>
      <c r="Z137" s="343"/>
      <c r="AA137" s="343"/>
      <c r="AB137" s="343"/>
      <c r="AC137" s="343"/>
      <c r="AD137" s="343"/>
      <c r="AE137" s="343"/>
      <c r="AF137" s="365"/>
      <c r="AG137" s="337"/>
      <c r="AH137" s="2230" t="s">
        <v>1148</v>
      </c>
      <c r="AI137" s="2230"/>
      <c r="AJ137" s="2198"/>
      <c r="AK137" s="1046"/>
      <c r="AL137" s="1044"/>
      <c r="AM137" s="1005"/>
      <c r="AN137" s="1017"/>
      <c r="AO137" s="1945"/>
      <c r="AP137" s="1935"/>
      <c r="AQ137" s="1936"/>
      <c r="AR137" s="1941"/>
      <c r="AS137" s="1941"/>
      <c r="AT137" s="1941"/>
      <c r="AU137" s="1941"/>
      <c r="AV137" s="1941"/>
      <c r="AW137" s="1941"/>
      <c r="AX137" s="1941"/>
      <c r="AY137" s="1941"/>
      <c r="AZ137" s="1941"/>
      <c r="BA137" s="1941"/>
      <c r="BB137" s="1941"/>
      <c r="BC137" s="1941"/>
      <c r="BD137" s="1941"/>
      <c r="BE137" s="1941"/>
      <c r="BF137" s="1941"/>
      <c r="BG137" s="1941"/>
      <c r="BH137" s="1941"/>
      <c r="BI137" s="1941"/>
      <c r="BJ137" s="1941"/>
      <c r="BK137" s="1941"/>
      <c r="BL137" s="1941"/>
      <c r="BM137" s="1941"/>
      <c r="BN137" s="1941"/>
      <c r="BO137" s="1941"/>
      <c r="BP137" s="1004"/>
      <c r="BQ137" s="1004"/>
      <c r="BR137" s="1004"/>
      <c r="BS137" s="1004"/>
      <c r="BT137" s="1004"/>
      <c r="BU137" s="1004"/>
      <c r="BV137" s="1004"/>
      <c r="BW137" s="1004"/>
      <c r="BX137" s="1004"/>
      <c r="BY137" s="1004"/>
      <c r="BZ137" s="1004"/>
      <c r="CA137" s="1004"/>
      <c r="CB137" s="1004"/>
      <c r="CC137" s="1004"/>
      <c r="CD137" s="1004"/>
      <c r="CE137" s="1004"/>
      <c r="CF137" s="1004"/>
      <c r="CG137" s="1004"/>
      <c r="CH137" s="1004"/>
      <c r="CI137" s="1004"/>
      <c r="CJ137" s="1004"/>
      <c r="CK137" s="1004"/>
      <c r="CL137" s="1004"/>
      <c r="CM137" s="1004"/>
      <c r="CN137" s="1004"/>
      <c r="CO137" s="1004"/>
      <c r="CP137" s="1004"/>
      <c r="CQ137" s="1004"/>
      <c r="CR137" s="1004"/>
      <c r="CS137" s="1004"/>
      <c r="CT137" s="1004"/>
      <c r="CU137" s="1004"/>
      <c r="CV137" s="1004"/>
      <c r="CW137" s="1004"/>
      <c r="CX137" s="1004"/>
      <c r="CY137" s="1004"/>
      <c r="CZ137" s="1004"/>
      <c r="DA137" s="1004"/>
      <c r="DB137" s="1004"/>
      <c r="DC137" s="1004"/>
      <c r="DD137" s="1004"/>
      <c r="DE137" s="1004"/>
      <c r="DF137" s="1004"/>
      <c r="DG137" s="1004"/>
      <c r="DH137" s="1004"/>
      <c r="DI137" s="1004"/>
      <c r="DJ137" s="1004"/>
      <c r="DK137" s="1004"/>
      <c r="DL137" s="1004"/>
      <c r="DM137" s="1004"/>
      <c r="DN137" s="1004"/>
      <c r="DO137" s="1004"/>
      <c r="DP137" s="1004"/>
      <c r="DQ137" s="1004"/>
      <c r="DR137" s="1004"/>
      <c r="DS137" s="1004"/>
      <c r="DT137" s="1004"/>
      <c r="DU137" s="1004"/>
      <c r="DV137" s="1004"/>
      <c r="DW137" s="1004"/>
      <c r="DX137" s="1004"/>
      <c r="DY137" s="1004"/>
      <c r="DZ137" s="1004"/>
      <c r="EA137" s="1004"/>
      <c r="EB137" s="1004"/>
      <c r="EC137" s="1004"/>
      <c r="ED137" s="1004"/>
      <c r="EE137" s="1004"/>
      <c r="EF137" s="1004"/>
      <c r="EG137" s="1004"/>
      <c r="EH137" s="1004"/>
      <c r="EI137" s="1004"/>
      <c r="EJ137" s="1004"/>
      <c r="EK137" s="1004"/>
      <c r="EL137" s="1004"/>
      <c r="EM137" s="1004"/>
      <c r="EN137" s="1004"/>
      <c r="EO137" s="1004"/>
      <c r="EP137" s="1004"/>
      <c r="EQ137" s="1004"/>
      <c r="ER137" s="1004"/>
      <c r="ES137" s="1004"/>
      <c r="ET137" s="1004"/>
      <c r="EU137" s="1004"/>
      <c r="EV137" s="1004"/>
      <c r="EW137" s="1004"/>
      <c r="EX137" s="1004"/>
      <c r="EY137" s="1004"/>
      <c r="EZ137" s="1004"/>
      <c r="FA137" s="1004"/>
      <c r="FB137" s="1004"/>
      <c r="FC137" s="1004"/>
      <c r="FD137" s="1004"/>
      <c r="FE137" s="1004"/>
      <c r="FF137" s="1004"/>
      <c r="FG137" s="1004"/>
      <c r="FH137" s="1004"/>
      <c r="FI137" s="1004"/>
      <c r="FJ137" s="1004"/>
      <c r="FK137" s="1004"/>
      <c r="FL137" s="1004"/>
      <c r="FM137" s="1004"/>
      <c r="FN137" s="1004"/>
      <c r="FO137" s="1004"/>
      <c r="FP137" s="1004"/>
      <c r="FQ137" s="1004"/>
      <c r="FR137" s="1004"/>
      <c r="FS137" s="1004"/>
      <c r="FT137" s="1004"/>
      <c r="FU137" s="1004"/>
      <c r="FV137" s="1004"/>
      <c r="FW137" s="1004"/>
      <c r="FX137" s="1004"/>
      <c r="FY137" s="1004"/>
      <c r="FZ137" s="1004"/>
      <c r="GA137" s="1004"/>
      <c r="GB137" s="1004"/>
      <c r="GC137" s="1004"/>
      <c r="GD137" s="1004"/>
      <c r="GE137" s="1004"/>
      <c r="GF137" s="1004"/>
      <c r="GG137" s="1004"/>
      <c r="GH137" s="1004"/>
      <c r="GI137" s="1004"/>
      <c r="GJ137" s="1004"/>
      <c r="GK137" s="1004"/>
      <c r="GL137" s="1004"/>
      <c r="GM137" s="1004"/>
      <c r="GN137" s="1004"/>
      <c r="GO137" s="1004"/>
      <c r="GP137" s="1004"/>
      <c r="GQ137" s="1004"/>
      <c r="GR137" s="1004"/>
      <c r="GS137" s="1004"/>
      <c r="GT137" s="1004"/>
      <c r="GU137" s="1004"/>
      <c r="GV137" s="1004"/>
      <c r="GW137" s="1004"/>
      <c r="GX137" s="1004"/>
      <c r="GY137" s="1004"/>
      <c r="GZ137" s="1004"/>
      <c r="HA137" s="1004"/>
      <c r="HB137" s="1004"/>
      <c r="HC137" s="1004"/>
      <c r="HD137" s="1004"/>
      <c r="HE137" s="1004"/>
      <c r="HF137" s="1004"/>
      <c r="HG137" s="1004"/>
      <c r="HH137" s="1004"/>
      <c r="HI137" s="1004"/>
      <c r="HJ137" s="1004"/>
      <c r="HK137" s="1004"/>
      <c r="HL137" s="1004"/>
      <c r="HM137" s="1004"/>
      <c r="HN137" s="1004"/>
      <c r="HO137" s="1004"/>
      <c r="HP137" s="1004"/>
      <c r="HQ137" s="1004"/>
      <c r="HR137" s="1004"/>
      <c r="HS137" s="1004"/>
      <c r="HT137" s="1004"/>
      <c r="HU137" s="1004"/>
      <c r="HV137" s="1004"/>
      <c r="HW137" s="1004"/>
      <c r="HX137" s="1004"/>
      <c r="HY137" s="1004"/>
      <c r="HZ137" s="1004"/>
      <c r="IA137" s="1004"/>
      <c r="IB137" s="1004"/>
      <c r="IC137" s="1004"/>
      <c r="ID137" s="1004"/>
      <c r="IE137" s="1004"/>
      <c r="IF137" s="1004"/>
      <c r="IG137" s="1004"/>
      <c r="IH137" s="1004"/>
      <c r="II137" s="1004"/>
      <c r="IJ137" s="1004"/>
      <c r="IK137" s="1004"/>
      <c r="IL137" s="1004"/>
      <c r="IM137" s="1004"/>
      <c r="IN137" s="1004"/>
      <c r="IO137" s="1004"/>
      <c r="IP137" s="1004"/>
      <c r="IQ137" s="1004"/>
      <c r="IR137" s="1004"/>
      <c r="IS137" s="1004"/>
      <c r="IT137" s="1004"/>
      <c r="IU137" s="1004"/>
      <c r="IV137" s="1004"/>
      <c r="IW137" s="1004"/>
      <c r="IX137" s="1004"/>
      <c r="IY137" s="1004"/>
      <c r="IZ137" s="1004"/>
      <c r="JA137" s="1004"/>
      <c r="JB137" s="1004"/>
      <c r="JC137" s="1004"/>
      <c r="JD137" s="1004"/>
      <c r="JE137" s="1004"/>
      <c r="JF137" s="1004"/>
      <c r="JG137" s="1004"/>
      <c r="JH137" s="1004"/>
      <c r="JI137" s="1004"/>
      <c r="JJ137" s="1004"/>
      <c r="JK137" s="1004"/>
      <c r="JL137" s="1004"/>
      <c r="JM137" s="1004"/>
      <c r="JN137" s="1004"/>
      <c r="JO137" s="1004"/>
      <c r="JP137" s="1004"/>
      <c r="JQ137" s="1004"/>
      <c r="JR137" s="1004"/>
      <c r="JS137" s="1004"/>
      <c r="JT137" s="1004"/>
      <c r="JU137" s="1004"/>
      <c r="JV137" s="1004"/>
      <c r="JW137" s="1004"/>
      <c r="JX137" s="1004"/>
      <c r="JY137" s="1004"/>
      <c r="JZ137" s="1004"/>
      <c r="KA137" s="1004"/>
      <c r="KB137" s="1004"/>
      <c r="KC137" s="1004"/>
      <c r="KD137" s="1004"/>
      <c r="KE137" s="1004"/>
      <c r="KF137" s="1004"/>
      <c r="KG137" s="1004"/>
      <c r="KH137" s="1004"/>
      <c r="KI137" s="1004"/>
      <c r="KJ137" s="1004"/>
      <c r="KK137" s="1004"/>
      <c r="KL137" s="1004"/>
      <c r="KM137" s="1004"/>
      <c r="KN137" s="1004"/>
      <c r="KO137" s="1004"/>
      <c r="KP137" s="1004"/>
      <c r="KQ137" s="1004"/>
      <c r="KR137" s="1004"/>
      <c r="KS137" s="1004"/>
      <c r="KT137" s="1004"/>
      <c r="KU137" s="1004"/>
      <c r="KV137" s="1004"/>
      <c r="KW137" s="1004"/>
      <c r="KX137" s="1004"/>
      <c r="KY137" s="1004"/>
      <c r="KZ137" s="1004"/>
      <c r="LA137" s="1004"/>
      <c r="LB137" s="1004"/>
      <c r="LC137" s="1004"/>
      <c r="LD137" s="1004"/>
      <c r="LE137" s="1004"/>
      <c r="LF137" s="1004"/>
      <c r="LG137" s="1004"/>
      <c r="LH137" s="1004"/>
      <c r="LI137" s="1004"/>
      <c r="LJ137" s="1004"/>
      <c r="LK137" s="1004"/>
      <c r="LL137" s="1004"/>
      <c r="LM137" s="1004"/>
      <c r="LN137" s="1004"/>
      <c r="LO137" s="1004"/>
      <c r="LP137" s="1004"/>
      <c r="LQ137" s="1004"/>
      <c r="LR137" s="1004"/>
      <c r="LS137" s="1004"/>
      <c r="LT137" s="1004"/>
      <c r="LU137" s="1004"/>
      <c r="LV137" s="1004"/>
      <c r="LW137" s="1004"/>
      <c r="LX137" s="1004"/>
      <c r="LY137" s="1004"/>
      <c r="LZ137" s="1004"/>
      <c r="MA137" s="1004"/>
      <c r="MB137" s="1004"/>
      <c r="MC137" s="1004"/>
      <c r="MD137" s="1004"/>
      <c r="ME137" s="1004"/>
      <c r="MF137" s="1004"/>
      <c r="MG137" s="1004"/>
      <c r="MH137" s="1004"/>
      <c r="MI137" s="1004"/>
      <c r="MJ137" s="1004"/>
      <c r="MK137" s="1004"/>
      <c r="ML137" s="1004"/>
      <c r="MM137" s="1004"/>
      <c r="MN137" s="1004"/>
      <c r="MO137" s="1004"/>
      <c r="MP137" s="1004"/>
      <c r="MQ137" s="1004"/>
      <c r="MR137" s="1004"/>
      <c r="MS137" s="1004"/>
      <c r="MT137" s="1004"/>
      <c r="MU137" s="1004"/>
      <c r="MV137" s="1004"/>
      <c r="MW137" s="1004"/>
      <c r="MX137" s="1004"/>
      <c r="MY137" s="1004"/>
      <c r="MZ137" s="1004"/>
      <c r="NA137" s="1004"/>
      <c r="NB137" s="1004"/>
      <c r="NC137" s="1004"/>
      <c r="ND137" s="1004"/>
      <c r="NE137" s="1004"/>
      <c r="NF137" s="1004"/>
      <c r="NG137" s="1004"/>
      <c r="NH137" s="1004"/>
      <c r="NI137" s="1004"/>
      <c r="NJ137" s="1004"/>
      <c r="NK137" s="1004"/>
      <c r="NL137" s="1004"/>
      <c r="NM137" s="1004"/>
      <c r="NN137" s="1004"/>
      <c r="NO137" s="1004"/>
      <c r="NP137" s="1004"/>
      <c r="NQ137" s="1004"/>
      <c r="NR137" s="1004"/>
      <c r="NS137" s="1004"/>
      <c r="NT137" s="1004"/>
      <c r="NU137" s="1004"/>
      <c r="NV137" s="1004"/>
      <c r="NW137" s="1004"/>
      <c r="NX137" s="1004"/>
      <c r="NY137" s="1004"/>
      <c r="NZ137" s="1004"/>
      <c r="OA137" s="1004"/>
      <c r="OB137" s="1004"/>
      <c r="OC137" s="1004"/>
      <c r="OD137" s="1004"/>
      <c r="OE137" s="1004"/>
      <c r="OF137" s="1004"/>
      <c r="OG137" s="1004"/>
      <c r="OH137" s="1004"/>
      <c r="OI137" s="1004"/>
      <c r="OJ137" s="1004"/>
      <c r="OK137" s="1004"/>
      <c r="OL137" s="1004"/>
      <c r="OM137" s="1004"/>
      <c r="ON137" s="1004"/>
      <c r="OO137" s="1004"/>
      <c r="OP137" s="1004"/>
      <c r="OQ137" s="1004"/>
      <c r="OR137" s="1004"/>
      <c r="OS137" s="1004"/>
      <c r="OT137" s="1004"/>
      <c r="OU137" s="1004"/>
      <c r="OV137" s="1004"/>
      <c r="OW137" s="1004"/>
      <c r="OX137" s="1004"/>
      <c r="OY137" s="1004"/>
      <c r="OZ137" s="1004"/>
      <c r="PA137" s="1004"/>
      <c r="PB137" s="1004"/>
      <c r="PC137" s="1004"/>
      <c r="PD137" s="1004"/>
      <c r="PE137" s="1004"/>
      <c r="PF137" s="1004"/>
      <c r="PG137" s="1004"/>
      <c r="PH137" s="1004"/>
      <c r="PI137" s="1004"/>
      <c r="PJ137" s="1004"/>
      <c r="PK137" s="1004"/>
      <c r="PL137" s="1004"/>
      <c r="PM137" s="1004"/>
      <c r="PN137" s="1004"/>
      <c r="PO137" s="1004"/>
      <c r="PP137" s="1004"/>
      <c r="PQ137" s="1004"/>
      <c r="PR137" s="1004"/>
      <c r="PS137" s="1004"/>
      <c r="PT137" s="1004"/>
      <c r="PU137" s="1004"/>
      <c r="PV137" s="1004"/>
      <c r="PW137" s="1004"/>
      <c r="PX137" s="1004"/>
      <c r="PY137" s="1004"/>
      <c r="PZ137" s="1004"/>
      <c r="QA137" s="1004"/>
      <c r="QB137" s="1004"/>
      <c r="QC137" s="1004"/>
      <c r="QD137" s="1004"/>
      <c r="QE137" s="1004"/>
      <c r="QF137" s="1004"/>
      <c r="QG137" s="1004"/>
      <c r="QH137" s="1004"/>
      <c r="QI137" s="1004"/>
      <c r="QJ137" s="1004"/>
      <c r="QK137" s="1004"/>
      <c r="QL137" s="1004"/>
      <c r="QM137" s="1004"/>
      <c r="QN137" s="1004"/>
      <c r="QO137" s="1004"/>
      <c r="QP137" s="1004"/>
      <c r="QQ137" s="1004"/>
      <c r="QR137" s="1004"/>
      <c r="QS137" s="1004"/>
      <c r="QT137" s="1004"/>
      <c r="QU137" s="1004"/>
      <c r="QV137" s="1004"/>
      <c r="QW137" s="1004"/>
      <c r="QX137" s="1004"/>
      <c r="QY137" s="1004"/>
      <c r="QZ137" s="1004"/>
      <c r="RA137" s="1004"/>
      <c r="RB137" s="1004"/>
      <c r="RC137" s="1004"/>
      <c r="RD137" s="1004"/>
      <c r="RE137" s="1004"/>
      <c r="RF137" s="1004"/>
      <c r="RG137" s="1004"/>
      <c r="RH137" s="1004"/>
      <c r="RI137" s="1004"/>
      <c r="RJ137" s="1004"/>
      <c r="RK137" s="1004"/>
      <c r="RL137" s="1004"/>
      <c r="RM137" s="1004"/>
      <c r="RN137" s="1004"/>
      <c r="RO137" s="1004"/>
      <c r="RP137" s="1004"/>
      <c r="RQ137" s="1004"/>
      <c r="RR137" s="1004"/>
      <c r="RS137" s="1004"/>
      <c r="RT137" s="1004"/>
      <c r="RU137" s="1004"/>
      <c r="RV137" s="1004"/>
      <c r="RW137" s="1004"/>
      <c r="RX137" s="1004"/>
      <c r="RY137" s="1004"/>
      <c r="RZ137" s="1004"/>
      <c r="SA137" s="1004"/>
      <c r="SB137" s="1004"/>
      <c r="SC137" s="1004"/>
      <c r="SD137" s="1004"/>
      <c r="SE137" s="1004"/>
      <c r="SF137" s="1004"/>
      <c r="SG137" s="1004"/>
      <c r="SH137" s="1004"/>
      <c r="SI137" s="1004"/>
      <c r="SJ137" s="1004"/>
      <c r="SK137" s="1004"/>
      <c r="SL137" s="1004"/>
      <c r="SM137" s="1004"/>
      <c r="SN137" s="1004"/>
      <c r="SO137" s="1004"/>
      <c r="SP137" s="1004"/>
      <c r="SQ137" s="1004"/>
      <c r="SR137" s="1004"/>
      <c r="SS137" s="1004"/>
      <c r="ST137" s="1004"/>
      <c r="SU137" s="1004"/>
      <c r="SV137" s="1004"/>
      <c r="SW137" s="1004"/>
      <c r="SX137" s="1004"/>
      <c r="SY137" s="1004"/>
      <c r="SZ137" s="1004"/>
      <c r="TA137" s="1004"/>
      <c r="TB137" s="1004"/>
      <c r="TC137" s="1004"/>
      <c r="TD137" s="1004"/>
      <c r="TE137" s="1004"/>
      <c r="TF137" s="1004"/>
      <c r="TG137" s="1004"/>
      <c r="TH137" s="1004"/>
      <c r="TI137" s="1004"/>
      <c r="TJ137" s="1004"/>
      <c r="TK137" s="1004"/>
      <c r="TL137" s="1004"/>
      <c r="TM137" s="1004"/>
      <c r="TN137" s="1004"/>
      <c r="TO137" s="1004"/>
      <c r="TP137" s="1004"/>
      <c r="TQ137" s="1004"/>
      <c r="TR137" s="1004"/>
      <c r="TS137" s="1004"/>
      <c r="TT137" s="1004"/>
      <c r="TU137" s="1004"/>
      <c r="TV137" s="1004"/>
      <c r="TW137" s="1004"/>
      <c r="TX137" s="1004"/>
      <c r="TY137" s="1004"/>
      <c r="TZ137" s="1004"/>
      <c r="UA137" s="1004"/>
      <c r="UB137" s="1004"/>
      <c r="UC137" s="1004"/>
      <c r="UD137" s="1004"/>
      <c r="UE137" s="1004"/>
      <c r="UF137" s="1004"/>
      <c r="UG137" s="1004"/>
      <c r="UH137" s="1004"/>
      <c r="UI137" s="1004"/>
      <c r="UJ137" s="1004"/>
      <c r="UK137" s="1004"/>
      <c r="UL137" s="1004"/>
      <c r="UM137" s="1004"/>
      <c r="UN137" s="1004"/>
      <c r="UO137" s="1004"/>
      <c r="UP137" s="1004"/>
      <c r="UQ137" s="1004"/>
      <c r="UR137" s="1004"/>
      <c r="US137" s="1004"/>
      <c r="UT137" s="1004"/>
      <c r="UU137" s="1004"/>
      <c r="UV137" s="1004"/>
      <c r="UW137" s="1004"/>
      <c r="UX137" s="1004"/>
      <c r="UY137" s="1004"/>
      <c r="UZ137" s="1004"/>
      <c r="VA137" s="1004"/>
      <c r="VB137" s="1004"/>
      <c r="VC137" s="1004"/>
      <c r="VD137" s="1004"/>
      <c r="VE137" s="1004"/>
      <c r="VF137" s="1004"/>
      <c r="VG137" s="1004"/>
      <c r="VH137" s="1004"/>
      <c r="VI137" s="1004"/>
      <c r="VJ137" s="1004"/>
      <c r="VK137" s="1004"/>
      <c r="VL137" s="1004"/>
      <c r="VM137" s="1004"/>
      <c r="VN137" s="1004"/>
      <c r="VO137" s="1004"/>
      <c r="VP137" s="1004"/>
      <c r="VQ137" s="1004"/>
      <c r="VR137" s="1004"/>
      <c r="VS137" s="1004"/>
      <c r="VT137" s="1004"/>
      <c r="VU137" s="1004"/>
      <c r="VV137" s="1004"/>
      <c r="VW137" s="1004"/>
      <c r="VX137" s="1004"/>
      <c r="VY137" s="1004"/>
      <c r="VZ137" s="1004"/>
      <c r="WA137" s="1004"/>
      <c r="WB137" s="1004"/>
      <c r="WC137" s="1004"/>
      <c r="WD137" s="1004"/>
      <c r="WE137" s="1004"/>
      <c r="WF137" s="1004"/>
      <c r="WG137" s="1004"/>
      <c r="WH137" s="1004"/>
      <c r="WI137" s="1004"/>
      <c r="WJ137" s="1004"/>
      <c r="WK137" s="1004"/>
      <c r="WL137" s="1004"/>
      <c r="WM137" s="1004"/>
      <c r="WN137" s="1004"/>
      <c r="WO137" s="1004"/>
      <c r="WP137" s="1004"/>
      <c r="WQ137" s="1004"/>
      <c r="WR137" s="1004"/>
      <c r="WS137" s="1004"/>
      <c r="WT137" s="1004"/>
      <c r="WU137" s="1004"/>
      <c r="WV137" s="1004"/>
      <c r="WW137" s="1004"/>
      <c r="WX137" s="1004"/>
      <c r="WY137" s="1004"/>
      <c r="WZ137" s="1004"/>
      <c r="XA137" s="1004"/>
      <c r="XB137" s="1004"/>
      <c r="XC137" s="1004"/>
      <c r="XD137" s="1004"/>
      <c r="XE137" s="1004"/>
      <c r="XF137" s="1004"/>
      <c r="XG137" s="1004"/>
      <c r="XH137" s="1004"/>
      <c r="XI137" s="1004"/>
      <c r="XJ137" s="1004"/>
      <c r="XK137" s="1004"/>
      <c r="XL137" s="1004"/>
      <c r="XM137" s="1004"/>
      <c r="XN137" s="1004"/>
      <c r="XO137" s="1004"/>
      <c r="XP137" s="1004"/>
      <c r="XQ137" s="1004"/>
      <c r="XR137" s="1004"/>
      <c r="XS137" s="1004"/>
      <c r="XT137" s="1004"/>
      <c r="XU137" s="1004"/>
      <c r="XV137" s="1004"/>
      <c r="XW137" s="1004"/>
      <c r="XX137" s="1004"/>
      <c r="XY137" s="1004"/>
      <c r="XZ137" s="1004"/>
      <c r="YA137" s="1004"/>
      <c r="YB137" s="1004"/>
      <c r="YC137" s="1004"/>
      <c r="YD137" s="1004"/>
      <c r="YE137" s="1004"/>
      <c r="YF137" s="1004"/>
      <c r="YG137" s="1004"/>
      <c r="YH137" s="1004"/>
      <c r="YI137" s="1004"/>
      <c r="YJ137" s="1004"/>
      <c r="YK137" s="1004"/>
      <c r="YL137" s="1004"/>
      <c r="YM137" s="1004"/>
      <c r="YN137" s="1004"/>
      <c r="YO137" s="1004"/>
      <c r="YP137" s="1004"/>
      <c r="YQ137" s="1004"/>
      <c r="YR137" s="1004"/>
      <c r="YS137" s="1004"/>
      <c r="YT137" s="1004"/>
      <c r="YU137" s="1004"/>
      <c r="YV137" s="1004"/>
      <c r="YW137" s="1004"/>
      <c r="YX137" s="1004"/>
      <c r="YY137" s="1004"/>
      <c r="YZ137" s="1004"/>
      <c r="ZA137" s="1004"/>
      <c r="ZB137" s="1004"/>
      <c r="ZC137" s="1004"/>
      <c r="ZD137" s="1004"/>
      <c r="ZE137" s="1004"/>
      <c r="ZF137" s="1004"/>
      <c r="ZG137" s="1004"/>
      <c r="ZH137" s="1004"/>
      <c r="ZI137" s="1004"/>
      <c r="ZJ137" s="1004"/>
      <c r="ZK137" s="1004"/>
      <c r="ZL137" s="1004"/>
      <c r="ZM137" s="1004"/>
      <c r="ZN137" s="1004"/>
      <c r="ZO137" s="1004"/>
      <c r="ZP137" s="1004"/>
      <c r="ZQ137" s="1004"/>
      <c r="ZR137" s="1004"/>
      <c r="ZS137" s="1004"/>
      <c r="ZT137" s="1004"/>
      <c r="ZU137" s="1004"/>
      <c r="ZV137" s="1004"/>
      <c r="ZW137" s="1004"/>
      <c r="ZX137" s="1004"/>
      <c r="ZY137" s="1004"/>
      <c r="ZZ137" s="1004"/>
      <c r="AAA137" s="1004"/>
      <c r="AAB137" s="1004"/>
      <c r="AAC137" s="1004"/>
      <c r="AAD137" s="1004"/>
      <c r="AAE137" s="1004"/>
      <c r="AAF137" s="1004"/>
      <c r="AAG137" s="1004"/>
      <c r="AAH137" s="1004"/>
      <c r="AAI137" s="1004"/>
      <c r="AAJ137" s="1004"/>
      <c r="AAK137" s="1004"/>
      <c r="AAL137" s="1004"/>
      <c r="AAM137" s="1004"/>
      <c r="AAN137" s="1004"/>
      <c r="AAO137" s="1004"/>
      <c r="AAP137" s="1004"/>
      <c r="AAQ137" s="1004"/>
      <c r="AAR137" s="1004"/>
      <c r="AAS137" s="1004"/>
      <c r="AAT137" s="1004"/>
      <c r="AAU137" s="1004"/>
      <c r="AAV137" s="1004"/>
      <c r="AAW137" s="1004"/>
      <c r="AAX137" s="1004"/>
      <c r="AAY137" s="1004"/>
      <c r="AAZ137" s="1004"/>
      <c r="ABA137" s="1004"/>
      <c r="ABB137" s="1004"/>
      <c r="ABC137" s="1004"/>
      <c r="ABD137" s="1004"/>
      <c r="ABE137" s="1004"/>
      <c r="ABF137" s="1004"/>
      <c r="ABG137" s="1004"/>
      <c r="ABH137" s="1004"/>
      <c r="ABI137" s="1004"/>
      <c r="ABJ137" s="1004"/>
      <c r="ABK137" s="1004"/>
      <c r="ABL137" s="1004"/>
      <c r="ABM137" s="1004"/>
      <c r="ABN137" s="1004"/>
      <c r="ABO137" s="1004"/>
      <c r="ABP137" s="1004"/>
      <c r="ABQ137" s="1004"/>
      <c r="ABR137" s="1004"/>
    </row>
    <row r="138" spans="1:746" s="112" customFormat="1" ht="12" customHeight="1" thickBot="1">
      <c r="A138" s="925"/>
      <c r="B138" s="2429" t="s">
        <v>1285</v>
      </c>
      <c r="C138" s="2430"/>
      <c r="D138" s="2430"/>
      <c r="E138" s="2430"/>
      <c r="F138" s="2430"/>
      <c r="G138" s="2430"/>
      <c r="H138" s="2430"/>
      <c r="I138" s="374">
        <f>I287</f>
        <v>0</v>
      </c>
      <c r="J138" s="2431">
        <f>J287</f>
        <v>0</v>
      </c>
      <c r="K138" s="2431">
        <f t="shared" ref="K138:AF138" si="16">K287</f>
        <v>0</v>
      </c>
      <c r="L138" s="2431">
        <f t="shared" si="16"/>
        <v>0</v>
      </c>
      <c r="M138" s="2431">
        <f t="shared" si="16"/>
        <v>0</v>
      </c>
      <c r="N138" s="2431">
        <f t="shared" si="16"/>
        <v>0</v>
      </c>
      <c r="O138" s="2431">
        <f t="shared" si="16"/>
        <v>0</v>
      </c>
      <c r="P138" s="2431">
        <f t="shared" si="16"/>
        <v>0</v>
      </c>
      <c r="Q138" s="2431">
        <f t="shared" si="16"/>
        <v>0</v>
      </c>
      <c r="R138" s="2431">
        <f t="shared" si="16"/>
        <v>0</v>
      </c>
      <c r="S138" s="2431">
        <f t="shared" si="16"/>
        <v>0</v>
      </c>
      <c r="T138" s="2431">
        <f t="shared" si="16"/>
        <v>0</v>
      </c>
      <c r="U138" s="2431">
        <f t="shared" si="16"/>
        <v>0</v>
      </c>
      <c r="V138" s="2431">
        <f t="shared" si="16"/>
        <v>0</v>
      </c>
      <c r="W138" s="2431">
        <f t="shared" si="16"/>
        <v>0</v>
      </c>
      <c r="X138" s="2431">
        <f t="shared" si="16"/>
        <v>0</v>
      </c>
      <c r="Y138" s="2431">
        <f t="shared" si="16"/>
        <v>0</v>
      </c>
      <c r="Z138" s="2431">
        <f t="shared" si="16"/>
        <v>0</v>
      </c>
      <c r="AA138" s="2431">
        <f t="shared" si="16"/>
        <v>0</v>
      </c>
      <c r="AB138" s="2431">
        <f t="shared" si="16"/>
        <v>0</v>
      </c>
      <c r="AC138" s="2431">
        <f t="shared" si="16"/>
        <v>0</v>
      </c>
      <c r="AD138" s="2431">
        <f t="shared" si="16"/>
        <v>0</v>
      </c>
      <c r="AE138" s="2431">
        <f t="shared" si="16"/>
        <v>0</v>
      </c>
      <c r="AF138" s="2431">
        <f t="shared" si="16"/>
        <v>0</v>
      </c>
      <c r="AG138" s="1042"/>
      <c r="AH138" s="2363"/>
      <c r="AI138" s="1817"/>
      <c r="AJ138" s="1956">
        <f>IF(fx!$C$57=1,SUMIF(fx!I$57:T$57,1,I138:T138),IF(fx!$C$57=2,SUMIF(fx!O$57:AF$57,1,O138:AF138)))</f>
        <v>0</v>
      </c>
      <c r="AK138" s="328"/>
      <c r="AL138" s="902">
        <f>IF(fx!$C$57=1,SUM(U138:AF138),0)</f>
        <v>0</v>
      </c>
      <c r="AM138" s="1005"/>
      <c r="AN138" s="1017"/>
      <c r="AO138" s="1945"/>
      <c r="AP138" s="1935"/>
      <c r="AQ138" s="1936"/>
      <c r="AR138" s="2236"/>
      <c r="AS138" s="2236"/>
      <c r="AT138" s="2236"/>
      <c r="AU138" s="2236"/>
      <c r="AV138" s="2236"/>
      <c r="AW138" s="2236"/>
      <c r="AX138" s="2236"/>
      <c r="AY138" s="2236"/>
      <c r="AZ138" s="2236"/>
      <c r="BA138" s="2236"/>
      <c r="BB138" s="2236"/>
      <c r="BC138" s="2236"/>
      <c r="BD138" s="2236"/>
      <c r="BE138" s="2236"/>
      <c r="BF138" s="2236"/>
      <c r="BG138" s="2236"/>
      <c r="BH138" s="2236"/>
      <c r="BI138" s="2236"/>
      <c r="BJ138" s="2236"/>
      <c r="BK138" s="2236"/>
      <c r="BL138" s="2236"/>
      <c r="BM138" s="2236"/>
      <c r="BN138" s="2236"/>
      <c r="BO138" s="2236"/>
      <c r="BP138" s="1004"/>
      <c r="BQ138" s="1004"/>
      <c r="BR138" s="1004"/>
      <c r="BS138" s="1004"/>
      <c r="BT138" s="1004"/>
      <c r="BU138" s="1004"/>
      <c r="BV138" s="1004"/>
      <c r="BW138" s="1004"/>
      <c r="BX138" s="1004"/>
      <c r="BY138" s="1004"/>
      <c r="BZ138" s="1004"/>
      <c r="CA138" s="1004"/>
      <c r="CB138" s="1004"/>
      <c r="CC138" s="1004"/>
      <c r="CD138" s="1004"/>
      <c r="CE138" s="1004"/>
      <c r="CF138" s="1004"/>
      <c r="CG138" s="1004"/>
      <c r="CH138" s="1004"/>
      <c r="CI138" s="1004"/>
      <c r="CJ138" s="1004"/>
      <c r="CK138" s="1004"/>
      <c r="CL138" s="1004"/>
      <c r="CM138" s="1004"/>
      <c r="CN138" s="1004"/>
      <c r="CO138" s="1004"/>
      <c r="CP138" s="1004"/>
      <c r="CQ138" s="1004"/>
      <c r="CR138" s="1004"/>
      <c r="CS138" s="1004"/>
      <c r="CT138" s="1004"/>
      <c r="CU138" s="1004"/>
      <c r="CV138" s="1004"/>
      <c r="CW138" s="1004"/>
      <c r="CX138" s="1004"/>
      <c r="CY138" s="1004"/>
      <c r="CZ138" s="1004"/>
      <c r="DA138" s="1004"/>
      <c r="DB138" s="1004"/>
      <c r="DC138" s="1004"/>
      <c r="DD138" s="1004"/>
      <c r="DE138" s="1004"/>
      <c r="DF138" s="1004"/>
      <c r="DG138" s="1004"/>
      <c r="DH138" s="1004"/>
      <c r="DI138" s="1004"/>
      <c r="DJ138" s="1004"/>
      <c r="DK138" s="1004"/>
      <c r="DL138" s="1004"/>
      <c r="DM138" s="1004"/>
      <c r="DN138" s="1004"/>
      <c r="DO138" s="1004"/>
      <c r="DP138" s="1004"/>
      <c r="DQ138" s="1004"/>
      <c r="DR138" s="1004"/>
      <c r="DS138" s="1004"/>
      <c r="DT138" s="1004"/>
      <c r="DU138" s="1004"/>
      <c r="DV138" s="1004"/>
      <c r="DW138" s="1004"/>
      <c r="DX138" s="1004"/>
      <c r="DY138" s="1004"/>
      <c r="DZ138" s="1004"/>
      <c r="EA138" s="1004"/>
      <c r="EB138" s="1004"/>
      <c r="EC138" s="1004"/>
      <c r="ED138" s="1004"/>
      <c r="EE138" s="1004"/>
      <c r="EF138" s="1004"/>
      <c r="EG138" s="1004"/>
      <c r="EH138" s="1004"/>
      <c r="EI138" s="1004"/>
      <c r="EJ138" s="1004"/>
      <c r="EK138" s="1004"/>
      <c r="EL138" s="1004"/>
      <c r="EM138" s="1004"/>
      <c r="EN138" s="1004"/>
      <c r="EO138" s="1004"/>
      <c r="EP138" s="1004"/>
      <c r="EQ138" s="1004"/>
      <c r="ER138" s="1004"/>
      <c r="ES138" s="1004"/>
      <c r="ET138" s="1004"/>
      <c r="EU138" s="1004"/>
      <c r="EV138" s="1004"/>
      <c r="EW138" s="1004"/>
      <c r="EX138" s="1004"/>
      <c r="EY138" s="1004"/>
      <c r="EZ138" s="1004"/>
      <c r="FA138" s="1004"/>
      <c r="FB138" s="1004"/>
      <c r="FC138" s="1004"/>
      <c r="FD138" s="1004"/>
      <c r="FE138" s="1004"/>
      <c r="FF138" s="1004"/>
      <c r="FG138" s="1004"/>
      <c r="FH138" s="1004"/>
      <c r="FI138" s="1004"/>
      <c r="FJ138" s="1004"/>
      <c r="FK138" s="1004"/>
      <c r="FL138" s="1004"/>
      <c r="FM138" s="1004"/>
      <c r="FN138" s="1004"/>
      <c r="FO138" s="1004"/>
      <c r="FP138" s="1004"/>
      <c r="FQ138" s="1004"/>
      <c r="FR138" s="1004"/>
      <c r="FS138" s="1004"/>
      <c r="FT138" s="1004"/>
      <c r="FU138" s="1004"/>
      <c r="FV138" s="1004"/>
      <c r="FW138" s="1004"/>
      <c r="FX138" s="1004"/>
      <c r="FY138" s="1004"/>
      <c r="FZ138" s="1004"/>
      <c r="GA138" s="1004"/>
      <c r="GB138" s="1004"/>
      <c r="GC138" s="1004"/>
      <c r="GD138" s="1004"/>
      <c r="GE138" s="1004"/>
      <c r="GF138" s="1004"/>
      <c r="GG138" s="1004"/>
      <c r="GH138" s="1004"/>
      <c r="GI138" s="1004"/>
      <c r="GJ138" s="1004"/>
      <c r="GK138" s="1004"/>
      <c r="GL138" s="1004"/>
      <c r="GM138" s="1004"/>
      <c r="GN138" s="1004"/>
      <c r="GO138" s="1004"/>
      <c r="GP138" s="1004"/>
      <c r="GQ138" s="1004"/>
      <c r="GR138" s="1004"/>
      <c r="GS138" s="1004"/>
      <c r="GT138" s="1004"/>
      <c r="GU138" s="1004"/>
      <c r="GV138" s="1004"/>
      <c r="GW138" s="1004"/>
      <c r="GX138" s="1004"/>
      <c r="GY138" s="1004"/>
      <c r="GZ138" s="1004"/>
      <c r="HA138" s="1004"/>
      <c r="HB138" s="1004"/>
      <c r="HC138" s="1004"/>
      <c r="HD138" s="1004"/>
      <c r="HE138" s="1004"/>
      <c r="HF138" s="1004"/>
      <c r="HG138" s="1004"/>
      <c r="HH138" s="1004"/>
      <c r="HI138" s="1004"/>
      <c r="HJ138" s="1004"/>
      <c r="HK138" s="1004"/>
      <c r="HL138" s="1004"/>
      <c r="HM138" s="1004"/>
      <c r="HN138" s="1004"/>
      <c r="HO138" s="1004"/>
      <c r="HP138" s="1004"/>
      <c r="HQ138" s="1004"/>
      <c r="HR138" s="1004"/>
      <c r="HS138" s="1004"/>
      <c r="HT138" s="1004"/>
      <c r="HU138" s="1004"/>
      <c r="HV138" s="1004"/>
      <c r="HW138" s="1004"/>
      <c r="HX138" s="1004"/>
      <c r="HY138" s="1004"/>
      <c r="HZ138" s="1004"/>
      <c r="IA138" s="1004"/>
      <c r="IB138" s="1004"/>
      <c r="IC138" s="1004"/>
      <c r="ID138" s="1004"/>
      <c r="IE138" s="1004"/>
      <c r="IF138" s="1004"/>
      <c r="IG138" s="1004"/>
      <c r="IH138" s="1004"/>
      <c r="II138" s="1004"/>
      <c r="IJ138" s="1004"/>
      <c r="IK138" s="1004"/>
      <c r="IL138" s="1004"/>
      <c r="IM138" s="1004"/>
      <c r="IN138" s="1004"/>
      <c r="IO138" s="1004"/>
      <c r="IP138" s="1004"/>
      <c r="IQ138" s="1004"/>
      <c r="IR138" s="1004"/>
      <c r="IS138" s="1004"/>
      <c r="IT138" s="1004"/>
      <c r="IU138" s="1004"/>
      <c r="IV138" s="1004"/>
      <c r="IW138" s="1004"/>
      <c r="IX138" s="1004"/>
      <c r="IY138" s="1004"/>
      <c r="IZ138" s="1004"/>
      <c r="JA138" s="1004"/>
      <c r="JB138" s="1004"/>
      <c r="JC138" s="1004"/>
      <c r="JD138" s="1004"/>
      <c r="JE138" s="1004"/>
      <c r="JF138" s="1004"/>
      <c r="JG138" s="1004"/>
      <c r="JH138" s="1004"/>
      <c r="JI138" s="1004"/>
      <c r="JJ138" s="1004"/>
      <c r="JK138" s="1004"/>
      <c r="JL138" s="1004"/>
      <c r="JM138" s="1004"/>
      <c r="JN138" s="1004"/>
      <c r="JO138" s="1004"/>
      <c r="JP138" s="1004"/>
      <c r="JQ138" s="1004"/>
      <c r="JR138" s="1004"/>
      <c r="JS138" s="1004"/>
      <c r="JT138" s="1004"/>
      <c r="JU138" s="1004"/>
      <c r="JV138" s="1004"/>
      <c r="JW138" s="1004"/>
      <c r="JX138" s="1004"/>
      <c r="JY138" s="1004"/>
      <c r="JZ138" s="1004"/>
      <c r="KA138" s="1004"/>
      <c r="KB138" s="1004"/>
      <c r="KC138" s="1004"/>
      <c r="KD138" s="1004"/>
      <c r="KE138" s="1004"/>
      <c r="KF138" s="1004"/>
      <c r="KG138" s="1004"/>
      <c r="KH138" s="1004"/>
      <c r="KI138" s="1004"/>
      <c r="KJ138" s="1004"/>
      <c r="KK138" s="1004"/>
      <c r="KL138" s="1004"/>
      <c r="KM138" s="1004"/>
      <c r="KN138" s="1004"/>
      <c r="KO138" s="1004"/>
      <c r="KP138" s="1004"/>
      <c r="KQ138" s="1004"/>
      <c r="KR138" s="1004"/>
      <c r="KS138" s="1004"/>
      <c r="KT138" s="1004"/>
      <c r="KU138" s="1004"/>
      <c r="KV138" s="1004"/>
      <c r="KW138" s="1004"/>
      <c r="KX138" s="1004"/>
      <c r="KY138" s="1004"/>
      <c r="KZ138" s="1004"/>
      <c r="LA138" s="1004"/>
      <c r="LB138" s="1004"/>
      <c r="LC138" s="1004"/>
      <c r="LD138" s="1004"/>
      <c r="LE138" s="1004"/>
      <c r="LF138" s="1004"/>
      <c r="LG138" s="1004"/>
      <c r="LH138" s="1004"/>
      <c r="LI138" s="1004"/>
      <c r="LJ138" s="1004"/>
      <c r="LK138" s="1004"/>
      <c r="LL138" s="1004"/>
      <c r="LM138" s="1004"/>
      <c r="LN138" s="1004"/>
      <c r="LO138" s="1004"/>
      <c r="LP138" s="1004"/>
      <c r="LQ138" s="1004"/>
      <c r="LR138" s="1004"/>
      <c r="LS138" s="1004"/>
      <c r="LT138" s="1004"/>
      <c r="LU138" s="1004"/>
      <c r="LV138" s="1004"/>
      <c r="LW138" s="1004"/>
      <c r="LX138" s="1004"/>
      <c r="LY138" s="1004"/>
      <c r="LZ138" s="1004"/>
      <c r="MA138" s="1004"/>
      <c r="MB138" s="1004"/>
      <c r="MC138" s="1004"/>
      <c r="MD138" s="1004"/>
      <c r="ME138" s="1004"/>
      <c r="MF138" s="1004"/>
      <c r="MG138" s="1004"/>
      <c r="MH138" s="1004"/>
      <c r="MI138" s="1004"/>
      <c r="MJ138" s="1004"/>
      <c r="MK138" s="1004"/>
      <c r="ML138" s="1004"/>
      <c r="MM138" s="1004"/>
      <c r="MN138" s="1004"/>
      <c r="MO138" s="1004"/>
      <c r="MP138" s="1004"/>
      <c r="MQ138" s="1004"/>
      <c r="MR138" s="1004"/>
      <c r="MS138" s="1004"/>
      <c r="MT138" s="1004"/>
      <c r="MU138" s="1004"/>
      <c r="MV138" s="1004"/>
      <c r="MW138" s="1004"/>
      <c r="MX138" s="1004"/>
      <c r="MY138" s="1004"/>
      <c r="MZ138" s="1004"/>
      <c r="NA138" s="1004"/>
      <c r="NB138" s="1004"/>
      <c r="NC138" s="1004"/>
      <c r="ND138" s="1004"/>
      <c r="NE138" s="1004"/>
      <c r="NF138" s="1004"/>
      <c r="NG138" s="1004"/>
      <c r="NH138" s="1004"/>
      <c r="NI138" s="1004"/>
      <c r="NJ138" s="1004"/>
      <c r="NK138" s="1004"/>
      <c r="NL138" s="1004"/>
      <c r="NM138" s="1004"/>
      <c r="NN138" s="1004"/>
      <c r="NO138" s="1004"/>
      <c r="NP138" s="1004"/>
      <c r="NQ138" s="1004"/>
      <c r="NR138" s="1004"/>
      <c r="NS138" s="1004"/>
      <c r="NT138" s="1004"/>
      <c r="NU138" s="1004"/>
      <c r="NV138" s="1004"/>
      <c r="NW138" s="1004"/>
      <c r="NX138" s="1004"/>
      <c r="NY138" s="1004"/>
      <c r="NZ138" s="1004"/>
      <c r="OA138" s="1004"/>
      <c r="OB138" s="1004"/>
      <c r="OC138" s="1004"/>
      <c r="OD138" s="1004"/>
      <c r="OE138" s="1004"/>
      <c r="OF138" s="1004"/>
      <c r="OG138" s="1004"/>
      <c r="OH138" s="1004"/>
      <c r="OI138" s="1004"/>
      <c r="OJ138" s="1004"/>
      <c r="OK138" s="1004"/>
      <c r="OL138" s="1004"/>
      <c r="OM138" s="1004"/>
      <c r="ON138" s="1004"/>
      <c r="OO138" s="1004"/>
      <c r="OP138" s="1004"/>
      <c r="OQ138" s="1004"/>
      <c r="OR138" s="1004"/>
      <c r="OS138" s="1004"/>
      <c r="OT138" s="1004"/>
      <c r="OU138" s="1004"/>
      <c r="OV138" s="1004"/>
      <c r="OW138" s="1004"/>
      <c r="OX138" s="1004"/>
      <c r="OY138" s="1004"/>
      <c r="OZ138" s="1004"/>
      <c r="PA138" s="1004"/>
      <c r="PB138" s="1004"/>
      <c r="PC138" s="1004"/>
      <c r="PD138" s="1004"/>
      <c r="PE138" s="1004"/>
      <c r="PF138" s="1004"/>
      <c r="PG138" s="1004"/>
      <c r="PH138" s="1004"/>
      <c r="PI138" s="1004"/>
      <c r="PJ138" s="1004"/>
      <c r="PK138" s="1004"/>
      <c r="PL138" s="1004"/>
      <c r="PM138" s="1004"/>
      <c r="PN138" s="1004"/>
      <c r="PO138" s="1004"/>
      <c r="PP138" s="1004"/>
      <c r="PQ138" s="1004"/>
      <c r="PR138" s="1004"/>
      <c r="PS138" s="1004"/>
      <c r="PT138" s="1004"/>
      <c r="PU138" s="1004"/>
      <c r="PV138" s="1004"/>
      <c r="PW138" s="1004"/>
      <c r="PX138" s="1004"/>
      <c r="PY138" s="1004"/>
      <c r="PZ138" s="1004"/>
      <c r="QA138" s="1004"/>
      <c r="QB138" s="1004"/>
      <c r="QC138" s="1004"/>
      <c r="QD138" s="1004"/>
      <c r="QE138" s="1004"/>
      <c r="QF138" s="1004"/>
      <c r="QG138" s="1004"/>
      <c r="QH138" s="1004"/>
      <c r="QI138" s="1004"/>
      <c r="QJ138" s="1004"/>
      <c r="QK138" s="1004"/>
      <c r="QL138" s="1004"/>
      <c r="QM138" s="1004"/>
      <c r="QN138" s="1004"/>
      <c r="QO138" s="1004"/>
      <c r="QP138" s="1004"/>
      <c r="QQ138" s="1004"/>
      <c r="QR138" s="1004"/>
      <c r="QS138" s="1004"/>
      <c r="QT138" s="1004"/>
      <c r="QU138" s="1004"/>
      <c r="QV138" s="1004"/>
      <c r="QW138" s="1004"/>
      <c r="QX138" s="1004"/>
      <c r="QY138" s="1004"/>
      <c r="QZ138" s="1004"/>
      <c r="RA138" s="1004"/>
      <c r="RB138" s="1004"/>
      <c r="RC138" s="1004"/>
      <c r="RD138" s="1004"/>
      <c r="RE138" s="1004"/>
      <c r="RF138" s="1004"/>
      <c r="RG138" s="1004"/>
      <c r="RH138" s="1004"/>
      <c r="RI138" s="1004"/>
      <c r="RJ138" s="1004"/>
      <c r="RK138" s="1004"/>
      <c r="RL138" s="1004"/>
      <c r="RM138" s="1004"/>
      <c r="RN138" s="1004"/>
      <c r="RO138" s="1004"/>
      <c r="RP138" s="1004"/>
      <c r="RQ138" s="1004"/>
      <c r="RR138" s="1004"/>
      <c r="RS138" s="1004"/>
      <c r="RT138" s="1004"/>
      <c r="RU138" s="1004"/>
      <c r="RV138" s="1004"/>
      <c r="RW138" s="1004"/>
      <c r="RX138" s="1004"/>
      <c r="RY138" s="1004"/>
      <c r="RZ138" s="1004"/>
      <c r="SA138" s="1004"/>
      <c r="SB138" s="1004"/>
      <c r="SC138" s="1004"/>
      <c r="SD138" s="1004"/>
      <c r="SE138" s="1004"/>
      <c r="SF138" s="1004"/>
      <c r="SG138" s="1004"/>
      <c r="SH138" s="1004"/>
      <c r="SI138" s="1004"/>
      <c r="SJ138" s="1004"/>
      <c r="SK138" s="1004"/>
      <c r="SL138" s="1004"/>
      <c r="SM138" s="1004"/>
      <c r="SN138" s="1004"/>
      <c r="SO138" s="1004"/>
      <c r="SP138" s="1004"/>
      <c r="SQ138" s="1004"/>
      <c r="SR138" s="1004"/>
      <c r="SS138" s="1004"/>
      <c r="ST138" s="1004"/>
      <c r="SU138" s="1004"/>
      <c r="SV138" s="1004"/>
      <c r="SW138" s="1004"/>
      <c r="SX138" s="1004"/>
      <c r="SY138" s="1004"/>
      <c r="SZ138" s="1004"/>
      <c r="TA138" s="1004"/>
      <c r="TB138" s="1004"/>
      <c r="TC138" s="1004"/>
      <c r="TD138" s="1004"/>
      <c r="TE138" s="1004"/>
      <c r="TF138" s="1004"/>
      <c r="TG138" s="1004"/>
      <c r="TH138" s="1004"/>
      <c r="TI138" s="1004"/>
      <c r="TJ138" s="1004"/>
      <c r="TK138" s="1004"/>
      <c r="TL138" s="1004"/>
      <c r="TM138" s="1004"/>
      <c r="TN138" s="1004"/>
      <c r="TO138" s="1004"/>
      <c r="TP138" s="1004"/>
      <c r="TQ138" s="1004"/>
      <c r="TR138" s="1004"/>
      <c r="TS138" s="1004"/>
      <c r="TT138" s="1004"/>
      <c r="TU138" s="1004"/>
      <c r="TV138" s="1004"/>
      <c r="TW138" s="1004"/>
      <c r="TX138" s="1004"/>
      <c r="TY138" s="1004"/>
      <c r="TZ138" s="1004"/>
      <c r="UA138" s="1004"/>
      <c r="UB138" s="1004"/>
      <c r="UC138" s="1004"/>
      <c r="UD138" s="1004"/>
      <c r="UE138" s="1004"/>
      <c r="UF138" s="1004"/>
      <c r="UG138" s="1004"/>
      <c r="UH138" s="1004"/>
      <c r="UI138" s="1004"/>
      <c r="UJ138" s="1004"/>
      <c r="UK138" s="1004"/>
      <c r="UL138" s="1004"/>
      <c r="UM138" s="1004"/>
      <c r="UN138" s="1004"/>
      <c r="UO138" s="1004"/>
      <c r="UP138" s="1004"/>
      <c r="UQ138" s="1004"/>
      <c r="UR138" s="1004"/>
      <c r="US138" s="1004"/>
      <c r="UT138" s="1004"/>
      <c r="UU138" s="1004"/>
      <c r="UV138" s="1004"/>
      <c r="UW138" s="1004"/>
      <c r="UX138" s="1004"/>
      <c r="UY138" s="1004"/>
      <c r="UZ138" s="1004"/>
      <c r="VA138" s="1004"/>
      <c r="VB138" s="1004"/>
      <c r="VC138" s="1004"/>
      <c r="VD138" s="1004"/>
      <c r="VE138" s="1004"/>
      <c r="VF138" s="1004"/>
      <c r="VG138" s="1004"/>
      <c r="VH138" s="1004"/>
      <c r="VI138" s="1004"/>
      <c r="VJ138" s="1004"/>
      <c r="VK138" s="1004"/>
      <c r="VL138" s="1004"/>
      <c r="VM138" s="1004"/>
      <c r="VN138" s="1004"/>
      <c r="VO138" s="1004"/>
      <c r="VP138" s="1004"/>
      <c r="VQ138" s="1004"/>
      <c r="VR138" s="1004"/>
      <c r="VS138" s="1004"/>
      <c r="VT138" s="1004"/>
      <c r="VU138" s="1004"/>
      <c r="VV138" s="1004"/>
      <c r="VW138" s="1004"/>
      <c r="VX138" s="1004"/>
      <c r="VY138" s="1004"/>
      <c r="VZ138" s="1004"/>
      <c r="WA138" s="1004"/>
      <c r="WB138" s="1004"/>
      <c r="WC138" s="1004"/>
      <c r="WD138" s="1004"/>
      <c r="WE138" s="1004"/>
      <c r="WF138" s="1004"/>
      <c r="WG138" s="1004"/>
      <c r="WH138" s="1004"/>
      <c r="WI138" s="1004"/>
      <c r="WJ138" s="1004"/>
      <c r="WK138" s="1004"/>
      <c r="WL138" s="1004"/>
      <c r="WM138" s="1004"/>
      <c r="WN138" s="1004"/>
      <c r="WO138" s="1004"/>
      <c r="WP138" s="1004"/>
      <c r="WQ138" s="1004"/>
      <c r="WR138" s="1004"/>
      <c r="WS138" s="1004"/>
      <c r="WT138" s="1004"/>
      <c r="WU138" s="1004"/>
      <c r="WV138" s="1004"/>
      <c r="WW138" s="1004"/>
      <c r="WX138" s="1004"/>
      <c r="WY138" s="1004"/>
      <c r="WZ138" s="1004"/>
      <c r="XA138" s="1004"/>
      <c r="XB138" s="1004"/>
      <c r="XC138" s="1004"/>
      <c r="XD138" s="1004"/>
      <c r="XE138" s="1004"/>
      <c r="XF138" s="1004"/>
      <c r="XG138" s="1004"/>
      <c r="XH138" s="1004"/>
      <c r="XI138" s="1004"/>
      <c r="XJ138" s="1004"/>
      <c r="XK138" s="1004"/>
      <c r="XL138" s="1004"/>
      <c r="XM138" s="1004"/>
      <c r="XN138" s="1004"/>
      <c r="XO138" s="1004"/>
      <c r="XP138" s="1004"/>
      <c r="XQ138" s="1004"/>
      <c r="XR138" s="1004"/>
      <c r="XS138" s="1004"/>
      <c r="XT138" s="1004"/>
      <c r="XU138" s="1004"/>
      <c r="XV138" s="1004"/>
      <c r="XW138" s="1004"/>
      <c r="XX138" s="1004"/>
      <c r="XY138" s="1004"/>
      <c r="XZ138" s="1004"/>
      <c r="YA138" s="1004"/>
      <c r="YB138" s="1004"/>
      <c r="YC138" s="1004"/>
      <c r="YD138" s="1004"/>
      <c r="YE138" s="1004"/>
      <c r="YF138" s="1004"/>
      <c r="YG138" s="1004"/>
      <c r="YH138" s="1004"/>
      <c r="YI138" s="1004"/>
      <c r="YJ138" s="1004"/>
      <c r="YK138" s="1004"/>
      <c r="YL138" s="1004"/>
      <c r="YM138" s="1004"/>
      <c r="YN138" s="1004"/>
      <c r="YO138" s="1004"/>
      <c r="YP138" s="1004"/>
      <c r="YQ138" s="1004"/>
      <c r="YR138" s="1004"/>
      <c r="YS138" s="1004"/>
      <c r="YT138" s="1004"/>
      <c r="YU138" s="1004"/>
      <c r="YV138" s="1004"/>
      <c r="YW138" s="1004"/>
      <c r="YX138" s="1004"/>
      <c r="YY138" s="1004"/>
      <c r="YZ138" s="1004"/>
      <c r="ZA138" s="1004"/>
      <c r="ZB138" s="1004"/>
      <c r="ZC138" s="1004"/>
      <c r="ZD138" s="1004"/>
      <c r="ZE138" s="1004"/>
      <c r="ZF138" s="1004"/>
      <c r="ZG138" s="1004"/>
      <c r="ZH138" s="1004"/>
      <c r="ZI138" s="1004"/>
      <c r="ZJ138" s="1004"/>
      <c r="ZK138" s="1004"/>
      <c r="ZL138" s="1004"/>
      <c r="ZM138" s="1004"/>
      <c r="ZN138" s="1004"/>
      <c r="ZO138" s="1004"/>
      <c r="ZP138" s="1004"/>
      <c r="ZQ138" s="1004"/>
      <c r="ZR138" s="1004"/>
      <c r="ZS138" s="1004"/>
      <c r="ZT138" s="1004"/>
      <c r="ZU138" s="1004"/>
      <c r="ZV138" s="1004"/>
      <c r="ZW138" s="1004"/>
      <c r="ZX138" s="1004"/>
      <c r="ZY138" s="1004"/>
      <c r="ZZ138" s="1004"/>
      <c r="AAA138" s="1004"/>
      <c r="AAB138" s="1004"/>
      <c r="AAC138" s="1004"/>
      <c r="AAD138" s="1004"/>
      <c r="AAE138" s="1004"/>
      <c r="AAF138" s="1004"/>
      <c r="AAG138" s="1004"/>
      <c r="AAH138" s="1004"/>
      <c r="AAI138" s="1004"/>
      <c r="AAJ138" s="1004"/>
      <c r="AAK138" s="1004"/>
      <c r="AAL138" s="1004"/>
      <c r="AAM138" s="1004"/>
      <c r="AAN138" s="1004"/>
      <c r="AAO138" s="1004"/>
      <c r="AAP138" s="1004"/>
      <c r="AAQ138" s="1004"/>
      <c r="AAR138" s="1004"/>
      <c r="AAS138" s="1004"/>
      <c r="AAT138" s="1004"/>
      <c r="AAU138" s="1004"/>
      <c r="AAV138" s="1004"/>
      <c r="AAW138" s="1004"/>
      <c r="AAX138" s="1004"/>
      <c r="AAY138" s="1004"/>
      <c r="AAZ138" s="1004"/>
      <c r="ABA138" s="1004"/>
      <c r="ABB138" s="1004"/>
      <c r="ABC138" s="1004"/>
      <c r="ABD138" s="1004"/>
      <c r="ABE138" s="1004"/>
      <c r="ABF138" s="1004"/>
      <c r="ABG138" s="1004"/>
      <c r="ABH138" s="1004"/>
      <c r="ABI138" s="1004"/>
      <c r="ABJ138" s="1004"/>
      <c r="ABK138" s="1004"/>
      <c r="ABL138" s="1004"/>
      <c r="ABM138" s="1004"/>
      <c r="ABN138" s="1004"/>
      <c r="ABO138" s="1004"/>
      <c r="ABP138" s="1004"/>
      <c r="ABQ138" s="1004"/>
      <c r="ABR138" s="1004"/>
    </row>
    <row r="139" spans="1:746" s="112" customFormat="1" ht="12.75" customHeight="1" thickBot="1">
      <c r="A139" s="925"/>
      <c r="B139" s="353" t="s">
        <v>121</v>
      </c>
      <c r="C139" s="117"/>
      <c r="D139" s="134"/>
      <c r="E139" s="347" t="s">
        <v>1</v>
      </c>
      <c r="F139" s="1240"/>
      <c r="G139" s="347">
        <v>0.25</v>
      </c>
      <c r="H139" s="597"/>
      <c r="I139" s="1966"/>
      <c r="J139" s="368"/>
      <c r="K139" s="368"/>
      <c r="L139" s="368"/>
      <c r="M139" s="368"/>
      <c r="N139" s="368"/>
      <c r="O139" s="368"/>
      <c r="P139" s="368"/>
      <c r="Q139" s="368"/>
      <c r="R139" s="368"/>
      <c r="S139" s="368"/>
      <c r="T139" s="368"/>
      <c r="U139" s="368"/>
      <c r="V139" s="368"/>
      <c r="W139" s="368"/>
      <c r="X139" s="368"/>
      <c r="Y139" s="368"/>
      <c r="Z139" s="368"/>
      <c r="AA139" s="368"/>
      <c r="AB139" s="368"/>
      <c r="AC139" s="368"/>
      <c r="AD139" s="368"/>
      <c r="AE139" s="368"/>
      <c r="AF139" s="368"/>
      <c r="AG139" s="1042"/>
      <c r="AH139" s="2228">
        <v>0.2</v>
      </c>
      <c r="AI139" s="1817"/>
      <c r="AJ139" s="1956">
        <f>IF(fx!$C$57=1,SUMIF(fx!I$57:T$57,1,I139:T139),IF(fx!$C$57=2,SUMIF(fx!O$57:AF$57,1,O139:AF139)))</f>
        <v>0</v>
      </c>
      <c r="AK139" s="328"/>
      <c r="AL139" s="422">
        <f>IF(fx!$C$57=1,SUM(U139:AF139),0)</f>
        <v>0</v>
      </c>
      <c r="AM139" s="1005"/>
      <c r="AN139" s="1024"/>
      <c r="AO139" s="1945"/>
      <c r="AP139" s="1935"/>
      <c r="AQ139" s="1936"/>
      <c r="AR139" s="1941"/>
      <c r="AS139" s="1941"/>
      <c r="AT139" s="1941"/>
      <c r="AU139" s="1941"/>
      <c r="AV139" s="1941"/>
      <c r="AW139" s="1941"/>
      <c r="AX139" s="1941"/>
      <c r="AY139" s="1941"/>
      <c r="AZ139" s="1941"/>
      <c r="BA139" s="1941"/>
      <c r="BB139" s="1941"/>
      <c r="BC139" s="1941"/>
      <c r="BD139" s="1941"/>
      <c r="BE139" s="1941"/>
      <c r="BF139" s="1941"/>
      <c r="BG139" s="1941"/>
      <c r="BH139" s="1941"/>
      <c r="BI139" s="1941"/>
      <c r="BJ139" s="1941"/>
      <c r="BK139" s="1941"/>
      <c r="BL139" s="1941"/>
      <c r="BM139" s="1941"/>
      <c r="BN139" s="1941"/>
      <c r="BO139" s="1941"/>
      <c r="BP139" s="1004"/>
      <c r="BQ139" s="1004"/>
      <c r="BR139" s="1004"/>
      <c r="BS139" s="1004"/>
      <c r="BT139" s="1004"/>
      <c r="BU139" s="1004"/>
      <c r="BV139" s="1004"/>
      <c r="BW139" s="1004"/>
      <c r="BX139" s="1004"/>
      <c r="BY139" s="1004"/>
      <c r="BZ139" s="1004"/>
      <c r="CA139" s="1004"/>
      <c r="CB139" s="1004"/>
      <c r="CC139" s="1004"/>
      <c r="CD139" s="1004"/>
      <c r="CE139" s="1004"/>
      <c r="CF139" s="1004"/>
      <c r="CG139" s="1004"/>
      <c r="CH139" s="1004"/>
      <c r="CI139" s="1004"/>
      <c r="CJ139" s="1004"/>
      <c r="CK139" s="1004"/>
      <c r="CL139" s="1004"/>
      <c r="CM139" s="1004"/>
      <c r="CN139" s="1004"/>
      <c r="CO139" s="1004"/>
      <c r="CP139" s="1004"/>
      <c r="CQ139" s="1004"/>
      <c r="CR139" s="1004"/>
      <c r="CS139" s="1004"/>
      <c r="CT139" s="1004"/>
      <c r="CU139" s="1004"/>
      <c r="CV139" s="1004"/>
      <c r="CW139" s="1004"/>
      <c r="CX139" s="1004"/>
      <c r="CY139" s="1004"/>
      <c r="CZ139" s="1004"/>
      <c r="DA139" s="1004"/>
      <c r="DB139" s="1004"/>
      <c r="DC139" s="1004"/>
      <c r="DD139" s="1004"/>
      <c r="DE139" s="1004"/>
      <c r="DF139" s="1004"/>
      <c r="DG139" s="1004"/>
      <c r="DH139" s="1004"/>
      <c r="DI139" s="1004"/>
      <c r="DJ139" s="1004"/>
      <c r="DK139" s="1004"/>
      <c r="DL139" s="1004"/>
      <c r="DM139" s="1004"/>
      <c r="DN139" s="1004"/>
      <c r="DO139" s="1004"/>
      <c r="DP139" s="1004"/>
      <c r="DQ139" s="1004"/>
      <c r="DR139" s="1004"/>
      <c r="DS139" s="1004"/>
      <c r="DT139" s="1004"/>
      <c r="DU139" s="1004"/>
      <c r="DV139" s="1004"/>
      <c r="DW139" s="1004"/>
      <c r="DX139" s="1004"/>
      <c r="DY139" s="1004"/>
      <c r="DZ139" s="1004"/>
      <c r="EA139" s="1004"/>
      <c r="EB139" s="1004"/>
      <c r="EC139" s="1004"/>
      <c r="ED139" s="1004"/>
      <c r="EE139" s="1004"/>
      <c r="EF139" s="1004"/>
      <c r="EG139" s="1004"/>
      <c r="EH139" s="1004"/>
      <c r="EI139" s="1004"/>
      <c r="EJ139" s="1004"/>
      <c r="EK139" s="1004"/>
      <c r="EL139" s="1004"/>
      <c r="EM139" s="1004"/>
      <c r="EN139" s="1004"/>
      <c r="EO139" s="1004"/>
      <c r="EP139" s="1004"/>
      <c r="EQ139" s="1004"/>
      <c r="ER139" s="1004"/>
      <c r="ES139" s="1004"/>
      <c r="ET139" s="1004"/>
      <c r="EU139" s="1004"/>
      <c r="EV139" s="1004"/>
      <c r="EW139" s="1004"/>
      <c r="EX139" s="1004"/>
      <c r="EY139" s="1004"/>
      <c r="EZ139" s="1004"/>
      <c r="FA139" s="1004"/>
      <c r="FB139" s="1004"/>
      <c r="FC139" s="1004"/>
      <c r="FD139" s="1004"/>
      <c r="FE139" s="1004"/>
      <c r="FF139" s="1004"/>
      <c r="FG139" s="1004"/>
      <c r="FH139" s="1004"/>
      <c r="FI139" s="1004"/>
      <c r="FJ139" s="1004"/>
      <c r="FK139" s="1004"/>
      <c r="FL139" s="1004"/>
      <c r="FM139" s="1004"/>
      <c r="FN139" s="1004"/>
      <c r="FO139" s="1004"/>
      <c r="FP139" s="1004"/>
      <c r="FQ139" s="1004"/>
      <c r="FR139" s="1004"/>
      <c r="FS139" s="1004"/>
      <c r="FT139" s="1004"/>
      <c r="FU139" s="1004"/>
      <c r="FV139" s="1004"/>
      <c r="FW139" s="1004"/>
      <c r="FX139" s="1004"/>
      <c r="FY139" s="1004"/>
      <c r="FZ139" s="1004"/>
      <c r="GA139" s="1004"/>
      <c r="GB139" s="1004"/>
      <c r="GC139" s="1004"/>
      <c r="GD139" s="1004"/>
      <c r="GE139" s="1004"/>
      <c r="GF139" s="1004"/>
      <c r="GG139" s="1004"/>
      <c r="GH139" s="1004"/>
      <c r="GI139" s="1004"/>
      <c r="GJ139" s="1004"/>
      <c r="GK139" s="1004"/>
      <c r="GL139" s="1004"/>
      <c r="GM139" s="1004"/>
      <c r="GN139" s="1004"/>
      <c r="GO139" s="1004"/>
      <c r="GP139" s="1004"/>
      <c r="GQ139" s="1004"/>
      <c r="GR139" s="1004"/>
      <c r="GS139" s="1004"/>
      <c r="GT139" s="1004"/>
      <c r="GU139" s="1004"/>
      <c r="GV139" s="1004"/>
      <c r="GW139" s="1004"/>
      <c r="GX139" s="1004"/>
      <c r="GY139" s="1004"/>
      <c r="GZ139" s="1004"/>
      <c r="HA139" s="1004"/>
      <c r="HB139" s="1004"/>
      <c r="HC139" s="1004"/>
      <c r="HD139" s="1004"/>
      <c r="HE139" s="1004"/>
      <c r="HF139" s="1004"/>
      <c r="HG139" s="1004"/>
      <c r="HH139" s="1004"/>
      <c r="HI139" s="1004"/>
      <c r="HJ139" s="1004"/>
      <c r="HK139" s="1004"/>
      <c r="HL139" s="1004"/>
      <c r="HM139" s="1004"/>
      <c r="HN139" s="1004"/>
      <c r="HO139" s="1004"/>
      <c r="HP139" s="1004"/>
      <c r="HQ139" s="1004"/>
      <c r="HR139" s="1004"/>
      <c r="HS139" s="1004"/>
      <c r="HT139" s="1004"/>
      <c r="HU139" s="1004"/>
      <c r="HV139" s="1004"/>
      <c r="HW139" s="1004"/>
      <c r="HX139" s="1004"/>
      <c r="HY139" s="1004"/>
      <c r="HZ139" s="1004"/>
      <c r="IA139" s="1004"/>
      <c r="IB139" s="1004"/>
      <c r="IC139" s="1004"/>
      <c r="ID139" s="1004"/>
      <c r="IE139" s="1004"/>
      <c r="IF139" s="1004"/>
      <c r="IG139" s="1004"/>
      <c r="IH139" s="1004"/>
      <c r="II139" s="1004"/>
      <c r="IJ139" s="1004"/>
      <c r="IK139" s="1004"/>
      <c r="IL139" s="1004"/>
      <c r="IM139" s="1004"/>
      <c r="IN139" s="1004"/>
      <c r="IO139" s="1004"/>
      <c r="IP139" s="1004"/>
      <c r="IQ139" s="1004"/>
      <c r="IR139" s="1004"/>
      <c r="IS139" s="1004"/>
      <c r="IT139" s="1004"/>
      <c r="IU139" s="1004"/>
      <c r="IV139" s="1004"/>
      <c r="IW139" s="1004"/>
      <c r="IX139" s="1004"/>
      <c r="IY139" s="1004"/>
      <c r="IZ139" s="1004"/>
      <c r="JA139" s="1004"/>
      <c r="JB139" s="1004"/>
      <c r="JC139" s="1004"/>
      <c r="JD139" s="1004"/>
      <c r="JE139" s="1004"/>
      <c r="JF139" s="1004"/>
      <c r="JG139" s="1004"/>
      <c r="JH139" s="1004"/>
      <c r="JI139" s="1004"/>
      <c r="JJ139" s="1004"/>
      <c r="JK139" s="1004"/>
      <c r="JL139" s="1004"/>
      <c r="JM139" s="1004"/>
      <c r="JN139" s="1004"/>
      <c r="JO139" s="1004"/>
      <c r="JP139" s="1004"/>
      <c r="JQ139" s="1004"/>
      <c r="JR139" s="1004"/>
      <c r="JS139" s="1004"/>
      <c r="JT139" s="1004"/>
      <c r="JU139" s="1004"/>
      <c r="JV139" s="1004"/>
      <c r="JW139" s="1004"/>
      <c r="JX139" s="1004"/>
      <c r="JY139" s="1004"/>
      <c r="JZ139" s="1004"/>
      <c r="KA139" s="1004"/>
      <c r="KB139" s="1004"/>
      <c r="KC139" s="1004"/>
      <c r="KD139" s="1004"/>
      <c r="KE139" s="1004"/>
      <c r="KF139" s="1004"/>
      <c r="KG139" s="1004"/>
      <c r="KH139" s="1004"/>
      <c r="KI139" s="1004"/>
      <c r="KJ139" s="1004"/>
      <c r="KK139" s="1004"/>
      <c r="KL139" s="1004"/>
      <c r="KM139" s="1004"/>
      <c r="KN139" s="1004"/>
      <c r="KO139" s="1004"/>
      <c r="KP139" s="1004"/>
      <c r="KQ139" s="1004"/>
      <c r="KR139" s="1004"/>
      <c r="KS139" s="1004"/>
      <c r="KT139" s="1004"/>
      <c r="KU139" s="1004"/>
      <c r="KV139" s="1004"/>
      <c r="KW139" s="1004"/>
      <c r="KX139" s="1004"/>
      <c r="KY139" s="1004"/>
      <c r="KZ139" s="1004"/>
      <c r="LA139" s="1004"/>
      <c r="LB139" s="1004"/>
      <c r="LC139" s="1004"/>
      <c r="LD139" s="1004"/>
      <c r="LE139" s="1004"/>
      <c r="LF139" s="1004"/>
      <c r="LG139" s="1004"/>
      <c r="LH139" s="1004"/>
      <c r="LI139" s="1004"/>
      <c r="LJ139" s="1004"/>
      <c r="LK139" s="1004"/>
      <c r="LL139" s="1004"/>
      <c r="LM139" s="1004"/>
      <c r="LN139" s="1004"/>
      <c r="LO139" s="1004"/>
      <c r="LP139" s="1004"/>
      <c r="LQ139" s="1004"/>
      <c r="LR139" s="1004"/>
      <c r="LS139" s="1004"/>
      <c r="LT139" s="1004"/>
      <c r="LU139" s="1004"/>
      <c r="LV139" s="1004"/>
      <c r="LW139" s="1004"/>
      <c r="LX139" s="1004"/>
      <c r="LY139" s="1004"/>
      <c r="LZ139" s="1004"/>
      <c r="MA139" s="1004"/>
      <c r="MB139" s="1004"/>
      <c r="MC139" s="1004"/>
      <c r="MD139" s="1004"/>
      <c r="ME139" s="1004"/>
      <c r="MF139" s="1004"/>
      <c r="MG139" s="1004"/>
      <c r="MH139" s="1004"/>
      <c r="MI139" s="1004"/>
      <c r="MJ139" s="1004"/>
      <c r="MK139" s="1004"/>
      <c r="ML139" s="1004"/>
      <c r="MM139" s="1004"/>
      <c r="MN139" s="1004"/>
      <c r="MO139" s="1004"/>
      <c r="MP139" s="1004"/>
      <c r="MQ139" s="1004"/>
      <c r="MR139" s="1004"/>
      <c r="MS139" s="1004"/>
      <c r="MT139" s="1004"/>
      <c r="MU139" s="1004"/>
      <c r="MV139" s="1004"/>
      <c r="MW139" s="1004"/>
      <c r="MX139" s="1004"/>
      <c r="MY139" s="1004"/>
      <c r="MZ139" s="1004"/>
      <c r="NA139" s="1004"/>
      <c r="NB139" s="1004"/>
      <c r="NC139" s="1004"/>
      <c r="ND139" s="1004"/>
      <c r="NE139" s="1004"/>
      <c r="NF139" s="1004"/>
      <c r="NG139" s="1004"/>
      <c r="NH139" s="1004"/>
      <c r="NI139" s="1004"/>
      <c r="NJ139" s="1004"/>
      <c r="NK139" s="1004"/>
      <c r="NL139" s="1004"/>
      <c r="NM139" s="1004"/>
      <c r="NN139" s="1004"/>
      <c r="NO139" s="1004"/>
      <c r="NP139" s="1004"/>
      <c r="NQ139" s="1004"/>
      <c r="NR139" s="1004"/>
      <c r="NS139" s="1004"/>
      <c r="NT139" s="1004"/>
      <c r="NU139" s="1004"/>
      <c r="NV139" s="1004"/>
      <c r="NW139" s="1004"/>
      <c r="NX139" s="1004"/>
      <c r="NY139" s="1004"/>
      <c r="NZ139" s="1004"/>
      <c r="OA139" s="1004"/>
      <c r="OB139" s="1004"/>
      <c r="OC139" s="1004"/>
      <c r="OD139" s="1004"/>
      <c r="OE139" s="1004"/>
      <c r="OF139" s="1004"/>
      <c r="OG139" s="1004"/>
      <c r="OH139" s="1004"/>
      <c r="OI139" s="1004"/>
      <c r="OJ139" s="1004"/>
      <c r="OK139" s="1004"/>
      <c r="OL139" s="1004"/>
      <c r="OM139" s="1004"/>
      <c r="ON139" s="1004"/>
      <c r="OO139" s="1004"/>
      <c r="OP139" s="1004"/>
      <c r="OQ139" s="1004"/>
      <c r="OR139" s="1004"/>
      <c r="OS139" s="1004"/>
      <c r="OT139" s="1004"/>
      <c r="OU139" s="1004"/>
      <c r="OV139" s="1004"/>
      <c r="OW139" s="1004"/>
      <c r="OX139" s="1004"/>
      <c r="OY139" s="1004"/>
      <c r="OZ139" s="1004"/>
      <c r="PA139" s="1004"/>
      <c r="PB139" s="1004"/>
      <c r="PC139" s="1004"/>
      <c r="PD139" s="1004"/>
      <c r="PE139" s="1004"/>
      <c r="PF139" s="1004"/>
      <c r="PG139" s="1004"/>
      <c r="PH139" s="1004"/>
      <c r="PI139" s="1004"/>
      <c r="PJ139" s="1004"/>
      <c r="PK139" s="1004"/>
      <c r="PL139" s="1004"/>
      <c r="PM139" s="1004"/>
      <c r="PN139" s="1004"/>
      <c r="PO139" s="1004"/>
      <c r="PP139" s="1004"/>
      <c r="PQ139" s="1004"/>
      <c r="PR139" s="1004"/>
      <c r="PS139" s="1004"/>
      <c r="PT139" s="1004"/>
      <c r="PU139" s="1004"/>
      <c r="PV139" s="1004"/>
      <c r="PW139" s="1004"/>
      <c r="PX139" s="1004"/>
      <c r="PY139" s="1004"/>
      <c r="PZ139" s="1004"/>
      <c r="QA139" s="1004"/>
      <c r="QB139" s="1004"/>
      <c r="QC139" s="1004"/>
      <c r="QD139" s="1004"/>
      <c r="QE139" s="1004"/>
      <c r="QF139" s="1004"/>
      <c r="QG139" s="1004"/>
      <c r="QH139" s="1004"/>
      <c r="QI139" s="1004"/>
      <c r="QJ139" s="1004"/>
      <c r="QK139" s="1004"/>
      <c r="QL139" s="1004"/>
      <c r="QM139" s="1004"/>
      <c r="QN139" s="1004"/>
      <c r="QO139" s="1004"/>
      <c r="QP139" s="1004"/>
      <c r="QQ139" s="1004"/>
      <c r="QR139" s="1004"/>
      <c r="QS139" s="1004"/>
      <c r="QT139" s="1004"/>
      <c r="QU139" s="1004"/>
      <c r="QV139" s="1004"/>
      <c r="QW139" s="1004"/>
      <c r="QX139" s="1004"/>
      <c r="QY139" s="1004"/>
      <c r="QZ139" s="1004"/>
      <c r="RA139" s="1004"/>
      <c r="RB139" s="1004"/>
      <c r="RC139" s="1004"/>
      <c r="RD139" s="1004"/>
      <c r="RE139" s="1004"/>
      <c r="RF139" s="1004"/>
      <c r="RG139" s="1004"/>
      <c r="RH139" s="1004"/>
      <c r="RI139" s="1004"/>
      <c r="RJ139" s="1004"/>
      <c r="RK139" s="1004"/>
      <c r="RL139" s="1004"/>
      <c r="RM139" s="1004"/>
      <c r="RN139" s="1004"/>
      <c r="RO139" s="1004"/>
      <c r="RP139" s="1004"/>
      <c r="RQ139" s="1004"/>
      <c r="RR139" s="1004"/>
      <c r="RS139" s="1004"/>
      <c r="RT139" s="1004"/>
      <c r="RU139" s="1004"/>
      <c r="RV139" s="1004"/>
      <c r="RW139" s="1004"/>
      <c r="RX139" s="1004"/>
      <c r="RY139" s="1004"/>
      <c r="RZ139" s="1004"/>
      <c r="SA139" s="1004"/>
      <c r="SB139" s="1004"/>
      <c r="SC139" s="1004"/>
      <c r="SD139" s="1004"/>
      <c r="SE139" s="1004"/>
      <c r="SF139" s="1004"/>
      <c r="SG139" s="1004"/>
      <c r="SH139" s="1004"/>
      <c r="SI139" s="1004"/>
      <c r="SJ139" s="1004"/>
      <c r="SK139" s="1004"/>
      <c r="SL139" s="1004"/>
      <c r="SM139" s="1004"/>
      <c r="SN139" s="1004"/>
      <c r="SO139" s="1004"/>
      <c r="SP139" s="1004"/>
      <c r="SQ139" s="1004"/>
      <c r="SR139" s="1004"/>
      <c r="SS139" s="1004"/>
      <c r="ST139" s="1004"/>
      <c r="SU139" s="1004"/>
      <c r="SV139" s="1004"/>
      <c r="SW139" s="1004"/>
      <c r="SX139" s="1004"/>
      <c r="SY139" s="1004"/>
      <c r="SZ139" s="1004"/>
      <c r="TA139" s="1004"/>
      <c r="TB139" s="1004"/>
      <c r="TC139" s="1004"/>
      <c r="TD139" s="1004"/>
      <c r="TE139" s="1004"/>
      <c r="TF139" s="1004"/>
      <c r="TG139" s="1004"/>
      <c r="TH139" s="1004"/>
      <c r="TI139" s="1004"/>
      <c r="TJ139" s="1004"/>
      <c r="TK139" s="1004"/>
      <c r="TL139" s="1004"/>
      <c r="TM139" s="1004"/>
      <c r="TN139" s="1004"/>
      <c r="TO139" s="1004"/>
      <c r="TP139" s="1004"/>
      <c r="TQ139" s="1004"/>
      <c r="TR139" s="1004"/>
      <c r="TS139" s="1004"/>
      <c r="TT139" s="1004"/>
      <c r="TU139" s="1004"/>
      <c r="TV139" s="1004"/>
      <c r="TW139" s="1004"/>
      <c r="TX139" s="1004"/>
      <c r="TY139" s="1004"/>
      <c r="TZ139" s="1004"/>
      <c r="UA139" s="1004"/>
      <c r="UB139" s="1004"/>
      <c r="UC139" s="1004"/>
      <c r="UD139" s="1004"/>
      <c r="UE139" s="1004"/>
      <c r="UF139" s="1004"/>
      <c r="UG139" s="1004"/>
      <c r="UH139" s="1004"/>
      <c r="UI139" s="1004"/>
      <c r="UJ139" s="1004"/>
      <c r="UK139" s="1004"/>
      <c r="UL139" s="1004"/>
      <c r="UM139" s="1004"/>
      <c r="UN139" s="1004"/>
      <c r="UO139" s="1004"/>
      <c r="UP139" s="1004"/>
      <c r="UQ139" s="1004"/>
      <c r="UR139" s="1004"/>
      <c r="US139" s="1004"/>
      <c r="UT139" s="1004"/>
      <c r="UU139" s="1004"/>
      <c r="UV139" s="1004"/>
      <c r="UW139" s="1004"/>
      <c r="UX139" s="1004"/>
      <c r="UY139" s="1004"/>
      <c r="UZ139" s="1004"/>
      <c r="VA139" s="1004"/>
      <c r="VB139" s="1004"/>
      <c r="VC139" s="1004"/>
      <c r="VD139" s="1004"/>
      <c r="VE139" s="1004"/>
      <c r="VF139" s="1004"/>
      <c r="VG139" s="1004"/>
      <c r="VH139" s="1004"/>
      <c r="VI139" s="1004"/>
      <c r="VJ139" s="1004"/>
      <c r="VK139" s="1004"/>
      <c r="VL139" s="1004"/>
      <c r="VM139" s="1004"/>
      <c r="VN139" s="1004"/>
      <c r="VO139" s="1004"/>
      <c r="VP139" s="1004"/>
      <c r="VQ139" s="1004"/>
      <c r="VR139" s="1004"/>
      <c r="VS139" s="1004"/>
      <c r="VT139" s="1004"/>
      <c r="VU139" s="1004"/>
      <c r="VV139" s="1004"/>
      <c r="VW139" s="1004"/>
      <c r="VX139" s="1004"/>
      <c r="VY139" s="1004"/>
      <c r="VZ139" s="1004"/>
      <c r="WA139" s="1004"/>
      <c r="WB139" s="1004"/>
      <c r="WC139" s="1004"/>
      <c r="WD139" s="1004"/>
      <c r="WE139" s="1004"/>
      <c r="WF139" s="1004"/>
      <c r="WG139" s="1004"/>
      <c r="WH139" s="1004"/>
      <c r="WI139" s="1004"/>
      <c r="WJ139" s="1004"/>
      <c r="WK139" s="1004"/>
      <c r="WL139" s="1004"/>
      <c r="WM139" s="1004"/>
      <c r="WN139" s="1004"/>
      <c r="WO139" s="1004"/>
      <c r="WP139" s="1004"/>
      <c r="WQ139" s="1004"/>
      <c r="WR139" s="1004"/>
      <c r="WS139" s="1004"/>
      <c r="WT139" s="1004"/>
      <c r="WU139" s="1004"/>
      <c r="WV139" s="1004"/>
      <c r="WW139" s="1004"/>
      <c r="WX139" s="1004"/>
      <c r="WY139" s="1004"/>
      <c r="WZ139" s="1004"/>
      <c r="XA139" s="1004"/>
      <c r="XB139" s="1004"/>
      <c r="XC139" s="1004"/>
      <c r="XD139" s="1004"/>
      <c r="XE139" s="1004"/>
      <c r="XF139" s="1004"/>
      <c r="XG139" s="1004"/>
      <c r="XH139" s="1004"/>
      <c r="XI139" s="1004"/>
      <c r="XJ139" s="1004"/>
      <c r="XK139" s="1004"/>
      <c r="XL139" s="1004"/>
      <c r="XM139" s="1004"/>
      <c r="XN139" s="1004"/>
      <c r="XO139" s="1004"/>
      <c r="XP139" s="1004"/>
      <c r="XQ139" s="1004"/>
      <c r="XR139" s="1004"/>
      <c r="XS139" s="1004"/>
      <c r="XT139" s="1004"/>
      <c r="XU139" s="1004"/>
      <c r="XV139" s="1004"/>
      <c r="XW139" s="1004"/>
      <c r="XX139" s="1004"/>
      <c r="XY139" s="1004"/>
      <c r="XZ139" s="1004"/>
      <c r="YA139" s="1004"/>
      <c r="YB139" s="1004"/>
      <c r="YC139" s="1004"/>
      <c r="YD139" s="1004"/>
      <c r="YE139" s="1004"/>
      <c r="YF139" s="1004"/>
      <c r="YG139" s="1004"/>
      <c r="YH139" s="1004"/>
      <c r="YI139" s="1004"/>
      <c r="YJ139" s="1004"/>
      <c r="YK139" s="1004"/>
      <c r="YL139" s="1004"/>
      <c r="YM139" s="1004"/>
      <c r="YN139" s="1004"/>
      <c r="YO139" s="1004"/>
      <c r="YP139" s="1004"/>
      <c r="YQ139" s="1004"/>
      <c r="YR139" s="1004"/>
      <c r="YS139" s="1004"/>
      <c r="YT139" s="1004"/>
      <c r="YU139" s="1004"/>
      <c r="YV139" s="1004"/>
      <c r="YW139" s="1004"/>
      <c r="YX139" s="1004"/>
      <c r="YY139" s="1004"/>
      <c r="YZ139" s="1004"/>
      <c r="ZA139" s="1004"/>
      <c r="ZB139" s="1004"/>
      <c r="ZC139" s="1004"/>
      <c r="ZD139" s="1004"/>
      <c r="ZE139" s="1004"/>
      <c r="ZF139" s="1004"/>
      <c r="ZG139" s="1004"/>
      <c r="ZH139" s="1004"/>
      <c r="ZI139" s="1004"/>
      <c r="ZJ139" s="1004"/>
      <c r="ZK139" s="1004"/>
      <c r="ZL139" s="1004"/>
      <c r="ZM139" s="1004"/>
      <c r="ZN139" s="1004"/>
      <c r="ZO139" s="1004"/>
      <c r="ZP139" s="1004"/>
      <c r="ZQ139" s="1004"/>
      <c r="ZR139" s="1004"/>
      <c r="ZS139" s="1004"/>
      <c r="ZT139" s="1004"/>
      <c r="ZU139" s="1004"/>
      <c r="ZV139" s="1004"/>
      <c r="ZW139" s="1004"/>
      <c r="ZX139" s="1004"/>
      <c r="ZY139" s="1004"/>
      <c r="ZZ139" s="1004"/>
      <c r="AAA139" s="1004"/>
      <c r="AAB139" s="1004"/>
      <c r="AAC139" s="1004"/>
      <c r="AAD139" s="1004"/>
      <c r="AAE139" s="1004"/>
      <c r="AAF139" s="1004"/>
      <c r="AAG139" s="1004"/>
      <c r="AAH139" s="1004"/>
      <c r="AAI139" s="1004"/>
      <c r="AAJ139" s="1004"/>
      <c r="AAK139" s="1004"/>
      <c r="AAL139" s="1004"/>
      <c r="AAM139" s="1004"/>
      <c r="AAN139" s="1004"/>
      <c r="AAO139" s="1004"/>
      <c r="AAP139" s="1004"/>
      <c r="AAQ139" s="1004"/>
      <c r="AAR139" s="1004"/>
      <c r="AAS139" s="1004"/>
      <c r="AAT139" s="1004"/>
      <c r="AAU139" s="1004"/>
      <c r="AAV139" s="1004"/>
      <c r="AAW139" s="1004"/>
      <c r="AAX139" s="1004"/>
      <c r="AAY139" s="1004"/>
      <c r="AAZ139" s="1004"/>
      <c r="ABA139" s="1004"/>
      <c r="ABB139" s="1004"/>
      <c r="ABC139" s="1004"/>
      <c r="ABD139" s="1004"/>
      <c r="ABE139" s="1004"/>
      <c r="ABF139" s="1004"/>
      <c r="ABG139" s="1004"/>
      <c r="ABH139" s="1004"/>
      <c r="ABI139" s="1004"/>
      <c r="ABJ139" s="1004"/>
      <c r="ABK139" s="1004"/>
      <c r="ABL139" s="1004"/>
      <c r="ABM139" s="1004"/>
      <c r="ABN139" s="1004"/>
      <c r="ABO139" s="1004"/>
      <c r="ABP139" s="1004"/>
      <c r="ABQ139" s="1004"/>
      <c r="ABR139" s="1004"/>
    </row>
    <row r="140" spans="1:746" s="112" customFormat="1" ht="12.75" customHeight="1" thickBot="1">
      <c r="A140" s="925"/>
      <c r="B140" s="353" t="s">
        <v>120</v>
      </c>
      <c r="C140" s="117"/>
      <c r="D140" s="134"/>
      <c r="E140" s="347" t="s">
        <v>1</v>
      </c>
      <c r="F140" s="1240"/>
      <c r="G140" s="347">
        <v>0.25</v>
      </c>
      <c r="H140" s="597"/>
      <c r="I140" s="1966"/>
      <c r="J140" s="368"/>
      <c r="K140" s="368"/>
      <c r="L140" s="368"/>
      <c r="M140" s="368"/>
      <c r="N140" s="368"/>
      <c r="O140" s="368"/>
      <c r="P140" s="368"/>
      <c r="Q140" s="368"/>
      <c r="R140" s="368"/>
      <c r="S140" s="368"/>
      <c r="T140" s="368"/>
      <c r="U140" s="368"/>
      <c r="V140" s="368"/>
      <c r="W140" s="368"/>
      <c r="X140" s="368"/>
      <c r="Y140" s="368"/>
      <c r="Z140" s="368"/>
      <c r="AA140" s="368"/>
      <c r="AB140" s="368"/>
      <c r="AC140" s="368"/>
      <c r="AD140" s="368"/>
      <c r="AE140" s="368"/>
      <c r="AF140" s="1966"/>
      <c r="AG140" s="1042"/>
      <c r="AH140" s="2229">
        <v>0.2</v>
      </c>
      <c r="AI140" s="1817"/>
      <c r="AJ140" s="1956">
        <f>IF(fx!$C$57=1,SUMIF(fx!I$57:T$57,1,I140:T140),IF(fx!$C$57=2,SUMIF(fx!O$57:AF$57,1,O140:AF140)))</f>
        <v>0</v>
      </c>
      <c r="AK140" s="328"/>
      <c r="AL140" s="422">
        <f>IF(fx!$C$57=1,SUM(U140:AF140),0)</f>
        <v>0</v>
      </c>
      <c r="AM140" s="1005"/>
      <c r="AN140" s="1024"/>
      <c r="AO140" s="1945"/>
      <c r="AP140" s="1935"/>
      <c r="AQ140" s="1936"/>
      <c r="AR140" s="1941"/>
      <c r="AS140" s="1941"/>
      <c r="AT140" s="1941"/>
      <c r="AU140" s="1941"/>
      <c r="AV140" s="1941"/>
      <c r="AW140" s="1941"/>
      <c r="AX140" s="1941"/>
      <c r="AY140" s="1941"/>
      <c r="AZ140" s="1941"/>
      <c r="BA140" s="1941"/>
      <c r="BB140" s="1941"/>
      <c r="BC140" s="1941"/>
      <c r="BD140" s="1941"/>
      <c r="BE140" s="1941"/>
      <c r="BF140" s="1941"/>
      <c r="BG140" s="1941"/>
      <c r="BH140" s="1941"/>
      <c r="BI140" s="1941"/>
      <c r="BJ140" s="1941"/>
      <c r="BK140" s="1941"/>
      <c r="BL140" s="1941"/>
      <c r="BM140" s="1941"/>
      <c r="BN140" s="1941"/>
      <c r="BO140" s="1941"/>
      <c r="BP140" s="1004"/>
      <c r="BQ140" s="1004"/>
      <c r="BR140" s="1004"/>
      <c r="BS140" s="1004"/>
      <c r="BT140" s="1004"/>
      <c r="BU140" s="1004"/>
      <c r="BV140" s="1004"/>
      <c r="BW140" s="1004"/>
      <c r="BX140" s="1004"/>
      <c r="BY140" s="1004"/>
      <c r="BZ140" s="1004"/>
      <c r="CA140" s="1004"/>
      <c r="CB140" s="1004"/>
      <c r="CC140" s="1004"/>
      <c r="CD140" s="1004"/>
      <c r="CE140" s="1004"/>
      <c r="CF140" s="1004"/>
      <c r="CG140" s="1004"/>
      <c r="CH140" s="1004"/>
      <c r="CI140" s="1004"/>
      <c r="CJ140" s="1004"/>
      <c r="CK140" s="1004"/>
      <c r="CL140" s="1004"/>
      <c r="CM140" s="1004"/>
      <c r="CN140" s="1004"/>
      <c r="CO140" s="1004"/>
      <c r="CP140" s="1004"/>
      <c r="CQ140" s="1004"/>
      <c r="CR140" s="1004"/>
      <c r="CS140" s="1004"/>
      <c r="CT140" s="1004"/>
      <c r="CU140" s="1004"/>
      <c r="CV140" s="1004"/>
      <c r="CW140" s="1004"/>
      <c r="CX140" s="1004"/>
      <c r="CY140" s="1004"/>
      <c r="CZ140" s="1004"/>
      <c r="DA140" s="1004"/>
      <c r="DB140" s="1004"/>
      <c r="DC140" s="1004"/>
      <c r="DD140" s="1004"/>
      <c r="DE140" s="1004"/>
      <c r="DF140" s="1004"/>
      <c r="DG140" s="1004"/>
      <c r="DH140" s="1004"/>
      <c r="DI140" s="1004"/>
      <c r="DJ140" s="1004"/>
      <c r="DK140" s="1004"/>
      <c r="DL140" s="1004"/>
      <c r="DM140" s="1004"/>
      <c r="DN140" s="1004"/>
      <c r="DO140" s="1004"/>
      <c r="DP140" s="1004"/>
      <c r="DQ140" s="1004"/>
      <c r="DR140" s="1004"/>
      <c r="DS140" s="1004"/>
      <c r="DT140" s="1004"/>
      <c r="DU140" s="1004"/>
      <c r="DV140" s="1004"/>
      <c r="DW140" s="1004"/>
      <c r="DX140" s="1004"/>
      <c r="DY140" s="1004"/>
      <c r="DZ140" s="1004"/>
      <c r="EA140" s="1004"/>
      <c r="EB140" s="1004"/>
      <c r="EC140" s="1004"/>
      <c r="ED140" s="1004"/>
      <c r="EE140" s="1004"/>
      <c r="EF140" s="1004"/>
      <c r="EG140" s="1004"/>
      <c r="EH140" s="1004"/>
      <c r="EI140" s="1004"/>
      <c r="EJ140" s="1004"/>
      <c r="EK140" s="1004"/>
      <c r="EL140" s="1004"/>
      <c r="EM140" s="1004"/>
      <c r="EN140" s="1004"/>
      <c r="EO140" s="1004"/>
      <c r="EP140" s="1004"/>
      <c r="EQ140" s="1004"/>
      <c r="ER140" s="1004"/>
      <c r="ES140" s="1004"/>
      <c r="ET140" s="1004"/>
      <c r="EU140" s="1004"/>
      <c r="EV140" s="1004"/>
      <c r="EW140" s="1004"/>
      <c r="EX140" s="1004"/>
      <c r="EY140" s="1004"/>
      <c r="EZ140" s="1004"/>
      <c r="FA140" s="1004"/>
      <c r="FB140" s="1004"/>
      <c r="FC140" s="1004"/>
      <c r="FD140" s="1004"/>
      <c r="FE140" s="1004"/>
      <c r="FF140" s="1004"/>
      <c r="FG140" s="1004"/>
      <c r="FH140" s="1004"/>
      <c r="FI140" s="1004"/>
      <c r="FJ140" s="1004"/>
      <c r="FK140" s="1004"/>
      <c r="FL140" s="1004"/>
      <c r="FM140" s="1004"/>
      <c r="FN140" s="1004"/>
      <c r="FO140" s="1004"/>
      <c r="FP140" s="1004"/>
      <c r="FQ140" s="1004"/>
      <c r="FR140" s="1004"/>
      <c r="FS140" s="1004"/>
      <c r="FT140" s="1004"/>
      <c r="FU140" s="1004"/>
      <c r="FV140" s="1004"/>
      <c r="FW140" s="1004"/>
      <c r="FX140" s="1004"/>
      <c r="FY140" s="1004"/>
      <c r="FZ140" s="1004"/>
      <c r="GA140" s="1004"/>
      <c r="GB140" s="1004"/>
      <c r="GC140" s="1004"/>
      <c r="GD140" s="1004"/>
      <c r="GE140" s="1004"/>
      <c r="GF140" s="1004"/>
      <c r="GG140" s="1004"/>
      <c r="GH140" s="1004"/>
      <c r="GI140" s="1004"/>
      <c r="GJ140" s="1004"/>
      <c r="GK140" s="1004"/>
      <c r="GL140" s="1004"/>
      <c r="GM140" s="1004"/>
      <c r="GN140" s="1004"/>
      <c r="GO140" s="1004"/>
      <c r="GP140" s="1004"/>
      <c r="GQ140" s="1004"/>
      <c r="GR140" s="1004"/>
      <c r="GS140" s="1004"/>
      <c r="GT140" s="1004"/>
      <c r="GU140" s="1004"/>
      <c r="GV140" s="1004"/>
      <c r="GW140" s="1004"/>
      <c r="GX140" s="1004"/>
      <c r="GY140" s="1004"/>
      <c r="GZ140" s="1004"/>
      <c r="HA140" s="1004"/>
      <c r="HB140" s="1004"/>
      <c r="HC140" s="1004"/>
      <c r="HD140" s="1004"/>
      <c r="HE140" s="1004"/>
      <c r="HF140" s="1004"/>
      <c r="HG140" s="1004"/>
      <c r="HH140" s="1004"/>
      <c r="HI140" s="1004"/>
      <c r="HJ140" s="1004"/>
      <c r="HK140" s="1004"/>
      <c r="HL140" s="1004"/>
      <c r="HM140" s="1004"/>
      <c r="HN140" s="1004"/>
      <c r="HO140" s="1004"/>
      <c r="HP140" s="1004"/>
      <c r="HQ140" s="1004"/>
      <c r="HR140" s="1004"/>
      <c r="HS140" s="1004"/>
      <c r="HT140" s="1004"/>
      <c r="HU140" s="1004"/>
      <c r="HV140" s="1004"/>
      <c r="HW140" s="1004"/>
      <c r="HX140" s="1004"/>
      <c r="HY140" s="1004"/>
      <c r="HZ140" s="1004"/>
      <c r="IA140" s="1004"/>
      <c r="IB140" s="1004"/>
      <c r="IC140" s="1004"/>
      <c r="ID140" s="1004"/>
      <c r="IE140" s="1004"/>
      <c r="IF140" s="1004"/>
      <c r="IG140" s="1004"/>
      <c r="IH140" s="1004"/>
      <c r="II140" s="1004"/>
      <c r="IJ140" s="1004"/>
      <c r="IK140" s="1004"/>
      <c r="IL140" s="1004"/>
      <c r="IM140" s="1004"/>
      <c r="IN140" s="1004"/>
      <c r="IO140" s="1004"/>
      <c r="IP140" s="1004"/>
      <c r="IQ140" s="1004"/>
      <c r="IR140" s="1004"/>
      <c r="IS140" s="1004"/>
      <c r="IT140" s="1004"/>
      <c r="IU140" s="1004"/>
      <c r="IV140" s="1004"/>
      <c r="IW140" s="1004"/>
      <c r="IX140" s="1004"/>
      <c r="IY140" s="1004"/>
      <c r="IZ140" s="1004"/>
      <c r="JA140" s="1004"/>
      <c r="JB140" s="1004"/>
      <c r="JC140" s="1004"/>
      <c r="JD140" s="1004"/>
      <c r="JE140" s="1004"/>
      <c r="JF140" s="1004"/>
      <c r="JG140" s="1004"/>
      <c r="JH140" s="1004"/>
      <c r="JI140" s="1004"/>
      <c r="JJ140" s="1004"/>
      <c r="JK140" s="1004"/>
      <c r="JL140" s="1004"/>
      <c r="JM140" s="1004"/>
      <c r="JN140" s="1004"/>
      <c r="JO140" s="1004"/>
      <c r="JP140" s="1004"/>
      <c r="JQ140" s="1004"/>
      <c r="JR140" s="1004"/>
      <c r="JS140" s="1004"/>
      <c r="JT140" s="1004"/>
      <c r="JU140" s="1004"/>
      <c r="JV140" s="1004"/>
      <c r="JW140" s="1004"/>
      <c r="JX140" s="1004"/>
      <c r="JY140" s="1004"/>
      <c r="JZ140" s="1004"/>
      <c r="KA140" s="1004"/>
      <c r="KB140" s="1004"/>
      <c r="KC140" s="1004"/>
      <c r="KD140" s="1004"/>
      <c r="KE140" s="1004"/>
      <c r="KF140" s="1004"/>
      <c r="KG140" s="1004"/>
      <c r="KH140" s="1004"/>
      <c r="KI140" s="1004"/>
      <c r="KJ140" s="1004"/>
      <c r="KK140" s="1004"/>
      <c r="KL140" s="1004"/>
      <c r="KM140" s="1004"/>
      <c r="KN140" s="1004"/>
      <c r="KO140" s="1004"/>
      <c r="KP140" s="1004"/>
      <c r="KQ140" s="1004"/>
      <c r="KR140" s="1004"/>
      <c r="KS140" s="1004"/>
      <c r="KT140" s="1004"/>
      <c r="KU140" s="1004"/>
      <c r="KV140" s="1004"/>
      <c r="KW140" s="1004"/>
      <c r="KX140" s="1004"/>
      <c r="KY140" s="1004"/>
      <c r="KZ140" s="1004"/>
      <c r="LA140" s="1004"/>
      <c r="LB140" s="1004"/>
      <c r="LC140" s="1004"/>
      <c r="LD140" s="1004"/>
      <c r="LE140" s="1004"/>
      <c r="LF140" s="1004"/>
      <c r="LG140" s="1004"/>
      <c r="LH140" s="1004"/>
      <c r="LI140" s="1004"/>
      <c r="LJ140" s="1004"/>
      <c r="LK140" s="1004"/>
      <c r="LL140" s="1004"/>
      <c r="LM140" s="1004"/>
      <c r="LN140" s="1004"/>
      <c r="LO140" s="1004"/>
      <c r="LP140" s="1004"/>
      <c r="LQ140" s="1004"/>
      <c r="LR140" s="1004"/>
      <c r="LS140" s="1004"/>
      <c r="LT140" s="1004"/>
      <c r="LU140" s="1004"/>
      <c r="LV140" s="1004"/>
      <c r="LW140" s="1004"/>
      <c r="LX140" s="1004"/>
      <c r="LY140" s="1004"/>
      <c r="LZ140" s="1004"/>
      <c r="MA140" s="1004"/>
      <c r="MB140" s="1004"/>
      <c r="MC140" s="1004"/>
      <c r="MD140" s="1004"/>
      <c r="ME140" s="1004"/>
      <c r="MF140" s="1004"/>
      <c r="MG140" s="1004"/>
      <c r="MH140" s="1004"/>
      <c r="MI140" s="1004"/>
      <c r="MJ140" s="1004"/>
      <c r="MK140" s="1004"/>
      <c r="ML140" s="1004"/>
      <c r="MM140" s="1004"/>
      <c r="MN140" s="1004"/>
      <c r="MO140" s="1004"/>
      <c r="MP140" s="1004"/>
      <c r="MQ140" s="1004"/>
      <c r="MR140" s="1004"/>
      <c r="MS140" s="1004"/>
      <c r="MT140" s="1004"/>
      <c r="MU140" s="1004"/>
      <c r="MV140" s="1004"/>
      <c r="MW140" s="1004"/>
      <c r="MX140" s="1004"/>
      <c r="MY140" s="1004"/>
      <c r="MZ140" s="1004"/>
      <c r="NA140" s="1004"/>
      <c r="NB140" s="1004"/>
      <c r="NC140" s="1004"/>
      <c r="ND140" s="1004"/>
      <c r="NE140" s="1004"/>
      <c r="NF140" s="1004"/>
      <c r="NG140" s="1004"/>
      <c r="NH140" s="1004"/>
      <c r="NI140" s="1004"/>
      <c r="NJ140" s="1004"/>
      <c r="NK140" s="1004"/>
      <c r="NL140" s="1004"/>
      <c r="NM140" s="1004"/>
      <c r="NN140" s="1004"/>
      <c r="NO140" s="1004"/>
      <c r="NP140" s="1004"/>
      <c r="NQ140" s="1004"/>
      <c r="NR140" s="1004"/>
      <c r="NS140" s="1004"/>
      <c r="NT140" s="1004"/>
      <c r="NU140" s="1004"/>
      <c r="NV140" s="1004"/>
      <c r="NW140" s="1004"/>
      <c r="NX140" s="1004"/>
      <c r="NY140" s="1004"/>
      <c r="NZ140" s="1004"/>
      <c r="OA140" s="1004"/>
      <c r="OB140" s="1004"/>
      <c r="OC140" s="1004"/>
      <c r="OD140" s="1004"/>
      <c r="OE140" s="1004"/>
      <c r="OF140" s="1004"/>
      <c r="OG140" s="1004"/>
      <c r="OH140" s="1004"/>
      <c r="OI140" s="1004"/>
      <c r="OJ140" s="1004"/>
      <c r="OK140" s="1004"/>
      <c r="OL140" s="1004"/>
      <c r="OM140" s="1004"/>
      <c r="ON140" s="1004"/>
      <c r="OO140" s="1004"/>
      <c r="OP140" s="1004"/>
      <c r="OQ140" s="1004"/>
      <c r="OR140" s="1004"/>
      <c r="OS140" s="1004"/>
      <c r="OT140" s="1004"/>
      <c r="OU140" s="1004"/>
      <c r="OV140" s="1004"/>
      <c r="OW140" s="1004"/>
      <c r="OX140" s="1004"/>
      <c r="OY140" s="1004"/>
      <c r="OZ140" s="1004"/>
      <c r="PA140" s="1004"/>
      <c r="PB140" s="1004"/>
      <c r="PC140" s="1004"/>
      <c r="PD140" s="1004"/>
      <c r="PE140" s="1004"/>
      <c r="PF140" s="1004"/>
      <c r="PG140" s="1004"/>
      <c r="PH140" s="1004"/>
      <c r="PI140" s="1004"/>
      <c r="PJ140" s="1004"/>
      <c r="PK140" s="1004"/>
      <c r="PL140" s="1004"/>
      <c r="PM140" s="1004"/>
      <c r="PN140" s="1004"/>
      <c r="PO140" s="1004"/>
      <c r="PP140" s="1004"/>
      <c r="PQ140" s="1004"/>
      <c r="PR140" s="1004"/>
      <c r="PS140" s="1004"/>
      <c r="PT140" s="1004"/>
      <c r="PU140" s="1004"/>
      <c r="PV140" s="1004"/>
      <c r="PW140" s="1004"/>
      <c r="PX140" s="1004"/>
      <c r="PY140" s="1004"/>
      <c r="PZ140" s="1004"/>
      <c r="QA140" s="1004"/>
      <c r="QB140" s="1004"/>
      <c r="QC140" s="1004"/>
      <c r="QD140" s="1004"/>
      <c r="QE140" s="1004"/>
      <c r="QF140" s="1004"/>
      <c r="QG140" s="1004"/>
      <c r="QH140" s="1004"/>
      <c r="QI140" s="1004"/>
      <c r="QJ140" s="1004"/>
      <c r="QK140" s="1004"/>
      <c r="QL140" s="1004"/>
      <c r="QM140" s="1004"/>
      <c r="QN140" s="1004"/>
      <c r="QO140" s="1004"/>
      <c r="QP140" s="1004"/>
      <c r="QQ140" s="1004"/>
      <c r="QR140" s="1004"/>
      <c r="QS140" s="1004"/>
      <c r="QT140" s="1004"/>
      <c r="QU140" s="1004"/>
      <c r="QV140" s="1004"/>
      <c r="QW140" s="1004"/>
      <c r="QX140" s="1004"/>
      <c r="QY140" s="1004"/>
      <c r="QZ140" s="1004"/>
      <c r="RA140" s="1004"/>
      <c r="RB140" s="1004"/>
      <c r="RC140" s="1004"/>
      <c r="RD140" s="1004"/>
      <c r="RE140" s="1004"/>
      <c r="RF140" s="1004"/>
      <c r="RG140" s="1004"/>
      <c r="RH140" s="1004"/>
      <c r="RI140" s="1004"/>
      <c r="RJ140" s="1004"/>
      <c r="RK140" s="1004"/>
      <c r="RL140" s="1004"/>
      <c r="RM140" s="1004"/>
      <c r="RN140" s="1004"/>
      <c r="RO140" s="1004"/>
      <c r="RP140" s="1004"/>
      <c r="RQ140" s="1004"/>
      <c r="RR140" s="1004"/>
      <c r="RS140" s="1004"/>
      <c r="RT140" s="1004"/>
      <c r="RU140" s="1004"/>
      <c r="RV140" s="1004"/>
      <c r="RW140" s="1004"/>
      <c r="RX140" s="1004"/>
      <c r="RY140" s="1004"/>
      <c r="RZ140" s="1004"/>
      <c r="SA140" s="1004"/>
      <c r="SB140" s="1004"/>
      <c r="SC140" s="1004"/>
      <c r="SD140" s="1004"/>
      <c r="SE140" s="1004"/>
      <c r="SF140" s="1004"/>
      <c r="SG140" s="1004"/>
      <c r="SH140" s="1004"/>
      <c r="SI140" s="1004"/>
      <c r="SJ140" s="1004"/>
      <c r="SK140" s="1004"/>
      <c r="SL140" s="1004"/>
      <c r="SM140" s="1004"/>
      <c r="SN140" s="1004"/>
      <c r="SO140" s="1004"/>
      <c r="SP140" s="1004"/>
      <c r="SQ140" s="1004"/>
      <c r="SR140" s="1004"/>
      <c r="SS140" s="1004"/>
      <c r="ST140" s="1004"/>
      <c r="SU140" s="1004"/>
      <c r="SV140" s="1004"/>
      <c r="SW140" s="1004"/>
      <c r="SX140" s="1004"/>
      <c r="SY140" s="1004"/>
      <c r="SZ140" s="1004"/>
      <c r="TA140" s="1004"/>
      <c r="TB140" s="1004"/>
      <c r="TC140" s="1004"/>
      <c r="TD140" s="1004"/>
      <c r="TE140" s="1004"/>
      <c r="TF140" s="1004"/>
      <c r="TG140" s="1004"/>
      <c r="TH140" s="1004"/>
      <c r="TI140" s="1004"/>
      <c r="TJ140" s="1004"/>
      <c r="TK140" s="1004"/>
      <c r="TL140" s="1004"/>
      <c r="TM140" s="1004"/>
      <c r="TN140" s="1004"/>
      <c r="TO140" s="1004"/>
      <c r="TP140" s="1004"/>
      <c r="TQ140" s="1004"/>
      <c r="TR140" s="1004"/>
      <c r="TS140" s="1004"/>
      <c r="TT140" s="1004"/>
      <c r="TU140" s="1004"/>
      <c r="TV140" s="1004"/>
      <c r="TW140" s="1004"/>
      <c r="TX140" s="1004"/>
      <c r="TY140" s="1004"/>
      <c r="TZ140" s="1004"/>
      <c r="UA140" s="1004"/>
      <c r="UB140" s="1004"/>
      <c r="UC140" s="1004"/>
      <c r="UD140" s="1004"/>
      <c r="UE140" s="1004"/>
      <c r="UF140" s="1004"/>
      <c r="UG140" s="1004"/>
      <c r="UH140" s="1004"/>
      <c r="UI140" s="1004"/>
      <c r="UJ140" s="1004"/>
      <c r="UK140" s="1004"/>
      <c r="UL140" s="1004"/>
      <c r="UM140" s="1004"/>
      <c r="UN140" s="1004"/>
      <c r="UO140" s="1004"/>
      <c r="UP140" s="1004"/>
      <c r="UQ140" s="1004"/>
      <c r="UR140" s="1004"/>
      <c r="US140" s="1004"/>
      <c r="UT140" s="1004"/>
      <c r="UU140" s="1004"/>
      <c r="UV140" s="1004"/>
      <c r="UW140" s="1004"/>
      <c r="UX140" s="1004"/>
      <c r="UY140" s="1004"/>
      <c r="UZ140" s="1004"/>
      <c r="VA140" s="1004"/>
      <c r="VB140" s="1004"/>
      <c r="VC140" s="1004"/>
      <c r="VD140" s="1004"/>
      <c r="VE140" s="1004"/>
      <c r="VF140" s="1004"/>
      <c r="VG140" s="1004"/>
      <c r="VH140" s="1004"/>
      <c r="VI140" s="1004"/>
      <c r="VJ140" s="1004"/>
      <c r="VK140" s="1004"/>
      <c r="VL140" s="1004"/>
      <c r="VM140" s="1004"/>
      <c r="VN140" s="1004"/>
      <c r="VO140" s="1004"/>
      <c r="VP140" s="1004"/>
      <c r="VQ140" s="1004"/>
      <c r="VR140" s="1004"/>
      <c r="VS140" s="1004"/>
      <c r="VT140" s="1004"/>
      <c r="VU140" s="1004"/>
      <c r="VV140" s="1004"/>
      <c r="VW140" s="1004"/>
      <c r="VX140" s="1004"/>
      <c r="VY140" s="1004"/>
      <c r="VZ140" s="1004"/>
      <c r="WA140" s="1004"/>
      <c r="WB140" s="1004"/>
      <c r="WC140" s="1004"/>
      <c r="WD140" s="1004"/>
      <c r="WE140" s="1004"/>
      <c r="WF140" s="1004"/>
      <c r="WG140" s="1004"/>
      <c r="WH140" s="1004"/>
      <c r="WI140" s="1004"/>
      <c r="WJ140" s="1004"/>
      <c r="WK140" s="1004"/>
      <c r="WL140" s="1004"/>
      <c r="WM140" s="1004"/>
      <c r="WN140" s="1004"/>
      <c r="WO140" s="1004"/>
      <c r="WP140" s="1004"/>
      <c r="WQ140" s="1004"/>
      <c r="WR140" s="1004"/>
      <c r="WS140" s="1004"/>
      <c r="WT140" s="1004"/>
      <c r="WU140" s="1004"/>
      <c r="WV140" s="1004"/>
      <c r="WW140" s="1004"/>
      <c r="WX140" s="1004"/>
      <c r="WY140" s="1004"/>
      <c r="WZ140" s="1004"/>
      <c r="XA140" s="1004"/>
      <c r="XB140" s="1004"/>
      <c r="XC140" s="1004"/>
      <c r="XD140" s="1004"/>
      <c r="XE140" s="1004"/>
      <c r="XF140" s="1004"/>
      <c r="XG140" s="1004"/>
      <c r="XH140" s="1004"/>
      <c r="XI140" s="1004"/>
      <c r="XJ140" s="1004"/>
      <c r="XK140" s="1004"/>
      <c r="XL140" s="1004"/>
      <c r="XM140" s="1004"/>
      <c r="XN140" s="1004"/>
      <c r="XO140" s="1004"/>
      <c r="XP140" s="1004"/>
      <c r="XQ140" s="1004"/>
      <c r="XR140" s="1004"/>
      <c r="XS140" s="1004"/>
      <c r="XT140" s="1004"/>
      <c r="XU140" s="1004"/>
      <c r="XV140" s="1004"/>
      <c r="XW140" s="1004"/>
      <c r="XX140" s="1004"/>
      <c r="XY140" s="1004"/>
      <c r="XZ140" s="1004"/>
      <c r="YA140" s="1004"/>
      <c r="YB140" s="1004"/>
      <c r="YC140" s="1004"/>
      <c r="YD140" s="1004"/>
      <c r="YE140" s="1004"/>
      <c r="YF140" s="1004"/>
      <c r="YG140" s="1004"/>
      <c r="YH140" s="1004"/>
      <c r="YI140" s="1004"/>
      <c r="YJ140" s="1004"/>
      <c r="YK140" s="1004"/>
      <c r="YL140" s="1004"/>
      <c r="YM140" s="1004"/>
      <c r="YN140" s="1004"/>
      <c r="YO140" s="1004"/>
      <c r="YP140" s="1004"/>
      <c r="YQ140" s="1004"/>
      <c r="YR140" s="1004"/>
      <c r="YS140" s="1004"/>
      <c r="YT140" s="1004"/>
      <c r="YU140" s="1004"/>
      <c r="YV140" s="1004"/>
      <c r="YW140" s="1004"/>
      <c r="YX140" s="1004"/>
      <c r="YY140" s="1004"/>
      <c r="YZ140" s="1004"/>
      <c r="ZA140" s="1004"/>
      <c r="ZB140" s="1004"/>
      <c r="ZC140" s="1004"/>
      <c r="ZD140" s="1004"/>
      <c r="ZE140" s="1004"/>
      <c r="ZF140" s="1004"/>
      <c r="ZG140" s="1004"/>
      <c r="ZH140" s="1004"/>
      <c r="ZI140" s="1004"/>
      <c r="ZJ140" s="1004"/>
      <c r="ZK140" s="1004"/>
      <c r="ZL140" s="1004"/>
      <c r="ZM140" s="1004"/>
      <c r="ZN140" s="1004"/>
      <c r="ZO140" s="1004"/>
      <c r="ZP140" s="1004"/>
      <c r="ZQ140" s="1004"/>
      <c r="ZR140" s="1004"/>
      <c r="ZS140" s="1004"/>
      <c r="ZT140" s="1004"/>
      <c r="ZU140" s="1004"/>
      <c r="ZV140" s="1004"/>
      <c r="ZW140" s="1004"/>
      <c r="ZX140" s="1004"/>
      <c r="ZY140" s="1004"/>
      <c r="ZZ140" s="1004"/>
      <c r="AAA140" s="1004"/>
      <c r="AAB140" s="1004"/>
      <c r="AAC140" s="1004"/>
      <c r="AAD140" s="1004"/>
      <c r="AAE140" s="1004"/>
      <c r="AAF140" s="1004"/>
      <c r="AAG140" s="1004"/>
      <c r="AAH140" s="1004"/>
      <c r="AAI140" s="1004"/>
      <c r="AAJ140" s="1004"/>
      <c r="AAK140" s="1004"/>
      <c r="AAL140" s="1004"/>
      <c r="AAM140" s="1004"/>
      <c r="AAN140" s="1004"/>
      <c r="AAO140" s="1004"/>
      <c r="AAP140" s="1004"/>
      <c r="AAQ140" s="1004"/>
      <c r="AAR140" s="1004"/>
      <c r="AAS140" s="1004"/>
      <c r="AAT140" s="1004"/>
      <c r="AAU140" s="1004"/>
      <c r="AAV140" s="1004"/>
      <c r="AAW140" s="1004"/>
      <c r="AAX140" s="1004"/>
      <c r="AAY140" s="1004"/>
      <c r="AAZ140" s="1004"/>
      <c r="ABA140" s="1004"/>
      <c r="ABB140" s="1004"/>
      <c r="ABC140" s="1004"/>
      <c r="ABD140" s="1004"/>
      <c r="ABE140" s="1004"/>
      <c r="ABF140" s="1004"/>
      <c r="ABG140" s="1004"/>
      <c r="ABH140" s="1004"/>
      <c r="ABI140" s="1004"/>
      <c r="ABJ140" s="1004"/>
      <c r="ABK140" s="1004"/>
      <c r="ABL140" s="1004"/>
      <c r="ABM140" s="1004"/>
      <c r="ABN140" s="1004"/>
      <c r="ABO140" s="1004"/>
      <c r="ABP140" s="1004"/>
      <c r="ABQ140" s="1004"/>
      <c r="ABR140" s="1004"/>
    </row>
    <row r="141" spans="1:746" s="112" customFormat="1" ht="12.75" customHeight="1" thickBot="1">
      <c r="A141" s="925"/>
      <c r="B141" s="353" t="s">
        <v>122</v>
      </c>
      <c r="C141" s="117"/>
      <c r="D141" s="134"/>
      <c r="E141" s="347" t="s">
        <v>1</v>
      </c>
      <c r="F141" s="1240"/>
      <c r="G141" s="347">
        <v>0.25</v>
      </c>
      <c r="H141" s="597"/>
      <c r="I141" s="2364"/>
      <c r="J141" s="2192"/>
      <c r="K141" s="2192"/>
      <c r="L141" s="2192"/>
      <c r="M141" s="2192"/>
      <c r="N141" s="2192"/>
      <c r="O141" s="2192"/>
      <c r="P141" s="2192"/>
      <c r="Q141" s="2192"/>
      <c r="R141" s="2192"/>
      <c r="S141" s="2192"/>
      <c r="T141" s="2192"/>
      <c r="U141" s="2192"/>
      <c r="V141" s="2192"/>
      <c r="W141" s="2192"/>
      <c r="X141" s="2192"/>
      <c r="Y141" s="2192"/>
      <c r="Z141" s="2192"/>
      <c r="AA141" s="2192"/>
      <c r="AB141" s="2192"/>
      <c r="AC141" s="2192"/>
      <c r="AD141" s="2192"/>
      <c r="AE141" s="2192"/>
      <c r="AF141" s="2364"/>
      <c r="AG141" s="1042"/>
      <c r="AH141" s="2229">
        <v>0.2</v>
      </c>
      <c r="AI141" s="1817"/>
      <c r="AJ141" s="1956">
        <f>IF(fx!$C$57=1,SUMIF(fx!I$57:T$57,1,I141:T141),IF(fx!$C$57=2,SUMIF(fx!O$57:AF$57,1,O141:AF141)))</f>
        <v>0</v>
      </c>
      <c r="AK141" s="328"/>
      <c r="AL141" s="422">
        <f>IF(fx!$C$57=1,SUM(U141:AF141),0)</f>
        <v>0</v>
      </c>
      <c r="AM141" s="1005"/>
      <c r="AN141" s="1024"/>
      <c r="AO141" s="1945"/>
      <c r="AP141" s="1935"/>
      <c r="AQ141" s="1936"/>
      <c r="AR141" s="1941"/>
      <c r="AS141" s="1941"/>
      <c r="AT141" s="1941"/>
      <c r="AU141" s="1941"/>
      <c r="AV141" s="1941"/>
      <c r="AW141" s="1941"/>
      <c r="AX141" s="1941"/>
      <c r="AY141" s="1941"/>
      <c r="AZ141" s="1941"/>
      <c r="BA141" s="1941"/>
      <c r="BB141" s="1941"/>
      <c r="BC141" s="1941"/>
      <c r="BD141" s="1941"/>
      <c r="BE141" s="1941"/>
      <c r="BF141" s="1941"/>
      <c r="BG141" s="1941"/>
      <c r="BH141" s="1941"/>
      <c r="BI141" s="1941"/>
      <c r="BJ141" s="1941"/>
      <c r="BK141" s="1941"/>
      <c r="BL141" s="1941"/>
      <c r="BM141" s="1941"/>
      <c r="BN141" s="1941"/>
      <c r="BO141" s="1941"/>
      <c r="BP141" s="1004"/>
      <c r="BQ141" s="1004"/>
      <c r="BR141" s="1004"/>
      <c r="BS141" s="1004"/>
      <c r="BT141" s="1004"/>
      <c r="BU141" s="1004"/>
      <c r="BV141" s="1004"/>
      <c r="BW141" s="1004"/>
      <c r="BX141" s="1004"/>
      <c r="BY141" s="1004"/>
      <c r="BZ141" s="1004"/>
      <c r="CA141" s="1004"/>
      <c r="CB141" s="1004"/>
      <c r="CC141" s="1004"/>
      <c r="CD141" s="1004"/>
      <c r="CE141" s="1004"/>
      <c r="CF141" s="1004"/>
      <c r="CG141" s="1004"/>
      <c r="CH141" s="1004"/>
      <c r="CI141" s="1004"/>
      <c r="CJ141" s="1004"/>
      <c r="CK141" s="1004"/>
      <c r="CL141" s="1004"/>
      <c r="CM141" s="1004"/>
      <c r="CN141" s="1004"/>
      <c r="CO141" s="1004"/>
      <c r="CP141" s="1004"/>
      <c r="CQ141" s="1004"/>
      <c r="CR141" s="1004"/>
      <c r="CS141" s="1004"/>
      <c r="CT141" s="1004"/>
      <c r="CU141" s="1004"/>
      <c r="CV141" s="1004"/>
      <c r="CW141" s="1004"/>
      <c r="CX141" s="1004"/>
      <c r="CY141" s="1004"/>
      <c r="CZ141" s="1004"/>
      <c r="DA141" s="1004"/>
      <c r="DB141" s="1004"/>
      <c r="DC141" s="1004"/>
      <c r="DD141" s="1004"/>
      <c r="DE141" s="1004"/>
      <c r="DF141" s="1004"/>
      <c r="DG141" s="1004"/>
      <c r="DH141" s="1004"/>
      <c r="DI141" s="1004"/>
      <c r="DJ141" s="1004"/>
      <c r="DK141" s="1004"/>
      <c r="DL141" s="1004"/>
      <c r="DM141" s="1004"/>
      <c r="DN141" s="1004"/>
      <c r="DO141" s="1004"/>
      <c r="DP141" s="1004"/>
      <c r="DQ141" s="1004"/>
      <c r="DR141" s="1004"/>
      <c r="DS141" s="1004"/>
      <c r="DT141" s="1004"/>
      <c r="DU141" s="1004"/>
      <c r="DV141" s="1004"/>
      <c r="DW141" s="1004"/>
      <c r="DX141" s="1004"/>
      <c r="DY141" s="1004"/>
      <c r="DZ141" s="1004"/>
      <c r="EA141" s="1004"/>
      <c r="EB141" s="1004"/>
      <c r="EC141" s="1004"/>
      <c r="ED141" s="1004"/>
      <c r="EE141" s="1004"/>
      <c r="EF141" s="1004"/>
      <c r="EG141" s="1004"/>
      <c r="EH141" s="1004"/>
      <c r="EI141" s="1004"/>
      <c r="EJ141" s="1004"/>
      <c r="EK141" s="1004"/>
      <c r="EL141" s="1004"/>
      <c r="EM141" s="1004"/>
      <c r="EN141" s="1004"/>
      <c r="EO141" s="1004"/>
      <c r="EP141" s="1004"/>
      <c r="EQ141" s="1004"/>
      <c r="ER141" s="1004"/>
      <c r="ES141" s="1004"/>
      <c r="ET141" s="1004"/>
      <c r="EU141" s="1004"/>
      <c r="EV141" s="1004"/>
      <c r="EW141" s="1004"/>
      <c r="EX141" s="1004"/>
      <c r="EY141" s="1004"/>
      <c r="EZ141" s="1004"/>
      <c r="FA141" s="1004"/>
      <c r="FB141" s="1004"/>
      <c r="FC141" s="1004"/>
      <c r="FD141" s="1004"/>
      <c r="FE141" s="1004"/>
      <c r="FF141" s="1004"/>
      <c r="FG141" s="1004"/>
      <c r="FH141" s="1004"/>
      <c r="FI141" s="1004"/>
      <c r="FJ141" s="1004"/>
      <c r="FK141" s="1004"/>
      <c r="FL141" s="1004"/>
      <c r="FM141" s="1004"/>
      <c r="FN141" s="1004"/>
      <c r="FO141" s="1004"/>
      <c r="FP141" s="1004"/>
      <c r="FQ141" s="1004"/>
      <c r="FR141" s="1004"/>
      <c r="FS141" s="1004"/>
      <c r="FT141" s="1004"/>
      <c r="FU141" s="1004"/>
      <c r="FV141" s="1004"/>
      <c r="FW141" s="1004"/>
      <c r="FX141" s="1004"/>
      <c r="FY141" s="1004"/>
      <c r="FZ141" s="1004"/>
      <c r="GA141" s="1004"/>
      <c r="GB141" s="1004"/>
      <c r="GC141" s="1004"/>
      <c r="GD141" s="1004"/>
      <c r="GE141" s="1004"/>
      <c r="GF141" s="1004"/>
      <c r="GG141" s="1004"/>
      <c r="GH141" s="1004"/>
      <c r="GI141" s="1004"/>
      <c r="GJ141" s="1004"/>
      <c r="GK141" s="1004"/>
      <c r="GL141" s="1004"/>
      <c r="GM141" s="1004"/>
      <c r="GN141" s="1004"/>
      <c r="GO141" s="1004"/>
      <c r="GP141" s="1004"/>
      <c r="GQ141" s="1004"/>
      <c r="GR141" s="1004"/>
      <c r="GS141" s="1004"/>
      <c r="GT141" s="1004"/>
      <c r="GU141" s="1004"/>
      <c r="GV141" s="1004"/>
      <c r="GW141" s="1004"/>
      <c r="GX141" s="1004"/>
      <c r="GY141" s="1004"/>
      <c r="GZ141" s="1004"/>
      <c r="HA141" s="1004"/>
      <c r="HB141" s="1004"/>
      <c r="HC141" s="1004"/>
      <c r="HD141" s="1004"/>
      <c r="HE141" s="1004"/>
      <c r="HF141" s="1004"/>
      <c r="HG141" s="1004"/>
      <c r="HH141" s="1004"/>
      <c r="HI141" s="1004"/>
      <c r="HJ141" s="1004"/>
      <c r="HK141" s="1004"/>
      <c r="HL141" s="1004"/>
      <c r="HM141" s="1004"/>
      <c r="HN141" s="1004"/>
      <c r="HO141" s="1004"/>
      <c r="HP141" s="1004"/>
      <c r="HQ141" s="1004"/>
      <c r="HR141" s="1004"/>
      <c r="HS141" s="1004"/>
      <c r="HT141" s="1004"/>
      <c r="HU141" s="1004"/>
      <c r="HV141" s="1004"/>
      <c r="HW141" s="1004"/>
      <c r="HX141" s="1004"/>
      <c r="HY141" s="1004"/>
      <c r="HZ141" s="1004"/>
      <c r="IA141" s="1004"/>
      <c r="IB141" s="1004"/>
      <c r="IC141" s="1004"/>
      <c r="ID141" s="1004"/>
      <c r="IE141" s="1004"/>
      <c r="IF141" s="1004"/>
      <c r="IG141" s="1004"/>
      <c r="IH141" s="1004"/>
      <c r="II141" s="1004"/>
      <c r="IJ141" s="1004"/>
      <c r="IK141" s="1004"/>
      <c r="IL141" s="1004"/>
      <c r="IM141" s="1004"/>
      <c r="IN141" s="1004"/>
      <c r="IO141" s="1004"/>
      <c r="IP141" s="1004"/>
      <c r="IQ141" s="1004"/>
      <c r="IR141" s="1004"/>
      <c r="IS141" s="1004"/>
      <c r="IT141" s="1004"/>
      <c r="IU141" s="1004"/>
      <c r="IV141" s="1004"/>
      <c r="IW141" s="1004"/>
      <c r="IX141" s="1004"/>
      <c r="IY141" s="1004"/>
      <c r="IZ141" s="1004"/>
      <c r="JA141" s="1004"/>
      <c r="JB141" s="1004"/>
      <c r="JC141" s="1004"/>
      <c r="JD141" s="1004"/>
      <c r="JE141" s="1004"/>
      <c r="JF141" s="1004"/>
      <c r="JG141" s="1004"/>
      <c r="JH141" s="1004"/>
      <c r="JI141" s="1004"/>
      <c r="JJ141" s="1004"/>
      <c r="JK141" s="1004"/>
      <c r="JL141" s="1004"/>
      <c r="JM141" s="1004"/>
      <c r="JN141" s="1004"/>
      <c r="JO141" s="1004"/>
      <c r="JP141" s="1004"/>
      <c r="JQ141" s="1004"/>
      <c r="JR141" s="1004"/>
      <c r="JS141" s="1004"/>
      <c r="JT141" s="1004"/>
      <c r="JU141" s="1004"/>
      <c r="JV141" s="1004"/>
      <c r="JW141" s="1004"/>
      <c r="JX141" s="1004"/>
      <c r="JY141" s="1004"/>
      <c r="JZ141" s="1004"/>
      <c r="KA141" s="1004"/>
      <c r="KB141" s="1004"/>
      <c r="KC141" s="1004"/>
      <c r="KD141" s="1004"/>
      <c r="KE141" s="1004"/>
      <c r="KF141" s="1004"/>
      <c r="KG141" s="1004"/>
      <c r="KH141" s="1004"/>
      <c r="KI141" s="1004"/>
      <c r="KJ141" s="1004"/>
      <c r="KK141" s="1004"/>
      <c r="KL141" s="1004"/>
      <c r="KM141" s="1004"/>
      <c r="KN141" s="1004"/>
      <c r="KO141" s="1004"/>
      <c r="KP141" s="1004"/>
      <c r="KQ141" s="1004"/>
      <c r="KR141" s="1004"/>
      <c r="KS141" s="1004"/>
      <c r="KT141" s="1004"/>
      <c r="KU141" s="1004"/>
      <c r="KV141" s="1004"/>
      <c r="KW141" s="1004"/>
      <c r="KX141" s="1004"/>
      <c r="KY141" s="1004"/>
      <c r="KZ141" s="1004"/>
      <c r="LA141" s="1004"/>
      <c r="LB141" s="1004"/>
      <c r="LC141" s="1004"/>
      <c r="LD141" s="1004"/>
      <c r="LE141" s="1004"/>
      <c r="LF141" s="1004"/>
      <c r="LG141" s="1004"/>
      <c r="LH141" s="1004"/>
      <c r="LI141" s="1004"/>
      <c r="LJ141" s="1004"/>
      <c r="LK141" s="1004"/>
      <c r="LL141" s="1004"/>
      <c r="LM141" s="1004"/>
      <c r="LN141" s="1004"/>
      <c r="LO141" s="1004"/>
      <c r="LP141" s="1004"/>
      <c r="LQ141" s="1004"/>
      <c r="LR141" s="1004"/>
      <c r="LS141" s="1004"/>
      <c r="LT141" s="1004"/>
      <c r="LU141" s="1004"/>
      <c r="LV141" s="1004"/>
      <c r="LW141" s="1004"/>
      <c r="LX141" s="1004"/>
      <c r="LY141" s="1004"/>
      <c r="LZ141" s="1004"/>
      <c r="MA141" s="1004"/>
      <c r="MB141" s="1004"/>
      <c r="MC141" s="1004"/>
      <c r="MD141" s="1004"/>
      <c r="ME141" s="1004"/>
      <c r="MF141" s="1004"/>
      <c r="MG141" s="1004"/>
      <c r="MH141" s="1004"/>
      <c r="MI141" s="1004"/>
      <c r="MJ141" s="1004"/>
      <c r="MK141" s="1004"/>
      <c r="ML141" s="1004"/>
      <c r="MM141" s="1004"/>
      <c r="MN141" s="1004"/>
      <c r="MO141" s="1004"/>
      <c r="MP141" s="1004"/>
      <c r="MQ141" s="1004"/>
      <c r="MR141" s="1004"/>
      <c r="MS141" s="1004"/>
      <c r="MT141" s="1004"/>
      <c r="MU141" s="1004"/>
      <c r="MV141" s="1004"/>
      <c r="MW141" s="1004"/>
      <c r="MX141" s="1004"/>
      <c r="MY141" s="1004"/>
      <c r="MZ141" s="1004"/>
      <c r="NA141" s="1004"/>
      <c r="NB141" s="1004"/>
      <c r="NC141" s="1004"/>
      <c r="ND141" s="1004"/>
      <c r="NE141" s="1004"/>
      <c r="NF141" s="1004"/>
      <c r="NG141" s="1004"/>
      <c r="NH141" s="1004"/>
      <c r="NI141" s="1004"/>
      <c r="NJ141" s="1004"/>
      <c r="NK141" s="1004"/>
      <c r="NL141" s="1004"/>
      <c r="NM141" s="1004"/>
      <c r="NN141" s="1004"/>
      <c r="NO141" s="1004"/>
      <c r="NP141" s="1004"/>
      <c r="NQ141" s="1004"/>
      <c r="NR141" s="1004"/>
      <c r="NS141" s="1004"/>
      <c r="NT141" s="1004"/>
      <c r="NU141" s="1004"/>
      <c r="NV141" s="1004"/>
      <c r="NW141" s="1004"/>
      <c r="NX141" s="1004"/>
      <c r="NY141" s="1004"/>
      <c r="NZ141" s="1004"/>
      <c r="OA141" s="1004"/>
      <c r="OB141" s="1004"/>
      <c r="OC141" s="1004"/>
      <c r="OD141" s="1004"/>
      <c r="OE141" s="1004"/>
      <c r="OF141" s="1004"/>
      <c r="OG141" s="1004"/>
      <c r="OH141" s="1004"/>
      <c r="OI141" s="1004"/>
      <c r="OJ141" s="1004"/>
      <c r="OK141" s="1004"/>
      <c r="OL141" s="1004"/>
      <c r="OM141" s="1004"/>
      <c r="ON141" s="1004"/>
      <c r="OO141" s="1004"/>
      <c r="OP141" s="1004"/>
      <c r="OQ141" s="1004"/>
      <c r="OR141" s="1004"/>
      <c r="OS141" s="1004"/>
      <c r="OT141" s="1004"/>
      <c r="OU141" s="1004"/>
      <c r="OV141" s="1004"/>
      <c r="OW141" s="1004"/>
      <c r="OX141" s="1004"/>
      <c r="OY141" s="1004"/>
      <c r="OZ141" s="1004"/>
      <c r="PA141" s="1004"/>
      <c r="PB141" s="1004"/>
      <c r="PC141" s="1004"/>
      <c r="PD141" s="1004"/>
      <c r="PE141" s="1004"/>
      <c r="PF141" s="1004"/>
      <c r="PG141" s="1004"/>
      <c r="PH141" s="1004"/>
      <c r="PI141" s="1004"/>
      <c r="PJ141" s="1004"/>
      <c r="PK141" s="1004"/>
      <c r="PL141" s="1004"/>
      <c r="PM141" s="1004"/>
      <c r="PN141" s="1004"/>
      <c r="PO141" s="1004"/>
      <c r="PP141" s="1004"/>
      <c r="PQ141" s="1004"/>
      <c r="PR141" s="1004"/>
      <c r="PS141" s="1004"/>
      <c r="PT141" s="1004"/>
      <c r="PU141" s="1004"/>
      <c r="PV141" s="1004"/>
      <c r="PW141" s="1004"/>
      <c r="PX141" s="1004"/>
      <c r="PY141" s="1004"/>
      <c r="PZ141" s="1004"/>
      <c r="QA141" s="1004"/>
      <c r="QB141" s="1004"/>
      <c r="QC141" s="1004"/>
      <c r="QD141" s="1004"/>
      <c r="QE141" s="1004"/>
      <c r="QF141" s="1004"/>
      <c r="QG141" s="1004"/>
      <c r="QH141" s="1004"/>
      <c r="QI141" s="1004"/>
      <c r="QJ141" s="1004"/>
      <c r="QK141" s="1004"/>
      <c r="QL141" s="1004"/>
      <c r="QM141" s="1004"/>
      <c r="QN141" s="1004"/>
      <c r="QO141" s="1004"/>
      <c r="QP141" s="1004"/>
      <c r="QQ141" s="1004"/>
      <c r="QR141" s="1004"/>
      <c r="QS141" s="1004"/>
      <c r="QT141" s="1004"/>
      <c r="QU141" s="1004"/>
      <c r="QV141" s="1004"/>
      <c r="QW141" s="1004"/>
      <c r="QX141" s="1004"/>
      <c r="QY141" s="1004"/>
      <c r="QZ141" s="1004"/>
      <c r="RA141" s="1004"/>
      <c r="RB141" s="1004"/>
      <c r="RC141" s="1004"/>
      <c r="RD141" s="1004"/>
      <c r="RE141" s="1004"/>
      <c r="RF141" s="1004"/>
      <c r="RG141" s="1004"/>
      <c r="RH141" s="1004"/>
      <c r="RI141" s="1004"/>
      <c r="RJ141" s="1004"/>
      <c r="RK141" s="1004"/>
      <c r="RL141" s="1004"/>
      <c r="RM141" s="1004"/>
      <c r="RN141" s="1004"/>
      <c r="RO141" s="1004"/>
      <c r="RP141" s="1004"/>
      <c r="RQ141" s="1004"/>
      <c r="RR141" s="1004"/>
      <c r="RS141" s="1004"/>
      <c r="RT141" s="1004"/>
      <c r="RU141" s="1004"/>
      <c r="RV141" s="1004"/>
      <c r="RW141" s="1004"/>
      <c r="RX141" s="1004"/>
      <c r="RY141" s="1004"/>
      <c r="RZ141" s="1004"/>
      <c r="SA141" s="1004"/>
      <c r="SB141" s="1004"/>
      <c r="SC141" s="1004"/>
      <c r="SD141" s="1004"/>
      <c r="SE141" s="1004"/>
      <c r="SF141" s="1004"/>
      <c r="SG141" s="1004"/>
      <c r="SH141" s="1004"/>
      <c r="SI141" s="1004"/>
      <c r="SJ141" s="1004"/>
      <c r="SK141" s="1004"/>
      <c r="SL141" s="1004"/>
      <c r="SM141" s="1004"/>
      <c r="SN141" s="1004"/>
      <c r="SO141" s="1004"/>
      <c r="SP141" s="1004"/>
      <c r="SQ141" s="1004"/>
      <c r="SR141" s="1004"/>
      <c r="SS141" s="1004"/>
      <c r="ST141" s="1004"/>
      <c r="SU141" s="1004"/>
      <c r="SV141" s="1004"/>
      <c r="SW141" s="1004"/>
      <c r="SX141" s="1004"/>
      <c r="SY141" s="1004"/>
      <c r="SZ141" s="1004"/>
      <c r="TA141" s="1004"/>
      <c r="TB141" s="1004"/>
      <c r="TC141" s="1004"/>
      <c r="TD141" s="1004"/>
      <c r="TE141" s="1004"/>
      <c r="TF141" s="1004"/>
      <c r="TG141" s="1004"/>
      <c r="TH141" s="1004"/>
      <c r="TI141" s="1004"/>
      <c r="TJ141" s="1004"/>
      <c r="TK141" s="1004"/>
      <c r="TL141" s="1004"/>
      <c r="TM141" s="1004"/>
      <c r="TN141" s="1004"/>
      <c r="TO141" s="1004"/>
      <c r="TP141" s="1004"/>
      <c r="TQ141" s="1004"/>
      <c r="TR141" s="1004"/>
      <c r="TS141" s="1004"/>
      <c r="TT141" s="1004"/>
      <c r="TU141" s="1004"/>
      <c r="TV141" s="1004"/>
      <c r="TW141" s="1004"/>
      <c r="TX141" s="1004"/>
      <c r="TY141" s="1004"/>
      <c r="TZ141" s="1004"/>
      <c r="UA141" s="1004"/>
      <c r="UB141" s="1004"/>
      <c r="UC141" s="1004"/>
      <c r="UD141" s="1004"/>
      <c r="UE141" s="1004"/>
      <c r="UF141" s="1004"/>
      <c r="UG141" s="1004"/>
      <c r="UH141" s="1004"/>
      <c r="UI141" s="1004"/>
      <c r="UJ141" s="1004"/>
      <c r="UK141" s="1004"/>
      <c r="UL141" s="1004"/>
      <c r="UM141" s="1004"/>
      <c r="UN141" s="1004"/>
      <c r="UO141" s="1004"/>
      <c r="UP141" s="1004"/>
      <c r="UQ141" s="1004"/>
      <c r="UR141" s="1004"/>
      <c r="US141" s="1004"/>
      <c r="UT141" s="1004"/>
      <c r="UU141" s="1004"/>
      <c r="UV141" s="1004"/>
      <c r="UW141" s="1004"/>
      <c r="UX141" s="1004"/>
      <c r="UY141" s="1004"/>
      <c r="UZ141" s="1004"/>
      <c r="VA141" s="1004"/>
      <c r="VB141" s="1004"/>
      <c r="VC141" s="1004"/>
      <c r="VD141" s="1004"/>
      <c r="VE141" s="1004"/>
      <c r="VF141" s="1004"/>
      <c r="VG141" s="1004"/>
      <c r="VH141" s="1004"/>
      <c r="VI141" s="1004"/>
      <c r="VJ141" s="1004"/>
      <c r="VK141" s="1004"/>
      <c r="VL141" s="1004"/>
      <c r="VM141" s="1004"/>
      <c r="VN141" s="1004"/>
      <c r="VO141" s="1004"/>
      <c r="VP141" s="1004"/>
      <c r="VQ141" s="1004"/>
      <c r="VR141" s="1004"/>
      <c r="VS141" s="1004"/>
      <c r="VT141" s="1004"/>
      <c r="VU141" s="1004"/>
      <c r="VV141" s="1004"/>
      <c r="VW141" s="1004"/>
      <c r="VX141" s="1004"/>
      <c r="VY141" s="1004"/>
      <c r="VZ141" s="1004"/>
      <c r="WA141" s="1004"/>
      <c r="WB141" s="1004"/>
      <c r="WC141" s="1004"/>
      <c r="WD141" s="1004"/>
      <c r="WE141" s="1004"/>
      <c r="WF141" s="1004"/>
      <c r="WG141" s="1004"/>
      <c r="WH141" s="1004"/>
      <c r="WI141" s="1004"/>
      <c r="WJ141" s="1004"/>
      <c r="WK141" s="1004"/>
      <c r="WL141" s="1004"/>
      <c r="WM141" s="1004"/>
      <c r="WN141" s="1004"/>
      <c r="WO141" s="1004"/>
      <c r="WP141" s="1004"/>
      <c r="WQ141" s="1004"/>
      <c r="WR141" s="1004"/>
      <c r="WS141" s="1004"/>
      <c r="WT141" s="1004"/>
      <c r="WU141" s="1004"/>
      <c r="WV141" s="1004"/>
      <c r="WW141" s="1004"/>
      <c r="WX141" s="1004"/>
      <c r="WY141" s="1004"/>
      <c r="WZ141" s="1004"/>
      <c r="XA141" s="1004"/>
      <c r="XB141" s="1004"/>
      <c r="XC141" s="1004"/>
      <c r="XD141" s="1004"/>
      <c r="XE141" s="1004"/>
      <c r="XF141" s="1004"/>
      <c r="XG141" s="1004"/>
      <c r="XH141" s="1004"/>
      <c r="XI141" s="1004"/>
      <c r="XJ141" s="1004"/>
      <c r="XK141" s="1004"/>
      <c r="XL141" s="1004"/>
      <c r="XM141" s="1004"/>
      <c r="XN141" s="1004"/>
      <c r="XO141" s="1004"/>
      <c r="XP141" s="1004"/>
      <c r="XQ141" s="1004"/>
      <c r="XR141" s="1004"/>
      <c r="XS141" s="1004"/>
      <c r="XT141" s="1004"/>
      <c r="XU141" s="1004"/>
      <c r="XV141" s="1004"/>
      <c r="XW141" s="1004"/>
      <c r="XX141" s="1004"/>
      <c r="XY141" s="1004"/>
      <c r="XZ141" s="1004"/>
      <c r="YA141" s="1004"/>
      <c r="YB141" s="1004"/>
      <c r="YC141" s="1004"/>
      <c r="YD141" s="1004"/>
      <c r="YE141" s="1004"/>
      <c r="YF141" s="1004"/>
      <c r="YG141" s="1004"/>
      <c r="YH141" s="1004"/>
      <c r="YI141" s="1004"/>
      <c r="YJ141" s="1004"/>
      <c r="YK141" s="1004"/>
      <c r="YL141" s="1004"/>
      <c r="YM141" s="1004"/>
      <c r="YN141" s="1004"/>
      <c r="YO141" s="1004"/>
      <c r="YP141" s="1004"/>
      <c r="YQ141" s="1004"/>
      <c r="YR141" s="1004"/>
      <c r="YS141" s="1004"/>
      <c r="YT141" s="1004"/>
      <c r="YU141" s="1004"/>
      <c r="YV141" s="1004"/>
      <c r="YW141" s="1004"/>
      <c r="YX141" s="1004"/>
      <c r="YY141" s="1004"/>
      <c r="YZ141" s="1004"/>
      <c r="ZA141" s="1004"/>
      <c r="ZB141" s="1004"/>
      <c r="ZC141" s="1004"/>
      <c r="ZD141" s="1004"/>
      <c r="ZE141" s="1004"/>
      <c r="ZF141" s="1004"/>
      <c r="ZG141" s="1004"/>
      <c r="ZH141" s="1004"/>
      <c r="ZI141" s="1004"/>
      <c r="ZJ141" s="1004"/>
      <c r="ZK141" s="1004"/>
      <c r="ZL141" s="1004"/>
      <c r="ZM141" s="1004"/>
      <c r="ZN141" s="1004"/>
      <c r="ZO141" s="1004"/>
      <c r="ZP141" s="1004"/>
      <c r="ZQ141" s="1004"/>
      <c r="ZR141" s="1004"/>
      <c r="ZS141" s="1004"/>
      <c r="ZT141" s="1004"/>
      <c r="ZU141" s="1004"/>
      <c r="ZV141" s="1004"/>
      <c r="ZW141" s="1004"/>
      <c r="ZX141" s="1004"/>
      <c r="ZY141" s="1004"/>
      <c r="ZZ141" s="1004"/>
      <c r="AAA141" s="1004"/>
      <c r="AAB141" s="1004"/>
      <c r="AAC141" s="1004"/>
      <c r="AAD141" s="1004"/>
      <c r="AAE141" s="1004"/>
      <c r="AAF141" s="1004"/>
      <c r="AAG141" s="1004"/>
      <c r="AAH141" s="1004"/>
      <c r="AAI141" s="1004"/>
      <c r="AAJ141" s="1004"/>
      <c r="AAK141" s="1004"/>
      <c r="AAL141" s="1004"/>
      <c r="AAM141" s="1004"/>
      <c r="AAN141" s="1004"/>
      <c r="AAO141" s="1004"/>
      <c r="AAP141" s="1004"/>
      <c r="AAQ141" s="1004"/>
      <c r="AAR141" s="1004"/>
      <c r="AAS141" s="1004"/>
      <c r="AAT141" s="1004"/>
      <c r="AAU141" s="1004"/>
      <c r="AAV141" s="1004"/>
      <c r="AAW141" s="1004"/>
      <c r="AAX141" s="1004"/>
      <c r="AAY141" s="1004"/>
      <c r="AAZ141" s="1004"/>
      <c r="ABA141" s="1004"/>
      <c r="ABB141" s="1004"/>
      <c r="ABC141" s="1004"/>
      <c r="ABD141" s="1004"/>
      <c r="ABE141" s="1004"/>
      <c r="ABF141" s="1004"/>
      <c r="ABG141" s="1004"/>
      <c r="ABH141" s="1004"/>
      <c r="ABI141" s="1004"/>
      <c r="ABJ141" s="1004"/>
      <c r="ABK141" s="1004"/>
      <c r="ABL141" s="1004"/>
      <c r="ABM141" s="1004"/>
      <c r="ABN141" s="1004"/>
      <c r="ABO141" s="1004"/>
      <c r="ABP141" s="1004"/>
      <c r="ABQ141" s="1004"/>
      <c r="ABR141" s="1004"/>
    </row>
    <row r="142" spans="1:746" s="112" customFormat="1" ht="12" customHeight="1" thickBot="1">
      <c r="A142" s="925"/>
      <c r="B142" s="353" t="s">
        <v>123</v>
      </c>
      <c r="C142" s="117"/>
      <c r="D142" s="134"/>
      <c r="E142" s="347" t="s">
        <v>1</v>
      </c>
      <c r="F142" s="1240"/>
      <c r="G142" s="347">
        <v>0.25</v>
      </c>
      <c r="H142" s="597"/>
      <c r="I142" s="2364"/>
      <c r="J142" s="2192"/>
      <c r="K142" s="2192"/>
      <c r="L142" s="2192"/>
      <c r="M142" s="2192"/>
      <c r="N142" s="2192"/>
      <c r="O142" s="2192"/>
      <c r="P142" s="2192"/>
      <c r="Q142" s="2192"/>
      <c r="R142" s="2192"/>
      <c r="S142" s="2192"/>
      <c r="T142" s="2192"/>
      <c r="U142" s="2192"/>
      <c r="V142" s="2192"/>
      <c r="W142" s="2192"/>
      <c r="X142" s="2192"/>
      <c r="Y142" s="2192"/>
      <c r="Z142" s="2192"/>
      <c r="AA142" s="2192"/>
      <c r="AB142" s="2192"/>
      <c r="AC142" s="2192"/>
      <c r="AD142" s="2192"/>
      <c r="AE142" s="2192"/>
      <c r="AF142" s="2364"/>
      <c r="AG142" s="1042"/>
      <c r="AH142" s="2229">
        <v>0.2</v>
      </c>
      <c r="AI142" s="1817"/>
      <c r="AJ142" s="1956">
        <f>IF(fx!$C$57=1,SUMIF(fx!I$57:T$57,1,I142:T142),IF(fx!$C$57=2,SUMIF(fx!O$57:AF$57,1,O142:AF142)))</f>
        <v>0</v>
      </c>
      <c r="AK142" s="328"/>
      <c r="AL142" s="422">
        <f>IF(fx!$C$57=1,SUM(U142:AF142),0)</f>
        <v>0</v>
      </c>
      <c r="AM142" s="1005"/>
      <c r="AN142" s="1024"/>
      <c r="AO142" s="1945"/>
      <c r="AP142" s="1935"/>
      <c r="AQ142" s="1936"/>
      <c r="AR142" s="1941"/>
      <c r="AS142" s="1941"/>
      <c r="AT142" s="1941"/>
      <c r="AU142" s="1941"/>
      <c r="AV142" s="1941"/>
      <c r="AW142" s="1941"/>
      <c r="AX142" s="1941"/>
      <c r="AY142" s="1941"/>
      <c r="AZ142" s="1941"/>
      <c r="BA142" s="1941"/>
      <c r="BB142" s="1941"/>
      <c r="BC142" s="1941"/>
      <c r="BD142" s="1941"/>
      <c r="BE142" s="1941"/>
      <c r="BF142" s="1941"/>
      <c r="BG142" s="1941"/>
      <c r="BH142" s="1941"/>
      <c r="BI142" s="1941"/>
      <c r="BJ142" s="1941"/>
      <c r="BK142" s="1941"/>
      <c r="BL142" s="1941"/>
      <c r="BM142" s="1941"/>
      <c r="BN142" s="1941"/>
      <c r="BO142" s="1941"/>
      <c r="BP142" s="1004"/>
      <c r="BQ142" s="1004"/>
      <c r="BR142" s="1004"/>
      <c r="BS142" s="1004"/>
      <c r="BT142" s="1004"/>
      <c r="BU142" s="1004"/>
      <c r="BV142" s="1004"/>
      <c r="BW142" s="1004"/>
      <c r="BX142" s="1004"/>
      <c r="BY142" s="1004"/>
      <c r="BZ142" s="1004"/>
      <c r="CA142" s="1004"/>
      <c r="CB142" s="1004"/>
      <c r="CC142" s="1004"/>
      <c r="CD142" s="1004"/>
      <c r="CE142" s="1004"/>
      <c r="CF142" s="1004"/>
      <c r="CG142" s="1004"/>
      <c r="CH142" s="1004"/>
      <c r="CI142" s="1004"/>
      <c r="CJ142" s="1004"/>
      <c r="CK142" s="1004"/>
      <c r="CL142" s="1004"/>
      <c r="CM142" s="1004"/>
      <c r="CN142" s="1004"/>
      <c r="CO142" s="1004"/>
      <c r="CP142" s="1004"/>
      <c r="CQ142" s="1004"/>
      <c r="CR142" s="1004"/>
      <c r="CS142" s="1004"/>
      <c r="CT142" s="1004"/>
      <c r="CU142" s="1004"/>
      <c r="CV142" s="1004"/>
      <c r="CW142" s="1004"/>
      <c r="CX142" s="1004"/>
      <c r="CY142" s="1004"/>
      <c r="CZ142" s="1004"/>
      <c r="DA142" s="1004"/>
      <c r="DB142" s="1004"/>
      <c r="DC142" s="1004"/>
      <c r="DD142" s="1004"/>
      <c r="DE142" s="1004"/>
      <c r="DF142" s="1004"/>
      <c r="DG142" s="1004"/>
      <c r="DH142" s="1004"/>
      <c r="DI142" s="1004"/>
      <c r="DJ142" s="1004"/>
      <c r="DK142" s="1004"/>
      <c r="DL142" s="1004"/>
      <c r="DM142" s="1004"/>
      <c r="DN142" s="1004"/>
      <c r="DO142" s="1004"/>
      <c r="DP142" s="1004"/>
      <c r="DQ142" s="1004"/>
      <c r="DR142" s="1004"/>
      <c r="DS142" s="1004"/>
      <c r="DT142" s="1004"/>
      <c r="DU142" s="1004"/>
      <c r="DV142" s="1004"/>
      <c r="DW142" s="1004"/>
      <c r="DX142" s="1004"/>
      <c r="DY142" s="1004"/>
      <c r="DZ142" s="1004"/>
      <c r="EA142" s="1004"/>
      <c r="EB142" s="1004"/>
      <c r="EC142" s="1004"/>
      <c r="ED142" s="1004"/>
      <c r="EE142" s="1004"/>
      <c r="EF142" s="1004"/>
      <c r="EG142" s="1004"/>
      <c r="EH142" s="1004"/>
      <c r="EI142" s="1004"/>
      <c r="EJ142" s="1004"/>
      <c r="EK142" s="1004"/>
      <c r="EL142" s="1004"/>
      <c r="EM142" s="1004"/>
      <c r="EN142" s="1004"/>
      <c r="EO142" s="1004"/>
      <c r="EP142" s="1004"/>
      <c r="EQ142" s="1004"/>
      <c r="ER142" s="1004"/>
      <c r="ES142" s="1004"/>
      <c r="ET142" s="1004"/>
      <c r="EU142" s="1004"/>
      <c r="EV142" s="1004"/>
      <c r="EW142" s="1004"/>
      <c r="EX142" s="1004"/>
      <c r="EY142" s="1004"/>
      <c r="EZ142" s="1004"/>
      <c r="FA142" s="1004"/>
      <c r="FB142" s="1004"/>
      <c r="FC142" s="1004"/>
      <c r="FD142" s="1004"/>
      <c r="FE142" s="1004"/>
      <c r="FF142" s="1004"/>
      <c r="FG142" s="1004"/>
      <c r="FH142" s="1004"/>
      <c r="FI142" s="1004"/>
      <c r="FJ142" s="1004"/>
      <c r="FK142" s="1004"/>
      <c r="FL142" s="1004"/>
      <c r="FM142" s="1004"/>
      <c r="FN142" s="1004"/>
      <c r="FO142" s="1004"/>
      <c r="FP142" s="1004"/>
      <c r="FQ142" s="1004"/>
      <c r="FR142" s="1004"/>
      <c r="FS142" s="1004"/>
      <c r="FT142" s="1004"/>
      <c r="FU142" s="1004"/>
      <c r="FV142" s="1004"/>
      <c r="FW142" s="1004"/>
      <c r="FX142" s="1004"/>
      <c r="FY142" s="1004"/>
      <c r="FZ142" s="1004"/>
      <c r="GA142" s="1004"/>
      <c r="GB142" s="1004"/>
      <c r="GC142" s="1004"/>
      <c r="GD142" s="1004"/>
      <c r="GE142" s="1004"/>
      <c r="GF142" s="1004"/>
      <c r="GG142" s="1004"/>
      <c r="GH142" s="1004"/>
      <c r="GI142" s="1004"/>
      <c r="GJ142" s="1004"/>
      <c r="GK142" s="1004"/>
      <c r="GL142" s="1004"/>
      <c r="GM142" s="1004"/>
      <c r="GN142" s="1004"/>
      <c r="GO142" s="1004"/>
      <c r="GP142" s="1004"/>
      <c r="GQ142" s="1004"/>
      <c r="GR142" s="1004"/>
      <c r="GS142" s="1004"/>
      <c r="GT142" s="1004"/>
      <c r="GU142" s="1004"/>
      <c r="GV142" s="1004"/>
      <c r="GW142" s="1004"/>
      <c r="GX142" s="1004"/>
      <c r="GY142" s="1004"/>
      <c r="GZ142" s="1004"/>
      <c r="HA142" s="1004"/>
      <c r="HB142" s="1004"/>
      <c r="HC142" s="1004"/>
      <c r="HD142" s="1004"/>
      <c r="HE142" s="1004"/>
      <c r="HF142" s="1004"/>
      <c r="HG142" s="1004"/>
      <c r="HH142" s="1004"/>
      <c r="HI142" s="1004"/>
      <c r="HJ142" s="1004"/>
      <c r="HK142" s="1004"/>
      <c r="HL142" s="1004"/>
      <c r="HM142" s="1004"/>
      <c r="HN142" s="1004"/>
      <c r="HO142" s="1004"/>
      <c r="HP142" s="1004"/>
      <c r="HQ142" s="1004"/>
      <c r="HR142" s="1004"/>
      <c r="HS142" s="1004"/>
      <c r="HT142" s="1004"/>
      <c r="HU142" s="1004"/>
      <c r="HV142" s="1004"/>
      <c r="HW142" s="1004"/>
      <c r="HX142" s="1004"/>
      <c r="HY142" s="1004"/>
      <c r="HZ142" s="1004"/>
      <c r="IA142" s="1004"/>
      <c r="IB142" s="1004"/>
      <c r="IC142" s="1004"/>
      <c r="ID142" s="1004"/>
      <c r="IE142" s="1004"/>
      <c r="IF142" s="1004"/>
      <c r="IG142" s="1004"/>
      <c r="IH142" s="1004"/>
      <c r="II142" s="1004"/>
      <c r="IJ142" s="1004"/>
      <c r="IK142" s="1004"/>
      <c r="IL142" s="1004"/>
      <c r="IM142" s="1004"/>
      <c r="IN142" s="1004"/>
      <c r="IO142" s="1004"/>
      <c r="IP142" s="1004"/>
      <c r="IQ142" s="1004"/>
      <c r="IR142" s="1004"/>
      <c r="IS142" s="1004"/>
      <c r="IT142" s="1004"/>
      <c r="IU142" s="1004"/>
      <c r="IV142" s="1004"/>
      <c r="IW142" s="1004"/>
      <c r="IX142" s="1004"/>
      <c r="IY142" s="1004"/>
      <c r="IZ142" s="1004"/>
      <c r="JA142" s="1004"/>
      <c r="JB142" s="1004"/>
      <c r="JC142" s="1004"/>
      <c r="JD142" s="1004"/>
      <c r="JE142" s="1004"/>
      <c r="JF142" s="1004"/>
      <c r="JG142" s="1004"/>
      <c r="JH142" s="1004"/>
      <c r="JI142" s="1004"/>
      <c r="JJ142" s="1004"/>
      <c r="JK142" s="1004"/>
      <c r="JL142" s="1004"/>
      <c r="JM142" s="1004"/>
      <c r="JN142" s="1004"/>
      <c r="JO142" s="1004"/>
      <c r="JP142" s="1004"/>
      <c r="JQ142" s="1004"/>
      <c r="JR142" s="1004"/>
      <c r="JS142" s="1004"/>
      <c r="JT142" s="1004"/>
      <c r="JU142" s="1004"/>
      <c r="JV142" s="1004"/>
      <c r="JW142" s="1004"/>
      <c r="JX142" s="1004"/>
      <c r="JY142" s="1004"/>
      <c r="JZ142" s="1004"/>
      <c r="KA142" s="1004"/>
      <c r="KB142" s="1004"/>
      <c r="KC142" s="1004"/>
      <c r="KD142" s="1004"/>
      <c r="KE142" s="1004"/>
      <c r="KF142" s="1004"/>
      <c r="KG142" s="1004"/>
      <c r="KH142" s="1004"/>
      <c r="KI142" s="1004"/>
      <c r="KJ142" s="1004"/>
      <c r="KK142" s="1004"/>
      <c r="KL142" s="1004"/>
      <c r="KM142" s="1004"/>
      <c r="KN142" s="1004"/>
      <c r="KO142" s="1004"/>
      <c r="KP142" s="1004"/>
      <c r="KQ142" s="1004"/>
      <c r="KR142" s="1004"/>
      <c r="KS142" s="1004"/>
      <c r="KT142" s="1004"/>
      <c r="KU142" s="1004"/>
      <c r="KV142" s="1004"/>
      <c r="KW142" s="1004"/>
      <c r="KX142" s="1004"/>
      <c r="KY142" s="1004"/>
      <c r="KZ142" s="1004"/>
      <c r="LA142" s="1004"/>
      <c r="LB142" s="1004"/>
      <c r="LC142" s="1004"/>
      <c r="LD142" s="1004"/>
      <c r="LE142" s="1004"/>
      <c r="LF142" s="1004"/>
      <c r="LG142" s="1004"/>
      <c r="LH142" s="1004"/>
      <c r="LI142" s="1004"/>
      <c r="LJ142" s="1004"/>
      <c r="LK142" s="1004"/>
      <c r="LL142" s="1004"/>
      <c r="LM142" s="1004"/>
      <c r="LN142" s="1004"/>
      <c r="LO142" s="1004"/>
      <c r="LP142" s="1004"/>
      <c r="LQ142" s="1004"/>
      <c r="LR142" s="1004"/>
      <c r="LS142" s="1004"/>
      <c r="LT142" s="1004"/>
      <c r="LU142" s="1004"/>
      <c r="LV142" s="1004"/>
      <c r="LW142" s="1004"/>
      <c r="LX142" s="1004"/>
      <c r="LY142" s="1004"/>
      <c r="LZ142" s="1004"/>
      <c r="MA142" s="1004"/>
      <c r="MB142" s="1004"/>
      <c r="MC142" s="1004"/>
      <c r="MD142" s="1004"/>
      <c r="ME142" s="1004"/>
      <c r="MF142" s="1004"/>
      <c r="MG142" s="1004"/>
      <c r="MH142" s="1004"/>
      <c r="MI142" s="1004"/>
      <c r="MJ142" s="1004"/>
      <c r="MK142" s="1004"/>
      <c r="ML142" s="1004"/>
      <c r="MM142" s="1004"/>
      <c r="MN142" s="1004"/>
      <c r="MO142" s="1004"/>
      <c r="MP142" s="1004"/>
      <c r="MQ142" s="1004"/>
      <c r="MR142" s="1004"/>
      <c r="MS142" s="1004"/>
      <c r="MT142" s="1004"/>
      <c r="MU142" s="1004"/>
      <c r="MV142" s="1004"/>
      <c r="MW142" s="1004"/>
      <c r="MX142" s="1004"/>
      <c r="MY142" s="1004"/>
      <c r="MZ142" s="1004"/>
      <c r="NA142" s="1004"/>
      <c r="NB142" s="1004"/>
      <c r="NC142" s="1004"/>
      <c r="ND142" s="1004"/>
      <c r="NE142" s="1004"/>
      <c r="NF142" s="1004"/>
      <c r="NG142" s="1004"/>
      <c r="NH142" s="1004"/>
      <c r="NI142" s="1004"/>
      <c r="NJ142" s="1004"/>
      <c r="NK142" s="1004"/>
      <c r="NL142" s="1004"/>
      <c r="NM142" s="1004"/>
      <c r="NN142" s="1004"/>
      <c r="NO142" s="1004"/>
      <c r="NP142" s="1004"/>
      <c r="NQ142" s="1004"/>
      <c r="NR142" s="1004"/>
      <c r="NS142" s="1004"/>
      <c r="NT142" s="1004"/>
      <c r="NU142" s="1004"/>
      <c r="NV142" s="1004"/>
      <c r="NW142" s="1004"/>
      <c r="NX142" s="1004"/>
      <c r="NY142" s="1004"/>
      <c r="NZ142" s="1004"/>
      <c r="OA142" s="1004"/>
      <c r="OB142" s="1004"/>
      <c r="OC142" s="1004"/>
      <c r="OD142" s="1004"/>
      <c r="OE142" s="1004"/>
      <c r="OF142" s="1004"/>
      <c r="OG142" s="1004"/>
      <c r="OH142" s="1004"/>
      <c r="OI142" s="1004"/>
      <c r="OJ142" s="1004"/>
      <c r="OK142" s="1004"/>
      <c r="OL142" s="1004"/>
      <c r="OM142" s="1004"/>
      <c r="ON142" s="1004"/>
      <c r="OO142" s="1004"/>
      <c r="OP142" s="1004"/>
      <c r="OQ142" s="1004"/>
      <c r="OR142" s="1004"/>
      <c r="OS142" s="1004"/>
      <c r="OT142" s="1004"/>
      <c r="OU142" s="1004"/>
      <c r="OV142" s="1004"/>
      <c r="OW142" s="1004"/>
      <c r="OX142" s="1004"/>
      <c r="OY142" s="1004"/>
      <c r="OZ142" s="1004"/>
      <c r="PA142" s="1004"/>
      <c r="PB142" s="1004"/>
      <c r="PC142" s="1004"/>
      <c r="PD142" s="1004"/>
      <c r="PE142" s="1004"/>
      <c r="PF142" s="1004"/>
      <c r="PG142" s="1004"/>
      <c r="PH142" s="1004"/>
      <c r="PI142" s="1004"/>
      <c r="PJ142" s="1004"/>
      <c r="PK142" s="1004"/>
      <c r="PL142" s="1004"/>
      <c r="PM142" s="1004"/>
      <c r="PN142" s="1004"/>
      <c r="PO142" s="1004"/>
      <c r="PP142" s="1004"/>
      <c r="PQ142" s="1004"/>
      <c r="PR142" s="1004"/>
      <c r="PS142" s="1004"/>
      <c r="PT142" s="1004"/>
      <c r="PU142" s="1004"/>
      <c r="PV142" s="1004"/>
      <c r="PW142" s="1004"/>
      <c r="PX142" s="1004"/>
      <c r="PY142" s="1004"/>
      <c r="PZ142" s="1004"/>
      <c r="QA142" s="1004"/>
      <c r="QB142" s="1004"/>
      <c r="QC142" s="1004"/>
      <c r="QD142" s="1004"/>
      <c r="QE142" s="1004"/>
      <c r="QF142" s="1004"/>
      <c r="QG142" s="1004"/>
      <c r="QH142" s="1004"/>
      <c r="QI142" s="1004"/>
      <c r="QJ142" s="1004"/>
      <c r="QK142" s="1004"/>
      <c r="QL142" s="1004"/>
      <c r="QM142" s="1004"/>
      <c r="QN142" s="1004"/>
      <c r="QO142" s="1004"/>
      <c r="QP142" s="1004"/>
      <c r="QQ142" s="1004"/>
      <c r="QR142" s="1004"/>
      <c r="QS142" s="1004"/>
      <c r="QT142" s="1004"/>
      <c r="QU142" s="1004"/>
      <c r="QV142" s="1004"/>
      <c r="QW142" s="1004"/>
      <c r="QX142" s="1004"/>
      <c r="QY142" s="1004"/>
      <c r="QZ142" s="1004"/>
      <c r="RA142" s="1004"/>
      <c r="RB142" s="1004"/>
      <c r="RC142" s="1004"/>
      <c r="RD142" s="1004"/>
      <c r="RE142" s="1004"/>
      <c r="RF142" s="1004"/>
      <c r="RG142" s="1004"/>
      <c r="RH142" s="1004"/>
      <c r="RI142" s="1004"/>
      <c r="RJ142" s="1004"/>
      <c r="RK142" s="1004"/>
      <c r="RL142" s="1004"/>
      <c r="RM142" s="1004"/>
      <c r="RN142" s="1004"/>
      <c r="RO142" s="1004"/>
      <c r="RP142" s="1004"/>
      <c r="RQ142" s="1004"/>
      <c r="RR142" s="1004"/>
      <c r="RS142" s="1004"/>
      <c r="RT142" s="1004"/>
      <c r="RU142" s="1004"/>
      <c r="RV142" s="1004"/>
      <c r="RW142" s="1004"/>
      <c r="RX142" s="1004"/>
      <c r="RY142" s="1004"/>
      <c r="RZ142" s="1004"/>
      <c r="SA142" s="1004"/>
      <c r="SB142" s="1004"/>
      <c r="SC142" s="1004"/>
      <c r="SD142" s="1004"/>
      <c r="SE142" s="1004"/>
      <c r="SF142" s="1004"/>
      <c r="SG142" s="1004"/>
      <c r="SH142" s="1004"/>
      <c r="SI142" s="1004"/>
      <c r="SJ142" s="1004"/>
      <c r="SK142" s="1004"/>
      <c r="SL142" s="1004"/>
      <c r="SM142" s="1004"/>
      <c r="SN142" s="1004"/>
      <c r="SO142" s="1004"/>
      <c r="SP142" s="1004"/>
      <c r="SQ142" s="1004"/>
      <c r="SR142" s="1004"/>
      <c r="SS142" s="1004"/>
      <c r="ST142" s="1004"/>
      <c r="SU142" s="1004"/>
      <c r="SV142" s="1004"/>
      <c r="SW142" s="1004"/>
      <c r="SX142" s="1004"/>
      <c r="SY142" s="1004"/>
      <c r="SZ142" s="1004"/>
      <c r="TA142" s="1004"/>
      <c r="TB142" s="1004"/>
      <c r="TC142" s="1004"/>
      <c r="TD142" s="1004"/>
      <c r="TE142" s="1004"/>
      <c r="TF142" s="1004"/>
      <c r="TG142" s="1004"/>
      <c r="TH142" s="1004"/>
      <c r="TI142" s="1004"/>
      <c r="TJ142" s="1004"/>
      <c r="TK142" s="1004"/>
      <c r="TL142" s="1004"/>
      <c r="TM142" s="1004"/>
      <c r="TN142" s="1004"/>
      <c r="TO142" s="1004"/>
      <c r="TP142" s="1004"/>
      <c r="TQ142" s="1004"/>
      <c r="TR142" s="1004"/>
      <c r="TS142" s="1004"/>
      <c r="TT142" s="1004"/>
      <c r="TU142" s="1004"/>
      <c r="TV142" s="1004"/>
      <c r="TW142" s="1004"/>
      <c r="TX142" s="1004"/>
      <c r="TY142" s="1004"/>
      <c r="TZ142" s="1004"/>
      <c r="UA142" s="1004"/>
      <c r="UB142" s="1004"/>
      <c r="UC142" s="1004"/>
      <c r="UD142" s="1004"/>
      <c r="UE142" s="1004"/>
      <c r="UF142" s="1004"/>
      <c r="UG142" s="1004"/>
      <c r="UH142" s="1004"/>
      <c r="UI142" s="1004"/>
      <c r="UJ142" s="1004"/>
      <c r="UK142" s="1004"/>
      <c r="UL142" s="1004"/>
      <c r="UM142" s="1004"/>
      <c r="UN142" s="1004"/>
      <c r="UO142" s="1004"/>
      <c r="UP142" s="1004"/>
      <c r="UQ142" s="1004"/>
      <c r="UR142" s="1004"/>
      <c r="US142" s="1004"/>
      <c r="UT142" s="1004"/>
      <c r="UU142" s="1004"/>
      <c r="UV142" s="1004"/>
      <c r="UW142" s="1004"/>
      <c r="UX142" s="1004"/>
      <c r="UY142" s="1004"/>
      <c r="UZ142" s="1004"/>
      <c r="VA142" s="1004"/>
      <c r="VB142" s="1004"/>
      <c r="VC142" s="1004"/>
      <c r="VD142" s="1004"/>
      <c r="VE142" s="1004"/>
      <c r="VF142" s="1004"/>
      <c r="VG142" s="1004"/>
      <c r="VH142" s="1004"/>
      <c r="VI142" s="1004"/>
      <c r="VJ142" s="1004"/>
      <c r="VK142" s="1004"/>
      <c r="VL142" s="1004"/>
      <c r="VM142" s="1004"/>
      <c r="VN142" s="1004"/>
      <c r="VO142" s="1004"/>
      <c r="VP142" s="1004"/>
      <c r="VQ142" s="1004"/>
      <c r="VR142" s="1004"/>
      <c r="VS142" s="1004"/>
      <c r="VT142" s="1004"/>
      <c r="VU142" s="1004"/>
      <c r="VV142" s="1004"/>
      <c r="VW142" s="1004"/>
      <c r="VX142" s="1004"/>
      <c r="VY142" s="1004"/>
      <c r="VZ142" s="1004"/>
      <c r="WA142" s="1004"/>
      <c r="WB142" s="1004"/>
      <c r="WC142" s="1004"/>
      <c r="WD142" s="1004"/>
      <c r="WE142" s="1004"/>
      <c r="WF142" s="1004"/>
      <c r="WG142" s="1004"/>
      <c r="WH142" s="1004"/>
      <c r="WI142" s="1004"/>
      <c r="WJ142" s="1004"/>
      <c r="WK142" s="1004"/>
      <c r="WL142" s="1004"/>
      <c r="WM142" s="1004"/>
      <c r="WN142" s="1004"/>
      <c r="WO142" s="1004"/>
      <c r="WP142" s="1004"/>
      <c r="WQ142" s="1004"/>
      <c r="WR142" s="1004"/>
      <c r="WS142" s="1004"/>
      <c r="WT142" s="1004"/>
      <c r="WU142" s="1004"/>
      <c r="WV142" s="1004"/>
      <c r="WW142" s="1004"/>
      <c r="WX142" s="1004"/>
      <c r="WY142" s="1004"/>
      <c r="WZ142" s="1004"/>
      <c r="XA142" s="1004"/>
      <c r="XB142" s="1004"/>
      <c r="XC142" s="1004"/>
      <c r="XD142" s="1004"/>
      <c r="XE142" s="1004"/>
      <c r="XF142" s="1004"/>
      <c r="XG142" s="1004"/>
      <c r="XH142" s="1004"/>
      <c r="XI142" s="1004"/>
      <c r="XJ142" s="1004"/>
      <c r="XK142" s="1004"/>
      <c r="XL142" s="1004"/>
      <c r="XM142" s="1004"/>
      <c r="XN142" s="1004"/>
      <c r="XO142" s="1004"/>
      <c r="XP142" s="1004"/>
      <c r="XQ142" s="1004"/>
      <c r="XR142" s="1004"/>
      <c r="XS142" s="1004"/>
      <c r="XT142" s="1004"/>
      <c r="XU142" s="1004"/>
      <c r="XV142" s="1004"/>
      <c r="XW142" s="1004"/>
      <c r="XX142" s="1004"/>
      <c r="XY142" s="1004"/>
      <c r="XZ142" s="1004"/>
      <c r="YA142" s="1004"/>
      <c r="YB142" s="1004"/>
      <c r="YC142" s="1004"/>
      <c r="YD142" s="1004"/>
      <c r="YE142" s="1004"/>
      <c r="YF142" s="1004"/>
      <c r="YG142" s="1004"/>
      <c r="YH142" s="1004"/>
      <c r="YI142" s="1004"/>
      <c r="YJ142" s="1004"/>
      <c r="YK142" s="1004"/>
      <c r="YL142" s="1004"/>
      <c r="YM142" s="1004"/>
      <c r="YN142" s="1004"/>
      <c r="YO142" s="1004"/>
      <c r="YP142" s="1004"/>
      <c r="YQ142" s="1004"/>
      <c r="YR142" s="1004"/>
      <c r="YS142" s="1004"/>
      <c r="YT142" s="1004"/>
      <c r="YU142" s="1004"/>
      <c r="YV142" s="1004"/>
      <c r="YW142" s="1004"/>
      <c r="YX142" s="1004"/>
      <c r="YY142" s="1004"/>
      <c r="YZ142" s="1004"/>
      <c r="ZA142" s="1004"/>
      <c r="ZB142" s="1004"/>
      <c r="ZC142" s="1004"/>
      <c r="ZD142" s="1004"/>
      <c r="ZE142" s="1004"/>
      <c r="ZF142" s="1004"/>
      <c r="ZG142" s="1004"/>
      <c r="ZH142" s="1004"/>
      <c r="ZI142" s="1004"/>
      <c r="ZJ142" s="1004"/>
      <c r="ZK142" s="1004"/>
      <c r="ZL142" s="1004"/>
      <c r="ZM142" s="1004"/>
      <c r="ZN142" s="1004"/>
      <c r="ZO142" s="1004"/>
      <c r="ZP142" s="1004"/>
      <c r="ZQ142" s="1004"/>
      <c r="ZR142" s="1004"/>
      <c r="ZS142" s="1004"/>
      <c r="ZT142" s="1004"/>
      <c r="ZU142" s="1004"/>
      <c r="ZV142" s="1004"/>
      <c r="ZW142" s="1004"/>
      <c r="ZX142" s="1004"/>
      <c r="ZY142" s="1004"/>
      <c r="ZZ142" s="1004"/>
      <c r="AAA142" s="1004"/>
      <c r="AAB142" s="1004"/>
      <c r="AAC142" s="1004"/>
      <c r="AAD142" s="1004"/>
      <c r="AAE142" s="1004"/>
      <c r="AAF142" s="1004"/>
      <c r="AAG142" s="1004"/>
      <c r="AAH142" s="1004"/>
      <c r="AAI142" s="1004"/>
      <c r="AAJ142" s="1004"/>
      <c r="AAK142" s="1004"/>
      <c r="AAL142" s="1004"/>
      <c r="AAM142" s="1004"/>
      <c r="AAN142" s="1004"/>
      <c r="AAO142" s="1004"/>
      <c r="AAP142" s="1004"/>
      <c r="AAQ142" s="1004"/>
      <c r="AAR142" s="1004"/>
      <c r="AAS142" s="1004"/>
      <c r="AAT142" s="1004"/>
      <c r="AAU142" s="1004"/>
      <c r="AAV142" s="1004"/>
      <c r="AAW142" s="1004"/>
      <c r="AAX142" s="1004"/>
      <c r="AAY142" s="1004"/>
      <c r="AAZ142" s="1004"/>
      <c r="ABA142" s="1004"/>
      <c r="ABB142" s="1004"/>
      <c r="ABC142" s="1004"/>
      <c r="ABD142" s="1004"/>
      <c r="ABE142" s="1004"/>
      <c r="ABF142" s="1004"/>
      <c r="ABG142" s="1004"/>
      <c r="ABH142" s="1004"/>
      <c r="ABI142" s="1004"/>
      <c r="ABJ142" s="1004"/>
      <c r="ABK142" s="1004"/>
      <c r="ABL142" s="1004"/>
      <c r="ABM142" s="1004"/>
      <c r="ABN142" s="1004"/>
      <c r="ABO142" s="1004"/>
      <c r="ABP142" s="1004"/>
      <c r="ABQ142" s="1004"/>
      <c r="ABR142" s="1004"/>
    </row>
    <row r="143" spans="1:746" s="112" customFormat="1" ht="12" customHeight="1" thickBot="1">
      <c r="A143" s="925"/>
      <c r="B143" s="353" t="s">
        <v>124</v>
      </c>
      <c r="C143" s="117"/>
      <c r="D143" s="134"/>
      <c r="E143" s="347" t="s">
        <v>1</v>
      </c>
      <c r="F143" s="1240"/>
      <c r="G143" s="347">
        <v>0.25</v>
      </c>
      <c r="H143" s="597"/>
      <c r="I143" s="2364"/>
      <c r="J143" s="2192"/>
      <c r="K143" s="2192"/>
      <c r="L143" s="2192"/>
      <c r="M143" s="2192"/>
      <c r="N143" s="2192"/>
      <c r="O143" s="2192"/>
      <c r="P143" s="2192"/>
      <c r="Q143" s="2192"/>
      <c r="R143" s="2192"/>
      <c r="S143" s="2192"/>
      <c r="T143" s="368"/>
      <c r="U143" s="368"/>
      <c r="V143" s="368"/>
      <c r="W143" s="368"/>
      <c r="X143" s="368"/>
      <c r="Y143" s="368"/>
      <c r="Z143" s="368"/>
      <c r="AA143" s="368"/>
      <c r="AB143" s="368"/>
      <c r="AC143" s="368"/>
      <c r="AD143" s="368"/>
      <c r="AE143" s="368"/>
      <c r="AF143" s="1966"/>
      <c r="AG143" s="1042"/>
      <c r="AH143" s="2229">
        <v>0.2</v>
      </c>
      <c r="AI143" s="1817"/>
      <c r="AJ143" s="1956">
        <f>IF(fx!$C$57=1,SUMIF(fx!I$57:T$57,1,I143:T143),IF(fx!$C$57=2,SUMIF(fx!O$57:AF$57,1,O143:AF143)))</f>
        <v>0</v>
      </c>
      <c r="AK143" s="328"/>
      <c r="AL143" s="422">
        <f>IF(fx!$C$57=1,SUM(U143:AF143),0)</f>
        <v>0</v>
      </c>
      <c r="AM143" s="1005"/>
      <c r="AN143" s="1024"/>
      <c r="AO143" s="1945"/>
      <c r="AP143" s="1935"/>
      <c r="AQ143" s="1936"/>
      <c r="AR143" s="1941"/>
      <c r="AS143" s="1941"/>
      <c r="AT143" s="1941"/>
      <c r="AU143" s="1941"/>
      <c r="AV143" s="1941"/>
      <c r="AW143" s="1941"/>
      <c r="AX143" s="1941"/>
      <c r="AY143" s="1941"/>
      <c r="AZ143" s="1941"/>
      <c r="BA143" s="1941"/>
      <c r="BB143" s="1941"/>
      <c r="BC143" s="1941"/>
      <c r="BD143" s="1941"/>
      <c r="BE143" s="1941"/>
      <c r="BF143" s="1941"/>
      <c r="BG143" s="1941"/>
      <c r="BH143" s="1941"/>
      <c r="BI143" s="1941"/>
      <c r="BJ143" s="1941"/>
      <c r="BK143" s="1941"/>
      <c r="BL143" s="1941"/>
      <c r="BM143" s="1941"/>
      <c r="BN143" s="1941"/>
      <c r="BO143" s="1941"/>
      <c r="BP143" s="1004"/>
      <c r="BQ143" s="1004"/>
      <c r="BR143" s="1004"/>
      <c r="BS143" s="1004"/>
      <c r="BT143" s="1004"/>
      <c r="BU143" s="1004"/>
      <c r="BV143" s="1004"/>
      <c r="BW143" s="1004"/>
      <c r="BX143" s="1004"/>
      <c r="BY143" s="1004"/>
      <c r="BZ143" s="1004"/>
      <c r="CA143" s="1004"/>
      <c r="CB143" s="1004"/>
      <c r="CC143" s="1004"/>
      <c r="CD143" s="1004"/>
      <c r="CE143" s="1004"/>
      <c r="CF143" s="1004"/>
      <c r="CG143" s="1004"/>
      <c r="CH143" s="1004"/>
      <c r="CI143" s="1004"/>
      <c r="CJ143" s="1004"/>
      <c r="CK143" s="1004"/>
      <c r="CL143" s="1004"/>
      <c r="CM143" s="1004"/>
      <c r="CN143" s="1004"/>
      <c r="CO143" s="1004"/>
      <c r="CP143" s="1004"/>
      <c r="CQ143" s="1004"/>
      <c r="CR143" s="1004"/>
      <c r="CS143" s="1004"/>
      <c r="CT143" s="1004"/>
      <c r="CU143" s="1004"/>
      <c r="CV143" s="1004"/>
      <c r="CW143" s="1004"/>
      <c r="CX143" s="1004"/>
      <c r="CY143" s="1004"/>
      <c r="CZ143" s="1004"/>
      <c r="DA143" s="1004"/>
      <c r="DB143" s="1004"/>
      <c r="DC143" s="1004"/>
      <c r="DD143" s="1004"/>
      <c r="DE143" s="1004"/>
      <c r="DF143" s="1004"/>
      <c r="DG143" s="1004"/>
      <c r="DH143" s="1004"/>
      <c r="DI143" s="1004"/>
      <c r="DJ143" s="1004"/>
      <c r="DK143" s="1004"/>
      <c r="DL143" s="1004"/>
      <c r="DM143" s="1004"/>
      <c r="DN143" s="1004"/>
      <c r="DO143" s="1004"/>
      <c r="DP143" s="1004"/>
      <c r="DQ143" s="1004"/>
      <c r="DR143" s="1004"/>
      <c r="DS143" s="1004"/>
      <c r="DT143" s="1004"/>
      <c r="DU143" s="1004"/>
      <c r="DV143" s="1004"/>
      <c r="DW143" s="1004"/>
      <c r="DX143" s="1004"/>
      <c r="DY143" s="1004"/>
      <c r="DZ143" s="1004"/>
      <c r="EA143" s="1004"/>
      <c r="EB143" s="1004"/>
      <c r="EC143" s="1004"/>
      <c r="ED143" s="1004"/>
      <c r="EE143" s="1004"/>
      <c r="EF143" s="1004"/>
      <c r="EG143" s="1004"/>
      <c r="EH143" s="1004"/>
      <c r="EI143" s="1004"/>
      <c r="EJ143" s="1004"/>
      <c r="EK143" s="1004"/>
      <c r="EL143" s="1004"/>
      <c r="EM143" s="1004"/>
      <c r="EN143" s="1004"/>
      <c r="EO143" s="1004"/>
      <c r="EP143" s="1004"/>
      <c r="EQ143" s="1004"/>
      <c r="ER143" s="1004"/>
      <c r="ES143" s="1004"/>
      <c r="ET143" s="1004"/>
      <c r="EU143" s="1004"/>
      <c r="EV143" s="1004"/>
      <c r="EW143" s="1004"/>
      <c r="EX143" s="1004"/>
      <c r="EY143" s="1004"/>
      <c r="EZ143" s="1004"/>
      <c r="FA143" s="1004"/>
      <c r="FB143" s="1004"/>
      <c r="FC143" s="1004"/>
      <c r="FD143" s="1004"/>
      <c r="FE143" s="1004"/>
      <c r="FF143" s="1004"/>
      <c r="FG143" s="1004"/>
      <c r="FH143" s="1004"/>
      <c r="FI143" s="1004"/>
      <c r="FJ143" s="1004"/>
      <c r="FK143" s="1004"/>
      <c r="FL143" s="1004"/>
      <c r="FM143" s="1004"/>
      <c r="FN143" s="1004"/>
      <c r="FO143" s="1004"/>
      <c r="FP143" s="1004"/>
      <c r="FQ143" s="1004"/>
      <c r="FR143" s="1004"/>
      <c r="FS143" s="1004"/>
      <c r="FT143" s="1004"/>
      <c r="FU143" s="1004"/>
      <c r="FV143" s="1004"/>
      <c r="FW143" s="1004"/>
      <c r="FX143" s="1004"/>
      <c r="FY143" s="1004"/>
      <c r="FZ143" s="1004"/>
      <c r="GA143" s="1004"/>
      <c r="GB143" s="1004"/>
      <c r="GC143" s="1004"/>
      <c r="GD143" s="1004"/>
      <c r="GE143" s="1004"/>
      <c r="GF143" s="1004"/>
      <c r="GG143" s="1004"/>
      <c r="GH143" s="1004"/>
      <c r="GI143" s="1004"/>
      <c r="GJ143" s="1004"/>
      <c r="GK143" s="1004"/>
      <c r="GL143" s="1004"/>
      <c r="GM143" s="1004"/>
      <c r="GN143" s="1004"/>
      <c r="GO143" s="1004"/>
      <c r="GP143" s="1004"/>
      <c r="GQ143" s="1004"/>
      <c r="GR143" s="1004"/>
      <c r="GS143" s="1004"/>
      <c r="GT143" s="1004"/>
      <c r="GU143" s="1004"/>
      <c r="GV143" s="1004"/>
      <c r="GW143" s="1004"/>
      <c r="GX143" s="1004"/>
      <c r="GY143" s="1004"/>
      <c r="GZ143" s="1004"/>
      <c r="HA143" s="1004"/>
      <c r="HB143" s="1004"/>
      <c r="HC143" s="1004"/>
      <c r="HD143" s="1004"/>
      <c r="HE143" s="1004"/>
      <c r="HF143" s="1004"/>
      <c r="HG143" s="1004"/>
      <c r="HH143" s="1004"/>
      <c r="HI143" s="1004"/>
      <c r="HJ143" s="1004"/>
      <c r="HK143" s="1004"/>
      <c r="HL143" s="1004"/>
      <c r="HM143" s="1004"/>
      <c r="HN143" s="1004"/>
      <c r="HO143" s="1004"/>
      <c r="HP143" s="1004"/>
      <c r="HQ143" s="1004"/>
      <c r="HR143" s="1004"/>
      <c r="HS143" s="1004"/>
      <c r="HT143" s="1004"/>
      <c r="HU143" s="1004"/>
      <c r="HV143" s="1004"/>
      <c r="HW143" s="1004"/>
      <c r="HX143" s="1004"/>
      <c r="HY143" s="1004"/>
      <c r="HZ143" s="1004"/>
      <c r="IA143" s="1004"/>
      <c r="IB143" s="1004"/>
      <c r="IC143" s="1004"/>
      <c r="ID143" s="1004"/>
      <c r="IE143" s="1004"/>
      <c r="IF143" s="1004"/>
      <c r="IG143" s="1004"/>
      <c r="IH143" s="1004"/>
      <c r="II143" s="1004"/>
      <c r="IJ143" s="1004"/>
      <c r="IK143" s="1004"/>
      <c r="IL143" s="1004"/>
      <c r="IM143" s="1004"/>
      <c r="IN143" s="1004"/>
      <c r="IO143" s="1004"/>
      <c r="IP143" s="1004"/>
      <c r="IQ143" s="1004"/>
      <c r="IR143" s="1004"/>
      <c r="IS143" s="1004"/>
      <c r="IT143" s="1004"/>
      <c r="IU143" s="1004"/>
      <c r="IV143" s="1004"/>
      <c r="IW143" s="1004"/>
      <c r="IX143" s="1004"/>
      <c r="IY143" s="1004"/>
      <c r="IZ143" s="1004"/>
      <c r="JA143" s="1004"/>
      <c r="JB143" s="1004"/>
      <c r="JC143" s="1004"/>
      <c r="JD143" s="1004"/>
      <c r="JE143" s="1004"/>
      <c r="JF143" s="1004"/>
      <c r="JG143" s="1004"/>
      <c r="JH143" s="1004"/>
      <c r="JI143" s="1004"/>
      <c r="JJ143" s="1004"/>
      <c r="JK143" s="1004"/>
      <c r="JL143" s="1004"/>
      <c r="JM143" s="1004"/>
      <c r="JN143" s="1004"/>
      <c r="JO143" s="1004"/>
      <c r="JP143" s="1004"/>
      <c r="JQ143" s="1004"/>
      <c r="JR143" s="1004"/>
      <c r="JS143" s="1004"/>
      <c r="JT143" s="1004"/>
      <c r="JU143" s="1004"/>
      <c r="JV143" s="1004"/>
      <c r="JW143" s="1004"/>
      <c r="JX143" s="1004"/>
      <c r="JY143" s="1004"/>
      <c r="JZ143" s="1004"/>
      <c r="KA143" s="1004"/>
      <c r="KB143" s="1004"/>
      <c r="KC143" s="1004"/>
      <c r="KD143" s="1004"/>
      <c r="KE143" s="1004"/>
      <c r="KF143" s="1004"/>
      <c r="KG143" s="1004"/>
      <c r="KH143" s="1004"/>
      <c r="KI143" s="1004"/>
      <c r="KJ143" s="1004"/>
      <c r="KK143" s="1004"/>
      <c r="KL143" s="1004"/>
      <c r="KM143" s="1004"/>
      <c r="KN143" s="1004"/>
      <c r="KO143" s="1004"/>
      <c r="KP143" s="1004"/>
      <c r="KQ143" s="1004"/>
      <c r="KR143" s="1004"/>
      <c r="KS143" s="1004"/>
      <c r="KT143" s="1004"/>
      <c r="KU143" s="1004"/>
      <c r="KV143" s="1004"/>
      <c r="KW143" s="1004"/>
      <c r="KX143" s="1004"/>
      <c r="KY143" s="1004"/>
      <c r="KZ143" s="1004"/>
      <c r="LA143" s="1004"/>
      <c r="LB143" s="1004"/>
      <c r="LC143" s="1004"/>
      <c r="LD143" s="1004"/>
      <c r="LE143" s="1004"/>
      <c r="LF143" s="1004"/>
      <c r="LG143" s="1004"/>
      <c r="LH143" s="1004"/>
      <c r="LI143" s="1004"/>
      <c r="LJ143" s="1004"/>
      <c r="LK143" s="1004"/>
      <c r="LL143" s="1004"/>
      <c r="LM143" s="1004"/>
      <c r="LN143" s="1004"/>
      <c r="LO143" s="1004"/>
      <c r="LP143" s="1004"/>
      <c r="LQ143" s="1004"/>
      <c r="LR143" s="1004"/>
      <c r="LS143" s="1004"/>
      <c r="LT143" s="1004"/>
      <c r="LU143" s="1004"/>
      <c r="LV143" s="1004"/>
      <c r="LW143" s="1004"/>
      <c r="LX143" s="1004"/>
      <c r="LY143" s="1004"/>
      <c r="LZ143" s="1004"/>
      <c r="MA143" s="1004"/>
      <c r="MB143" s="1004"/>
      <c r="MC143" s="1004"/>
      <c r="MD143" s="1004"/>
      <c r="ME143" s="1004"/>
      <c r="MF143" s="1004"/>
      <c r="MG143" s="1004"/>
      <c r="MH143" s="1004"/>
      <c r="MI143" s="1004"/>
      <c r="MJ143" s="1004"/>
      <c r="MK143" s="1004"/>
      <c r="ML143" s="1004"/>
      <c r="MM143" s="1004"/>
      <c r="MN143" s="1004"/>
      <c r="MO143" s="1004"/>
      <c r="MP143" s="1004"/>
      <c r="MQ143" s="1004"/>
      <c r="MR143" s="1004"/>
      <c r="MS143" s="1004"/>
      <c r="MT143" s="1004"/>
      <c r="MU143" s="1004"/>
      <c r="MV143" s="1004"/>
      <c r="MW143" s="1004"/>
      <c r="MX143" s="1004"/>
      <c r="MY143" s="1004"/>
      <c r="MZ143" s="1004"/>
      <c r="NA143" s="1004"/>
      <c r="NB143" s="1004"/>
      <c r="NC143" s="1004"/>
      <c r="ND143" s="1004"/>
      <c r="NE143" s="1004"/>
      <c r="NF143" s="1004"/>
      <c r="NG143" s="1004"/>
      <c r="NH143" s="1004"/>
      <c r="NI143" s="1004"/>
      <c r="NJ143" s="1004"/>
      <c r="NK143" s="1004"/>
      <c r="NL143" s="1004"/>
      <c r="NM143" s="1004"/>
      <c r="NN143" s="1004"/>
      <c r="NO143" s="1004"/>
      <c r="NP143" s="1004"/>
      <c r="NQ143" s="1004"/>
      <c r="NR143" s="1004"/>
      <c r="NS143" s="1004"/>
      <c r="NT143" s="1004"/>
      <c r="NU143" s="1004"/>
      <c r="NV143" s="1004"/>
      <c r="NW143" s="1004"/>
      <c r="NX143" s="1004"/>
      <c r="NY143" s="1004"/>
      <c r="NZ143" s="1004"/>
      <c r="OA143" s="1004"/>
      <c r="OB143" s="1004"/>
      <c r="OC143" s="1004"/>
      <c r="OD143" s="1004"/>
      <c r="OE143" s="1004"/>
      <c r="OF143" s="1004"/>
      <c r="OG143" s="1004"/>
      <c r="OH143" s="1004"/>
      <c r="OI143" s="1004"/>
      <c r="OJ143" s="1004"/>
      <c r="OK143" s="1004"/>
      <c r="OL143" s="1004"/>
      <c r="OM143" s="1004"/>
      <c r="ON143" s="1004"/>
      <c r="OO143" s="1004"/>
      <c r="OP143" s="1004"/>
      <c r="OQ143" s="1004"/>
      <c r="OR143" s="1004"/>
      <c r="OS143" s="1004"/>
      <c r="OT143" s="1004"/>
      <c r="OU143" s="1004"/>
      <c r="OV143" s="1004"/>
      <c r="OW143" s="1004"/>
      <c r="OX143" s="1004"/>
      <c r="OY143" s="1004"/>
      <c r="OZ143" s="1004"/>
      <c r="PA143" s="1004"/>
      <c r="PB143" s="1004"/>
      <c r="PC143" s="1004"/>
      <c r="PD143" s="1004"/>
      <c r="PE143" s="1004"/>
      <c r="PF143" s="1004"/>
      <c r="PG143" s="1004"/>
      <c r="PH143" s="1004"/>
      <c r="PI143" s="1004"/>
      <c r="PJ143" s="1004"/>
      <c r="PK143" s="1004"/>
      <c r="PL143" s="1004"/>
      <c r="PM143" s="1004"/>
      <c r="PN143" s="1004"/>
      <c r="PO143" s="1004"/>
      <c r="PP143" s="1004"/>
      <c r="PQ143" s="1004"/>
      <c r="PR143" s="1004"/>
      <c r="PS143" s="1004"/>
      <c r="PT143" s="1004"/>
      <c r="PU143" s="1004"/>
      <c r="PV143" s="1004"/>
      <c r="PW143" s="1004"/>
      <c r="PX143" s="1004"/>
      <c r="PY143" s="1004"/>
      <c r="PZ143" s="1004"/>
      <c r="QA143" s="1004"/>
      <c r="QB143" s="1004"/>
      <c r="QC143" s="1004"/>
      <c r="QD143" s="1004"/>
      <c r="QE143" s="1004"/>
      <c r="QF143" s="1004"/>
      <c r="QG143" s="1004"/>
      <c r="QH143" s="1004"/>
      <c r="QI143" s="1004"/>
      <c r="QJ143" s="1004"/>
      <c r="QK143" s="1004"/>
      <c r="QL143" s="1004"/>
      <c r="QM143" s="1004"/>
      <c r="QN143" s="1004"/>
      <c r="QO143" s="1004"/>
      <c r="QP143" s="1004"/>
      <c r="QQ143" s="1004"/>
      <c r="QR143" s="1004"/>
      <c r="QS143" s="1004"/>
      <c r="QT143" s="1004"/>
      <c r="QU143" s="1004"/>
      <c r="QV143" s="1004"/>
      <c r="QW143" s="1004"/>
      <c r="QX143" s="1004"/>
      <c r="QY143" s="1004"/>
      <c r="QZ143" s="1004"/>
      <c r="RA143" s="1004"/>
      <c r="RB143" s="1004"/>
      <c r="RC143" s="1004"/>
      <c r="RD143" s="1004"/>
      <c r="RE143" s="1004"/>
      <c r="RF143" s="1004"/>
      <c r="RG143" s="1004"/>
      <c r="RH143" s="1004"/>
      <c r="RI143" s="1004"/>
      <c r="RJ143" s="1004"/>
      <c r="RK143" s="1004"/>
      <c r="RL143" s="1004"/>
      <c r="RM143" s="1004"/>
      <c r="RN143" s="1004"/>
      <c r="RO143" s="1004"/>
      <c r="RP143" s="1004"/>
      <c r="RQ143" s="1004"/>
      <c r="RR143" s="1004"/>
      <c r="RS143" s="1004"/>
      <c r="RT143" s="1004"/>
      <c r="RU143" s="1004"/>
      <c r="RV143" s="1004"/>
      <c r="RW143" s="1004"/>
      <c r="RX143" s="1004"/>
      <c r="RY143" s="1004"/>
      <c r="RZ143" s="1004"/>
      <c r="SA143" s="1004"/>
      <c r="SB143" s="1004"/>
      <c r="SC143" s="1004"/>
      <c r="SD143" s="1004"/>
      <c r="SE143" s="1004"/>
      <c r="SF143" s="1004"/>
      <c r="SG143" s="1004"/>
      <c r="SH143" s="1004"/>
      <c r="SI143" s="1004"/>
      <c r="SJ143" s="1004"/>
      <c r="SK143" s="1004"/>
      <c r="SL143" s="1004"/>
      <c r="SM143" s="1004"/>
      <c r="SN143" s="1004"/>
      <c r="SO143" s="1004"/>
      <c r="SP143" s="1004"/>
      <c r="SQ143" s="1004"/>
      <c r="SR143" s="1004"/>
      <c r="SS143" s="1004"/>
      <c r="ST143" s="1004"/>
      <c r="SU143" s="1004"/>
      <c r="SV143" s="1004"/>
      <c r="SW143" s="1004"/>
      <c r="SX143" s="1004"/>
      <c r="SY143" s="1004"/>
      <c r="SZ143" s="1004"/>
      <c r="TA143" s="1004"/>
      <c r="TB143" s="1004"/>
      <c r="TC143" s="1004"/>
      <c r="TD143" s="1004"/>
      <c r="TE143" s="1004"/>
      <c r="TF143" s="1004"/>
      <c r="TG143" s="1004"/>
      <c r="TH143" s="1004"/>
      <c r="TI143" s="1004"/>
      <c r="TJ143" s="1004"/>
      <c r="TK143" s="1004"/>
      <c r="TL143" s="1004"/>
      <c r="TM143" s="1004"/>
      <c r="TN143" s="1004"/>
      <c r="TO143" s="1004"/>
      <c r="TP143" s="1004"/>
      <c r="TQ143" s="1004"/>
      <c r="TR143" s="1004"/>
      <c r="TS143" s="1004"/>
      <c r="TT143" s="1004"/>
      <c r="TU143" s="1004"/>
      <c r="TV143" s="1004"/>
      <c r="TW143" s="1004"/>
      <c r="TX143" s="1004"/>
      <c r="TY143" s="1004"/>
      <c r="TZ143" s="1004"/>
      <c r="UA143" s="1004"/>
      <c r="UB143" s="1004"/>
      <c r="UC143" s="1004"/>
      <c r="UD143" s="1004"/>
      <c r="UE143" s="1004"/>
      <c r="UF143" s="1004"/>
      <c r="UG143" s="1004"/>
      <c r="UH143" s="1004"/>
      <c r="UI143" s="1004"/>
      <c r="UJ143" s="1004"/>
      <c r="UK143" s="1004"/>
      <c r="UL143" s="1004"/>
      <c r="UM143" s="1004"/>
      <c r="UN143" s="1004"/>
      <c r="UO143" s="1004"/>
      <c r="UP143" s="1004"/>
      <c r="UQ143" s="1004"/>
      <c r="UR143" s="1004"/>
      <c r="US143" s="1004"/>
      <c r="UT143" s="1004"/>
      <c r="UU143" s="1004"/>
      <c r="UV143" s="1004"/>
      <c r="UW143" s="1004"/>
      <c r="UX143" s="1004"/>
      <c r="UY143" s="1004"/>
      <c r="UZ143" s="1004"/>
      <c r="VA143" s="1004"/>
      <c r="VB143" s="1004"/>
      <c r="VC143" s="1004"/>
      <c r="VD143" s="1004"/>
      <c r="VE143" s="1004"/>
      <c r="VF143" s="1004"/>
      <c r="VG143" s="1004"/>
      <c r="VH143" s="1004"/>
      <c r="VI143" s="1004"/>
      <c r="VJ143" s="1004"/>
      <c r="VK143" s="1004"/>
      <c r="VL143" s="1004"/>
      <c r="VM143" s="1004"/>
      <c r="VN143" s="1004"/>
      <c r="VO143" s="1004"/>
      <c r="VP143" s="1004"/>
      <c r="VQ143" s="1004"/>
      <c r="VR143" s="1004"/>
      <c r="VS143" s="1004"/>
      <c r="VT143" s="1004"/>
      <c r="VU143" s="1004"/>
      <c r="VV143" s="1004"/>
      <c r="VW143" s="1004"/>
      <c r="VX143" s="1004"/>
      <c r="VY143" s="1004"/>
      <c r="VZ143" s="1004"/>
      <c r="WA143" s="1004"/>
      <c r="WB143" s="1004"/>
      <c r="WC143" s="1004"/>
      <c r="WD143" s="1004"/>
      <c r="WE143" s="1004"/>
      <c r="WF143" s="1004"/>
      <c r="WG143" s="1004"/>
      <c r="WH143" s="1004"/>
      <c r="WI143" s="1004"/>
      <c r="WJ143" s="1004"/>
      <c r="WK143" s="1004"/>
      <c r="WL143" s="1004"/>
      <c r="WM143" s="1004"/>
      <c r="WN143" s="1004"/>
      <c r="WO143" s="1004"/>
      <c r="WP143" s="1004"/>
      <c r="WQ143" s="1004"/>
      <c r="WR143" s="1004"/>
      <c r="WS143" s="1004"/>
      <c r="WT143" s="1004"/>
      <c r="WU143" s="1004"/>
      <c r="WV143" s="1004"/>
      <c r="WW143" s="1004"/>
      <c r="WX143" s="1004"/>
      <c r="WY143" s="1004"/>
      <c r="WZ143" s="1004"/>
      <c r="XA143" s="1004"/>
      <c r="XB143" s="1004"/>
      <c r="XC143" s="1004"/>
      <c r="XD143" s="1004"/>
      <c r="XE143" s="1004"/>
      <c r="XF143" s="1004"/>
      <c r="XG143" s="1004"/>
      <c r="XH143" s="1004"/>
      <c r="XI143" s="1004"/>
      <c r="XJ143" s="1004"/>
      <c r="XK143" s="1004"/>
      <c r="XL143" s="1004"/>
      <c r="XM143" s="1004"/>
      <c r="XN143" s="1004"/>
      <c r="XO143" s="1004"/>
      <c r="XP143" s="1004"/>
      <c r="XQ143" s="1004"/>
      <c r="XR143" s="1004"/>
      <c r="XS143" s="1004"/>
      <c r="XT143" s="1004"/>
      <c r="XU143" s="1004"/>
      <c r="XV143" s="1004"/>
      <c r="XW143" s="1004"/>
      <c r="XX143" s="1004"/>
      <c r="XY143" s="1004"/>
      <c r="XZ143" s="1004"/>
      <c r="YA143" s="1004"/>
      <c r="YB143" s="1004"/>
      <c r="YC143" s="1004"/>
      <c r="YD143" s="1004"/>
      <c r="YE143" s="1004"/>
      <c r="YF143" s="1004"/>
      <c r="YG143" s="1004"/>
      <c r="YH143" s="1004"/>
      <c r="YI143" s="1004"/>
      <c r="YJ143" s="1004"/>
      <c r="YK143" s="1004"/>
      <c r="YL143" s="1004"/>
      <c r="YM143" s="1004"/>
      <c r="YN143" s="1004"/>
      <c r="YO143" s="1004"/>
      <c r="YP143" s="1004"/>
      <c r="YQ143" s="1004"/>
      <c r="YR143" s="1004"/>
      <c r="YS143" s="1004"/>
      <c r="YT143" s="1004"/>
      <c r="YU143" s="1004"/>
      <c r="YV143" s="1004"/>
      <c r="YW143" s="1004"/>
      <c r="YX143" s="1004"/>
      <c r="YY143" s="1004"/>
      <c r="YZ143" s="1004"/>
      <c r="ZA143" s="1004"/>
      <c r="ZB143" s="1004"/>
      <c r="ZC143" s="1004"/>
      <c r="ZD143" s="1004"/>
      <c r="ZE143" s="1004"/>
      <c r="ZF143" s="1004"/>
      <c r="ZG143" s="1004"/>
      <c r="ZH143" s="1004"/>
      <c r="ZI143" s="1004"/>
      <c r="ZJ143" s="1004"/>
      <c r="ZK143" s="1004"/>
      <c r="ZL143" s="1004"/>
      <c r="ZM143" s="1004"/>
      <c r="ZN143" s="1004"/>
      <c r="ZO143" s="1004"/>
      <c r="ZP143" s="1004"/>
      <c r="ZQ143" s="1004"/>
      <c r="ZR143" s="1004"/>
      <c r="ZS143" s="1004"/>
      <c r="ZT143" s="1004"/>
      <c r="ZU143" s="1004"/>
      <c r="ZV143" s="1004"/>
      <c r="ZW143" s="1004"/>
      <c r="ZX143" s="1004"/>
      <c r="ZY143" s="1004"/>
      <c r="ZZ143" s="1004"/>
      <c r="AAA143" s="1004"/>
      <c r="AAB143" s="1004"/>
      <c r="AAC143" s="1004"/>
      <c r="AAD143" s="1004"/>
      <c r="AAE143" s="1004"/>
      <c r="AAF143" s="1004"/>
      <c r="AAG143" s="1004"/>
      <c r="AAH143" s="1004"/>
      <c r="AAI143" s="1004"/>
      <c r="AAJ143" s="1004"/>
      <c r="AAK143" s="1004"/>
      <c r="AAL143" s="1004"/>
      <c r="AAM143" s="1004"/>
      <c r="AAN143" s="1004"/>
      <c r="AAO143" s="1004"/>
      <c r="AAP143" s="1004"/>
      <c r="AAQ143" s="1004"/>
      <c r="AAR143" s="1004"/>
      <c r="AAS143" s="1004"/>
      <c r="AAT143" s="1004"/>
      <c r="AAU143" s="1004"/>
      <c r="AAV143" s="1004"/>
      <c r="AAW143" s="1004"/>
      <c r="AAX143" s="1004"/>
      <c r="AAY143" s="1004"/>
      <c r="AAZ143" s="1004"/>
      <c r="ABA143" s="1004"/>
      <c r="ABB143" s="1004"/>
      <c r="ABC143" s="1004"/>
      <c r="ABD143" s="1004"/>
      <c r="ABE143" s="1004"/>
      <c r="ABF143" s="1004"/>
      <c r="ABG143" s="1004"/>
      <c r="ABH143" s="1004"/>
      <c r="ABI143" s="1004"/>
      <c r="ABJ143" s="1004"/>
      <c r="ABK143" s="1004"/>
      <c r="ABL143" s="1004"/>
      <c r="ABM143" s="1004"/>
      <c r="ABN143" s="1004"/>
      <c r="ABO143" s="1004"/>
      <c r="ABP143" s="1004"/>
      <c r="ABQ143" s="1004"/>
      <c r="ABR143" s="1004"/>
    </row>
    <row r="144" spans="1:746" s="112" customFormat="1" ht="12" customHeight="1" thickBot="1">
      <c r="A144" s="925"/>
      <c r="B144" s="354" t="s">
        <v>314</v>
      </c>
      <c r="C144" s="117"/>
      <c r="D144" s="134"/>
      <c r="E144" s="347" t="s">
        <v>1</v>
      </c>
      <c r="F144" s="1240"/>
      <c r="G144" s="347">
        <v>0.25</v>
      </c>
      <c r="H144" s="597"/>
      <c r="I144" s="2364"/>
      <c r="J144" s="2192"/>
      <c r="K144" s="2192"/>
      <c r="L144" s="2192"/>
      <c r="M144" s="2192"/>
      <c r="N144" s="2192"/>
      <c r="O144" s="2192"/>
      <c r="P144" s="2192"/>
      <c r="Q144" s="2192"/>
      <c r="R144" s="2192"/>
      <c r="S144" s="2192"/>
      <c r="T144" s="2192"/>
      <c r="U144" s="2192"/>
      <c r="V144" s="2192"/>
      <c r="W144" s="2192"/>
      <c r="X144" s="2192"/>
      <c r="Y144" s="2192"/>
      <c r="Z144" s="2192"/>
      <c r="AA144" s="2192"/>
      <c r="AB144" s="2192"/>
      <c r="AC144" s="2192"/>
      <c r="AD144" s="2192"/>
      <c r="AE144" s="2192"/>
      <c r="AF144" s="2364"/>
      <c r="AG144" s="1042"/>
      <c r="AH144" s="2229">
        <v>0.2</v>
      </c>
      <c r="AI144" s="1817"/>
      <c r="AJ144" s="1956">
        <f>IF(fx!$C$57=1,SUMIF(fx!I$57:T$57,1,I144:T144),IF(fx!$C$57=2,SUMIF(fx!O$57:AF$57,1,O144:AF144)))</f>
        <v>0</v>
      </c>
      <c r="AK144" s="328"/>
      <c r="AL144" s="422">
        <f>IF(fx!$C$57=1,SUM(U144:AF144),0)</f>
        <v>0</v>
      </c>
      <c r="AM144" s="1005"/>
      <c r="AN144" s="1024"/>
      <c r="AO144" s="1945"/>
      <c r="AP144" s="1935"/>
      <c r="AQ144" s="1936"/>
      <c r="AR144" s="1958"/>
      <c r="AS144" s="1958"/>
      <c r="AT144" s="1958"/>
      <c r="AU144" s="1958"/>
      <c r="AV144" s="1958"/>
      <c r="AW144" s="1958"/>
      <c r="AX144" s="1958"/>
      <c r="AY144" s="1958"/>
      <c r="AZ144" s="1958"/>
      <c r="BA144" s="1958"/>
      <c r="BB144" s="1958"/>
      <c r="BC144" s="1958"/>
      <c r="BD144" s="1958"/>
      <c r="BE144" s="1958"/>
      <c r="BF144" s="1958"/>
      <c r="BG144" s="1958"/>
      <c r="BH144" s="1958"/>
      <c r="BI144" s="1958"/>
      <c r="BJ144" s="1958"/>
      <c r="BK144" s="1958"/>
      <c r="BL144" s="1958"/>
      <c r="BM144" s="1958"/>
      <c r="BN144" s="1958"/>
      <c r="BO144" s="1958"/>
      <c r="BP144" s="1004"/>
      <c r="BQ144" s="1004"/>
      <c r="BR144" s="1004"/>
      <c r="BS144" s="1004"/>
      <c r="BT144" s="1004"/>
      <c r="BU144" s="1004"/>
      <c r="BV144" s="1004"/>
      <c r="BW144" s="1004"/>
      <c r="BX144" s="1004"/>
      <c r="BY144" s="1004"/>
      <c r="BZ144" s="1004"/>
      <c r="CA144" s="1004"/>
      <c r="CB144" s="1004"/>
      <c r="CC144" s="1004"/>
      <c r="CD144" s="1004"/>
      <c r="CE144" s="1004"/>
      <c r="CF144" s="1004"/>
      <c r="CG144" s="1004"/>
      <c r="CH144" s="1004"/>
      <c r="CI144" s="1004"/>
      <c r="CJ144" s="1004"/>
      <c r="CK144" s="1004"/>
      <c r="CL144" s="1004"/>
      <c r="CM144" s="1004"/>
      <c r="CN144" s="1004"/>
      <c r="CO144" s="1004"/>
      <c r="CP144" s="1004"/>
      <c r="CQ144" s="1004"/>
      <c r="CR144" s="1004"/>
      <c r="CS144" s="1004"/>
      <c r="CT144" s="1004"/>
      <c r="CU144" s="1004"/>
      <c r="CV144" s="1004"/>
      <c r="CW144" s="1004"/>
      <c r="CX144" s="1004"/>
      <c r="CY144" s="1004"/>
      <c r="CZ144" s="1004"/>
      <c r="DA144" s="1004"/>
      <c r="DB144" s="1004"/>
      <c r="DC144" s="1004"/>
      <c r="DD144" s="1004"/>
      <c r="DE144" s="1004"/>
      <c r="DF144" s="1004"/>
      <c r="DG144" s="1004"/>
      <c r="DH144" s="1004"/>
      <c r="DI144" s="1004"/>
      <c r="DJ144" s="1004"/>
      <c r="DK144" s="1004"/>
      <c r="DL144" s="1004"/>
      <c r="DM144" s="1004"/>
      <c r="DN144" s="1004"/>
      <c r="DO144" s="1004"/>
      <c r="DP144" s="1004"/>
      <c r="DQ144" s="1004"/>
      <c r="DR144" s="1004"/>
      <c r="DS144" s="1004"/>
      <c r="DT144" s="1004"/>
      <c r="DU144" s="1004"/>
      <c r="DV144" s="1004"/>
      <c r="DW144" s="1004"/>
      <c r="DX144" s="1004"/>
      <c r="DY144" s="1004"/>
      <c r="DZ144" s="1004"/>
      <c r="EA144" s="1004"/>
      <c r="EB144" s="1004"/>
      <c r="EC144" s="1004"/>
      <c r="ED144" s="1004"/>
      <c r="EE144" s="1004"/>
      <c r="EF144" s="1004"/>
      <c r="EG144" s="1004"/>
      <c r="EH144" s="1004"/>
      <c r="EI144" s="1004"/>
      <c r="EJ144" s="1004"/>
      <c r="EK144" s="1004"/>
      <c r="EL144" s="1004"/>
      <c r="EM144" s="1004"/>
      <c r="EN144" s="1004"/>
      <c r="EO144" s="1004"/>
      <c r="EP144" s="1004"/>
      <c r="EQ144" s="1004"/>
      <c r="ER144" s="1004"/>
      <c r="ES144" s="1004"/>
      <c r="ET144" s="1004"/>
      <c r="EU144" s="1004"/>
      <c r="EV144" s="1004"/>
      <c r="EW144" s="1004"/>
      <c r="EX144" s="1004"/>
      <c r="EY144" s="1004"/>
      <c r="EZ144" s="1004"/>
      <c r="FA144" s="1004"/>
      <c r="FB144" s="1004"/>
      <c r="FC144" s="1004"/>
      <c r="FD144" s="1004"/>
      <c r="FE144" s="1004"/>
      <c r="FF144" s="1004"/>
      <c r="FG144" s="1004"/>
      <c r="FH144" s="1004"/>
      <c r="FI144" s="1004"/>
      <c r="FJ144" s="1004"/>
      <c r="FK144" s="1004"/>
      <c r="FL144" s="1004"/>
      <c r="FM144" s="1004"/>
      <c r="FN144" s="1004"/>
      <c r="FO144" s="1004"/>
      <c r="FP144" s="1004"/>
      <c r="FQ144" s="1004"/>
      <c r="FR144" s="1004"/>
      <c r="FS144" s="1004"/>
      <c r="FT144" s="1004"/>
      <c r="FU144" s="1004"/>
      <c r="FV144" s="1004"/>
      <c r="FW144" s="1004"/>
      <c r="FX144" s="1004"/>
      <c r="FY144" s="1004"/>
      <c r="FZ144" s="1004"/>
      <c r="GA144" s="1004"/>
      <c r="GB144" s="1004"/>
      <c r="GC144" s="1004"/>
      <c r="GD144" s="1004"/>
      <c r="GE144" s="1004"/>
      <c r="GF144" s="1004"/>
      <c r="GG144" s="1004"/>
      <c r="GH144" s="1004"/>
      <c r="GI144" s="1004"/>
      <c r="GJ144" s="1004"/>
      <c r="GK144" s="1004"/>
      <c r="GL144" s="1004"/>
      <c r="GM144" s="1004"/>
      <c r="GN144" s="1004"/>
      <c r="GO144" s="1004"/>
      <c r="GP144" s="1004"/>
      <c r="GQ144" s="1004"/>
      <c r="GR144" s="1004"/>
      <c r="GS144" s="1004"/>
      <c r="GT144" s="1004"/>
      <c r="GU144" s="1004"/>
      <c r="GV144" s="1004"/>
      <c r="GW144" s="1004"/>
      <c r="GX144" s="1004"/>
      <c r="GY144" s="1004"/>
      <c r="GZ144" s="1004"/>
      <c r="HA144" s="1004"/>
      <c r="HB144" s="1004"/>
      <c r="HC144" s="1004"/>
      <c r="HD144" s="1004"/>
      <c r="HE144" s="1004"/>
      <c r="HF144" s="1004"/>
      <c r="HG144" s="1004"/>
      <c r="HH144" s="1004"/>
      <c r="HI144" s="1004"/>
      <c r="HJ144" s="1004"/>
      <c r="HK144" s="1004"/>
      <c r="HL144" s="1004"/>
      <c r="HM144" s="1004"/>
      <c r="HN144" s="1004"/>
      <c r="HO144" s="1004"/>
      <c r="HP144" s="1004"/>
      <c r="HQ144" s="1004"/>
      <c r="HR144" s="1004"/>
      <c r="HS144" s="1004"/>
      <c r="HT144" s="1004"/>
      <c r="HU144" s="1004"/>
      <c r="HV144" s="1004"/>
      <c r="HW144" s="1004"/>
      <c r="HX144" s="1004"/>
      <c r="HY144" s="1004"/>
      <c r="HZ144" s="1004"/>
      <c r="IA144" s="1004"/>
      <c r="IB144" s="1004"/>
      <c r="IC144" s="1004"/>
      <c r="ID144" s="1004"/>
      <c r="IE144" s="1004"/>
      <c r="IF144" s="1004"/>
      <c r="IG144" s="1004"/>
      <c r="IH144" s="1004"/>
      <c r="II144" s="1004"/>
      <c r="IJ144" s="1004"/>
      <c r="IK144" s="1004"/>
      <c r="IL144" s="1004"/>
      <c r="IM144" s="1004"/>
      <c r="IN144" s="1004"/>
      <c r="IO144" s="1004"/>
      <c r="IP144" s="1004"/>
      <c r="IQ144" s="1004"/>
      <c r="IR144" s="1004"/>
      <c r="IS144" s="1004"/>
      <c r="IT144" s="1004"/>
      <c r="IU144" s="1004"/>
      <c r="IV144" s="1004"/>
      <c r="IW144" s="1004"/>
      <c r="IX144" s="1004"/>
      <c r="IY144" s="1004"/>
      <c r="IZ144" s="1004"/>
      <c r="JA144" s="1004"/>
      <c r="JB144" s="1004"/>
      <c r="JC144" s="1004"/>
      <c r="JD144" s="1004"/>
      <c r="JE144" s="1004"/>
      <c r="JF144" s="1004"/>
      <c r="JG144" s="1004"/>
      <c r="JH144" s="1004"/>
      <c r="JI144" s="1004"/>
      <c r="JJ144" s="1004"/>
      <c r="JK144" s="1004"/>
      <c r="JL144" s="1004"/>
      <c r="JM144" s="1004"/>
      <c r="JN144" s="1004"/>
      <c r="JO144" s="1004"/>
      <c r="JP144" s="1004"/>
      <c r="JQ144" s="1004"/>
      <c r="JR144" s="1004"/>
      <c r="JS144" s="1004"/>
      <c r="JT144" s="1004"/>
      <c r="JU144" s="1004"/>
      <c r="JV144" s="1004"/>
      <c r="JW144" s="1004"/>
      <c r="JX144" s="1004"/>
      <c r="JY144" s="1004"/>
      <c r="JZ144" s="1004"/>
      <c r="KA144" s="1004"/>
      <c r="KB144" s="1004"/>
      <c r="KC144" s="1004"/>
      <c r="KD144" s="1004"/>
      <c r="KE144" s="1004"/>
      <c r="KF144" s="1004"/>
      <c r="KG144" s="1004"/>
      <c r="KH144" s="1004"/>
      <c r="KI144" s="1004"/>
      <c r="KJ144" s="1004"/>
      <c r="KK144" s="1004"/>
      <c r="KL144" s="1004"/>
      <c r="KM144" s="1004"/>
      <c r="KN144" s="1004"/>
      <c r="KO144" s="1004"/>
      <c r="KP144" s="1004"/>
      <c r="KQ144" s="1004"/>
      <c r="KR144" s="1004"/>
      <c r="KS144" s="1004"/>
      <c r="KT144" s="1004"/>
      <c r="KU144" s="1004"/>
      <c r="KV144" s="1004"/>
      <c r="KW144" s="1004"/>
      <c r="KX144" s="1004"/>
      <c r="KY144" s="1004"/>
      <c r="KZ144" s="1004"/>
      <c r="LA144" s="1004"/>
      <c r="LB144" s="1004"/>
      <c r="LC144" s="1004"/>
      <c r="LD144" s="1004"/>
      <c r="LE144" s="1004"/>
      <c r="LF144" s="1004"/>
      <c r="LG144" s="1004"/>
      <c r="LH144" s="1004"/>
      <c r="LI144" s="1004"/>
      <c r="LJ144" s="1004"/>
      <c r="LK144" s="1004"/>
      <c r="LL144" s="1004"/>
      <c r="LM144" s="1004"/>
      <c r="LN144" s="1004"/>
      <c r="LO144" s="1004"/>
      <c r="LP144" s="1004"/>
      <c r="LQ144" s="1004"/>
      <c r="LR144" s="1004"/>
      <c r="LS144" s="1004"/>
      <c r="LT144" s="1004"/>
      <c r="LU144" s="1004"/>
      <c r="LV144" s="1004"/>
      <c r="LW144" s="1004"/>
      <c r="LX144" s="1004"/>
      <c r="LY144" s="1004"/>
      <c r="LZ144" s="1004"/>
      <c r="MA144" s="1004"/>
      <c r="MB144" s="1004"/>
      <c r="MC144" s="1004"/>
      <c r="MD144" s="1004"/>
      <c r="ME144" s="1004"/>
      <c r="MF144" s="1004"/>
      <c r="MG144" s="1004"/>
      <c r="MH144" s="1004"/>
      <c r="MI144" s="1004"/>
      <c r="MJ144" s="1004"/>
      <c r="MK144" s="1004"/>
      <c r="ML144" s="1004"/>
      <c r="MM144" s="1004"/>
      <c r="MN144" s="1004"/>
      <c r="MO144" s="1004"/>
      <c r="MP144" s="1004"/>
      <c r="MQ144" s="1004"/>
      <c r="MR144" s="1004"/>
      <c r="MS144" s="1004"/>
      <c r="MT144" s="1004"/>
      <c r="MU144" s="1004"/>
      <c r="MV144" s="1004"/>
      <c r="MW144" s="1004"/>
      <c r="MX144" s="1004"/>
      <c r="MY144" s="1004"/>
      <c r="MZ144" s="1004"/>
      <c r="NA144" s="1004"/>
      <c r="NB144" s="1004"/>
      <c r="NC144" s="1004"/>
      <c r="ND144" s="1004"/>
      <c r="NE144" s="1004"/>
      <c r="NF144" s="1004"/>
      <c r="NG144" s="1004"/>
      <c r="NH144" s="1004"/>
      <c r="NI144" s="1004"/>
      <c r="NJ144" s="1004"/>
      <c r="NK144" s="1004"/>
      <c r="NL144" s="1004"/>
      <c r="NM144" s="1004"/>
      <c r="NN144" s="1004"/>
      <c r="NO144" s="1004"/>
      <c r="NP144" s="1004"/>
      <c r="NQ144" s="1004"/>
      <c r="NR144" s="1004"/>
      <c r="NS144" s="1004"/>
      <c r="NT144" s="1004"/>
      <c r="NU144" s="1004"/>
      <c r="NV144" s="1004"/>
      <c r="NW144" s="1004"/>
      <c r="NX144" s="1004"/>
      <c r="NY144" s="1004"/>
      <c r="NZ144" s="1004"/>
      <c r="OA144" s="1004"/>
      <c r="OB144" s="1004"/>
      <c r="OC144" s="1004"/>
      <c r="OD144" s="1004"/>
      <c r="OE144" s="1004"/>
      <c r="OF144" s="1004"/>
      <c r="OG144" s="1004"/>
      <c r="OH144" s="1004"/>
      <c r="OI144" s="1004"/>
      <c r="OJ144" s="1004"/>
      <c r="OK144" s="1004"/>
      <c r="OL144" s="1004"/>
      <c r="OM144" s="1004"/>
      <c r="ON144" s="1004"/>
      <c r="OO144" s="1004"/>
      <c r="OP144" s="1004"/>
      <c r="OQ144" s="1004"/>
      <c r="OR144" s="1004"/>
      <c r="OS144" s="1004"/>
      <c r="OT144" s="1004"/>
      <c r="OU144" s="1004"/>
      <c r="OV144" s="1004"/>
      <c r="OW144" s="1004"/>
      <c r="OX144" s="1004"/>
      <c r="OY144" s="1004"/>
      <c r="OZ144" s="1004"/>
      <c r="PA144" s="1004"/>
      <c r="PB144" s="1004"/>
      <c r="PC144" s="1004"/>
      <c r="PD144" s="1004"/>
      <c r="PE144" s="1004"/>
      <c r="PF144" s="1004"/>
      <c r="PG144" s="1004"/>
      <c r="PH144" s="1004"/>
      <c r="PI144" s="1004"/>
      <c r="PJ144" s="1004"/>
      <c r="PK144" s="1004"/>
      <c r="PL144" s="1004"/>
      <c r="PM144" s="1004"/>
      <c r="PN144" s="1004"/>
      <c r="PO144" s="1004"/>
      <c r="PP144" s="1004"/>
      <c r="PQ144" s="1004"/>
      <c r="PR144" s="1004"/>
      <c r="PS144" s="1004"/>
      <c r="PT144" s="1004"/>
      <c r="PU144" s="1004"/>
      <c r="PV144" s="1004"/>
      <c r="PW144" s="1004"/>
      <c r="PX144" s="1004"/>
      <c r="PY144" s="1004"/>
      <c r="PZ144" s="1004"/>
      <c r="QA144" s="1004"/>
      <c r="QB144" s="1004"/>
      <c r="QC144" s="1004"/>
      <c r="QD144" s="1004"/>
      <c r="QE144" s="1004"/>
      <c r="QF144" s="1004"/>
      <c r="QG144" s="1004"/>
      <c r="QH144" s="1004"/>
      <c r="QI144" s="1004"/>
      <c r="QJ144" s="1004"/>
      <c r="QK144" s="1004"/>
      <c r="QL144" s="1004"/>
      <c r="QM144" s="1004"/>
      <c r="QN144" s="1004"/>
      <c r="QO144" s="1004"/>
      <c r="QP144" s="1004"/>
      <c r="QQ144" s="1004"/>
      <c r="QR144" s="1004"/>
      <c r="QS144" s="1004"/>
      <c r="QT144" s="1004"/>
      <c r="QU144" s="1004"/>
      <c r="QV144" s="1004"/>
      <c r="QW144" s="1004"/>
      <c r="QX144" s="1004"/>
      <c r="QY144" s="1004"/>
      <c r="QZ144" s="1004"/>
      <c r="RA144" s="1004"/>
      <c r="RB144" s="1004"/>
      <c r="RC144" s="1004"/>
      <c r="RD144" s="1004"/>
      <c r="RE144" s="1004"/>
      <c r="RF144" s="1004"/>
      <c r="RG144" s="1004"/>
      <c r="RH144" s="1004"/>
      <c r="RI144" s="1004"/>
      <c r="RJ144" s="1004"/>
      <c r="RK144" s="1004"/>
      <c r="RL144" s="1004"/>
      <c r="RM144" s="1004"/>
      <c r="RN144" s="1004"/>
      <c r="RO144" s="1004"/>
      <c r="RP144" s="1004"/>
      <c r="RQ144" s="1004"/>
      <c r="RR144" s="1004"/>
      <c r="RS144" s="1004"/>
      <c r="RT144" s="1004"/>
      <c r="RU144" s="1004"/>
      <c r="RV144" s="1004"/>
      <c r="RW144" s="1004"/>
      <c r="RX144" s="1004"/>
      <c r="RY144" s="1004"/>
      <c r="RZ144" s="1004"/>
      <c r="SA144" s="1004"/>
      <c r="SB144" s="1004"/>
      <c r="SC144" s="1004"/>
      <c r="SD144" s="1004"/>
      <c r="SE144" s="1004"/>
      <c r="SF144" s="1004"/>
      <c r="SG144" s="1004"/>
      <c r="SH144" s="1004"/>
      <c r="SI144" s="1004"/>
      <c r="SJ144" s="1004"/>
      <c r="SK144" s="1004"/>
      <c r="SL144" s="1004"/>
      <c r="SM144" s="1004"/>
      <c r="SN144" s="1004"/>
      <c r="SO144" s="1004"/>
      <c r="SP144" s="1004"/>
      <c r="SQ144" s="1004"/>
      <c r="SR144" s="1004"/>
      <c r="SS144" s="1004"/>
      <c r="ST144" s="1004"/>
      <c r="SU144" s="1004"/>
      <c r="SV144" s="1004"/>
      <c r="SW144" s="1004"/>
      <c r="SX144" s="1004"/>
      <c r="SY144" s="1004"/>
      <c r="SZ144" s="1004"/>
      <c r="TA144" s="1004"/>
      <c r="TB144" s="1004"/>
      <c r="TC144" s="1004"/>
      <c r="TD144" s="1004"/>
      <c r="TE144" s="1004"/>
      <c r="TF144" s="1004"/>
      <c r="TG144" s="1004"/>
      <c r="TH144" s="1004"/>
      <c r="TI144" s="1004"/>
      <c r="TJ144" s="1004"/>
      <c r="TK144" s="1004"/>
      <c r="TL144" s="1004"/>
      <c r="TM144" s="1004"/>
      <c r="TN144" s="1004"/>
      <c r="TO144" s="1004"/>
      <c r="TP144" s="1004"/>
      <c r="TQ144" s="1004"/>
      <c r="TR144" s="1004"/>
      <c r="TS144" s="1004"/>
      <c r="TT144" s="1004"/>
      <c r="TU144" s="1004"/>
      <c r="TV144" s="1004"/>
      <c r="TW144" s="1004"/>
      <c r="TX144" s="1004"/>
      <c r="TY144" s="1004"/>
      <c r="TZ144" s="1004"/>
      <c r="UA144" s="1004"/>
      <c r="UB144" s="1004"/>
      <c r="UC144" s="1004"/>
      <c r="UD144" s="1004"/>
      <c r="UE144" s="1004"/>
      <c r="UF144" s="1004"/>
      <c r="UG144" s="1004"/>
      <c r="UH144" s="1004"/>
      <c r="UI144" s="1004"/>
      <c r="UJ144" s="1004"/>
      <c r="UK144" s="1004"/>
      <c r="UL144" s="1004"/>
      <c r="UM144" s="1004"/>
      <c r="UN144" s="1004"/>
      <c r="UO144" s="1004"/>
      <c r="UP144" s="1004"/>
      <c r="UQ144" s="1004"/>
      <c r="UR144" s="1004"/>
      <c r="US144" s="1004"/>
      <c r="UT144" s="1004"/>
      <c r="UU144" s="1004"/>
      <c r="UV144" s="1004"/>
      <c r="UW144" s="1004"/>
      <c r="UX144" s="1004"/>
      <c r="UY144" s="1004"/>
      <c r="UZ144" s="1004"/>
      <c r="VA144" s="1004"/>
      <c r="VB144" s="1004"/>
      <c r="VC144" s="1004"/>
      <c r="VD144" s="1004"/>
      <c r="VE144" s="1004"/>
      <c r="VF144" s="1004"/>
      <c r="VG144" s="1004"/>
      <c r="VH144" s="1004"/>
      <c r="VI144" s="1004"/>
      <c r="VJ144" s="1004"/>
      <c r="VK144" s="1004"/>
      <c r="VL144" s="1004"/>
      <c r="VM144" s="1004"/>
      <c r="VN144" s="1004"/>
      <c r="VO144" s="1004"/>
      <c r="VP144" s="1004"/>
      <c r="VQ144" s="1004"/>
      <c r="VR144" s="1004"/>
      <c r="VS144" s="1004"/>
      <c r="VT144" s="1004"/>
      <c r="VU144" s="1004"/>
      <c r="VV144" s="1004"/>
      <c r="VW144" s="1004"/>
      <c r="VX144" s="1004"/>
      <c r="VY144" s="1004"/>
      <c r="VZ144" s="1004"/>
      <c r="WA144" s="1004"/>
      <c r="WB144" s="1004"/>
      <c r="WC144" s="1004"/>
      <c r="WD144" s="1004"/>
      <c r="WE144" s="1004"/>
      <c r="WF144" s="1004"/>
      <c r="WG144" s="1004"/>
      <c r="WH144" s="1004"/>
      <c r="WI144" s="1004"/>
      <c r="WJ144" s="1004"/>
      <c r="WK144" s="1004"/>
      <c r="WL144" s="1004"/>
      <c r="WM144" s="1004"/>
      <c r="WN144" s="1004"/>
      <c r="WO144" s="1004"/>
      <c r="WP144" s="1004"/>
      <c r="WQ144" s="1004"/>
      <c r="WR144" s="1004"/>
      <c r="WS144" s="1004"/>
      <c r="WT144" s="1004"/>
      <c r="WU144" s="1004"/>
      <c r="WV144" s="1004"/>
      <c r="WW144" s="1004"/>
      <c r="WX144" s="1004"/>
      <c r="WY144" s="1004"/>
      <c r="WZ144" s="1004"/>
      <c r="XA144" s="1004"/>
      <c r="XB144" s="1004"/>
      <c r="XC144" s="1004"/>
      <c r="XD144" s="1004"/>
      <c r="XE144" s="1004"/>
      <c r="XF144" s="1004"/>
      <c r="XG144" s="1004"/>
      <c r="XH144" s="1004"/>
      <c r="XI144" s="1004"/>
      <c r="XJ144" s="1004"/>
      <c r="XK144" s="1004"/>
      <c r="XL144" s="1004"/>
      <c r="XM144" s="1004"/>
      <c r="XN144" s="1004"/>
      <c r="XO144" s="1004"/>
      <c r="XP144" s="1004"/>
      <c r="XQ144" s="1004"/>
      <c r="XR144" s="1004"/>
      <c r="XS144" s="1004"/>
      <c r="XT144" s="1004"/>
      <c r="XU144" s="1004"/>
      <c r="XV144" s="1004"/>
      <c r="XW144" s="1004"/>
      <c r="XX144" s="1004"/>
      <c r="XY144" s="1004"/>
      <c r="XZ144" s="1004"/>
      <c r="YA144" s="1004"/>
      <c r="YB144" s="1004"/>
      <c r="YC144" s="1004"/>
      <c r="YD144" s="1004"/>
      <c r="YE144" s="1004"/>
      <c r="YF144" s="1004"/>
      <c r="YG144" s="1004"/>
      <c r="YH144" s="1004"/>
      <c r="YI144" s="1004"/>
      <c r="YJ144" s="1004"/>
      <c r="YK144" s="1004"/>
      <c r="YL144" s="1004"/>
      <c r="YM144" s="1004"/>
      <c r="YN144" s="1004"/>
      <c r="YO144" s="1004"/>
      <c r="YP144" s="1004"/>
      <c r="YQ144" s="1004"/>
      <c r="YR144" s="1004"/>
      <c r="YS144" s="1004"/>
      <c r="YT144" s="1004"/>
      <c r="YU144" s="1004"/>
      <c r="YV144" s="1004"/>
      <c r="YW144" s="1004"/>
      <c r="YX144" s="1004"/>
      <c r="YY144" s="1004"/>
      <c r="YZ144" s="1004"/>
      <c r="ZA144" s="1004"/>
      <c r="ZB144" s="1004"/>
      <c r="ZC144" s="1004"/>
      <c r="ZD144" s="1004"/>
      <c r="ZE144" s="1004"/>
      <c r="ZF144" s="1004"/>
      <c r="ZG144" s="1004"/>
      <c r="ZH144" s="1004"/>
      <c r="ZI144" s="1004"/>
      <c r="ZJ144" s="1004"/>
      <c r="ZK144" s="1004"/>
      <c r="ZL144" s="1004"/>
      <c r="ZM144" s="1004"/>
      <c r="ZN144" s="1004"/>
      <c r="ZO144" s="1004"/>
      <c r="ZP144" s="1004"/>
      <c r="ZQ144" s="1004"/>
      <c r="ZR144" s="1004"/>
      <c r="ZS144" s="1004"/>
      <c r="ZT144" s="1004"/>
      <c r="ZU144" s="1004"/>
      <c r="ZV144" s="1004"/>
      <c r="ZW144" s="1004"/>
      <c r="ZX144" s="1004"/>
      <c r="ZY144" s="1004"/>
      <c r="ZZ144" s="1004"/>
      <c r="AAA144" s="1004"/>
      <c r="AAB144" s="1004"/>
      <c r="AAC144" s="1004"/>
      <c r="AAD144" s="1004"/>
      <c r="AAE144" s="1004"/>
      <c r="AAF144" s="1004"/>
      <c r="AAG144" s="1004"/>
      <c r="AAH144" s="1004"/>
      <c r="AAI144" s="1004"/>
      <c r="AAJ144" s="1004"/>
      <c r="AAK144" s="1004"/>
      <c r="AAL144" s="1004"/>
      <c r="AAM144" s="1004"/>
      <c r="AAN144" s="1004"/>
      <c r="AAO144" s="1004"/>
      <c r="AAP144" s="1004"/>
      <c r="AAQ144" s="1004"/>
      <c r="AAR144" s="1004"/>
      <c r="AAS144" s="1004"/>
      <c r="AAT144" s="1004"/>
      <c r="AAU144" s="1004"/>
      <c r="AAV144" s="1004"/>
      <c r="AAW144" s="1004"/>
      <c r="AAX144" s="1004"/>
      <c r="AAY144" s="1004"/>
      <c r="AAZ144" s="1004"/>
      <c r="ABA144" s="1004"/>
      <c r="ABB144" s="1004"/>
      <c r="ABC144" s="1004"/>
      <c r="ABD144" s="1004"/>
      <c r="ABE144" s="1004"/>
      <c r="ABF144" s="1004"/>
      <c r="ABG144" s="1004"/>
      <c r="ABH144" s="1004"/>
      <c r="ABI144" s="1004"/>
      <c r="ABJ144" s="1004"/>
      <c r="ABK144" s="1004"/>
      <c r="ABL144" s="1004"/>
      <c r="ABM144" s="1004"/>
      <c r="ABN144" s="1004"/>
      <c r="ABO144" s="1004"/>
      <c r="ABP144" s="1004"/>
      <c r="ABQ144" s="1004"/>
      <c r="ABR144" s="1004"/>
    </row>
    <row r="145" spans="1:746" s="112" customFormat="1" ht="12" customHeight="1" thickBot="1">
      <c r="A145" s="1252"/>
      <c r="B145" s="354" t="s">
        <v>315</v>
      </c>
      <c r="C145" s="2358"/>
      <c r="D145" s="134"/>
      <c r="E145" s="347" t="s">
        <v>1</v>
      </c>
      <c r="F145" s="1240"/>
      <c r="G145" s="347">
        <v>0.25</v>
      </c>
      <c r="H145" s="597"/>
      <c r="I145" s="2364"/>
      <c r="J145" s="2192"/>
      <c r="K145" s="2192"/>
      <c r="L145" s="2192"/>
      <c r="M145" s="2192"/>
      <c r="N145" s="2192"/>
      <c r="O145" s="2192"/>
      <c r="P145" s="2192"/>
      <c r="Q145" s="2192"/>
      <c r="R145" s="2192"/>
      <c r="S145" s="2192"/>
      <c r="T145" s="368"/>
      <c r="U145" s="368"/>
      <c r="V145" s="368"/>
      <c r="W145" s="368"/>
      <c r="X145" s="368"/>
      <c r="Y145" s="368"/>
      <c r="Z145" s="368"/>
      <c r="AA145" s="368"/>
      <c r="AB145" s="368"/>
      <c r="AC145" s="368"/>
      <c r="AD145" s="368"/>
      <c r="AE145" s="368"/>
      <c r="AF145" s="1966"/>
      <c r="AG145" s="1042"/>
      <c r="AH145" s="2229">
        <v>0.2</v>
      </c>
      <c r="AI145" s="1817"/>
      <c r="AJ145" s="1956">
        <f>IF(fx!$C$57=1,SUMIF(fx!I$57:T$57,1,I145:T145),IF(fx!$C$57=2,SUMIF(fx!O$57:AF$57,1,O145:AF145)))</f>
        <v>0</v>
      </c>
      <c r="AK145" s="328"/>
      <c r="AL145" s="902">
        <f>IF(fx!$C$57=1,SUM(U145:AF145),0)</f>
        <v>0</v>
      </c>
      <c r="AM145" s="1005"/>
      <c r="AN145" s="1024"/>
      <c r="AO145" s="1945"/>
      <c r="AP145" s="1935"/>
      <c r="AQ145" s="1936"/>
      <c r="AR145" s="2236"/>
      <c r="AS145" s="2236"/>
      <c r="AT145" s="2236"/>
      <c r="AU145" s="2236"/>
      <c r="AV145" s="2236"/>
      <c r="AW145" s="2236"/>
      <c r="AX145" s="2236"/>
      <c r="AY145" s="2236"/>
      <c r="AZ145" s="2236"/>
      <c r="BA145" s="2236"/>
      <c r="BB145" s="2236"/>
      <c r="BC145" s="2236"/>
      <c r="BD145" s="2236"/>
      <c r="BE145" s="2236"/>
      <c r="BF145" s="2236"/>
      <c r="BG145" s="2236"/>
      <c r="BH145" s="2236"/>
      <c r="BI145" s="2236"/>
      <c r="BJ145" s="2236"/>
      <c r="BK145" s="2236"/>
      <c r="BL145" s="2236"/>
      <c r="BM145" s="2236"/>
      <c r="BN145" s="2236"/>
      <c r="BO145" s="2236"/>
      <c r="BP145" s="1004"/>
      <c r="BQ145" s="1004"/>
      <c r="BR145" s="1004"/>
      <c r="BS145" s="1004"/>
      <c r="BT145" s="1004"/>
      <c r="BU145" s="1004"/>
      <c r="BV145" s="1004"/>
      <c r="BW145" s="1004"/>
      <c r="BX145" s="1004"/>
      <c r="BY145" s="1004"/>
      <c r="BZ145" s="1004"/>
      <c r="CA145" s="1004"/>
      <c r="CB145" s="1004"/>
      <c r="CC145" s="1004"/>
      <c r="CD145" s="1004"/>
      <c r="CE145" s="1004"/>
      <c r="CF145" s="1004"/>
      <c r="CG145" s="1004"/>
      <c r="CH145" s="1004"/>
      <c r="CI145" s="1004"/>
      <c r="CJ145" s="1004"/>
      <c r="CK145" s="1004"/>
      <c r="CL145" s="1004"/>
      <c r="CM145" s="1004"/>
      <c r="CN145" s="1004"/>
      <c r="CO145" s="1004"/>
      <c r="CP145" s="1004"/>
      <c r="CQ145" s="1004"/>
      <c r="CR145" s="1004"/>
      <c r="CS145" s="1004"/>
      <c r="CT145" s="1004"/>
      <c r="CU145" s="1004"/>
      <c r="CV145" s="1004"/>
      <c r="CW145" s="1004"/>
      <c r="CX145" s="1004"/>
      <c r="CY145" s="1004"/>
      <c r="CZ145" s="1004"/>
      <c r="DA145" s="1004"/>
      <c r="DB145" s="1004"/>
      <c r="DC145" s="1004"/>
      <c r="DD145" s="1004"/>
      <c r="DE145" s="1004"/>
      <c r="DF145" s="1004"/>
      <c r="DG145" s="1004"/>
      <c r="DH145" s="1004"/>
      <c r="DI145" s="1004"/>
      <c r="DJ145" s="1004"/>
      <c r="DK145" s="1004"/>
      <c r="DL145" s="1004"/>
      <c r="DM145" s="1004"/>
      <c r="DN145" s="1004"/>
      <c r="DO145" s="1004"/>
      <c r="DP145" s="1004"/>
      <c r="DQ145" s="1004"/>
      <c r="DR145" s="1004"/>
      <c r="DS145" s="1004"/>
      <c r="DT145" s="1004"/>
      <c r="DU145" s="1004"/>
      <c r="DV145" s="1004"/>
      <c r="DW145" s="1004"/>
      <c r="DX145" s="1004"/>
      <c r="DY145" s="1004"/>
      <c r="DZ145" s="1004"/>
      <c r="EA145" s="1004"/>
      <c r="EB145" s="1004"/>
      <c r="EC145" s="1004"/>
      <c r="ED145" s="1004"/>
      <c r="EE145" s="1004"/>
      <c r="EF145" s="1004"/>
      <c r="EG145" s="1004"/>
      <c r="EH145" s="1004"/>
      <c r="EI145" s="1004"/>
      <c r="EJ145" s="1004"/>
      <c r="EK145" s="1004"/>
      <c r="EL145" s="1004"/>
      <c r="EM145" s="1004"/>
      <c r="EN145" s="1004"/>
      <c r="EO145" s="1004"/>
      <c r="EP145" s="1004"/>
      <c r="EQ145" s="1004"/>
      <c r="ER145" s="1004"/>
      <c r="ES145" s="1004"/>
      <c r="ET145" s="1004"/>
      <c r="EU145" s="1004"/>
      <c r="EV145" s="1004"/>
      <c r="EW145" s="1004"/>
      <c r="EX145" s="1004"/>
      <c r="EY145" s="1004"/>
      <c r="EZ145" s="1004"/>
      <c r="FA145" s="1004"/>
      <c r="FB145" s="1004"/>
      <c r="FC145" s="1004"/>
      <c r="FD145" s="1004"/>
      <c r="FE145" s="1004"/>
      <c r="FF145" s="1004"/>
      <c r="FG145" s="1004"/>
      <c r="FH145" s="1004"/>
      <c r="FI145" s="1004"/>
      <c r="FJ145" s="1004"/>
      <c r="FK145" s="1004"/>
      <c r="FL145" s="1004"/>
      <c r="FM145" s="1004"/>
      <c r="FN145" s="1004"/>
      <c r="FO145" s="1004"/>
      <c r="FP145" s="1004"/>
      <c r="FQ145" s="1004"/>
      <c r="FR145" s="1004"/>
      <c r="FS145" s="1004"/>
      <c r="FT145" s="1004"/>
      <c r="FU145" s="1004"/>
      <c r="FV145" s="1004"/>
      <c r="FW145" s="1004"/>
      <c r="FX145" s="1004"/>
      <c r="FY145" s="1004"/>
      <c r="FZ145" s="1004"/>
      <c r="GA145" s="1004"/>
      <c r="GB145" s="1004"/>
      <c r="GC145" s="1004"/>
      <c r="GD145" s="1004"/>
      <c r="GE145" s="1004"/>
      <c r="GF145" s="1004"/>
      <c r="GG145" s="1004"/>
      <c r="GH145" s="1004"/>
      <c r="GI145" s="1004"/>
      <c r="GJ145" s="1004"/>
      <c r="GK145" s="1004"/>
      <c r="GL145" s="1004"/>
      <c r="GM145" s="1004"/>
      <c r="GN145" s="1004"/>
      <c r="GO145" s="1004"/>
      <c r="GP145" s="1004"/>
      <c r="GQ145" s="1004"/>
      <c r="GR145" s="1004"/>
      <c r="GS145" s="1004"/>
      <c r="GT145" s="1004"/>
      <c r="GU145" s="1004"/>
      <c r="GV145" s="1004"/>
      <c r="GW145" s="1004"/>
      <c r="GX145" s="1004"/>
      <c r="GY145" s="1004"/>
      <c r="GZ145" s="1004"/>
      <c r="HA145" s="1004"/>
      <c r="HB145" s="1004"/>
      <c r="HC145" s="1004"/>
      <c r="HD145" s="1004"/>
      <c r="HE145" s="1004"/>
      <c r="HF145" s="1004"/>
      <c r="HG145" s="1004"/>
      <c r="HH145" s="1004"/>
      <c r="HI145" s="1004"/>
      <c r="HJ145" s="1004"/>
      <c r="HK145" s="1004"/>
      <c r="HL145" s="1004"/>
      <c r="HM145" s="1004"/>
      <c r="HN145" s="1004"/>
      <c r="HO145" s="1004"/>
      <c r="HP145" s="1004"/>
      <c r="HQ145" s="1004"/>
      <c r="HR145" s="1004"/>
      <c r="HS145" s="1004"/>
      <c r="HT145" s="1004"/>
      <c r="HU145" s="1004"/>
      <c r="HV145" s="1004"/>
      <c r="HW145" s="1004"/>
      <c r="HX145" s="1004"/>
      <c r="HY145" s="1004"/>
      <c r="HZ145" s="1004"/>
      <c r="IA145" s="1004"/>
      <c r="IB145" s="1004"/>
      <c r="IC145" s="1004"/>
      <c r="ID145" s="1004"/>
      <c r="IE145" s="1004"/>
      <c r="IF145" s="1004"/>
      <c r="IG145" s="1004"/>
      <c r="IH145" s="1004"/>
      <c r="II145" s="1004"/>
      <c r="IJ145" s="1004"/>
      <c r="IK145" s="1004"/>
      <c r="IL145" s="1004"/>
      <c r="IM145" s="1004"/>
      <c r="IN145" s="1004"/>
      <c r="IO145" s="1004"/>
      <c r="IP145" s="1004"/>
      <c r="IQ145" s="1004"/>
      <c r="IR145" s="1004"/>
      <c r="IS145" s="1004"/>
      <c r="IT145" s="1004"/>
      <c r="IU145" s="1004"/>
      <c r="IV145" s="1004"/>
      <c r="IW145" s="1004"/>
      <c r="IX145" s="1004"/>
      <c r="IY145" s="1004"/>
      <c r="IZ145" s="1004"/>
      <c r="JA145" s="1004"/>
      <c r="JB145" s="1004"/>
      <c r="JC145" s="1004"/>
      <c r="JD145" s="1004"/>
      <c r="JE145" s="1004"/>
      <c r="JF145" s="1004"/>
      <c r="JG145" s="1004"/>
      <c r="JH145" s="1004"/>
      <c r="JI145" s="1004"/>
      <c r="JJ145" s="1004"/>
      <c r="JK145" s="1004"/>
      <c r="JL145" s="1004"/>
      <c r="JM145" s="1004"/>
      <c r="JN145" s="1004"/>
      <c r="JO145" s="1004"/>
      <c r="JP145" s="1004"/>
      <c r="JQ145" s="1004"/>
      <c r="JR145" s="1004"/>
      <c r="JS145" s="1004"/>
      <c r="JT145" s="1004"/>
      <c r="JU145" s="1004"/>
      <c r="JV145" s="1004"/>
      <c r="JW145" s="1004"/>
      <c r="JX145" s="1004"/>
      <c r="JY145" s="1004"/>
      <c r="JZ145" s="1004"/>
      <c r="KA145" s="1004"/>
      <c r="KB145" s="1004"/>
      <c r="KC145" s="1004"/>
      <c r="KD145" s="1004"/>
      <c r="KE145" s="1004"/>
      <c r="KF145" s="1004"/>
      <c r="KG145" s="1004"/>
      <c r="KH145" s="1004"/>
      <c r="KI145" s="1004"/>
      <c r="KJ145" s="1004"/>
      <c r="KK145" s="1004"/>
      <c r="KL145" s="1004"/>
      <c r="KM145" s="1004"/>
      <c r="KN145" s="1004"/>
      <c r="KO145" s="1004"/>
      <c r="KP145" s="1004"/>
      <c r="KQ145" s="1004"/>
      <c r="KR145" s="1004"/>
      <c r="KS145" s="1004"/>
      <c r="KT145" s="1004"/>
      <c r="KU145" s="1004"/>
      <c r="KV145" s="1004"/>
      <c r="KW145" s="1004"/>
      <c r="KX145" s="1004"/>
      <c r="KY145" s="1004"/>
      <c r="KZ145" s="1004"/>
      <c r="LA145" s="1004"/>
      <c r="LB145" s="1004"/>
      <c r="LC145" s="1004"/>
      <c r="LD145" s="1004"/>
      <c r="LE145" s="1004"/>
      <c r="LF145" s="1004"/>
      <c r="LG145" s="1004"/>
      <c r="LH145" s="1004"/>
      <c r="LI145" s="1004"/>
      <c r="LJ145" s="1004"/>
      <c r="LK145" s="1004"/>
      <c r="LL145" s="1004"/>
      <c r="LM145" s="1004"/>
      <c r="LN145" s="1004"/>
      <c r="LO145" s="1004"/>
      <c r="LP145" s="1004"/>
      <c r="LQ145" s="1004"/>
      <c r="LR145" s="1004"/>
      <c r="LS145" s="1004"/>
      <c r="LT145" s="1004"/>
      <c r="LU145" s="1004"/>
      <c r="LV145" s="1004"/>
      <c r="LW145" s="1004"/>
      <c r="LX145" s="1004"/>
      <c r="LY145" s="1004"/>
      <c r="LZ145" s="1004"/>
      <c r="MA145" s="1004"/>
      <c r="MB145" s="1004"/>
      <c r="MC145" s="1004"/>
      <c r="MD145" s="1004"/>
      <c r="ME145" s="1004"/>
      <c r="MF145" s="1004"/>
      <c r="MG145" s="1004"/>
      <c r="MH145" s="1004"/>
      <c r="MI145" s="1004"/>
      <c r="MJ145" s="1004"/>
      <c r="MK145" s="1004"/>
      <c r="ML145" s="1004"/>
      <c r="MM145" s="1004"/>
      <c r="MN145" s="1004"/>
      <c r="MO145" s="1004"/>
      <c r="MP145" s="1004"/>
      <c r="MQ145" s="1004"/>
      <c r="MR145" s="1004"/>
      <c r="MS145" s="1004"/>
      <c r="MT145" s="1004"/>
      <c r="MU145" s="1004"/>
      <c r="MV145" s="1004"/>
      <c r="MW145" s="1004"/>
      <c r="MX145" s="1004"/>
      <c r="MY145" s="1004"/>
      <c r="MZ145" s="1004"/>
      <c r="NA145" s="1004"/>
      <c r="NB145" s="1004"/>
      <c r="NC145" s="1004"/>
      <c r="ND145" s="1004"/>
      <c r="NE145" s="1004"/>
      <c r="NF145" s="1004"/>
      <c r="NG145" s="1004"/>
      <c r="NH145" s="1004"/>
      <c r="NI145" s="1004"/>
      <c r="NJ145" s="1004"/>
      <c r="NK145" s="1004"/>
      <c r="NL145" s="1004"/>
      <c r="NM145" s="1004"/>
      <c r="NN145" s="1004"/>
      <c r="NO145" s="1004"/>
      <c r="NP145" s="1004"/>
      <c r="NQ145" s="1004"/>
      <c r="NR145" s="1004"/>
      <c r="NS145" s="1004"/>
      <c r="NT145" s="1004"/>
      <c r="NU145" s="1004"/>
      <c r="NV145" s="1004"/>
      <c r="NW145" s="1004"/>
      <c r="NX145" s="1004"/>
      <c r="NY145" s="1004"/>
      <c r="NZ145" s="1004"/>
      <c r="OA145" s="1004"/>
      <c r="OB145" s="1004"/>
      <c r="OC145" s="1004"/>
      <c r="OD145" s="1004"/>
      <c r="OE145" s="1004"/>
      <c r="OF145" s="1004"/>
      <c r="OG145" s="1004"/>
      <c r="OH145" s="1004"/>
      <c r="OI145" s="1004"/>
      <c r="OJ145" s="1004"/>
      <c r="OK145" s="1004"/>
      <c r="OL145" s="1004"/>
      <c r="OM145" s="1004"/>
      <c r="ON145" s="1004"/>
      <c r="OO145" s="1004"/>
      <c r="OP145" s="1004"/>
      <c r="OQ145" s="1004"/>
      <c r="OR145" s="1004"/>
      <c r="OS145" s="1004"/>
      <c r="OT145" s="1004"/>
      <c r="OU145" s="1004"/>
      <c r="OV145" s="1004"/>
      <c r="OW145" s="1004"/>
      <c r="OX145" s="1004"/>
      <c r="OY145" s="1004"/>
      <c r="OZ145" s="1004"/>
      <c r="PA145" s="1004"/>
      <c r="PB145" s="1004"/>
      <c r="PC145" s="1004"/>
      <c r="PD145" s="1004"/>
      <c r="PE145" s="1004"/>
      <c r="PF145" s="1004"/>
      <c r="PG145" s="1004"/>
      <c r="PH145" s="1004"/>
      <c r="PI145" s="1004"/>
      <c r="PJ145" s="1004"/>
      <c r="PK145" s="1004"/>
      <c r="PL145" s="1004"/>
      <c r="PM145" s="1004"/>
      <c r="PN145" s="1004"/>
      <c r="PO145" s="1004"/>
      <c r="PP145" s="1004"/>
      <c r="PQ145" s="1004"/>
      <c r="PR145" s="1004"/>
      <c r="PS145" s="1004"/>
      <c r="PT145" s="1004"/>
      <c r="PU145" s="1004"/>
      <c r="PV145" s="1004"/>
      <c r="PW145" s="1004"/>
      <c r="PX145" s="1004"/>
      <c r="PY145" s="1004"/>
      <c r="PZ145" s="1004"/>
      <c r="QA145" s="1004"/>
      <c r="QB145" s="1004"/>
      <c r="QC145" s="1004"/>
      <c r="QD145" s="1004"/>
      <c r="QE145" s="1004"/>
      <c r="QF145" s="1004"/>
      <c r="QG145" s="1004"/>
      <c r="QH145" s="1004"/>
      <c r="QI145" s="1004"/>
      <c r="QJ145" s="1004"/>
      <c r="QK145" s="1004"/>
      <c r="QL145" s="1004"/>
      <c r="QM145" s="1004"/>
      <c r="QN145" s="1004"/>
      <c r="QO145" s="1004"/>
      <c r="QP145" s="1004"/>
      <c r="QQ145" s="1004"/>
      <c r="QR145" s="1004"/>
      <c r="QS145" s="1004"/>
      <c r="QT145" s="1004"/>
      <c r="QU145" s="1004"/>
      <c r="QV145" s="1004"/>
      <c r="QW145" s="1004"/>
      <c r="QX145" s="1004"/>
      <c r="QY145" s="1004"/>
      <c r="QZ145" s="1004"/>
      <c r="RA145" s="1004"/>
      <c r="RB145" s="1004"/>
      <c r="RC145" s="1004"/>
      <c r="RD145" s="1004"/>
      <c r="RE145" s="1004"/>
      <c r="RF145" s="1004"/>
      <c r="RG145" s="1004"/>
      <c r="RH145" s="1004"/>
      <c r="RI145" s="1004"/>
      <c r="RJ145" s="1004"/>
      <c r="RK145" s="1004"/>
      <c r="RL145" s="1004"/>
      <c r="RM145" s="1004"/>
      <c r="RN145" s="1004"/>
      <c r="RO145" s="1004"/>
      <c r="RP145" s="1004"/>
      <c r="RQ145" s="1004"/>
      <c r="RR145" s="1004"/>
      <c r="RS145" s="1004"/>
      <c r="RT145" s="1004"/>
      <c r="RU145" s="1004"/>
      <c r="RV145" s="1004"/>
      <c r="RW145" s="1004"/>
      <c r="RX145" s="1004"/>
      <c r="RY145" s="1004"/>
      <c r="RZ145" s="1004"/>
      <c r="SA145" s="1004"/>
      <c r="SB145" s="1004"/>
      <c r="SC145" s="1004"/>
      <c r="SD145" s="1004"/>
      <c r="SE145" s="1004"/>
      <c r="SF145" s="1004"/>
      <c r="SG145" s="1004"/>
      <c r="SH145" s="1004"/>
      <c r="SI145" s="1004"/>
      <c r="SJ145" s="1004"/>
      <c r="SK145" s="1004"/>
      <c r="SL145" s="1004"/>
      <c r="SM145" s="1004"/>
      <c r="SN145" s="1004"/>
      <c r="SO145" s="1004"/>
      <c r="SP145" s="1004"/>
      <c r="SQ145" s="1004"/>
      <c r="SR145" s="1004"/>
      <c r="SS145" s="1004"/>
      <c r="ST145" s="1004"/>
      <c r="SU145" s="1004"/>
      <c r="SV145" s="1004"/>
      <c r="SW145" s="1004"/>
      <c r="SX145" s="1004"/>
      <c r="SY145" s="1004"/>
      <c r="SZ145" s="1004"/>
      <c r="TA145" s="1004"/>
      <c r="TB145" s="1004"/>
      <c r="TC145" s="1004"/>
      <c r="TD145" s="1004"/>
      <c r="TE145" s="1004"/>
      <c r="TF145" s="1004"/>
      <c r="TG145" s="1004"/>
      <c r="TH145" s="1004"/>
      <c r="TI145" s="1004"/>
      <c r="TJ145" s="1004"/>
      <c r="TK145" s="1004"/>
      <c r="TL145" s="1004"/>
      <c r="TM145" s="1004"/>
      <c r="TN145" s="1004"/>
      <c r="TO145" s="1004"/>
      <c r="TP145" s="1004"/>
      <c r="TQ145" s="1004"/>
      <c r="TR145" s="1004"/>
      <c r="TS145" s="1004"/>
      <c r="TT145" s="1004"/>
      <c r="TU145" s="1004"/>
      <c r="TV145" s="1004"/>
      <c r="TW145" s="1004"/>
      <c r="TX145" s="1004"/>
      <c r="TY145" s="1004"/>
      <c r="TZ145" s="1004"/>
      <c r="UA145" s="1004"/>
      <c r="UB145" s="1004"/>
      <c r="UC145" s="1004"/>
      <c r="UD145" s="1004"/>
      <c r="UE145" s="1004"/>
      <c r="UF145" s="1004"/>
      <c r="UG145" s="1004"/>
      <c r="UH145" s="1004"/>
      <c r="UI145" s="1004"/>
      <c r="UJ145" s="1004"/>
      <c r="UK145" s="1004"/>
      <c r="UL145" s="1004"/>
      <c r="UM145" s="1004"/>
      <c r="UN145" s="1004"/>
      <c r="UO145" s="1004"/>
      <c r="UP145" s="1004"/>
      <c r="UQ145" s="1004"/>
      <c r="UR145" s="1004"/>
      <c r="US145" s="1004"/>
      <c r="UT145" s="1004"/>
      <c r="UU145" s="1004"/>
      <c r="UV145" s="1004"/>
      <c r="UW145" s="1004"/>
      <c r="UX145" s="1004"/>
      <c r="UY145" s="1004"/>
      <c r="UZ145" s="1004"/>
      <c r="VA145" s="1004"/>
      <c r="VB145" s="1004"/>
      <c r="VC145" s="1004"/>
      <c r="VD145" s="1004"/>
      <c r="VE145" s="1004"/>
      <c r="VF145" s="1004"/>
      <c r="VG145" s="1004"/>
      <c r="VH145" s="1004"/>
      <c r="VI145" s="1004"/>
      <c r="VJ145" s="1004"/>
      <c r="VK145" s="1004"/>
      <c r="VL145" s="1004"/>
      <c r="VM145" s="1004"/>
      <c r="VN145" s="1004"/>
      <c r="VO145" s="1004"/>
      <c r="VP145" s="1004"/>
      <c r="VQ145" s="1004"/>
      <c r="VR145" s="1004"/>
      <c r="VS145" s="1004"/>
      <c r="VT145" s="1004"/>
      <c r="VU145" s="1004"/>
      <c r="VV145" s="1004"/>
      <c r="VW145" s="1004"/>
      <c r="VX145" s="1004"/>
      <c r="VY145" s="1004"/>
      <c r="VZ145" s="1004"/>
      <c r="WA145" s="1004"/>
      <c r="WB145" s="1004"/>
      <c r="WC145" s="1004"/>
      <c r="WD145" s="1004"/>
      <c r="WE145" s="1004"/>
      <c r="WF145" s="1004"/>
      <c r="WG145" s="1004"/>
      <c r="WH145" s="1004"/>
      <c r="WI145" s="1004"/>
      <c r="WJ145" s="1004"/>
      <c r="WK145" s="1004"/>
      <c r="WL145" s="1004"/>
      <c r="WM145" s="1004"/>
      <c r="WN145" s="1004"/>
      <c r="WO145" s="1004"/>
      <c r="WP145" s="1004"/>
      <c r="WQ145" s="1004"/>
      <c r="WR145" s="1004"/>
      <c r="WS145" s="1004"/>
      <c r="WT145" s="1004"/>
      <c r="WU145" s="1004"/>
      <c r="WV145" s="1004"/>
      <c r="WW145" s="1004"/>
      <c r="WX145" s="1004"/>
      <c r="WY145" s="1004"/>
      <c r="WZ145" s="1004"/>
      <c r="XA145" s="1004"/>
      <c r="XB145" s="1004"/>
      <c r="XC145" s="1004"/>
      <c r="XD145" s="1004"/>
      <c r="XE145" s="1004"/>
      <c r="XF145" s="1004"/>
      <c r="XG145" s="1004"/>
      <c r="XH145" s="1004"/>
      <c r="XI145" s="1004"/>
      <c r="XJ145" s="1004"/>
      <c r="XK145" s="1004"/>
      <c r="XL145" s="1004"/>
      <c r="XM145" s="1004"/>
      <c r="XN145" s="1004"/>
      <c r="XO145" s="1004"/>
      <c r="XP145" s="1004"/>
      <c r="XQ145" s="1004"/>
      <c r="XR145" s="1004"/>
      <c r="XS145" s="1004"/>
      <c r="XT145" s="1004"/>
      <c r="XU145" s="1004"/>
      <c r="XV145" s="1004"/>
      <c r="XW145" s="1004"/>
      <c r="XX145" s="1004"/>
      <c r="XY145" s="1004"/>
      <c r="XZ145" s="1004"/>
      <c r="YA145" s="1004"/>
      <c r="YB145" s="1004"/>
      <c r="YC145" s="1004"/>
      <c r="YD145" s="1004"/>
      <c r="YE145" s="1004"/>
      <c r="YF145" s="1004"/>
      <c r="YG145" s="1004"/>
      <c r="YH145" s="1004"/>
      <c r="YI145" s="1004"/>
      <c r="YJ145" s="1004"/>
      <c r="YK145" s="1004"/>
      <c r="YL145" s="1004"/>
      <c r="YM145" s="1004"/>
      <c r="YN145" s="1004"/>
      <c r="YO145" s="1004"/>
      <c r="YP145" s="1004"/>
      <c r="YQ145" s="1004"/>
      <c r="YR145" s="1004"/>
      <c r="YS145" s="1004"/>
      <c r="YT145" s="1004"/>
      <c r="YU145" s="1004"/>
      <c r="YV145" s="1004"/>
      <c r="YW145" s="1004"/>
      <c r="YX145" s="1004"/>
      <c r="YY145" s="1004"/>
      <c r="YZ145" s="1004"/>
      <c r="ZA145" s="1004"/>
      <c r="ZB145" s="1004"/>
      <c r="ZC145" s="1004"/>
      <c r="ZD145" s="1004"/>
      <c r="ZE145" s="1004"/>
      <c r="ZF145" s="1004"/>
      <c r="ZG145" s="1004"/>
      <c r="ZH145" s="1004"/>
      <c r="ZI145" s="1004"/>
      <c r="ZJ145" s="1004"/>
      <c r="ZK145" s="1004"/>
      <c r="ZL145" s="1004"/>
      <c r="ZM145" s="1004"/>
      <c r="ZN145" s="1004"/>
      <c r="ZO145" s="1004"/>
      <c r="ZP145" s="1004"/>
      <c r="ZQ145" s="1004"/>
      <c r="ZR145" s="1004"/>
      <c r="ZS145" s="1004"/>
      <c r="ZT145" s="1004"/>
      <c r="ZU145" s="1004"/>
      <c r="ZV145" s="1004"/>
      <c r="ZW145" s="1004"/>
      <c r="ZX145" s="1004"/>
      <c r="ZY145" s="1004"/>
      <c r="ZZ145" s="1004"/>
      <c r="AAA145" s="1004"/>
      <c r="AAB145" s="1004"/>
      <c r="AAC145" s="1004"/>
      <c r="AAD145" s="1004"/>
      <c r="AAE145" s="1004"/>
      <c r="AAF145" s="1004"/>
      <c r="AAG145" s="1004"/>
      <c r="AAH145" s="1004"/>
      <c r="AAI145" s="1004"/>
      <c r="AAJ145" s="1004"/>
      <c r="AAK145" s="1004"/>
      <c r="AAL145" s="1004"/>
      <c r="AAM145" s="1004"/>
      <c r="AAN145" s="1004"/>
      <c r="AAO145" s="1004"/>
      <c r="AAP145" s="1004"/>
      <c r="AAQ145" s="1004"/>
      <c r="AAR145" s="1004"/>
      <c r="AAS145" s="1004"/>
      <c r="AAT145" s="1004"/>
      <c r="AAU145" s="1004"/>
      <c r="AAV145" s="1004"/>
      <c r="AAW145" s="1004"/>
      <c r="AAX145" s="1004"/>
      <c r="AAY145" s="1004"/>
      <c r="AAZ145" s="1004"/>
      <c r="ABA145" s="1004"/>
      <c r="ABB145" s="1004"/>
      <c r="ABC145" s="1004"/>
      <c r="ABD145" s="1004"/>
      <c r="ABE145" s="1004"/>
      <c r="ABF145" s="1004"/>
      <c r="ABG145" s="1004"/>
      <c r="ABH145" s="1004"/>
      <c r="ABI145" s="1004"/>
      <c r="ABJ145" s="1004"/>
      <c r="ABK145" s="1004"/>
      <c r="ABL145" s="1004"/>
      <c r="ABM145" s="1004"/>
      <c r="ABN145" s="1004"/>
      <c r="ABO145" s="1004"/>
      <c r="ABP145" s="1004"/>
      <c r="ABQ145" s="1004"/>
      <c r="ABR145" s="1004"/>
    </row>
    <row r="146" spans="1:746" s="112" customFormat="1" ht="12" hidden="1" customHeight="1" thickBot="1">
      <c r="A146" s="1252"/>
      <c r="B146" s="354" t="s">
        <v>1277</v>
      </c>
      <c r="C146" s="2358"/>
      <c r="D146" s="134"/>
      <c r="E146" s="347" t="s">
        <v>1</v>
      </c>
      <c r="F146" s="1240"/>
      <c r="G146" s="347">
        <v>0.25</v>
      </c>
      <c r="H146" s="597"/>
      <c r="I146" s="2364"/>
      <c r="J146" s="2192"/>
      <c r="K146" s="2192"/>
      <c r="L146" s="2192"/>
      <c r="M146" s="2192"/>
      <c r="N146" s="2192"/>
      <c r="O146" s="2192"/>
      <c r="P146" s="2192"/>
      <c r="Q146" s="2192"/>
      <c r="R146" s="2192"/>
      <c r="S146" s="2192"/>
      <c r="T146" s="368"/>
      <c r="U146" s="368"/>
      <c r="V146" s="368"/>
      <c r="W146" s="368"/>
      <c r="X146" s="368"/>
      <c r="Y146" s="368"/>
      <c r="Z146" s="368"/>
      <c r="AA146" s="368"/>
      <c r="AB146" s="368"/>
      <c r="AC146" s="368"/>
      <c r="AD146" s="368"/>
      <c r="AE146" s="368"/>
      <c r="AF146" s="1966"/>
      <c r="AG146" s="1042"/>
      <c r="AH146" s="2229">
        <v>0.2</v>
      </c>
      <c r="AI146" s="1817"/>
      <c r="AJ146" s="1956">
        <f>IF(fx!$C$57=1,SUMIF(fx!I$57:T$57,1,I146:T146),IF(fx!$C$57=2,SUMIF(fx!O$57:AF$57,1,O146:AF146)))</f>
        <v>0</v>
      </c>
      <c r="AK146" s="328"/>
      <c r="AL146" s="902">
        <f>IF(fx!$C$57=1,SUM(U146:AF146),0)</f>
        <v>0</v>
      </c>
      <c r="AM146" s="1005"/>
      <c r="AN146" s="1024"/>
      <c r="AO146" s="1945"/>
      <c r="AP146" s="1935"/>
      <c r="AQ146" s="1936"/>
      <c r="AR146" s="2236"/>
      <c r="AS146" s="2236"/>
      <c r="AT146" s="2236"/>
      <c r="AU146" s="2236"/>
      <c r="AV146" s="2236"/>
      <c r="AW146" s="2236"/>
      <c r="AX146" s="2236"/>
      <c r="AY146" s="2236"/>
      <c r="AZ146" s="2236"/>
      <c r="BA146" s="2236"/>
      <c r="BB146" s="2236"/>
      <c r="BC146" s="2236"/>
      <c r="BD146" s="2236"/>
      <c r="BE146" s="2236"/>
      <c r="BF146" s="2236"/>
      <c r="BG146" s="2236"/>
      <c r="BH146" s="2236"/>
      <c r="BI146" s="2236"/>
      <c r="BJ146" s="2236"/>
      <c r="BK146" s="2236"/>
      <c r="BL146" s="2236"/>
      <c r="BM146" s="2236"/>
      <c r="BN146" s="2236"/>
      <c r="BO146" s="2236"/>
      <c r="BP146" s="1004"/>
      <c r="BQ146" s="1004"/>
      <c r="BR146" s="1004"/>
      <c r="BS146" s="1004"/>
      <c r="BT146" s="1004"/>
      <c r="BU146" s="1004"/>
      <c r="BV146" s="1004"/>
      <c r="BW146" s="1004"/>
      <c r="BX146" s="1004"/>
      <c r="BY146" s="1004"/>
      <c r="BZ146" s="1004"/>
      <c r="CA146" s="1004"/>
      <c r="CB146" s="1004"/>
      <c r="CC146" s="1004"/>
      <c r="CD146" s="1004"/>
      <c r="CE146" s="1004"/>
      <c r="CF146" s="1004"/>
      <c r="CG146" s="1004"/>
      <c r="CH146" s="1004"/>
      <c r="CI146" s="1004"/>
      <c r="CJ146" s="1004"/>
      <c r="CK146" s="1004"/>
      <c r="CL146" s="1004"/>
      <c r="CM146" s="1004"/>
      <c r="CN146" s="1004"/>
      <c r="CO146" s="1004"/>
      <c r="CP146" s="1004"/>
      <c r="CQ146" s="1004"/>
      <c r="CR146" s="1004"/>
      <c r="CS146" s="1004"/>
      <c r="CT146" s="1004"/>
      <c r="CU146" s="1004"/>
      <c r="CV146" s="1004"/>
      <c r="CW146" s="1004"/>
      <c r="CX146" s="1004"/>
      <c r="CY146" s="1004"/>
      <c r="CZ146" s="1004"/>
      <c r="DA146" s="1004"/>
      <c r="DB146" s="1004"/>
      <c r="DC146" s="1004"/>
      <c r="DD146" s="1004"/>
      <c r="DE146" s="1004"/>
      <c r="DF146" s="1004"/>
      <c r="DG146" s="1004"/>
      <c r="DH146" s="1004"/>
      <c r="DI146" s="1004"/>
      <c r="DJ146" s="1004"/>
      <c r="DK146" s="1004"/>
      <c r="DL146" s="1004"/>
      <c r="DM146" s="1004"/>
      <c r="DN146" s="1004"/>
      <c r="DO146" s="1004"/>
      <c r="DP146" s="1004"/>
      <c r="DQ146" s="1004"/>
      <c r="DR146" s="1004"/>
      <c r="DS146" s="1004"/>
      <c r="DT146" s="1004"/>
      <c r="DU146" s="1004"/>
      <c r="DV146" s="1004"/>
      <c r="DW146" s="1004"/>
      <c r="DX146" s="1004"/>
      <c r="DY146" s="1004"/>
      <c r="DZ146" s="1004"/>
      <c r="EA146" s="1004"/>
      <c r="EB146" s="1004"/>
      <c r="EC146" s="1004"/>
      <c r="ED146" s="1004"/>
      <c r="EE146" s="1004"/>
      <c r="EF146" s="1004"/>
      <c r="EG146" s="1004"/>
      <c r="EH146" s="1004"/>
      <c r="EI146" s="1004"/>
      <c r="EJ146" s="1004"/>
      <c r="EK146" s="1004"/>
      <c r="EL146" s="1004"/>
      <c r="EM146" s="1004"/>
      <c r="EN146" s="1004"/>
      <c r="EO146" s="1004"/>
      <c r="EP146" s="1004"/>
      <c r="EQ146" s="1004"/>
      <c r="ER146" s="1004"/>
      <c r="ES146" s="1004"/>
      <c r="ET146" s="1004"/>
      <c r="EU146" s="1004"/>
      <c r="EV146" s="1004"/>
      <c r="EW146" s="1004"/>
      <c r="EX146" s="1004"/>
      <c r="EY146" s="1004"/>
      <c r="EZ146" s="1004"/>
      <c r="FA146" s="1004"/>
      <c r="FB146" s="1004"/>
      <c r="FC146" s="1004"/>
      <c r="FD146" s="1004"/>
      <c r="FE146" s="1004"/>
      <c r="FF146" s="1004"/>
      <c r="FG146" s="1004"/>
      <c r="FH146" s="1004"/>
      <c r="FI146" s="1004"/>
      <c r="FJ146" s="1004"/>
      <c r="FK146" s="1004"/>
      <c r="FL146" s="1004"/>
      <c r="FM146" s="1004"/>
      <c r="FN146" s="1004"/>
      <c r="FO146" s="1004"/>
      <c r="FP146" s="1004"/>
      <c r="FQ146" s="1004"/>
      <c r="FR146" s="1004"/>
      <c r="FS146" s="1004"/>
      <c r="FT146" s="1004"/>
      <c r="FU146" s="1004"/>
      <c r="FV146" s="1004"/>
      <c r="FW146" s="1004"/>
      <c r="FX146" s="1004"/>
      <c r="FY146" s="1004"/>
      <c r="FZ146" s="1004"/>
      <c r="GA146" s="1004"/>
      <c r="GB146" s="1004"/>
      <c r="GC146" s="1004"/>
      <c r="GD146" s="1004"/>
      <c r="GE146" s="1004"/>
      <c r="GF146" s="1004"/>
      <c r="GG146" s="1004"/>
      <c r="GH146" s="1004"/>
      <c r="GI146" s="1004"/>
      <c r="GJ146" s="1004"/>
      <c r="GK146" s="1004"/>
      <c r="GL146" s="1004"/>
      <c r="GM146" s="1004"/>
      <c r="GN146" s="1004"/>
      <c r="GO146" s="1004"/>
      <c r="GP146" s="1004"/>
      <c r="GQ146" s="1004"/>
      <c r="GR146" s="1004"/>
      <c r="GS146" s="1004"/>
      <c r="GT146" s="1004"/>
      <c r="GU146" s="1004"/>
      <c r="GV146" s="1004"/>
      <c r="GW146" s="1004"/>
      <c r="GX146" s="1004"/>
      <c r="GY146" s="1004"/>
      <c r="GZ146" s="1004"/>
      <c r="HA146" s="1004"/>
      <c r="HB146" s="1004"/>
      <c r="HC146" s="1004"/>
      <c r="HD146" s="1004"/>
      <c r="HE146" s="1004"/>
      <c r="HF146" s="1004"/>
      <c r="HG146" s="1004"/>
      <c r="HH146" s="1004"/>
      <c r="HI146" s="1004"/>
      <c r="HJ146" s="1004"/>
      <c r="HK146" s="1004"/>
      <c r="HL146" s="1004"/>
      <c r="HM146" s="1004"/>
      <c r="HN146" s="1004"/>
      <c r="HO146" s="1004"/>
      <c r="HP146" s="1004"/>
      <c r="HQ146" s="1004"/>
      <c r="HR146" s="1004"/>
      <c r="HS146" s="1004"/>
      <c r="HT146" s="1004"/>
      <c r="HU146" s="1004"/>
      <c r="HV146" s="1004"/>
      <c r="HW146" s="1004"/>
      <c r="HX146" s="1004"/>
      <c r="HY146" s="1004"/>
      <c r="HZ146" s="1004"/>
      <c r="IA146" s="1004"/>
      <c r="IB146" s="1004"/>
      <c r="IC146" s="1004"/>
      <c r="ID146" s="1004"/>
      <c r="IE146" s="1004"/>
      <c r="IF146" s="1004"/>
      <c r="IG146" s="1004"/>
      <c r="IH146" s="1004"/>
      <c r="II146" s="1004"/>
      <c r="IJ146" s="1004"/>
      <c r="IK146" s="1004"/>
      <c r="IL146" s="1004"/>
      <c r="IM146" s="1004"/>
      <c r="IN146" s="1004"/>
      <c r="IO146" s="1004"/>
      <c r="IP146" s="1004"/>
      <c r="IQ146" s="1004"/>
      <c r="IR146" s="1004"/>
      <c r="IS146" s="1004"/>
      <c r="IT146" s="1004"/>
      <c r="IU146" s="1004"/>
      <c r="IV146" s="1004"/>
      <c r="IW146" s="1004"/>
      <c r="IX146" s="1004"/>
      <c r="IY146" s="1004"/>
      <c r="IZ146" s="1004"/>
      <c r="JA146" s="1004"/>
      <c r="JB146" s="1004"/>
      <c r="JC146" s="1004"/>
      <c r="JD146" s="1004"/>
      <c r="JE146" s="1004"/>
      <c r="JF146" s="1004"/>
      <c r="JG146" s="1004"/>
      <c r="JH146" s="1004"/>
      <c r="JI146" s="1004"/>
      <c r="JJ146" s="1004"/>
      <c r="JK146" s="1004"/>
      <c r="JL146" s="1004"/>
      <c r="JM146" s="1004"/>
      <c r="JN146" s="1004"/>
      <c r="JO146" s="1004"/>
      <c r="JP146" s="1004"/>
      <c r="JQ146" s="1004"/>
      <c r="JR146" s="1004"/>
      <c r="JS146" s="1004"/>
      <c r="JT146" s="1004"/>
      <c r="JU146" s="1004"/>
      <c r="JV146" s="1004"/>
      <c r="JW146" s="1004"/>
      <c r="JX146" s="1004"/>
      <c r="JY146" s="1004"/>
      <c r="JZ146" s="1004"/>
      <c r="KA146" s="1004"/>
      <c r="KB146" s="1004"/>
      <c r="KC146" s="1004"/>
      <c r="KD146" s="1004"/>
      <c r="KE146" s="1004"/>
      <c r="KF146" s="1004"/>
      <c r="KG146" s="1004"/>
      <c r="KH146" s="1004"/>
      <c r="KI146" s="1004"/>
      <c r="KJ146" s="1004"/>
      <c r="KK146" s="1004"/>
      <c r="KL146" s="1004"/>
      <c r="KM146" s="1004"/>
      <c r="KN146" s="1004"/>
      <c r="KO146" s="1004"/>
      <c r="KP146" s="1004"/>
      <c r="KQ146" s="1004"/>
      <c r="KR146" s="1004"/>
      <c r="KS146" s="1004"/>
      <c r="KT146" s="1004"/>
      <c r="KU146" s="1004"/>
      <c r="KV146" s="1004"/>
      <c r="KW146" s="1004"/>
      <c r="KX146" s="1004"/>
      <c r="KY146" s="1004"/>
      <c r="KZ146" s="1004"/>
      <c r="LA146" s="1004"/>
      <c r="LB146" s="1004"/>
      <c r="LC146" s="1004"/>
      <c r="LD146" s="1004"/>
      <c r="LE146" s="1004"/>
      <c r="LF146" s="1004"/>
      <c r="LG146" s="1004"/>
      <c r="LH146" s="1004"/>
      <c r="LI146" s="1004"/>
      <c r="LJ146" s="1004"/>
      <c r="LK146" s="1004"/>
      <c r="LL146" s="1004"/>
      <c r="LM146" s="1004"/>
      <c r="LN146" s="1004"/>
      <c r="LO146" s="1004"/>
      <c r="LP146" s="1004"/>
      <c r="LQ146" s="1004"/>
      <c r="LR146" s="1004"/>
      <c r="LS146" s="1004"/>
      <c r="LT146" s="1004"/>
      <c r="LU146" s="1004"/>
      <c r="LV146" s="1004"/>
      <c r="LW146" s="1004"/>
      <c r="LX146" s="1004"/>
      <c r="LY146" s="1004"/>
      <c r="LZ146" s="1004"/>
      <c r="MA146" s="1004"/>
      <c r="MB146" s="1004"/>
      <c r="MC146" s="1004"/>
      <c r="MD146" s="1004"/>
      <c r="ME146" s="1004"/>
      <c r="MF146" s="1004"/>
      <c r="MG146" s="1004"/>
      <c r="MH146" s="1004"/>
      <c r="MI146" s="1004"/>
      <c r="MJ146" s="1004"/>
      <c r="MK146" s="1004"/>
      <c r="ML146" s="1004"/>
      <c r="MM146" s="1004"/>
      <c r="MN146" s="1004"/>
      <c r="MO146" s="1004"/>
      <c r="MP146" s="1004"/>
      <c r="MQ146" s="1004"/>
      <c r="MR146" s="1004"/>
      <c r="MS146" s="1004"/>
      <c r="MT146" s="1004"/>
      <c r="MU146" s="1004"/>
      <c r="MV146" s="1004"/>
      <c r="MW146" s="1004"/>
      <c r="MX146" s="1004"/>
      <c r="MY146" s="1004"/>
      <c r="MZ146" s="1004"/>
      <c r="NA146" s="1004"/>
      <c r="NB146" s="1004"/>
      <c r="NC146" s="1004"/>
      <c r="ND146" s="1004"/>
      <c r="NE146" s="1004"/>
      <c r="NF146" s="1004"/>
      <c r="NG146" s="1004"/>
      <c r="NH146" s="1004"/>
      <c r="NI146" s="1004"/>
      <c r="NJ146" s="1004"/>
      <c r="NK146" s="1004"/>
      <c r="NL146" s="1004"/>
      <c r="NM146" s="1004"/>
      <c r="NN146" s="1004"/>
      <c r="NO146" s="1004"/>
      <c r="NP146" s="1004"/>
      <c r="NQ146" s="1004"/>
      <c r="NR146" s="1004"/>
      <c r="NS146" s="1004"/>
      <c r="NT146" s="1004"/>
      <c r="NU146" s="1004"/>
      <c r="NV146" s="1004"/>
      <c r="NW146" s="1004"/>
      <c r="NX146" s="1004"/>
      <c r="NY146" s="1004"/>
      <c r="NZ146" s="1004"/>
      <c r="OA146" s="1004"/>
      <c r="OB146" s="1004"/>
      <c r="OC146" s="1004"/>
      <c r="OD146" s="1004"/>
      <c r="OE146" s="1004"/>
      <c r="OF146" s="1004"/>
      <c r="OG146" s="1004"/>
      <c r="OH146" s="1004"/>
      <c r="OI146" s="1004"/>
      <c r="OJ146" s="1004"/>
      <c r="OK146" s="1004"/>
      <c r="OL146" s="1004"/>
      <c r="OM146" s="1004"/>
      <c r="ON146" s="1004"/>
      <c r="OO146" s="1004"/>
      <c r="OP146" s="1004"/>
      <c r="OQ146" s="1004"/>
      <c r="OR146" s="1004"/>
      <c r="OS146" s="1004"/>
      <c r="OT146" s="1004"/>
      <c r="OU146" s="1004"/>
      <c r="OV146" s="1004"/>
      <c r="OW146" s="1004"/>
      <c r="OX146" s="1004"/>
      <c r="OY146" s="1004"/>
      <c r="OZ146" s="1004"/>
      <c r="PA146" s="1004"/>
      <c r="PB146" s="1004"/>
      <c r="PC146" s="1004"/>
      <c r="PD146" s="1004"/>
      <c r="PE146" s="1004"/>
      <c r="PF146" s="1004"/>
      <c r="PG146" s="1004"/>
      <c r="PH146" s="1004"/>
      <c r="PI146" s="1004"/>
      <c r="PJ146" s="1004"/>
      <c r="PK146" s="1004"/>
      <c r="PL146" s="1004"/>
      <c r="PM146" s="1004"/>
      <c r="PN146" s="1004"/>
      <c r="PO146" s="1004"/>
      <c r="PP146" s="1004"/>
      <c r="PQ146" s="1004"/>
      <c r="PR146" s="1004"/>
      <c r="PS146" s="1004"/>
      <c r="PT146" s="1004"/>
      <c r="PU146" s="1004"/>
      <c r="PV146" s="1004"/>
      <c r="PW146" s="1004"/>
      <c r="PX146" s="1004"/>
      <c r="PY146" s="1004"/>
      <c r="PZ146" s="1004"/>
      <c r="QA146" s="1004"/>
      <c r="QB146" s="1004"/>
      <c r="QC146" s="1004"/>
      <c r="QD146" s="1004"/>
      <c r="QE146" s="1004"/>
      <c r="QF146" s="1004"/>
      <c r="QG146" s="1004"/>
      <c r="QH146" s="1004"/>
      <c r="QI146" s="1004"/>
      <c r="QJ146" s="1004"/>
      <c r="QK146" s="1004"/>
      <c r="QL146" s="1004"/>
      <c r="QM146" s="1004"/>
      <c r="QN146" s="1004"/>
      <c r="QO146" s="1004"/>
      <c r="QP146" s="1004"/>
      <c r="QQ146" s="1004"/>
      <c r="QR146" s="1004"/>
      <c r="QS146" s="1004"/>
      <c r="QT146" s="1004"/>
      <c r="QU146" s="1004"/>
      <c r="QV146" s="1004"/>
      <c r="QW146" s="1004"/>
      <c r="QX146" s="1004"/>
      <c r="QY146" s="1004"/>
      <c r="QZ146" s="1004"/>
      <c r="RA146" s="1004"/>
      <c r="RB146" s="1004"/>
      <c r="RC146" s="1004"/>
      <c r="RD146" s="1004"/>
      <c r="RE146" s="1004"/>
      <c r="RF146" s="1004"/>
      <c r="RG146" s="1004"/>
      <c r="RH146" s="1004"/>
      <c r="RI146" s="1004"/>
      <c r="RJ146" s="1004"/>
      <c r="RK146" s="1004"/>
      <c r="RL146" s="1004"/>
      <c r="RM146" s="1004"/>
      <c r="RN146" s="1004"/>
      <c r="RO146" s="1004"/>
      <c r="RP146" s="1004"/>
      <c r="RQ146" s="1004"/>
      <c r="RR146" s="1004"/>
      <c r="RS146" s="1004"/>
      <c r="RT146" s="1004"/>
      <c r="RU146" s="1004"/>
      <c r="RV146" s="1004"/>
      <c r="RW146" s="1004"/>
      <c r="RX146" s="1004"/>
      <c r="RY146" s="1004"/>
      <c r="RZ146" s="1004"/>
      <c r="SA146" s="1004"/>
      <c r="SB146" s="1004"/>
      <c r="SC146" s="1004"/>
      <c r="SD146" s="1004"/>
      <c r="SE146" s="1004"/>
      <c r="SF146" s="1004"/>
      <c r="SG146" s="1004"/>
      <c r="SH146" s="1004"/>
      <c r="SI146" s="1004"/>
      <c r="SJ146" s="1004"/>
      <c r="SK146" s="1004"/>
      <c r="SL146" s="1004"/>
      <c r="SM146" s="1004"/>
      <c r="SN146" s="1004"/>
      <c r="SO146" s="1004"/>
      <c r="SP146" s="1004"/>
      <c r="SQ146" s="1004"/>
      <c r="SR146" s="1004"/>
      <c r="SS146" s="1004"/>
      <c r="ST146" s="1004"/>
      <c r="SU146" s="1004"/>
      <c r="SV146" s="1004"/>
      <c r="SW146" s="1004"/>
      <c r="SX146" s="1004"/>
      <c r="SY146" s="1004"/>
      <c r="SZ146" s="1004"/>
      <c r="TA146" s="1004"/>
      <c r="TB146" s="1004"/>
      <c r="TC146" s="1004"/>
      <c r="TD146" s="1004"/>
      <c r="TE146" s="1004"/>
      <c r="TF146" s="1004"/>
      <c r="TG146" s="1004"/>
      <c r="TH146" s="1004"/>
      <c r="TI146" s="1004"/>
      <c r="TJ146" s="1004"/>
      <c r="TK146" s="1004"/>
      <c r="TL146" s="1004"/>
      <c r="TM146" s="1004"/>
      <c r="TN146" s="1004"/>
      <c r="TO146" s="1004"/>
      <c r="TP146" s="1004"/>
      <c r="TQ146" s="1004"/>
      <c r="TR146" s="1004"/>
      <c r="TS146" s="1004"/>
      <c r="TT146" s="1004"/>
      <c r="TU146" s="1004"/>
      <c r="TV146" s="1004"/>
      <c r="TW146" s="1004"/>
      <c r="TX146" s="1004"/>
      <c r="TY146" s="1004"/>
      <c r="TZ146" s="1004"/>
      <c r="UA146" s="1004"/>
      <c r="UB146" s="1004"/>
      <c r="UC146" s="1004"/>
      <c r="UD146" s="1004"/>
      <c r="UE146" s="1004"/>
      <c r="UF146" s="1004"/>
      <c r="UG146" s="1004"/>
      <c r="UH146" s="1004"/>
      <c r="UI146" s="1004"/>
      <c r="UJ146" s="1004"/>
      <c r="UK146" s="1004"/>
      <c r="UL146" s="1004"/>
      <c r="UM146" s="1004"/>
      <c r="UN146" s="1004"/>
      <c r="UO146" s="1004"/>
      <c r="UP146" s="1004"/>
      <c r="UQ146" s="1004"/>
      <c r="UR146" s="1004"/>
      <c r="US146" s="1004"/>
      <c r="UT146" s="1004"/>
      <c r="UU146" s="1004"/>
      <c r="UV146" s="1004"/>
      <c r="UW146" s="1004"/>
      <c r="UX146" s="1004"/>
      <c r="UY146" s="1004"/>
      <c r="UZ146" s="1004"/>
      <c r="VA146" s="1004"/>
      <c r="VB146" s="1004"/>
      <c r="VC146" s="1004"/>
      <c r="VD146" s="1004"/>
      <c r="VE146" s="1004"/>
      <c r="VF146" s="1004"/>
      <c r="VG146" s="1004"/>
      <c r="VH146" s="1004"/>
      <c r="VI146" s="1004"/>
      <c r="VJ146" s="1004"/>
      <c r="VK146" s="1004"/>
      <c r="VL146" s="1004"/>
      <c r="VM146" s="1004"/>
      <c r="VN146" s="1004"/>
      <c r="VO146" s="1004"/>
      <c r="VP146" s="1004"/>
      <c r="VQ146" s="1004"/>
      <c r="VR146" s="1004"/>
      <c r="VS146" s="1004"/>
      <c r="VT146" s="1004"/>
      <c r="VU146" s="1004"/>
      <c r="VV146" s="1004"/>
      <c r="VW146" s="1004"/>
      <c r="VX146" s="1004"/>
      <c r="VY146" s="1004"/>
      <c r="VZ146" s="1004"/>
      <c r="WA146" s="1004"/>
      <c r="WB146" s="1004"/>
      <c r="WC146" s="1004"/>
      <c r="WD146" s="1004"/>
      <c r="WE146" s="1004"/>
      <c r="WF146" s="1004"/>
      <c r="WG146" s="1004"/>
      <c r="WH146" s="1004"/>
      <c r="WI146" s="1004"/>
      <c r="WJ146" s="1004"/>
      <c r="WK146" s="1004"/>
      <c r="WL146" s="1004"/>
      <c r="WM146" s="1004"/>
      <c r="WN146" s="1004"/>
      <c r="WO146" s="1004"/>
      <c r="WP146" s="1004"/>
      <c r="WQ146" s="1004"/>
      <c r="WR146" s="1004"/>
      <c r="WS146" s="1004"/>
      <c r="WT146" s="1004"/>
      <c r="WU146" s="1004"/>
      <c r="WV146" s="1004"/>
      <c r="WW146" s="1004"/>
      <c r="WX146" s="1004"/>
      <c r="WY146" s="1004"/>
      <c r="WZ146" s="1004"/>
      <c r="XA146" s="1004"/>
      <c r="XB146" s="1004"/>
      <c r="XC146" s="1004"/>
      <c r="XD146" s="1004"/>
      <c r="XE146" s="1004"/>
      <c r="XF146" s="1004"/>
      <c r="XG146" s="1004"/>
      <c r="XH146" s="1004"/>
      <c r="XI146" s="1004"/>
      <c r="XJ146" s="1004"/>
      <c r="XK146" s="1004"/>
      <c r="XL146" s="1004"/>
      <c r="XM146" s="1004"/>
      <c r="XN146" s="1004"/>
      <c r="XO146" s="1004"/>
      <c r="XP146" s="1004"/>
      <c r="XQ146" s="1004"/>
      <c r="XR146" s="1004"/>
      <c r="XS146" s="1004"/>
      <c r="XT146" s="1004"/>
      <c r="XU146" s="1004"/>
      <c r="XV146" s="1004"/>
      <c r="XW146" s="1004"/>
      <c r="XX146" s="1004"/>
      <c r="XY146" s="1004"/>
      <c r="XZ146" s="1004"/>
      <c r="YA146" s="1004"/>
      <c r="YB146" s="1004"/>
      <c r="YC146" s="1004"/>
      <c r="YD146" s="1004"/>
      <c r="YE146" s="1004"/>
      <c r="YF146" s="1004"/>
      <c r="YG146" s="1004"/>
      <c r="YH146" s="1004"/>
      <c r="YI146" s="1004"/>
      <c r="YJ146" s="1004"/>
      <c r="YK146" s="1004"/>
      <c r="YL146" s="1004"/>
      <c r="YM146" s="1004"/>
      <c r="YN146" s="1004"/>
      <c r="YO146" s="1004"/>
      <c r="YP146" s="1004"/>
      <c r="YQ146" s="1004"/>
      <c r="YR146" s="1004"/>
      <c r="YS146" s="1004"/>
      <c r="YT146" s="1004"/>
      <c r="YU146" s="1004"/>
      <c r="YV146" s="1004"/>
      <c r="YW146" s="1004"/>
      <c r="YX146" s="1004"/>
      <c r="YY146" s="1004"/>
      <c r="YZ146" s="1004"/>
      <c r="ZA146" s="1004"/>
      <c r="ZB146" s="1004"/>
      <c r="ZC146" s="1004"/>
      <c r="ZD146" s="1004"/>
      <c r="ZE146" s="1004"/>
      <c r="ZF146" s="1004"/>
      <c r="ZG146" s="1004"/>
      <c r="ZH146" s="1004"/>
      <c r="ZI146" s="1004"/>
      <c r="ZJ146" s="1004"/>
      <c r="ZK146" s="1004"/>
      <c r="ZL146" s="1004"/>
      <c r="ZM146" s="1004"/>
      <c r="ZN146" s="1004"/>
      <c r="ZO146" s="1004"/>
      <c r="ZP146" s="1004"/>
      <c r="ZQ146" s="1004"/>
      <c r="ZR146" s="1004"/>
      <c r="ZS146" s="1004"/>
      <c r="ZT146" s="1004"/>
      <c r="ZU146" s="1004"/>
      <c r="ZV146" s="1004"/>
      <c r="ZW146" s="1004"/>
      <c r="ZX146" s="1004"/>
      <c r="ZY146" s="1004"/>
      <c r="ZZ146" s="1004"/>
      <c r="AAA146" s="1004"/>
      <c r="AAB146" s="1004"/>
      <c r="AAC146" s="1004"/>
      <c r="AAD146" s="1004"/>
      <c r="AAE146" s="1004"/>
      <c r="AAF146" s="1004"/>
      <c r="AAG146" s="1004"/>
      <c r="AAH146" s="1004"/>
      <c r="AAI146" s="1004"/>
      <c r="AAJ146" s="1004"/>
      <c r="AAK146" s="1004"/>
      <c r="AAL146" s="1004"/>
      <c r="AAM146" s="1004"/>
      <c r="AAN146" s="1004"/>
      <c r="AAO146" s="1004"/>
      <c r="AAP146" s="1004"/>
      <c r="AAQ146" s="1004"/>
      <c r="AAR146" s="1004"/>
      <c r="AAS146" s="1004"/>
      <c r="AAT146" s="1004"/>
      <c r="AAU146" s="1004"/>
      <c r="AAV146" s="1004"/>
      <c r="AAW146" s="1004"/>
      <c r="AAX146" s="1004"/>
      <c r="AAY146" s="1004"/>
      <c r="AAZ146" s="1004"/>
      <c r="ABA146" s="1004"/>
      <c r="ABB146" s="1004"/>
      <c r="ABC146" s="1004"/>
      <c r="ABD146" s="1004"/>
      <c r="ABE146" s="1004"/>
      <c r="ABF146" s="1004"/>
      <c r="ABG146" s="1004"/>
      <c r="ABH146" s="1004"/>
      <c r="ABI146" s="1004"/>
      <c r="ABJ146" s="1004"/>
      <c r="ABK146" s="1004"/>
      <c r="ABL146" s="1004"/>
      <c r="ABM146" s="1004"/>
      <c r="ABN146" s="1004"/>
      <c r="ABO146" s="1004"/>
      <c r="ABP146" s="1004"/>
      <c r="ABQ146" s="1004"/>
      <c r="ABR146" s="1004"/>
    </row>
    <row r="147" spans="1:746" s="112" customFormat="1" ht="12" hidden="1" customHeight="1" thickBot="1">
      <c r="A147" s="2348"/>
      <c r="B147" s="354" t="s">
        <v>1278</v>
      </c>
      <c r="C147" s="2358"/>
      <c r="D147" s="134"/>
      <c r="E147" s="347" t="s">
        <v>1</v>
      </c>
      <c r="F147" s="1240"/>
      <c r="G147" s="347">
        <v>0.25</v>
      </c>
      <c r="H147" s="597"/>
      <c r="I147" s="2364"/>
      <c r="J147" s="2192"/>
      <c r="K147" s="2192"/>
      <c r="L147" s="2192"/>
      <c r="M147" s="2192"/>
      <c r="N147" s="2192"/>
      <c r="O147" s="2192"/>
      <c r="P147" s="2192"/>
      <c r="Q147" s="2192"/>
      <c r="R147" s="2192"/>
      <c r="S147" s="2192"/>
      <c r="T147" s="368"/>
      <c r="U147" s="368"/>
      <c r="V147" s="368"/>
      <c r="W147" s="368"/>
      <c r="X147" s="368"/>
      <c r="Y147" s="368"/>
      <c r="Z147" s="368"/>
      <c r="AA147" s="368"/>
      <c r="AB147" s="368"/>
      <c r="AC147" s="368"/>
      <c r="AD147" s="368"/>
      <c r="AE147" s="368"/>
      <c r="AF147" s="1966"/>
      <c r="AG147" s="1042"/>
      <c r="AH147" s="2229">
        <v>0.2</v>
      </c>
      <c r="AI147" s="1817"/>
      <c r="AJ147" s="1956">
        <f>IF(fx!$C$57=1,SUMIF(fx!I$57:T$57,1,I147:T147),IF(fx!$C$57=2,SUMIF(fx!O$57:AF$57,1,O147:AF147)))</f>
        <v>0</v>
      </c>
      <c r="AK147" s="328"/>
      <c r="AL147" s="902">
        <f>IF(fx!$C$57=1,SUM(U147:AF147),0)</f>
        <v>0</v>
      </c>
      <c r="AM147" s="1005"/>
      <c r="AN147" s="1024"/>
      <c r="AO147" s="1945"/>
      <c r="AP147" s="1935"/>
      <c r="AQ147" s="1936"/>
      <c r="AR147" s="2236"/>
      <c r="AS147" s="2236"/>
      <c r="AT147" s="2236"/>
      <c r="AU147" s="2236"/>
      <c r="AV147" s="2236"/>
      <c r="AW147" s="2236"/>
      <c r="AX147" s="2236"/>
      <c r="AY147" s="2236"/>
      <c r="AZ147" s="2236"/>
      <c r="BA147" s="2236"/>
      <c r="BB147" s="2236"/>
      <c r="BC147" s="2236"/>
      <c r="BD147" s="2236"/>
      <c r="BE147" s="2236"/>
      <c r="BF147" s="2236"/>
      <c r="BG147" s="2236"/>
      <c r="BH147" s="2236"/>
      <c r="BI147" s="2236"/>
      <c r="BJ147" s="2236"/>
      <c r="BK147" s="2236"/>
      <c r="BL147" s="2236"/>
      <c r="BM147" s="2236"/>
      <c r="BN147" s="2236"/>
      <c r="BO147" s="2236"/>
      <c r="BP147" s="1004"/>
      <c r="BQ147" s="1004"/>
      <c r="BR147" s="1004"/>
      <c r="BS147" s="1004"/>
      <c r="BT147" s="1004"/>
      <c r="BU147" s="1004"/>
      <c r="BV147" s="1004"/>
      <c r="BW147" s="1004"/>
      <c r="BX147" s="1004"/>
      <c r="BY147" s="1004"/>
      <c r="BZ147" s="1004"/>
      <c r="CA147" s="1004"/>
      <c r="CB147" s="1004"/>
      <c r="CC147" s="1004"/>
      <c r="CD147" s="1004"/>
      <c r="CE147" s="1004"/>
      <c r="CF147" s="1004"/>
      <c r="CG147" s="1004"/>
      <c r="CH147" s="1004"/>
      <c r="CI147" s="1004"/>
      <c r="CJ147" s="1004"/>
      <c r="CK147" s="1004"/>
      <c r="CL147" s="1004"/>
      <c r="CM147" s="1004"/>
      <c r="CN147" s="1004"/>
      <c r="CO147" s="1004"/>
      <c r="CP147" s="1004"/>
      <c r="CQ147" s="1004"/>
      <c r="CR147" s="1004"/>
      <c r="CS147" s="1004"/>
      <c r="CT147" s="1004"/>
      <c r="CU147" s="1004"/>
      <c r="CV147" s="1004"/>
      <c r="CW147" s="1004"/>
      <c r="CX147" s="1004"/>
      <c r="CY147" s="1004"/>
      <c r="CZ147" s="1004"/>
      <c r="DA147" s="1004"/>
      <c r="DB147" s="1004"/>
      <c r="DC147" s="1004"/>
      <c r="DD147" s="1004"/>
      <c r="DE147" s="1004"/>
      <c r="DF147" s="1004"/>
      <c r="DG147" s="1004"/>
      <c r="DH147" s="1004"/>
      <c r="DI147" s="1004"/>
      <c r="DJ147" s="1004"/>
      <c r="DK147" s="1004"/>
      <c r="DL147" s="1004"/>
      <c r="DM147" s="1004"/>
      <c r="DN147" s="1004"/>
      <c r="DO147" s="1004"/>
      <c r="DP147" s="1004"/>
      <c r="DQ147" s="1004"/>
      <c r="DR147" s="1004"/>
      <c r="DS147" s="1004"/>
      <c r="DT147" s="1004"/>
      <c r="DU147" s="1004"/>
      <c r="DV147" s="1004"/>
      <c r="DW147" s="1004"/>
      <c r="DX147" s="1004"/>
      <c r="DY147" s="1004"/>
      <c r="DZ147" s="1004"/>
      <c r="EA147" s="1004"/>
      <c r="EB147" s="1004"/>
      <c r="EC147" s="1004"/>
      <c r="ED147" s="1004"/>
      <c r="EE147" s="1004"/>
      <c r="EF147" s="1004"/>
      <c r="EG147" s="1004"/>
      <c r="EH147" s="1004"/>
      <c r="EI147" s="1004"/>
      <c r="EJ147" s="1004"/>
      <c r="EK147" s="1004"/>
      <c r="EL147" s="1004"/>
      <c r="EM147" s="1004"/>
      <c r="EN147" s="1004"/>
      <c r="EO147" s="1004"/>
      <c r="EP147" s="1004"/>
      <c r="EQ147" s="1004"/>
      <c r="ER147" s="1004"/>
      <c r="ES147" s="1004"/>
      <c r="ET147" s="1004"/>
      <c r="EU147" s="1004"/>
      <c r="EV147" s="1004"/>
      <c r="EW147" s="1004"/>
      <c r="EX147" s="1004"/>
      <c r="EY147" s="1004"/>
      <c r="EZ147" s="1004"/>
      <c r="FA147" s="1004"/>
      <c r="FB147" s="1004"/>
      <c r="FC147" s="1004"/>
      <c r="FD147" s="1004"/>
      <c r="FE147" s="1004"/>
      <c r="FF147" s="1004"/>
      <c r="FG147" s="1004"/>
      <c r="FH147" s="1004"/>
      <c r="FI147" s="1004"/>
      <c r="FJ147" s="1004"/>
      <c r="FK147" s="1004"/>
      <c r="FL147" s="1004"/>
      <c r="FM147" s="1004"/>
      <c r="FN147" s="1004"/>
      <c r="FO147" s="1004"/>
      <c r="FP147" s="1004"/>
      <c r="FQ147" s="1004"/>
      <c r="FR147" s="1004"/>
      <c r="FS147" s="1004"/>
      <c r="FT147" s="1004"/>
      <c r="FU147" s="1004"/>
      <c r="FV147" s="1004"/>
      <c r="FW147" s="1004"/>
      <c r="FX147" s="1004"/>
      <c r="FY147" s="1004"/>
      <c r="FZ147" s="1004"/>
      <c r="GA147" s="1004"/>
      <c r="GB147" s="1004"/>
      <c r="GC147" s="1004"/>
      <c r="GD147" s="1004"/>
      <c r="GE147" s="1004"/>
      <c r="GF147" s="1004"/>
      <c r="GG147" s="1004"/>
      <c r="GH147" s="1004"/>
      <c r="GI147" s="1004"/>
      <c r="GJ147" s="1004"/>
      <c r="GK147" s="1004"/>
      <c r="GL147" s="1004"/>
      <c r="GM147" s="1004"/>
      <c r="GN147" s="1004"/>
      <c r="GO147" s="1004"/>
      <c r="GP147" s="1004"/>
      <c r="GQ147" s="1004"/>
      <c r="GR147" s="1004"/>
      <c r="GS147" s="1004"/>
      <c r="GT147" s="1004"/>
      <c r="GU147" s="1004"/>
      <c r="GV147" s="1004"/>
      <c r="GW147" s="1004"/>
      <c r="GX147" s="1004"/>
      <c r="GY147" s="1004"/>
      <c r="GZ147" s="1004"/>
      <c r="HA147" s="1004"/>
      <c r="HB147" s="1004"/>
      <c r="HC147" s="1004"/>
      <c r="HD147" s="1004"/>
      <c r="HE147" s="1004"/>
      <c r="HF147" s="1004"/>
      <c r="HG147" s="1004"/>
      <c r="HH147" s="1004"/>
      <c r="HI147" s="1004"/>
      <c r="HJ147" s="1004"/>
      <c r="HK147" s="1004"/>
      <c r="HL147" s="1004"/>
      <c r="HM147" s="1004"/>
      <c r="HN147" s="1004"/>
      <c r="HO147" s="1004"/>
      <c r="HP147" s="1004"/>
      <c r="HQ147" s="1004"/>
      <c r="HR147" s="1004"/>
      <c r="HS147" s="1004"/>
      <c r="HT147" s="1004"/>
      <c r="HU147" s="1004"/>
      <c r="HV147" s="1004"/>
      <c r="HW147" s="1004"/>
      <c r="HX147" s="1004"/>
      <c r="HY147" s="1004"/>
      <c r="HZ147" s="1004"/>
      <c r="IA147" s="1004"/>
      <c r="IB147" s="1004"/>
      <c r="IC147" s="1004"/>
      <c r="ID147" s="1004"/>
      <c r="IE147" s="1004"/>
      <c r="IF147" s="1004"/>
      <c r="IG147" s="1004"/>
      <c r="IH147" s="1004"/>
      <c r="II147" s="1004"/>
      <c r="IJ147" s="1004"/>
      <c r="IK147" s="1004"/>
      <c r="IL147" s="1004"/>
      <c r="IM147" s="1004"/>
      <c r="IN147" s="1004"/>
      <c r="IO147" s="1004"/>
      <c r="IP147" s="1004"/>
      <c r="IQ147" s="1004"/>
      <c r="IR147" s="1004"/>
      <c r="IS147" s="1004"/>
      <c r="IT147" s="1004"/>
      <c r="IU147" s="1004"/>
      <c r="IV147" s="1004"/>
      <c r="IW147" s="1004"/>
      <c r="IX147" s="1004"/>
      <c r="IY147" s="1004"/>
      <c r="IZ147" s="1004"/>
      <c r="JA147" s="1004"/>
      <c r="JB147" s="1004"/>
      <c r="JC147" s="1004"/>
      <c r="JD147" s="1004"/>
      <c r="JE147" s="1004"/>
      <c r="JF147" s="1004"/>
      <c r="JG147" s="1004"/>
      <c r="JH147" s="1004"/>
      <c r="JI147" s="1004"/>
      <c r="JJ147" s="1004"/>
      <c r="JK147" s="1004"/>
      <c r="JL147" s="1004"/>
      <c r="JM147" s="1004"/>
      <c r="JN147" s="1004"/>
      <c r="JO147" s="1004"/>
      <c r="JP147" s="1004"/>
      <c r="JQ147" s="1004"/>
      <c r="JR147" s="1004"/>
      <c r="JS147" s="1004"/>
      <c r="JT147" s="1004"/>
      <c r="JU147" s="1004"/>
      <c r="JV147" s="1004"/>
      <c r="JW147" s="1004"/>
      <c r="JX147" s="1004"/>
      <c r="JY147" s="1004"/>
      <c r="JZ147" s="1004"/>
      <c r="KA147" s="1004"/>
      <c r="KB147" s="1004"/>
      <c r="KC147" s="1004"/>
      <c r="KD147" s="1004"/>
      <c r="KE147" s="1004"/>
      <c r="KF147" s="1004"/>
      <c r="KG147" s="1004"/>
      <c r="KH147" s="1004"/>
      <c r="KI147" s="1004"/>
      <c r="KJ147" s="1004"/>
      <c r="KK147" s="1004"/>
      <c r="KL147" s="1004"/>
      <c r="KM147" s="1004"/>
      <c r="KN147" s="1004"/>
      <c r="KO147" s="1004"/>
      <c r="KP147" s="1004"/>
      <c r="KQ147" s="1004"/>
      <c r="KR147" s="1004"/>
      <c r="KS147" s="1004"/>
      <c r="KT147" s="1004"/>
      <c r="KU147" s="1004"/>
      <c r="KV147" s="1004"/>
      <c r="KW147" s="1004"/>
      <c r="KX147" s="1004"/>
      <c r="KY147" s="1004"/>
      <c r="KZ147" s="1004"/>
      <c r="LA147" s="1004"/>
      <c r="LB147" s="1004"/>
      <c r="LC147" s="1004"/>
      <c r="LD147" s="1004"/>
      <c r="LE147" s="1004"/>
      <c r="LF147" s="1004"/>
      <c r="LG147" s="1004"/>
      <c r="LH147" s="1004"/>
      <c r="LI147" s="1004"/>
      <c r="LJ147" s="1004"/>
      <c r="LK147" s="1004"/>
      <c r="LL147" s="1004"/>
      <c r="LM147" s="1004"/>
      <c r="LN147" s="1004"/>
      <c r="LO147" s="1004"/>
      <c r="LP147" s="1004"/>
      <c r="LQ147" s="1004"/>
      <c r="LR147" s="1004"/>
      <c r="LS147" s="1004"/>
      <c r="LT147" s="1004"/>
      <c r="LU147" s="1004"/>
      <c r="LV147" s="1004"/>
      <c r="LW147" s="1004"/>
      <c r="LX147" s="1004"/>
      <c r="LY147" s="1004"/>
      <c r="LZ147" s="1004"/>
      <c r="MA147" s="1004"/>
      <c r="MB147" s="1004"/>
      <c r="MC147" s="1004"/>
      <c r="MD147" s="1004"/>
      <c r="ME147" s="1004"/>
      <c r="MF147" s="1004"/>
      <c r="MG147" s="1004"/>
      <c r="MH147" s="1004"/>
      <c r="MI147" s="1004"/>
      <c r="MJ147" s="1004"/>
      <c r="MK147" s="1004"/>
      <c r="ML147" s="1004"/>
      <c r="MM147" s="1004"/>
      <c r="MN147" s="1004"/>
      <c r="MO147" s="1004"/>
      <c r="MP147" s="1004"/>
      <c r="MQ147" s="1004"/>
      <c r="MR147" s="1004"/>
      <c r="MS147" s="1004"/>
      <c r="MT147" s="1004"/>
      <c r="MU147" s="1004"/>
      <c r="MV147" s="1004"/>
      <c r="MW147" s="1004"/>
      <c r="MX147" s="1004"/>
      <c r="MY147" s="1004"/>
      <c r="MZ147" s="1004"/>
      <c r="NA147" s="1004"/>
      <c r="NB147" s="1004"/>
      <c r="NC147" s="1004"/>
      <c r="ND147" s="1004"/>
      <c r="NE147" s="1004"/>
      <c r="NF147" s="1004"/>
      <c r="NG147" s="1004"/>
      <c r="NH147" s="1004"/>
      <c r="NI147" s="1004"/>
      <c r="NJ147" s="1004"/>
      <c r="NK147" s="1004"/>
      <c r="NL147" s="1004"/>
      <c r="NM147" s="1004"/>
      <c r="NN147" s="1004"/>
      <c r="NO147" s="1004"/>
      <c r="NP147" s="1004"/>
      <c r="NQ147" s="1004"/>
      <c r="NR147" s="1004"/>
      <c r="NS147" s="1004"/>
      <c r="NT147" s="1004"/>
      <c r="NU147" s="1004"/>
      <c r="NV147" s="1004"/>
      <c r="NW147" s="1004"/>
      <c r="NX147" s="1004"/>
      <c r="NY147" s="1004"/>
      <c r="NZ147" s="1004"/>
      <c r="OA147" s="1004"/>
      <c r="OB147" s="1004"/>
      <c r="OC147" s="1004"/>
      <c r="OD147" s="1004"/>
      <c r="OE147" s="1004"/>
      <c r="OF147" s="1004"/>
      <c r="OG147" s="1004"/>
      <c r="OH147" s="1004"/>
      <c r="OI147" s="1004"/>
      <c r="OJ147" s="1004"/>
      <c r="OK147" s="1004"/>
      <c r="OL147" s="1004"/>
      <c r="OM147" s="1004"/>
      <c r="ON147" s="1004"/>
      <c r="OO147" s="1004"/>
      <c r="OP147" s="1004"/>
      <c r="OQ147" s="1004"/>
      <c r="OR147" s="1004"/>
      <c r="OS147" s="1004"/>
      <c r="OT147" s="1004"/>
      <c r="OU147" s="1004"/>
      <c r="OV147" s="1004"/>
      <c r="OW147" s="1004"/>
      <c r="OX147" s="1004"/>
      <c r="OY147" s="1004"/>
      <c r="OZ147" s="1004"/>
      <c r="PA147" s="1004"/>
      <c r="PB147" s="1004"/>
      <c r="PC147" s="1004"/>
      <c r="PD147" s="1004"/>
      <c r="PE147" s="1004"/>
      <c r="PF147" s="1004"/>
      <c r="PG147" s="1004"/>
      <c r="PH147" s="1004"/>
      <c r="PI147" s="1004"/>
      <c r="PJ147" s="1004"/>
      <c r="PK147" s="1004"/>
      <c r="PL147" s="1004"/>
      <c r="PM147" s="1004"/>
      <c r="PN147" s="1004"/>
      <c r="PO147" s="1004"/>
      <c r="PP147" s="1004"/>
      <c r="PQ147" s="1004"/>
      <c r="PR147" s="1004"/>
      <c r="PS147" s="1004"/>
      <c r="PT147" s="1004"/>
      <c r="PU147" s="1004"/>
      <c r="PV147" s="1004"/>
      <c r="PW147" s="1004"/>
      <c r="PX147" s="1004"/>
      <c r="PY147" s="1004"/>
      <c r="PZ147" s="1004"/>
      <c r="QA147" s="1004"/>
      <c r="QB147" s="1004"/>
      <c r="QC147" s="1004"/>
      <c r="QD147" s="1004"/>
      <c r="QE147" s="1004"/>
      <c r="QF147" s="1004"/>
      <c r="QG147" s="1004"/>
      <c r="QH147" s="1004"/>
      <c r="QI147" s="1004"/>
      <c r="QJ147" s="1004"/>
      <c r="QK147" s="1004"/>
      <c r="QL147" s="1004"/>
      <c r="QM147" s="1004"/>
      <c r="QN147" s="1004"/>
      <c r="QO147" s="1004"/>
      <c r="QP147" s="1004"/>
      <c r="QQ147" s="1004"/>
      <c r="QR147" s="1004"/>
      <c r="QS147" s="1004"/>
      <c r="QT147" s="1004"/>
      <c r="QU147" s="1004"/>
      <c r="QV147" s="1004"/>
      <c r="QW147" s="1004"/>
      <c r="QX147" s="1004"/>
      <c r="QY147" s="1004"/>
      <c r="QZ147" s="1004"/>
      <c r="RA147" s="1004"/>
      <c r="RB147" s="1004"/>
      <c r="RC147" s="1004"/>
      <c r="RD147" s="1004"/>
      <c r="RE147" s="1004"/>
      <c r="RF147" s="1004"/>
      <c r="RG147" s="1004"/>
      <c r="RH147" s="1004"/>
      <c r="RI147" s="1004"/>
      <c r="RJ147" s="1004"/>
      <c r="RK147" s="1004"/>
      <c r="RL147" s="1004"/>
      <c r="RM147" s="1004"/>
      <c r="RN147" s="1004"/>
      <c r="RO147" s="1004"/>
      <c r="RP147" s="1004"/>
      <c r="RQ147" s="1004"/>
      <c r="RR147" s="1004"/>
      <c r="RS147" s="1004"/>
      <c r="RT147" s="1004"/>
      <c r="RU147" s="1004"/>
      <c r="RV147" s="1004"/>
      <c r="RW147" s="1004"/>
      <c r="RX147" s="1004"/>
      <c r="RY147" s="1004"/>
      <c r="RZ147" s="1004"/>
      <c r="SA147" s="1004"/>
      <c r="SB147" s="1004"/>
      <c r="SC147" s="1004"/>
      <c r="SD147" s="1004"/>
      <c r="SE147" s="1004"/>
      <c r="SF147" s="1004"/>
      <c r="SG147" s="1004"/>
      <c r="SH147" s="1004"/>
      <c r="SI147" s="1004"/>
      <c r="SJ147" s="1004"/>
      <c r="SK147" s="1004"/>
      <c r="SL147" s="1004"/>
      <c r="SM147" s="1004"/>
      <c r="SN147" s="1004"/>
      <c r="SO147" s="1004"/>
      <c r="SP147" s="1004"/>
      <c r="SQ147" s="1004"/>
      <c r="SR147" s="1004"/>
      <c r="SS147" s="1004"/>
      <c r="ST147" s="1004"/>
      <c r="SU147" s="1004"/>
      <c r="SV147" s="1004"/>
      <c r="SW147" s="1004"/>
      <c r="SX147" s="1004"/>
      <c r="SY147" s="1004"/>
      <c r="SZ147" s="1004"/>
      <c r="TA147" s="1004"/>
      <c r="TB147" s="1004"/>
      <c r="TC147" s="1004"/>
      <c r="TD147" s="1004"/>
      <c r="TE147" s="1004"/>
      <c r="TF147" s="1004"/>
      <c r="TG147" s="1004"/>
      <c r="TH147" s="1004"/>
      <c r="TI147" s="1004"/>
      <c r="TJ147" s="1004"/>
      <c r="TK147" s="1004"/>
      <c r="TL147" s="1004"/>
      <c r="TM147" s="1004"/>
      <c r="TN147" s="1004"/>
      <c r="TO147" s="1004"/>
      <c r="TP147" s="1004"/>
      <c r="TQ147" s="1004"/>
      <c r="TR147" s="1004"/>
      <c r="TS147" s="1004"/>
      <c r="TT147" s="1004"/>
      <c r="TU147" s="1004"/>
      <c r="TV147" s="1004"/>
      <c r="TW147" s="1004"/>
      <c r="TX147" s="1004"/>
      <c r="TY147" s="1004"/>
      <c r="TZ147" s="1004"/>
      <c r="UA147" s="1004"/>
      <c r="UB147" s="1004"/>
      <c r="UC147" s="1004"/>
      <c r="UD147" s="1004"/>
      <c r="UE147" s="1004"/>
      <c r="UF147" s="1004"/>
      <c r="UG147" s="1004"/>
      <c r="UH147" s="1004"/>
      <c r="UI147" s="1004"/>
      <c r="UJ147" s="1004"/>
      <c r="UK147" s="1004"/>
      <c r="UL147" s="1004"/>
      <c r="UM147" s="1004"/>
      <c r="UN147" s="1004"/>
      <c r="UO147" s="1004"/>
      <c r="UP147" s="1004"/>
      <c r="UQ147" s="1004"/>
      <c r="UR147" s="1004"/>
      <c r="US147" s="1004"/>
      <c r="UT147" s="1004"/>
      <c r="UU147" s="1004"/>
      <c r="UV147" s="1004"/>
      <c r="UW147" s="1004"/>
      <c r="UX147" s="1004"/>
      <c r="UY147" s="1004"/>
      <c r="UZ147" s="1004"/>
      <c r="VA147" s="1004"/>
      <c r="VB147" s="1004"/>
      <c r="VC147" s="1004"/>
      <c r="VD147" s="1004"/>
      <c r="VE147" s="1004"/>
      <c r="VF147" s="1004"/>
      <c r="VG147" s="1004"/>
      <c r="VH147" s="1004"/>
      <c r="VI147" s="1004"/>
      <c r="VJ147" s="1004"/>
      <c r="VK147" s="1004"/>
      <c r="VL147" s="1004"/>
      <c r="VM147" s="1004"/>
      <c r="VN147" s="1004"/>
      <c r="VO147" s="1004"/>
      <c r="VP147" s="1004"/>
      <c r="VQ147" s="1004"/>
      <c r="VR147" s="1004"/>
      <c r="VS147" s="1004"/>
      <c r="VT147" s="1004"/>
      <c r="VU147" s="1004"/>
      <c r="VV147" s="1004"/>
      <c r="VW147" s="1004"/>
      <c r="VX147" s="1004"/>
      <c r="VY147" s="1004"/>
      <c r="VZ147" s="1004"/>
      <c r="WA147" s="1004"/>
      <c r="WB147" s="1004"/>
      <c r="WC147" s="1004"/>
      <c r="WD147" s="1004"/>
      <c r="WE147" s="1004"/>
      <c r="WF147" s="1004"/>
      <c r="WG147" s="1004"/>
      <c r="WH147" s="1004"/>
      <c r="WI147" s="1004"/>
      <c r="WJ147" s="1004"/>
      <c r="WK147" s="1004"/>
      <c r="WL147" s="1004"/>
      <c r="WM147" s="1004"/>
      <c r="WN147" s="1004"/>
      <c r="WO147" s="1004"/>
      <c r="WP147" s="1004"/>
      <c r="WQ147" s="1004"/>
      <c r="WR147" s="1004"/>
      <c r="WS147" s="1004"/>
      <c r="WT147" s="1004"/>
      <c r="WU147" s="1004"/>
      <c r="WV147" s="1004"/>
      <c r="WW147" s="1004"/>
      <c r="WX147" s="1004"/>
      <c r="WY147" s="1004"/>
      <c r="WZ147" s="1004"/>
      <c r="XA147" s="1004"/>
      <c r="XB147" s="1004"/>
      <c r="XC147" s="1004"/>
      <c r="XD147" s="1004"/>
      <c r="XE147" s="1004"/>
      <c r="XF147" s="1004"/>
      <c r="XG147" s="1004"/>
      <c r="XH147" s="1004"/>
      <c r="XI147" s="1004"/>
      <c r="XJ147" s="1004"/>
      <c r="XK147" s="1004"/>
      <c r="XL147" s="1004"/>
      <c r="XM147" s="1004"/>
      <c r="XN147" s="1004"/>
      <c r="XO147" s="1004"/>
      <c r="XP147" s="1004"/>
      <c r="XQ147" s="1004"/>
      <c r="XR147" s="1004"/>
      <c r="XS147" s="1004"/>
      <c r="XT147" s="1004"/>
      <c r="XU147" s="1004"/>
      <c r="XV147" s="1004"/>
      <c r="XW147" s="1004"/>
      <c r="XX147" s="1004"/>
      <c r="XY147" s="1004"/>
      <c r="XZ147" s="1004"/>
      <c r="YA147" s="1004"/>
      <c r="YB147" s="1004"/>
      <c r="YC147" s="1004"/>
      <c r="YD147" s="1004"/>
      <c r="YE147" s="1004"/>
      <c r="YF147" s="1004"/>
      <c r="YG147" s="1004"/>
      <c r="YH147" s="1004"/>
      <c r="YI147" s="1004"/>
      <c r="YJ147" s="1004"/>
      <c r="YK147" s="1004"/>
      <c r="YL147" s="1004"/>
      <c r="YM147" s="1004"/>
      <c r="YN147" s="1004"/>
      <c r="YO147" s="1004"/>
      <c r="YP147" s="1004"/>
      <c r="YQ147" s="1004"/>
      <c r="YR147" s="1004"/>
      <c r="YS147" s="1004"/>
      <c r="YT147" s="1004"/>
      <c r="YU147" s="1004"/>
      <c r="YV147" s="1004"/>
      <c r="YW147" s="1004"/>
      <c r="YX147" s="1004"/>
      <c r="YY147" s="1004"/>
      <c r="YZ147" s="1004"/>
      <c r="ZA147" s="1004"/>
      <c r="ZB147" s="1004"/>
      <c r="ZC147" s="1004"/>
      <c r="ZD147" s="1004"/>
      <c r="ZE147" s="1004"/>
      <c r="ZF147" s="1004"/>
      <c r="ZG147" s="1004"/>
      <c r="ZH147" s="1004"/>
      <c r="ZI147" s="1004"/>
      <c r="ZJ147" s="1004"/>
      <c r="ZK147" s="1004"/>
      <c r="ZL147" s="1004"/>
      <c r="ZM147" s="1004"/>
      <c r="ZN147" s="1004"/>
      <c r="ZO147" s="1004"/>
      <c r="ZP147" s="1004"/>
      <c r="ZQ147" s="1004"/>
      <c r="ZR147" s="1004"/>
      <c r="ZS147" s="1004"/>
      <c r="ZT147" s="1004"/>
      <c r="ZU147" s="1004"/>
      <c r="ZV147" s="1004"/>
      <c r="ZW147" s="1004"/>
      <c r="ZX147" s="1004"/>
      <c r="ZY147" s="1004"/>
      <c r="ZZ147" s="1004"/>
      <c r="AAA147" s="1004"/>
      <c r="AAB147" s="1004"/>
      <c r="AAC147" s="1004"/>
      <c r="AAD147" s="1004"/>
      <c r="AAE147" s="1004"/>
      <c r="AAF147" s="1004"/>
      <c r="AAG147" s="1004"/>
      <c r="AAH147" s="1004"/>
      <c r="AAI147" s="1004"/>
      <c r="AAJ147" s="1004"/>
      <c r="AAK147" s="1004"/>
      <c r="AAL147" s="1004"/>
      <c r="AAM147" s="1004"/>
      <c r="AAN147" s="1004"/>
      <c r="AAO147" s="1004"/>
      <c r="AAP147" s="1004"/>
      <c r="AAQ147" s="1004"/>
      <c r="AAR147" s="1004"/>
      <c r="AAS147" s="1004"/>
      <c r="AAT147" s="1004"/>
      <c r="AAU147" s="1004"/>
      <c r="AAV147" s="1004"/>
      <c r="AAW147" s="1004"/>
      <c r="AAX147" s="1004"/>
      <c r="AAY147" s="1004"/>
      <c r="AAZ147" s="1004"/>
      <c r="ABA147" s="1004"/>
      <c r="ABB147" s="1004"/>
      <c r="ABC147" s="1004"/>
      <c r="ABD147" s="1004"/>
      <c r="ABE147" s="1004"/>
      <c r="ABF147" s="1004"/>
      <c r="ABG147" s="1004"/>
      <c r="ABH147" s="1004"/>
      <c r="ABI147" s="1004"/>
      <c r="ABJ147" s="1004"/>
      <c r="ABK147" s="1004"/>
      <c r="ABL147" s="1004"/>
      <c r="ABM147" s="1004"/>
      <c r="ABN147" s="1004"/>
      <c r="ABO147" s="1004"/>
      <c r="ABP147" s="1004"/>
      <c r="ABQ147" s="1004"/>
      <c r="ABR147" s="1004"/>
    </row>
    <row r="148" spans="1:746" s="112" customFormat="1" ht="12" hidden="1" customHeight="1" thickBot="1">
      <c r="A148" s="2348"/>
      <c r="B148" s="354" t="s">
        <v>1279</v>
      </c>
      <c r="C148" s="2358"/>
      <c r="D148" s="134"/>
      <c r="E148" s="347" t="s">
        <v>1</v>
      </c>
      <c r="F148" s="1240"/>
      <c r="G148" s="347">
        <v>0.25</v>
      </c>
      <c r="H148" s="597"/>
      <c r="I148" s="2364"/>
      <c r="J148" s="2192"/>
      <c r="K148" s="2192"/>
      <c r="L148" s="2192"/>
      <c r="M148" s="2192"/>
      <c r="N148" s="2192"/>
      <c r="O148" s="2192"/>
      <c r="P148" s="2192"/>
      <c r="Q148" s="2192"/>
      <c r="R148" s="2192"/>
      <c r="S148" s="2192"/>
      <c r="T148" s="368"/>
      <c r="U148" s="368"/>
      <c r="V148" s="368"/>
      <c r="W148" s="368"/>
      <c r="X148" s="368"/>
      <c r="Y148" s="368"/>
      <c r="Z148" s="368"/>
      <c r="AA148" s="368"/>
      <c r="AB148" s="368"/>
      <c r="AC148" s="368"/>
      <c r="AD148" s="368"/>
      <c r="AE148" s="368"/>
      <c r="AF148" s="1966"/>
      <c r="AG148" s="1042"/>
      <c r="AH148" s="2229">
        <v>0.2</v>
      </c>
      <c r="AI148" s="1817"/>
      <c r="AJ148" s="1956">
        <f>IF(fx!$C$57=1,SUMIF(fx!I$57:T$57,1,I148:T148),IF(fx!$C$57=2,SUMIF(fx!O$57:AF$57,1,O148:AF148)))</f>
        <v>0</v>
      </c>
      <c r="AK148" s="328"/>
      <c r="AL148" s="902">
        <f>IF(fx!$C$57=1,SUM(U148:AF148),0)</f>
        <v>0</v>
      </c>
      <c r="AM148" s="1005"/>
      <c r="AN148" s="1024"/>
      <c r="AO148" s="1945"/>
      <c r="AP148" s="1935"/>
      <c r="AQ148" s="1936"/>
      <c r="AR148" s="2236"/>
      <c r="AS148" s="2236"/>
      <c r="AT148" s="2236"/>
      <c r="AU148" s="2236"/>
      <c r="AV148" s="2236"/>
      <c r="AW148" s="2236"/>
      <c r="AX148" s="2236"/>
      <c r="AY148" s="2236"/>
      <c r="AZ148" s="2236"/>
      <c r="BA148" s="2236"/>
      <c r="BB148" s="2236"/>
      <c r="BC148" s="2236"/>
      <c r="BD148" s="2236"/>
      <c r="BE148" s="2236"/>
      <c r="BF148" s="2236"/>
      <c r="BG148" s="2236"/>
      <c r="BH148" s="2236"/>
      <c r="BI148" s="2236"/>
      <c r="BJ148" s="2236"/>
      <c r="BK148" s="2236"/>
      <c r="BL148" s="2236"/>
      <c r="BM148" s="2236"/>
      <c r="BN148" s="2236"/>
      <c r="BO148" s="2236"/>
      <c r="BP148" s="1004"/>
      <c r="BQ148" s="1004"/>
      <c r="BR148" s="1004"/>
      <c r="BS148" s="1004"/>
      <c r="BT148" s="1004"/>
      <c r="BU148" s="1004"/>
      <c r="BV148" s="1004"/>
      <c r="BW148" s="1004"/>
      <c r="BX148" s="1004"/>
      <c r="BY148" s="1004"/>
      <c r="BZ148" s="1004"/>
      <c r="CA148" s="1004"/>
      <c r="CB148" s="1004"/>
      <c r="CC148" s="1004"/>
      <c r="CD148" s="1004"/>
      <c r="CE148" s="1004"/>
      <c r="CF148" s="1004"/>
      <c r="CG148" s="1004"/>
      <c r="CH148" s="1004"/>
      <c r="CI148" s="1004"/>
      <c r="CJ148" s="1004"/>
      <c r="CK148" s="1004"/>
      <c r="CL148" s="1004"/>
      <c r="CM148" s="1004"/>
      <c r="CN148" s="1004"/>
      <c r="CO148" s="1004"/>
      <c r="CP148" s="1004"/>
      <c r="CQ148" s="1004"/>
      <c r="CR148" s="1004"/>
      <c r="CS148" s="1004"/>
      <c r="CT148" s="1004"/>
      <c r="CU148" s="1004"/>
      <c r="CV148" s="1004"/>
      <c r="CW148" s="1004"/>
      <c r="CX148" s="1004"/>
      <c r="CY148" s="1004"/>
      <c r="CZ148" s="1004"/>
      <c r="DA148" s="1004"/>
      <c r="DB148" s="1004"/>
      <c r="DC148" s="1004"/>
      <c r="DD148" s="1004"/>
      <c r="DE148" s="1004"/>
      <c r="DF148" s="1004"/>
      <c r="DG148" s="1004"/>
      <c r="DH148" s="1004"/>
      <c r="DI148" s="1004"/>
      <c r="DJ148" s="1004"/>
      <c r="DK148" s="1004"/>
      <c r="DL148" s="1004"/>
      <c r="DM148" s="1004"/>
      <c r="DN148" s="1004"/>
      <c r="DO148" s="1004"/>
      <c r="DP148" s="1004"/>
      <c r="DQ148" s="1004"/>
      <c r="DR148" s="1004"/>
      <c r="DS148" s="1004"/>
      <c r="DT148" s="1004"/>
      <c r="DU148" s="1004"/>
      <c r="DV148" s="1004"/>
      <c r="DW148" s="1004"/>
      <c r="DX148" s="1004"/>
      <c r="DY148" s="1004"/>
      <c r="DZ148" s="1004"/>
      <c r="EA148" s="1004"/>
      <c r="EB148" s="1004"/>
      <c r="EC148" s="1004"/>
      <c r="ED148" s="1004"/>
      <c r="EE148" s="1004"/>
      <c r="EF148" s="1004"/>
      <c r="EG148" s="1004"/>
      <c r="EH148" s="1004"/>
      <c r="EI148" s="1004"/>
      <c r="EJ148" s="1004"/>
      <c r="EK148" s="1004"/>
      <c r="EL148" s="1004"/>
      <c r="EM148" s="1004"/>
      <c r="EN148" s="1004"/>
      <c r="EO148" s="1004"/>
      <c r="EP148" s="1004"/>
      <c r="EQ148" s="1004"/>
      <c r="ER148" s="1004"/>
      <c r="ES148" s="1004"/>
      <c r="ET148" s="1004"/>
      <c r="EU148" s="1004"/>
      <c r="EV148" s="1004"/>
      <c r="EW148" s="1004"/>
      <c r="EX148" s="1004"/>
      <c r="EY148" s="1004"/>
      <c r="EZ148" s="1004"/>
      <c r="FA148" s="1004"/>
      <c r="FB148" s="1004"/>
      <c r="FC148" s="1004"/>
      <c r="FD148" s="1004"/>
      <c r="FE148" s="1004"/>
      <c r="FF148" s="1004"/>
      <c r="FG148" s="1004"/>
      <c r="FH148" s="1004"/>
      <c r="FI148" s="1004"/>
      <c r="FJ148" s="1004"/>
      <c r="FK148" s="1004"/>
      <c r="FL148" s="1004"/>
      <c r="FM148" s="1004"/>
      <c r="FN148" s="1004"/>
      <c r="FO148" s="1004"/>
      <c r="FP148" s="1004"/>
      <c r="FQ148" s="1004"/>
      <c r="FR148" s="1004"/>
      <c r="FS148" s="1004"/>
      <c r="FT148" s="1004"/>
      <c r="FU148" s="1004"/>
      <c r="FV148" s="1004"/>
      <c r="FW148" s="1004"/>
      <c r="FX148" s="1004"/>
      <c r="FY148" s="1004"/>
      <c r="FZ148" s="1004"/>
      <c r="GA148" s="1004"/>
      <c r="GB148" s="1004"/>
      <c r="GC148" s="1004"/>
      <c r="GD148" s="1004"/>
      <c r="GE148" s="1004"/>
      <c r="GF148" s="1004"/>
      <c r="GG148" s="1004"/>
      <c r="GH148" s="1004"/>
      <c r="GI148" s="1004"/>
      <c r="GJ148" s="1004"/>
      <c r="GK148" s="1004"/>
      <c r="GL148" s="1004"/>
      <c r="GM148" s="1004"/>
      <c r="GN148" s="1004"/>
      <c r="GO148" s="1004"/>
      <c r="GP148" s="1004"/>
      <c r="GQ148" s="1004"/>
      <c r="GR148" s="1004"/>
      <c r="GS148" s="1004"/>
      <c r="GT148" s="1004"/>
      <c r="GU148" s="1004"/>
      <c r="GV148" s="1004"/>
      <c r="GW148" s="1004"/>
      <c r="GX148" s="1004"/>
      <c r="GY148" s="1004"/>
      <c r="GZ148" s="1004"/>
      <c r="HA148" s="1004"/>
      <c r="HB148" s="1004"/>
      <c r="HC148" s="1004"/>
      <c r="HD148" s="1004"/>
      <c r="HE148" s="1004"/>
      <c r="HF148" s="1004"/>
      <c r="HG148" s="1004"/>
      <c r="HH148" s="1004"/>
      <c r="HI148" s="1004"/>
      <c r="HJ148" s="1004"/>
      <c r="HK148" s="1004"/>
      <c r="HL148" s="1004"/>
      <c r="HM148" s="1004"/>
      <c r="HN148" s="1004"/>
      <c r="HO148" s="1004"/>
      <c r="HP148" s="1004"/>
      <c r="HQ148" s="1004"/>
      <c r="HR148" s="1004"/>
      <c r="HS148" s="1004"/>
      <c r="HT148" s="1004"/>
      <c r="HU148" s="1004"/>
      <c r="HV148" s="1004"/>
      <c r="HW148" s="1004"/>
      <c r="HX148" s="1004"/>
      <c r="HY148" s="1004"/>
      <c r="HZ148" s="1004"/>
      <c r="IA148" s="1004"/>
      <c r="IB148" s="1004"/>
      <c r="IC148" s="1004"/>
      <c r="ID148" s="1004"/>
      <c r="IE148" s="1004"/>
      <c r="IF148" s="1004"/>
      <c r="IG148" s="1004"/>
      <c r="IH148" s="1004"/>
      <c r="II148" s="1004"/>
      <c r="IJ148" s="1004"/>
      <c r="IK148" s="1004"/>
      <c r="IL148" s="1004"/>
      <c r="IM148" s="1004"/>
      <c r="IN148" s="1004"/>
      <c r="IO148" s="1004"/>
      <c r="IP148" s="1004"/>
      <c r="IQ148" s="1004"/>
      <c r="IR148" s="1004"/>
      <c r="IS148" s="1004"/>
      <c r="IT148" s="1004"/>
      <c r="IU148" s="1004"/>
      <c r="IV148" s="1004"/>
      <c r="IW148" s="1004"/>
      <c r="IX148" s="1004"/>
      <c r="IY148" s="1004"/>
      <c r="IZ148" s="1004"/>
      <c r="JA148" s="1004"/>
      <c r="JB148" s="1004"/>
      <c r="JC148" s="1004"/>
      <c r="JD148" s="1004"/>
      <c r="JE148" s="1004"/>
      <c r="JF148" s="1004"/>
      <c r="JG148" s="1004"/>
      <c r="JH148" s="1004"/>
      <c r="JI148" s="1004"/>
      <c r="JJ148" s="1004"/>
      <c r="JK148" s="1004"/>
      <c r="JL148" s="1004"/>
      <c r="JM148" s="1004"/>
      <c r="JN148" s="1004"/>
      <c r="JO148" s="1004"/>
      <c r="JP148" s="1004"/>
      <c r="JQ148" s="1004"/>
      <c r="JR148" s="1004"/>
      <c r="JS148" s="1004"/>
      <c r="JT148" s="1004"/>
      <c r="JU148" s="1004"/>
      <c r="JV148" s="1004"/>
      <c r="JW148" s="1004"/>
      <c r="JX148" s="1004"/>
      <c r="JY148" s="1004"/>
      <c r="JZ148" s="1004"/>
      <c r="KA148" s="1004"/>
      <c r="KB148" s="1004"/>
      <c r="KC148" s="1004"/>
      <c r="KD148" s="1004"/>
      <c r="KE148" s="1004"/>
      <c r="KF148" s="1004"/>
      <c r="KG148" s="1004"/>
      <c r="KH148" s="1004"/>
      <c r="KI148" s="1004"/>
      <c r="KJ148" s="1004"/>
      <c r="KK148" s="1004"/>
      <c r="KL148" s="1004"/>
      <c r="KM148" s="1004"/>
      <c r="KN148" s="1004"/>
      <c r="KO148" s="1004"/>
      <c r="KP148" s="1004"/>
      <c r="KQ148" s="1004"/>
      <c r="KR148" s="1004"/>
      <c r="KS148" s="1004"/>
      <c r="KT148" s="1004"/>
      <c r="KU148" s="1004"/>
      <c r="KV148" s="1004"/>
      <c r="KW148" s="1004"/>
      <c r="KX148" s="1004"/>
      <c r="KY148" s="1004"/>
      <c r="KZ148" s="1004"/>
      <c r="LA148" s="1004"/>
      <c r="LB148" s="1004"/>
      <c r="LC148" s="1004"/>
      <c r="LD148" s="1004"/>
      <c r="LE148" s="1004"/>
      <c r="LF148" s="1004"/>
      <c r="LG148" s="1004"/>
      <c r="LH148" s="1004"/>
      <c r="LI148" s="1004"/>
      <c r="LJ148" s="1004"/>
      <c r="LK148" s="1004"/>
      <c r="LL148" s="1004"/>
      <c r="LM148" s="1004"/>
      <c r="LN148" s="1004"/>
      <c r="LO148" s="1004"/>
      <c r="LP148" s="1004"/>
      <c r="LQ148" s="1004"/>
      <c r="LR148" s="1004"/>
      <c r="LS148" s="1004"/>
      <c r="LT148" s="1004"/>
      <c r="LU148" s="1004"/>
      <c r="LV148" s="1004"/>
      <c r="LW148" s="1004"/>
      <c r="LX148" s="1004"/>
      <c r="LY148" s="1004"/>
      <c r="LZ148" s="1004"/>
      <c r="MA148" s="1004"/>
      <c r="MB148" s="1004"/>
      <c r="MC148" s="1004"/>
      <c r="MD148" s="1004"/>
      <c r="ME148" s="1004"/>
      <c r="MF148" s="1004"/>
      <c r="MG148" s="1004"/>
      <c r="MH148" s="1004"/>
      <c r="MI148" s="1004"/>
      <c r="MJ148" s="1004"/>
      <c r="MK148" s="1004"/>
      <c r="ML148" s="1004"/>
      <c r="MM148" s="1004"/>
      <c r="MN148" s="1004"/>
      <c r="MO148" s="1004"/>
      <c r="MP148" s="1004"/>
      <c r="MQ148" s="1004"/>
      <c r="MR148" s="1004"/>
      <c r="MS148" s="1004"/>
      <c r="MT148" s="1004"/>
      <c r="MU148" s="1004"/>
      <c r="MV148" s="1004"/>
      <c r="MW148" s="1004"/>
      <c r="MX148" s="1004"/>
      <c r="MY148" s="1004"/>
      <c r="MZ148" s="1004"/>
      <c r="NA148" s="1004"/>
      <c r="NB148" s="1004"/>
      <c r="NC148" s="1004"/>
      <c r="ND148" s="1004"/>
      <c r="NE148" s="1004"/>
      <c r="NF148" s="1004"/>
      <c r="NG148" s="1004"/>
      <c r="NH148" s="1004"/>
      <c r="NI148" s="1004"/>
      <c r="NJ148" s="1004"/>
      <c r="NK148" s="1004"/>
      <c r="NL148" s="1004"/>
      <c r="NM148" s="1004"/>
      <c r="NN148" s="1004"/>
      <c r="NO148" s="1004"/>
      <c r="NP148" s="1004"/>
      <c r="NQ148" s="1004"/>
      <c r="NR148" s="1004"/>
      <c r="NS148" s="1004"/>
      <c r="NT148" s="1004"/>
      <c r="NU148" s="1004"/>
      <c r="NV148" s="1004"/>
      <c r="NW148" s="1004"/>
      <c r="NX148" s="1004"/>
      <c r="NY148" s="1004"/>
      <c r="NZ148" s="1004"/>
      <c r="OA148" s="1004"/>
      <c r="OB148" s="1004"/>
      <c r="OC148" s="1004"/>
      <c r="OD148" s="1004"/>
      <c r="OE148" s="1004"/>
      <c r="OF148" s="1004"/>
      <c r="OG148" s="1004"/>
      <c r="OH148" s="1004"/>
      <c r="OI148" s="1004"/>
      <c r="OJ148" s="1004"/>
      <c r="OK148" s="1004"/>
      <c r="OL148" s="1004"/>
      <c r="OM148" s="1004"/>
      <c r="ON148" s="1004"/>
      <c r="OO148" s="1004"/>
      <c r="OP148" s="1004"/>
      <c r="OQ148" s="1004"/>
      <c r="OR148" s="1004"/>
      <c r="OS148" s="1004"/>
      <c r="OT148" s="1004"/>
      <c r="OU148" s="1004"/>
      <c r="OV148" s="1004"/>
      <c r="OW148" s="1004"/>
      <c r="OX148" s="1004"/>
      <c r="OY148" s="1004"/>
      <c r="OZ148" s="1004"/>
      <c r="PA148" s="1004"/>
      <c r="PB148" s="1004"/>
      <c r="PC148" s="1004"/>
      <c r="PD148" s="1004"/>
      <c r="PE148" s="1004"/>
      <c r="PF148" s="1004"/>
      <c r="PG148" s="1004"/>
      <c r="PH148" s="1004"/>
      <c r="PI148" s="1004"/>
      <c r="PJ148" s="1004"/>
      <c r="PK148" s="1004"/>
      <c r="PL148" s="1004"/>
      <c r="PM148" s="1004"/>
      <c r="PN148" s="1004"/>
      <c r="PO148" s="1004"/>
      <c r="PP148" s="1004"/>
      <c r="PQ148" s="1004"/>
      <c r="PR148" s="1004"/>
      <c r="PS148" s="1004"/>
      <c r="PT148" s="1004"/>
      <c r="PU148" s="1004"/>
      <c r="PV148" s="1004"/>
      <c r="PW148" s="1004"/>
      <c r="PX148" s="1004"/>
      <c r="PY148" s="1004"/>
      <c r="PZ148" s="1004"/>
      <c r="QA148" s="1004"/>
      <c r="QB148" s="1004"/>
      <c r="QC148" s="1004"/>
      <c r="QD148" s="1004"/>
      <c r="QE148" s="1004"/>
      <c r="QF148" s="1004"/>
      <c r="QG148" s="1004"/>
      <c r="QH148" s="1004"/>
      <c r="QI148" s="1004"/>
      <c r="QJ148" s="1004"/>
      <c r="QK148" s="1004"/>
      <c r="QL148" s="1004"/>
      <c r="QM148" s="1004"/>
      <c r="QN148" s="1004"/>
      <c r="QO148" s="1004"/>
      <c r="QP148" s="1004"/>
      <c r="QQ148" s="1004"/>
      <c r="QR148" s="1004"/>
      <c r="QS148" s="1004"/>
      <c r="QT148" s="1004"/>
      <c r="QU148" s="1004"/>
      <c r="QV148" s="1004"/>
      <c r="QW148" s="1004"/>
      <c r="QX148" s="1004"/>
      <c r="QY148" s="1004"/>
      <c r="QZ148" s="1004"/>
      <c r="RA148" s="1004"/>
      <c r="RB148" s="1004"/>
      <c r="RC148" s="1004"/>
      <c r="RD148" s="1004"/>
      <c r="RE148" s="1004"/>
      <c r="RF148" s="1004"/>
      <c r="RG148" s="1004"/>
      <c r="RH148" s="1004"/>
      <c r="RI148" s="1004"/>
      <c r="RJ148" s="1004"/>
      <c r="RK148" s="1004"/>
      <c r="RL148" s="1004"/>
      <c r="RM148" s="1004"/>
      <c r="RN148" s="1004"/>
      <c r="RO148" s="1004"/>
      <c r="RP148" s="1004"/>
      <c r="RQ148" s="1004"/>
      <c r="RR148" s="1004"/>
      <c r="RS148" s="1004"/>
      <c r="RT148" s="1004"/>
      <c r="RU148" s="1004"/>
      <c r="RV148" s="1004"/>
      <c r="RW148" s="1004"/>
      <c r="RX148" s="1004"/>
      <c r="RY148" s="1004"/>
      <c r="RZ148" s="1004"/>
      <c r="SA148" s="1004"/>
      <c r="SB148" s="1004"/>
      <c r="SC148" s="1004"/>
      <c r="SD148" s="1004"/>
      <c r="SE148" s="1004"/>
      <c r="SF148" s="1004"/>
      <c r="SG148" s="1004"/>
      <c r="SH148" s="1004"/>
      <c r="SI148" s="1004"/>
      <c r="SJ148" s="1004"/>
      <c r="SK148" s="1004"/>
      <c r="SL148" s="1004"/>
      <c r="SM148" s="1004"/>
      <c r="SN148" s="1004"/>
      <c r="SO148" s="1004"/>
      <c r="SP148" s="1004"/>
      <c r="SQ148" s="1004"/>
      <c r="SR148" s="1004"/>
      <c r="SS148" s="1004"/>
      <c r="ST148" s="1004"/>
      <c r="SU148" s="1004"/>
      <c r="SV148" s="1004"/>
      <c r="SW148" s="1004"/>
      <c r="SX148" s="1004"/>
      <c r="SY148" s="1004"/>
      <c r="SZ148" s="1004"/>
      <c r="TA148" s="1004"/>
      <c r="TB148" s="1004"/>
      <c r="TC148" s="1004"/>
      <c r="TD148" s="1004"/>
      <c r="TE148" s="1004"/>
      <c r="TF148" s="1004"/>
      <c r="TG148" s="1004"/>
      <c r="TH148" s="1004"/>
      <c r="TI148" s="1004"/>
      <c r="TJ148" s="1004"/>
      <c r="TK148" s="1004"/>
      <c r="TL148" s="1004"/>
      <c r="TM148" s="1004"/>
      <c r="TN148" s="1004"/>
      <c r="TO148" s="1004"/>
      <c r="TP148" s="1004"/>
      <c r="TQ148" s="1004"/>
      <c r="TR148" s="1004"/>
      <c r="TS148" s="1004"/>
      <c r="TT148" s="1004"/>
      <c r="TU148" s="1004"/>
      <c r="TV148" s="1004"/>
      <c r="TW148" s="1004"/>
      <c r="TX148" s="1004"/>
      <c r="TY148" s="1004"/>
      <c r="TZ148" s="1004"/>
      <c r="UA148" s="1004"/>
      <c r="UB148" s="1004"/>
      <c r="UC148" s="1004"/>
      <c r="UD148" s="1004"/>
      <c r="UE148" s="1004"/>
      <c r="UF148" s="1004"/>
      <c r="UG148" s="1004"/>
      <c r="UH148" s="1004"/>
      <c r="UI148" s="1004"/>
      <c r="UJ148" s="1004"/>
      <c r="UK148" s="1004"/>
      <c r="UL148" s="1004"/>
      <c r="UM148" s="1004"/>
      <c r="UN148" s="1004"/>
      <c r="UO148" s="1004"/>
      <c r="UP148" s="1004"/>
      <c r="UQ148" s="1004"/>
      <c r="UR148" s="1004"/>
      <c r="US148" s="1004"/>
      <c r="UT148" s="1004"/>
      <c r="UU148" s="1004"/>
      <c r="UV148" s="1004"/>
      <c r="UW148" s="1004"/>
      <c r="UX148" s="1004"/>
      <c r="UY148" s="1004"/>
      <c r="UZ148" s="1004"/>
      <c r="VA148" s="1004"/>
      <c r="VB148" s="1004"/>
      <c r="VC148" s="1004"/>
      <c r="VD148" s="1004"/>
      <c r="VE148" s="1004"/>
      <c r="VF148" s="1004"/>
      <c r="VG148" s="1004"/>
      <c r="VH148" s="1004"/>
      <c r="VI148" s="1004"/>
      <c r="VJ148" s="1004"/>
      <c r="VK148" s="1004"/>
      <c r="VL148" s="1004"/>
      <c r="VM148" s="1004"/>
      <c r="VN148" s="1004"/>
      <c r="VO148" s="1004"/>
      <c r="VP148" s="1004"/>
      <c r="VQ148" s="1004"/>
      <c r="VR148" s="1004"/>
      <c r="VS148" s="1004"/>
      <c r="VT148" s="1004"/>
      <c r="VU148" s="1004"/>
      <c r="VV148" s="1004"/>
      <c r="VW148" s="1004"/>
      <c r="VX148" s="1004"/>
      <c r="VY148" s="1004"/>
      <c r="VZ148" s="1004"/>
      <c r="WA148" s="1004"/>
      <c r="WB148" s="1004"/>
      <c r="WC148" s="1004"/>
      <c r="WD148" s="1004"/>
      <c r="WE148" s="1004"/>
      <c r="WF148" s="1004"/>
      <c r="WG148" s="1004"/>
      <c r="WH148" s="1004"/>
      <c r="WI148" s="1004"/>
      <c r="WJ148" s="1004"/>
      <c r="WK148" s="1004"/>
      <c r="WL148" s="1004"/>
      <c r="WM148" s="1004"/>
      <c r="WN148" s="1004"/>
      <c r="WO148" s="1004"/>
      <c r="WP148" s="1004"/>
      <c r="WQ148" s="1004"/>
      <c r="WR148" s="1004"/>
      <c r="WS148" s="1004"/>
      <c r="WT148" s="1004"/>
      <c r="WU148" s="1004"/>
      <c r="WV148" s="1004"/>
      <c r="WW148" s="1004"/>
      <c r="WX148" s="1004"/>
      <c r="WY148" s="1004"/>
      <c r="WZ148" s="1004"/>
      <c r="XA148" s="1004"/>
      <c r="XB148" s="1004"/>
      <c r="XC148" s="1004"/>
      <c r="XD148" s="1004"/>
      <c r="XE148" s="1004"/>
      <c r="XF148" s="1004"/>
      <c r="XG148" s="1004"/>
      <c r="XH148" s="1004"/>
      <c r="XI148" s="1004"/>
      <c r="XJ148" s="1004"/>
      <c r="XK148" s="1004"/>
      <c r="XL148" s="1004"/>
      <c r="XM148" s="1004"/>
      <c r="XN148" s="1004"/>
      <c r="XO148" s="1004"/>
      <c r="XP148" s="1004"/>
      <c r="XQ148" s="1004"/>
      <c r="XR148" s="1004"/>
      <c r="XS148" s="1004"/>
      <c r="XT148" s="1004"/>
      <c r="XU148" s="1004"/>
      <c r="XV148" s="1004"/>
      <c r="XW148" s="1004"/>
      <c r="XX148" s="1004"/>
      <c r="XY148" s="1004"/>
      <c r="XZ148" s="1004"/>
      <c r="YA148" s="1004"/>
      <c r="YB148" s="1004"/>
      <c r="YC148" s="1004"/>
      <c r="YD148" s="1004"/>
      <c r="YE148" s="1004"/>
      <c r="YF148" s="1004"/>
      <c r="YG148" s="1004"/>
      <c r="YH148" s="1004"/>
      <c r="YI148" s="1004"/>
      <c r="YJ148" s="1004"/>
      <c r="YK148" s="1004"/>
      <c r="YL148" s="1004"/>
      <c r="YM148" s="1004"/>
      <c r="YN148" s="1004"/>
      <c r="YO148" s="1004"/>
      <c r="YP148" s="1004"/>
      <c r="YQ148" s="1004"/>
      <c r="YR148" s="1004"/>
      <c r="YS148" s="1004"/>
      <c r="YT148" s="1004"/>
      <c r="YU148" s="1004"/>
      <c r="YV148" s="1004"/>
      <c r="YW148" s="1004"/>
      <c r="YX148" s="1004"/>
      <c r="YY148" s="1004"/>
      <c r="YZ148" s="1004"/>
      <c r="ZA148" s="1004"/>
      <c r="ZB148" s="1004"/>
      <c r="ZC148" s="1004"/>
      <c r="ZD148" s="1004"/>
      <c r="ZE148" s="1004"/>
      <c r="ZF148" s="1004"/>
      <c r="ZG148" s="1004"/>
      <c r="ZH148" s="1004"/>
      <c r="ZI148" s="1004"/>
      <c r="ZJ148" s="1004"/>
      <c r="ZK148" s="1004"/>
      <c r="ZL148" s="1004"/>
      <c r="ZM148" s="1004"/>
      <c r="ZN148" s="1004"/>
      <c r="ZO148" s="1004"/>
      <c r="ZP148" s="1004"/>
      <c r="ZQ148" s="1004"/>
      <c r="ZR148" s="1004"/>
      <c r="ZS148" s="1004"/>
      <c r="ZT148" s="1004"/>
      <c r="ZU148" s="1004"/>
      <c r="ZV148" s="1004"/>
      <c r="ZW148" s="1004"/>
      <c r="ZX148" s="1004"/>
      <c r="ZY148" s="1004"/>
      <c r="ZZ148" s="1004"/>
      <c r="AAA148" s="1004"/>
      <c r="AAB148" s="1004"/>
      <c r="AAC148" s="1004"/>
      <c r="AAD148" s="1004"/>
      <c r="AAE148" s="1004"/>
      <c r="AAF148" s="1004"/>
      <c r="AAG148" s="1004"/>
      <c r="AAH148" s="1004"/>
      <c r="AAI148" s="1004"/>
      <c r="AAJ148" s="1004"/>
      <c r="AAK148" s="1004"/>
      <c r="AAL148" s="1004"/>
      <c r="AAM148" s="1004"/>
      <c r="AAN148" s="1004"/>
      <c r="AAO148" s="1004"/>
      <c r="AAP148" s="1004"/>
      <c r="AAQ148" s="1004"/>
      <c r="AAR148" s="1004"/>
      <c r="AAS148" s="1004"/>
      <c r="AAT148" s="1004"/>
      <c r="AAU148" s="1004"/>
      <c r="AAV148" s="1004"/>
      <c r="AAW148" s="1004"/>
      <c r="AAX148" s="1004"/>
      <c r="AAY148" s="1004"/>
      <c r="AAZ148" s="1004"/>
      <c r="ABA148" s="1004"/>
      <c r="ABB148" s="1004"/>
      <c r="ABC148" s="1004"/>
      <c r="ABD148" s="1004"/>
      <c r="ABE148" s="1004"/>
      <c r="ABF148" s="1004"/>
      <c r="ABG148" s="1004"/>
      <c r="ABH148" s="1004"/>
      <c r="ABI148" s="1004"/>
      <c r="ABJ148" s="1004"/>
      <c r="ABK148" s="1004"/>
      <c r="ABL148" s="1004"/>
      <c r="ABM148" s="1004"/>
      <c r="ABN148" s="1004"/>
      <c r="ABO148" s="1004"/>
      <c r="ABP148" s="1004"/>
      <c r="ABQ148" s="1004"/>
      <c r="ABR148" s="1004"/>
    </row>
    <row r="149" spans="1:746" s="112" customFormat="1" ht="12" hidden="1" customHeight="1" thickBot="1">
      <c r="A149" s="2348"/>
      <c r="B149" s="354" t="s">
        <v>1280</v>
      </c>
      <c r="C149" s="2358"/>
      <c r="D149" s="134"/>
      <c r="E149" s="347" t="s">
        <v>1</v>
      </c>
      <c r="F149" s="1240"/>
      <c r="G149" s="347">
        <v>0.25</v>
      </c>
      <c r="H149" s="597"/>
      <c r="I149" s="2364"/>
      <c r="J149" s="2192"/>
      <c r="K149" s="2192"/>
      <c r="L149" s="2192"/>
      <c r="M149" s="2192"/>
      <c r="N149" s="2192"/>
      <c r="O149" s="2192"/>
      <c r="P149" s="2192"/>
      <c r="Q149" s="2192"/>
      <c r="R149" s="2192"/>
      <c r="S149" s="2192"/>
      <c r="T149" s="368"/>
      <c r="U149" s="368"/>
      <c r="V149" s="368"/>
      <c r="W149" s="368"/>
      <c r="X149" s="368"/>
      <c r="Y149" s="368"/>
      <c r="Z149" s="368"/>
      <c r="AA149" s="368"/>
      <c r="AB149" s="368"/>
      <c r="AC149" s="368"/>
      <c r="AD149" s="368"/>
      <c r="AE149" s="368"/>
      <c r="AF149" s="1966"/>
      <c r="AG149" s="1042"/>
      <c r="AH149" s="2229">
        <v>0.2</v>
      </c>
      <c r="AI149" s="1817"/>
      <c r="AJ149" s="1956">
        <f>IF(fx!$C$57=1,SUMIF(fx!I$57:T$57,1,I149:T149),IF(fx!$C$57=2,SUMIF(fx!O$57:AF$57,1,O149:AF149)))</f>
        <v>0</v>
      </c>
      <c r="AK149" s="328"/>
      <c r="AL149" s="902">
        <f>IF(fx!$C$57=1,SUM(U149:AF149),0)</f>
        <v>0</v>
      </c>
      <c r="AM149" s="1005"/>
      <c r="AN149" s="1024"/>
      <c r="AO149" s="1945"/>
      <c r="AP149" s="1935"/>
      <c r="AQ149" s="1936"/>
      <c r="AR149" s="2236"/>
      <c r="AS149" s="2236"/>
      <c r="AT149" s="2236"/>
      <c r="AU149" s="2236"/>
      <c r="AV149" s="2236"/>
      <c r="AW149" s="2236"/>
      <c r="AX149" s="2236"/>
      <c r="AY149" s="2236"/>
      <c r="AZ149" s="2236"/>
      <c r="BA149" s="2236"/>
      <c r="BB149" s="2236"/>
      <c r="BC149" s="2236"/>
      <c r="BD149" s="2236"/>
      <c r="BE149" s="2236"/>
      <c r="BF149" s="2236"/>
      <c r="BG149" s="2236"/>
      <c r="BH149" s="2236"/>
      <c r="BI149" s="2236"/>
      <c r="BJ149" s="2236"/>
      <c r="BK149" s="2236"/>
      <c r="BL149" s="2236"/>
      <c r="BM149" s="2236"/>
      <c r="BN149" s="2236"/>
      <c r="BO149" s="2236"/>
      <c r="BP149" s="1004"/>
      <c r="BQ149" s="1004"/>
      <c r="BR149" s="1004"/>
      <c r="BS149" s="1004"/>
      <c r="BT149" s="1004"/>
      <c r="BU149" s="1004"/>
      <c r="BV149" s="1004"/>
      <c r="BW149" s="1004"/>
      <c r="BX149" s="1004"/>
      <c r="BY149" s="1004"/>
      <c r="BZ149" s="1004"/>
      <c r="CA149" s="1004"/>
      <c r="CB149" s="1004"/>
      <c r="CC149" s="1004"/>
      <c r="CD149" s="1004"/>
      <c r="CE149" s="1004"/>
      <c r="CF149" s="1004"/>
      <c r="CG149" s="1004"/>
      <c r="CH149" s="1004"/>
      <c r="CI149" s="1004"/>
      <c r="CJ149" s="1004"/>
      <c r="CK149" s="1004"/>
      <c r="CL149" s="1004"/>
      <c r="CM149" s="1004"/>
      <c r="CN149" s="1004"/>
      <c r="CO149" s="1004"/>
      <c r="CP149" s="1004"/>
      <c r="CQ149" s="1004"/>
      <c r="CR149" s="1004"/>
      <c r="CS149" s="1004"/>
      <c r="CT149" s="1004"/>
      <c r="CU149" s="1004"/>
      <c r="CV149" s="1004"/>
      <c r="CW149" s="1004"/>
      <c r="CX149" s="1004"/>
      <c r="CY149" s="1004"/>
      <c r="CZ149" s="1004"/>
      <c r="DA149" s="1004"/>
      <c r="DB149" s="1004"/>
      <c r="DC149" s="1004"/>
      <c r="DD149" s="1004"/>
      <c r="DE149" s="1004"/>
      <c r="DF149" s="1004"/>
      <c r="DG149" s="1004"/>
      <c r="DH149" s="1004"/>
      <c r="DI149" s="1004"/>
      <c r="DJ149" s="1004"/>
      <c r="DK149" s="1004"/>
      <c r="DL149" s="1004"/>
      <c r="DM149" s="1004"/>
      <c r="DN149" s="1004"/>
      <c r="DO149" s="1004"/>
      <c r="DP149" s="1004"/>
      <c r="DQ149" s="1004"/>
      <c r="DR149" s="1004"/>
      <c r="DS149" s="1004"/>
      <c r="DT149" s="1004"/>
      <c r="DU149" s="1004"/>
      <c r="DV149" s="1004"/>
      <c r="DW149" s="1004"/>
      <c r="DX149" s="1004"/>
      <c r="DY149" s="1004"/>
      <c r="DZ149" s="1004"/>
      <c r="EA149" s="1004"/>
      <c r="EB149" s="1004"/>
      <c r="EC149" s="1004"/>
      <c r="ED149" s="1004"/>
      <c r="EE149" s="1004"/>
      <c r="EF149" s="1004"/>
      <c r="EG149" s="1004"/>
      <c r="EH149" s="1004"/>
      <c r="EI149" s="1004"/>
      <c r="EJ149" s="1004"/>
      <c r="EK149" s="1004"/>
      <c r="EL149" s="1004"/>
      <c r="EM149" s="1004"/>
      <c r="EN149" s="1004"/>
      <c r="EO149" s="1004"/>
      <c r="EP149" s="1004"/>
      <c r="EQ149" s="1004"/>
      <c r="ER149" s="1004"/>
      <c r="ES149" s="1004"/>
      <c r="ET149" s="1004"/>
      <c r="EU149" s="1004"/>
      <c r="EV149" s="1004"/>
      <c r="EW149" s="1004"/>
      <c r="EX149" s="1004"/>
      <c r="EY149" s="1004"/>
      <c r="EZ149" s="1004"/>
      <c r="FA149" s="1004"/>
      <c r="FB149" s="1004"/>
      <c r="FC149" s="1004"/>
      <c r="FD149" s="1004"/>
      <c r="FE149" s="1004"/>
      <c r="FF149" s="1004"/>
      <c r="FG149" s="1004"/>
      <c r="FH149" s="1004"/>
      <c r="FI149" s="1004"/>
      <c r="FJ149" s="1004"/>
      <c r="FK149" s="1004"/>
      <c r="FL149" s="1004"/>
      <c r="FM149" s="1004"/>
      <c r="FN149" s="1004"/>
      <c r="FO149" s="1004"/>
      <c r="FP149" s="1004"/>
      <c r="FQ149" s="1004"/>
      <c r="FR149" s="1004"/>
      <c r="FS149" s="1004"/>
      <c r="FT149" s="1004"/>
      <c r="FU149" s="1004"/>
      <c r="FV149" s="1004"/>
      <c r="FW149" s="1004"/>
      <c r="FX149" s="1004"/>
      <c r="FY149" s="1004"/>
      <c r="FZ149" s="1004"/>
      <c r="GA149" s="1004"/>
      <c r="GB149" s="1004"/>
      <c r="GC149" s="1004"/>
      <c r="GD149" s="1004"/>
      <c r="GE149" s="1004"/>
      <c r="GF149" s="1004"/>
      <c r="GG149" s="1004"/>
      <c r="GH149" s="1004"/>
      <c r="GI149" s="1004"/>
      <c r="GJ149" s="1004"/>
      <c r="GK149" s="1004"/>
      <c r="GL149" s="1004"/>
      <c r="GM149" s="1004"/>
      <c r="GN149" s="1004"/>
      <c r="GO149" s="1004"/>
      <c r="GP149" s="1004"/>
      <c r="GQ149" s="1004"/>
      <c r="GR149" s="1004"/>
      <c r="GS149" s="1004"/>
      <c r="GT149" s="1004"/>
      <c r="GU149" s="1004"/>
      <c r="GV149" s="1004"/>
      <c r="GW149" s="1004"/>
      <c r="GX149" s="1004"/>
      <c r="GY149" s="1004"/>
      <c r="GZ149" s="1004"/>
      <c r="HA149" s="1004"/>
      <c r="HB149" s="1004"/>
      <c r="HC149" s="1004"/>
      <c r="HD149" s="1004"/>
      <c r="HE149" s="1004"/>
      <c r="HF149" s="1004"/>
      <c r="HG149" s="1004"/>
      <c r="HH149" s="1004"/>
      <c r="HI149" s="1004"/>
      <c r="HJ149" s="1004"/>
      <c r="HK149" s="1004"/>
      <c r="HL149" s="1004"/>
      <c r="HM149" s="1004"/>
      <c r="HN149" s="1004"/>
      <c r="HO149" s="1004"/>
      <c r="HP149" s="1004"/>
      <c r="HQ149" s="1004"/>
      <c r="HR149" s="1004"/>
      <c r="HS149" s="1004"/>
      <c r="HT149" s="1004"/>
      <c r="HU149" s="1004"/>
      <c r="HV149" s="1004"/>
      <c r="HW149" s="1004"/>
      <c r="HX149" s="1004"/>
      <c r="HY149" s="1004"/>
      <c r="HZ149" s="1004"/>
      <c r="IA149" s="1004"/>
      <c r="IB149" s="1004"/>
      <c r="IC149" s="1004"/>
      <c r="ID149" s="1004"/>
      <c r="IE149" s="1004"/>
      <c r="IF149" s="1004"/>
      <c r="IG149" s="1004"/>
      <c r="IH149" s="1004"/>
      <c r="II149" s="1004"/>
      <c r="IJ149" s="1004"/>
      <c r="IK149" s="1004"/>
      <c r="IL149" s="1004"/>
      <c r="IM149" s="1004"/>
      <c r="IN149" s="1004"/>
      <c r="IO149" s="1004"/>
      <c r="IP149" s="1004"/>
      <c r="IQ149" s="1004"/>
      <c r="IR149" s="1004"/>
      <c r="IS149" s="1004"/>
      <c r="IT149" s="1004"/>
      <c r="IU149" s="1004"/>
      <c r="IV149" s="1004"/>
      <c r="IW149" s="1004"/>
      <c r="IX149" s="1004"/>
      <c r="IY149" s="1004"/>
      <c r="IZ149" s="1004"/>
      <c r="JA149" s="1004"/>
      <c r="JB149" s="1004"/>
      <c r="JC149" s="1004"/>
      <c r="JD149" s="1004"/>
      <c r="JE149" s="1004"/>
      <c r="JF149" s="1004"/>
      <c r="JG149" s="1004"/>
      <c r="JH149" s="1004"/>
      <c r="JI149" s="1004"/>
      <c r="JJ149" s="1004"/>
      <c r="JK149" s="1004"/>
      <c r="JL149" s="1004"/>
      <c r="JM149" s="1004"/>
      <c r="JN149" s="1004"/>
      <c r="JO149" s="1004"/>
      <c r="JP149" s="1004"/>
      <c r="JQ149" s="1004"/>
      <c r="JR149" s="1004"/>
      <c r="JS149" s="1004"/>
      <c r="JT149" s="1004"/>
      <c r="JU149" s="1004"/>
      <c r="JV149" s="1004"/>
      <c r="JW149" s="1004"/>
      <c r="JX149" s="1004"/>
      <c r="JY149" s="1004"/>
      <c r="JZ149" s="1004"/>
      <c r="KA149" s="1004"/>
      <c r="KB149" s="1004"/>
      <c r="KC149" s="1004"/>
      <c r="KD149" s="1004"/>
      <c r="KE149" s="1004"/>
      <c r="KF149" s="1004"/>
      <c r="KG149" s="1004"/>
      <c r="KH149" s="1004"/>
      <c r="KI149" s="1004"/>
      <c r="KJ149" s="1004"/>
      <c r="KK149" s="1004"/>
      <c r="KL149" s="1004"/>
      <c r="KM149" s="1004"/>
      <c r="KN149" s="1004"/>
      <c r="KO149" s="1004"/>
      <c r="KP149" s="1004"/>
      <c r="KQ149" s="1004"/>
      <c r="KR149" s="1004"/>
      <c r="KS149" s="1004"/>
      <c r="KT149" s="1004"/>
      <c r="KU149" s="1004"/>
      <c r="KV149" s="1004"/>
      <c r="KW149" s="1004"/>
      <c r="KX149" s="1004"/>
      <c r="KY149" s="1004"/>
      <c r="KZ149" s="1004"/>
      <c r="LA149" s="1004"/>
      <c r="LB149" s="1004"/>
      <c r="LC149" s="1004"/>
      <c r="LD149" s="1004"/>
      <c r="LE149" s="1004"/>
      <c r="LF149" s="1004"/>
      <c r="LG149" s="1004"/>
      <c r="LH149" s="1004"/>
      <c r="LI149" s="1004"/>
      <c r="LJ149" s="1004"/>
      <c r="LK149" s="1004"/>
      <c r="LL149" s="1004"/>
      <c r="LM149" s="1004"/>
      <c r="LN149" s="1004"/>
      <c r="LO149" s="1004"/>
      <c r="LP149" s="1004"/>
      <c r="LQ149" s="1004"/>
      <c r="LR149" s="1004"/>
      <c r="LS149" s="1004"/>
      <c r="LT149" s="1004"/>
      <c r="LU149" s="1004"/>
      <c r="LV149" s="1004"/>
      <c r="LW149" s="1004"/>
      <c r="LX149" s="1004"/>
      <c r="LY149" s="1004"/>
      <c r="LZ149" s="1004"/>
      <c r="MA149" s="1004"/>
      <c r="MB149" s="1004"/>
      <c r="MC149" s="1004"/>
      <c r="MD149" s="1004"/>
      <c r="ME149" s="1004"/>
      <c r="MF149" s="1004"/>
      <c r="MG149" s="1004"/>
      <c r="MH149" s="1004"/>
      <c r="MI149" s="1004"/>
      <c r="MJ149" s="1004"/>
      <c r="MK149" s="1004"/>
      <c r="ML149" s="1004"/>
      <c r="MM149" s="1004"/>
      <c r="MN149" s="1004"/>
      <c r="MO149" s="1004"/>
      <c r="MP149" s="1004"/>
      <c r="MQ149" s="1004"/>
      <c r="MR149" s="1004"/>
      <c r="MS149" s="1004"/>
      <c r="MT149" s="1004"/>
      <c r="MU149" s="1004"/>
      <c r="MV149" s="1004"/>
      <c r="MW149" s="1004"/>
      <c r="MX149" s="1004"/>
      <c r="MY149" s="1004"/>
      <c r="MZ149" s="1004"/>
      <c r="NA149" s="1004"/>
      <c r="NB149" s="1004"/>
      <c r="NC149" s="1004"/>
      <c r="ND149" s="1004"/>
      <c r="NE149" s="1004"/>
      <c r="NF149" s="1004"/>
      <c r="NG149" s="1004"/>
      <c r="NH149" s="1004"/>
      <c r="NI149" s="1004"/>
      <c r="NJ149" s="1004"/>
      <c r="NK149" s="1004"/>
      <c r="NL149" s="1004"/>
      <c r="NM149" s="1004"/>
      <c r="NN149" s="1004"/>
      <c r="NO149" s="1004"/>
      <c r="NP149" s="1004"/>
      <c r="NQ149" s="1004"/>
      <c r="NR149" s="1004"/>
      <c r="NS149" s="1004"/>
      <c r="NT149" s="1004"/>
      <c r="NU149" s="1004"/>
      <c r="NV149" s="1004"/>
      <c r="NW149" s="1004"/>
      <c r="NX149" s="1004"/>
      <c r="NY149" s="1004"/>
      <c r="NZ149" s="1004"/>
      <c r="OA149" s="1004"/>
      <c r="OB149" s="1004"/>
      <c r="OC149" s="1004"/>
      <c r="OD149" s="1004"/>
      <c r="OE149" s="1004"/>
      <c r="OF149" s="1004"/>
      <c r="OG149" s="1004"/>
      <c r="OH149" s="1004"/>
      <c r="OI149" s="1004"/>
      <c r="OJ149" s="1004"/>
      <c r="OK149" s="1004"/>
      <c r="OL149" s="1004"/>
      <c r="OM149" s="1004"/>
      <c r="ON149" s="1004"/>
      <c r="OO149" s="1004"/>
      <c r="OP149" s="1004"/>
      <c r="OQ149" s="1004"/>
      <c r="OR149" s="1004"/>
      <c r="OS149" s="1004"/>
      <c r="OT149" s="1004"/>
      <c r="OU149" s="1004"/>
      <c r="OV149" s="1004"/>
      <c r="OW149" s="1004"/>
      <c r="OX149" s="1004"/>
      <c r="OY149" s="1004"/>
      <c r="OZ149" s="1004"/>
      <c r="PA149" s="1004"/>
      <c r="PB149" s="1004"/>
      <c r="PC149" s="1004"/>
      <c r="PD149" s="1004"/>
      <c r="PE149" s="1004"/>
      <c r="PF149" s="1004"/>
      <c r="PG149" s="1004"/>
      <c r="PH149" s="1004"/>
      <c r="PI149" s="1004"/>
      <c r="PJ149" s="1004"/>
      <c r="PK149" s="1004"/>
      <c r="PL149" s="1004"/>
      <c r="PM149" s="1004"/>
      <c r="PN149" s="1004"/>
      <c r="PO149" s="1004"/>
      <c r="PP149" s="1004"/>
      <c r="PQ149" s="1004"/>
      <c r="PR149" s="1004"/>
      <c r="PS149" s="1004"/>
      <c r="PT149" s="1004"/>
      <c r="PU149" s="1004"/>
      <c r="PV149" s="1004"/>
      <c r="PW149" s="1004"/>
      <c r="PX149" s="1004"/>
      <c r="PY149" s="1004"/>
      <c r="PZ149" s="1004"/>
      <c r="QA149" s="1004"/>
      <c r="QB149" s="1004"/>
      <c r="QC149" s="1004"/>
      <c r="QD149" s="1004"/>
      <c r="QE149" s="1004"/>
      <c r="QF149" s="1004"/>
      <c r="QG149" s="1004"/>
      <c r="QH149" s="1004"/>
      <c r="QI149" s="1004"/>
      <c r="QJ149" s="1004"/>
      <c r="QK149" s="1004"/>
      <c r="QL149" s="1004"/>
      <c r="QM149" s="1004"/>
      <c r="QN149" s="1004"/>
      <c r="QO149" s="1004"/>
      <c r="QP149" s="1004"/>
      <c r="QQ149" s="1004"/>
      <c r="QR149" s="1004"/>
      <c r="QS149" s="1004"/>
      <c r="QT149" s="1004"/>
      <c r="QU149" s="1004"/>
      <c r="QV149" s="1004"/>
      <c r="QW149" s="1004"/>
      <c r="QX149" s="1004"/>
      <c r="QY149" s="1004"/>
      <c r="QZ149" s="1004"/>
      <c r="RA149" s="1004"/>
      <c r="RB149" s="1004"/>
      <c r="RC149" s="1004"/>
      <c r="RD149" s="1004"/>
      <c r="RE149" s="1004"/>
      <c r="RF149" s="1004"/>
      <c r="RG149" s="1004"/>
      <c r="RH149" s="1004"/>
      <c r="RI149" s="1004"/>
      <c r="RJ149" s="1004"/>
      <c r="RK149" s="1004"/>
      <c r="RL149" s="1004"/>
      <c r="RM149" s="1004"/>
      <c r="RN149" s="1004"/>
      <c r="RO149" s="1004"/>
      <c r="RP149" s="1004"/>
      <c r="RQ149" s="1004"/>
      <c r="RR149" s="1004"/>
      <c r="RS149" s="1004"/>
      <c r="RT149" s="1004"/>
      <c r="RU149" s="1004"/>
      <c r="RV149" s="1004"/>
      <c r="RW149" s="1004"/>
      <c r="RX149" s="1004"/>
      <c r="RY149" s="1004"/>
      <c r="RZ149" s="1004"/>
      <c r="SA149" s="1004"/>
      <c r="SB149" s="1004"/>
      <c r="SC149" s="1004"/>
      <c r="SD149" s="1004"/>
      <c r="SE149" s="1004"/>
      <c r="SF149" s="1004"/>
      <c r="SG149" s="1004"/>
      <c r="SH149" s="1004"/>
      <c r="SI149" s="1004"/>
      <c r="SJ149" s="1004"/>
      <c r="SK149" s="1004"/>
      <c r="SL149" s="1004"/>
      <c r="SM149" s="1004"/>
      <c r="SN149" s="1004"/>
      <c r="SO149" s="1004"/>
      <c r="SP149" s="1004"/>
      <c r="SQ149" s="1004"/>
      <c r="SR149" s="1004"/>
      <c r="SS149" s="1004"/>
      <c r="ST149" s="1004"/>
      <c r="SU149" s="1004"/>
      <c r="SV149" s="1004"/>
      <c r="SW149" s="1004"/>
      <c r="SX149" s="1004"/>
      <c r="SY149" s="1004"/>
      <c r="SZ149" s="1004"/>
      <c r="TA149" s="1004"/>
      <c r="TB149" s="1004"/>
      <c r="TC149" s="1004"/>
      <c r="TD149" s="1004"/>
      <c r="TE149" s="1004"/>
      <c r="TF149" s="1004"/>
      <c r="TG149" s="1004"/>
      <c r="TH149" s="1004"/>
      <c r="TI149" s="1004"/>
      <c r="TJ149" s="1004"/>
      <c r="TK149" s="1004"/>
      <c r="TL149" s="1004"/>
      <c r="TM149" s="1004"/>
      <c r="TN149" s="1004"/>
      <c r="TO149" s="1004"/>
      <c r="TP149" s="1004"/>
      <c r="TQ149" s="1004"/>
      <c r="TR149" s="1004"/>
      <c r="TS149" s="1004"/>
      <c r="TT149" s="1004"/>
      <c r="TU149" s="1004"/>
      <c r="TV149" s="1004"/>
      <c r="TW149" s="1004"/>
      <c r="TX149" s="1004"/>
      <c r="TY149" s="1004"/>
      <c r="TZ149" s="1004"/>
      <c r="UA149" s="1004"/>
      <c r="UB149" s="1004"/>
      <c r="UC149" s="1004"/>
      <c r="UD149" s="1004"/>
      <c r="UE149" s="1004"/>
      <c r="UF149" s="1004"/>
      <c r="UG149" s="1004"/>
      <c r="UH149" s="1004"/>
      <c r="UI149" s="1004"/>
      <c r="UJ149" s="1004"/>
      <c r="UK149" s="1004"/>
      <c r="UL149" s="1004"/>
      <c r="UM149" s="1004"/>
      <c r="UN149" s="1004"/>
      <c r="UO149" s="1004"/>
      <c r="UP149" s="1004"/>
      <c r="UQ149" s="1004"/>
      <c r="UR149" s="1004"/>
      <c r="US149" s="1004"/>
      <c r="UT149" s="1004"/>
      <c r="UU149" s="1004"/>
      <c r="UV149" s="1004"/>
      <c r="UW149" s="1004"/>
      <c r="UX149" s="1004"/>
      <c r="UY149" s="1004"/>
      <c r="UZ149" s="1004"/>
      <c r="VA149" s="1004"/>
      <c r="VB149" s="1004"/>
      <c r="VC149" s="1004"/>
      <c r="VD149" s="1004"/>
      <c r="VE149" s="1004"/>
      <c r="VF149" s="1004"/>
      <c r="VG149" s="1004"/>
      <c r="VH149" s="1004"/>
      <c r="VI149" s="1004"/>
      <c r="VJ149" s="1004"/>
      <c r="VK149" s="1004"/>
      <c r="VL149" s="1004"/>
      <c r="VM149" s="1004"/>
      <c r="VN149" s="1004"/>
      <c r="VO149" s="1004"/>
      <c r="VP149" s="1004"/>
      <c r="VQ149" s="1004"/>
      <c r="VR149" s="1004"/>
      <c r="VS149" s="1004"/>
      <c r="VT149" s="1004"/>
      <c r="VU149" s="1004"/>
      <c r="VV149" s="1004"/>
      <c r="VW149" s="1004"/>
      <c r="VX149" s="1004"/>
      <c r="VY149" s="1004"/>
      <c r="VZ149" s="1004"/>
      <c r="WA149" s="1004"/>
      <c r="WB149" s="1004"/>
      <c r="WC149" s="1004"/>
      <c r="WD149" s="1004"/>
      <c r="WE149" s="1004"/>
      <c r="WF149" s="1004"/>
      <c r="WG149" s="1004"/>
      <c r="WH149" s="1004"/>
      <c r="WI149" s="1004"/>
      <c r="WJ149" s="1004"/>
      <c r="WK149" s="1004"/>
      <c r="WL149" s="1004"/>
      <c r="WM149" s="1004"/>
      <c r="WN149" s="1004"/>
      <c r="WO149" s="1004"/>
      <c r="WP149" s="1004"/>
      <c r="WQ149" s="1004"/>
      <c r="WR149" s="1004"/>
      <c r="WS149" s="1004"/>
      <c r="WT149" s="1004"/>
      <c r="WU149" s="1004"/>
      <c r="WV149" s="1004"/>
      <c r="WW149" s="1004"/>
      <c r="WX149" s="1004"/>
      <c r="WY149" s="1004"/>
      <c r="WZ149" s="1004"/>
      <c r="XA149" s="1004"/>
      <c r="XB149" s="1004"/>
      <c r="XC149" s="1004"/>
      <c r="XD149" s="1004"/>
      <c r="XE149" s="1004"/>
      <c r="XF149" s="1004"/>
      <c r="XG149" s="1004"/>
      <c r="XH149" s="1004"/>
      <c r="XI149" s="1004"/>
      <c r="XJ149" s="1004"/>
      <c r="XK149" s="1004"/>
      <c r="XL149" s="1004"/>
      <c r="XM149" s="1004"/>
      <c r="XN149" s="1004"/>
      <c r="XO149" s="1004"/>
      <c r="XP149" s="1004"/>
      <c r="XQ149" s="1004"/>
      <c r="XR149" s="1004"/>
      <c r="XS149" s="1004"/>
      <c r="XT149" s="1004"/>
      <c r="XU149" s="1004"/>
      <c r="XV149" s="1004"/>
      <c r="XW149" s="1004"/>
      <c r="XX149" s="1004"/>
      <c r="XY149" s="1004"/>
      <c r="XZ149" s="1004"/>
      <c r="YA149" s="1004"/>
      <c r="YB149" s="1004"/>
      <c r="YC149" s="1004"/>
      <c r="YD149" s="1004"/>
      <c r="YE149" s="1004"/>
      <c r="YF149" s="1004"/>
      <c r="YG149" s="1004"/>
      <c r="YH149" s="1004"/>
      <c r="YI149" s="1004"/>
      <c r="YJ149" s="1004"/>
      <c r="YK149" s="1004"/>
      <c r="YL149" s="1004"/>
      <c r="YM149" s="1004"/>
      <c r="YN149" s="1004"/>
      <c r="YO149" s="1004"/>
      <c r="YP149" s="1004"/>
      <c r="YQ149" s="1004"/>
      <c r="YR149" s="1004"/>
      <c r="YS149" s="1004"/>
      <c r="YT149" s="1004"/>
      <c r="YU149" s="1004"/>
      <c r="YV149" s="1004"/>
      <c r="YW149" s="1004"/>
      <c r="YX149" s="1004"/>
      <c r="YY149" s="1004"/>
      <c r="YZ149" s="1004"/>
      <c r="ZA149" s="1004"/>
      <c r="ZB149" s="1004"/>
      <c r="ZC149" s="1004"/>
      <c r="ZD149" s="1004"/>
      <c r="ZE149" s="1004"/>
      <c r="ZF149" s="1004"/>
      <c r="ZG149" s="1004"/>
      <c r="ZH149" s="1004"/>
      <c r="ZI149" s="1004"/>
      <c r="ZJ149" s="1004"/>
      <c r="ZK149" s="1004"/>
      <c r="ZL149" s="1004"/>
      <c r="ZM149" s="1004"/>
      <c r="ZN149" s="1004"/>
      <c r="ZO149" s="1004"/>
      <c r="ZP149" s="1004"/>
      <c r="ZQ149" s="1004"/>
      <c r="ZR149" s="1004"/>
      <c r="ZS149" s="1004"/>
      <c r="ZT149" s="1004"/>
      <c r="ZU149" s="1004"/>
      <c r="ZV149" s="1004"/>
      <c r="ZW149" s="1004"/>
      <c r="ZX149" s="1004"/>
      <c r="ZY149" s="1004"/>
      <c r="ZZ149" s="1004"/>
      <c r="AAA149" s="1004"/>
      <c r="AAB149" s="1004"/>
      <c r="AAC149" s="1004"/>
      <c r="AAD149" s="1004"/>
      <c r="AAE149" s="1004"/>
      <c r="AAF149" s="1004"/>
      <c r="AAG149" s="1004"/>
      <c r="AAH149" s="1004"/>
      <c r="AAI149" s="1004"/>
      <c r="AAJ149" s="1004"/>
      <c r="AAK149" s="1004"/>
      <c r="AAL149" s="1004"/>
      <c r="AAM149" s="1004"/>
      <c r="AAN149" s="1004"/>
      <c r="AAO149" s="1004"/>
      <c r="AAP149" s="1004"/>
      <c r="AAQ149" s="1004"/>
      <c r="AAR149" s="1004"/>
      <c r="AAS149" s="1004"/>
      <c r="AAT149" s="1004"/>
      <c r="AAU149" s="1004"/>
      <c r="AAV149" s="1004"/>
      <c r="AAW149" s="1004"/>
      <c r="AAX149" s="1004"/>
      <c r="AAY149" s="1004"/>
      <c r="AAZ149" s="1004"/>
      <c r="ABA149" s="1004"/>
      <c r="ABB149" s="1004"/>
      <c r="ABC149" s="1004"/>
      <c r="ABD149" s="1004"/>
      <c r="ABE149" s="1004"/>
      <c r="ABF149" s="1004"/>
      <c r="ABG149" s="1004"/>
      <c r="ABH149" s="1004"/>
      <c r="ABI149" s="1004"/>
      <c r="ABJ149" s="1004"/>
      <c r="ABK149" s="1004"/>
      <c r="ABL149" s="1004"/>
      <c r="ABM149" s="1004"/>
      <c r="ABN149" s="1004"/>
      <c r="ABO149" s="1004"/>
      <c r="ABP149" s="1004"/>
      <c r="ABQ149" s="1004"/>
      <c r="ABR149" s="1004"/>
    </row>
    <row r="150" spans="1:746" s="112" customFormat="1" ht="12" hidden="1" customHeight="1" thickBot="1">
      <c r="A150" s="2348"/>
      <c r="B150" s="354" t="s">
        <v>1281</v>
      </c>
      <c r="C150" s="2359"/>
      <c r="D150" s="134"/>
      <c r="E150" s="347" t="s">
        <v>1</v>
      </c>
      <c r="F150" s="1240"/>
      <c r="G150" s="347">
        <v>0.25</v>
      </c>
      <c r="H150" s="597"/>
      <c r="I150" s="2364"/>
      <c r="J150" s="2192"/>
      <c r="K150" s="2192"/>
      <c r="L150" s="2192"/>
      <c r="M150" s="2192"/>
      <c r="N150" s="2192"/>
      <c r="O150" s="2192"/>
      <c r="P150" s="2192"/>
      <c r="Q150" s="2192"/>
      <c r="R150" s="2192"/>
      <c r="S150" s="2192"/>
      <c r="T150" s="368"/>
      <c r="U150" s="368"/>
      <c r="V150" s="368"/>
      <c r="W150" s="368"/>
      <c r="X150" s="368"/>
      <c r="Y150" s="368"/>
      <c r="Z150" s="368"/>
      <c r="AA150" s="368"/>
      <c r="AB150" s="368"/>
      <c r="AC150" s="368"/>
      <c r="AD150" s="368"/>
      <c r="AE150" s="368"/>
      <c r="AF150" s="1966"/>
      <c r="AG150" s="1042"/>
      <c r="AH150" s="2229">
        <v>0.2</v>
      </c>
      <c r="AI150" s="1817"/>
      <c r="AJ150" s="1956">
        <f>IF(fx!$C$57=1,SUMIF(fx!I$57:T$57,1,I150:T150),IF(fx!$C$57=2,SUMIF(fx!O$57:AF$57,1,O150:AF150)))</f>
        <v>0</v>
      </c>
      <c r="AK150" s="328"/>
      <c r="AL150" s="902">
        <f>IF(fx!$C$57=1,SUM(U150:AF150),0)</f>
        <v>0</v>
      </c>
      <c r="AM150" s="1005"/>
      <c r="AN150" s="1024"/>
      <c r="AO150" s="1945"/>
      <c r="AP150" s="1935"/>
      <c r="AQ150" s="1936"/>
      <c r="AR150" s="2236"/>
      <c r="AS150" s="2236"/>
      <c r="AT150" s="2236"/>
      <c r="AU150" s="2236"/>
      <c r="AV150" s="2236"/>
      <c r="AW150" s="2236"/>
      <c r="AX150" s="2236"/>
      <c r="AY150" s="2236"/>
      <c r="AZ150" s="2236"/>
      <c r="BA150" s="2236"/>
      <c r="BB150" s="2236"/>
      <c r="BC150" s="2236"/>
      <c r="BD150" s="2236"/>
      <c r="BE150" s="2236"/>
      <c r="BF150" s="2236"/>
      <c r="BG150" s="2236"/>
      <c r="BH150" s="2236"/>
      <c r="BI150" s="2236"/>
      <c r="BJ150" s="2236"/>
      <c r="BK150" s="2236"/>
      <c r="BL150" s="2236"/>
      <c r="BM150" s="2236"/>
      <c r="BN150" s="2236"/>
      <c r="BO150" s="2236"/>
      <c r="BP150" s="1004"/>
      <c r="BQ150" s="1004"/>
      <c r="BR150" s="1004"/>
      <c r="BS150" s="1004"/>
      <c r="BT150" s="1004"/>
      <c r="BU150" s="1004"/>
      <c r="BV150" s="1004"/>
      <c r="BW150" s="1004"/>
      <c r="BX150" s="1004"/>
      <c r="BY150" s="1004"/>
      <c r="BZ150" s="1004"/>
      <c r="CA150" s="1004"/>
      <c r="CB150" s="1004"/>
      <c r="CC150" s="1004"/>
      <c r="CD150" s="1004"/>
      <c r="CE150" s="1004"/>
      <c r="CF150" s="1004"/>
      <c r="CG150" s="1004"/>
      <c r="CH150" s="1004"/>
      <c r="CI150" s="1004"/>
      <c r="CJ150" s="1004"/>
      <c r="CK150" s="1004"/>
      <c r="CL150" s="1004"/>
      <c r="CM150" s="1004"/>
      <c r="CN150" s="1004"/>
      <c r="CO150" s="1004"/>
      <c r="CP150" s="1004"/>
      <c r="CQ150" s="1004"/>
      <c r="CR150" s="1004"/>
      <c r="CS150" s="1004"/>
      <c r="CT150" s="1004"/>
      <c r="CU150" s="1004"/>
      <c r="CV150" s="1004"/>
      <c r="CW150" s="1004"/>
      <c r="CX150" s="1004"/>
      <c r="CY150" s="1004"/>
      <c r="CZ150" s="1004"/>
      <c r="DA150" s="1004"/>
      <c r="DB150" s="1004"/>
      <c r="DC150" s="1004"/>
      <c r="DD150" s="1004"/>
      <c r="DE150" s="1004"/>
      <c r="DF150" s="1004"/>
      <c r="DG150" s="1004"/>
      <c r="DH150" s="1004"/>
      <c r="DI150" s="1004"/>
      <c r="DJ150" s="1004"/>
      <c r="DK150" s="1004"/>
      <c r="DL150" s="1004"/>
      <c r="DM150" s="1004"/>
      <c r="DN150" s="1004"/>
      <c r="DO150" s="1004"/>
      <c r="DP150" s="1004"/>
      <c r="DQ150" s="1004"/>
      <c r="DR150" s="1004"/>
      <c r="DS150" s="1004"/>
      <c r="DT150" s="1004"/>
      <c r="DU150" s="1004"/>
      <c r="DV150" s="1004"/>
      <c r="DW150" s="1004"/>
      <c r="DX150" s="1004"/>
      <c r="DY150" s="1004"/>
      <c r="DZ150" s="1004"/>
      <c r="EA150" s="1004"/>
      <c r="EB150" s="1004"/>
      <c r="EC150" s="1004"/>
      <c r="ED150" s="1004"/>
      <c r="EE150" s="1004"/>
      <c r="EF150" s="1004"/>
      <c r="EG150" s="1004"/>
      <c r="EH150" s="1004"/>
      <c r="EI150" s="1004"/>
      <c r="EJ150" s="1004"/>
      <c r="EK150" s="1004"/>
      <c r="EL150" s="1004"/>
      <c r="EM150" s="1004"/>
      <c r="EN150" s="1004"/>
      <c r="EO150" s="1004"/>
      <c r="EP150" s="1004"/>
      <c r="EQ150" s="1004"/>
      <c r="ER150" s="1004"/>
      <c r="ES150" s="1004"/>
      <c r="ET150" s="1004"/>
      <c r="EU150" s="1004"/>
      <c r="EV150" s="1004"/>
      <c r="EW150" s="1004"/>
      <c r="EX150" s="1004"/>
      <c r="EY150" s="1004"/>
      <c r="EZ150" s="1004"/>
      <c r="FA150" s="1004"/>
      <c r="FB150" s="1004"/>
      <c r="FC150" s="1004"/>
      <c r="FD150" s="1004"/>
      <c r="FE150" s="1004"/>
      <c r="FF150" s="1004"/>
      <c r="FG150" s="1004"/>
      <c r="FH150" s="1004"/>
      <c r="FI150" s="1004"/>
      <c r="FJ150" s="1004"/>
      <c r="FK150" s="1004"/>
      <c r="FL150" s="1004"/>
      <c r="FM150" s="1004"/>
      <c r="FN150" s="1004"/>
      <c r="FO150" s="1004"/>
      <c r="FP150" s="1004"/>
      <c r="FQ150" s="1004"/>
      <c r="FR150" s="1004"/>
      <c r="FS150" s="1004"/>
      <c r="FT150" s="1004"/>
      <c r="FU150" s="1004"/>
      <c r="FV150" s="1004"/>
      <c r="FW150" s="1004"/>
      <c r="FX150" s="1004"/>
      <c r="FY150" s="1004"/>
      <c r="FZ150" s="1004"/>
      <c r="GA150" s="1004"/>
      <c r="GB150" s="1004"/>
      <c r="GC150" s="1004"/>
      <c r="GD150" s="1004"/>
      <c r="GE150" s="1004"/>
      <c r="GF150" s="1004"/>
      <c r="GG150" s="1004"/>
      <c r="GH150" s="1004"/>
      <c r="GI150" s="1004"/>
      <c r="GJ150" s="1004"/>
      <c r="GK150" s="1004"/>
      <c r="GL150" s="1004"/>
      <c r="GM150" s="1004"/>
      <c r="GN150" s="1004"/>
      <c r="GO150" s="1004"/>
      <c r="GP150" s="1004"/>
      <c r="GQ150" s="1004"/>
      <c r="GR150" s="1004"/>
      <c r="GS150" s="1004"/>
      <c r="GT150" s="1004"/>
      <c r="GU150" s="1004"/>
      <c r="GV150" s="1004"/>
      <c r="GW150" s="1004"/>
      <c r="GX150" s="1004"/>
      <c r="GY150" s="1004"/>
      <c r="GZ150" s="1004"/>
      <c r="HA150" s="1004"/>
      <c r="HB150" s="1004"/>
      <c r="HC150" s="1004"/>
      <c r="HD150" s="1004"/>
      <c r="HE150" s="1004"/>
      <c r="HF150" s="1004"/>
      <c r="HG150" s="1004"/>
      <c r="HH150" s="1004"/>
      <c r="HI150" s="1004"/>
      <c r="HJ150" s="1004"/>
      <c r="HK150" s="1004"/>
      <c r="HL150" s="1004"/>
      <c r="HM150" s="1004"/>
      <c r="HN150" s="1004"/>
      <c r="HO150" s="1004"/>
      <c r="HP150" s="1004"/>
      <c r="HQ150" s="1004"/>
      <c r="HR150" s="1004"/>
      <c r="HS150" s="1004"/>
      <c r="HT150" s="1004"/>
      <c r="HU150" s="1004"/>
      <c r="HV150" s="1004"/>
      <c r="HW150" s="1004"/>
      <c r="HX150" s="1004"/>
      <c r="HY150" s="1004"/>
      <c r="HZ150" s="1004"/>
      <c r="IA150" s="1004"/>
      <c r="IB150" s="1004"/>
      <c r="IC150" s="1004"/>
      <c r="ID150" s="1004"/>
      <c r="IE150" s="1004"/>
      <c r="IF150" s="1004"/>
      <c r="IG150" s="1004"/>
      <c r="IH150" s="1004"/>
      <c r="II150" s="1004"/>
      <c r="IJ150" s="1004"/>
      <c r="IK150" s="1004"/>
      <c r="IL150" s="1004"/>
      <c r="IM150" s="1004"/>
      <c r="IN150" s="1004"/>
      <c r="IO150" s="1004"/>
      <c r="IP150" s="1004"/>
      <c r="IQ150" s="1004"/>
      <c r="IR150" s="1004"/>
      <c r="IS150" s="1004"/>
      <c r="IT150" s="1004"/>
      <c r="IU150" s="1004"/>
      <c r="IV150" s="1004"/>
      <c r="IW150" s="1004"/>
      <c r="IX150" s="1004"/>
      <c r="IY150" s="1004"/>
      <c r="IZ150" s="1004"/>
      <c r="JA150" s="1004"/>
      <c r="JB150" s="1004"/>
      <c r="JC150" s="1004"/>
      <c r="JD150" s="1004"/>
      <c r="JE150" s="1004"/>
      <c r="JF150" s="1004"/>
      <c r="JG150" s="1004"/>
      <c r="JH150" s="1004"/>
      <c r="JI150" s="1004"/>
      <c r="JJ150" s="1004"/>
      <c r="JK150" s="1004"/>
      <c r="JL150" s="1004"/>
      <c r="JM150" s="1004"/>
      <c r="JN150" s="1004"/>
      <c r="JO150" s="1004"/>
      <c r="JP150" s="1004"/>
      <c r="JQ150" s="1004"/>
      <c r="JR150" s="1004"/>
      <c r="JS150" s="1004"/>
      <c r="JT150" s="1004"/>
      <c r="JU150" s="1004"/>
      <c r="JV150" s="1004"/>
      <c r="JW150" s="1004"/>
      <c r="JX150" s="1004"/>
      <c r="JY150" s="1004"/>
      <c r="JZ150" s="1004"/>
      <c r="KA150" s="1004"/>
      <c r="KB150" s="1004"/>
      <c r="KC150" s="1004"/>
      <c r="KD150" s="1004"/>
      <c r="KE150" s="1004"/>
      <c r="KF150" s="1004"/>
      <c r="KG150" s="1004"/>
      <c r="KH150" s="1004"/>
      <c r="KI150" s="1004"/>
      <c r="KJ150" s="1004"/>
      <c r="KK150" s="1004"/>
      <c r="KL150" s="1004"/>
      <c r="KM150" s="1004"/>
      <c r="KN150" s="1004"/>
      <c r="KO150" s="1004"/>
      <c r="KP150" s="1004"/>
      <c r="KQ150" s="1004"/>
      <c r="KR150" s="1004"/>
      <c r="KS150" s="1004"/>
      <c r="KT150" s="1004"/>
      <c r="KU150" s="1004"/>
      <c r="KV150" s="1004"/>
      <c r="KW150" s="1004"/>
      <c r="KX150" s="1004"/>
      <c r="KY150" s="1004"/>
      <c r="KZ150" s="1004"/>
      <c r="LA150" s="1004"/>
      <c r="LB150" s="1004"/>
      <c r="LC150" s="1004"/>
      <c r="LD150" s="1004"/>
      <c r="LE150" s="1004"/>
      <c r="LF150" s="1004"/>
      <c r="LG150" s="1004"/>
      <c r="LH150" s="1004"/>
      <c r="LI150" s="1004"/>
      <c r="LJ150" s="1004"/>
      <c r="LK150" s="1004"/>
      <c r="LL150" s="1004"/>
      <c r="LM150" s="1004"/>
      <c r="LN150" s="1004"/>
      <c r="LO150" s="1004"/>
      <c r="LP150" s="1004"/>
      <c r="LQ150" s="1004"/>
      <c r="LR150" s="1004"/>
      <c r="LS150" s="1004"/>
      <c r="LT150" s="1004"/>
      <c r="LU150" s="1004"/>
      <c r="LV150" s="1004"/>
      <c r="LW150" s="1004"/>
      <c r="LX150" s="1004"/>
      <c r="LY150" s="1004"/>
      <c r="LZ150" s="1004"/>
      <c r="MA150" s="1004"/>
      <c r="MB150" s="1004"/>
      <c r="MC150" s="1004"/>
      <c r="MD150" s="1004"/>
      <c r="ME150" s="1004"/>
      <c r="MF150" s="1004"/>
      <c r="MG150" s="1004"/>
      <c r="MH150" s="1004"/>
      <c r="MI150" s="1004"/>
      <c r="MJ150" s="1004"/>
      <c r="MK150" s="1004"/>
      <c r="ML150" s="1004"/>
      <c r="MM150" s="1004"/>
      <c r="MN150" s="1004"/>
      <c r="MO150" s="1004"/>
      <c r="MP150" s="1004"/>
      <c r="MQ150" s="1004"/>
      <c r="MR150" s="1004"/>
      <c r="MS150" s="1004"/>
      <c r="MT150" s="1004"/>
      <c r="MU150" s="1004"/>
      <c r="MV150" s="1004"/>
      <c r="MW150" s="1004"/>
      <c r="MX150" s="1004"/>
      <c r="MY150" s="1004"/>
      <c r="MZ150" s="1004"/>
      <c r="NA150" s="1004"/>
      <c r="NB150" s="1004"/>
      <c r="NC150" s="1004"/>
      <c r="ND150" s="1004"/>
      <c r="NE150" s="1004"/>
      <c r="NF150" s="1004"/>
      <c r="NG150" s="1004"/>
      <c r="NH150" s="1004"/>
      <c r="NI150" s="1004"/>
      <c r="NJ150" s="1004"/>
      <c r="NK150" s="1004"/>
      <c r="NL150" s="1004"/>
      <c r="NM150" s="1004"/>
      <c r="NN150" s="1004"/>
      <c r="NO150" s="1004"/>
      <c r="NP150" s="1004"/>
      <c r="NQ150" s="1004"/>
      <c r="NR150" s="1004"/>
      <c r="NS150" s="1004"/>
      <c r="NT150" s="1004"/>
      <c r="NU150" s="1004"/>
      <c r="NV150" s="1004"/>
      <c r="NW150" s="1004"/>
      <c r="NX150" s="1004"/>
      <c r="NY150" s="1004"/>
      <c r="NZ150" s="1004"/>
      <c r="OA150" s="1004"/>
      <c r="OB150" s="1004"/>
      <c r="OC150" s="1004"/>
      <c r="OD150" s="1004"/>
      <c r="OE150" s="1004"/>
      <c r="OF150" s="1004"/>
      <c r="OG150" s="1004"/>
      <c r="OH150" s="1004"/>
      <c r="OI150" s="1004"/>
      <c r="OJ150" s="1004"/>
      <c r="OK150" s="1004"/>
      <c r="OL150" s="1004"/>
      <c r="OM150" s="1004"/>
      <c r="ON150" s="1004"/>
      <c r="OO150" s="1004"/>
      <c r="OP150" s="1004"/>
      <c r="OQ150" s="1004"/>
      <c r="OR150" s="1004"/>
      <c r="OS150" s="1004"/>
      <c r="OT150" s="1004"/>
      <c r="OU150" s="1004"/>
      <c r="OV150" s="1004"/>
      <c r="OW150" s="1004"/>
      <c r="OX150" s="1004"/>
      <c r="OY150" s="1004"/>
      <c r="OZ150" s="1004"/>
      <c r="PA150" s="1004"/>
      <c r="PB150" s="1004"/>
      <c r="PC150" s="1004"/>
      <c r="PD150" s="1004"/>
      <c r="PE150" s="1004"/>
      <c r="PF150" s="1004"/>
      <c r="PG150" s="1004"/>
      <c r="PH150" s="1004"/>
      <c r="PI150" s="1004"/>
      <c r="PJ150" s="1004"/>
      <c r="PK150" s="1004"/>
      <c r="PL150" s="1004"/>
      <c r="PM150" s="1004"/>
      <c r="PN150" s="1004"/>
      <c r="PO150" s="1004"/>
      <c r="PP150" s="1004"/>
      <c r="PQ150" s="1004"/>
      <c r="PR150" s="1004"/>
      <c r="PS150" s="1004"/>
      <c r="PT150" s="1004"/>
      <c r="PU150" s="1004"/>
      <c r="PV150" s="1004"/>
      <c r="PW150" s="1004"/>
      <c r="PX150" s="1004"/>
      <c r="PY150" s="1004"/>
      <c r="PZ150" s="1004"/>
      <c r="QA150" s="1004"/>
      <c r="QB150" s="1004"/>
      <c r="QC150" s="1004"/>
      <c r="QD150" s="1004"/>
      <c r="QE150" s="1004"/>
      <c r="QF150" s="1004"/>
      <c r="QG150" s="1004"/>
      <c r="QH150" s="1004"/>
      <c r="QI150" s="1004"/>
      <c r="QJ150" s="1004"/>
      <c r="QK150" s="1004"/>
      <c r="QL150" s="1004"/>
      <c r="QM150" s="1004"/>
      <c r="QN150" s="1004"/>
      <c r="QO150" s="1004"/>
      <c r="QP150" s="1004"/>
      <c r="QQ150" s="1004"/>
      <c r="QR150" s="1004"/>
      <c r="QS150" s="1004"/>
      <c r="QT150" s="1004"/>
      <c r="QU150" s="1004"/>
      <c r="QV150" s="1004"/>
      <c r="QW150" s="1004"/>
      <c r="QX150" s="1004"/>
      <c r="QY150" s="1004"/>
      <c r="QZ150" s="1004"/>
      <c r="RA150" s="1004"/>
      <c r="RB150" s="1004"/>
      <c r="RC150" s="1004"/>
      <c r="RD150" s="1004"/>
      <c r="RE150" s="1004"/>
      <c r="RF150" s="1004"/>
      <c r="RG150" s="1004"/>
      <c r="RH150" s="1004"/>
      <c r="RI150" s="1004"/>
      <c r="RJ150" s="1004"/>
      <c r="RK150" s="1004"/>
      <c r="RL150" s="1004"/>
      <c r="RM150" s="1004"/>
      <c r="RN150" s="1004"/>
      <c r="RO150" s="1004"/>
      <c r="RP150" s="1004"/>
      <c r="RQ150" s="1004"/>
      <c r="RR150" s="1004"/>
      <c r="RS150" s="1004"/>
      <c r="RT150" s="1004"/>
      <c r="RU150" s="1004"/>
      <c r="RV150" s="1004"/>
      <c r="RW150" s="1004"/>
      <c r="RX150" s="1004"/>
      <c r="RY150" s="1004"/>
      <c r="RZ150" s="1004"/>
      <c r="SA150" s="1004"/>
      <c r="SB150" s="1004"/>
      <c r="SC150" s="1004"/>
      <c r="SD150" s="1004"/>
      <c r="SE150" s="1004"/>
      <c r="SF150" s="1004"/>
      <c r="SG150" s="1004"/>
      <c r="SH150" s="1004"/>
      <c r="SI150" s="1004"/>
      <c r="SJ150" s="1004"/>
      <c r="SK150" s="1004"/>
      <c r="SL150" s="1004"/>
      <c r="SM150" s="1004"/>
      <c r="SN150" s="1004"/>
      <c r="SO150" s="1004"/>
      <c r="SP150" s="1004"/>
      <c r="SQ150" s="1004"/>
      <c r="SR150" s="1004"/>
      <c r="SS150" s="1004"/>
      <c r="ST150" s="1004"/>
      <c r="SU150" s="1004"/>
      <c r="SV150" s="1004"/>
      <c r="SW150" s="1004"/>
      <c r="SX150" s="1004"/>
      <c r="SY150" s="1004"/>
      <c r="SZ150" s="1004"/>
      <c r="TA150" s="1004"/>
      <c r="TB150" s="1004"/>
      <c r="TC150" s="1004"/>
      <c r="TD150" s="1004"/>
      <c r="TE150" s="1004"/>
      <c r="TF150" s="1004"/>
      <c r="TG150" s="1004"/>
      <c r="TH150" s="1004"/>
      <c r="TI150" s="1004"/>
      <c r="TJ150" s="1004"/>
      <c r="TK150" s="1004"/>
      <c r="TL150" s="1004"/>
      <c r="TM150" s="1004"/>
      <c r="TN150" s="1004"/>
      <c r="TO150" s="1004"/>
      <c r="TP150" s="1004"/>
      <c r="TQ150" s="1004"/>
      <c r="TR150" s="1004"/>
      <c r="TS150" s="1004"/>
      <c r="TT150" s="1004"/>
      <c r="TU150" s="1004"/>
      <c r="TV150" s="1004"/>
      <c r="TW150" s="1004"/>
      <c r="TX150" s="1004"/>
      <c r="TY150" s="1004"/>
      <c r="TZ150" s="1004"/>
      <c r="UA150" s="1004"/>
      <c r="UB150" s="1004"/>
      <c r="UC150" s="1004"/>
      <c r="UD150" s="1004"/>
      <c r="UE150" s="1004"/>
      <c r="UF150" s="1004"/>
      <c r="UG150" s="1004"/>
      <c r="UH150" s="1004"/>
      <c r="UI150" s="1004"/>
      <c r="UJ150" s="1004"/>
      <c r="UK150" s="1004"/>
      <c r="UL150" s="1004"/>
      <c r="UM150" s="1004"/>
      <c r="UN150" s="1004"/>
      <c r="UO150" s="1004"/>
      <c r="UP150" s="1004"/>
      <c r="UQ150" s="1004"/>
      <c r="UR150" s="1004"/>
      <c r="US150" s="1004"/>
      <c r="UT150" s="1004"/>
      <c r="UU150" s="1004"/>
      <c r="UV150" s="1004"/>
      <c r="UW150" s="1004"/>
      <c r="UX150" s="1004"/>
      <c r="UY150" s="1004"/>
      <c r="UZ150" s="1004"/>
      <c r="VA150" s="1004"/>
      <c r="VB150" s="1004"/>
      <c r="VC150" s="1004"/>
      <c r="VD150" s="1004"/>
      <c r="VE150" s="1004"/>
      <c r="VF150" s="1004"/>
      <c r="VG150" s="1004"/>
      <c r="VH150" s="1004"/>
      <c r="VI150" s="1004"/>
      <c r="VJ150" s="1004"/>
      <c r="VK150" s="1004"/>
      <c r="VL150" s="1004"/>
      <c r="VM150" s="1004"/>
      <c r="VN150" s="1004"/>
      <c r="VO150" s="1004"/>
      <c r="VP150" s="1004"/>
      <c r="VQ150" s="1004"/>
      <c r="VR150" s="1004"/>
      <c r="VS150" s="1004"/>
      <c r="VT150" s="1004"/>
      <c r="VU150" s="1004"/>
      <c r="VV150" s="1004"/>
      <c r="VW150" s="1004"/>
      <c r="VX150" s="1004"/>
      <c r="VY150" s="1004"/>
      <c r="VZ150" s="1004"/>
      <c r="WA150" s="1004"/>
      <c r="WB150" s="1004"/>
      <c r="WC150" s="1004"/>
      <c r="WD150" s="1004"/>
      <c r="WE150" s="1004"/>
      <c r="WF150" s="1004"/>
      <c r="WG150" s="1004"/>
      <c r="WH150" s="1004"/>
      <c r="WI150" s="1004"/>
      <c r="WJ150" s="1004"/>
      <c r="WK150" s="1004"/>
      <c r="WL150" s="1004"/>
      <c r="WM150" s="1004"/>
      <c r="WN150" s="1004"/>
      <c r="WO150" s="1004"/>
      <c r="WP150" s="1004"/>
      <c r="WQ150" s="1004"/>
      <c r="WR150" s="1004"/>
      <c r="WS150" s="1004"/>
      <c r="WT150" s="1004"/>
      <c r="WU150" s="1004"/>
      <c r="WV150" s="1004"/>
      <c r="WW150" s="1004"/>
      <c r="WX150" s="1004"/>
      <c r="WY150" s="1004"/>
      <c r="WZ150" s="1004"/>
      <c r="XA150" s="1004"/>
      <c r="XB150" s="1004"/>
      <c r="XC150" s="1004"/>
      <c r="XD150" s="1004"/>
      <c r="XE150" s="1004"/>
      <c r="XF150" s="1004"/>
      <c r="XG150" s="1004"/>
      <c r="XH150" s="1004"/>
      <c r="XI150" s="1004"/>
      <c r="XJ150" s="1004"/>
      <c r="XK150" s="1004"/>
      <c r="XL150" s="1004"/>
      <c r="XM150" s="1004"/>
      <c r="XN150" s="1004"/>
      <c r="XO150" s="1004"/>
      <c r="XP150" s="1004"/>
      <c r="XQ150" s="1004"/>
      <c r="XR150" s="1004"/>
      <c r="XS150" s="1004"/>
      <c r="XT150" s="1004"/>
      <c r="XU150" s="1004"/>
      <c r="XV150" s="1004"/>
      <c r="XW150" s="1004"/>
      <c r="XX150" s="1004"/>
      <c r="XY150" s="1004"/>
      <c r="XZ150" s="1004"/>
      <c r="YA150" s="1004"/>
      <c r="YB150" s="1004"/>
      <c r="YC150" s="1004"/>
      <c r="YD150" s="1004"/>
      <c r="YE150" s="1004"/>
      <c r="YF150" s="1004"/>
      <c r="YG150" s="1004"/>
      <c r="YH150" s="1004"/>
      <c r="YI150" s="1004"/>
      <c r="YJ150" s="1004"/>
      <c r="YK150" s="1004"/>
      <c r="YL150" s="1004"/>
      <c r="YM150" s="1004"/>
      <c r="YN150" s="1004"/>
      <c r="YO150" s="1004"/>
      <c r="YP150" s="1004"/>
      <c r="YQ150" s="1004"/>
      <c r="YR150" s="1004"/>
      <c r="YS150" s="1004"/>
      <c r="YT150" s="1004"/>
      <c r="YU150" s="1004"/>
      <c r="YV150" s="1004"/>
      <c r="YW150" s="1004"/>
      <c r="YX150" s="1004"/>
      <c r="YY150" s="1004"/>
      <c r="YZ150" s="1004"/>
      <c r="ZA150" s="1004"/>
      <c r="ZB150" s="1004"/>
      <c r="ZC150" s="1004"/>
      <c r="ZD150" s="1004"/>
      <c r="ZE150" s="1004"/>
      <c r="ZF150" s="1004"/>
      <c r="ZG150" s="1004"/>
      <c r="ZH150" s="1004"/>
      <c r="ZI150" s="1004"/>
      <c r="ZJ150" s="1004"/>
      <c r="ZK150" s="1004"/>
      <c r="ZL150" s="1004"/>
      <c r="ZM150" s="1004"/>
      <c r="ZN150" s="1004"/>
      <c r="ZO150" s="1004"/>
      <c r="ZP150" s="1004"/>
      <c r="ZQ150" s="1004"/>
      <c r="ZR150" s="1004"/>
      <c r="ZS150" s="1004"/>
      <c r="ZT150" s="1004"/>
      <c r="ZU150" s="1004"/>
      <c r="ZV150" s="1004"/>
      <c r="ZW150" s="1004"/>
      <c r="ZX150" s="1004"/>
      <c r="ZY150" s="1004"/>
      <c r="ZZ150" s="1004"/>
      <c r="AAA150" s="1004"/>
      <c r="AAB150" s="1004"/>
      <c r="AAC150" s="1004"/>
      <c r="AAD150" s="1004"/>
      <c r="AAE150" s="1004"/>
      <c r="AAF150" s="1004"/>
      <c r="AAG150" s="1004"/>
      <c r="AAH150" s="1004"/>
      <c r="AAI150" s="1004"/>
      <c r="AAJ150" s="1004"/>
      <c r="AAK150" s="1004"/>
      <c r="AAL150" s="1004"/>
      <c r="AAM150" s="1004"/>
      <c r="AAN150" s="1004"/>
      <c r="AAO150" s="1004"/>
      <c r="AAP150" s="1004"/>
      <c r="AAQ150" s="1004"/>
      <c r="AAR150" s="1004"/>
      <c r="AAS150" s="1004"/>
      <c r="AAT150" s="1004"/>
      <c r="AAU150" s="1004"/>
      <c r="AAV150" s="1004"/>
      <c r="AAW150" s="1004"/>
      <c r="AAX150" s="1004"/>
      <c r="AAY150" s="1004"/>
      <c r="AAZ150" s="1004"/>
      <c r="ABA150" s="1004"/>
      <c r="ABB150" s="1004"/>
      <c r="ABC150" s="1004"/>
      <c r="ABD150" s="1004"/>
      <c r="ABE150" s="1004"/>
      <c r="ABF150" s="1004"/>
      <c r="ABG150" s="1004"/>
      <c r="ABH150" s="1004"/>
      <c r="ABI150" s="1004"/>
      <c r="ABJ150" s="1004"/>
      <c r="ABK150" s="1004"/>
      <c r="ABL150" s="1004"/>
      <c r="ABM150" s="1004"/>
      <c r="ABN150" s="1004"/>
      <c r="ABO150" s="1004"/>
      <c r="ABP150" s="1004"/>
      <c r="ABQ150" s="1004"/>
      <c r="ABR150" s="1004"/>
    </row>
    <row r="151" spans="1:746" s="112" customFormat="1" ht="12" hidden="1" customHeight="1" thickBot="1">
      <c r="A151" s="2348"/>
      <c r="B151" s="354" t="s">
        <v>1282</v>
      </c>
      <c r="C151" s="2359"/>
      <c r="D151" s="134"/>
      <c r="E151" s="347" t="s">
        <v>1</v>
      </c>
      <c r="F151" s="1240"/>
      <c r="G151" s="347">
        <v>0.25</v>
      </c>
      <c r="H151" s="597"/>
      <c r="I151" s="2364"/>
      <c r="J151" s="2192"/>
      <c r="K151" s="2192"/>
      <c r="L151" s="2192"/>
      <c r="M151" s="2192"/>
      <c r="N151" s="2192"/>
      <c r="O151" s="2192"/>
      <c r="P151" s="2192"/>
      <c r="Q151" s="2192"/>
      <c r="R151" s="2192"/>
      <c r="S151" s="2192"/>
      <c r="T151" s="368"/>
      <c r="U151" s="368"/>
      <c r="V151" s="368"/>
      <c r="W151" s="368"/>
      <c r="X151" s="368"/>
      <c r="Y151" s="368"/>
      <c r="Z151" s="368"/>
      <c r="AA151" s="368"/>
      <c r="AB151" s="368"/>
      <c r="AC151" s="368"/>
      <c r="AD151" s="368"/>
      <c r="AE151" s="368"/>
      <c r="AF151" s="1966"/>
      <c r="AG151" s="1042"/>
      <c r="AH151" s="2229">
        <v>0.2</v>
      </c>
      <c r="AI151" s="1817"/>
      <c r="AJ151" s="1956">
        <f>IF(fx!$C$57=1,SUMIF(fx!I$57:T$57,1,I151:T151),IF(fx!$C$57=2,SUMIF(fx!O$57:AF$57,1,O151:AF151)))</f>
        <v>0</v>
      </c>
      <c r="AK151" s="328"/>
      <c r="AL151" s="902">
        <f>IF(fx!$C$57=1,SUM(U151:AF151),0)</f>
        <v>0</v>
      </c>
      <c r="AM151" s="1005"/>
      <c r="AN151" s="1024"/>
      <c r="AO151" s="1945"/>
      <c r="AP151" s="1935"/>
      <c r="AQ151" s="1936"/>
      <c r="AR151" s="1958"/>
      <c r="AS151" s="1958"/>
      <c r="AT151" s="1958"/>
      <c r="AU151" s="1958"/>
      <c r="AV151" s="1958"/>
      <c r="AW151" s="1958"/>
      <c r="AX151" s="1958"/>
      <c r="AY151" s="1958"/>
      <c r="AZ151" s="1958"/>
      <c r="BA151" s="1958"/>
      <c r="BB151" s="1958"/>
      <c r="BC151" s="1958"/>
      <c r="BD151" s="1958"/>
      <c r="BE151" s="1958"/>
      <c r="BF151" s="1958"/>
      <c r="BG151" s="1958"/>
      <c r="BH151" s="1958"/>
      <c r="BI151" s="1958"/>
      <c r="BJ151" s="1958"/>
      <c r="BK151" s="1958"/>
      <c r="BL151" s="1958"/>
      <c r="BM151" s="1958"/>
      <c r="BN151" s="1958"/>
      <c r="BO151" s="1958"/>
      <c r="BP151" s="1004"/>
      <c r="BQ151" s="1004"/>
      <c r="BR151" s="1004"/>
      <c r="BS151" s="1004"/>
      <c r="BT151" s="1004"/>
      <c r="BU151" s="1004"/>
      <c r="BV151" s="1004"/>
      <c r="BW151" s="1004"/>
      <c r="BX151" s="1004"/>
      <c r="BY151" s="1004"/>
      <c r="BZ151" s="1004"/>
      <c r="CA151" s="1004"/>
      <c r="CB151" s="1004"/>
      <c r="CC151" s="1004"/>
      <c r="CD151" s="1004"/>
      <c r="CE151" s="1004"/>
      <c r="CF151" s="1004"/>
      <c r="CG151" s="1004"/>
      <c r="CH151" s="1004"/>
      <c r="CI151" s="1004"/>
      <c r="CJ151" s="1004"/>
      <c r="CK151" s="1004"/>
      <c r="CL151" s="1004"/>
      <c r="CM151" s="1004"/>
      <c r="CN151" s="1004"/>
      <c r="CO151" s="1004"/>
      <c r="CP151" s="1004"/>
      <c r="CQ151" s="1004"/>
      <c r="CR151" s="1004"/>
      <c r="CS151" s="1004"/>
      <c r="CT151" s="1004"/>
      <c r="CU151" s="1004"/>
      <c r="CV151" s="1004"/>
      <c r="CW151" s="1004"/>
      <c r="CX151" s="1004"/>
      <c r="CY151" s="1004"/>
      <c r="CZ151" s="1004"/>
      <c r="DA151" s="1004"/>
      <c r="DB151" s="1004"/>
      <c r="DC151" s="1004"/>
      <c r="DD151" s="1004"/>
      <c r="DE151" s="1004"/>
      <c r="DF151" s="1004"/>
      <c r="DG151" s="1004"/>
      <c r="DH151" s="1004"/>
      <c r="DI151" s="1004"/>
      <c r="DJ151" s="1004"/>
      <c r="DK151" s="1004"/>
      <c r="DL151" s="1004"/>
      <c r="DM151" s="1004"/>
      <c r="DN151" s="1004"/>
      <c r="DO151" s="1004"/>
      <c r="DP151" s="1004"/>
      <c r="DQ151" s="1004"/>
      <c r="DR151" s="1004"/>
      <c r="DS151" s="1004"/>
      <c r="DT151" s="1004"/>
      <c r="DU151" s="1004"/>
      <c r="DV151" s="1004"/>
      <c r="DW151" s="1004"/>
      <c r="DX151" s="1004"/>
      <c r="DY151" s="1004"/>
      <c r="DZ151" s="1004"/>
      <c r="EA151" s="1004"/>
      <c r="EB151" s="1004"/>
      <c r="EC151" s="1004"/>
      <c r="ED151" s="1004"/>
      <c r="EE151" s="1004"/>
      <c r="EF151" s="1004"/>
      <c r="EG151" s="1004"/>
      <c r="EH151" s="1004"/>
      <c r="EI151" s="1004"/>
      <c r="EJ151" s="1004"/>
      <c r="EK151" s="1004"/>
      <c r="EL151" s="1004"/>
      <c r="EM151" s="1004"/>
      <c r="EN151" s="1004"/>
      <c r="EO151" s="1004"/>
      <c r="EP151" s="1004"/>
      <c r="EQ151" s="1004"/>
      <c r="ER151" s="1004"/>
      <c r="ES151" s="1004"/>
      <c r="ET151" s="1004"/>
      <c r="EU151" s="1004"/>
      <c r="EV151" s="1004"/>
      <c r="EW151" s="1004"/>
      <c r="EX151" s="1004"/>
      <c r="EY151" s="1004"/>
      <c r="EZ151" s="1004"/>
      <c r="FA151" s="1004"/>
      <c r="FB151" s="1004"/>
      <c r="FC151" s="1004"/>
      <c r="FD151" s="1004"/>
      <c r="FE151" s="1004"/>
      <c r="FF151" s="1004"/>
      <c r="FG151" s="1004"/>
      <c r="FH151" s="1004"/>
      <c r="FI151" s="1004"/>
      <c r="FJ151" s="1004"/>
      <c r="FK151" s="1004"/>
      <c r="FL151" s="1004"/>
      <c r="FM151" s="1004"/>
      <c r="FN151" s="1004"/>
      <c r="FO151" s="1004"/>
      <c r="FP151" s="1004"/>
      <c r="FQ151" s="1004"/>
      <c r="FR151" s="1004"/>
      <c r="FS151" s="1004"/>
      <c r="FT151" s="1004"/>
      <c r="FU151" s="1004"/>
      <c r="FV151" s="1004"/>
      <c r="FW151" s="1004"/>
      <c r="FX151" s="1004"/>
      <c r="FY151" s="1004"/>
      <c r="FZ151" s="1004"/>
      <c r="GA151" s="1004"/>
      <c r="GB151" s="1004"/>
      <c r="GC151" s="1004"/>
      <c r="GD151" s="1004"/>
      <c r="GE151" s="1004"/>
      <c r="GF151" s="1004"/>
      <c r="GG151" s="1004"/>
      <c r="GH151" s="1004"/>
      <c r="GI151" s="1004"/>
      <c r="GJ151" s="1004"/>
      <c r="GK151" s="1004"/>
      <c r="GL151" s="1004"/>
      <c r="GM151" s="1004"/>
      <c r="GN151" s="1004"/>
      <c r="GO151" s="1004"/>
      <c r="GP151" s="1004"/>
      <c r="GQ151" s="1004"/>
      <c r="GR151" s="1004"/>
      <c r="GS151" s="1004"/>
      <c r="GT151" s="1004"/>
      <c r="GU151" s="1004"/>
      <c r="GV151" s="1004"/>
      <c r="GW151" s="1004"/>
      <c r="GX151" s="1004"/>
      <c r="GY151" s="1004"/>
      <c r="GZ151" s="1004"/>
      <c r="HA151" s="1004"/>
      <c r="HB151" s="1004"/>
      <c r="HC151" s="1004"/>
      <c r="HD151" s="1004"/>
      <c r="HE151" s="1004"/>
      <c r="HF151" s="1004"/>
      <c r="HG151" s="1004"/>
      <c r="HH151" s="1004"/>
      <c r="HI151" s="1004"/>
      <c r="HJ151" s="1004"/>
      <c r="HK151" s="1004"/>
      <c r="HL151" s="1004"/>
      <c r="HM151" s="1004"/>
      <c r="HN151" s="1004"/>
      <c r="HO151" s="1004"/>
      <c r="HP151" s="1004"/>
      <c r="HQ151" s="1004"/>
      <c r="HR151" s="1004"/>
      <c r="HS151" s="1004"/>
      <c r="HT151" s="1004"/>
      <c r="HU151" s="1004"/>
      <c r="HV151" s="1004"/>
      <c r="HW151" s="1004"/>
      <c r="HX151" s="1004"/>
      <c r="HY151" s="1004"/>
      <c r="HZ151" s="1004"/>
      <c r="IA151" s="1004"/>
      <c r="IB151" s="1004"/>
      <c r="IC151" s="1004"/>
      <c r="ID151" s="1004"/>
      <c r="IE151" s="1004"/>
      <c r="IF151" s="1004"/>
      <c r="IG151" s="1004"/>
      <c r="IH151" s="1004"/>
      <c r="II151" s="1004"/>
      <c r="IJ151" s="1004"/>
      <c r="IK151" s="1004"/>
      <c r="IL151" s="1004"/>
      <c r="IM151" s="1004"/>
      <c r="IN151" s="1004"/>
      <c r="IO151" s="1004"/>
      <c r="IP151" s="1004"/>
      <c r="IQ151" s="1004"/>
      <c r="IR151" s="1004"/>
      <c r="IS151" s="1004"/>
      <c r="IT151" s="1004"/>
      <c r="IU151" s="1004"/>
      <c r="IV151" s="1004"/>
      <c r="IW151" s="1004"/>
      <c r="IX151" s="1004"/>
      <c r="IY151" s="1004"/>
      <c r="IZ151" s="1004"/>
      <c r="JA151" s="1004"/>
      <c r="JB151" s="1004"/>
      <c r="JC151" s="1004"/>
      <c r="JD151" s="1004"/>
      <c r="JE151" s="1004"/>
      <c r="JF151" s="1004"/>
      <c r="JG151" s="1004"/>
      <c r="JH151" s="1004"/>
      <c r="JI151" s="1004"/>
      <c r="JJ151" s="1004"/>
      <c r="JK151" s="1004"/>
      <c r="JL151" s="1004"/>
      <c r="JM151" s="1004"/>
      <c r="JN151" s="1004"/>
      <c r="JO151" s="1004"/>
      <c r="JP151" s="1004"/>
      <c r="JQ151" s="1004"/>
      <c r="JR151" s="1004"/>
      <c r="JS151" s="1004"/>
      <c r="JT151" s="1004"/>
      <c r="JU151" s="1004"/>
      <c r="JV151" s="1004"/>
      <c r="JW151" s="1004"/>
      <c r="JX151" s="1004"/>
      <c r="JY151" s="1004"/>
      <c r="JZ151" s="1004"/>
      <c r="KA151" s="1004"/>
      <c r="KB151" s="1004"/>
      <c r="KC151" s="1004"/>
      <c r="KD151" s="1004"/>
      <c r="KE151" s="1004"/>
      <c r="KF151" s="1004"/>
      <c r="KG151" s="1004"/>
      <c r="KH151" s="1004"/>
      <c r="KI151" s="1004"/>
      <c r="KJ151" s="1004"/>
      <c r="KK151" s="1004"/>
      <c r="KL151" s="1004"/>
      <c r="KM151" s="1004"/>
      <c r="KN151" s="1004"/>
      <c r="KO151" s="1004"/>
      <c r="KP151" s="1004"/>
      <c r="KQ151" s="1004"/>
      <c r="KR151" s="1004"/>
      <c r="KS151" s="1004"/>
      <c r="KT151" s="1004"/>
      <c r="KU151" s="1004"/>
      <c r="KV151" s="1004"/>
      <c r="KW151" s="1004"/>
      <c r="KX151" s="1004"/>
      <c r="KY151" s="1004"/>
      <c r="KZ151" s="1004"/>
      <c r="LA151" s="1004"/>
      <c r="LB151" s="1004"/>
      <c r="LC151" s="1004"/>
      <c r="LD151" s="1004"/>
      <c r="LE151" s="1004"/>
      <c r="LF151" s="1004"/>
      <c r="LG151" s="1004"/>
      <c r="LH151" s="1004"/>
      <c r="LI151" s="1004"/>
      <c r="LJ151" s="1004"/>
      <c r="LK151" s="1004"/>
      <c r="LL151" s="1004"/>
      <c r="LM151" s="1004"/>
      <c r="LN151" s="1004"/>
      <c r="LO151" s="1004"/>
      <c r="LP151" s="1004"/>
      <c r="LQ151" s="1004"/>
      <c r="LR151" s="1004"/>
      <c r="LS151" s="1004"/>
      <c r="LT151" s="1004"/>
      <c r="LU151" s="1004"/>
      <c r="LV151" s="1004"/>
      <c r="LW151" s="1004"/>
      <c r="LX151" s="1004"/>
      <c r="LY151" s="1004"/>
      <c r="LZ151" s="1004"/>
      <c r="MA151" s="1004"/>
      <c r="MB151" s="1004"/>
      <c r="MC151" s="1004"/>
      <c r="MD151" s="1004"/>
      <c r="ME151" s="1004"/>
      <c r="MF151" s="1004"/>
      <c r="MG151" s="1004"/>
      <c r="MH151" s="1004"/>
      <c r="MI151" s="1004"/>
      <c r="MJ151" s="1004"/>
      <c r="MK151" s="1004"/>
      <c r="ML151" s="1004"/>
      <c r="MM151" s="1004"/>
      <c r="MN151" s="1004"/>
      <c r="MO151" s="1004"/>
      <c r="MP151" s="1004"/>
      <c r="MQ151" s="1004"/>
      <c r="MR151" s="1004"/>
      <c r="MS151" s="1004"/>
      <c r="MT151" s="1004"/>
      <c r="MU151" s="1004"/>
      <c r="MV151" s="1004"/>
      <c r="MW151" s="1004"/>
      <c r="MX151" s="1004"/>
      <c r="MY151" s="1004"/>
      <c r="MZ151" s="1004"/>
      <c r="NA151" s="1004"/>
      <c r="NB151" s="1004"/>
      <c r="NC151" s="1004"/>
      <c r="ND151" s="1004"/>
      <c r="NE151" s="1004"/>
      <c r="NF151" s="1004"/>
      <c r="NG151" s="1004"/>
      <c r="NH151" s="1004"/>
      <c r="NI151" s="1004"/>
      <c r="NJ151" s="1004"/>
      <c r="NK151" s="1004"/>
      <c r="NL151" s="1004"/>
      <c r="NM151" s="1004"/>
      <c r="NN151" s="1004"/>
      <c r="NO151" s="1004"/>
      <c r="NP151" s="1004"/>
      <c r="NQ151" s="1004"/>
      <c r="NR151" s="1004"/>
      <c r="NS151" s="1004"/>
      <c r="NT151" s="1004"/>
      <c r="NU151" s="1004"/>
      <c r="NV151" s="1004"/>
      <c r="NW151" s="1004"/>
      <c r="NX151" s="1004"/>
      <c r="NY151" s="1004"/>
      <c r="NZ151" s="1004"/>
      <c r="OA151" s="1004"/>
      <c r="OB151" s="1004"/>
      <c r="OC151" s="1004"/>
      <c r="OD151" s="1004"/>
      <c r="OE151" s="1004"/>
      <c r="OF151" s="1004"/>
      <c r="OG151" s="1004"/>
      <c r="OH151" s="1004"/>
      <c r="OI151" s="1004"/>
      <c r="OJ151" s="1004"/>
      <c r="OK151" s="1004"/>
      <c r="OL151" s="1004"/>
      <c r="OM151" s="1004"/>
      <c r="ON151" s="1004"/>
      <c r="OO151" s="1004"/>
      <c r="OP151" s="1004"/>
      <c r="OQ151" s="1004"/>
      <c r="OR151" s="1004"/>
      <c r="OS151" s="1004"/>
      <c r="OT151" s="1004"/>
      <c r="OU151" s="1004"/>
      <c r="OV151" s="1004"/>
      <c r="OW151" s="1004"/>
      <c r="OX151" s="1004"/>
      <c r="OY151" s="1004"/>
      <c r="OZ151" s="1004"/>
      <c r="PA151" s="1004"/>
      <c r="PB151" s="1004"/>
      <c r="PC151" s="1004"/>
      <c r="PD151" s="1004"/>
      <c r="PE151" s="1004"/>
      <c r="PF151" s="1004"/>
      <c r="PG151" s="1004"/>
      <c r="PH151" s="1004"/>
      <c r="PI151" s="1004"/>
      <c r="PJ151" s="1004"/>
      <c r="PK151" s="1004"/>
      <c r="PL151" s="1004"/>
      <c r="PM151" s="1004"/>
      <c r="PN151" s="1004"/>
      <c r="PO151" s="1004"/>
      <c r="PP151" s="1004"/>
      <c r="PQ151" s="1004"/>
      <c r="PR151" s="1004"/>
      <c r="PS151" s="1004"/>
      <c r="PT151" s="1004"/>
      <c r="PU151" s="1004"/>
      <c r="PV151" s="1004"/>
      <c r="PW151" s="1004"/>
      <c r="PX151" s="1004"/>
      <c r="PY151" s="1004"/>
      <c r="PZ151" s="1004"/>
      <c r="QA151" s="1004"/>
      <c r="QB151" s="1004"/>
      <c r="QC151" s="1004"/>
      <c r="QD151" s="1004"/>
      <c r="QE151" s="1004"/>
      <c r="QF151" s="1004"/>
      <c r="QG151" s="1004"/>
      <c r="QH151" s="1004"/>
      <c r="QI151" s="1004"/>
      <c r="QJ151" s="1004"/>
      <c r="QK151" s="1004"/>
      <c r="QL151" s="1004"/>
      <c r="QM151" s="1004"/>
      <c r="QN151" s="1004"/>
      <c r="QO151" s="1004"/>
      <c r="QP151" s="1004"/>
      <c r="QQ151" s="1004"/>
      <c r="QR151" s="1004"/>
      <c r="QS151" s="1004"/>
      <c r="QT151" s="1004"/>
      <c r="QU151" s="1004"/>
      <c r="QV151" s="1004"/>
      <c r="QW151" s="1004"/>
      <c r="QX151" s="1004"/>
      <c r="QY151" s="1004"/>
      <c r="QZ151" s="1004"/>
      <c r="RA151" s="1004"/>
      <c r="RB151" s="1004"/>
      <c r="RC151" s="1004"/>
      <c r="RD151" s="1004"/>
      <c r="RE151" s="1004"/>
      <c r="RF151" s="1004"/>
      <c r="RG151" s="1004"/>
      <c r="RH151" s="1004"/>
      <c r="RI151" s="1004"/>
      <c r="RJ151" s="1004"/>
      <c r="RK151" s="1004"/>
      <c r="RL151" s="1004"/>
      <c r="RM151" s="1004"/>
      <c r="RN151" s="1004"/>
      <c r="RO151" s="1004"/>
      <c r="RP151" s="1004"/>
      <c r="RQ151" s="1004"/>
      <c r="RR151" s="1004"/>
      <c r="RS151" s="1004"/>
      <c r="RT151" s="1004"/>
      <c r="RU151" s="1004"/>
      <c r="RV151" s="1004"/>
      <c r="RW151" s="1004"/>
      <c r="RX151" s="1004"/>
      <c r="RY151" s="1004"/>
      <c r="RZ151" s="1004"/>
      <c r="SA151" s="1004"/>
      <c r="SB151" s="1004"/>
      <c r="SC151" s="1004"/>
      <c r="SD151" s="1004"/>
      <c r="SE151" s="1004"/>
      <c r="SF151" s="1004"/>
      <c r="SG151" s="1004"/>
      <c r="SH151" s="1004"/>
      <c r="SI151" s="1004"/>
      <c r="SJ151" s="1004"/>
      <c r="SK151" s="1004"/>
      <c r="SL151" s="1004"/>
      <c r="SM151" s="1004"/>
      <c r="SN151" s="1004"/>
      <c r="SO151" s="1004"/>
      <c r="SP151" s="1004"/>
      <c r="SQ151" s="1004"/>
      <c r="SR151" s="1004"/>
      <c r="SS151" s="1004"/>
      <c r="ST151" s="1004"/>
      <c r="SU151" s="1004"/>
      <c r="SV151" s="1004"/>
      <c r="SW151" s="1004"/>
      <c r="SX151" s="1004"/>
      <c r="SY151" s="1004"/>
      <c r="SZ151" s="1004"/>
      <c r="TA151" s="1004"/>
      <c r="TB151" s="1004"/>
      <c r="TC151" s="1004"/>
      <c r="TD151" s="1004"/>
      <c r="TE151" s="1004"/>
      <c r="TF151" s="1004"/>
      <c r="TG151" s="1004"/>
      <c r="TH151" s="1004"/>
      <c r="TI151" s="1004"/>
      <c r="TJ151" s="1004"/>
      <c r="TK151" s="1004"/>
      <c r="TL151" s="1004"/>
      <c r="TM151" s="1004"/>
      <c r="TN151" s="1004"/>
      <c r="TO151" s="1004"/>
      <c r="TP151" s="1004"/>
      <c r="TQ151" s="1004"/>
      <c r="TR151" s="1004"/>
      <c r="TS151" s="1004"/>
      <c r="TT151" s="1004"/>
      <c r="TU151" s="1004"/>
      <c r="TV151" s="1004"/>
      <c r="TW151" s="1004"/>
      <c r="TX151" s="1004"/>
      <c r="TY151" s="1004"/>
      <c r="TZ151" s="1004"/>
      <c r="UA151" s="1004"/>
      <c r="UB151" s="1004"/>
      <c r="UC151" s="1004"/>
      <c r="UD151" s="1004"/>
      <c r="UE151" s="1004"/>
      <c r="UF151" s="1004"/>
      <c r="UG151" s="1004"/>
      <c r="UH151" s="1004"/>
      <c r="UI151" s="1004"/>
      <c r="UJ151" s="1004"/>
      <c r="UK151" s="1004"/>
      <c r="UL151" s="1004"/>
      <c r="UM151" s="1004"/>
      <c r="UN151" s="1004"/>
      <c r="UO151" s="1004"/>
      <c r="UP151" s="1004"/>
      <c r="UQ151" s="1004"/>
      <c r="UR151" s="1004"/>
      <c r="US151" s="1004"/>
      <c r="UT151" s="1004"/>
      <c r="UU151" s="1004"/>
      <c r="UV151" s="1004"/>
      <c r="UW151" s="1004"/>
      <c r="UX151" s="1004"/>
      <c r="UY151" s="1004"/>
      <c r="UZ151" s="1004"/>
      <c r="VA151" s="1004"/>
      <c r="VB151" s="1004"/>
      <c r="VC151" s="1004"/>
      <c r="VD151" s="1004"/>
      <c r="VE151" s="1004"/>
      <c r="VF151" s="1004"/>
      <c r="VG151" s="1004"/>
      <c r="VH151" s="1004"/>
      <c r="VI151" s="1004"/>
      <c r="VJ151" s="1004"/>
      <c r="VK151" s="1004"/>
      <c r="VL151" s="1004"/>
      <c r="VM151" s="1004"/>
      <c r="VN151" s="1004"/>
      <c r="VO151" s="1004"/>
      <c r="VP151" s="1004"/>
      <c r="VQ151" s="1004"/>
      <c r="VR151" s="1004"/>
      <c r="VS151" s="1004"/>
      <c r="VT151" s="1004"/>
      <c r="VU151" s="1004"/>
      <c r="VV151" s="1004"/>
      <c r="VW151" s="1004"/>
      <c r="VX151" s="1004"/>
      <c r="VY151" s="1004"/>
      <c r="VZ151" s="1004"/>
      <c r="WA151" s="1004"/>
      <c r="WB151" s="1004"/>
      <c r="WC151" s="1004"/>
      <c r="WD151" s="1004"/>
      <c r="WE151" s="1004"/>
      <c r="WF151" s="1004"/>
      <c r="WG151" s="1004"/>
      <c r="WH151" s="1004"/>
      <c r="WI151" s="1004"/>
      <c r="WJ151" s="1004"/>
      <c r="WK151" s="1004"/>
      <c r="WL151" s="1004"/>
      <c r="WM151" s="1004"/>
      <c r="WN151" s="1004"/>
      <c r="WO151" s="1004"/>
      <c r="WP151" s="1004"/>
      <c r="WQ151" s="1004"/>
      <c r="WR151" s="1004"/>
      <c r="WS151" s="1004"/>
      <c r="WT151" s="1004"/>
      <c r="WU151" s="1004"/>
      <c r="WV151" s="1004"/>
      <c r="WW151" s="1004"/>
      <c r="WX151" s="1004"/>
      <c r="WY151" s="1004"/>
      <c r="WZ151" s="1004"/>
      <c r="XA151" s="1004"/>
      <c r="XB151" s="1004"/>
      <c r="XC151" s="1004"/>
      <c r="XD151" s="1004"/>
      <c r="XE151" s="1004"/>
      <c r="XF151" s="1004"/>
      <c r="XG151" s="1004"/>
      <c r="XH151" s="1004"/>
      <c r="XI151" s="1004"/>
      <c r="XJ151" s="1004"/>
      <c r="XK151" s="1004"/>
      <c r="XL151" s="1004"/>
      <c r="XM151" s="1004"/>
      <c r="XN151" s="1004"/>
      <c r="XO151" s="1004"/>
      <c r="XP151" s="1004"/>
      <c r="XQ151" s="1004"/>
      <c r="XR151" s="1004"/>
      <c r="XS151" s="1004"/>
      <c r="XT151" s="1004"/>
      <c r="XU151" s="1004"/>
      <c r="XV151" s="1004"/>
      <c r="XW151" s="1004"/>
      <c r="XX151" s="1004"/>
      <c r="XY151" s="1004"/>
      <c r="XZ151" s="1004"/>
      <c r="YA151" s="1004"/>
      <c r="YB151" s="1004"/>
      <c r="YC151" s="1004"/>
      <c r="YD151" s="1004"/>
      <c r="YE151" s="1004"/>
      <c r="YF151" s="1004"/>
      <c r="YG151" s="1004"/>
      <c r="YH151" s="1004"/>
      <c r="YI151" s="1004"/>
      <c r="YJ151" s="1004"/>
      <c r="YK151" s="1004"/>
      <c r="YL151" s="1004"/>
      <c r="YM151" s="1004"/>
      <c r="YN151" s="1004"/>
      <c r="YO151" s="1004"/>
      <c r="YP151" s="1004"/>
      <c r="YQ151" s="1004"/>
      <c r="YR151" s="1004"/>
      <c r="YS151" s="1004"/>
      <c r="YT151" s="1004"/>
      <c r="YU151" s="1004"/>
      <c r="YV151" s="1004"/>
      <c r="YW151" s="1004"/>
      <c r="YX151" s="1004"/>
      <c r="YY151" s="1004"/>
      <c r="YZ151" s="1004"/>
      <c r="ZA151" s="1004"/>
      <c r="ZB151" s="1004"/>
      <c r="ZC151" s="1004"/>
      <c r="ZD151" s="1004"/>
      <c r="ZE151" s="1004"/>
      <c r="ZF151" s="1004"/>
      <c r="ZG151" s="1004"/>
      <c r="ZH151" s="1004"/>
      <c r="ZI151" s="1004"/>
      <c r="ZJ151" s="1004"/>
      <c r="ZK151" s="1004"/>
      <c r="ZL151" s="1004"/>
      <c r="ZM151" s="1004"/>
      <c r="ZN151" s="1004"/>
      <c r="ZO151" s="1004"/>
      <c r="ZP151" s="1004"/>
      <c r="ZQ151" s="1004"/>
      <c r="ZR151" s="1004"/>
      <c r="ZS151" s="1004"/>
      <c r="ZT151" s="1004"/>
      <c r="ZU151" s="1004"/>
      <c r="ZV151" s="1004"/>
      <c r="ZW151" s="1004"/>
      <c r="ZX151" s="1004"/>
      <c r="ZY151" s="1004"/>
      <c r="ZZ151" s="1004"/>
      <c r="AAA151" s="1004"/>
      <c r="AAB151" s="1004"/>
      <c r="AAC151" s="1004"/>
      <c r="AAD151" s="1004"/>
      <c r="AAE151" s="1004"/>
      <c r="AAF151" s="1004"/>
      <c r="AAG151" s="1004"/>
      <c r="AAH151" s="1004"/>
      <c r="AAI151" s="1004"/>
      <c r="AAJ151" s="1004"/>
      <c r="AAK151" s="1004"/>
      <c r="AAL151" s="1004"/>
      <c r="AAM151" s="1004"/>
      <c r="AAN151" s="1004"/>
      <c r="AAO151" s="1004"/>
      <c r="AAP151" s="1004"/>
      <c r="AAQ151" s="1004"/>
      <c r="AAR151" s="1004"/>
      <c r="AAS151" s="1004"/>
      <c r="AAT151" s="1004"/>
      <c r="AAU151" s="1004"/>
      <c r="AAV151" s="1004"/>
      <c r="AAW151" s="1004"/>
      <c r="AAX151" s="1004"/>
      <c r="AAY151" s="1004"/>
      <c r="AAZ151" s="1004"/>
      <c r="ABA151" s="1004"/>
      <c r="ABB151" s="1004"/>
      <c r="ABC151" s="1004"/>
      <c r="ABD151" s="1004"/>
      <c r="ABE151" s="1004"/>
      <c r="ABF151" s="1004"/>
      <c r="ABG151" s="1004"/>
      <c r="ABH151" s="1004"/>
      <c r="ABI151" s="1004"/>
      <c r="ABJ151" s="1004"/>
      <c r="ABK151" s="1004"/>
      <c r="ABL151" s="1004"/>
      <c r="ABM151" s="1004"/>
      <c r="ABN151" s="1004"/>
      <c r="ABO151" s="1004"/>
      <c r="ABP151" s="1004"/>
      <c r="ABQ151" s="1004"/>
      <c r="ABR151" s="1004"/>
    </row>
    <row r="152" spans="1:746" s="112" customFormat="1" ht="12" hidden="1" customHeight="1" thickBot="1">
      <c r="A152" s="2348"/>
      <c r="B152" s="354" t="s">
        <v>1283</v>
      </c>
      <c r="C152" s="2358"/>
      <c r="D152" s="134"/>
      <c r="E152" s="347" t="s">
        <v>1</v>
      </c>
      <c r="F152" s="1240"/>
      <c r="G152" s="347">
        <v>0.25</v>
      </c>
      <c r="H152" s="597"/>
      <c r="I152" s="2364"/>
      <c r="J152" s="2192"/>
      <c r="K152" s="2192"/>
      <c r="L152" s="2192"/>
      <c r="M152" s="2192"/>
      <c r="N152" s="2192"/>
      <c r="O152" s="2192"/>
      <c r="P152" s="2192"/>
      <c r="Q152" s="2192"/>
      <c r="R152" s="2192"/>
      <c r="S152" s="2192"/>
      <c r="T152" s="368"/>
      <c r="U152" s="368"/>
      <c r="V152" s="368"/>
      <c r="W152" s="368"/>
      <c r="X152" s="368"/>
      <c r="Y152" s="368"/>
      <c r="Z152" s="368"/>
      <c r="AA152" s="368"/>
      <c r="AB152" s="368"/>
      <c r="AC152" s="368"/>
      <c r="AD152" s="368"/>
      <c r="AE152" s="368"/>
      <c r="AF152" s="1966"/>
      <c r="AG152" s="1042"/>
      <c r="AH152" s="2229">
        <v>0.2</v>
      </c>
      <c r="AI152" s="1817"/>
      <c r="AJ152" s="1956">
        <f>IF(fx!$C$57=1,SUMIF(fx!I$57:T$57,1,I152:T152),IF(fx!$C$57=2,SUMIF(fx!O$57:AF$57,1,O152:AF152)))</f>
        <v>0</v>
      </c>
      <c r="AK152" s="328"/>
      <c r="AL152" s="902">
        <f>IF(fx!$C$57=1,SUM(U152:AF152),0)</f>
        <v>0</v>
      </c>
      <c r="AM152" s="1005"/>
      <c r="AN152" s="1024"/>
      <c r="AO152" s="1945"/>
      <c r="AP152" s="1935"/>
      <c r="AQ152" s="1936"/>
      <c r="AR152" s="1958"/>
      <c r="AS152" s="1958"/>
      <c r="AT152" s="1958"/>
      <c r="AU152" s="1958"/>
      <c r="AV152" s="1958"/>
      <c r="AW152" s="1958"/>
      <c r="AX152" s="1958"/>
      <c r="AY152" s="1958"/>
      <c r="AZ152" s="1958"/>
      <c r="BA152" s="1958"/>
      <c r="BB152" s="1958"/>
      <c r="BC152" s="1958"/>
      <c r="BD152" s="1958"/>
      <c r="BE152" s="1958"/>
      <c r="BF152" s="1958"/>
      <c r="BG152" s="1958"/>
      <c r="BH152" s="1958"/>
      <c r="BI152" s="1958"/>
      <c r="BJ152" s="1958"/>
      <c r="BK152" s="1958"/>
      <c r="BL152" s="1958"/>
      <c r="BM152" s="1958"/>
      <c r="BN152" s="1958"/>
      <c r="BO152" s="1958"/>
      <c r="BP152" s="1004"/>
      <c r="BQ152" s="1004"/>
      <c r="BR152" s="1004"/>
      <c r="BS152" s="1004"/>
      <c r="BT152" s="1004"/>
      <c r="BU152" s="1004"/>
      <c r="BV152" s="1004"/>
      <c r="BW152" s="1004"/>
      <c r="BX152" s="1004"/>
      <c r="BY152" s="1004"/>
      <c r="BZ152" s="1004"/>
      <c r="CA152" s="1004"/>
      <c r="CB152" s="1004"/>
      <c r="CC152" s="1004"/>
      <c r="CD152" s="1004"/>
      <c r="CE152" s="1004"/>
      <c r="CF152" s="1004"/>
      <c r="CG152" s="1004"/>
      <c r="CH152" s="1004"/>
      <c r="CI152" s="1004"/>
      <c r="CJ152" s="1004"/>
      <c r="CK152" s="1004"/>
      <c r="CL152" s="1004"/>
      <c r="CM152" s="1004"/>
      <c r="CN152" s="1004"/>
      <c r="CO152" s="1004"/>
      <c r="CP152" s="1004"/>
      <c r="CQ152" s="1004"/>
      <c r="CR152" s="1004"/>
      <c r="CS152" s="1004"/>
      <c r="CT152" s="1004"/>
      <c r="CU152" s="1004"/>
      <c r="CV152" s="1004"/>
      <c r="CW152" s="1004"/>
      <c r="CX152" s="1004"/>
      <c r="CY152" s="1004"/>
      <c r="CZ152" s="1004"/>
      <c r="DA152" s="1004"/>
      <c r="DB152" s="1004"/>
      <c r="DC152" s="1004"/>
      <c r="DD152" s="1004"/>
      <c r="DE152" s="1004"/>
      <c r="DF152" s="1004"/>
      <c r="DG152" s="1004"/>
      <c r="DH152" s="1004"/>
      <c r="DI152" s="1004"/>
      <c r="DJ152" s="1004"/>
      <c r="DK152" s="1004"/>
      <c r="DL152" s="1004"/>
      <c r="DM152" s="1004"/>
      <c r="DN152" s="1004"/>
      <c r="DO152" s="1004"/>
      <c r="DP152" s="1004"/>
      <c r="DQ152" s="1004"/>
      <c r="DR152" s="1004"/>
      <c r="DS152" s="1004"/>
      <c r="DT152" s="1004"/>
      <c r="DU152" s="1004"/>
      <c r="DV152" s="1004"/>
      <c r="DW152" s="1004"/>
      <c r="DX152" s="1004"/>
      <c r="DY152" s="1004"/>
      <c r="DZ152" s="1004"/>
      <c r="EA152" s="1004"/>
      <c r="EB152" s="1004"/>
      <c r="EC152" s="1004"/>
      <c r="ED152" s="1004"/>
      <c r="EE152" s="1004"/>
      <c r="EF152" s="1004"/>
      <c r="EG152" s="1004"/>
      <c r="EH152" s="1004"/>
      <c r="EI152" s="1004"/>
      <c r="EJ152" s="1004"/>
      <c r="EK152" s="1004"/>
      <c r="EL152" s="1004"/>
      <c r="EM152" s="1004"/>
      <c r="EN152" s="1004"/>
      <c r="EO152" s="1004"/>
      <c r="EP152" s="1004"/>
      <c r="EQ152" s="1004"/>
      <c r="ER152" s="1004"/>
      <c r="ES152" s="1004"/>
      <c r="ET152" s="1004"/>
      <c r="EU152" s="1004"/>
      <c r="EV152" s="1004"/>
      <c r="EW152" s="1004"/>
      <c r="EX152" s="1004"/>
      <c r="EY152" s="1004"/>
      <c r="EZ152" s="1004"/>
      <c r="FA152" s="1004"/>
      <c r="FB152" s="1004"/>
      <c r="FC152" s="1004"/>
      <c r="FD152" s="1004"/>
      <c r="FE152" s="1004"/>
      <c r="FF152" s="1004"/>
      <c r="FG152" s="1004"/>
      <c r="FH152" s="1004"/>
      <c r="FI152" s="1004"/>
      <c r="FJ152" s="1004"/>
      <c r="FK152" s="1004"/>
      <c r="FL152" s="1004"/>
      <c r="FM152" s="1004"/>
      <c r="FN152" s="1004"/>
      <c r="FO152" s="1004"/>
      <c r="FP152" s="1004"/>
      <c r="FQ152" s="1004"/>
      <c r="FR152" s="1004"/>
      <c r="FS152" s="1004"/>
      <c r="FT152" s="1004"/>
      <c r="FU152" s="1004"/>
      <c r="FV152" s="1004"/>
      <c r="FW152" s="1004"/>
      <c r="FX152" s="1004"/>
      <c r="FY152" s="1004"/>
      <c r="FZ152" s="1004"/>
      <c r="GA152" s="1004"/>
      <c r="GB152" s="1004"/>
      <c r="GC152" s="1004"/>
      <c r="GD152" s="1004"/>
      <c r="GE152" s="1004"/>
      <c r="GF152" s="1004"/>
      <c r="GG152" s="1004"/>
      <c r="GH152" s="1004"/>
      <c r="GI152" s="1004"/>
      <c r="GJ152" s="1004"/>
      <c r="GK152" s="1004"/>
      <c r="GL152" s="1004"/>
      <c r="GM152" s="1004"/>
      <c r="GN152" s="1004"/>
      <c r="GO152" s="1004"/>
      <c r="GP152" s="1004"/>
      <c r="GQ152" s="1004"/>
      <c r="GR152" s="1004"/>
      <c r="GS152" s="1004"/>
      <c r="GT152" s="1004"/>
      <c r="GU152" s="1004"/>
      <c r="GV152" s="1004"/>
      <c r="GW152" s="1004"/>
      <c r="GX152" s="1004"/>
      <c r="GY152" s="1004"/>
      <c r="GZ152" s="1004"/>
      <c r="HA152" s="1004"/>
      <c r="HB152" s="1004"/>
      <c r="HC152" s="1004"/>
      <c r="HD152" s="1004"/>
      <c r="HE152" s="1004"/>
      <c r="HF152" s="1004"/>
      <c r="HG152" s="1004"/>
      <c r="HH152" s="1004"/>
      <c r="HI152" s="1004"/>
      <c r="HJ152" s="1004"/>
      <c r="HK152" s="1004"/>
      <c r="HL152" s="1004"/>
      <c r="HM152" s="1004"/>
      <c r="HN152" s="1004"/>
      <c r="HO152" s="1004"/>
      <c r="HP152" s="1004"/>
      <c r="HQ152" s="1004"/>
      <c r="HR152" s="1004"/>
      <c r="HS152" s="1004"/>
      <c r="HT152" s="1004"/>
      <c r="HU152" s="1004"/>
      <c r="HV152" s="1004"/>
      <c r="HW152" s="1004"/>
      <c r="HX152" s="1004"/>
      <c r="HY152" s="1004"/>
      <c r="HZ152" s="1004"/>
      <c r="IA152" s="1004"/>
      <c r="IB152" s="1004"/>
      <c r="IC152" s="1004"/>
      <c r="ID152" s="1004"/>
      <c r="IE152" s="1004"/>
      <c r="IF152" s="1004"/>
      <c r="IG152" s="1004"/>
      <c r="IH152" s="1004"/>
      <c r="II152" s="1004"/>
      <c r="IJ152" s="1004"/>
      <c r="IK152" s="1004"/>
      <c r="IL152" s="1004"/>
      <c r="IM152" s="1004"/>
      <c r="IN152" s="1004"/>
      <c r="IO152" s="1004"/>
      <c r="IP152" s="1004"/>
      <c r="IQ152" s="1004"/>
      <c r="IR152" s="1004"/>
      <c r="IS152" s="1004"/>
      <c r="IT152" s="1004"/>
      <c r="IU152" s="1004"/>
      <c r="IV152" s="1004"/>
      <c r="IW152" s="1004"/>
      <c r="IX152" s="1004"/>
      <c r="IY152" s="1004"/>
      <c r="IZ152" s="1004"/>
      <c r="JA152" s="1004"/>
      <c r="JB152" s="1004"/>
      <c r="JC152" s="1004"/>
      <c r="JD152" s="1004"/>
      <c r="JE152" s="1004"/>
      <c r="JF152" s="1004"/>
      <c r="JG152" s="1004"/>
      <c r="JH152" s="1004"/>
      <c r="JI152" s="1004"/>
      <c r="JJ152" s="1004"/>
      <c r="JK152" s="1004"/>
      <c r="JL152" s="1004"/>
      <c r="JM152" s="1004"/>
      <c r="JN152" s="1004"/>
      <c r="JO152" s="1004"/>
      <c r="JP152" s="1004"/>
      <c r="JQ152" s="1004"/>
      <c r="JR152" s="1004"/>
      <c r="JS152" s="1004"/>
      <c r="JT152" s="1004"/>
      <c r="JU152" s="1004"/>
      <c r="JV152" s="1004"/>
      <c r="JW152" s="1004"/>
      <c r="JX152" s="1004"/>
      <c r="JY152" s="1004"/>
      <c r="JZ152" s="1004"/>
      <c r="KA152" s="1004"/>
      <c r="KB152" s="1004"/>
      <c r="KC152" s="1004"/>
      <c r="KD152" s="1004"/>
      <c r="KE152" s="1004"/>
      <c r="KF152" s="1004"/>
      <c r="KG152" s="1004"/>
      <c r="KH152" s="1004"/>
      <c r="KI152" s="1004"/>
      <c r="KJ152" s="1004"/>
      <c r="KK152" s="1004"/>
      <c r="KL152" s="1004"/>
      <c r="KM152" s="1004"/>
      <c r="KN152" s="1004"/>
      <c r="KO152" s="1004"/>
      <c r="KP152" s="1004"/>
      <c r="KQ152" s="1004"/>
      <c r="KR152" s="1004"/>
      <c r="KS152" s="1004"/>
      <c r="KT152" s="1004"/>
      <c r="KU152" s="1004"/>
      <c r="KV152" s="1004"/>
      <c r="KW152" s="1004"/>
      <c r="KX152" s="1004"/>
      <c r="KY152" s="1004"/>
      <c r="KZ152" s="1004"/>
      <c r="LA152" s="1004"/>
      <c r="LB152" s="1004"/>
      <c r="LC152" s="1004"/>
      <c r="LD152" s="1004"/>
      <c r="LE152" s="1004"/>
      <c r="LF152" s="1004"/>
      <c r="LG152" s="1004"/>
      <c r="LH152" s="1004"/>
      <c r="LI152" s="1004"/>
      <c r="LJ152" s="1004"/>
      <c r="LK152" s="1004"/>
      <c r="LL152" s="1004"/>
      <c r="LM152" s="1004"/>
      <c r="LN152" s="1004"/>
      <c r="LO152" s="1004"/>
      <c r="LP152" s="1004"/>
      <c r="LQ152" s="1004"/>
      <c r="LR152" s="1004"/>
      <c r="LS152" s="1004"/>
      <c r="LT152" s="1004"/>
      <c r="LU152" s="1004"/>
      <c r="LV152" s="1004"/>
      <c r="LW152" s="1004"/>
      <c r="LX152" s="1004"/>
      <c r="LY152" s="1004"/>
      <c r="LZ152" s="1004"/>
      <c r="MA152" s="1004"/>
      <c r="MB152" s="1004"/>
      <c r="MC152" s="1004"/>
      <c r="MD152" s="1004"/>
      <c r="ME152" s="1004"/>
      <c r="MF152" s="1004"/>
      <c r="MG152" s="1004"/>
      <c r="MH152" s="1004"/>
      <c r="MI152" s="1004"/>
      <c r="MJ152" s="1004"/>
      <c r="MK152" s="1004"/>
      <c r="ML152" s="1004"/>
      <c r="MM152" s="1004"/>
      <c r="MN152" s="1004"/>
      <c r="MO152" s="1004"/>
      <c r="MP152" s="1004"/>
      <c r="MQ152" s="1004"/>
      <c r="MR152" s="1004"/>
      <c r="MS152" s="1004"/>
      <c r="MT152" s="1004"/>
      <c r="MU152" s="1004"/>
      <c r="MV152" s="1004"/>
      <c r="MW152" s="1004"/>
      <c r="MX152" s="1004"/>
      <c r="MY152" s="1004"/>
      <c r="MZ152" s="1004"/>
      <c r="NA152" s="1004"/>
      <c r="NB152" s="1004"/>
      <c r="NC152" s="1004"/>
      <c r="ND152" s="1004"/>
      <c r="NE152" s="1004"/>
      <c r="NF152" s="1004"/>
      <c r="NG152" s="1004"/>
      <c r="NH152" s="1004"/>
      <c r="NI152" s="1004"/>
      <c r="NJ152" s="1004"/>
      <c r="NK152" s="1004"/>
      <c r="NL152" s="1004"/>
      <c r="NM152" s="1004"/>
      <c r="NN152" s="1004"/>
      <c r="NO152" s="1004"/>
      <c r="NP152" s="1004"/>
      <c r="NQ152" s="1004"/>
      <c r="NR152" s="1004"/>
      <c r="NS152" s="1004"/>
      <c r="NT152" s="1004"/>
      <c r="NU152" s="1004"/>
      <c r="NV152" s="1004"/>
      <c r="NW152" s="1004"/>
      <c r="NX152" s="1004"/>
      <c r="NY152" s="1004"/>
      <c r="NZ152" s="1004"/>
      <c r="OA152" s="1004"/>
      <c r="OB152" s="1004"/>
      <c r="OC152" s="1004"/>
      <c r="OD152" s="1004"/>
      <c r="OE152" s="1004"/>
      <c r="OF152" s="1004"/>
      <c r="OG152" s="1004"/>
      <c r="OH152" s="1004"/>
      <c r="OI152" s="1004"/>
      <c r="OJ152" s="1004"/>
      <c r="OK152" s="1004"/>
      <c r="OL152" s="1004"/>
      <c r="OM152" s="1004"/>
      <c r="ON152" s="1004"/>
      <c r="OO152" s="1004"/>
      <c r="OP152" s="1004"/>
      <c r="OQ152" s="1004"/>
      <c r="OR152" s="1004"/>
      <c r="OS152" s="1004"/>
      <c r="OT152" s="1004"/>
      <c r="OU152" s="1004"/>
      <c r="OV152" s="1004"/>
      <c r="OW152" s="1004"/>
      <c r="OX152" s="1004"/>
      <c r="OY152" s="1004"/>
      <c r="OZ152" s="1004"/>
      <c r="PA152" s="1004"/>
      <c r="PB152" s="1004"/>
      <c r="PC152" s="1004"/>
      <c r="PD152" s="1004"/>
      <c r="PE152" s="1004"/>
      <c r="PF152" s="1004"/>
      <c r="PG152" s="1004"/>
      <c r="PH152" s="1004"/>
      <c r="PI152" s="1004"/>
      <c r="PJ152" s="1004"/>
      <c r="PK152" s="1004"/>
      <c r="PL152" s="1004"/>
      <c r="PM152" s="1004"/>
      <c r="PN152" s="1004"/>
      <c r="PO152" s="1004"/>
      <c r="PP152" s="1004"/>
      <c r="PQ152" s="1004"/>
      <c r="PR152" s="1004"/>
      <c r="PS152" s="1004"/>
      <c r="PT152" s="1004"/>
      <c r="PU152" s="1004"/>
      <c r="PV152" s="1004"/>
      <c r="PW152" s="1004"/>
      <c r="PX152" s="1004"/>
      <c r="PY152" s="1004"/>
      <c r="PZ152" s="1004"/>
      <c r="QA152" s="1004"/>
      <c r="QB152" s="1004"/>
      <c r="QC152" s="1004"/>
      <c r="QD152" s="1004"/>
      <c r="QE152" s="1004"/>
      <c r="QF152" s="1004"/>
      <c r="QG152" s="1004"/>
      <c r="QH152" s="1004"/>
      <c r="QI152" s="1004"/>
      <c r="QJ152" s="1004"/>
      <c r="QK152" s="1004"/>
      <c r="QL152" s="1004"/>
      <c r="QM152" s="1004"/>
      <c r="QN152" s="1004"/>
      <c r="QO152" s="1004"/>
      <c r="QP152" s="1004"/>
      <c r="QQ152" s="1004"/>
      <c r="QR152" s="1004"/>
      <c r="QS152" s="1004"/>
      <c r="QT152" s="1004"/>
      <c r="QU152" s="1004"/>
      <c r="QV152" s="1004"/>
      <c r="QW152" s="1004"/>
      <c r="QX152" s="1004"/>
      <c r="QY152" s="1004"/>
      <c r="QZ152" s="1004"/>
      <c r="RA152" s="1004"/>
      <c r="RB152" s="1004"/>
      <c r="RC152" s="1004"/>
      <c r="RD152" s="1004"/>
      <c r="RE152" s="1004"/>
      <c r="RF152" s="1004"/>
      <c r="RG152" s="1004"/>
      <c r="RH152" s="1004"/>
      <c r="RI152" s="1004"/>
      <c r="RJ152" s="1004"/>
      <c r="RK152" s="1004"/>
      <c r="RL152" s="1004"/>
      <c r="RM152" s="1004"/>
      <c r="RN152" s="1004"/>
      <c r="RO152" s="1004"/>
      <c r="RP152" s="1004"/>
      <c r="RQ152" s="1004"/>
      <c r="RR152" s="1004"/>
      <c r="RS152" s="1004"/>
      <c r="RT152" s="1004"/>
      <c r="RU152" s="1004"/>
      <c r="RV152" s="1004"/>
      <c r="RW152" s="1004"/>
      <c r="RX152" s="1004"/>
      <c r="RY152" s="1004"/>
      <c r="RZ152" s="1004"/>
      <c r="SA152" s="1004"/>
      <c r="SB152" s="1004"/>
      <c r="SC152" s="1004"/>
      <c r="SD152" s="1004"/>
      <c r="SE152" s="1004"/>
      <c r="SF152" s="1004"/>
      <c r="SG152" s="1004"/>
      <c r="SH152" s="1004"/>
      <c r="SI152" s="1004"/>
      <c r="SJ152" s="1004"/>
      <c r="SK152" s="1004"/>
      <c r="SL152" s="1004"/>
      <c r="SM152" s="1004"/>
      <c r="SN152" s="1004"/>
      <c r="SO152" s="1004"/>
      <c r="SP152" s="1004"/>
      <c r="SQ152" s="1004"/>
      <c r="SR152" s="1004"/>
      <c r="SS152" s="1004"/>
      <c r="ST152" s="1004"/>
      <c r="SU152" s="1004"/>
      <c r="SV152" s="1004"/>
      <c r="SW152" s="1004"/>
      <c r="SX152" s="1004"/>
      <c r="SY152" s="1004"/>
      <c r="SZ152" s="1004"/>
      <c r="TA152" s="1004"/>
      <c r="TB152" s="1004"/>
      <c r="TC152" s="1004"/>
      <c r="TD152" s="1004"/>
      <c r="TE152" s="1004"/>
      <c r="TF152" s="1004"/>
      <c r="TG152" s="1004"/>
      <c r="TH152" s="1004"/>
      <c r="TI152" s="1004"/>
      <c r="TJ152" s="1004"/>
      <c r="TK152" s="1004"/>
      <c r="TL152" s="1004"/>
      <c r="TM152" s="1004"/>
      <c r="TN152" s="1004"/>
      <c r="TO152" s="1004"/>
      <c r="TP152" s="1004"/>
      <c r="TQ152" s="1004"/>
      <c r="TR152" s="1004"/>
      <c r="TS152" s="1004"/>
      <c r="TT152" s="1004"/>
      <c r="TU152" s="1004"/>
      <c r="TV152" s="1004"/>
      <c r="TW152" s="1004"/>
      <c r="TX152" s="1004"/>
      <c r="TY152" s="1004"/>
      <c r="TZ152" s="1004"/>
      <c r="UA152" s="1004"/>
      <c r="UB152" s="1004"/>
      <c r="UC152" s="1004"/>
      <c r="UD152" s="1004"/>
      <c r="UE152" s="1004"/>
      <c r="UF152" s="1004"/>
      <c r="UG152" s="1004"/>
      <c r="UH152" s="1004"/>
      <c r="UI152" s="1004"/>
      <c r="UJ152" s="1004"/>
      <c r="UK152" s="1004"/>
      <c r="UL152" s="1004"/>
      <c r="UM152" s="1004"/>
      <c r="UN152" s="1004"/>
      <c r="UO152" s="1004"/>
      <c r="UP152" s="1004"/>
      <c r="UQ152" s="1004"/>
      <c r="UR152" s="1004"/>
      <c r="US152" s="1004"/>
      <c r="UT152" s="1004"/>
      <c r="UU152" s="1004"/>
      <c r="UV152" s="1004"/>
      <c r="UW152" s="1004"/>
      <c r="UX152" s="1004"/>
      <c r="UY152" s="1004"/>
      <c r="UZ152" s="1004"/>
      <c r="VA152" s="1004"/>
      <c r="VB152" s="1004"/>
      <c r="VC152" s="1004"/>
      <c r="VD152" s="1004"/>
      <c r="VE152" s="1004"/>
      <c r="VF152" s="1004"/>
      <c r="VG152" s="1004"/>
      <c r="VH152" s="1004"/>
      <c r="VI152" s="1004"/>
      <c r="VJ152" s="1004"/>
      <c r="VK152" s="1004"/>
      <c r="VL152" s="1004"/>
      <c r="VM152" s="1004"/>
      <c r="VN152" s="1004"/>
      <c r="VO152" s="1004"/>
      <c r="VP152" s="1004"/>
      <c r="VQ152" s="1004"/>
      <c r="VR152" s="1004"/>
      <c r="VS152" s="1004"/>
      <c r="VT152" s="1004"/>
      <c r="VU152" s="1004"/>
      <c r="VV152" s="1004"/>
      <c r="VW152" s="1004"/>
      <c r="VX152" s="1004"/>
      <c r="VY152" s="1004"/>
      <c r="VZ152" s="1004"/>
      <c r="WA152" s="1004"/>
      <c r="WB152" s="1004"/>
      <c r="WC152" s="1004"/>
      <c r="WD152" s="1004"/>
      <c r="WE152" s="1004"/>
      <c r="WF152" s="1004"/>
      <c r="WG152" s="1004"/>
      <c r="WH152" s="1004"/>
      <c r="WI152" s="1004"/>
      <c r="WJ152" s="1004"/>
      <c r="WK152" s="1004"/>
      <c r="WL152" s="1004"/>
      <c r="WM152" s="1004"/>
      <c r="WN152" s="1004"/>
      <c r="WO152" s="1004"/>
      <c r="WP152" s="1004"/>
      <c r="WQ152" s="1004"/>
      <c r="WR152" s="1004"/>
      <c r="WS152" s="1004"/>
      <c r="WT152" s="1004"/>
      <c r="WU152" s="1004"/>
      <c r="WV152" s="1004"/>
      <c r="WW152" s="1004"/>
      <c r="WX152" s="1004"/>
      <c r="WY152" s="1004"/>
      <c r="WZ152" s="1004"/>
      <c r="XA152" s="1004"/>
      <c r="XB152" s="1004"/>
      <c r="XC152" s="1004"/>
      <c r="XD152" s="1004"/>
      <c r="XE152" s="1004"/>
      <c r="XF152" s="1004"/>
      <c r="XG152" s="1004"/>
      <c r="XH152" s="1004"/>
      <c r="XI152" s="1004"/>
      <c r="XJ152" s="1004"/>
      <c r="XK152" s="1004"/>
      <c r="XL152" s="1004"/>
      <c r="XM152" s="1004"/>
      <c r="XN152" s="1004"/>
      <c r="XO152" s="1004"/>
      <c r="XP152" s="1004"/>
      <c r="XQ152" s="1004"/>
      <c r="XR152" s="1004"/>
      <c r="XS152" s="1004"/>
      <c r="XT152" s="1004"/>
      <c r="XU152" s="1004"/>
      <c r="XV152" s="1004"/>
      <c r="XW152" s="1004"/>
      <c r="XX152" s="1004"/>
      <c r="XY152" s="1004"/>
      <c r="XZ152" s="1004"/>
      <c r="YA152" s="1004"/>
      <c r="YB152" s="1004"/>
      <c r="YC152" s="1004"/>
      <c r="YD152" s="1004"/>
      <c r="YE152" s="1004"/>
      <c r="YF152" s="1004"/>
      <c r="YG152" s="1004"/>
      <c r="YH152" s="1004"/>
      <c r="YI152" s="1004"/>
      <c r="YJ152" s="1004"/>
      <c r="YK152" s="1004"/>
      <c r="YL152" s="1004"/>
      <c r="YM152" s="1004"/>
      <c r="YN152" s="1004"/>
      <c r="YO152" s="1004"/>
      <c r="YP152" s="1004"/>
      <c r="YQ152" s="1004"/>
      <c r="YR152" s="1004"/>
      <c r="YS152" s="1004"/>
      <c r="YT152" s="1004"/>
      <c r="YU152" s="1004"/>
      <c r="YV152" s="1004"/>
      <c r="YW152" s="1004"/>
      <c r="YX152" s="1004"/>
      <c r="YY152" s="1004"/>
      <c r="YZ152" s="1004"/>
      <c r="ZA152" s="1004"/>
      <c r="ZB152" s="1004"/>
      <c r="ZC152" s="1004"/>
      <c r="ZD152" s="1004"/>
      <c r="ZE152" s="1004"/>
      <c r="ZF152" s="1004"/>
      <c r="ZG152" s="1004"/>
      <c r="ZH152" s="1004"/>
      <c r="ZI152" s="1004"/>
      <c r="ZJ152" s="1004"/>
      <c r="ZK152" s="1004"/>
      <c r="ZL152" s="1004"/>
      <c r="ZM152" s="1004"/>
      <c r="ZN152" s="1004"/>
      <c r="ZO152" s="1004"/>
      <c r="ZP152" s="1004"/>
      <c r="ZQ152" s="1004"/>
      <c r="ZR152" s="1004"/>
      <c r="ZS152" s="1004"/>
      <c r="ZT152" s="1004"/>
      <c r="ZU152" s="1004"/>
      <c r="ZV152" s="1004"/>
      <c r="ZW152" s="1004"/>
      <c r="ZX152" s="1004"/>
      <c r="ZY152" s="1004"/>
      <c r="ZZ152" s="1004"/>
      <c r="AAA152" s="1004"/>
      <c r="AAB152" s="1004"/>
      <c r="AAC152" s="1004"/>
      <c r="AAD152" s="1004"/>
      <c r="AAE152" s="1004"/>
      <c r="AAF152" s="1004"/>
      <c r="AAG152" s="1004"/>
      <c r="AAH152" s="1004"/>
      <c r="AAI152" s="1004"/>
      <c r="AAJ152" s="1004"/>
      <c r="AAK152" s="1004"/>
      <c r="AAL152" s="1004"/>
      <c r="AAM152" s="1004"/>
      <c r="AAN152" s="1004"/>
      <c r="AAO152" s="1004"/>
      <c r="AAP152" s="1004"/>
      <c r="AAQ152" s="1004"/>
      <c r="AAR152" s="1004"/>
      <c r="AAS152" s="1004"/>
      <c r="AAT152" s="1004"/>
      <c r="AAU152" s="1004"/>
      <c r="AAV152" s="1004"/>
      <c r="AAW152" s="1004"/>
      <c r="AAX152" s="1004"/>
      <c r="AAY152" s="1004"/>
      <c r="AAZ152" s="1004"/>
      <c r="ABA152" s="1004"/>
      <c r="ABB152" s="1004"/>
      <c r="ABC152" s="1004"/>
      <c r="ABD152" s="1004"/>
      <c r="ABE152" s="1004"/>
      <c r="ABF152" s="1004"/>
      <c r="ABG152" s="1004"/>
      <c r="ABH152" s="1004"/>
      <c r="ABI152" s="1004"/>
      <c r="ABJ152" s="1004"/>
      <c r="ABK152" s="1004"/>
      <c r="ABL152" s="1004"/>
      <c r="ABM152" s="1004"/>
      <c r="ABN152" s="1004"/>
      <c r="ABO152" s="1004"/>
      <c r="ABP152" s="1004"/>
      <c r="ABQ152" s="1004"/>
      <c r="ABR152" s="1004"/>
    </row>
    <row r="153" spans="1:746" s="112" customFormat="1" ht="12" hidden="1" customHeight="1" thickBot="1">
      <c r="A153" s="1254"/>
      <c r="B153" s="354" t="s">
        <v>1284</v>
      </c>
      <c r="C153" s="101"/>
      <c r="D153" s="5"/>
      <c r="E153" s="347" t="s">
        <v>1</v>
      </c>
      <c r="F153" s="1240"/>
      <c r="G153" s="347">
        <v>0.25</v>
      </c>
      <c r="H153" s="2181"/>
      <c r="I153" s="2364"/>
      <c r="J153" s="2192"/>
      <c r="K153" s="2192"/>
      <c r="L153" s="2192"/>
      <c r="M153" s="2192"/>
      <c r="N153" s="2192"/>
      <c r="O153" s="2192"/>
      <c r="P153" s="2192"/>
      <c r="Q153" s="2192"/>
      <c r="R153" s="2192"/>
      <c r="S153" s="2192"/>
      <c r="T153" s="368"/>
      <c r="U153" s="368"/>
      <c r="V153" s="368"/>
      <c r="W153" s="368"/>
      <c r="X153" s="368"/>
      <c r="Y153" s="368"/>
      <c r="Z153" s="368"/>
      <c r="AA153" s="368"/>
      <c r="AB153" s="368"/>
      <c r="AC153" s="368"/>
      <c r="AD153" s="368"/>
      <c r="AE153" s="368"/>
      <c r="AF153" s="1966"/>
      <c r="AG153" s="1042"/>
      <c r="AH153" s="2229">
        <v>0.2</v>
      </c>
      <c r="AI153" s="1817"/>
      <c r="AJ153" s="1956">
        <f>IF(fx!$C$57=1,SUMIF(fx!I$57:T$57,1,I153:T153),IF(fx!$C$57=2,SUMIF(fx!O$57:AF$57,1,O153:AF153)))</f>
        <v>0</v>
      </c>
      <c r="AK153" s="328"/>
      <c r="AL153" s="902">
        <f>IF(fx!$C$57=1,SUM(U153:AF153),0)</f>
        <v>0</v>
      </c>
      <c r="AM153" s="1005"/>
      <c r="AN153" s="1024"/>
      <c r="AO153" s="1945"/>
      <c r="AP153" s="1935"/>
      <c r="AQ153" s="1936"/>
      <c r="AR153" s="1958"/>
      <c r="AS153" s="1958"/>
      <c r="AT153" s="1958"/>
      <c r="AU153" s="1958"/>
      <c r="AV153" s="1958"/>
      <c r="AW153" s="1958"/>
      <c r="AX153" s="1958"/>
      <c r="AY153" s="1958"/>
      <c r="AZ153" s="1958"/>
      <c r="BA153" s="1958"/>
      <c r="BB153" s="1958"/>
      <c r="BC153" s="1958"/>
      <c r="BD153" s="1958"/>
      <c r="BE153" s="1958"/>
      <c r="BF153" s="1958"/>
      <c r="BG153" s="1958"/>
      <c r="BH153" s="1958"/>
      <c r="BI153" s="1958"/>
      <c r="BJ153" s="1958"/>
      <c r="BK153" s="1958"/>
      <c r="BL153" s="1958"/>
      <c r="BM153" s="1958"/>
      <c r="BN153" s="1958"/>
      <c r="BO153" s="1958"/>
      <c r="BP153" s="1004"/>
      <c r="BQ153" s="1004"/>
      <c r="BR153" s="1004"/>
      <c r="BS153" s="1004"/>
      <c r="BT153" s="1004"/>
      <c r="BU153" s="1004"/>
      <c r="BV153" s="1004"/>
      <c r="BW153" s="1004"/>
      <c r="BX153" s="1004"/>
      <c r="BY153" s="1004"/>
      <c r="BZ153" s="1004"/>
      <c r="CA153" s="1004"/>
      <c r="CB153" s="1004"/>
      <c r="CC153" s="1004"/>
      <c r="CD153" s="1004"/>
      <c r="CE153" s="1004"/>
      <c r="CF153" s="1004"/>
      <c r="CG153" s="1004"/>
      <c r="CH153" s="1004"/>
      <c r="CI153" s="1004"/>
      <c r="CJ153" s="1004"/>
      <c r="CK153" s="1004"/>
      <c r="CL153" s="1004"/>
      <c r="CM153" s="1004"/>
      <c r="CN153" s="1004"/>
      <c r="CO153" s="1004"/>
      <c r="CP153" s="1004"/>
      <c r="CQ153" s="1004"/>
      <c r="CR153" s="1004"/>
      <c r="CS153" s="1004"/>
      <c r="CT153" s="1004"/>
      <c r="CU153" s="1004"/>
      <c r="CV153" s="1004"/>
      <c r="CW153" s="1004"/>
      <c r="CX153" s="1004"/>
      <c r="CY153" s="1004"/>
      <c r="CZ153" s="1004"/>
      <c r="DA153" s="1004"/>
      <c r="DB153" s="1004"/>
      <c r="DC153" s="1004"/>
      <c r="DD153" s="1004"/>
      <c r="DE153" s="1004"/>
      <c r="DF153" s="1004"/>
      <c r="DG153" s="1004"/>
      <c r="DH153" s="1004"/>
      <c r="DI153" s="1004"/>
      <c r="DJ153" s="1004"/>
      <c r="DK153" s="1004"/>
      <c r="DL153" s="1004"/>
      <c r="DM153" s="1004"/>
      <c r="DN153" s="1004"/>
      <c r="DO153" s="1004"/>
      <c r="DP153" s="1004"/>
      <c r="DQ153" s="1004"/>
      <c r="DR153" s="1004"/>
      <c r="DS153" s="1004"/>
      <c r="DT153" s="1004"/>
      <c r="DU153" s="1004"/>
      <c r="DV153" s="1004"/>
      <c r="DW153" s="1004"/>
      <c r="DX153" s="1004"/>
      <c r="DY153" s="1004"/>
      <c r="DZ153" s="1004"/>
      <c r="EA153" s="1004"/>
      <c r="EB153" s="1004"/>
      <c r="EC153" s="1004"/>
      <c r="ED153" s="1004"/>
      <c r="EE153" s="1004"/>
      <c r="EF153" s="1004"/>
      <c r="EG153" s="1004"/>
      <c r="EH153" s="1004"/>
      <c r="EI153" s="1004"/>
      <c r="EJ153" s="1004"/>
      <c r="EK153" s="1004"/>
      <c r="EL153" s="1004"/>
      <c r="EM153" s="1004"/>
      <c r="EN153" s="1004"/>
      <c r="EO153" s="1004"/>
      <c r="EP153" s="1004"/>
      <c r="EQ153" s="1004"/>
      <c r="ER153" s="1004"/>
      <c r="ES153" s="1004"/>
      <c r="ET153" s="1004"/>
      <c r="EU153" s="1004"/>
      <c r="EV153" s="1004"/>
      <c r="EW153" s="1004"/>
      <c r="EX153" s="1004"/>
      <c r="EY153" s="1004"/>
      <c r="EZ153" s="1004"/>
      <c r="FA153" s="1004"/>
      <c r="FB153" s="1004"/>
      <c r="FC153" s="1004"/>
      <c r="FD153" s="1004"/>
      <c r="FE153" s="1004"/>
      <c r="FF153" s="1004"/>
      <c r="FG153" s="1004"/>
      <c r="FH153" s="1004"/>
      <c r="FI153" s="1004"/>
      <c r="FJ153" s="1004"/>
      <c r="FK153" s="1004"/>
      <c r="FL153" s="1004"/>
      <c r="FM153" s="1004"/>
      <c r="FN153" s="1004"/>
      <c r="FO153" s="1004"/>
      <c r="FP153" s="1004"/>
      <c r="FQ153" s="1004"/>
      <c r="FR153" s="1004"/>
      <c r="FS153" s="1004"/>
      <c r="FT153" s="1004"/>
      <c r="FU153" s="1004"/>
      <c r="FV153" s="1004"/>
      <c r="FW153" s="1004"/>
      <c r="FX153" s="1004"/>
      <c r="FY153" s="1004"/>
      <c r="FZ153" s="1004"/>
      <c r="GA153" s="1004"/>
      <c r="GB153" s="1004"/>
      <c r="GC153" s="1004"/>
      <c r="GD153" s="1004"/>
      <c r="GE153" s="1004"/>
      <c r="GF153" s="1004"/>
      <c r="GG153" s="1004"/>
      <c r="GH153" s="1004"/>
      <c r="GI153" s="1004"/>
      <c r="GJ153" s="1004"/>
      <c r="GK153" s="1004"/>
      <c r="GL153" s="1004"/>
      <c r="GM153" s="1004"/>
      <c r="GN153" s="1004"/>
      <c r="GO153" s="1004"/>
      <c r="GP153" s="1004"/>
      <c r="GQ153" s="1004"/>
      <c r="GR153" s="1004"/>
      <c r="GS153" s="1004"/>
      <c r="GT153" s="1004"/>
      <c r="GU153" s="1004"/>
      <c r="GV153" s="1004"/>
      <c r="GW153" s="1004"/>
      <c r="GX153" s="1004"/>
      <c r="GY153" s="1004"/>
      <c r="GZ153" s="1004"/>
      <c r="HA153" s="1004"/>
      <c r="HB153" s="1004"/>
      <c r="HC153" s="1004"/>
      <c r="HD153" s="1004"/>
      <c r="HE153" s="1004"/>
      <c r="HF153" s="1004"/>
      <c r="HG153" s="1004"/>
      <c r="HH153" s="1004"/>
      <c r="HI153" s="1004"/>
      <c r="HJ153" s="1004"/>
      <c r="HK153" s="1004"/>
      <c r="HL153" s="1004"/>
      <c r="HM153" s="1004"/>
      <c r="HN153" s="1004"/>
      <c r="HO153" s="1004"/>
      <c r="HP153" s="1004"/>
      <c r="HQ153" s="1004"/>
      <c r="HR153" s="1004"/>
      <c r="HS153" s="1004"/>
      <c r="HT153" s="1004"/>
      <c r="HU153" s="1004"/>
      <c r="HV153" s="1004"/>
      <c r="HW153" s="1004"/>
      <c r="HX153" s="1004"/>
      <c r="HY153" s="1004"/>
      <c r="HZ153" s="1004"/>
      <c r="IA153" s="1004"/>
      <c r="IB153" s="1004"/>
      <c r="IC153" s="1004"/>
      <c r="ID153" s="1004"/>
      <c r="IE153" s="1004"/>
      <c r="IF153" s="1004"/>
      <c r="IG153" s="1004"/>
      <c r="IH153" s="1004"/>
      <c r="II153" s="1004"/>
      <c r="IJ153" s="1004"/>
      <c r="IK153" s="1004"/>
      <c r="IL153" s="1004"/>
      <c r="IM153" s="1004"/>
      <c r="IN153" s="1004"/>
      <c r="IO153" s="1004"/>
      <c r="IP153" s="1004"/>
      <c r="IQ153" s="1004"/>
      <c r="IR153" s="1004"/>
      <c r="IS153" s="1004"/>
      <c r="IT153" s="1004"/>
      <c r="IU153" s="1004"/>
      <c r="IV153" s="1004"/>
      <c r="IW153" s="1004"/>
      <c r="IX153" s="1004"/>
      <c r="IY153" s="1004"/>
      <c r="IZ153" s="1004"/>
      <c r="JA153" s="1004"/>
      <c r="JB153" s="1004"/>
      <c r="JC153" s="1004"/>
      <c r="JD153" s="1004"/>
      <c r="JE153" s="1004"/>
      <c r="JF153" s="1004"/>
      <c r="JG153" s="1004"/>
      <c r="JH153" s="1004"/>
      <c r="JI153" s="1004"/>
      <c r="JJ153" s="1004"/>
      <c r="JK153" s="1004"/>
      <c r="JL153" s="1004"/>
      <c r="JM153" s="1004"/>
      <c r="JN153" s="1004"/>
      <c r="JO153" s="1004"/>
      <c r="JP153" s="1004"/>
      <c r="JQ153" s="1004"/>
      <c r="JR153" s="1004"/>
      <c r="JS153" s="1004"/>
      <c r="JT153" s="1004"/>
      <c r="JU153" s="1004"/>
      <c r="JV153" s="1004"/>
      <c r="JW153" s="1004"/>
      <c r="JX153" s="1004"/>
      <c r="JY153" s="1004"/>
      <c r="JZ153" s="1004"/>
      <c r="KA153" s="1004"/>
      <c r="KB153" s="1004"/>
      <c r="KC153" s="1004"/>
      <c r="KD153" s="1004"/>
      <c r="KE153" s="1004"/>
      <c r="KF153" s="1004"/>
      <c r="KG153" s="1004"/>
      <c r="KH153" s="1004"/>
      <c r="KI153" s="1004"/>
      <c r="KJ153" s="1004"/>
      <c r="KK153" s="1004"/>
      <c r="KL153" s="1004"/>
      <c r="KM153" s="1004"/>
      <c r="KN153" s="1004"/>
      <c r="KO153" s="1004"/>
      <c r="KP153" s="1004"/>
      <c r="KQ153" s="1004"/>
      <c r="KR153" s="1004"/>
      <c r="KS153" s="1004"/>
      <c r="KT153" s="1004"/>
      <c r="KU153" s="1004"/>
      <c r="KV153" s="1004"/>
      <c r="KW153" s="1004"/>
      <c r="KX153" s="1004"/>
      <c r="KY153" s="1004"/>
      <c r="KZ153" s="1004"/>
      <c r="LA153" s="1004"/>
      <c r="LB153" s="1004"/>
      <c r="LC153" s="1004"/>
      <c r="LD153" s="1004"/>
      <c r="LE153" s="1004"/>
      <c r="LF153" s="1004"/>
      <c r="LG153" s="1004"/>
      <c r="LH153" s="1004"/>
      <c r="LI153" s="1004"/>
      <c r="LJ153" s="1004"/>
      <c r="LK153" s="1004"/>
      <c r="LL153" s="1004"/>
      <c r="LM153" s="1004"/>
      <c r="LN153" s="1004"/>
      <c r="LO153" s="1004"/>
      <c r="LP153" s="1004"/>
      <c r="LQ153" s="1004"/>
      <c r="LR153" s="1004"/>
      <c r="LS153" s="1004"/>
      <c r="LT153" s="1004"/>
      <c r="LU153" s="1004"/>
      <c r="LV153" s="1004"/>
      <c r="LW153" s="1004"/>
      <c r="LX153" s="1004"/>
      <c r="LY153" s="1004"/>
      <c r="LZ153" s="1004"/>
      <c r="MA153" s="1004"/>
      <c r="MB153" s="1004"/>
      <c r="MC153" s="1004"/>
      <c r="MD153" s="1004"/>
      <c r="ME153" s="1004"/>
      <c r="MF153" s="1004"/>
      <c r="MG153" s="1004"/>
      <c r="MH153" s="1004"/>
      <c r="MI153" s="1004"/>
      <c r="MJ153" s="1004"/>
      <c r="MK153" s="1004"/>
      <c r="ML153" s="1004"/>
      <c r="MM153" s="1004"/>
      <c r="MN153" s="1004"/>
      <c r="MO153" s="1004"/>
      <c r="MP153" s="1004"/>
      <c r="MQ153" s="1004"/>
      <c r="MR153" s="1004"/>
      <c r="MS153" s="1004"/>
      <c r="MT153" s="1004"/>
      <c r="MU153" s="1004"/>
      <c r="MV153" s="1004"/>
      <c r="MW153" s="1004"/>
      <c r="MX153" s="1004"/>
      <c r="MY153" s="1004"/>
      <c r="MZ153" s="1004"/>
      <c r="NA153" s="1004"/>
      <c r="NB153" s="1004"/>
      <c r="NC153" s="1004"/>
      <c r="ND153" s="1004"/>
      <c r="NE153" s="1004"/>
      <c r="NF153" s="1004"/>
      <c r="NG153" s="1004"/>
      <c r="NH153" s="1004"/>
      <c r="NI153" s="1004"/>
      <c r="NJ153" s="1004"/>
      <c r="NK153" s="1004"/>
      <c r="NL153" s="1004"/>
      <c r="NM153" s="1004"/>
      <c r="NN153" s="1004"/>
      <c r="NO153" s="1004"/>
      <c r="NP153" s="1004"/>
      <c r="NQ153" s="1004"/>
      <c r="NR153" s="1004"/>
      <c r="NS153" s="1004"/>
      <c r="NT153" s="1004"/>
      <c r="NU153" s="1004"/>
      <c r="NV153" s="1004"/>
      <c r="NW153" s="1004"/>
      <c r="NX153" s="1004"/>
      <c r="NY153" s="1004"/>
      <c r="NZ153" s="1004"/>
      <c r="OA153" s="1004"/>
      <c r="OB153" s="1004"/>
      <c r="OC153" s="1004"/>
      <c r="OD153" s="1004"/>
      <c r="OE153" s="1004"/>
      <c r="OF153" s="1004"/>
      <c r="OG153" s="1004"/>
      <c r="OH153" s="1004"/>
      <c r="OI153" s="1004"/>
      <c r="OJ153" s="1004"/>
      <c r="OK153" s="1004"/>
      <c r="OL153" s="1004"/>
      <c r="OM153" s="1004"/>
      <c r="ON153" s="1004"/>
      <c r="OO153" s="1004"/>
      <c r="OP153" s="1004"/>
      <c r="OQ153" s="1004"/>
      <c r="OR153" s="1004"/>
      <c r="OS153" s="1004"/>
      <c r="OT153" s="1004"/>
      <c r="OU153" s="1004"/>
      <c r="OV153" s="1004"/>
      <c r="OW153" s="1004"/>
      <c r="OX153" s="1004"/>
      <c r="OY153" s="1004"/>
      <c r="OZ153" s="1004"/>
      <c r="PA153" s="1004"/>
      <c r="PB153" s="1004"/>
      <c r="PC153" s="1004"/>
      <c r="PD153" s="1004"/>
      <c r="PE153" s="1004"/>
      <c r="PF153" s="1004"/>
      <c r="PG153" s="1004"/>
      <c r="PH153" s="1004"/>
      <c r="PI153" s="1004"/>
      <c r="PJ153" s="1004"/>
      <c r="PK153" s="1004"/>
      <c r="PL153" s="1004"/>
      <c r="PM153" s="1004"/>
      <c r="PN153" s="1004"/>
      <c r="PO153" s="1004"/>
      <c r="PP153" s="1004"/>
      <c r="PQ153" s="1004"/>
      <c r="PR153" s="1004"/>
      <c r="PS153" s="1004"/>
      <c r="PT153" s="1004"/>
      <c r="PU153" s="1004"/>
      <c r="PV153" s="1004"/>
      <c r="PW153" s="1004"/>
      <c r="PX153" s="1004"/>
      <c r="PY153" s="1004"/>
      <c r="PZ153" s="1004"/>
      <c r="QA153" s="1004"/>
      <c r="QB153" s="1004"/>
      <c r="QC153" s="1004"/>
      <c r="QD153" s="1004"/>
      <c r="QE153" s="1004"/>
      <c r="QF153" s="1004"/>
      <c r="QG153" s="1004"/>
      <c r="QH153" s="1004"/>
      <c r="QI153" s="1004"/>
      <c r="QJ153" s="1004"/>
      <c r="QK153" s="1004"/>
      <c r="QL153" s="1004"/>
      <c r="QM153" s="1004"/>
      <c r="QN153" s="1004"/>
      <c r="QO153" s="1004"/>
      <c r="QP153" s="1004"/>
      <c r="QQ153" s="1004"/>
      <c r="QR153" s="1004"/>
      <c r="QS153" s="1004"/>
      <c r="QT153" s="1004"/>
      <c r="QU153" s="1004"/>
      <c r="QV153" s="1004"/>
      <c r="QW153" s="1004"/>
      <c r="QX153" s="1004"/>
      <c r="QY153" s="1004"/>
      <c r="QZ153" s="1004"/>
      <c r="RA153" s="1004"/>
      <c r="RB153" s="1004"/>
      <c r="RC153" s="1004"/>
      <c r="RD153" s="1004"/>
      <c r="RE153" s="1004"/>
      <c r="RF153" s="1004"/>
      <c r="RG153" s="1004"/>
      <c r="RH153" s="1004"/>
      <c r="RI153" s="1004"/>
      <c r="RJ153" s="1004"/>
      <c r="RK153" s="1004"/>
      <c r="RL153" s="1004"/>
      <c r="RM153" s="1004"/>
      <c r="RN153" s="1004"/>
      <c r="RO153" s="1004"/>
      <c r="RP153" s="1004"/>
      <c r="RQ153" s="1004"/>
      <c r="RR153" s="1004"/>
      <c r="RS153" s="1004"/>
      <c r="RT153" s="1004"/>
      <c r="RU153" s="1004"/>
      <c r="RV153" s="1004"/>
      <c r="RW153" s="1004"/>
      <c r="RX153" s="1004"/>
      <c r="RY153" s="1004"/>
      <c r="RZ153" s="1004"/>
      <c r="SA153" s="1004"/>
      <c r="SB153" s="1004"/>
      <c r="SC153" s="1004"/>
      <c r="SD153" s="1004"/>
      <c r="SE153" s="1004"/>
      <c r="SF153" s="1004"/>
      <c r="SG153" s="1004"/>
      <c r="SH153" s="1004"/>
      <c r="SI153" s="1004"/>
      <c r="SJ153" s="1004"/>
      <c r="SK153" s="1004"/>
      <c r="SL153" s="1004"/>
      <c r="SM153" s="1004"/>
      <c r="SN153" s="1004"/>
      <c r="SO153" s="1004"/>
      <c r="SP153" s="1004"/>
      <c r="SQ153" s="1004"/>
      <c r="SR153" s="1004"/>
      <c r="SS153" s="1004"/>
      <c r="ST153" s="1004"/>
      <c r="SU153" s="1004"/>
      <c r="SV153" s="1004"/>
      <c r="SW153" s="1004"/>
      <c r="SX153" s="1004"/>
      <c r="SY153" s="1004"/>
      <c r="SZ153" s="1004"/>
      <c r="TA153" s="1004"/>
      <c r="TB153" s="1004"/>
      <c r="TC153" s="1004"/>
      <c r="TD153" s="1004"/>
      <c r="TE153" s="1004"/>
      <c r="TF153" s="1004"/>
      <c r="TG153" s="1004"/>
      <c r="TH153" s="1004"/>
      <c r="TI153" s="1004"/>
      <c r="TJ153" s="1004"/>
      <c r="TK153" s="1004"/>
      <c r="TL153" s="1004"/>
      <c r="TM153" s="1004"/>
      <c r="TN153" s="1004"/>
      <c r="TO153" s="1004"/>
      <c r="TP153" s="1004"/>
      <c r="TQ153" s="1004"/>
      <c r="TR153" s="1004"/>
      <c r="TS153" s="1004"/>
      <c r="TT153" s="1004"/>
      <c r="TU153" s="1004"/>
      <c r="TV153" s="1004"/>
      <c r="TW153" s="1004"/>
      <c r="TX153" s="1004"/>
      <c r="TY153" s="1004"/>
      <c r="TZ153" s="1004"/>
      <c r="UA153" s="1004"/>
      <c r="UB153" s="1004"/>
      <c r="UC153" s="1004"/>
      <c r="UD153" s="1004"/>
      <c r="UE153" s="1004"/>
      <c r="UF153" s="1004"/>
      <c r="UG153" s="1004"/>
      <c r="UH153" s="1004"/>
      <c r="UI153" s="1004"/>
      <c r="UJ153" s="1004"/>
      <c r="UK153" s="1004"/>
      <c r="UL153" s="1004"/>
      <c r="UM153" s="1004"/>
      <c r="UN153" s="1004"/>
      <c r="UO153" s="1004"/>
      <c r="UP153" s="1004"/>
      <c r="UQ153" s="1004"/>
      <c r="UR153" s="1004"/>
      <c r="US153" s="1004"/>
      <c r="UT153" s="1004"/>
      <c r="UU153" s="1004"/>
      <c r="UV153" s="1004"/>
      <c r="UW153" s="1004"/>
      <c r="UX153" s="1004"/>
      <c r="UY153" s="1004"/>
      <c r="UZ153" s="1004"/>
      <c r="VA153" s="1004"/>
      <c r="VB153" s="1004"/>
      <c r="VC153" s="1004"/>
      <c r="VD153" s="1004"/>
      <c r="VE153" s="1004"/>
      <c r="VF153" s="1004"/>
      <c r="VG153" s="1004"/>
      <c r="VH153" s="1004"/>
      <c r="VI153" s="1004"/>
      <c r="VJ153" s="1004"/>
      <c r="VK153" s="1004"/>
      <c r="VL153" s="1004"/>
      <c r="VM153" s="1004"/>
      <c r="VN153" s="1004"/>
      <c r="VO153" s="1004"/>
      <c r="VP153" s="1004"/>
      <c r="VQ153" s="1004"/>
      <c r="VR153" s="1004"/>
      <c r="VS153" s="1004"/>
      <c r="VT153" s="1004"/>
      <c r="VU153" s="1004"/>
      <c r="VV153" s="1004"/>
      <c r="VW153" s="1004"/>
      <c r="VX153" s="1004"/>
      <c r="VY153" s="1004"/>
      <c r="VZ153" s="1004"/>
      <c r="WA153" s="1004"/>
      <c r="WB153" s="1004"/>
      <c r="WC153" s="1004"/>
      <c r="WD153" s="1004"/>
      <c r="WE153" s="1004"/>
      <c r="WF153" s="1004"/>
      <c r="WG153" s="1004"/>
      <c r="WH153" s="1004"/>
      <c r="WI153" s="1004"/>
      <c r="WJ153" s="1004"/>
      <c r="WK153" s="1004"/>
      <c r="WL153" s="1004"/>
      <c r="WM153" s="1004"/>
      <c r="WN153" s="1004"/>
      <c r="WO153" s="1004"/>
      <c r="WP153" s="1004"/>
      <c r="WQ153" s="1004"/>
      <c r="WR153" s="1004"/>
      <c r="WS153" s="1004"/>
      <c r="WT153" s="1004"/>
      <c r="WU153" s="1004"/>
      <c r="WV153" s="1004"/>
      <c r="WW153" s="1004"/>
      <c r="WX153" s="1004"/>
      <c r="WY153" s="1004"/>
      <c r="WZ153" s="1004"/>
      <c r="XA153" s="1004"/>
      <c r="XB153" s="1004"/>
      <c r="XC153" s="1004"/>
      <c r="XD153" s="1004"/>
      <c r="XE153" s="1004"/>
      <c r="XF153" s="1004"/>
      <c r="XG153" s="1004"/>
      <c r="XH153" s="1004"/>
      <c r="XI153" s="1004"/>
      <c r="XJ153" s="1004"/>
      <c r="XK153" s="1004"/>
      <c r="XL153" s="1004"/>
      <c r="XM153" s="1004"/>
      <c r="XN153" s="1004"/>
      <c r="XO153" s="1004"/>
      <c r="XP153" s="1004"/>
      <c r="XQ153" s="1004"/>
      <c r="XR153" s="1004"/>
      <c r="XS153" s="1004"/>
      <c r="XT153" s="1004"/>
      <c r="XU153" s="1004"/>
      <c r="XV153" s="1004"/>
      <c r="XW153" s="1004"/>
      <c r="XX153" s="1004"/>
      <c r="XY153" s="1004"/>
      <c r="XZ153" s="1004"/>
      <c r="YA153" s="1004"/>
      <c r="YB153" s="1004"/>
      <c r="YC153" s="1004"/>
      <c r="YD153" s="1004"/>
      <c r="YE153" s="1004"/>
      <c r="YF153" s="1004"/>
      <c r="YG153" s="1004"/>
      <c r="YH153" s="1004"/>
      <c r="YI153" s="1004"/>
      <c r="YJ153" s="1004"/>
      <c r="YK153" s="1004"/>
      <c r="YL153" s="1004"/>
      <c r="YM153" s="1004"/>
      <c r="YN153" s="1004"/>
      <c r="YO153" s="1004"/>
      <c r="YP153" s="1004"/>
      <c r="YQ153" s="1004"/>
      <c r="YR153" s="1004"/>
      <c r="YS153" s="1004"/>
      <c r="YT153" s="1004"/>
      <c r="YU153" s="1004"/>
      <c r="YV153" s="1004"/>
      <c r="YW153" s="1004"/>
      <c r="YX153" s="1004"/>
      <c r="YY153" s="1004"/>
      <c r="YZ153" s="1004"/>
      <c r="ZA153" s="1004"/>
      <c r="ZB153" s="1004"/>
      <c r="ZC153" s="1004"/>
      <c r="ZD153" s="1004"/>
      <c r="ZE153" s="1004"/>
      <c r="ZF153" s="1004"/>
      <c r="ZG153" s="1004"/>
      <c r="ZH153" s="1004"/>
      <c r="ZI153" s="1004"/>
      <c r="ZJ153" s="1004"/>
      <c r="ZK153" s="1004"/>
      <c r="ZL153" s="1004"/>
      <c r="ZM153" s="1004"/>
      <c r="ZN153" s="1004"/>
      <c r="ZO153" s="1004"/>
      <c r="ZP153" s="1004"/>
      <c r="ZQ153" s="1004"/>
      <c r="ZR153" s="1004"/>
      <c r="ZS153" s="1004"/>
      <c r="ZT153" s="1004"/>
      <c r="ZU153" s="1004"/>
      <c r="ZV153" s="1004"/>
      <c r="ZW153" s="1004"/>
      <c r="ZX153" s="1004"/>
      <c r="ZY153" s="1004"/>
      <c r="ZZ153" s="1004"/>
      <c r="AAA153" s="1004"/>
      <c r="AAB153" s="1004"/>
      <c r="AAC153" s="1004"/>
      <c r="AAD153" s="1004"/>
      <c r="AAE153" s="1004"/>
      <c r="AAF153" s="1004"/>
      <c r="AAG153" s="1004"/>
      <c r="AAH153" s="1004"/>
      <c r="AAI153" s="1004"/>
      <c r="AAJ153" s="1004"/>
      <c r="AAK153" s="1004"/>
      <c r="AAL153" s="1004"/>
      <c r="AAM153" s="1004"/>
      <c r="AAN153" s="1004"/>
      <c r="AAO153" s="1004"/>
      <c r="AAP153" s="1004"/>
      <c r="AAQ153" s="1004"/>
      <c r="AAR153" s="1004"/>
      <c r="AAS153" s="1004"/>
      <c r="AAT153" s="1004"/>
      <c r="AAU153" s="1004"/>
      <c r="AAV153" s="1004"/>
      <c r="AAW153" s="1004"/>
      <c r="AAX153" s="1004"/>
      <c r="AAY153" s="1004"/>
      <c r="AAZ153" s="1004"/>
      <c r="ABA153" s="1004"/>
      <c r="ABB153" s="1004"/>
      <c r="ABC153" s="1004"/>
      <c r="ABD153" s="1004"/>
      <c r="ABE153" s="1004"/>
      <c r="ABF153" s="1004"/>
      <c r="ABG153" s="1004"/>
      <c r="ABH153" s="1004"/>
      <c r="ABI153" s="1004"/>
      <c r="ABJ153" s="1004"/>
      <c r="ABK153" s="1004"/>
      <c r="ABL153" s="1004"/>
      <c r="ABM153" s="1004"/>
      <c r="ABN153" s="1004"/>
      <c r="ABO153" s="1004"/>
      <c r="ABP153" s="1004"/>
      <c r="ABQ153" s="1004"/>
      <c r="ABR153" s="1004"/>
    </row>
    <row r="154" spans="1:746" s="112" customFormat="1" ht="12" customHeight="1" thickBot="1">
      <c r="A154" s="1254"/>
      <c r="B154" s="2520" t="s">
        <v>755</v>
      </c>
      <c r="C154" s="2521"/>
      <c r="D154" s="2522"/>
      <c r="E154" s="3027"/>
      <c r="F154" s="3027"/>
      <c r="G154" s="3027"/>
      <c r="H154" s="2539"/>
      <c r="I154" s="334">
        <f>SUM(I138:I153)*fx!I57</f>
        <v>0</v>
      </c>
      <c r="J154" s="335">
        <f>SUM(J138:J153)*fx!J57</f>
        <v>0</v>
      </c>
      <c r="K154" s="335">
        <f>SUM(K138:K153)*fx!K57</f>
        <v>0</v>
      </c>
      <c r="L154" s="335">
        <f>SUM(L138:L153)*fx!L57</f>
        <v>0</v>
      </c>
      <c r="M154" s="335">
        <f>SUM(M138:M153)*fx!M57</f>
        <v>0</v>
      </c>
      <c r="N154" s="335">
        <f>SUM(N138:N153)*fx!N57</f>
        <v>0</v>
      </c>
      <c r="O154" s="335">
        <f>SUM(O138:O153)*fx!O57</f>
        <v>0</v>
      </c>
      <c r="P154" s="335">
        <f>SUM(P138:P153)*fx!P57</f>
        <v>0</v>
      </c>
      <c r="Q154" s="335">
        <f>SUM(Q138:Q153)*fx!Q57</f>
        <v>0</v>
      </c>
      <c r="R154" s="335">
        <f>SUM(R138:R153)*fx!R57</f>
        <v>0</v>
      </c>
      <c r="S154" s="335">
        <f>SUM(S138:S153)*fx!S57</f>
        <v>0</v>
      </c>
      <c r="T154" s="335">
        <f>SUM(T138:T153)*fx!T57</f>
        <v>0</v>
      </c>
      <c r="U154" s="335">
        <f>SUM(U138:U153)*fx!U57</f>
        <v>0</v>
      </c>
      <c r="V154" s="335">
        <f>SUM(V138:V153)*fx!V57</f>
        <v>0</v>
      </c>
      <c r="W154" s="335">
        <f>SUM(W138:W153)*fx!W57</f>
        <v>0</v>
      </c>
      <c r="X154" s="335">
        <f>SUM(X138:X153)*fx!X57</f>
        <v>0</v>
      </c>
      <c r="Y154" s="335">
        <f>SUM(Y138:Y153)*fx!Y57</f>
        <v>0</v>
      </c>
      <c r="Z154" s="335">
        <f>SUM(Z138:Z153)*fx!Z57</f>
        <v>0</v>
      </c>
      <c r="AA154" s="335">
        <f>SUM(AA138:AA153)*fx!AA57</f>
        <v>0</v>
      </c>
      <c r="AB154" s="335">
        <f>SUM(AB138:AB153)*fx!AB57</f>
        <v>0</v>
      </c>
      <c r="AC154" s="335">
        <f>SUM(AC138:AC153)*fx!AC57</f>
        <v>0</v>
      </c>
      <c r="AD154" s="335">
        <f>SUM(AD138:AD153)*fx!AD57</f>
        <v>0</v>
      </c>
      <c r="AE154" s="335">
        <f>SUM(AE138:AE153)*fx!AE57</f>
        <v>0</v>
      </c>
      <c r="AF154" s="335">
        <f>SUM(AF138:AF153)*fx!AF57</f>
        <v>0</v>
      </c>
      <c r="AG154" s="376"/>
      <c r="AI154" s="1817"/>
      <c r="AJ154" s="2231">
        <f>IF(fx!$C$57=1,SUM(I154:T154),IF(fx!$C$57=2,SUM(O154:AF154)))</f>
        <v>0</v>
      </c>
      <c r="AK154" s="434"/>
      <c r="AL154" s="771">
        <f>IF(fx!$C$57=1,SUM(U154:AF154),0)</f>
        <v>0</v>
      </c>
      <c r="AM154" s="1005"/>
      <c r="AN154" s="1919"/>
      <c r="AO154" s="1945"/>
      <c r="AP154" s="1935"/>
      <c r="AQ154" s="1936"/>
      <c r="AR154" s="1958"/>
      <c r="AS154" s="1958"/>
      <c r="AT154" s="1958"/>
      <c r="AU154" s="1958"/>
      <c r="AV154" s="1958"/>
      <c r="AW154" s="1958"/>
      <c r="AX154" s="1958"/>
      <c r="AY154" s="1958"/>
      <c r="AZ154" s="1958"/>
      <c r="BA154" s="1958"/>
      <c r="BB154" s="1958"/>
      <c r="BC154" s="1958"/>
      <c r="BD154" s="1958"/>
      <c r="BE154" s="1958"/>
      <c r="BF154" s="1958"/>
      <c r="BG154" s="1958"/>
      <c r="BH154" s="1958"/>
      <c r="BI154" s="1958"/>
      <c r="BJ154" s="1958"/>
      <c r="BK154" s="1958"/>
      <c r="BL154" s="1958"/>
      <c r="BM154" s="1958"/>
      <c r="BN154" s="1958"/>
      <c r="BO154" s="1958"/>
      <c r="BP154" s="1004"/>
      <c r="BQ154" s="1004"/>
      <c r="BR154" s="1004"/>
      <c r="BS154" s="1004"/>
      <c r="BT154" s="1004"/>
      <c r="BU154" s="1004"/>
      <c r="BV154" s="1004"/>
      <c r="BW154" s="1004"/>
      <c r="BX154" s="1004"/>
      <c r="BY154" s="1004"/>
      <c r="BZ154" s="1004"/>
      <c r="CA154" s="1004"/>
      <c r="CB154" s="1004"/>
      <c r="CC154" s="1004"/>
      <c r="CD154" s="1004"/>
      <c r="CE154" s="1004"/>
      <c r="CF154" s="1004"/>
      <c r="CG154" s="1004"/>
      <c r="CH154" s="1004"/>
      <c r="CI154" s="1004"/>
      <c r="CJ154" s="1004"/>
      <c r="CK154" s="1004"/>
      <c r="CL154" s="1004"/>
      <c r="CM154" s="1004"/>
      <c r="CN154" s="1004"/>
      <c r="CO154" s="1004"/>
      <c r="CP154" s="1004"/>
      <c r="CQ154" s="1004"/>
      <c r="CR154" s="1004"/>
      <c r="CS154" s="1004"/>
      <c r="CT154" s="1004"/>
      <c r="CU154" s="1004"/>
      <c r="CV154" s="1004"/>
      <c r="CW154" s="1004"/>
      <c r="CX154" s="1004"/>
      <c r="CY154" s="1004"/>
      <c r="CZ154" s="1004"/>
      <c r="DA154" s="1004"/>
      <c r="DB154" s="1004"/>
      <c r="DC154" s="1004"/>
      <c r="DD154" s="1004"/>
      <c r="DE154" s="1004"/>
      <c r="DF154" s="1004"/>
      <c r="DG154" s="1004"/>
      <c r="DH154" s="1004"/>
      <c r="DI154" s="1004"/>
      <c r="DJ154" s="1004"/>
      <c r="DK154" s="1004"/>
      <c r="DL154" s="1004"/>
      <c r="DM154" s="1004"/>
      <c r="DN154" s="1004"/>
      <c r="DO154" s="1004"/>
      <c r="DP154" s="1004"/>
      <c r="DQ154" s="1004"/>
      <c r="DR154" s="1004"/>
      <c r="DS154" s="1004"/>
      <c r="DT154" s="1004"/>
      <c r="DU154" s="1004"/>
      <c r="DV154" s="1004"/>
      <c r="DW154" s="1004"/>
      <c r="DX154" s="1004"/>
      <c r="DY154" s="1004"/>
      <c r="DZ154" s="1004"/>
      <c r="EA154" s="1004"/>
      <c r="EB154" s="1004"/>
      <c r="EC154" s="1004"/>
      <c r="ED154" s="1004"/>
      <c r="EE154" s="1004"/>
      <c r="EF154" s="1004"/>
      <c r="EG154" s="1004"/>
      <c r="EH154" s="1004"/>
      <c r="EI154" s="1004"/>
      <c r="EJ154" s="1004"/>
      <c r="EK154" s="1004"/>
      <c r="EL154" s="1004"/>
      <c r="EM154" s="1004"/>
      <c r="EN154" s="1004"/>
      <c r="EO154" s="1004"/>
      <c r="EP154" s="1004"/>
      <c r="EQ154" s="1004"/>
      <c r="ER154" s="1004"/>
      <c r="ES154" s="1004"/>
      <c r="ET154" s="1004"/>
      <c r="EU154" s="1004"/>
      <c r="EV154" s="1004"/>
      <c r="EW154" s="1004"/>
      <c r="EX154" s="1004"/>
      <c r="EY154" s="1004"/>
      <c r="EZ154" s="1004"/>
      <c r="FA154" s="1004"/>
      <c r="FB154" s="1004"/>
      <c r="FC154" s="1004"/>
      <c r="FD154" s="1004"/>
      <c r="FE154" s="1004"/>
      <c r="FF154" s="1004"/>
      <c r="FG154" s="1004"/>
      <c r="FH154" s="1004"/>
      <c r="FI154" s="1004"/>
      <c r="FJ154" s="1004"/>
      <c r="FK154" s="1004"/>
      <c r="FL154" s="1004"/>
      <c r="FM154" s="1004"/>
      <c r="FN154" s="1004"/>
      <c r="FO154" s="1004"/>
      <c r="FP154" s="1004"/>
      <c r="FQ154" s="1004"/>
      <c r="FR154" s="1004"/>
      <c r="FS154" s="1004"/>
      <c r="FT154" s="1004"/>
      <c r="FU154" s="1004"/>
      <c r="FV154" s="1004"/>
      <c r="FW154" s="1004"/>
      <c r="FX154" s="1004"/>
      <c r="FY154" s="1004"/>
      <c r="FZ154" s="1004"/>
      <c r="GA154" s="1004"/>
      <c r="GB154" s="1004"/>
      <c r="GC154" s="1004"/>
      <c r="GD154" s="1004"/>
      <c r="GE154" s="1004"/>
      <c r="GF154" s="1004"/>
      <c r="GG154" s="1004"/>
      <c r="GH154" s="1004"/>
      <c r="GI154" s="1004"/>
      <c r="GJ154" s="1004"/>
      <c r="GK154" s="1004"/>
      <c r="GL154" s="1004"/>
      <c r="GM154" s="1004"/>
      <c r="GN154" s="1004"/>
      <c r="GO154" s="1004"/>
      <c r="GP154" s="1004"/>
      <c r="GQ154" s="1004"/>
      <c r="GR154" s="1004"/>
      <c r="GS154" s="1004"/>
      <c r="GT154" s="1004"/>
      <c r="GU154" s="1004"/>
      <c r="GV154" s="1004"/>
      <c r="GW154" s="1004"/>
      <c r="GX154" s="1004"/>
      <c r="GY154" s="1004"/>
      <c r="GZ154" s="1004"/>
      <c r="HA154" s="1004"/>
      <c r="HB154" s="1004"/>
      <c r="HC154" s="1004"/>
      <c r="HD154" s="1004"/>
      <c r="HE154" s="1004"/>
      <c r="HF154" s="1004"/>
      <c r="HG154" s="1004"/>
      <c r="HH154" s="1004"/>
      <c r="HI154" s="1004"/>
      <c r="HJ154" s="1004"/>
      <c r="HK154" s="1004"/>
      <c r="HL154" s="1004"/>
      <c r="HM154" s="1004"/>
      <c r="HN154" s="1004"/>
      <c r="HO154" s="1004"/>
      <c r="HP154" s="1004"/>
      <c r="HQ154" s="1004"/>
      <c r="HR154" s="1004"/>
      <c r="HS154" s="1004"/>
      <c r="HT154" s="1004"/>
      <c r="HU154" s="1004"/>
      <c r="HV154" s="1004"/>
      <c r="HW154" s="1004"/>
      <c r="HX154" s="1004"/>
      <c r="HY154" s="1004"/>
      <c r="HZ154" s="1004"/>
      <c r="IA154" s="1004"/>
      <c r="IB154" s="1004"/>
      <c r="IC154" s="1004"/>
      <c r="ID154" s="1004"/>
      <c r="IE154" s="1004"/>
      <c r="IF154" s="1004"/>
      <c r="IG154" s="1004"/>
      <c r="IH154" s="1004"/>
      <c r="II154" s="1004"/>
      <c r="IJ154" s="1004"/>
      <c r="IK154" s="1004"/>
      <c r="IL154" s="1004"/>
      <c r="IM154" s="1004"/>
      <c r="IN154" s="1004"/>
      <c r="IO154" s="1004"/>
      <c r="IP154" s="1004"/>
      <c r="IQ154" s="1004"/>
      <c r="IR154" s="1004"/>
      <c r="IS154" s="1004"/>
      <c r="IT154" s="1004"/>
      <c r="IU154" s="1004"/>
      <c r="IV154" s="1004"/>
      <c r="IW154" s="1004"/>
      <c r="IX154" s="1004"/>
      <c r="IY154" s="1004"/>
      <c r="IZ154" s="1004"/>
      <c r="JA154" s="1004"/>
      <c r="JB154" s="1004"/>
      <c r="JC154" s="1004"/>
      <c r="JD154" s="1004"/>
      <c r="JE154" s="1004"/>
      <c r="JF154" s="1004"/>
      <c r="JG154" s="1004"/>
      <c r="JH154" s="1004"/>
      <c r="JI154" s="1004"/>
      <c r="JJ154" s="1004"/>
      <c r="JK154" s="1004"/>
      <c r="JL154" s="1004"/>
      <c r="JM154" s="1004"/>
      <c r="JN154" s="1004"/>
      <c r="JO154" s="1004"/>
      <c r="JP154" s="1004"/>
      <c r="JQ154" s="1004"/>
      <c r="JR154" s="1004"/>
      <c r="JS154" s="1004"/>
      <c r="JT154" s="1004"/>
      <c r="JU154" s="1004"/>
      <c r="JV154" s="1004"/>
      <c r="JW154" s="1004"/>
      <c r="JX154" s="1004"/>
      <c r="JY154" s="1004"/>
      <c r="JZ154" s="1004"/>
      <c r="KA154" s="1004"/>
      <c r="KB154" s="1004"/>
      <c r="KC154" s="1004"/>
      <c r="KD154" s="1004"/>
      <c r="KE154" s="1004"/>
      <c r="KF154" s="1004"/>
      <c r="KG154" s="1004"/>
      <c r="KH154" s="1004"/>
      <c r="KI154" s="1004"/>
      <c r="KJ154" s="1004"/>
      <c r="KK154" s="1004"/>
      <c r="KL154" s="1004"/>
      <c r="KM154" s="1004"/>
      <c r="KN154" s="1004"/>
      <c r="KO154" s="1004"/>
      <c r="KP154" s="1004"/>
      <c r="KQ154" s="1004"/>
      <c r="KR154" s="1004"/>
      <c r="KS154" s="1004"/>
      <c r="KT154" s="1004"/>
      <c r="KU154" s="1004"/>
      <c r="KV154" s="1004"/>
      <c r="KW154" s="1004"/>
      <c r="KX154" s="1004"/>
      <c r="KY154" s="1004"/>
      <c r="KZ154" s="1004"/>
      <c r="LA154" s="1004"/>
      <c r="LB154" s="1004"/>
      <c r="LC154" s="1004"/>
      <c r="LD154" s="1004"/>
      <c r="LE154" s="1004"/>
      <c r="LF154" s="1004"/>
      <c r="LG154" s="1004"/>
      <c r="LH154" s="1004"/>
      <c r="LI154" s="1004"/>
      <c r="LJ154" s="1004"/>
      <c r="LK154" s="1004"/>
      <c r="LL154" s="1004"/>
      <c r="LM154" s="1004"/>
      <c r="LN154" s="1004"/>
      <c r="LO154" s="1004"/>
      <c r="LP154" s="1004"/>
      <c r="LQ154" s="1004"/>
      <c r="LR154" s="1004"/>
      <c r="LS154" s="1004"/>
      <c r="LT154" s="1004"/>
      <c r="LU154" s="1004"/>
      <c r="LV154" s="1004"/>
      <c r="LW154" s="1004"/>
      <c r="LX154" s="1004"/>
      <c r="LY154" s="1004"/>
      <c r="LZ154" s="1004"/>
      <c r="MA154" s="1004"/>
      <c r="MB154" s="1004"/>
      <c r="MC154" s="1004"/>
      <c r="MD154" s="1004"/>
      <c r="ME154" s="1004"/>
      <c r="MF154" s="1004"/>
      <c r="MG154" s="1004"/>
      <c r="MH154" s="1004"/>
      <c r="MI154" s="1004"/>
      <c r="MJ154" s="1004"/>
      <c r="MK154" s="1004"/>
      <c r="ML154" s="1004"/>
      <c r="MM154" s="1004"/>
      <c r="MN154" s="1004"/>
      <c r="MO154" s="1004"/>
      <c r="MP154" s="1004"/>
      <c r="MQ154" s="1004"/>
      <c r="MR154" s="1004"/>
      <c r="MS154" s="1004"/>
      <c r="MT154" s="1004"/>
      <c r="MU154" s="1004"/>
      <c r="MV154" s="1004"/>
      <c r="MW154" s="1004"/>
      <c r="MX154" s="1004"/>
      <c r="MY154" s="1004"/>
      <c r="MZ154" s="1004"/>
      <c r="NA154" s="1004"/>
      <c r="NB154" s="1004"/>
      <c r="NC154" s="1004"/>
      <c r="ND154" s="1004"/>
      <c r="NE154" s="1004"/>
      <c r="NF154" s="1004"/>
      <c r="NG154" s="1004"/>
      <c r="NH154" s="1004"/>
      <c r="NI154" s="1004"/>
      <c r="NJ154" s="1004"/>
      <c r="NK154" s="1004"/>
      <c r="NL154" s="1004"/>
      <c r="NM154" s="1004"/>
      <c r="NN154" s="1004"/>
      <c r="NO154" s="1004"/>
      <c r="NP154" s="1004"/>
      <c r="NQ154" s="1004"/>
      <c r="NR154" s="1004"/>
      <c r="NS154" s="1004"/>
      <c r="NT154" s="1004"/>
      <c r="NU154" s="1004"/>
      <c r="NV154" s="1004"/>
      <c r="NW154" s="1004"/>
      <c r="NX154" s="1004"/>
      <c r="NY154" s="1004"/>
      <c r="NZ154" s="1004"/>
      <c r="OA154" s="1004"/>
      <c r="OB154" s="1004"/>
      <c r="OC154" s="1004"/>
      <c r="OD154" s="1004"/>
      <c r="OE154" s="1004"/>
      <c r="OF154" s="1004"/>
      <c r="OG154" s="1004"/>
      <c r="OH154" s="1004"/>
      <c r="OI154" s="1004"/>
      <c r="OJ154" s="1004"/>
      <c r="OK154" s="1004"/>
      <c r="OL154" s="1004"/>
      <c r="OM154" s="1004"/>
      <c r="ON154" s="1004"/>
      <c r="OO154" s="1004"/>
      <c r="OP154" s="1004"/>
      <c r="OQ154" s="1004"/>
      <c r="OR154" s="1004"/>
      <c r="OS154" s="1004"/>
      <c r="OT154" s="1004"/>
      <c r="OU154" s="1004"/>
      <c r="OV154" s="1004"/>
      <c r="OW154" s="1004"/>
      <c r="OX154" s="1004"/>
      <c r="OY154" s="1004"/>
      <c r="OZ154" s="1004"/>
      <c r="PA154" s="1004"/>
      <c r="PB154" s="1004"/>
      <c r="PC154" s="1004"/>
      <c r="PD154" s="1004"/>
      <c r="PE154" s="1004"/>
      <c r="PF154" s="1004"/>
      <c r="PG154" s="1004"/>
      <c r="PH154" s="1004"/>
      <c r="PI154" s="1004"/>
      <c r="PJ154" s="1004"/>
      <c r="PK154" s="1004"/>
      <c r="PL154" s="1004"/>
      <c r="PM154" s="1004"/>
      <c r="PN154" s="1004"/>
      <c r="PO154" s="1004"/>
      <c r="PP154" s="1004"/>
      <c r="PQ154" s="1004"/>
      <c r="PR154" s="1004"/>
      <c r="PS154" s="1004"/>
      <c r="PT154" s="1004"/>
      <c r="PU154" s="1004"/>
      <c r="PV154" s="1004"/>
      <c r="PW154" s="1004"/>
      <c r="PX154" s="1004"/>
      <c r="PY154" s="1004"/>
      <c r="PZ154" s="1004"/>
      <c r="QA154" s="1004"/>
      <c r="QB154" s="1004"/>
      <c r="QC154" s="1004"/>
      <c r="QD154" s="1004"/>
      <c r="QE154" s="1004"/>
      <c r="QF154" s="1004"/>
      <c r="QG154" s="1004"/>
      <c r="QH154" s="1004"/>
      <c r="QI154" s="1004"/>
      <c r="QJ154" s="1004"/>
      <c r="QK154" s="1004"/>
      <c r="QL154" s="1004"/>
      <c r="QM154" s="1004"/>
      <c r="QN154" s="1004"/>
      <c r="QO154" s="1004"/>
      <c r="QP154" s="1004"/>
      <c r="QQ154" s="1004"/>
      <c r="QR154" s="1004"/>
      <c r="QS154" s="1004"/>
      <c r="QT154" s="1004"/>
      <c r="QU154" s="1004"/>
      <c r="QV154" s="1004"/>
      <c r="QW154" s="1004"/>
      <c r="QX154" s="1004"/>
      <c r="QY154" s="1004"/>
      <c r="QZ154" s="1004"/>
      <c r="RA154" s="1004"/>
      <c r="RB154" s="1004"/>
      <c r="RC154" s="1004"/>
      <c r="RD154" s="1004"/>
      <c r="RE154" s="1004"/>
      <c r="RF154" s="1004"/>
      <c r="RG154" s="1004"/>
      <c r="RH154" s="1004"/>
      <c r="RI154" s="1004"/>
      <c r="RJ154" s="1004"/>
      <c r="RK154" s="1004"/>
      <c r="RL154" s="1004"/>
      <c r="RM154" s="1004"/>
      <c r="RN154" s="1004"/>
      <c r="RO154" s="1004"/>
      <c r="RP154" s="1004"/>
      <c r="RQ154" s="1004"/>
      <c r="RR154" s="1004"/>
      <c r="RS154" s="1004"/>
      <c r="RT154" s="1004"/>
      <c r="RU154" s="1004"/>
      <c r="RV154" s="1004"/>
      <c r="RW154" s="1004"/>
      <c r="RX154" s="1004"/>
      <c r="RY154" s="1004"/>
      <c r="RZ154" s="1004"/>
      <c r="SA154" s="1004"/>
      <c r="SB154" s="1004"/>
      <c r="SC154" s="1004"/>
      <c r="SD154" s="1004"/>
      <c r="SE154" s="1004"/>
      <c r="SF154" s="1004"/>
      <c r="SG154" s="1004"/>
      <c r="SH154" s="1004"/>
      <c r="SI154" s="1004"/>
      <c r="SJ154" s="1004"/>
      <c r="SK154" s="1004"/>
      <c r="SL154" s="1004"/>
      <c r="SM154" s="1004"/>
      <c r="SN154" s="1004"/>
      <c r="SO154" s="1004"/>
      <c r="SP154" s="1004"/>
      <c r="SQ154" s="1004"/>
      <c r="SR154" s="1004"/>
      <c r="SS154" s="1004"/>
      <c r="ST154" s="1004"/>
      <c r="SU154" s="1004"/>
      <c r="SV154" s="1004"/>
      <c r="SW154" s="1004"/>
      <c r="SX154" s="1004"/>
      <c r="SY154" s="1004"/>
      <c r="SZ154" s="1004"/>
      <c r="TA154" s="1004"/>
      <c r="TB154" s="1004"/>
      <c r="TC154" s="1004"/>
      <c r="TD154" s="1004"/>
      <c r="TE154" s="1004"/>
      <c r="TF154" s="1004"/>
      <c r="TG154" s="1004"/>
      <c r="TH154" s="1004"/>
      <c r="TI154" s="1004"/>
      <c r="TJ154" s="1004"/>
      <c r="TK154" s="1004"/>
      <c r="TL154" s="1004"/>
      <c r="TM154" s="1004"/>
      <c r="TN154" s="1004"/>
      <c r="TO154" s="1004"/>
      <c r="TP154" s="1004"/>
      <c r="TQ154" s="1004"/>
      <c r="TR154" s="1004"/>
      <c r="TS154" s="1004"/>
      <c r="TT154" s="1004"/>
      <c r="TU154" s="1004"/>
      <c r="TV154" s="1004"/>
      <c r="TW154" s="1004"/>
      <c r="TX154" s="1004"/>
      <c r="TY154" s="1004"/>
      <c r="TZ154" s="1004"/>
      <c r="UA154" s="1004"/>
      <c r="UB154" s="1004"/>
      <c r="UC154" s="1004"/>
      <c r="UD154" s="1004"/>
      <c r="UE154" s="1004"/>
      <c r="UF154" s="1004"/>
      <c r="UG154" s="1004"/>
      <c r="UH154" s="1004"/>
      <c r="UI154" s="1004"/>
      <c r="UJ154" s="1004"/>
      <c r="UK154" s="1004"/>
      <c r="UL154" s="1004"/>
      <c r="UM154" s="1004"/>
      <c r="UN154" s="1004"/>
      <c r="UO154" s="1004"/>
      <c r="UP154" s="1004"/>
      <c r="UQ154" s="1004"/>
      <c r="UR154" s="1004"/>
      <c r="US154" s="1004"/>
      <c r="UT154" s="1004"/>
      <c r="UU154" s="1004"/>
      <c r="UV154" s="1004"/>
      <c r="UW154" s="1004"/>
      <c r="UX154" s="1004"/>
      <c r="UY154" s="1004"/>
      <c r="UZ154" s="1004"/>
      <c r="VA154" s="1004"/>
      <c r="VB154" s="1004"/>
      <c r="VC154" s="1004"/>
      <c r="VD154" s="1004"/>
      <c r="VE154" s="1004"/>
      <c r="VF154" s="1004"/>
      <c r="VG154" s="1004"/>
      <c r="VH154" s="1004"/>
      <c r="VI154" s="1004"/>
      <c r="VJ154" s="1004"/>
      <c r="VK154" s="1004"/>
      <c r="VL154" s="1004"/>
      <c r="VM154" s="1004"/>
      <c r="VN154" s="1004"/>
      <c r="VO154" s="1004"/>
      <c r="VP154" s="1004"/>
      <c r="VQ154" s="1004"/>
      <c r="VR154" s="1004"/>
      <c r="VS154" s="1004"/>
      <c r="VT154" s="1004"/>
      <c r="VU154" s="1004"/>
      <c r="VV154" s="1004"/>
      <c r="VW154" s="1004"/>
      <c r="VX154" s="1004"/>
      <c r="VY154" s="1004"/>
      <c r="VZ154" s="1004"/>
      <c r="WA154" s="1004"/>
      <c r="WB154" s="1004"/>
      <c r="WC154" s="1004"/>
      <c r="WD154" s="1004"/>
      <c r="WE154" s="1004"/>
      <c r="WF154" s="1004"/>
      <c r="WG154" s="1004"/>
      <c r="WH154" s="1004"/>
      <c r="WI154" s="1004"/>
      <c r="WJ154" s="1004"/>
      <c r="WK154" s="1004"/>
      <c r="WL154" s="1004"/>
      <c r="WM154" s="1004"/>
      <c r="WN154" s="1004"/>
      <c r="WO154" s="1004"/>
      <c r="WP154" s="1004"/>
      <c r="WQ154" s="1004"/>
      <c r="WR154" s="1004"/>
      <c r="WS154" s="1004"/>
      <c r="WT154" s="1004"/>
      <c r="WU154" s="1004"/>
      <c r="WV154" s="1004"/>
      <c r="WW154" s="1004"/>
      <c r="WX154" s="1004"/>
      <c r="WY154" s="1004"/>
      <c r="WZ154" s="1004"/>
      <c r="XA154" s="1004"/>
      <c r="XB154" s="1004"/>
      <c r="XC154" s="1004"/>
      <c r="XD154" s="1004"/>
      <c r="XE154" s="1004"/>
      <c r="XF154" s="1004"/>
      <c r="XG154" s="1004"/>
      <c r="XH154" s="1004"/>
      <c r="XI154" s="1004"/>
      <c r="XJ154" s="1004"/>
      <c r="XK154" s="1004"/>
      <c r="XL154" s="1004"/>
      <c r="XM154" s="1004"/>
      <c r="XN154" s="1004"/>
      <c r="XO154" s="1004"/>
      <c r="XP154" s="1004"/>
      <c r="XQ154" s="1004"/>
      <c r="XR154" s="1004"/>
      <c r="XS154" s="1004"/>
      <c r="XT154" s="1004"/>
      <c r="XU154" s="1004"/>
      <c r="XV154" s="1004"/>
      <c r="XW154" s="1004"/>
      <c r="XX154" s="1004"/>
      <c r="XY154" s="1004"/>
      <c r="XZ154" s="1004"/>
      <c r="YA154" s="1004"/>
      <c r="YB154" s="1004"/>
      <c r="YC154" s="1004"/>
      <c r="YD154" s="1004"/>
      <c r="YE154" s="1004"/>
      <c r="YF154" s="1004"/>
      <c r="YG154" s="1004"/>
      <c r="YH154" s="1004"/>
      <c r="YI154" s="1004"/>
      <c r="YJ154" s="1004"/>
      <c r="YK154" s="1004"/>
      <c r="YL154" s="1004"/>
      <c r="YM154" s="1004"/>
      <c r="YN154" s="1004"/>
      <c r="YO154" s="1004"/>
      <c r="YP154" s="1004"/>
      <c r="YQ154" s="1004"/>
      <c r="YR154" s="1004"/>
      <c r="YS154" s="1004"/>
      <c r="YT154" s="1004"/>
      <c r="YU154" s="1004"/>
      <c r="YV154" s="1004"/>
      <c r="YW154" s="1004"/>
      <c r="YX154" s="1004"/>
      <c r="YY154" s="1004"/>
      <c r="YZ154" s="1004"/>
      <c r="ZA154" s="1004"/>
      <c r="ZB154" s="1004"/>
      <c r="ZC154" s="1004"/>
      <c r="ZD154" s="1004"/>
      <c r="ZE154" s="1004"/>
      <c r="ZF154" s="1004"/>
      <c r="ZG154" s="1004"/>
      <c r="ZH154" s="1004"/>
      <c r="ZI154" s="1004"/>
      <c r="ZJ154" s="1004"/>
      <c r="ZK154" s="1004"/>
      <c r="ZL154" s="1004"/>
      <c r="ZM154" s="1004"/>
      <c r="ZN154" s="1004"/>
      <c r="ZO154" s="1004"/>
      <c r="ZP154" s="1004"/>
      <c r="ZQ154" s="1004"/>
      <c r="ZR154" s="1004"/>
      <c r="ZS154" s="1004"/>
      <c r="ZT154" s="1004"/>
      <c r="ZU154" s="1004"/>
      <c r="ZV154" s="1004"/>
      <c r="ZW154" s="1004"/>
      <c r="ZX154" s="1004"/>
      <c r="ZY154" s="1004"/>
      <c r="ZZ154" s="1004"/>
      <c r="AAA154" s="1004"/>
      <c r="AAB154" s="1004"/>
      <c r="AAC154" s="1004"/>
      <c r="AAD154" s="1004"/>
      <c r="AAE154" s="1004"/>
      <c r="AAF154" s="1004"/>
      <c r="AAG154" s="1004"/>
      <c r="AAH154" s="1004"/>
      <c r="AAI154" s="1004"/>
      <c r="AAJ154" s="1004"/>
      <c r="AAK154" s="1004"/>
      <c r="AAL154" s="1004"/>
      <c r="AAM154" s="1004"/>
      <c r="AAN154" s="1004"/>
      <c r="AAO154" s="1004"/>
      <c r="AAP154" s="1004"/>
      <c r="AAQ154" s="1004"/>
      <c r="AAR154" s="1004"/>
      <c r="AAS154" s="1004"/>
      <c r="AAT154" s="1004"/>
      <c r="AAU154" s="1004"/>
      <c r="AAV154" s="1004"/>
      <c r="AAW154" s="1004"/>
      <c r="AAX154" s="1004"/>
      <c r="AAY154" s="1004"/>
      <c r="AAZ154" s="1004"/>
      <c r="ABA154" s="1004"/>
      <c r="ABB154" s="1004"/>
      <c r="ABC154" s="1004"/>
      <c r="ABD154" s="1004"/>
      <c r="ABE154" s="1004"/>
      <c r="ABF154" s="1004"/>
      <c r="ABG154" s="1004"/>
      <c r="ABH154" s="1004"/>
      <c r="ABI154" s="1004"/>
      <c r="ABJ154" s="1004"/>
      <c r="ABK154" s="1004"/>
      <c r="ABL154" s="1004"/>
      <c r="ABM154" s="1004"/>
      <c r="ABN154" s="1004"/>
      <c r="ABO154" s="1004"/>
      <c r="ABP154" s="1004"/>
      <c r="ABQ154" s="1004"/>
      <c r="ABR154" s="1004"/>
    </row>
    <row r="155" spans="1:746" s="112" customFormat="1" ht="12" customHeight="1">
      <c r="A155" s="925"/>
      <c r="B155" s="2519" t="s">
        <v>1372</v>
      </c>
      <c r="C155" s="2517"/>
      <c r="D155" s="2518"/>
      <c r="E155" s="2970"/>
      <c r="F155" s="2970"/>
      <c r="G155" s="2970"/>
      <c r="H155" s="2162"/>
      <c r="I155" s="2324"/>
      <c r="J155" s="2274"/>
      <c r="K155" s="2274"/>
      <c r="L155" s="2274"/>
      <c r="M155" s="2274"/>
      <c r="N155" s="2274"/>
      <c r="O155" s="2274"/>
      <c r="P155" s="2274"/>
      <c r="Q155" s="2274"/>
      <c r="R155" s="2274"/>
      <c r="S155" s="2274"/>
      <c r="T155" s="2274"/>
      <c r="U155" s="2324"/>
      <c r="V155" s="2324"/>
      <c r="W155" s="2324"/>
      <c r="X155" s="2324"/>
      <c r="Y155" s="2324"/>
      <c r="Z155" s="2324"/>
      <c r="AA155" s="2324"/>
      <c r="AB155" s="2324"/>
      <c r="AC155" s="2324"/>
      <c r="AD155" s="2324"/>
      <c r="AE155" s="2324"/>
      <c r="AF155" s="2324"/>
      <c r="AG155" s="1042"/>
      <c r="AH155" s="2513">
        <v>0.2</v>
      </c>
      <c r="AI155" s="1817"/>
      <c r="AJ155" s="1956">
        <f>IF(fx!$C$57=1,SUMIF(fx!I$57:T$57,1,I155:T155),IF(fx!$C$57=2,SUMIF(fx!O$57:AF$57,1,O155:AF155)))</f>
        <v>0</v>
      </c>
      <c r="AK155" s="328"/>
      <c r="AL155" s="422">
        <f>IF(fx!$C$57=1,SUM(U155:AF155),0)</f>
        <v>0</v>
      </c>
      <c r="AM155" s="1005"/>
      <c r="AN155" s="1920"/>
      <c r="AO155" s="1945"/>
      <c r="AP155" s="1935"/>
      <c r="AQ155" s="1936"/>
      <c r="AR155" s="1941"/>
      <c r="AS155" s="1941"/>
      <c r="AT155" s="1941"/>
      <c r="AU155" s="1941"/>
      <c r="AV155" s="1941"/>
      <c r="AW155" s="1941"/>
      <c r="AX155" s="1941"/>
      <c r="AY155" s="1941"/>
      <c r="AZ155" s="1941"/>
      <c r="BA155" s="1941"/>
      <c r="BB155" s="1941"/>
      <c r="BC155" s="1941"/>
      <c r="BD155" s="1941"/>
      <c r="BE155" s="1941"/>
      <c r="BF155" s="1941"/>
      <c r="BG155" s="1941"/>
      <c r="BH155" s="1941"/>
      <c r="BI155" s="1941"/>
      <c r="BJ155" s="1941"/>
      <c r="BK155" s="1941"/>
      <c r="BL155" s="1941"/>
      <c r="BM155" s="1941"/>
      <c r="BN155" s="1941"/>
      <c r="BO155" s="1941"/>
      <c r="BP155" s="1004"/>
      <c r="BQ155" s="1004"/>
      <c r="BR155" s="1004"/>
      <c r="BS155" s="1004"/>
      <c r="BT155" s="1004"/>
      <c r="BU155" s="1004"/>
      <c r="BV155" s="1004"/>
      <c r="BW155" s="1004"/>
      <c r="BX155" s="1004"/>
      <c r="BY155" s="1004"/>
      <c r="BZ155" s="1004"/>
      <c r="CA155" s="1004"/>
      <c r="CB155" s="1004"/>
      <c r="CC155" s="1004"/>
      <c r="CD155" s="1004"/>
      <c r="CE155" s="1004"/>
      <c r="CF155" s="1004"/>
      <c r="CG155" s="1004"/>
      <c r="CH155" s="1004"/>
      <c r="CI155" s="1004"/>
      <c r="CJ155" s="1004"/>
      <c r="CK155" s="1004"/>
      <c r="CL155" s="1004"/>
      <c r="CM155" s="1004"/>
      <c r="CN155" s="1004"/>
      <c r="CO155" s="1004"/>
      <c r="CP155" s="1004"/>
      <c r="CQ155" s="1004"/>
      <c r="CR155" s="1004"/>
      <c r="CS155" s="1004"/>
      <c r="CT155" s="1004"/>
      <c r="CU155" s="1004"/>
      <c r="CV155" s="1004"/>
      <c r="CW155" s="1004"/>
      <c r="CX155" s="1004"/>
      <c r="CY155" s="1004"/>
      <c r="CZ155" s="1004"/>
      <c r="DA155" s="1004"/>
      <c r="DB155" s="1004"/>
      <c r="DC155" s="1004"/>
      <c r="DD155" s="1004"/>
      <c r="DE155" s="1004"/>
      <c r="DF155" s="1004"/>
      <c r="DG155" s="1004"/>
      <c r="DH155" s="1004"/>
      <c r="DI155" s="1004"/>
      <c r="DJ155" s="1004"/>
      <c r="DK155" s="1004"/>
      <c r="DL155" s="1004"/>
      <c r="DM155" s="1004"/>
      <c r="DN155" s="1004"/>
      <c r="DO155" s="1004"/>
      <c r="DP155" s="1004"/>
      <c r="DQ155" s="1004"/>
      <c r="DR155" s="1004"/>
      <c r="DS155" s="1004"/>
      <c r="DT155" s="1004"/>
      <c r="DU155" s="1004"/>
      <c r="DV155" s="1004"/>
      <c r="DW155" s="1004"/>
      <c r="DX155" s="1004"/>
      <c r="DY155" s="1004"/>
      <c r="DZ155" s="1004"/>
      <c r="EA155" s="1004"/>
      <c r="EB155" s="1004"/>
      <c r="EC155" s="1004"/>
      <c r="ED155" s="1004"/>
      <c r="EE155" s="1004"/>
      <c r="EF155" s="1004"/>
      <c r="EG155" s="1004"/>
      <c r="EH155" s="1004"/>
      <c r="EI155" s="1004"/>
      <c r="EJ155" s="1004"/>
      <c r="EK155" s="1004"/>
      <c r="EL155" s="1004"/>
      <c r="EM155" s="1004"/>
      <c r="EN155" s="1004"/>
      <c r="EO155" s="1004"/>
      <c r="EP155" s="1004"/>
      <c r="EQ155" s="1004"/>
      <c r="ER155" s="1004"/>
      <c r="ES155" s="1004"/>
      <c r="ET155" s="1004"/>
      <c r="EU155" s="1004"/>
      <c r="EV155" s="1004"/>
      <c r="EW155" s="1004"/>
      <c r="EX155" s="1004"/>
      <c r="EY155" s="1004"/>
      <c r="EZ155" s="1004"/>
      <c r="FA155" s="1004"/>
      <c r="FB155" s="1004"/>
      <c r="FC155" s="1004"/>
      <c r="FD155" s="1004"/>
      <c r="FE155" s="1004"/>
      <c r="FF155" s="1004"/>
      <c r="FG155" s="1004"/>
      <c r="FH155" s="1004"/>
      <c r="FI155" s="1004"/>
      <c r="FJ155" s="1004"/>
      <c r="FK155" s="1004"/>
      <c r="FL155" s="1004"/>
      <c r="FM155" s="1004"/>
      <c r="FN155" s="1004"/>
      <c r="FO155" s="1004"/>
      <c r="FP155" s="1004"/>
      <c r="FQ155" s="1004"/>
      <c r="FR155" s="1004"/>
      <c r="FS155" s="1004"/>
      <c r="FT155" s="1004"/>
      <c r="FU155" s="1004"/>
      <c r="FV155" s="1004"/>
      <c r="FW155" s="1004"/>
      <c r="FX155" s="1004"/>
      <c r="FY155" s="1004"/>
      <c r="FZ155" s="1004"/>
      <c r="GA155" s="1004"/>
      <c r="GB155" s="1004"/>
      <c r="GC155" s="1004"/>
      <c r="GD155" s="1004"/>
      <c r="GE155" s="1004"/>
      <c r="GF155" s="1004"/>
      <c r="GG155" s="1004"/>
      <c r="GH155" s="1004"/>
      <c r="GI155" s="1004"/>
      <c r="GJ155" s="1004"/>
      <c r="GK155" s="1004"/>
      <c r="GL155" s="1004"/>
      <c r="GM155" s="1004"/>
      <c r="GN155" s="1004"/>
      <c r="GO155" s="1004"/>
      <c r="GP155" s="1004"/>
      <c r="GQ155" s="1004"/>
      <c r="GR155" s="1004"/>
      <c r="GS155" s="1004"/>
      <c r="GT155" s="1004"/>
      <c r="GU155" s="1004"/>
      <c r="GV155" s="1004"/>
      <c r="GW155" s="1004"/>
      <c r="GX155" s="1004"/>
      <c r="GY155" s="1004"/>
      <c r="GZ155" s="1004"/>
      <c r="HA155" s="1004"/>
      <c r="HB155" s="1004"/>
      <c r="HC155" s="1004"/>
      <c r="HD155" s="1004"/>
      <c r="HE155" s="1004"/>
      <c r="HF155" s="1004"/>
      <c r="HG155" s="1004"/>
      <c r="HH155" s="1004"/>
      <c r="HI155" s="1004"/>
      <c r="HJ155" s="1004"/>
      <c r="HK155" s="1004"/>
      <c r="HL155" s="1004"/>
      <c r="HM155" s="1004"/>
      <c r="HN155" s="1004"/>
      <c r="HO155" s="1004"/>
      <c r="HP155" s="1004"/>
      <c r="HQ155" s="1004"/>
      <c r="HR155" s="1004"/>
      <c r="HS155" s="1004"/>
      <c r="HT155" s="1004"/>
      <c r="HU155" s="1004"/>
      <c r="HV155" s="1004"/>
      <c r="HW155" s="1004"/>
      <c r="HX155" s="1004"/>
      <c r="HY155" s="1004"/>
      <c r="HZ155" s="1004"/>
      <c r="IA155" s="1004"/>
      <c r="IB155" s="1004"/>
      <c r="IC155" s="1004"/>
      <c r="ID155" s="1004"/>
      <c r="IE155" s="1004"/>
      <c r="IF155" s="1004"/>
      <c r="IG155" s="1004"/>
      <c r="IH155" s="1004"/>
      <c r="II155" s="1004"/>
      <c r="IJ155" s="1004"/>
      <c r="IK155" s="1004"/>
      <c r="IL155" s="1004"/>
      <c r="IM155" s="1004"/>
      <c r="IN155" s="1004"/>
      <c r="IO155" s="1004"/>
      <c r="IP155" s="1004"/>
      <c r="IQ155" s="1004"/>
      <c r="IR155" s="1004"/>
      <c r="IS155" s="1004"/>
      <c r="IT155" s="1004"/>
      <c r="IU155" s="1004"/>
      <c r="IV155" s="1004"/>
      <c r="IW155" s="1004"/>
      <c r="IX155" s="1004"/>
      <c r="IY155" s="1004"/>
      <c r="IZ155" s="1004"/>
      <c r="JA155" s="1004"/>
      <c r="JB155" s="1004"/>
      <c r="JC155" s="1004"/>
      <c r="JD155" s="1004"/>
      <c r="JE155" s="1004"/>
      <c r="JF155" s="1004"/>
      <c r="JG155" s="1004"/>
      <c r="JH155" s="1004"/>
      <c r="JI155" s="1004"/>
      <c r="JJ155" s="1004"/>
      <c r="JK155" s="1004"/>
      <c r="JL155" s="1004"/>
      <c r="JM155" s="1004"/>
      <c r="JN155" s="1004"/>
      <c r="JO155" s="1004"/>
      <c r="JP155" s="1004"/>
      <c r="JQ155" s="1004"/>
      <c r="JR155" s="1004"/>
      <c r="JS155" s="1004"/>
      <c r="JT155" s="1004"/>
      <c r="JU155" s="1004"/>
      <c r="JV155" s="1004"/>
      <c r="JW155" s="1004"/>
      <c r="JX155" s="1004"/>
      <c r="JY155" s="1004"/>
      <c r="JZ155" s="1004"/>
      <c r="KA155" s="1004"/>
      <c r="KB155" s="1004"/>
      <c r="KC155" s="1004"/>
      <c r="KD155" s="1004"/>
      <c r="KE155" s="1004"/>
      <c r="KF155" s="1004"/>
      <c r="KG155" s="1004"/>
      <c r="KH155" s="1004"/>
      <c r="KI155" s="1004"/>
      <c r="KJ155" s="1004"/>
      <c r="KK155" s="1004"/>
      <c r="KL155" s="1004"/>
      <c r="KM155" s="1004"/>
      <c r="KN155" s="1004"/>
      <c r="KO155" s="1004"/>
      <c r="KP155" s="1004"/>
      <c r="KQ155" s="1004"/>
      <c r="KR155" s="1004"/>
      <c r="KS155" s="1004"/>
      <c r="KT155" s="1004"/>
      <c r="KU155" s="1004"/>
      <c r="KV155" s="1004"/>
      <c r="KW155" s="1004"/>
      <c r="KX155" s="1004"/>
      <c r="KY155" s="1004"/>
      <c r="KZ155" s="1004"/>
      <c r="LA155" s="1004"/>
      <c r="LB155" s="1004"/>
      <c r="LC155" s="1004"/>
      <c r="LD155" s="1004"/>
      <c r="LE155" s="1004"/>
      <c r="LF155" s="1004"/>
      <c r="LG155" s="1004"/>
      <c r="LH155" s="1004"/>
      <c r="LI155" s="1004"/>
      <c r="LJ155" s="1004"/>
      <c r="LK155" s="1004"/>
      <c r="LL155" s="1004"/>
      <c r="LM155" s="1004"/>
      <c r="LN155" s="1004"/>
      <c r="LO155" s="1004"/>
      <c r="LP155" s="1004"/>
      <c r="LQ155" s="1004"/>
      <c r="LR155" s="1004"/>
      <c r="LS155" s="1004"/>
      <c r="LT155" s="1004"/>
      <c r="LU155" s="1004"/>
      <c r="LV155" s="1004"/>
      <c r="LW155" s="1004"/>
      <c r="LX155" s="1004"/>
      <c r="LY155" s="1004"/>
      <c r="LZ155" s="1004"/>
      <c r="MA155" s="1004"/>
      <c r="MB155" s="1004"/>
      <c r="MC155" s="1004"/>
      <c r="MD155" s="1004"/>
      <c r="ME155" s="1004"/>
      <c r="MF155" s="1004"/>
      <c r="MG155" s="1004"/>
      <c r="MH155" s="1004"/>
      <c r="MI155" s="1004"/>
      <c r="MJ155" s="1004"/>
      <c r="MK155" s="1004"/>
      <c r="ML155" s="1004"/>
      <c r="MM155" s="1004"/>
      <c r="MN155" s="1004"/>
      <c r="MO155" s="1004"/>
      <c r="MP155" s="1004"/>
      <c r="MQ155" s="1004"/>
      <c r="MR155" s="1004"/>
      <c r="MS155" s="1004"/>
      <c r="MT155" s="1004"/>
      <c r="MU155" s="1004"/>
      <c r="MV155" s="1004"/>
      <c r="MW155" s="1004"/>
      <c r="MX155" s="1004"/>
      <c r="MY155" s="1004"/>
      <c r="MZ155" s="1004"/>
      <c r="NA155" s="1004"/>
      <c r="NB155" s="1004"/>
      <c r="NC155" s="1004"/>
      <c r="ND155" s="1004"/>
      <c r="NE155" s="1004"/>
      <c r="NF155" s="1004"/>
      <c r="NG155" s="1004"/>
      <c r="NH155" s="1004"/>
      <c r="NI155" s="1004"/>
      <c r="NJ155" s="1004"/>
      <c r="NK155" s="1004"/>
      <c r="NL155" s="1004"/>
      <c r="NM155" s="1004"/>
      <c r="NN155" s="1004"/>
      <c r="NO155" s="1004"/>
      <c r="NP155" s="1004"/>
      <c r="NQ155" s="1004"/>
      <c r="NR155" s="1004"/>
      <c r="NS155" s="1004"/>
      <c r="NT155" s="1004"/>
      <c r="NU155" s="1004"/>
      <c r="NV155" s="1004"/>
      <c r="NW155" s="1004"/>
      <c r="NX155" s="1004"/>
      <c r="NY155" s="1004"/>
      <c r="NZ155" s="1004"/>
      <c r="OA155" s="1004"/>
      <c r="OB155" s="1004"/>
      <c r="OC155" s="1004"/>
      <c r="OD155" s="1004"/>
      <c r="OE155" s="1004"/>
      <c r="OF155" s="1004"/>
      <c r="OG155" s="1004"/>
      <c r="OH155" s="1004"/>
      <c r="OI155" s="1004"/>
      <c r="OJ155" s="1004"/>
      <c r="OK155" s="1004"/>
      <c r="OL155" s="1004"/>
      <c r="OM155" s="1004"/>
      <c r="ON155" s="1004"/>
      <c r="OO155" s="1004"/>
      <c r="OP155" s="1004"/>
      <c r="OQ155" s="1004"/>
      <c r="OR155" s="1004"/>
      <c r="OS155" s="1004"/>
      <c r="OT155" s="1004"/>
      <c r="OU155" s="1004"/>
      <c r="OV155" s="1004"/>
      <c r="OW155" s="1004"/>
      <c r="OX155" s="1004"/>
      <c r="OY155" s="1004"/>
      <c r="OZ155" s="1004"/>
      <c r="PA155" s="1004"/>
      <c r="PB155" s="1004"/>
      <c r="PC155" s="1004"/>
      <c r="PD155" s="1004"/>
      <c r="PE155" s="1004"/>
      <c r="PF155" s="1004"/>
      <c r="PG155" s="1004"/>
      <c r="PH155" s="1004"/>
      <c r="PI155" s="1004"/>
      <c r="PJ155" s="1004"/>
      <c r="PK155" s="1004"/>
      <c r="PL155" s="1004"/>
      <c r="PM155" s="1004"/>
      <c r="PN155" s="1004"/>
      <c r="PO155" s="1004"/>
      <c r="PP155" s="1004"/>
      <c r="PQ155" s="1004"/>
      <c r="PR155" s="1004"/>
      <c r="PS155" s="1004"/>
      <c r="PT155" s="1004"/>
      <c r="PU155" s="1004"/>
      <c r="PV155" s="1004"/>
      <c r="PW155" s="1004"/>
      <c r="PX155" s="1004"/>
      <c r="PY155" s="1004"/>
      <c r="PZ155" s="1004"/>
      <c r="QA155" s="1004"/>
      <c r="QB155" s="1004"/>
      <c r="QC155" s="1004"/>
      <c r="QD155" s="1004"/>
      <c r="QE155" s="1004"/>
      <c r="QF155" s="1004"/>
      <c r="QG155" s="1004"/>
      <c r="QH155" s="1004"/>
      <c r="QI155" s="1004"/>
      <c r="QJ155" s="1004"/>
      <c r="QK155" s="1004"/>
      <c r="QL155" s="1004"/>
      <c r="QM155" s="1004"/>
      <c r="QN155" s="1004"/>
      <c r="QO155" s="1004"/>
      <c r="QP155" s="1004"/>
      <c r="QQ155" s="1004"/>
      <c r="QR155" s="1004"/>
      <c r="QS155" s="1004"/>
      <c r="QT155" s="1004"/>
      <c r="QU155" s="1004"/>
      <c r="QV155" s="1004"/>
      <c r="QW155" s="1004"/>
      <c r="QX155" s="1004"/>
      <c r="QY155" s="1004"/>
      <c r="QZ155" s="1004"/>
      <c r="RA155" s="1004"/>
      <c r="RB155" s="1004"/>
      <c r="RC155" s="1004"/>
      <c r="RD155" s="1004"/>
      <c r="RE155" s="1004"/>
      <c r="RF155" s="1004"/>
      <c r="RG155" s="1004"/>
      <c r="RH155" s="1004"/>
      <c r="RI155" s="1004"/>
      <c r="RJ155" s="1004"/>
      <c r="RK155" s="1004"/>
      <c r="RL155" s="1004"/>
      <c r="RM155" s="1004"/>
      <c r="RN155" s="1004"/>
      <c r="RO155" s="1004"/>
      <c r="RP155" s="1004"/>
      <c r="RQ155" s="1004"/>
      <c r="RR155" s="1004"/>
      <c r="RS155" s="1004"/>
      <c r="RT155" s="1004"/>
      <c r="RU155" s="1004"/>
      <c r="RV155" s="1004"/>
      <c r="RW155" s="1004"/>
      <c r="RX155" s="1004"/>
      <c r="RY155" s="1004"/>
      <c r="RZ155" s="1004"/>
      <c r="SA155" s="1004"/>
      <c r="SB155" s="1004"/>
      <c r="SC155" s="1004"/>
      <c r="SD155" s="1004"/>
      <c r="SE155" s="1004"/>
      <c r="SF155" s="1004"/>
      <c r="SG155" s="1004"/>
      <c r="SH155" s="1004"/>
      <c r="SI155" s="1004"/>
      <c r="SJ155" s="1004"/>
      <c r="SK155" s="1004"/>
      <c r="SL155" s="1004"/>
      <c r="SM155" s="1004"/>
      <c r="SN155" s="1004"/>
      <c r="SO155" s="1004"/>
      <c r="SP155" s="1004"/>
      <c r="SQ155" s="1004"/>
      <c r="SR155" s="1004"/>
      <c r="SS155" s="1004"/>
      <c r="ST155" s="1004"/>
      <c r="SU155" s="1004"/>
      <c r="SV155" s="1004"/>
      <c r="SW155" s="1004"/>
      <c r="SX155" s="1004"/>
      <c r="SY155" s="1004"/>
      <c r="SZ155" s="1004"/>
      <c r="TA155" s="1004"/>
      <c r="TB155" s="1004"/>
      <c r="TC155" s="1004"/>
      <c r="TD155" s="1004"/>
      <c r="TE155" s="1004"/>
      <c r="TF155" s="1004"/>
      <c r="TG155" s="1004"/>
      <c r="TH155" s="1004"/>
      <c r="TI155" s="1004"/>
      <c r="TJ155" s="1004"/>
      <c r="TK155" s="1004"/>
      <c r="TL155" s="1004"/>
      <c r="TM155" s="1004"/>
      <c r="TN155" s="1004"/>
      <c r="TO155" s="1004"/>
      <c r="TP155" s="1004"/>
      <c r="TQ155" s="1004"/>
      <c r="TR155" s="1004"/>
      <c r="TS155" s="1004"/>
      <c r="TT155" s="1004"/>
      <c r="TU155" s="1004"/>
      <c r="TV155" s="1004"/>
      <c r="TW155" s="1004"/>
      <c r="TX155" s="1004"/>
      <c r="TY155" s="1004"/>
      <c r="TZ155" s="1004"/>
      <c r="UA155" s="1004"/>
      <c r="UB155" s="1004"/>
      <c r="UC155" s="1004"/>
      <c r="UD155" s="1004"/>
      <c r="UE155" s="1004"/>
      <c r="UF155" s="1004"/>
      <c r="UG155" s="1004"/>
      <c r="UH155" s="1004"/>
      <c r="UI155" s="1004"/>
      <c r="UJ155" s="1004"/>
      <c r="UK155" s="1004"/>
      <c r="UL155" s="1004"/>
      <c r="UM155" s="1004"/>
      <c r="UN155" s="1004"/>
      <c r="UO155" s="1004"/>
      <c r="UP155" s="1004"/>
      <c r="UQ155" s="1004"/>
      <c r="UR155" s="1004"/>
      <c r="US155" s="1004"/>
      <c r="UT155" s="1004"/>
      <c r="UU155" s="1004"/>
      <c r="UV155" s="1004"/>
      <c r="UW155" s="1004"/>
      <c r="UX155" s="1004"/>
      <c r="UY155" s="1004"/>
      <c r="UZ155" s="1004"/>
      <c r="VA155" s="1004"/>
      <c r="VB155" s="1004"/>
      <c r="VC155" s="1004"/>
      <c r="VD155" s="1004"/>
      <c r="VE155" s="1004"/>
      <c r="VF155" s="1004"/>
      <c r="VG155" s="1004"/>
      <c r="VH155" s="1004"/>
      <c r="VI155" s="1004"/>
      <c r="VJ155" s="1004"/>
      <c r="VK155" s="1004"/>
      <c r="VL155" s="1004"/>
      <c r="VM155" s="1004"/>
      <c r="VN155" s="1004"/>
      <c r="VO155" s="1004"/>
      <c r="VP155" s="1004"/>
      <c r="VQ155" s="1004"/>
      <c r="VR155" s="1004"/>
      <c r="VS155" s="1004"/>
      <c r="VT155" s="1004"/>
      <c r="VU155" s="1004"/>
      <c r="VV155" s="1004"/>
      <c r="VW155" s="1004"/>
      <c r="VX155" s="1004"/>
      <c r="VY155" s="1004"/>
      <c r="VZ155" s="1004"/>
      <c r="WA155" s="1004"/>
      <c r="WB155" s="1004"/>
      <c r="WC155" s="1004"/>
      <c r="WD155" s="1004"/>
      <c r="WE155" s="1004"/>
      <c r="WF155" s="1004"/>
      <c r="WG155" s="1004"/>
      <c r="WH155" s="1004"/>
      <c r="WI155" s="1004"/>
      <c r="WJ155" s="1004"/>
      <c r="WK155" s="1004"/>
      <c r="WL155" s="1004"/>
      <c r="WM155" s="1004"/>
      <c r="WN155" s="1004"/>
      <c r="WO155" s="1004"/>
      <c r="WP155" s="1004"/>
      <c r="WQ155" s="1004"/>
      <c r="WR155" s="1004"/>
      <c r="WS155" s="1004"/>
      <c r="WT155" s="1004"/>
      <c r="WU155" s="1004"/>
      <c r="WV155" s="1004"/>
      <c r="WW155" s="1004"/>
      <c r="WX155" s="1004"/>
      <c r="WY155" s="1004"/>
      <c r="WZ155" s="1004"/>
      <c r="XA155" s="1004"/>
      <c r="XB155" s="1004"/>
      <c r="XC155" s="1004"/>
      <c r="XD155" s="1004"/>
      <c r="XE155" s="1004"/>
      <c r="XF155" s="1004"/>
      <c r="XG155" s="1004"/>
      <c r="XH155" s="1004"/>
      <c r="XI155" s="1004"/>
      <c r="XJ155" s="1004"/>
      <c r="XK155" s="1004"/>
      <c r="XL155" s="1004"/>
      <c r="XM155" s="1004"/>
      <c r="XN155" s="1004"/>
      <c r="XO155" s="1004"/>
      <c r="XP155" s="1004"/>
      <c r="XQ155" s="1004"/>
      <c r="XR155" s="1004"/>
      <c r="XS155" s="1004"/>
      <c r="XT155" s="1004"/>
      <c r="XU155" s="1004"/>
      <c r="XV155" s="1004"/>
      <c r="XW155" s="1004"/>
      <c r="XX155" s="1004"/>
      <c r="XY155" s="1004"/>
      <c r="XZ155" s="1004"/>
      <c r="YA155" s="1004"/>
      <c r="YB155" s="1004"/>
      <c r="YC155" s="1004"/>
      <c r="YD155" s="1004"/>
      <c r="YE155" s="1004"/>
      <c r="YF155" s="1004"/>
      <c r="YG155" s="1004"/>
      <c r="YH155" s="1004"/>
      <c r="YI155" s="1004"/>
      <c r="YJ155" s="1004"/>
      <c r="YK155" s="1004"/>
      <c r="YL155" s="1004"/>
      <c r="YM155" s="1004"/>
      <c r="YN155" s="1004"/>
      <c r="YO155" s="1004"/>
      <c r="YP155" s="1004"/>
      <c r="YQ155" s="1004"/>
      <c r="YR155" s="1004"/>
      <c r="YS155" s="1004"/>
      <c r="YT155" s="1004"/>
      <c r="YU155" s="1004"/>
      <c r="YV155" s="1004"/>
      <c r="YW155" s="1004"/>
      <c r="YX155" s="1004"/>
      <c r="YY155" s="1004"/>
      <c r="YZ155" s="1004"/>
      <c r="ZA155" s="1004"/>
      <c r="ZB155" s="1004"/>
      <c r="ZC155" s="1004"/>
      <c r="ZD155" s="1004"/>
      <c r="ZE155" s="1004"/>
      <c r="ZF155" s="1004"/>
      <c r="ZG155" s="1004"/>
      <c r="ZH155" s="1004"/>
      <c r="ZI155" s="1004"/>
      <c r="ZJ155" s="1004"/>
      <c r="ZK155" s="1004"/>
      <c r="ZL155" s="1004"/>
      <c r="ZM155" s="1004"/>
      <c r="ZN155" s="1004"/>
      <c r="ZO155" s="1004"/>
      <c r="ZP155" s="1004"/>
      <c r="ZQ155" s="1004"/>
      <c r="ZR155" s="1004"/>
      <c r="ZS155" s="1004"/>
      <c r="ZT155" s="1004"/>
      <c r="ZU155" s="1004"/>
      <c r="ZV155" s="1004"/>
      <c r="ZW155" s="1004"/>
      <c r="ZX155" s="1004"/>
      <c r="ZY155" s="1004"/>
      <c r="ZZ155" s="1004"/>
      <c r="AAA155" s="1004"/>
      <c r="AAB155" s="1004"/>
      <c r="AAC155" s="1004"/>
      <c r="AAD155" s="1004"/>
      <c r="AAE155" s="1004"/>
      <c r="AAF155" s="1004"/>
      <c r="AAG155" s="1004"/>
      <c r="AAH155" s="1004"/>
      <c r="AAI155" s="1004"/>
      <c r="AAJ155" s="1004"/>
      <c r="AAK155" s="1004"/>
      <c r="AAL155" s="1004"/>
      <c r="AAM155" s="1004"/>
      <c r="AAN155" s="1004"/>
      <c r="AAO155" s="1004"/>
      <c r="AAP155" s="1004"/>
      <c r="AAQ155" s="1004"/>
      <c r="AAR155" s="1004"/>
      <c r="AAS155" s="1004"/>
      <c r="AAT155" s="1004"/>
      <c r="AAU155" s="1004"/>
      <c r="AAV155" s="1004"/>
      <c r="AAW155" s="1004"/>
      <c r="AAX155" s="1004"/>
      <c r="AAY155" s="1004"/>
      <c r="AAZ155" s="1004"/>
      <c r="ABA155" s="1004"/>
      <c r="ABB155" s="1004"/>
      <c r="ABC155" s="1004"/>
      <c r="ABD155" s="1004"/>
      <c r="ABE155" s="1004"/>
      <c r="ABF155" s="1004"/>
      <c r="ABG155" s="1004"/>
      <c r="ABH155" s="1004"/>
      <c r="ABI155" s="1004"/>
      <c r="ABJ155" s="1004"/>
      <c r="ABK155" s="1004"/>
      <c r="ABL155" s="1004"/>
      <c r="ABM155" s="1004"/>
      <c r="ABN155" s="1004"/>
      <c r="ABO155" s="1004"/>
      <c r="ABP155" s="1004"/>
      <c r="ABQ155" s="1004"/>
      <c r="ABR155" s="1004"/>
    </row>
    <row r="156" spans="1:746" s="112" customFormat="1" ht="12" customHeight="1">
      <c r="A156" s="924"/>
      <c r="B156" s="601" t="s">
        <v>1144</v>
      </c>
      <c r="C156" s="2232"/>
      <c r="D156" s="2233"/>
      <c r="E156" s="2234"/>
      <c r="F156" s="2234"/>
      <c r="G156" s="2771"/>
      <c r="H156" s="2540"/>
      <c r="I156" s="334">
        <f>fx!I351+fx!I352</f>
        <v>0</v>
      </c>
      <c r="J156" s="335">
        <f>fx!J351+fx!J352</f>
        <v>0</v>
      </c>
      <c r="K156" s="335">
        <f>fx!K351+fx!K352</f>
        <v>0</v>
      </c>
      <c r="L156" s="335">
        <f>fx!L351+fx!L352</f>
        <v>0</v>
      </c>
      <c r="M156" s="335">
        <f>fx!M351+fx!M352</f>
        <v>0</v>
      </c>
      <c r="N156" s="335">
        <f>fx!N351+fx!N352</f>
        <v>0</v>
      </c>
      <c r="O156" s="335">
        <f>fx!O351+fx!O352</f>
        <v>0</v>
      </c>
      <c r="P156" s="335">
        <f>fx!P351+fx!P352</f>
        <v>0</v>
      </c>
      <c r="Q156" s="335">
        <f>fx!Q351+fx!Q352</f>
        <v>0</v>
      </c>
      <c r="R156" s="335">
        <f>fx!R351+fx!R352</f>
        <v>0</v>
      </c>
      <c r="S156" s="335">
        <f>fx!S351+fx!S352</f>
        <v>0</v>
      </c>
      <c r="T156" s="335">
        <f>fx!T351+fx!T352</f>
        <v>0</v>
      </c>
      <c r="U156" s="335">
        <f>fx!U351+fx!U352</f>
        <v>0</v>
      </c>
      <c r="V156" s="335">
        <f>fx!V351+fx!V352</f>
        <v>0</v>
      </c>
      <c r="W156" s="335">
        <f>fx!W351+fx!W352</f>
        <v>0</v>
      </c>
      <c r="X156" s="335">
        <f>fx!X351+fx!X352</f>
        <v>0</v>
      </c>
      <c r="Y156" s="335">
        <f>fx!Y351+fx!Y352</f>
        <v>0</v>
      </c>
      <c r="Z156" s="335">
        <f>fx!Z351+fx!Z352</f>
        <v>0</v>
      </c>
      <c r="AA156" s="335">
        <f>fx!AA351+fx!AA352</f>
        <v>0</v>
      </c>
      <c r="AB156" s="335">
        <f>fx!AB351+fx!AB352</f>
        <v>0</v>
      </c>
      <c r="AC156" s="335">
        <f>fx!AC351+fx!AC352</f>
        <v>0</v>
      </c>
      <c r="AD156" s="335">
        <f>fx!AD351+fx!AD352</f>
        <v>0</v>
      </c>
      <c r="AE156" s="335">
        <f>fx!AE351+fx!AE352</f>
        <v>0</v>
      </c>
      <c r="AF156" s="335">
        <f>fx!AF351+fx!AF352</f>
        <v>0</v>
      </c>
      <c r="AG156" s="2217"/>
      <c r="AH156" s="766"/>
      <c r="AI156" s="766"/>
      <c r="AJ156" s="1854">
        <f>IF(fx!$C$57=1,SUM(I156:T156),IF(fx!$C$57=2,SUM(O156:AF156)))</f>
        <v>0</v>
      </c>
      <c r="AK156" s="434"/>
      <c r="AL156" s="768">
        <f>IF(fx!$C$57=1,SUM(U156:AF156),0)</f>
        <v>0</v>
      </c>
      <c r="AM156" s="1004"/>
      <c r="AN156" s="238"/>
      <c r="AO156" s="1945"/>
      <c r="AP156" s="1935"/>
      <c r="AQ156" s="1936"/>
      <c r="AR156" s="1941"/>
      <c r="AS156" s="1941"/>
      <c r="AT156" s="1941"/>
      <c r="AU156" s="1941"/>
      <c r="AV156" s="1941"/>
      <c r="AW156" s="1941"/>
      <c r="AX156" s="1941"/>
      <c r="AY156" s="1941"/>
      <c r="AZ156" s="1941"/>
      <c r="BA156" s="1941"/>
      <c r="BB156" s="1941"/>
      <c r="BC156" s="1941"/>
      <c r="BD156" s="1941"/>
      <c r="BE156" s="1941"/>
      <c r="BF156" s="1941"/>
      <c r="BG156" s="1941"/>
      <c r="BH156" s="1941"/>
      <c r="BI156" s="1941"/>
      <c r="BJ156" s="1941"/>
      <c r="BK156" s="1941"/>
      <c r="BL156" s="1941"/>
      <c r="BM156" s="1941"/>
      <c r="BN156" s="1941"/>
      <c r="BO156" s="1941"/>
      <c r="BP156" s="1004"/>
      <c r="BQ156" s="1004"/>
      <c r="BR156" s="1004"/>
      <c r="BS156" s="1004"/>
      <c r="BT156" s="1004"/>
      <c r="BU156" s="1004"/>
      <c r="BV156" s="1004"/>
      <c r="BW156" s="1004"/>
      <c r="BX156" s="1004"/>
      <c r="BY156" s="1004"/>
      <c r="BZ156" s="1004"/>
      <c r="CA156" s="1004"/>
      <c r="CB156" s="1004"/>
      <c r="CC156" s="1004"/>
      <c r="CD156" s="1004"/>
      <c r="CE156" s="1004"/>
      <c r="CF156" s="1004"/>
      <c r="CG156" s="1004"/>
      <c r="CH156" s="1004"/>
      <c r="CI156" s="1004"/>
      <c r="CJ156" s="1004"/>
      <c r="CK156" s="1004"/>
      <c r="CL156" s="1004"/>
      <c r="CM156" s="1004"/>
      <c r="CN156" s="1004"/>
      <c r="CO156" s="1004"/>
      <c r="CP156" s="1004"/>
      <c r="CQ156" s="1004"/>
      <c r="CR156" s="1004"/>
      <c r="CS156" s="1004"/>
      <c r="CT156" s="1004"/>
      <c r="CU156" s="1004"/>
      <c r="CV156" s="1004"/>
      <c r="CW156" s="1004"/>
      <c r="CX156" s="1004"/>
      <c r="CY156" s="1004"/>
      <c r="CZ156" s="1004"/>
      <c r="DA156" s="1004"/>
      <c r="DB156" s="1004"/>
      <c r="DC156" s="1004"/>
      <c r="DD156" s="1004"/>
      <c r="DE156" s="1004"/>
      <c r="DF156" s="1004"/>
      <c r="DG156" s="1004"/>
      <c r="DH156" s="1004"/>
      <c r="DI156" s="1004"/>
      <c r="DJ156" s="1004"/>
      <c r="DK156" s="1004"/>
      <c r="DL156" s="1004"/>
      <c r="DM156" s="1004"/>
      <c r="DN156" s="1004"/>
      <c r="DO156" s="1004"/>
      <c r="DP156" s="1004"/>
      <c r="DQ156" s="1004"/>
      <c r="DR156" s="1004"/>
      <c r="DS156" s="1004"/>
      <c r="DT156" s="1004"/>
      <c r="DU156" s="1004"/>
      <c r="DV156" s="1004"/>
      <c r="DW156" s="1004"/>
      <c r="DX156" s="1004"/>
      <c r="DY156" s="1004"/>
      <c r="DZ156" s="1004"/>
      <c r="EA156" s="1004"/>
      <c r="EB156" s="1004"/>
      <c r="EC156" s="1004"/>
      <c r="ED156" s="1004"/>
      <c r="EE156" s="1004"/>
      <c r="EF156" s="1004"/>
      <c r="EG156" s="1004"/>
      <c r="EH156" s="1004"/>
      <c r="EI156" s="1004"/>
      <c r="EJ156" s="1004"/>
      <c r="EK156" s="1004"/>
      <c r="EL156" s="1004"/>
      <c r="EM156" s="1004"/>
      <c r="EN156" s="1004"/>
      <c r="EO156" s="1004"/>
      <c r="EP156" s="1004"/>
      <c r="EQ156" s="1004"/>
      <c r="ER156" s="1004"/>
      <c r="ES156" s="1004"/>
      <c r="ET156" s="1004"/>
      <c r="EU156" s="1004"/>
      <c r="EV156" s="1004"/>
      <c r="EW156" s="1004"/>
      <c r="EX156" s="1004"/>
      <c r="EY156" s="1004"/>
      <c r="EZ156" s="1004"/>
      <c r="FA156" s="1004"/>
      <c r="FB156" s="1004"/>
      <c r="FC156" s="1004"/>
      <c r="FD156" s="1004"/>
      <c r="FE156" s="1004"/>
      <c r="FF156" s="1004"/>
      <c r="FG156" s="1004"/>
      <c r="FH156" s="1004"/>
      <c r="FI156" s="1004"/>
      <c r="FJ156" s="1004"/>
      <c r="FK156" s="1004"/>
      <c r="FL156" s="1004"/>
      <c r="FM156" s="1004"/>
      <c r="FN156" s="1004"/>
      <c r="FO156" s="1004"/>
      <c r="FP156" s="1004"/>
      <c r="FQ156" s="1004"/>
      <c r="FR156" s="1004"/>
      <c r="FS156" s="1004"/>
      <c r="FT156" s="1004"/>
      <c r="FU156" s="1004"/>
      <c r="FV156" s="1004"/>
      <c r="FW156" s="1004"/>
      <c r="FX156" s="1004"/>
      <c r="FY156" s="1004"/>
      <c r="FZ156" s="1004"/>
      <c r="GA156" s="1004"/>
      <c r="GB156" s="1004"/>
      <c r="GC156" s="1004"/>
      <c r="GD156" s="1004"/>
      <c r="GE156" s="1004"/>
      <c r="GF156" s="1004"/>
      <c r="GG156" s="1004"/>
      <c r="GH156" s="1004"/>
      <c r="GI156" s="1004"/>
      <c r="GJ156" s="1004"/>
      <c r="GK156" s="1004"/>
      <c r="GL156" s="1004"/>
      <c r="GM156" s="1004"/>
      <c r="GN156" s="1004"/>
      <c r="GO156" s="1004"/>
      <c r="GP156" s="1004"/>
      <c r="GQ156" s="1004"/>
      <c r="GR156" s="1004"/>
      <c r="GS156" s="1004"/>
      <c r="GT156" s="1004"/>
      <c r="GU156" s="1004"/>
      <c r="GV156" s="1004"/>
      <c r="GW156" s="1004"/>
      <c r="GX156" s="1004"/>
      <c r="GY156" s="1004"/>
      <c r="GZ156" s="1004"/>
      <c r="HA156" s="1004"/>
      <c r="HB156" s="1004"/>
      <c r="HC156" s="1004"/>
      <c r="HD156" s="1004"/>
      <c r="HE156" s="1004"/>
      <c r="HF156" s="1004"/>
      <c r="HG156" s="1004"/>
      <c r="HH156" s="1004"/>
      <c r="HI156" s="1004"/>
      <c r="HJ156" s="1004"/>
      <c r="HK156" s="1004"/>
      <c r="HL156" s="1004"/>
      <c r="HM156" s="1004"/>
      <c r="HN156" s="1004"/>
      <c r="HO156" s="1004"/>
      <c r="HP156" s="1004"/>
      <c r="HQ156" s="1004"/>
      <c r="HR156" s="1004"/>
      <c r="HS156" s="1004"/>
      <c r="HT156" s="1004"/>
      <c r="HU156" s="1004"/>
      <c r="HV156" s="1004"/>
      <c r="HW156" s="1004"/>
      <c r="HX156" s="1004"/>
      <c r="HY156" s="1004"/>
      <c r="HZ156" s="1004"/>
      <c r="IA156" s="1004"/>
      <c r="IB156" s="1004"/>
      <c r="IC156" s="1004"/>
      <c r="ID156" s="1004"/>
      <c r="IE156" s="1004"/>
      <c r="IF156" s="1004"/>
      <c r="IG156" s="1004"/>
      <c r="IH156" s="1004"/>
      <c r="II156" s="1004"/>
      <c r="IJ156" s="1004"/>
      <c r="IK156" s="1004"/>
      <c r="IL156" s="1004"/>
      <c r="IM156" s="1004"/>
      <c r="IN156" s="1004"/>
      <c r="IO156" s="1004"/>
      <c r="IP156" s="1004"/>
      <c r="IQ156" s="1004"/>
      <c r="IR156" s="1004"/>
      <c r="IS156" s="1004"/>
      <c r="IT156" s="1004"/>
      <c r="IU156" s="1004"/>
      <c r="IV156" s="1004"/>
      <c r="IW156" s="1004"/>
      <c r="IX156" s="1004"/>
      <c r="IY156" s="1004"/>
      <c r="IZ156" s="1004"/>
      <c r="JA156" s="1004"/>
      <c r="JB156" s="1004"/>
      <c r="JC156" s="1004"/>
      <c r="JD156" s="1004"/>
      <c r="JE156" s="1004"/>
      <c r="JF156" s="1004"/>
      <c r="JG156" s="1004"/>
      <c r="JH156" s="1004"/>
      <c r="JI156" s="1004"/>
      <c r="JJ156" s="1004"/>
      <c r="JK156" s="1004"/>
      <c r="JL156" s="1004"/>
      <c r="JM156" s="1004"/>
      <c r="JN156" s="1004"/>
      <c r="JO156" s="1004"/>
      <c r="JP156" s="1004"/>
      <c r="JQ156" s="1004"/>
      <c r="JR156" s="1004"/>
      <c r="JS156" s="1004"/>
      <c r="JT156" s="1004"/>
      <c r="JU156" s="1004"/>
      <c r="JV156" s="1004"/>
      <c r="JW156" s="1004"/>
      <c r="JX156" s="1004"/>
      <c r="JY156" s="1004"/>
      <c r="JZ156" s="1004"/>
      <c r="KA156" s="1004"/>
      <c r="KB156" s="1004"/>
      <c r="KC156" s="1004"/>
      <c r="KD156" s="1004"/>
      <c r="KE156" s="1004"/>
      <c r="KF156" s="1004"/>
      <c r="KG156" s="1004"/>
      <c r="KH156" s="1004"/>
      <c r="KI156" s="1004"/>
      <c r="KJ156" s="1004"/>
      <c r="KK156" s="1004"/>
      <c r="KL156" s="1004"/>
      <c r="KM156" s="1004"/>
      <c r="KN156" s="1004"/>
      <c r="KO156" s="1004"/>
      <c r="KP156" s="1004"/>
      <c r="KQ156" s="1004"/>
      <c r="KR156" s="1004"/>
      <c r="KS156" s="1004"/>
      <c r="KT156" s="1004"/>
      <c r="KU156" s="1004"/>
      <c r="KV156" s="1004"/>
      <c r="KW156" s="1004"/>
      <c r="KX156" s="1004"/>
      <c r="KY156" s="1004"/>
      <c r="KZ156" s="1004"/>
      <c r="LA156" s="1004"/>
      <c r="LB156" s="1004"/>
      <c r="LC156" s="1004"/>
      <c r="LD156" s="1004"/>
      <c r="LE156" s="1004"/>
      <c r="LF156" s="1004"/>
      <c r="LG156" s="1004"/>
      <c r="LH156" s="1004"/>
      <c r="LI156" s="1004"/>
      <c r="LJ156" s="1004"/>
      <c r="LK156" s="1004"/>
      <c r="LL156" s="1004"/>
      <c r="LM156" s="1004"/>
      <c r="LN156" s="1004"/>
      <c r="LO156" s="1004"/>
      <c r="LP156" s="1004"/>
      <c r="LQ156" s="1004"/>
      <c r="LR156" s="1004"/>
      <c r="LS156" s="1004"/>
      <c r="LT156" s="1004"/>
      <c r="LU156" s="1004"/>
      <c r="LV156" s="1004"/>
      <c r="LW156" s="1004"/>
      <c r="LX156" s="1004"/>
      <c r="LY156" s="1004"/>
      <c r="LZ156" s="1004"/>
      <c r="MA156" s="1004"/>
      <c r="MB156" s="1004"/>
      <c r="MC156" s="1004"/>
      <c r="MD156" s="1004"/>
      <c r="ME156" s="1004"/>
      <c r="MF156" s="1004"/>
      <c r="MG156" s="1004"/>
      <c r="MH156" s="1004"/>
      <c r="MI156" s="1004"/>
      <c r="MJ156" s="1004"/>
      <c r="MK156" s="1004"/>
      <c r="ML156" s="1004"/>
      <c r="MM156" s="1004"/>
      <c r="MN156" s="1004"/>
      <c r="MO156" s="1004"/>
      <c r="MP156" s="1004"/>
      <c r="MQ156" s="1004"/>
      <c r="MR156" s="1004"/>
      <c r="MS156" s="1004"/>
      <c r="MT156" s="1004"/>
      <c r="MU156" s="1004"/>
      <c r="MV156" s="1004"/>
      <c r="MW156" s="1004"/>
      <c r="MX156" s="1004"/>
      <c r="MY156" s="1004"/>
      <c r="MZ156" s="1004"/>
      <c r="NA156" s="1004"/>
      <c r="NB156" s="1004"/>
      <c r="NC156" s="1004"/>
      <c r="ND156" s="1004"/>
      <c r="NE156" s="1004"/>
      <c r="NF156" s="1004"/>
      <c r="NG156" s="1004"/>
      <c r="NH156" s="1004"/>
      <c r="NI156" s="1004"/>
      <c r="NJ156" s="1004"/>
      <c r="NK156" s="1004"/>
      <c r="NL156" s="1004"/>
      <c r="NM156" s="1004"/>
      <c r="NN156" s="1004"/>
      <c r="NO156" s="1004"/>
      <c r="NP156" s="1004"/>
      <c r="NQ156" s="1004"/>
      <c r="NR156" s="1004"/>
      <c r="NS156" s="1004"/>
      <c r="NT156" s="1004"/>
      <c r="NU156" s="1004"/>
      <c r="NV156" s="1004"/>
      <c r="NW156" s="1004"/>
      <c r="NX156" s="1004"/>
      <c r="NY156" s="1004"/>
      <c r="NZ156" s="1004"/>
      <c r="OA156" s="1004"/>
      <c r="OB156" s="1004"/>
      <c r="OC156" s="1004"/>
      <c r="OD156" s="1004"/>
      <c r="OE156" s="1004"/>
      <c r="OF156" s="1004"/>
      <c r="OG156" s="1004"/>
      <c r="OH156" s="1004"/>
      <c r="OI156" s="1004"/>
      <c r="OJ156" s="1004"/>
      <c r="OK156" s="1004"/>
      <c r="OL156" s="1004"/>
      <c r="OM156" s="1004"/>
      <c r="ON156" s="1004"/>
      <c r="OO156" s="1004"/>
      <c r="OP156" s="1004"/>
      <c r="OQ156" s="1004"/>
      <c r="OR156" s="1004"/>
      <c r="OS156" s="1004"/>
      <c r="OT156" s="1004"/>
      <c r="OU156" s="1004"/>
      <c r="OV156" s="1004"/>
      <c r="OW156" s="1004"/>
      <c r="OX156" s="1004"/>
      <c r="OY156" s="1004"/>
      <c r="OZ156" s="1004"/>
      <c r="PA156" s="1004"/>
      <c r="PB156" s="1004"/>
      <c r="PC156" s="1004"/>
      <c r="PD156" s="1004"/>
      <c r="PE156" s="1004"/>
      <c r="PF156" s="1004"/>
      <c r="PG156" s="1004"/>
      <c r="PH156" s="1004"/>
      <c r="PI156" s="1004"/>
      <c r="PJ156" s="1004"/>
      <c r="PK156" s="1004"/>
      <c r="PL156" s="1004"/>
      <c r="PM156" s="1004"/>
      <c r="PN156" s="1004"/>
      <c r="PO156" s="1004"/>
      <c r="PP156" s="1004"/>
      <c r="PQ156" s="1004"/>
      <c r="PR156" s="1004"/>
      <c r="PS156" s="1004"/>
      <c r="PT156" s="1004"/>
      <c r="PU156" s="1004"/>
      <c r="PV156" s="1004"/>
      <c r="PW156" s="1004"/>
      <c r="PX156" s="1004"/>
      <c r="PY156" s="1004"/>
      <c r="PZ156" s="1004"/>
      <c r="QA156" s="1004"/>
      <c r="QB156" s="1004"/>
      <c r="QC156" s="1004"/>
      <c r="QD156" s="1004"/>
      <c r="QE156" s="1004"/>
      <c r="QF156" s="1004"/>
      <c r="QG156" s="1004"/>
      <c r="QH156" s="1004"/>
      <c r="QI156" s="1004"/>
      <c r="QJ156" s="1004"/>
      <c r="QK156" s="1004"/>
      <c r="QL156" s="1004"/>
      <c r="QM156" s="1004"/>
      <c r="QN156" s="1004"/>
      <c r="QO156" s="1004"/>
      <c r="QP156" s="1004"/>
      <c r="QQ156" s="1004"/>
      <c r="QR156" s="1004"/>
      <c r="QS156" s="1004"/>
      <c r="QT156" s="1004"/>
      <c r="QU156" s="1004"/>
      <c r="QV156" s="1004"/>
      <c r="QW156" s="1004"/>
      <c r="QX156" s="1004"/>
      <c r="QY156" s="1004"/>
      <c r="QZ156" s="1004"/>
      <c r="RA156" s="1004"/>
      <c r="RB156" s="1004"/>
      <c r="RC156" s="1004"/>
      <c r="RD156" s="1004"/>
      <c r="RE156" s="1004"/>
      <c r="RF156" s="1004"/>
      <c r="RG156" s="1004"/>
      <c r="RH156" s="1004"/>
      <c r="RI156" s="1004"/>
      <c r="RJ156" s="1004"/>
      <c r="RK156" s="1004"/>
      <c r="RL156" s="1004"/>
      <c r="RM156" s="1004"/>
      <c r="RN156" s="1004"/>
      <c r="RO156" s="1004"/>
      <c r="RP156" s="1004"/>
      <c r="RQ156" s="1004"/>
      <c r="RR156" s="1004"/>
      <c r="RS156" s="1004"/>
      <c r="RT156" s="1004"/>
      <c r="RU156" s="1004"/>
      <c r="RV156" s="1004"/>
      <c r="RW156" s="1004"/>
      <c r="RX156" s="1004"/>
      <c r="RY156" s="1004"/>
      <c r="RZ156" s="1004"/>
      <c r="SA156" s="1004"/>
      <c r="SB156" s="1004"/>
      <c r="SC156" s="1004"/>
      <c r="SD156" s="1004"/>
      <c r="SE156" s="1004"/>
      <c r="SF156" s="1004"/>
      <c r="SG156" s="1004"/>
      <c r="SH156" s="1004"/>
      <c r="SI156" s="1004"/>
      <c r="SJ156" s="1004"/>
      <c r="SK156" s="1004"/>
      <c r="SL156" s="1004"/>
      <c r="SM156" s="1004"/>
      <c r="SN156" s="1004"/>
      <c r="SO156" s="1004"/>
      <c r="SP156" s="1004"/>
      <c r="SQ156" s="1004"/>
      <c r="SR156" s="1004"/>
      <c r="SS156" s="1004"/>
      <c r="ST156" s="1004"/>
      <c r="SU156" s="1004"/>
      <c r="SV156" s="1004"/>
      <c r="SW156" s="1004"/>
      <c r="SX156" s="1004"/>
      <c r="SY156" s="1004"/>
      <c r="SZ156" s="1004"/>
      <c r="TA156" s="1004"/>
      <c r="TB156" s="1004"/>
      <c r="TC156" s="1004"/>
      <c r="TD156" s="1004"/>
      <c r="TE156" s="1004"/>
      <c r="TF156" s="1004"/>
      <c r="TG156" s="1004"/>
      <c r="TH156" s="1004"/>
      <c r="TI156" s="1004"/>
      <c r="TJ156" s="1004"/>
      <c r="TK156" s="1004"/>
      <c r="TL156" s="1004"/>
      <c r="TM156" s="1004"/>
      <c r="TN156" s="1004"/>
      <c r="TO156" s="1004"/>
      <c r="TP156" s="1004"/>
      <c r="TQ156" s="1004"/>
      <c r="TR156" s="1004"/>
      <c r="TS156" s="1004"/>
      <c r="TT156" s="1004"/>
      <c r="TU156" s="1004"/>
      <c r="TV156" s="1004"/>
      <c r="TW156" s="1004"/>
      <c r="TX156" s="1004"/>
      <c r="TY156" s="1004"/>
      <c r="TZ156" s="1004"/>
      <c r="UA156" s="1004"/>
      <c r="UB156" s="1004"/>
      <c r="UC156" s="1004"/>
      <c r="UD156" s="1004"/>
      <c r="UE156" s="1004"/>
      <c r="UF156" s="1004"/>
      <c r="UG156" s="1004"/>
      <c r="UH156" s="1004"/>
      <c r="UI156" s="1004"/>
      <c r="UJ156" s="1004"/>
      <c r="UK156" s="1004"/>
      <c r="UL156" s="1004"/>
      <c r="UM156" s="1004"/>
      <c r="UN156" s="1004"/>
      <c r="UO156" s="1004"/>
      <c r="UP156" s="1004"/>
      <c r="UQ156" s="1004"/>
      <c r="UR156" s="1004"/>
      <c r="US156" s="1004"/>
      <c r="UT156" s="1004"/>
      <c r="UU156" s="1004"/>
      <c r="UV156" s="1004"/>
      <c r="UW156" s="1004"/>
      <c r="UX156" s="1004"/>
      <c r="UY156" s="1004"/>
      <c r="UZ156" s="1004"/>
      <c r="VA156" s="1004"/>
      <c r="VB156" s="1004"/>
      <c r="VC156" s="1004"/>
      <c r="VD156" s="1004"/>
      <c r="VE156" s="1004"/>
      <c r="VF156" s="1004"/>
      <c r="VG156" s="1004"/>
      <c r="VH156" s="1004"/>
      <c r="VI156" s="1004"/>
      <c r="VJ156" s="1004"/>
      <c r="VK156" s="1004"/>
      <c r="VL156" s="1004"/>
      <c r="VM156" s="1004"/>
      <c r="VN156" s="1004"/>
      <c r="VO156" s="1004"/>
      <c r="VP156" s="1004"/>
      <c r="VQ156" s="1004"/>
      <c r="VR156" s="1004"/>
      <c r="VS156" s="1004"/>
      <c r="VT156" s="1004"/>
      <c r="VU156" s="1004"/>
      <c r="VV156" s="1004"/>
      <c r="VW156" s="1004"/>
      <c r="VX156" s="1004"/>
      <c r="VY156" s="1004"/>
      <c r="VZ156" s="1004"/>
      <c r="WA156" s="1004"/>
      <c r="WB156" s="1004"/>
      <c r="WC156" s="1004"/>
      <c r="WD156" s="1004"/>
      <c r="WE156" s="1004"/>
      <c r="WF156" s="1004"/>
      <c r="WG156" s="1004"/>
      <c r="WH156" s="1004"/>
      <c r="WI156" s="1004"/>
      <c r="WJ156" s="1004"/>
      <c r="WK156" s="1004"/>
      <c r="WL156" s="1004"/>
      <c r="WM156" s="1004"/>
      <c r="WN156" s="1004"/>
      <c r="WO156" s="1004"/>
      <c r="WP156" s="1004"/>
      <c r="WQ156" s="1004"/>
      <c r="WR156" s="1004"/>
      <c r="WS156" s="1004"/>
      <c r="WT156" s="1004"/>
      <c r="WU156" s="1004"/>
      <c r="WV156" s="1004"/>
      <c r="WW156" s="1004"/>
      <c r="WX156" s="1004"/>
      <c r="WY156" s="1004"/>
      <c r="WZ156" s="1004"/>
      <c r="XA156" s="1004"/>
      <c r="XB156" s="1004"/>
      <c r="XC156" s="1004"/>
      <c r="XD156" s="1004"/>
      <c r="XE156" s="1004"/>
      <c r="XF156" s="1004"/>
      <c r="XG156" s="1004"/>
      <c r="XH156" s="1004"/>
      <c r="XI156" s="1004"/>
      <c r="XJ156" s="1004"/>
      <c r="XK156" s="1004"/>
      <c r="XL156" s="1004"/>
      <c r="XM156" s="1004"/>
      <c r="XN156" s="1004"/>
      <c r="XO156" s="1004"/>
      <c r="XP156" s="1004"/>
      <c r="XQ156" s="1004"/>
      <c r="XR156" s="1004"/>
      <c r="XS156" s="1004"/>
      <c r="XT156" s="1004"/>
      <c r="XU156" s="1004"/>
      <c r="XV156" s="1004"/>
      <c r="XW156" s="1004"/>
      <c r="XX156" s="1004"/>
      <c r="XY156" s="1004"/>
      <c r="XZ156" s="1004"/>
      <c r="YA156" s="1004"/>
      <c r="YB156" s="1004"/>
      <c r="YC156" s="1004"/>
      <c r="YD156" s="1004"/>
      <c r="YE156" s="1004"/>
      <c r="YF156" s="1004"/>
      <c r="YG156" s="1004"/>
      <c r="YH156" s="1004"/>
      <c r="YI156" s="1004"/>
      <c r="YJ156" s="1004"/>
      <c r="YK156" s="1004"/>
      <c r="YL156" s="1004"/>
      <c r="YM156" s="1004"/>
      <c r="YN156" s="1004"/>
      <c r="YO156" s="1004"/>
      <c r="YP156" s="1004"/>
      <c r="YQ156" s="1004"/>
      <c r="YR156" s="1004"/>
      <c r="YS156" s="1004"/>
      <c r="YT156" s="1004"/>
      <c r="YU156" s="1004"/>
      <c r="YV156" s="1004"/>
      <c r="YW156" s="1004"/>
      <c r="YX156" s="1004"/>
      <c r="YY156" s="1004"/>
      <c r="YZ156" s="1004"/>
      <c r="ZA156" s="1004"/>
      <c r="ZB156" s="1004"/>
      <c r="ZC156" s="1004"/>
      <c r="ZD156" s="1004"/>
      <c r="ZE156" s="1004"/>
      <c r="ZF156" s="1004"/>
      <c r="ZG156" s="1004"/>
      <c r="ZH156" s="1004"/>
      <c r="ZI156" s="1004"/>
      <c r="ZJ156" s="1004"/>
      <c r="ZK156" s="1004"/>
      <c r="ZL156" s="1004"/>
      <c r="ZM156" s="1004"/>
      <c r="ZN156" s="1004"/>
      <c r="ZO156" s="1004"/>
      <c r="ZP156" s="1004"/>
      <c r="ZQ156" s="1004"/>
      <c r="ZR156" s="1004"/>
      <c r="ZS156" s="1004"/>
      <c r="ZT156" s="1004"/>
      <c r="ZU156" s="1004"/>
      <c r="ZV156" s="1004"/>
      <c r="ZW156" s="1004"/>
      <c r="ZX156" s="1004"/>
      <c r="ZY156" s="1004"/>
      <c r="ZZ156" s="1004"/>
      <c r="AAA156" s="1004"/>
      <c r="AAB156" s="1004"/>
      <c r="AAC156" s="1004"/>
      <c r="AAD156" s="1004"/>
      <c r="AAE156" s="1004"/>
      <c r="AAF156" s="1004"/>
      <c r="AAG156" s="1004"/>
      <c r="AAH156" s="1004"/>
      <c r="AAI156" s="1004"/>
      <c r="AAJ156" s="1004"/>
      <c r="AAK156" s="1004"/>
      <c r="AAL156" s="1004"/>
      <c r="AAM156" s="1004"/>
      <c r="AAN156" s="1004"/>
      <c r="AAO156" s="1004"/>
      <c r="AAP156" s="1004"/>
      <c r="AAQ156" s="1004"/>
      <c r="AAR156" s="1004"/>
      <c r="AAS156" s="1004"/>
      <c r="AAT156" s="1004"/>
      <c r="AAU156" s="1004"/>
      <c r="AAV156" s="1004"/>
      <c r="AAW156" s="1004"/>
      <c r="AAX156" s="1004"/>
      <c r="AAY156" s="1004"/>
      <c r="AAZ156" s="1004"/>
      <c r="ABA156" s="1004"/>
      <c r="ABB156" s="1004"/>
      <c r="ABC156" s="1004"/>
      <c r="ABD156" s="1004"/>
      <c r="ABE156" s="1004"/>
      <c r="ABF156" s="1004"/>
      <c r="ABG156" s="1004"/>
      <c r="ABH156" s="1004"/>
      <c r="ABI156" s="1004"/>
      <c r="ABJ156" s="1004"/>
      <c r="ABK156" s="1004"/>
      <c r="ABL156" s="1004"/>
      <c r="ABM156" s="1004"/>
      <c r="ABN156" s="1004"/>
      <c r="ABO156" s="1004"/>
      <c r="ABP156" s="1004"/>
      <c r="ABQ156" s="1004"/>
      <c r="ABR156" s="1004"/>
    </row>
    <row r="157" spans="1:746" s="113" customFormat="1" ht="12" customHeight="1">
      <c r="A157" s="924"/>
      <c r="B157" s="1798"/>
      <c r="C157" s="1796"/>
      <c r="D157" s="1796"/>
      <c r="E157" s="1308"/>
      <c r="F157" s="1796"/>
      <c r="G157" s="1309"/>
      <c r="H157" s="1844" t="str">
        <f>IF(OR(H134=1,H155=1),"Budgetera från och med startmånad !","")</f>
        <v/>
      </c>
      <c r="I157" s="2570" t="str">
        <f>IF(fx!I$57=0,"&gt;&gt;",IF($L$4=I$6,"","Välj 1-12 i P4"))</f>
        <v/>
      </c>
      <c r="J157" s="1843" t="str">
        <f>IF(fx!J$57=0,"&gt;&gt;",IF($L$4=J$6,"Startmånad",""))</f>
        <v/>
      </c>
      <c r="K157" s="1843" t="str">
        <f>IF(fx!K$57=0,"&gt;&gt;",IF($L$4=K$6,"Startmånad",""))</f>
        <v/>
      </c>
      <c r="L157" s="1843" t="str">
        <f>IF(fx!L$57=0,"&gt;&gt;",IF($L$4=L$6,"Startmånad",""))</f>
        <v/>
      </c>
      <c r="M157" s="1843" t="str">
        <f>IF(fx!M$57=0,"&gt;&gt;",IF($L$4=M$6,"Startmånad",""))</f>
        <v/>
      </c>
      <c r="N157" s="1843" t="str">
        <f>IF(fx!N$57=0,"&gt;&gt;",IF($L$4=N$6,"Startmånad",""))</f>
        <v/>
      </c>
      <c r="O157" s="1843" t="str">
        <f>IF(AND(fx!$C$57=1,fx!O$57=0),"&gt;&gt;",IF(AND(fx!$C$57=1,$L$4=$O$6),"Startmånad",IF(AND(fx!$C$57=2,$L$4&lt;7),"Välj 7-12 i P4",IF(AND(fx!$C$57=2,$L$4=$O$6),"Startmånad",IF(AND(fx!$C$57=2,$L$4&gt;$O$6),"&gt;&gt;","")))))</f>
        <v/>
      </c>
      <c r="P157" s="1843" t="str">
        <f>IF(fx!P$57=0,"&gt;&gt;",IF($L$4=P$6,"Startmånad",""))</f>
        <v/>
      </c>
      <c r="Q157" s="1843" t="str">
        <f>IF(fx!Q$57=0,"&gt;&gt;",IF($L$4=Q$6,"Startmånad",""))</f>
        <v/>
      </c>
      <c r="R157" s="1843" t="str">
        <f>IF(fx!R$57=0,"&gt;&gt;",IF($L$4=R$6,"Startmånad",""))</f>
        <v/>
      </c>
      <c r="S157" s="1843" t="str">
        <f>IF(fx!S$57=0,"&gt;&gt;",IF($L$4=S$6,"Startmånad",""))</f>
        <v/>
      </c>
      <c r="T157" s="2717" t="str">
        <f>IF(fx!T$57=0,"&gt;&gt;",IF($L$4=T$6,"Startmånad",""))</f>
        <v/>
      </c>
      <c r="U157" s="2718"/>
      <c r="V157" s="1783"/>
      <c r="W157" s="1783"/>
      <c r="X157" s="1783"/>
      <c r="Y157" s="1783"/>
      <c r="Z157" s="1783"/>
      <c r="AA157" s="1783"/>
      <c r="AB157" s="1783"/>
      <c r="AC157" s="1783"/>
      <c r="AD157" s="1783"/>
      <c r="AE157" s="1783"/>
      <c r="AF157" s="1799"/>
      <c r="AG157" s="376"/>
      <c r="AH157" s="769"/>
      <c r="AI157" s="769"/>
      <c r="AJ157" s="1289"/>
      <c r="AK157" s="434"/>
      <c r="AL157" s="773"/>
      <c r="AM157" s="1009"/>
      <c r="AN157" s="1015"/>
      <c r="AO157" s="1945"/>
      <c r="AP157" s="1935"/>
      <c r="AQ157" s="1936"/>
      <c r="AR157" s="1941"/>
      <c r="AS157" s="1941"/>
      <c r="AT157" s="1941"/>
      <c r="AU157" s="1941"/>
      <c r="AV157" s="1941"/>
      <c r="AW157" s="1941"/>
      <c r="AX157" s="1941"/>
      <c r="AY157" s="1941"/>
      <c r="AZ157" s="1941"/>
      <c r="BA157" s="1941"/>
      <c r="BB157" s="1941"/>
      <c r="BC157" s="1941"/>
      <c r="BD157" s="1941"/>
      <c r="BE157" s="1941"/>
      <c r="BF157" s="1941"/>
      <c r="BG157" s="1941"/>
      <c r="BH157" s="1941"/>
      <c r="BI157" s="1941"/>
      <c r="BJ157" s="1941"/>
      <c r="BK157" s="1941"/>
      <c r="BL157" s="1941"/>
      <c r="BM157" s="1941"/>
      <c r="BN157" s="1941"/>
      <c r="BO157" s="1941"/>
      <c r="BP157" s="1005"/>
      <c r="BQ157" s="1005"/>
      <c r="BR157" s="1005"/>
      <c r="BS157" s="1005"/>
      <c r="BT157" s="1005"/>
      <c r="BU157" s="1005"/>
      <c r="BV157" s="1005"/>
      <c r="BW157" s="1005"/>
      <c r="BX157" s="1005"/>
      <c r="BY157" s="1005"/>
      <c r="BZ157" s="1005"/>
      <c r="CA157" s="1005"/>
      <c r="CB157" s="1005"/>
      <c r="CC157" s="1005"/>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c r="EC157" s="1005"/>
      <c r="ED157" s="1005"/>
      <c r="EE157" s="1005"/>
      <c r="EF157" s="1005"/>
      <c r="EG157" s="1005"/>
      <c r="EH157" s="1005"/>
      <c r="EI157" s="1005"/>
      <c r="EJ157" s="1005"/>
      <c r="EK157" s="1005"/>
      <c r="EL157" s="1005"/>
      <c r="EM157" s="1005"/>
      <c r="EN157" s="1005"/>
      <c r="EO157" s="1005"/>
      <c r="EP157" s="1005"/>
      <c r="EQ157" s="1005"/>
      <c r="ER157" s="1005"/>
      <c r="ES157" s="1005"/>
      <c r="ET157" s="1005"/>
      <c r="EU157" s="1005"/>
      <c r="EV157" s="1005"/>
      <c r="EW157" s="1005"/>
      <c r="EX157" s="1005"/>
      <c r="EY157" s="1005"/>
      <c r="EZ157" s="1005"/>
      <c r="FA157" s="1005"/>
      <c r="FB157" s="1005"/>
      <c r="FC157" s="1005"/>
      <c r="FD157" s="1005"/>
      <c r="FE157" s="1005"/>
      <c r="FF157" s="1005"/>
      <c r="FG157" s="1005"/>
      <c r="FH157" s="1005"/>
      <c r="FI157" s="1005"/>
      <c r="FJ157" s="1005"/>
      <c r="FK157" s="1005"/>
      <c r="FL157" s="1005"/>
      <c r="FM157" s="1005"/>
      <c r="FN157" s="1005"/>
      <c r="FO157" s="1005"/>
      <c r="FP157" s="1005"/>
      <c r="FQ157" s="1005"/>
      <c r="FR157" s="1005"/>
      <c r="FS157" s="1005"/>
      <c r="FT157" s="1005"/>
      <c r="FU157" s="1005"/>
      <c r="FV157" s="1005"/>
      <c r="FW157" s="1005"/>
      <c r="FX157" s="1005"/>
      <c r="FY157" s="1005"/>
      <c r="FZ157" s="1005"/>
      <c r="GA157" s="1005"/>
      <c r="GB157" s="1005"/>
      <c r="GC157" s="1005"/>
      <c r="GD157" s="1005"/>
      <c r="GE157" s="1005"/>
      <c r="GF157" s="1005"/>
      <c r="GG157" s="1005"/>
      <c r="GH157" s="1005"/>
      <c r="GI157" s="1005"/>
      <c r="GJ157" s="1005"/>
      <c r="GK157" s="1005"/>
      <c r="GL157" s="1005"/>
      <c r="GM157" s="1005"/>
      <c r="GN157" s="1005"/>
      <c r="GO157" s="1005"/>
      <c r="GP157" s="1005"/>
      <c r="GQ157" s="1005"/>
      <c r="GR157" s="1005"/>
      <c r="GS157" s="1005"/>
      <c r="GT157" s="1005"/>
      <c r="GU157" s="1005"/>
      <c r="GV157" s="1005"/>
      <c r="GW157" s="1005"/>
      <c r="GX157" s="1005"/>
      <c r="GY157" s="1005"/>
      <c r="GZ157" s="1005"/>
      <c r="HA157" s="1005"/>
      <c r="HB157" s="1005"/>
      <c r="HC157" s="1005"/>
      <c r="HD157" s="1005"/>
      <c r="HE157" s="1005"/>
      <c r="HF157" s="1005"/>
      <c r="HG157" s="1005"/>
      <c r="HH157" s="1005"/>
      <c r="HI157" s="1005"/>
      <c r="HJ157" s="1005"/>
      <c r="HK157" s="1005"/>
      <c r="HL157" s="1005"/>
      <c r="HM157" s="1005"/>
      <c r="HN157" s="1005"/>
      <c r="HO157" s="1005"/>
      <c r="HP157" s="1005"/>
      <c r="HQ157" s="1005"/>
      <c r="HR157" s="1005"/>
      <c r="HS157" s="1005"/>
      <c r="HT157" s="1005"/>
      <c r="HU157" s="1005"/>
      <c r="HV157" s="1005"/>
      <c r="HW157" s="1005"/>
      <c r="HX157" s="1005"/>
      <c r="HY157" s="1005"/>
      <c r="HZ157" s="1005"/>
      <c r="IA157" s="1005"/>
      <c r="IB157" s="1005"/>
      <c r="IC157" s="1005"/>
      <c r="ID157" s="1005"/>
      <c r="IE157" s="1005"/>
      <c r="IF157" s="1005"/>
      <c r="IG157" s="1005"/>
      <c r="IH157" s="1005"/>
      <c r="II157" s="1005"/>
      <c r="IJ157" s="1005"/>
      <c r="IK157" s="1005"/>
      <c r="IL157" s="1005"/>
      <c r="IM157" s="1005"/>
      <c r="IN157" s="1005"/>
      <c r="IO157" s="1005"/>
      <c r="IP157" s="1005"/>
      <c r="IQ157" s="1005"/>
      <c r="IR157" s="1005"/>
      <c r="IS157" s="1005"/>
      <c r="IT157" s="1005"/>
      <c r="IU157" s="1005"/>
      <c r="IV157" s="1005"/>
      <c r="IW157" s="1005"/>
      <c r="IX157" s="1005"/>
      <c r="IY157" s="1005"/>
      <c r="IZ157" s="1005"/>
      <c r="JA157" s="1005"/>
      <c r="JB157" s="1005"/>
      <c r="JC157" s="1005"/>
      <c r="JD157" s="1005"/>
      <c r="JE157" s="1005"/>
      <c r="JF157" s="1005"/>
      <c r="JG157" s="1005"/>
      <c r="JH157" s="1005"/>
      <c r="JI157" s="1005"/>
      <c r="JJ157" s="1005"/>
      <c r="JK157" s="1005"/>
      <c r="JL157" s="1005"/>
      <c r="JM157" s="1005"/>
      <c r="JN157" s="1005"/>
      <c r="JO157" s="1005"/>
      <c r="JP157" s="1005"/>
      <c r="JQ157" s="1005"/>
      <c r="JR157" s="1005"/>
      <c r="JS157" s="1005"/>
      <c r="JT157" s="1005"/>
      <c r="JU157" s="1005"/>
      <c r="JV157" s="1005"/>
      <c r="JW157" s="1005"/>
      <c r="JX157" s="1005"/>
      <c r="JY157" s="1005"/>
      <c r="JZ157" s="1005"/>
      <c r="KA157" s="1005"/>
      <c r="KB157" s="1005"/>
      <c r="KC157" s="1005"/>
      <c r="KD157" s="1005"/>
      <c r="KE157" s="1005"/>
      <c r="KF157" s="1005"/>
      <c r="KG157" s="1005"/>
      <c r="KH157" s="1005"/>
      <c r="KI157" s="1005"/>
      <c r="KJ157" s="1005"/>
      <c r="KK157" s="1005"/>
      <c r="KL157" s="1005"/>
      <c r="KM157" s="1005"/>
      <c r="KN157" s="1005"/>
      <c r="KO157" s="1005"/>
      <c r="KP157" s="1005"/>
      <c r="KQ157" s="1005"/>
      <c r="KR157" s="1005"/>
      <c r="KS157" s="1005"/>
      <c r="KT157" s="1005"/>
      <c r="KU157" s="1005"/>
      <c r="KV157" s="1005"/>
      <c r="KW157" s="1005"/>
      <c r="KX157" s="1005"/>
      <c r="KY157" s="1005"/>
      <c r="KZ157" s="1005"/>
      <c r="LA157" s="1005"/>
      <c r="LB157" s="1005"/>
      <c r="LC157" s="1005"/>
      <c r="LD157" s="1005"/>
      <c r="LE157" s="1005"/>
      <c r="LF157" s="1005"/>
      <c r="LG157" s="1005"/>
      <c r="LH157" s="1005"/>
      <c r="LI157" s="1005"/>
      <c r="LJ157" s="1005"/>
      <c r="LK157" s="1005"/>
      <c r="LL157" s="1005"/>
      <c r="LM157" s="1005"/>
      <c r="LN157" s="1005"/>
      <c r="LO157" s="1005"/>
      <c r="LP157" s="1005"/>
      <c r="LQ157" s="1005"/>
      <c r="LR157" s="1005"/>
      <c r="LS157" s="1005"/>
      <c r="LT157" s="1005"/>
      <c r="LU157" s="1005"/>
      <c r="LV157" s="1005"/>
      <c r="LW157" s="1005"/>
      <c r="LX157" s="1005"/>
      <c r="LY157" s="1005"/>
      <c r="LZ157" s="1005"/>
      <c r="MA157" s="1005"/>
      <c r="MB157" s="1005"/>
      <c r="MC157" s="1005"/>
      <c r="MD157" s="1005"/>
      <c r="ME157" s="1005"/>
      <c r="MF157" s="1005"/>
      <c r="MG157" s="1005"/>
      <c r="MH157" s="1005"/>
      <c r="MI157" s="1005"/>
      <c r="MJ157" s="1005"/>
      <c r="MK157" s="1005"/>
      <c r="ML157" s="1005"/>
      <c r="MM157" s="1005"/>
      <c r="MN157" s="1005"/>
      <c r="MO157" s="1005"/>
      <c r="MP157" s="1005"/>
      <c r="MQ157" s="1005"/>
      <c r="MR157" s="1005"/>
      <c r="MS157" s="1005"/>
      <c r="MT157" s="1005"/>
      <c r="MU157" s="1005"/>
      <c r="MV157" s="1005"/>
      <c r="MW157" s="1005"/>
      <c r="MX157" s="1005"/>
      <c r="MY157" s="1005"/>
      <c r="MZ157" s="1005"/>
      <c r="NA157" s="1005"/>
      <c r="NB157" s="1005"/>
      <c r="NC157" s="1005"/>
      <c r="ND157" s="1005"/>
      <c r="NE157" s="1005"/>
      <c r="NF157" s="1005"/>
      <c r="NG157" s="1005"/>
      <c r="NH157" s="1005"/>
      <c r="NI157" s="1005"/>
      <c r="NJ157" s="1005"/>
      <c r="NK157" s="1005"/>
      <c r="NL157" s="1005"/>
      <c r="NM157" s="1005"/>
      <c r="NN157" s="1005"/>
      <c r="NO157" s="1005"/>
      <c r="NP157" s="1005"/>
      <c r="NQ157" s="1005"/>
      <c r="NR157" s="1005"/>
      <c r="NS157" s="1005"/>
      <c r="NT157" s="1005"/>
      <c r="NU157" s="1005"/>
      <c r="NV157" s="1005"/>
      <c r="NW157" s="1005"/>
      <c r="NX157" s="1005"/>
      <c r="NY157" s="1005"/>
      <c r="NZ157" s="1005"/>
      <c r="OA157" s="1005"/>
      <c r="OB157" s="1005"/>
      <c r="OC157" s="1005"/>
      <c r="OD157" s="1005"/>
      <c r="OE157" s="1005"/>
      <c r="OF157" s="1005"/>
      <c r="OG157" s="1005"/>
      <c r="OH157" s="1005"/>
      <c r="OI157" s="1005"/>
      <c r="OJ157" s="1005"/>
      <c r="OK157" s="1005"/>
      <c r="OL157" s="1005"/>
      <c r="OM157" s="1005"/>
      <c r="ON157" s="1005"/>
      <c r="OO157" s="1005"/>
      <c r="OP157" s="1005"/>
      <c r="OQ157" s="1005"/>
      <c r="OR157" s="1005"/>
      <c r="OS157" s="1005"/>
      <c r="OT157" s="1005"/>
      <c r="OU157" s="1005"/>
      <c r="OV157" s="1005"/>
      <c r="OW157" s="1005"/>
      <c r="OX157" s="1005"/>
      <c r="OY157" s="1005"/>
      <c r="OZ157" s="1005"/>
      <c r="PA157" s="1005"/>
      <c r="PB157" s="1005"/>
      <c r="PC157" s="1005"/>
      <c r="PD157" s="1005"/>
      <c r="PE157" s="1005"/>
      <c r="PF157" s="1005"/>
      <c r="PG157" s="1005"/>
      <c r="PH157" s="1005"/>
      <c r="PI157" s="1005"/>
      <c r="PJ157" s="1005"/>
      <c r="PK157" s="1005"/>
      <c r="PL157" s="1005"/>
      <c r="PM157" s="1005"/>
      <c r="PN157" s="1005"/>
      <c r="PO157" s="1005"/>
      <c r="PP157" s="1005"/>
      <c r="PQ157" s="1005"/>
      <c r="PR157" s="1005"/>
      <c r="PS157" s="1005"/>
      <c r="PT157" s="1005"/>
      <c r="PU157" s="1005"/>
      <c r="PV157" s="1005"/>
      <c r="PW157" s="1005"/>
      <c r="PX157" s="1005"/>
      <c r="PY157" s="1005"/>
      <c r="PZ157" s="1005"/>
      <c r="QA157" s="1005"/>
      <c r="QB157" s="1005"/>
      <c r="QC157" s="1005"/>
      <c r="QD157" s="1005"/>
      <c r="QE157" s="1005"/>
      <c r="QF157" s="1005"/>
      <c r="QG157" s="1005"/>
      <c r="QH157" s="1005"/>
      <c r="QI157" s="1005"/>
      <c r="QJ157" s="1005"/>
      <c r="QK157" s="1005"/>
      <c r="QL157" s="1005"/>
      <c r="QM157" s="1005"/>
      <c r="QN157" s="1005"/>
      <c r="QO157" s="1005"/>
      <c r="QP157" s="1005"/>
      <c r="QQ157" s="1005"/>
      <c r="QR157" s="1005"/>
      <c r="QS157" s="1005"/>
      <c r="QT157" s="1005"/>
      <c r="QU157" s="1005"/>
      <c r="QV157" s="1005"/>
      <c r="QW157" s="1005"/>
      <c r="QX157" s="1005"/>
      <c r="QY157" s="1005"/>
      <c r="QZ157" s="1005"/>
      <c r="RA157" s="1005"/>
      <c r="RB157" s="1005"/>
      <c r="RC157" s="1005"/>
      <c r="RD157" s="1005"/>
      <c r="RE157" s="1005"/>
      <c r="RF157" s="1005"/>
      <c r="RG157" s="1005"/>
      <c r="RH157" s="1005"/>
      <c r="RI157" s="1005"/>
      <c r="RJ157" s="1005"/>
      <c r="RK157" s="1005"/>
      <c r="RL157" s="1005"/>
      <c r="RM157" s="1005"/>
      <c r="RN157" s="1005"/>
      <c r="RO157" s="1005"/>
      <c r="RP157" s="1005"/>
      <c r="RQ157" s="1005"/>
      <c r="RR157" s="1005"/>
      <c r="RS157" s="1005"/>
      <c r="RT157" s="1005"/>
      <c r="RU157" s="1005"/>
      <c r="RV157" s="1005"/>
      <c r="RW157" s="1005"/>
      <c r="RX157" s="1005"/>
      <c r="RY157" s="1005"/>
      <c r="RZ157" s="1005"/>
      <c r="SA157" s="1005"/>
      <c r="SB157" s="1005"/>
      <c r="SC157" s="1005"/>
      <c r="SD157" s="1005"/>
      <c r="SE157" s="1005"/>
      <c r="SF157" s="1005"/>
      <c r="SG157" s="1005"/>
      <c r="SH157" s="1005"/>
      <c r="SI157" s="1005"/>
      <c r="SJ157" s="1005"/>
      <c r="SK157" s="1005"/>
      <c r="SL157" s="1005"/>
      <c r="SM157" s="1005"/>
      <c r="SN157" s="1005"/>
      <c r="SO157" s="1005"/>
      <c r="SP157" s="1005"/>
      <c r="SQ157" s="1005"/>
      <c r="SR157" s="1005"/>
      <c r="SS157" s="1005"/>
      <c r="ST157" s="1005"/>
      <c r="SU157" s="1005"/>
      <c r="SV157" s="1005"/>
      <c r="SW157" s="1005"/>
      <c r="SX157" s="1005"/>
      <c r="SY157" s="1005"/>
      <c r="SZ157" s="1005"/>
      <c r="TA157" s="1005"/>
      <c r="TB157" s="1005"/>
      <c r="TC157" s="1005"/>
      <c r="TD157" s="1005"/>
      <c r="TE157" s="1005"/>
      <c r="TF157" s="1005"/>
      <c r="TG157" s="1005"/>
      <c r="TH157" s="1005"/>
      <c r="TI157" s="1005"/>
      <c r="TJ157" s="1005"/>
      <c r="TK157" s="1005"/>
      <c r="TL157" s="1005"/>
      <c r="TM157" s="1005"/>
      <c r="TN157" s="1005"/>
      <c r="TO157" s="1005"/>
      <c r="TP157" s="1005"/>
      <c r="TQ157" s="1005"/>
      <c r="TR157" s="1005"/>
      <c r="TS157" s="1005"/>
      <c r="TT157" s="1005"/>
      <c r="TU157" s="1005"/>
      <c r="TV157" s="1005"/>
      <c r="TW157" s="1005"/>
      <c r="TX157" s="1005"/>
      <c r="TY157" s="1005"/>
      <c r="TZ157" s="1005"/>
      <c r="UA157" s="1005"/>
      <c r="UB157" s="1005"/>
      <c r="UC157" s="1005"/>
      <c r="UD157" s="1005"/>
      <c r="UE157" s="1005"/>
      <c r="UF157" s="1005"/>
      <c r="UG157" s="1005"/>
      <c r="UH157" s="1005"/>
      <c r="UI157" s="1005"/>
      <c r="UJ157" s="1005"/>
      <c r="UK157" s="1005"/>
      <c r="UL157" s="1005"/>
      <c r="UM157" s="1005"/>
      <c r="UN157" s="1005"/>
      <c r="UO157" s="1005"/>
      <c r="UP157" s="1005"/>
      <c r="UQ157" s="1005"/>
      <c r="UR157" s="1005"/>
      <c r="US157" s="1005"/>
      <c r="UT157" s="1005"/>
      <c r="UU157" s="1005"/>
      <c r="UV157" s="1005"/>
      <c r="UW157" s="1005"/>
      <c r="UX157" s="1005"/>
      <c r="UY157" s="1005"/>
      <c r="UZ157" s="1005"/>
      <c r="VA157" s="1005"/>
      <c r="VB157" s="1005"/>
      <c r="VC157" s="1005"/>
      <c r="VD157" s="1005"/>
      <c r="VE157" s="1005"/>
      <c r="VF157" s="1005"/>
      <c r="VG157" s="1005"/>
      <c r="VH157" s="1005"/>
      <c r="VI157" s="1005"/>
      <c r="VJ157" s="1005"/>
      <c r="VK157" s="1005"/>
      <c r="VL157" s="1005"/>
      <c r="VM157" s="1005"/>
      <c r="VN157" s="1005"/>
      <c r="VO157" s="1005"/>
      <c r="VP157" s="1005"/>
      <c r="VQ157" s="1005"/>
      <c r="VR157" s="1005"/>
      <c r="VS157" s="1005"/>
      <c r="VT157" s="1005"/>
      <c r="VU157" s="1005"/>
      <c r="VV157" s="1005"/>
      <c r="VW157" s="1005"/>
      <c r="VX157" s="1005"/>
      <c r="VY157" s="1005"/>
      <c r="VZ157" s="1005"/>
      <c r="WA157" s="1005"/>
      <c r="WB157" s="1005"/>
      <c r="WC157" s="1005"/>
      <c r="WD157" s="1005"/>
      <c r="WE157" s="1005"/>
      <c r="WF157" s="1005"/>
      <c r="WG157" s="1005"/>
      <c r="WH157" s="1005"/>
      <c r="WI157" s="1005"/>
      <c r="WJ157" s="1005"/>
      <c r="WK157" s="1005"/>
      <c r="WL157" s="1005"/>
      <c r="WM157" s="1005"/>
      <c r="WN157" s="1005"/>
      <c r="WO157" s="1005"/>
      <c r="WP157" s="1005"/>
      <c r="WQ157" s="1005"/>
      <c r="WR157" s="1005"/>
      <c r="WS157" s="1005"/>
      <c r="WT157" s="1005"/>
      <c r="WU157" s="1005"/>
      <c r="WV157" s="1005"/>
      <c r="WW157" s="1005"/>
      <c r="WX157" s="1005"/>
      <c r="WY157" s="1005"/>
      <c r="WZ157" s="1005"/>
      <c r="XA157" s="1005"/>
      <c r="XB157" s="1005"/>
      <c r="XC157" s="1005"/>
      <c r="XD157" s="1005"/>
      <c r="XE157" s="1005"/>
      <c r="XF157" s="1005"/>
      <c r="XG157" s="1005"/>
      <c r="XH157" s="1005"/>
      <c r="XI157" s="1005"/>
      <c r="XJ157" s="1005"/>
      <c r="XK157" s="1005"/>
      <c r="XL157" s="1005"/>
      <c r="XM157" s="1005"/>
      <c r="XN157" s="1005"/>
      <c r="XO157" s="1005"/>
      <c r="XP157" s="1005"/>
      <c r="XQ157" s="1005"/>
      <c r="XR157" s="1005"/>
      <c r="XS157" s="1005"/>
      <c r="XT157" s="1005"/>
      <c r="XU157" s="1005"/>
      <c r="XV157" s="1005"/>
      <c r="XW157" s="1005"/>
      <c r="XX157" s="1005"/>
      <c r="XY157" s="1005"/>
      <c r="XZ157" s="1005"/>
      <c r="YA157" s="1005"/>
      <c r="YB157" s="1005"/>
      <c r="YC157" s="1005"/>
      <c r="YD157" s="1005"/>
      <c r="YE157" s="1005"/>
      <c r="YF157" s="1005"/>
      <c r="YG157" s="1005"/>
      <c r="YH157" s="1005"/>
      <c r="YI157" s="1005"/>
      <c r="YJ157" s="1005"/>
      <c r="YK157" s="1005"/>
      <c r="YL157" s="1005"/>
      <c r="YM157" s="1005"/>
      <c r="YN157" s="1005"/>
      <c r="YO157" s="1005"/>
      <c r="YP157" s="1005"/>
      <c r="YQ157" s="1005"/>
      <c r="YR157" s="1005"/>
      <c r="YS157" s="1005"/>
      <c r="YT157" s="1005"/>
      <c r="YU157" s="1005"/>
      <c r="YV157" s="1005"/>
      <c r="YW157" s="1005"/>
      <c r="YX157" s="1005"/>
      <c r="YY157" s="1005"/>
      <c r="YZ157" s="1005"/>
      <c r="ZA157" s="1005"/>
      <c r="ZB157" s="1005"/>
      <c r="ZC157" s="1005"/>
      <c r="ZD157" s="1005"/>
      <c r="ZE157" s="1005"/>
      <c r="ZF157" s="1005"/>
      <c r="ZG157" s="1005"/>
      <c r="ZH157" s="1005"/>
      <c r="ZI157" s="1005"/>
      <c r="ZJ157" s="1005"/>
      <c r="ZK157" s="1005"/>
      <c r="ZL157" s="1005"/>
      <c r="ZM157" s="1005"/>
      <c r="ZN157" s="1005"/>
      <c r="ZO157" s="1005"/>
      <c r="ZP157" s="1005"/>
      <c r="ZQ157" s="1005"/>
      <c r="ZR157" s="1005"/>
      <c r="ZS157" s="1005"/>
      <c r="ZT157" s="1005"/>
      <c r="ZU157" s="1005"/>
      <c r="ZV157" s="1005"/>
      <c r="ZW157" s="1005"/>
      <c r="ZX157" s="1005"/>
      <c r="ZY157" s="1005"/>
      <c r="ZZ157" s="1005"/>
      <c r="AAA157" s="1005"/>
      <c r="AAB157" s="1005"/>
      <c r="AAC157" s="1005"/>
      <c r="AAD157" s="1005"/>
      <c r="AAE157" s="1005"/>
      <c r="AAF157" s="1005"/>
      <c r="AAG157" s="1005"/>
      <c r="AAH157" s="1005"/>
      <c r="AAI157" s="1005"/>
      <c r="AAJ157" s="1005"/>
      <c r="AAK157" s="1005"/>
      <c r="AAL157" s="1005"/>
      <c r="AAM157" s="1005"/>
      <c r="AAN157" s="1005"/>
      <c r="AAO157" s="1005"/>
      <c r="AAP157" s="1005"/>
      <c r="AAQ157" s="1005"/>
      <c r="AAR157" s="1005"/>
      <c r="AAS157" s="1005"/>
      <c r="AAT157" s="1005"/>
      <c r="AAU157" s="1005"/>
      <c r="AAV157" s="1005"/>
      <c r="AAW157" s="1005"/>
      <c r="AAX157" s="1005"/>
      <c r="AAY157" s="1005"/>
      <c r="AAZ157" s="1005"/>
      <c r="ABA157" s="1005"/>
      <c r="ABB157" s="1005"/>
      <c r="ABC157" s="1005"/>
      <c r="ABD157" s="1005"/>
      <c r="ABE157" s="1005"/>
      <c r="ABF157" s="1005"/>
      <c r="ABG157" s="1005"/>
      <c r="ABH157" s="1005"/>
      <c r="ABI157" s="1005"/>
      <c r="ABJ157" s="1005"/>
      <c r="ABK157" s="1005"/>
      <c r="ABL157" s="1005"/>
      <c r="ABM157" s="1005"/>
      <c r="ABN157" s="1005"/>
      <c r="ABO157" s="1005"/>
      <c r="ABP157" s="1005"/>
      <c r="ABQ157" s="1005"/>
      <c r="ABR157" s="1005"/>
    </row>
    <row r="158" spans="1:746" s="112" customFormat="1" ht="12" customHeight="1">
      <c r="A158" s="924"/>
      <c r="B158" s="603" t="s">
        <v>172</v>
      </c>
      <c r="C158" s="602"/>
      <c r="D158" s="602"/>
      <c r="E158" s="993"/>
      <c r="F158" s="605"/>
      <c r="G158" s="604"/>
      <c r="H158" s="2541"/>
      <c r="I158" s="369">
        <f>(I108+I135+I134+I156+fx!I341)*fx!I57</f>
        <v>0</v>
      </c>
      <c r="J158" s="369">
        <f>(J108+J135+J134+J156+fx!J341)*fx!J57</f>
        <v>0</v>
      </c>
      <c r="K158" s="369">
        <f ca="1">(K108+K135+K134+K156+fx!K341)*fx!K57</f>
        <v>0</v>
      </c>
      <c r="L158" s="369">
        <f ca="1">(L108+L135+L134+L156+fx!L341)*fx!L57</f>
        <v>0</v>
      </c>
      <c r="M158" s="369">
        <f ca="1">(M108+M135+M134+M156+fx!M341)*fx!M57</f>
        <v>0</v>
      </c>
      <c r="N158" s="369">
        <f ca="1">(N108+N135+N134+N156+fx!N341)*fx!N57</f>
        <v>0</v>
      </c>
      <c r="O158" s="369">
        <f ca="1">(O108+O135+O134+O156+fx!O341)*fx!O57</f>
        <v>0</v>
      </c>
      <c r="P158" s="369">
        <f ca="1">(P108+P135+P134+P156+fx!P341)*fx!P57</f>
        <v>0</v>
      </c>
      <c r="Q158" s="369">
        <f ca="1">(Q108+Q135+Q134+Q156+fx!Q341)*fx!Q57</f>
        <v>0</v>
      </c>
      <c r="R158" s="369">
        <f ca="1">(R108+R135+R134+R156+fx!R341)*fx!R57</f>
        <v>0</v>
      </c>
      <c r="S158" s="369">
        <f ca="1">(S108+S135+S134+S156+fx!S341)*fx!S57</f>
        <v>0</v>
      </c>
      <c r="T158" s="369">
        <f ca="1">(T108+T135+T134+T156+fx!T341)*fx!T57</f>
        <v>0</v>
      </c>
      <c r="U158" s="369">
        <f ca="1">(U108+U135+U134+U156+fx!U341)*fx!U57</f>
        <v>0</v>
      </c>
      <c r="V158" s="369">
        <f ca="1">(V108+V135+V134+V156+fx!V341)*fx!V57</f>
        <v>0</v>
      </c>
      <c r="W158" s="369">
        <f ca="1">(W108+W135+W134+W156+fx!W341)*fx!W57</f>
        <v>0</v>
      </c>
      <c r="X158" s="369">
        <f ca="1">(X108+X135+X134+X156+fx!X341)*fx!X57</f>
        <v>0</v>
      </c>
      <c r="Y158" s="369">
        <f ca="1">(Y108+Y135+Y134+Y156+fx!Y341)*fx!Y57</f>
        <v>0</v>
      </c>
      <c r="Z158" s="369">
        <f ca="1">(Z108+Z135+Z134+Z156+fx!Z341)*fx!Z57</f>
        <v>0</v>
      </c>
      <c r="AA158" s="369">
        <f ca="1">(AA108+AA135+AA134+AA156+fx!AA341)*fx!AA57</f>
        <v>0</v>
      </c>
      <c r="AB158" s="369">
        <f ca="1">(AB108+AB135+AB134+AB156+fx!AB341)*fx!AB57</f>
        <v>0</v>
      </c>
      <c r="AC158" s="369">
        <f ca="1">(AC108+AC135+AC134+AC156+fx!AC341)*fx!AC57</f>
        <v>0</v>
      </c>
      <c r="AD158" s="369">
        <f ca="1">(AD108+AD135+AD134+AD156+fx!AD341)*fx!AD57</f>
        <v>0</v>
      </c>
      <c r="AE158" s="369">
        <f ca="1">(AE108+AE135+AE134+AE156+fx!AE341)*fx!AE57</f>
        <v>0</v>
      </c>
      <c r="AF158" s="369">
        <f ca="1">(AF108+AF135+AF134+AF156+fx!AF341)*fx!AF57</f>
        <v>0</v>
      </c>
      <c r="AG158" s="376"/>
      <c r="AH158" s="336"/>
      <c r="AI158" s="336"/>
      <c r="AJ158" s="418">
        <f ca="1">IF(fx!$C$57=1,SUM(I158:T158),IF(fx!$C$57=2,SUM(O158:AF158)))</f>
        <v>0</v>
      </c>
      <c r="AK158" s="328"/>
      <c r="AL158" s="417">
        <f ca="1">IF(fx!$C$57=1,SUM(U158:AF158),0)</f>
        <v>0</v>
      </c>
      <c r="AM158" s="1004"/>
      <c r="AN158" s="1005"/>
      <c r="AO158" s="1945"/>
      <c r="AP158" s="1935"/>
      <c r="AQ158" s="1936"/>
      <c r="AR158" s="1941"/>
      <c r="AS158" s="1941"/>
      <c r="AT158" s="1941"/>
      <c r="AU158" s="1941"/>
      <c r="AV158" s="1941"/>
      <c r="AW158" s="1941"/>
      <c r="AX158" s="1941"/>
      <c r="AY158" s="1941"/>
      <c r="AZ158" s="1941"/>
      <c r="BA158" s="1941"/>
      <c r="BB158" s="1941"/>
      <c r="BC158" s="1941"/>
      <c r="BD158" s="1941"/>
      <c r="BE158" s="1941"/>
      <c r="BF158" s="1941"/>
      <c r="BG158" s="1941"/>
      <c r="BH158" s="1941"/>
      <c r="BI158" s="1941"/>
      <c r="BJ158" s="1941"/>
      <c r="BK158" s="1941"/>
      <c r="BL158" s="1941"/>
      <c r="BM158" s="1941"/>
      <c r="BN158" s="1941"/>
      <c r="BO158" s="1941"/>
      <c r="BP158" s="1004"/>
      <c r="BQ158" s="1004"/>
      <c r="BR158" s="1004"/>
      <c r="BS158" s="1004"/>
      <c r="BT158" s="1004"/>
      <c r="BU158" s="1004"/>
      <c r="BV158" s="1004"/>
      <c r="BW158" s="1004"/>
      <c r="BX158" s="1004"/>
      <c r="BY158" s="1004"/>
      <c r="BZ158" s="1004"/>
      <c r="CA158" s="1004"/>
      <c r="CB158" s="1004"/>
      <c r="CC158" s="1004"/>
      <c r="CD158" s="1004"/>
      <c r="CE158" s="1004"/>
      <c r="CF158" s="1004"/>
      <c r="CG158" s="1004"/>
      <c r="CH158" s="1004"/>
      <c r="CI158" s="1004"/>
      <c r="CJ158" s="1004"/>
      <c r="CK158" s="1004"/>
      <c r="CL158" s="1004"/>
      <c r="CM158" s="1004"/>
      <c r="CN158" s="1004"/>
      <c r="CO158" s="1004"/>
      <c r="CP158" s="1004"/>
      <c r="CQ158" s="1004"/>
      <c r="CR158" s="1004"/>
      <c r="CS158" s="1004"/>
      <c r="CT158" s="1004"/>
      <c r="CU158" s="1004"/>
      <c r="CV158" s="1004"/>
      <c r="CW158" s="1004"/>
      <c r="CX158" s="1004"/>
      <c r="CY158" s="1004"/>
      <c r="CZ158" s="1004"/>
      <c r="DA158" s="1004"/>
      <c r="DB158" s="1004"/>
      <c r="DC158" s="1004"/>
      <c r="DD158" s="1004"/>
      <c r="DE158" s="1004"/>
      <c r="DF158" s="1004"/>
      <c r="DG158" s="1004"/>
      <c r="DH158" s="1004"/>
      <c r="DI158" s="1004"/>
      <c r="DJ158" s="1004"/>
      <c r="DK158" s="1004"/>
      <c r="DL158" s="1004"/>
      <c r="DM158" s="1004"/>
      <c r="DN158" s="1004"/>
      <c r="DO158" s="1004"/>
      <c r="DP158" s="1004"/>
      <c r="DQ158" s="1004"/>
      <c r="DR158" s="1004"/>
      <c r="DS158" s="1004"/>
      <c r="DT158" s="1004"/>
      <c r="DU158" s="1004"/>
      <c r="DV158" s="1004"/>
      <c r="DW158" s="1004"/>
      <c r="DX158" s="1004"/>
      <c r="DY158" s="1004"/>
      <c r="DZ158" s="1004"/>
      <c r="EA158" s="1004"/>
      <c r="EB158" s="1004"/>
      <c r="EC158" s="1004"/>
      <c r="ED158" s="1004"/>
      <c r="EE158" s="1004"/>
      <c r="EF158" s="1004"/>
      <c r="EG158" s="1004"/>
      <c r="EH158" s="1004"/>
      <c r="EI158" s="1004"/>
      <c r="EJ158" s="1004"/>
      <c r="EK158" s="1004"/>
      <c r="EL158" s="1004"/>
      <c r="EM158" s="1004"/>
      <c r="EN158" s="1004"/>
      <c r="EO158" s="1004"/>
      <c r="EP158" s="1004"/>
      <c r="EQ158" s="1004"/>
      <c r="ER158" s="1004"/>
      <c r="ES158" s="1004"/>
      <c r="ET158" s="1004"/>
      <c r="EU158" s="1004"/>
      <c r="EV158" s="1004"/>
      <c r="EW158" s="1004"/>
      <c r="EX158" s="1004"/>
      <c r="EY158" s="1004"/>
      <c r="EZ158" s="1004"/>
      <c r="FA158" s="1004"/>
      <c r="FB158" s="1004"/>
      <c r="FC158" s="1004"/>
      <c r="FD158" s="1004"/>
      <c r="FE158" s="1004"/>
      <c r="FF158" s="1004"/>
      <c r="FG158" s="1004"/>
      <c r="FH158" s="1004"/>
      <c r="FI158" s="1004"/>
      <c r="FJ158" s="1004"/>
      <c r="FK158" s="1004"/>
      <c r="FL158" s="1004"/>
      <c r="FM158" s="1004"/>
      <c r="FN158" s="1004"/>
      <c r="FO158" s="1004"/>
      <c r="FP158" s="1004"/>
      <c r="FQ158" s="1004"/>
      <c r="FR158" s="1004"/>
      <c r="FS158" s="1004"/>
      <c r="FT158" s="1004"/>
      <c r="FU158" s="1004"/>
      <c r="FV158" s="1004"/>
      <c r="FW158" s="1004"/>
      <c r="FX158" s="1004"/>
      <c r="FY158" s="1004"/>
      <c r="FZ158" s="1004"/>
      <c r="GA158" s="1004"/>
      <c r="GB158" s="1004"/>
      <c r="GC158" s="1004"/>
      <c r="GD158" s="1004"/>
      <c r="GE158" s="1004"/>
      <c r="GF158" s="1004"/>
      <c r="GG158" s="1004"/>
      <c r="GH158" s="1004"/>
      <c r="GI158" s="1004"/>
      <c r="GJ158" s="1004"/>
      <c r="GK158" s="1004"/>
      <c r="GL158" s="1004"/>
      <c r="GM158" s="1004"/>
      <c r="GN158" s="1004"/>
      <c r="GO158" s="1004"/>
      <c r="GP158" s="1004"/>
      <c r="GQ158" s="1004"/>
      <c r="GR158" s="1004"/>
      <c r="GS158" s="1004"/>
      <c r="GT158" s="1004"/>
      <c r="GU158" s="1004"/>
      <c r="GV158" s="1004"/>
      <c r="GW158" s="1004"/>
      <c r="GX158" s="1004"/>
      <c r="GY158" s="1004"/>
      <c r="GZ158" s="1004"/>
      <c r="HA158" s="1004"/>
      <c r="HB158" s="1004"/>
      <c r="HC158" s="1004"/>
      <c r="HD158" s="1004"/>
      <c r="HE158" s="1004"/>
      <c r="HF158" s="1004"/>
      <c r="HG158" s="1004"/>
      <c r="HH158" s="1004"/>
      <c r="HI158" s="1004"/>
      <c r="HJ158" s="1004"/>
      <c r="HK158" s="1004"/>
      <c r="HL158" s="1004"/>
      <c r="HM158" s="1004"/>
      <c r="HN158" s="1004"/>
      <c r="HO158" s="1004"/>
      <c r="HP158" s="1004"/>
      <c r="HQ158" s="1004"/>
      <c r="HR158" s="1004"/>
      <c r="HS158" s="1004"/>
      <c r="HT158" s="1004"/>
      <c r="HU158" s="1004"/>
      <c r="HV158" s="1004"/>
      <c r="HW158" s="1004"/>
      <c r="HX158" s="1004"/>
      <c r="HY158" s="1004"/>
      <c r="HZ158" s="1004"/>
      <c r="IA158" s="1004"/>
      <c r="IB158" s="1004"/>
      <c r="IC158" s="1004"/>
      <c r="ID158" s="1004"/>
      <c r="IE158" s="1004"/>
      <c r="IF158" s="1004"/>
      <c r="IG158" s="1004"/>
      <c r="IH158" s="1004"/>
      <c r="II158" s="1004"/>
      <c r="IJ158" s="1004"/>
      <c r="IK158" s="1004"/>
      <c r="IL158" s="1004"/>
      <c r="IM158" s="1004"/>
      <c r="IN158" s="1004"/>
      <c r="IO158" s="1004"/>
      <c r="IP158" s="1004"/>
      <c r="IQ158" s="1004"/>
      <c r="IR158" s="1004"/>
      <c r="IS158" s="1004"/>
      <c r="IT158" s="1004"/>
      <c r="IU158" s="1004"/>
      <c r="IV158" s="1004"/>
      <c r="IW158" s="1004"/>
      <c r="IX158" s="1004"/>
      <c r="IY158" s="1004"/>
      <c r="IZ158" s="1004"/>
      <c r="JA158" s="1004"/>
      <c r="JB158" s="1004"/>
      <c r="JC158" s="1004"/>
      <c r="JD158" s="1004"/>
      <c r="JE158" s="1004"/>
      <c r="JF158" s="1004"/>
      <c r="JG158" s="1004"/>
      <c r="JH158" s="1004"/>
      <c r="JI158" s="1004"/>
      <c r="JJ158" s="1004"/>
      <c r="JK158" s="1004"/>
      <c r="JL158" s="1004"/>
      <c r="JM158" s="1004"/>
      <c r="JN158" s="1004"/>
      <c r="JO158" s="1004"/>
      <c r="JP158" s="1004"/>
      <c r="JQ158" s="1004"/>
      <c r="JR158" s="1004"/>
      <c r="JS158" s="1004"/>
      <c r="JT158" s="1004"/>
      <c r="JU158" s="1004"/>
      <c r="JV158" s="1004"/>
      <c r="JW158" s="1004"/>
      <c r="JX158" s="1004"/>
      <c r="JY158" s="1004"/>
      <c r="JZ158" s="1004"/>
      <c r="KA158" s="1004"/>
      <c r="KB158" s="1004"/>
      <c r="KC158" s="1004"/>
      <c r="KD158" s="1004"/>
      <c r="KE158" s="1004"/>
      <c r="KF158" s="1004"/>
      <c r="KG158" s="1004"/>
      <c r="KH158" s="1004"/>
      <c r="KI158" s="1004"/>
      <c r="KJ158" s="1004"/>
      <c r="KK158" s="1004"/>
      <c r="KL158" s="1004"/>
      <c r="KM158" s="1004"/>
      <c r="KN158" s="1004"/>
      <c r="KO158" s="1004"/>
      <c r="KP158" s="1004"/>
      <c r="KQ158" s="1004"/>
      <c r="KR158" s="1004"/>
      <c r="KS158" s="1004"/>
      <c r="KT158" s="1004"/>
      <c r="KU158" s="1004"/>
      <c r="KV158" s="1004"/>
      <c r="KW158" s="1004"/>
      <c r="KX158" s="1004"/>
      <c r="KY158" s="1004"/>
      <c r="KZ158" s="1004"/>
      <c r="LA158" s="1004"/>
      <c r="LB158" s="1004"/>
      <c r="LC158" s="1004"/>
      <c r="LD158" s="1004"/>
      <c r="LE158" s="1004"/>
      <c r="LF158" s="1004"/>
      <c r="LG158" s="1004"/>
      <c r="LH158" s="1004"/>
      <c r="LI158" s="1004"/>
      <c r="LJ158" s="1004"/>
      <c r="LK158" s="1004"/>
      <c r="LL158" s="1004"/>
      <c r="LM158" s="1004"/>
      <c r="LN158" s="1004"/>
      <c r="LO158" s="1004"/>
      <c r="LP158" s="1004"/>
      <c r="LQ158" s="1004"/>
      <c r="LR158" s="1004"/>
      <c r="LS158" s="1004"/>
      <c r="LT158" s="1004"/>
      <c r="LU158" s="1004"/>
      <c r="LV158" s="1004"/>
      <c r="LW158" s="1004"/>
      <c r="LX158" s="1004"/>
      <c r="LY158" s="1004"/>
      <c r="LZ158" s="1004"/>
      <c r="MA158" s="1004"/>
      <c r="MB158" s="1004"/>
      <c r="MC158" s="1004"/>
      <c r="MD158" s="1004"/>
      <c r="ME158" s="1004"/>
      <c r="MF158" s="1004"/>
      <c r="MG158" s="1004"/>
      <c r="MH158" s="1004"/>
      <c r="MI158" s="1004"/>
      <c r="MJ158" s="1004"/>
      <c r="MK158" s="1004"/>
      <c r="ML158" s="1004"/>
      <c r="MM158" s="1004"/>
      <c r="MN158" s="1004"/>
      <c r="MO158" s="1004"/>
      <c r="MP158" s="1004"/>
      <c r="MQ158" s="1004"/>
      <c r="MR158" s="1004"/>
      <c r="MS158" s="1004"/>
      <c r="MT158" s="1004"/>
      <c r="MU158" s="1004"/>
      <c r="MV158" s="1004"/>
      <c r="MW158" s="1004"/>
      <c r="MX158" s="1004"/>
      <c r="MY158" s="1004"/>
      <c r="MZ158" s="1004"/>
      <c r="NA158" s="1004"/>
      <c r="NB158" s="1004"/>
      <c r="NC158" s="1004"/>
      <c r="ND158" s="1004"/>
      <c r="NE158" s="1004"/>
      <c r="NF158" s="1004"/>
      <c r="NG158" s="1004"/>
      <c r="NH158" s="1004"/>
      <c r="NI158" s="1004"/>
      <c r="NJ158" s="1004"/>
      <c r="NK158" s="1004"/>
      <c r="NL158" s="1004"/>
      <c r="NM158" s="1004"/>
      <c r="NN158" s="1004"/>
      <c r="NO158" s="1004"/>
      <c r="NP158" s="1004"/>
      <c r="NQ158" s="1004"/>
      <c r="NR158" s="1004"/>
      <c r="NS158" s="1004"/>
      <c r="NT158" s="1004"/>
      <c r="NU158" s="1004"/>
      <c r="NV158" s="1004"/>
      <c r="NW158" s="1004"/>
      <c r="NX158" s="1004"/>
      <c r="NY158" s="1004"/>
      <c r="NZ158" s="1004"/>
      <c r="OA158" s="1004"/>
      <c r="OB158" s="1004"/>
      <c r="OC158" s="1004"/>
      <c r="OD158" s="1004"/>
      <c r="OE158" s="1004"/>
      <c r="OF158" s="1004"/>
      <c r="OG158" s="1004"/>
      <c r="OH158" s="1004"/>
      <c r="OI158" s="1004"/>
      <c r="OJ158" s="1004"/>
      <c r="OK158" s="1004"/>
      <c r="OL158" s="1004"/>
      <c r="OM158" s="1004"/>
      <c r="ON158" s="1004"/>
      <c r="OO158" s="1004"/>
      <c r="OP158" s="1004"/>
      <c r="OQ158" s="1004"/>
      <c r="OR158" s="1004"/>
      <c r="OS158" s="1004"/>
      <c r="OT158" s="1004"/>
      <c r="OU158" s="1004"/>
      <c r="OV158" s="1004"/>
      <c r="OW158" s="1004"/>
      <c r="OX158" s="1004"/>
      <c r="OY158" s="1004"/>
      <c r="OZ158" s="1004"/>
      <c r="PA158" s="1004"/>
      <c r="PB158" s="1004"/>
      <c r="PC158" s="1004"/>
      <c r="PD158" s="1004"/>
      <c r="PE158" s="1004"/>
      <c r="PF158" s="1004"/>
      <c r="PG158" s="1004"/>
      <c r="PH158" s="1004"/>
      <c r="PI158" s="1004"/>
      <c r="PJ158" s="1004"/>
      <c r="PK158" s="1004"/>
      <c r="PL158" s="1004"/>
      <c r="PM158" s="1004"/>
      <c r="PN158" s="1004"/>
      <c r="PO158" s="1004"/>
      <c r="PP158" s="1004"/>
      <c r="PQ158" s="1004"/>
      <c r="PR158" s="1004"/>
      <c r="PS158" s="1004"/>
      <c r="PT158" s="1004"/>
      <c r="PU158" s="1004"/>
      <c r="PV158" s="1004"/>
      <c r="PW158" s="1004"/>
      <c r="PX158" s="1004"/>
      <c r="PY158" s="1004"/>
      <c r="PZ158" s="1004"/>
      <c r="QA158" s="1004"/>
      <c r="QB158" s="1004"/>
      <c r="QC158" s="1004"/>
      <c r="QD158" s="1004"/>
      <c r="QE158" s="1004"/>
      <c r="QF158" s="1004"/>
      <c r="QG158" s="1004"/>
      <c r="QH158" s="1004"/>
      <c r="QI158" s="1004"/>
      <c r="QJ158" s="1004"/>
      <c r="QK158" s="1004"/>
      <c r="QL158" s="1004"/>
      <c r="QM158" s="1004"/>
      <c r="QN158" s="1004"/>
      <c r="QO158" s="1004"/>
      <c r="QP158" s="1004"/>
      <c r="QQ158" s="1004"/>
      <c r="QR158" s="1004"/>
      <c r="QS158" s="1004"/>
      <c r="QT158" s="1004"/>
      <c r="QU158" s="1004"/>
      <c r="QV158" s="1004"/>
      <c r="QW158" s="1004"/>
      <c r="QX158" s="1004"/>
      <c r="QY158" s="1004"/>
      <c r="QZ158" s="1004"/>
      <c r="RA158" s="1004"/>
      <c r="RB158" s="1004"/>
      <c r="RC158" s="1004"/>
      <c r="RD158" s="1004"/>
      <c r="RE158" s="1004"/>
      <c r="RF158" s="1004"/>
      <c r="RG158" s="1004"/>
      <c r="RH158" s="1004"/>
      <c r="RI158" s="1004"/>
      <c r="RJ158" s="1004"/>
      <c r="RK158" s="1004"/>
      <c r="RL158" s="1004"/>
      <c r="RM158" s="1004"/>
      <c r="RN158" s="1004"/>
      <c r="RO158" s="1004"/>
      <c r="RP158" s="1004"/>
      <c r="RQ158" s="1004"/>
      <c r="RR158" s="1004"/>
      <c r="RS158" s="1004"/>
      <c r="RT158" s="1004"/>
      <c r="RU158" s="1004"/>
      <c r="RV158" s="1004"/>
      <c r="RW158" s="1004"/>
      <c r="RX158" s="1004"/>
      <c r="RY158" s="1004"/>
      <c r="RZ158" s="1004"/>
      <c r="SA158" s="1004"/>
      <c r="SB158" s="1004"/>
      <c r="SC158" s="1004"/>
      <c r="SD158" s="1004"/>
      <c r="SE158" s="1004"/>
      <c r="SF158" s="1004"/>
      <c r="SG158" s="1004"/>
      <c r="SH158" s="1004"/>
      <c r="SI158" s="1004"/>
      <c r="SJ158" s="1004"/>
      <c r="SK158" s="1004"/>
      <c r="SL158" s="1004"/>
      <c r="SM158" s="1004"/>
      <c r="SN158" s="1004"/>
      <c r="SO158" s="1004"/>
      <c r="SP158" s="1004"/>
      <c r="SQ158" s="1004"/>
      <c r="SR158" s="1004"/>
      <c r="SS158" s="1004"/>
      <c r="ST158" s="1004"/>
      <c r="SU158" s="1004"/>
      <c r="SV158" s="1004"/>
      <c r="SW158" s="1004"/>
      <c r="SX158" s="1004"/>
      <c r="SY158" s="1004"/>
      <c r="SZ158" s="1004"/>
      <c r="TA158" s="1004"/>
      <c r="TB158" s="1004"/>
      <c r="TC158" s="1004"/>
      <c r="TD158" s="1004"/>
      <c r="TE158" s="1004"/>
      <c r="TF158" s="1004"/>
      <c r="TG158" s="1004"/>
      <c r="TH158" s="1004"/>
      <c r="TI158" s="1004"/>
      <c r="TJ158" s="1004"/>
      <c r="TK158" s="1004"/>
      <c r="TL158" s="1004"/>
      <c r="TM158" s="1004"/>
      <c r="TN158" s="1004"/>
      <c r="TO158" s="1004"/>
      <c r="TP158" s="1004"/>
      <c r="TQ158" s="1004"/>
      <c r="TR158" s="1004"/>
      <c r="TS158" s="1004"/>
      <c r="TT158" s="1004"/>
      <c r="TU158" s="1004"/>
      <c r="TV158" s="1004"/>
      <c r="TW158" s="1004"/>
      <c r="TX158" s="1004"/>
      <c r="TY158" s="1004"/>
      <c r="TZ158" s="1004"/>
      <c r="UA158" s="1004"/>
      <c r="UB158" s="1004"/>
      <c r="UC158" s="1004"/>
      <c r="UD158" s="1004"/>
      <c r="UE158" s="1004"/>
      <c r="UF158" s="1004"/>
      <c r="UG158" s="1004"/>
      <c r="UH158" s="1004"/>
      <c r="UI158" s="1004"/>
      <c r="UJ158" s="1004"/>
      <c r="UK158" s="1004"/>
      <c r="UL158" s="1004"/>
      <c r="UM158" s="1004"/>
      <c r="UN158" s="1004"/>
      <c r="UO158" s="1004"/>
      <c r="UP158" s="1004"/>
      <c r="UQ158" s="1004"/>
      <c r="UR158" s="1004"/>
      <c r="US158" s="1004"/>
      <c r="UT158" s="1004"/>
      <c r="UU158" s="1004"/>
      <c r="UV158" s="1004"/>
      <c r="UW158" s="1004"/>
      <c r="UX158" s="1004"/>
      <c r="UY158" s="1004"/>
      <c r="UZ158" s="1004"/>
      <c r="VA158" s="1004"/>
      <c r="VB158" s="1004"/>
      <c r="VC158" s="1004"/>
      <c r="VD158" s="1004"/>
      <c r="VE158" s="1004"/>
      <c r="VF158" s="1004"/>
      <c r="VG158" s="1004"/>
      <c r="VH158" s="1004"/>
      <c r="VI158" s="1004"/>
      <c r="VJ158" s="1004"/>
      <c r="VK158" s="1004"/>
      <c r="VL158" s="1004"/>
      <c r="VM158" s="1004"/>
      <c r="VN158" s="1004"/>
      <c r="VO158" s="1004"/>
      <c r="VP158" s="1004"/>
      <c r="VQ158" s="1004"/>
      <c r="VR158" s="1004"/>
      <c r="VS158" s="1004"/>
      <c r="VT158" s="1004"/>
      <c r="VU158" s="1004"/>
      <c r="VV158" s="1004"/>
      <c r="VW158" s="1004"/>
      <c r="VX158" s="1004"/>
      <c r="VY158" s="1004"/>
      <c r="VZ158" s="1004"/>
      <c r="WA158" s="1004"/>
      <c r="WB158" s="1004"/>
      <c r="WC158" s="1004"/>
      <c r="WD158" s="1004"/>
      <c r="WE158" s="1004"/>
      <c r="WF158" s="1004"/>
      <c r="WG158" s="1004"/>
      <c r="WH158" s="1004"/>
      <c r="WI158" s="1004"/>
      <c r="WJ158" s="1004"/>
      <c r="WK158" s="1004"/>
      <c r="WL158" s="1004"/>
      <c r="WM158" s="1004"/>
      <c r="WN158" s="1004"/>
      <c r="WO158" s="1004"/>
      <c r="WP158" s="1004"/>
      <c r="WQ158" s="1004"/>
      <c r="WR158" s="1004"/>
      <c r="WS158" s="1004"/>
      <c r="WT158" s="1004"/>
      <c r="WU158" s="1004"/>
      <c r="WV158" s="1004"/>
      <c r="WW158" s="1004"/>
      <c r="WX158" s="1004"/>
      <c r="WY158" s="1004"/>
      <c r="WZ158" s="1004"/>
      <c r="XA158" s="1004"/>
      <c r="XB158" s="1004"/>
      <c r="XC158" s="1004"/>
      <c r="XD158" s="1004"/>
      <c r="XE158" s="1004"/>
      <c r="XF158" s="1004"/>
      <c r="XG158" s="1004"/>
      <c r="XH158" s="1004"/>
      <c r="XI158" s="1004"/>
      <c r="XJ158" s="1004"/>
      <c r="XK158" s="1004"/>
      <c r="XL158" s="1004"/>
      <c r="XM158" s="1004"/>
      <c r="XN158" s="1004"/>
      <c r="XO158" s="1004"/>
      <c r="XP158" s="1004"/>
      <c r="XQ158" s="1004"/>
      <c r="XR158" s="1004"/>
      <c r="XS158" s="1004"/>
      <c r="XT158" s="1004"/>
      <c r="XU158" s="1004"/>
      <c r="XV158" s="1004"/>
      <c r="XW158" s="1004"/>
      <c r="XX158" s="1004"/>
      <c r="XY158" s="1004"/>
      <c r="XZ158" s="1004"/>
      <c r="YA158" s="1004"/>
      <c r="YB158" s="1004"/>
      <c r="YC158" s="1004"/>
      <c r="YD158" s="1004"/>
      <c r="YE158" s="1004"/>
      <c r="YF158" s="1004"/>
      <c r="YG158" s="1004"/>
      <c r="YH158" s="1004"/>
      <c r="YI158" s="1004"/>
      <c r="YJ158" s="1004"/>
      <c r="YK158" s="1004"/>
      <c r="YL158" s="1004"/>
      <c r="YM158" s="1004"/>
      <c r="YN158" s="1004"/>
      <c r="YO158" s="1004"/>
      <c r="YP158" s="1004"/>
      <c r="YQ158" s="1004"/>
      <c r="YR158" s="1004"/>
      <c r="YS158" s="1004"/>
      <c r="YT158" s="1004"/>
      <c r="YU158" s="1004"/>
      <c r="YV158" s="1004"/>
      <c r="YW158" s="1004"/>
      <c r="YX158" s="1004"/>
      <c r="YY158" s="1004"/>
      <c r="YZ158" s="1004"/>
      <c r="ZA158" s="1004"/>
      <c r="ZB158" s="1004"/>
      <c r="ZC158" s="1004"/>
      <c r="ZD158" s="1004"/>
      <c r="ZE158" s="1004"/>
      <c r="ZF158" s="1004"/>
      <c r="ZG158" s="1004"/>
      <c r="ZH158" s="1004"/>
      <c r="ZI158" s="1004"/>
      <c r="ZJ158" s="1004"/>
      <c r="ZK158" s="1004"/>
      <c r="ZL158" s="1004"/>
      <c r="ZM158" s="1004"/>
      <c r="ZN158" s="1004"/>
      <c r="ZO158" s="1004"/>
      <c r="ZP158" s="1004"/>
      <c r="ZQ158" s="1004"/>
      <c r="ZR158" s="1004"/>
      <c r="ZS158" s="1004"/>
      <c r="ZT158" s="1004"/>
      <c r="ZU158" s="1004"/>
      <c r="ZV158" s="1004"/>
      <c r="ZW158" s="1004"/>
      <c r="ZX158" s="1004"/>
      <c r="ZY158" s="1004"/>
      <c r="ZZ158" s="1004"/>
      <c r="AAA158" s="1004"/>
      <c r="AAB158" s="1004"/>
      <c r="AAC158" s="1004"/>
      <c r="AAD158" s="1004"/>
      <c r="AAE158" s="1004"/>
      <c r="AAF158" s="1004"/>
      <c r="AAG158" s="1004"/>
      <c r="AAH158" s="1004"/>
      <c r="AAI158" s="1004"/>
      <c r="AAJ158" s="1004"/>
      <c r="AAK158" s="1004"/>
      <c r="AAL158" s="1004"/>
      <c r="AAM158" s="1004"/>
      <c r="AAN158" s="1004"/>
      <c r="AAO158" s="1004"/>
      <c r="AAP158" s="1004"/>
      <c r="AAQ158" s="1004"/>
      <c r="AAR158" s="1004"/>
      <c r="AAS158" s="1004"/>
      <c r="AAT158" s="1004"/>
      <c r="AAU158" s="1004"/>
      <c r="AAV158" s="1004"/>
      <c r="AAW158" s="1004"/>
      <c r="AAX158" s="1004"/>
      <c r="AAY158" s="1004"/>
      <c r="AAZ158" s="1004"/>
      <c r="ABA158" s="1004"/>
      <c r="ABB158" s="1004"/>
      <c r="ABC158" s="1004"/>
      <c r="ABD158" s="1004"/>
      <c r="ABE158" s="1004"/>
      <c r="ABF158" s="1004"/>
      <c r="ABG158" s="1004"/>
      <c r="ABH158" s="1004"/>
      <c r="ABI158" s="1004"/>
      <c r="ABJ158" s="1004"/>
      <c r="ABK158" s="1004"/>
      <c r="ABL158" s="1004"/>
      <c r="ABM158" s="1004"/>
      <c r="ABN158" s="1004"/>
      <c r="ABO158" s="1004"/>
      <c r="ABP158" s="1004"/>
      <c r="ABQ158" s="1004"/>
      <c r="ABR158" s="1004"/>
    </row>
    <row r="159" spans="1:746" s="112" customFormat="1" ht="12" customHeight="1">
      <c r="A159" s="924"/>
      <c r="B159" s="1052"/>
      <c r="C159" s="1053"/>
      <c r="D159" s="1054"/>
      <c r="E159" s="1055"/>
      <c r="F159" s="1056"/>
      <c r="G159" s="1055"/>
      <c r="H159" s="2542"/>
      <c r="I159" s="2583"/>
      <c r="J159" s="1051"/>
      <c r="K159" s="1051"/>
      <c r="L159" s="1051"/>
      <c r="M159" s="1051"/>
      <c r="N159" s="1051"/>
      <c r="O159" s="1051"/>
      <c r="P159" s="1051"/>
      <c r="Q159" s="1051"/>
      <c r="R159" s="1051"/>
      <c r="S159" s="1051"/>
      <c r="T159" s="2719"/>
      <c r="U159" s="2720"/>
      <c r="V159" s="1051"/>
      <c r="W159" s="1043"/>
      <c r="X159" s="1051"/>
      <c r="Y159" s="1051"/>
      <c r="Z159" s="1051"/>
      <c r="AA159" s="1051"/>
      <c r="AB159" s="1051"/>
      <c r="AC159" s="1051"/>
      <c r="AD159" s="1051"/>
      <c r="AE159" s="1051"/>
      <c r="AF159" s="1057"/>
      <c r="AG159" s="1042"/>
      <c r="AH159" s="359"/>
      <c r="AI159" s="359"/>
      <c r="AJ159" s="1046"/>
      <c r="AK159" s="1048"/>
      <c r="AL159" s="1048"/>
      <c r="AM159" s="1009"/>
      <c r="AN159" s="1017"/>
      <c r="AO159" s="1945"/>
      <c r="AP159" s="1935"/>
      <c r="AQ159" s="1936"/>
      <c r="AR159" s="1941"/>
      <c r="AS159" s="1941"/>
      <c r="AT159" s="1941"/>
      <c r="AU159" s="1941"/>
      <c r="AV159" s="1941"/>
      <c r="AW159" s="1941"/>
      <c r="AX159" s="1941"/>
      <c r="AY159" s="1941"/>
      <c r="AZ159" s="1941"/>
      <c r="BA159" s="1941"/>
      <c r="BB159" s="1941"/>
      <c r="BC159" s="1941"/>
      <c r="BD159" s="1941"/>
      <c r="BE159" s="1941"/>
      <c r="BF159" s="1941"/>
      <c r="BG159" s="1941"/>
      <c r="BH159" s="1941"/>
      <c r="BI159" s="1941"/>
      <c r="BJ159" s="1941"/>
      <c r="BK159" s="1941"/>
      <c r="BL159" s="1941"/>
      <c r="BM159" s="1941"/>
      <c r="BN159" s="1941"/>
      <c r="BO159" s="1941"/>
      <c r="BP159" s="1004"/>
      <c r="BQ159" s="1004"/>
      <c r="BR159" s="1004"/>
      <c r="BS159" s="1004"/>
      <c r="BT159" s="1004"/>
      <c r="BU159" s="1004"/>
      <c r="BV159" s="1004"/>
      <c r="BW159" s="1004"/>
      <c r="BX159" s="1004"/>
      <c r="BY159" s="1004"/>
      <c r="BZ159" s="1004"/>
      <c r="CA159" s="1004"/>
      <c r="CB159" s="1004"/>
      <c r="CC159" s="1004"/>
      <c r="CD159" s="1004"/>
      <c r="CE159" s="1004"/>
      <c r="CF159" s="1004"/>
      <c r="CG159" s="1004"/>
      <c r="CH159" s="1004"/>
      <c r="CI159" s="1004"/>
      <c r="CJ159" s="1004"/>
      <c r="CK159" s="1004"/>
      <c r="CL159" s="1004"/>
      <c r="CM159" s="1004"/>
      <c r="CN159" s="1004"/>
      <c r="CO159" s="1004"/>
      <c r="CP159" s="1004"/>
      <c r="CQ159" s="1004"/>
      <c r="CR159" s="1004"/>
      <c r="CS159" s="1004"/>
      <c r="CT159" s="1004"/>
      <c r="CU159" s="1004"/>
      <c r="CV159" s="1004"/>
      <c r="CW159" s="1004"/>
      <c r="CX159" s="1004"/>
      <c r="CY159" s="1004"/>
      <c r="CZ159" s="1004"/>
      <c r="DA159" s="1004"/>
      <c r="DB159" s="1004"/>
      <c r="DC159" s="1004"/>
      <c r="DD159" s="1004"/>
      <c r="DE159" s="1004"/>
      <c r="DF159" s="1004"/>
      <c r="DG159" s="1004"/>
      <c r="DH159" s="1004"/>
      <c r="DI159" s="1004"/>
      <c r="DJ159" s="1004"/>
      <c r="DK159" s="1004"/>
      <c r="DL159" s="1004"/>
      <c r="DM159" s="1004"/>
      <c r="DN159" s="1004"/>
      <c r="DO159" s="1004"/>
      <c r="DP159" s="1004"/>
      <c r="DQ159" s="1004"/>
      <c r="DR159" s="1004"/>
      <c r="DS159" s="1004"/>
      <c r="DT159" s="1004"/>
      <c r="DU159" s="1004"/>
      <c r="DV159" s="1004"/>
      <c r="DW159" s="1004"/>
      <c r="DX159" s="1004"/>
      <c r="DY159" s="1004"/>
      <c r="DZ159" s="1004"/>
      <c r="EA159" s="1004"/>
      <c r="EB159" s="1004"/>
      <c r="EC159" s="1004"/>
      <c r="ED159" s="1004"/>
      <c r="EE159" s="1004"/>
      <c r="EF159" s="1004"/>
      <c r="EG159" s="1004"/>
      <c r="EH159" s="1004"/>
      <c r="EI159" s="1004"/>
      <c r="EJ159" s="1004"/>
      <c r="EK159" s="1004"/>
      <c r="EL159" s="1004"/>
      <c r="EM159" s="1004"/>
      <c r="EN159" s="1004"/>
      <c r="EO159" s="1004"/>
      <c r="EP159" s="1004"/>
      <c r="EQ159" s="1004"/>
      <c r="ER159" s="1004"/>
      <c r="ES159" s="1004"/>
      <c r="ET159" s="1004"/>
      <c r="EU159" s="1004"/>
      <c r="EV159" s="1004"/>
      <c r="EW159" s="1004"/>
      <c r="EX159" s="1004"/>
      <c r="EY159" s="1004"/>
      <c r="EZ159" s="1004"/>
      <c r="FA159" s="1004"/>
      <c r="FB159" s="1004"/>
      <c r="FC159" s="1004"/>
      <c r="FD159" s="1004"/>
      <c r="FE159" s="1004"/>
      <c r="FF159" s="1004"/>
      <c r="FG159" s="1004"/>
      <c r="FH159" s="1004"/>
      <c r="FI159" s="1004"/>
      <c r="FJ159" s="1004"/>
      <c r="FK159" s="1004"/>
      <c r="FL159" s="1004"/>
      <c r="FM159" s="1004"/>
      <c r="FN159" s="1004"/>
      <c r="FO159" s="1004"/>
      <c r="FP159" s="1004"/>
      <c r="FQ159" s="1004"/>
      <c r="FR159" s="1004"/>
      <c r="FS159" s="1004"/>
      <c r="FT159" s="1004"/>
      <c r="FU159" s="1004"/>
      <c r="FV159" s="1004"/>
      <c r="FW159" s="1004"/>
      <c r="FX159" s="1004"/>
      <c r="FY159" s="1004"/>
      <c r="FZ159" s="1004"/>
      <c r="GA159" s="1004"/>
      <c r="GB159" s="1004"/>
      <c r="GC159" s="1004"/>
      <c r="GD159" s="1004"/>
      <c r="GE159" s="1004"/>
      <c r="GF159" s="1004"/>
      <c r="GG159" s="1004"/>
      <c r="GH159" s="1004"/>
      <c r="GI159" s="1004"/>
      <c r="GJ159" s="1004"/>
      <c r="GK159" s="1004"/>
      <c r="GL159" s="1004"/>
      <c r="GM159" s="1004"/>
      <c r="GN159" s="1004"/>
      <c r="GO159" s="1004"/>
      <c r="GP159" s="1004"/>
      <c r="GQ159" s="1004"/>
      <c r="GR159" s="1004"/>
      <c r="GS159" s="1004"/>
      <c r="GT159" s="1004"/>
      <c r="GU159" s="1004"/>
      <c r="GV159" s="1004"/>
      <c r="GW159" s="1004"/>
      <c r="GX159" s="1004"/>
      <c r="GY159" s="1004"/>
      <c r="GZ159" s="1004"/>
      <c r="HA159" s="1004"/>
      <c r="HB159" s="1004"/>
      <c r="HC159" s="1004"/>
      <c r="HD159" s="1004"/>
      <c r="HE159" s="1004"/>
      <c r="HF159" s="1004"/>
      <c r="HG159" s="1004"/>
      <c r="HH159" s="1004"/>
      <c r="HI159" s="1004"/>
      <c r="HJ159" s="1004"/>
      <c r="HK159" s="1004"/>
      <c r="HL159" s="1004"/>
      <c r="HM159" s="1004"/>
      <c r="HN159" s="1004"/>
      <c r="HO159" s="1004"/>
      <c r="HP159" s="1004"/>
      <c r="HQ159" s="1004"/>
      <c r="HR159" s="1004"/>
      <c r="HS159" s="1004"/>
      <c r="HT159" s="1004"/>
      <c r="HU159" s="1004"/>
      <c r="HV159" s="1004"/>
      <c r="HW159" s="1004"/>
      <c r="HX159" s="1004"/>
      <c r="HY159" s="1004"/>
      <c r="HZ159" s="1004"/>
      <c r="IA159" s="1004"/>
      <c r="IB159" s="1004"/>
      <c r="IC159" s="1004"/>
      <c r="ID159" s="1004"/>
      <c r="IE159" s="1004"/>
      <c r="IF159" s="1004"/>
      <c r="IG159" s="1004"/>
      <c r="IH159" s="1004"/>
      <c r="II159" s="1004"/>
      <c r="IJ159" s="1004"/>
      <c r="IK159" s="1004"/>
      <c r="IL159" s="1004"/>
      <c r="IM159" s="1004"/>
      <c r="IN159" s="1004"/>
      <c r="IO159" s="1004"/>
      <c r="IP159" s="1004"/>
      <c r="IQ159" s="1004"/>
      <c r="IR159" s="1004"/>
      <c r="IS159" s="1004"/>
      <c r="IT159" s="1004"/>
      <c r="IU159" s="1004"/>
      <c r="IV159" s="1004"/>
      <c r="IW159" s="1004"/>
      <c r="IX159" s="1004"/>
      <c r="IY159" s="1004"/>
      <c r="IZ159" s="1004"/>
      <c r="JA159" s="1004"/>
      <c r="JB159" s="1004"/>
      <c r="JC159" s="1004"/>
      <c r="JD159" s="1004"/>
      <c r="JE159" s="1004"/>
      <c r="JF159" s="1004"/>
      <c r="JG159" s="1004"/>
      <c r="JH159" s="1004"/>
      <c r="JI159" s="1004"/>
      <c r="JJ159" s="1004"/>
      <c r="JK159" s="1004"/>
      <c r="JL159" s="1004"/>
      <c r="JM159" s="1004"/>
      <c r="JN159" s="1004"/>
      <c r="JO159" s="1004"/>
      <c r="JP159" s="1004"/>
      <c r="JQ159" s="1004"/>
      <c r="JR159" s="1004"/>
      <c r="JS159" s="1004"/>
      <c r="JT159" s="1004"/>
      <c r="JU159" s="1004"/>
      <c r="JV159" s="1004"/>
      <c r="JW159" s="1004"/>
      <c r="JX159" s="1004"/>
      <c r="JY159" s="1004"/>
      <c r="JZ159" s="1004"/>
      <c r="KA159" s="1004"/>
      <c r="KB159" s="1004"/>
      <c r="KC159" s="1004"/>
      <c r="KD159" s="1004"/>
      <c r="KE159" s="1004"/>
      <c r="KF159" s="1004"/>
      <c r="KG159" s="1004"/>
      <c r="KH159" s="1004"/>
      <c r="KI159" s="1004"/>
      <c r="KJ159" s="1004"/>
      <c r="KK159" s="1004"/>
      <c r="KL159" s="1004"/>
      <c r="KM159" s="1004"/>
      <c r="KN159" s="1004"/>
      <c r="KO159" s="1004"/>
      <c r="KP159" s="1004"/>
      <c r="KQ159" s="1004"/>
      <c r="KR159" s="1004"/>
      <c r="KS159" s="1004"/>
      <c r="KT159" s="1004"/>
      <c r="KU159" s="1004"/>
      <c r="KV159" s="1004"/>
      <c r="KW159" s="1004"/>
      <c r="KX159" s="1004"/>
      <c r="KY159" s="1004"/>
      <c r="KZ159" s="1004"/>
      <c r="LA159" s="1004"/>
      <c r="LB159" s="1004"/>
      <c r="LC159" s="1004"/>
      <c r="LD159" s="1004"/>
      <c r="LE159" s="1004"/>
      <c r="LF159" s="1004"/>
      <c r="LG159" s="1004"/>
      <c r="LH159" s="1004"/>
      <c r="LI159" s="1004"/>
      <c r="LJ159" s="1004"/>
      <c r="LK159" s="1004"/>
      <c r="LL159" s="1004"/>
      <c r="LM159" s="1004"/>
      <c r="LN159" s="1004"/>
      <c r="LO159" s="1004"/>
      <c r="LP159" s="1004"/>
      <c r="LQ159" s="1004"/>
      <c r="LR159" s="1004"/>
      <c r="LS159" s="1004"/>
      <c r="LT159" s="1004"/>
      <c r="LU159" s="1004"/>
      <c r="LV159" s="1004"/>
      <c r="LW159" s="1004"/>
      <c r="LX159" s="1004"/>
      <c r="LY159" s="1004"/>
      <c r="LZ159" s="1004"/>
      <c r="MA159" s="1004"/>
      <c r="MB159" s="1004"/>
      <c r="MC159" s="1004"/>
      <c r="MD159" s="1004"/>
      <c r="ME159" s="1004"/>
      <c r="MF159" s="1004"/>
      <c r="MG159" s="1004"/>
      <c r="MH159" s="1004"/>
      <c r="MI159" s="1004"/>
      <c r="MJ159" s="1004"/>
      <c r="MK159" s="1004"/>
      <c r="ML159" s="1004"/>
      <c r="MM159" s="1004"/>
      <c r="MN159" s="1004"/>
      <c r="MO159" s="1004"/>
      <c r="MP159" s="1004"/>
      <c r="MQ159" s="1004"/>
      <c r="MR159" s="1004"/>
      <c r="MS159" s="1004"/>
      <c r="MT159" s="1004"/>
      <c r="MU159" s="1004"/>
      <c r="MV159" s="1004"/>
      <c r="MW159" s="1004"/>
      <c r="MX159" s="1004"/>
      <c r="MY159" s="1004"/>
      <c r="MZ159" s="1004"/>
      <c r="NA159" s="1004"/>
      <c r="NB159" s="1004"/>
      <c r="NC159" s="1004"/>
      <c r="ND159" s="1004"/>
      <c r="NE159" s="1004"/>
      <c r="NF159" s="1004"/>
      <c r="NG159" s="1004"/>
      <c r="NH159" s="1004"/>
      <c r="NI159" s="1004"/>
      <c r="NJ159" s="1004"/>
      <c r="NK159" s="1004"/>
      <c r="NL159" s="1004"/>
      <c r="NM159" s="1004"/>
      <c r="NN159" s="1004"/>
      <c r="NO159" s="1004"/>
      <c r="NP159" s="1004"/>
      <c r="NQ159" s="1004"/>
      <c r="NR159" s="1004"/>
      <c r="NS159" s="1004"/>
      <c r="NT159" s="1004"/>
      <c r="NU159" s="1004"/>
      <c r="NV159" s="1004"/>
      <c r="NW159" s="1004"/>
      <c r="NX159" s="1004"/>
      <c r="NY159" s="1004"/>
      <c r="NZ159" s="1004"/>
      <c r="OA159" s="1004"/>
      <c r="OB159" s="1004"/>
      <c r="OC159" s="1004"/>
      <c r="OD159" s="1004"/>
      <c r="OE159" s="1004"/>
      <c r="OF159" s="1004"/>
      <c r="OG159" s="1004"/>
      <c r="OH159" s="1004"/>
      <c r="OI159" s="1004"/>
      <c r="OJ159" s="1004"/>
      <c r="OK159" s="1004"/>
      <c r="OL159" s="1004"/>
      <c r="OM159" s="1004"/>
      <c r="ON159" s="1004"/>
      <c r="OO159" s="1004"/>
      <c r="OP159" s="1004"/>
      <c r="OQ159" s="1004"/>
      <c r="OR159" s="1004"/>
      <c r="OS159" s="1004"/>
      <c r="OT159" s="1004"/>
      <c r="OU159" s="1004"/>
      <c r="OV159" s="1004"/>
      <c r="OW159" s="1004"/>
      <c r="OX159" s="1004"/>
      <c r="OY159" s="1004"/>
      <c r="OZ159" s="1004"/>
      <c r="PA159" s="1004"/>
      <c r="PB159" s="1004"/>
      <c r="PC159" s="1004"/>
      <c r="PD159" s="1004"/>
      <c r="PE159" s="1004"/>
      <c r="PF159" s="1004"/>
      <c r="PG159" s="1004"/>
      <c r="PH159" s="1004"/>
      <c r="PI159" s="1004"/>
      <c r="PJ159" s="1004"/>
      <c r="PK159" s="1004"/>
      <c r="PL159" s="1004"/>
      <c r="PM159" s="1004"/>
      <c r="PN159" s="1004"/>
      <c r="PO159" s="1004"/>
      <c r="PP159" s="1004"/>
      <c r="PQ159" s="1004"/>
      <c r="PR159" s="1004"/>
      <c r="PS159" s="1004"/>
      <c r="PT159" s="1004"/>
      <c r="PU159" s="1004"/>
      <c r="PV159" s="1004"/>
      <c r="PW159" s="1004"/>
      <c r="PX159" s="1004"/>
      <c r="PY159" s="1004"/>
      <c r="PZ159" s="1004"/>
      <c r="QA159" s="1004"/>
      <c r="QB159" s="1004"/>
      <c r="QC159" s="1004"/>
      <c r="QD159" s="1004"/>
      <c r="QE159" s="1004"/>
      <c r="QF159" s="1004"/>
      <c r="QG159" s="1004"/>
      <c r="QH159" s="1004"/>
      <c r="QI159" s="1004"/>
      <c r="QJ159" s="1004"/>
      <c r="QK159" s="1004"/>
      <c r="QL159" s="1004"/>
      <c r="QM159" s="1004"/>
      <c r="QN159" s="1004"/>
      <c r="QO159" s="1004"/>
      <c r="QP159" s="1004"/>
      <c r="QQ159" s="1004"/>
      <c r="QR159" s="1004"/>
      <c r="QS159" s="1004"/>
      <c r="QT159" s="1004"/>
      <c r="QU159" s="1004"/>
      <c r="QV159" s="1004"/>
      <c r="QW159" s="1004"/>
      <c r="QX159" s="1004"/>
      <c r="QY159" s="1004"/>
      <c r="QZ159" s="1004"/>
      <c r="RA159" s="1004"/>
      <c r="RB159" s="1004"/>
      <c r="RC159" s="1004"/>
      <c r="RD159" s="1004"/>
      <c r="RE159" s="1004"/>
      <c r="RF159" s="1004"/>
      <c r="RG159" s="1004"/>
      <c r="RH159" s="1004"/>
      <c r="RI159" s="1004"/>
      <c r="RJ159" s="1004"/>
      <c r="RK159" s="1004"/>
      <c r="RL159" s="1004"/>
      <c r="RM159" s="1004"/>
      <c r="RN159" s="1004"/>
      <c r="RO159" s="1004"/>
      <c r="RP159" s="1004"/>
      <c r="RQ159" s="1004"/>
      <c r="RR159" s="1004"/>
      <c r="RS159" s="1004"/>
      <c r="RT159" s="1004"/>
      <c r="RU159" s="1004"/>
      <c r="RV159" s="1004"/>
      <c r="RW159" s="1004"/>
      <c r="RX159" s="1004"/>
      <c r="RY159" s="1004"/>
      <c r="RZ159" s="1004"/>
      <c r="SA159" s="1004"/>
      <c r="SB159" s="1004"/>
      <c r="SC159" s="1004"/>
      <c r="SD159" s="1004"/>
      <c r="SE159" s="1004"/>
      <c r="SF159" s="1004"/>
      <c r="SG159" s="1004"/>
      <c r="SH159" s="1004"/>
      <c r="SI159" s="1004"/>
      <c r="SJ159" s="1004"/>
      <c r="SK159" s="1004"/>
      <c r="SL159" s="1004"/>
      <c r="SM159" s="1004"/>
      <c r="SN159" s="1004"/>
      <c r="SO159" s="1004"/>
      <c r="SP159" s="1004"/>
      <c r="SQ159" s="1004"/>
      <c r="SR159" s="1004"/>
      <c r="SS159" s="1004"/>
      <c r="ST159" s="1004"/>
      <c r="SU159" s="1004"/>
      <c r="SV159" s="1004"/>
      <c r="SW159" s="1004"/>
      <c r="SX159" s="1004"/>
      <c r="SY159" s="1004"/>
      <c r="SZ159" s="1004"/>
      <c r="TA159" s="1004"/>
      <c r="TB159" s="1004"/>
      <c r="TC159" s="1004"/>
      <c r="TD159" s="1004"/>
      <c r="TE159" s="1004"/>
      <c r="TF159" s="1004"/>
      <c r="TG159" s="1004"/>
      <c r="TH159" s="1004"/>
      <c r="TI159" s="1004"/>
      <c r="TJ159" s="1004"/>
      <c r="TK159" s="1004"/>
      <c r="TL159" s="1004"/>
      <c r="TM159" s="1004"/>
      <c r="TN159" s="1004"/>
      <c r="TO159" s="1004"/>
      <c r="TP159" s="1004"/>
      <c r="TQ159" s="1004"/>
      <c r="TR159" s="1004"/>
      <c r="TS159" s="1004"/>
      <c r="TT159" s="1004"/>
      <c r="TU159" s="1004"/>
      <c r="TV159" s="1004"/>
      <c r="TW159" s="1004"/>
      <c r="TX159" s="1004"/>
      <c r="TY159" s="1004"/>
      <c r="TZ159" s="1004"/>
      <c r="UA159" s="1004"/>
      <c r="UB159" s="1004"/>
      <c r="UC159" s="1004"/>
      <c r="UD159" s="1004"/>
      <c r="UE159" s="1004"/>
      <c r="UF159" s="1004"/>
      <c r="UG159" s="1004"/>
      <c r="UH159" s="1004"/>
      <c r="UI159" s="1004"/>
      <c r="UJ159" s="1004"/>
      <c r="UK159" s="1004"/>
      <c r="UL159" s="1004"/>
      <c r="UM159" s="1004"/>
      <c r="UN159" s="1004"/>
      <c r="UO159" s="1004"/>
      <c r="UP159" s="1004"/>
      <c r="UQ159" s="1004"/>
      <c r="UR159" s="1004"/>
      <c r="US159" s="1004"/>
      <c r="UT159" s="1004"/>
      <c r="UU159" s="1004"/>
      <c r="UV159" s="1004"/>
      <c r="UW159" s="1004"/>
      <c r="UX159" s="1004"/>
      <c r="UY159" s="1004"/>
      <c r="UZ159" s="1004"/>
      <c r="VA159" s="1004"/>
      <c r="VB159" s="1004"/>
      <c r="VC159" s="1004"/>
      <c r="VD159" s="1004"/>
      <c r="VE159" s="1004"/>
      <c r="VF159" s="1004"/>
      <c r="VG159" s="1004"/>
      <c r="VH159" s="1004"/>
      <c r="VI159" s="1004"/>
      <c r="VJ159" s="1004"/>
      <c r="VK159" s="1004"/>
      <c r="VL159" s="1004"/>
      <c r="VM159" s="1004"/>
      <c r="VN159" s="1004"/>
      <c r="VO159" s="1004"/>
      <c r="VP159" s="1004"/>
      <c r="VQ159" s="1004"/>
      <c r="VR159" s="1004"/>
      <c r="VS159" s="1004"/>
      <c r="VT159" s="1004"/>
      <c r="VU159" s="1004"/>
      <c r="VV159" s="1004"/>
      <c r="VW159" s="1004"/>
      <c r="VX159" s="1004"/>
      <c r="VY159" s="1004"/>
      <c r="VZ159" s="1004"/>
      <c r="WA159" s="1004"/>
      <c r="WB159" s="1004"/>
      <c r="WC159" s="1004"/>
      <c r="WD159" s="1004"/>
      <c r="WE159" s="1004"/>
      <c r="WF159" s="1004"/>
      <c r="WG159" s="1004"/>
      <c r="WH159" s="1004"/>
      <c r="WI159" s="1004"/>
      <c r="WJ159" s="1004"/>
      <c r="WK159" s="1004"/>
      <c r="WL159" s="1004"/>
      <c r="WM159" s="1004"/>
      <c r="WN159" s="1004"/>
      <c r="WO159" s="1004"/>
      <c r="WP159" s="1004"/>
      <c r="WQ159" s="1004"/>
      <c r="WR159" s="1004"/>
      <c r="WS159" s="1004"/>
      <c r="WT159" s="1004"/>
      <c r="WU159" s="1004"/>
      <c r="WV159" s="1004"/>
      <c r="WW159" s="1004"/>
      <c r="WX159" s="1004"/>
      <c r="WY159" s="1004"/>
      <c r="WZ159" s="1004"/>
      <c r="XA159" s="1004"/>
      <c r="XB159" s="1004"/>
      <c r="XC159" s="1004"/>
      <c r="XD159" s="1004"/>
      <c r="XE159" s="1004"/>
      <c r="XF159" s="1004"/>
      <c r="XG159" s="1004"/>
      <c r="XH159" s="1004"/>
      <c r="XI159" s="1004"/>
      <c r="XJ159" s="1004"/>
      <c r="XK159" s="1004"/>
      <c r="XL159" s="1004"/>
      <c r="XM159" s="1004"/>
      <c r="XN159" s="1004"/>
      <c r="XO159" s="1004"/>
      <c r="XP159" s="1004"/>
      <c r="XQ159" s="1004"/>
      <c r="XR159" s="1004"/>
      <c r="XS159" s="1004"/>
      <c r="XT159" s="1004"/>
      <c r="XU159" s="1004"/>
      <c r="XV159" s="1004"/>
      <c r="XW159" s="1004"/>
      <c r="XX159" s="1004"/>
      <c r="XY159" s="1004"/>
      <c r="XZ159" s="1004"/>
      <c r="YA159" s="1004"/>
      <c r="YB159" s="1004"/>
      <c r="YC159" s="1004"/>
      <c r="YD159" s="1004"/>
      <c r="YE159" s="1004"/>
      <c r="YF159" s="1004"/>
      <c r="YG159" s="1004"/>
      <c r="YH159" s="1004"/>
      <c r="YI159" s="1004"/>
      <c r="YJ159" s="1004"/>
      <c r="YK159" s="1004"/>
      <c r="YL159" s="1004"/>
      <c r="YM159" s="1004"/>
      <c r="YN159" s="1004"/>
      <c r="YO159" s="1004"/>
      <c r="YP159" s="1004"/>
      <c r="YQ159" s="1004"/>
      <c r="YR159" s="1004"/>
      <c r="YS159" s="1004"/>
      <c r="YT159" s="1004"/>
      <c r="YU159" s="1004"/>
      <c r="YV159" s="1004"/>
      <c r="YW159" s="1004"/>
      <c r="YX159" s="1004"/>
      <c r="YY159" s="1004"/>
      <c r="YZ159" s="1004"/>
      <c r="ZA159" s="1004"/>
      <c r="ZB159" s="1004"/>
      <c r="ZC159" s="1004"/>
      <c r="ZD159" s="1004"/>
      <c r="ZE159" s="1004"/>
      <c r="ZF159" s="1004"/>
      <c r="ZG159" s="1004"/>
      <c r="ZH159" s="1004"/>
      <c r="ZI159" s="1004"/>
      <c r="ZJ159" s="1004"/>
      <c r="ZK159" s="1004"/>
      <c r="ZL159" s="1004"/>
      <c r="ZM159" s="1004"/>
      <c r="ZN159" s="1004"/>
      <c r="ZO159" s="1004"/>
      <c r="ZP159" s="1004"/>
      <c r="ZQ159" s="1004"/>
      <c r="ZR159" s="1004"/>
      <c r="ZS159" s="1004"/>
      <c r="ZT159" s="1004"/>
      <c r="ZU159" s="1004"/>
      <c r="ZV159" s="1004"/>
      <c r="ZW159" s="1004"/>
      <c r="ZX159" s="1004"/>
      <c r="ZY159" s="1004"/>
      <c r="ZZ159" s="1004"/>
      <c r="AAA159" s="1004"/>
      <c r="AAB159" s="1004"/>
      <c r="AAC159" s="1004"/>
      <c r="AAD159" s="1004"/>
      <c r="AAE159" s="1004"/>
      <c r="AAF159" s="1004"/>
      <c r="AAG159" s="1004"/>
      <c r="AAH159" s="1004"/>
      <c r="AAI159" s="1004"/>
      <c r="AAJ159" s="1004"/>
      <c r="AAK159" s="1004"/>
      <c r="AAL159" s="1004"/>
      <c r="AAM159" s="1004"/>
      <c r="AAN159" s="1004"/>
      <c r="AAO159" s="1004"/>
      <c r="AAP159" s="1004"/>
      <c r="AAQ159" s="1004"/>
      <c r="AAR159" s="1004"/>
      <c r="AAS159" s="1004"/>
      <c r="AAT159" s="1004"/>
      <c r="AAU159" s="1004"/>
      <c r="AAV159" s="1004"/>
      <c r="AAW159" s="1004"/>
      <c r="AAX159" s="1004"/>
      <c r="AAY159" s="1004"/>
      <c r="AAZ159" s="1004"/>
      <c r="ABA159" s="1004"/>
      <c r="ABB159" s="1004"/>
      <c r="ABC159" s="1004"/>
      <c r="ABD159" s="1004"/>
      <c r="ABE159" s="1004"/>
      <c r="ABF159" s="1004"/>
      <c r="ABG159" s="1004"/>
      <c r="ABH159" s="1004"/>
      <c r="ABI159" s="1004"/>
      <c r="ABJ159" s="1004"/>
      <c r="ABK159" s="1004"/>
      <c r="ABL159" s="1004"/>
      <c r="ABM159" s="1004"/>
      <c r="ABN159" s="1004"/>
      <c r="ABO159" s="1004"/>
      <c r="ABP159" s="1004"/>
      <c r="ABQ159" s="1004"/>
      <c r="ABR159" s="1004"/>
    </row>
    <row r="160" spans="1:746" s="111" customFormat="1" ht="12" customHeight="1">
      <c r="A160" s="924"/>
      <c r="B160" s="603" t="s">
        <v>178</v>
      </c>
      <c r="C160" s="602"/>
      <c r="D160" s="602"/>
      <c r="E160" s="604"/>
      <c r="F160" s="605"/>
      <c r="G160" s="604"/>
      <c r="H160" s="2541"/>
      <c r="I160" s="369">
        <f t="shared" ref="I160:AF160" si="17">I78+I273-I158+I259+I138</f>
        <v>0</v>
      </c>
      <c r="J160" s="371">
        <f t="shared" si="17"/>
        <v>0</v>
      </c>
      <c r="K160" s="371">
        <f t="shared" ca="1" si="17"/>
        <v>0</v>
      </c>
      <c r="L160" s="371">
        <f t="shared" ca="1" si="17"/>
        <v>0</v>
      </c>
      <c r="M160" s="371">
        <f t="shared" ca="1" si="17"/>
        <v>0</v>
      </c>
      <c r="N160" s="371">
        <f t="shared" ca="1" si="17"/>
        <v>0</v>
      </c>
      <c r="O160" s="371">
        <f t="shared" ca="1" si="17"/>
        <v>0</v>
      </c>
      <c r="P160" s="371">
        <f t="shared" ca="1" si="17"/>
        <v>0</v>
      </c>
      <c r="Q160" s="371">
        <f t="shared" ca="1" si="17"/>
        <v>0</v>
      </c>
      <c r="R160" s="371">
        <f t="shared" ca="1" si="17"/>
        <v>0</v>
      </c>
      <c r="S160" s="371">
        <f t="shared" ca="1" si="17"/>
        <v>0</v>
      </c>
      <c r="T160" s="371">
        <f t="shared" ca="1" si="17"/>
        <v>0</v>
      </c>
      <c r="U160" s="371">
        <f t="shared" ca="1" si="17"/>
        <v>0</v>
      </c>
      <c r="V160" s="371">
        <f t="shared" ca="1" si="17"/>
        <v>0</v>
      </c>
      <c r="W160" s="371">
        <f t="shared" ca="1" si="17"/>
        <v>0</v>
      </c>
      <c r="X160" s="371">
        <f t="shared" ca="1" si="17"/>
        <v>0</v>
      </c>
      <c r="Y160" s="371">
        <f t="shared" ca="1" si="17"/>
        <v>0</v>
      </c>
      <c r="Z160" s="371">
        <f t="shared" ca="1" si="17"/>
        <v>0</v>
      </c>
      <c r="AA160" s="371">
        <f t="shared" ca="1" si="17"/>
        <v>0</v>
      </c>
      <c r="AB160" s="371">
        <f t="shared" ca="1" si="17"/>
        <v>0</v>
      </c>
      <c r="AC160" s="371">
        <f t="shared" ca="1" si="17"/>
        <v>0</v>
      </c>
      <c r="AD160" s="371">
        <f t="shared" ca="1" si="17"/>
        <v>0</v>
      </c>
      <c r="AE160" s="371">
        <f t="shared" ca="1" si="17"/>
        <v>0</v>
      </c>
      <c r="AF160" s="371">
        <f t="shared" ca="1" si="17"/>
        <v>0</v>
      </c>
      <c r="AG160" s="376"/>
      <c r="AH160" s="336"/>
      <c r="AI160" s="336"/>
      <c r="AJ160" s="418">
        <f ca="1">IF(fx!$C$57=1,SUM(I160:T160),IF(fx!$C$57=2,SUM(O160:AF160)))</f>
        <v>0</v>
      </c>
      <c r="AK160" s="420"/>
      <c r="AL160" s="417">
        <f ca="1">IF(fx!$C$57=1,SUM(U160:AF160),0)</f>
        <v>0</v>
      </c>
      <c r="AM160" s="1004"/>
      <c r="AN160" s="1026"/>
      <c r="AO160" s="1945"/>
      <c r="AP160" s="1935"/>
      <c r="AQ160" s="1936"/>
      <c r="AR160" s="1941"/>
      <c r="AS160" s="1941"/>
      <c r="AT160" s="1941"/>
      <c r="AU160" s="1941"/>
      <c r="AV160" s="1941"/>
      <c r="AW160" s="1941"/>
      <c r="AX160" s="1941"/>
      <c r="AY160" s="1941"/>
      <c r="AZ160" s="1941"/>
      <c r="BA160" s="1941"/>
      <c r="BB160" s="1941"/>
      <c r="BC160" s="1941"/>
      <c r="BD160" s="1941"/>
      <c r="BE160" s="1941"/>
      <c r="BF160" s="1941"/>
      <c r="BG160" s="1941"/>
      <c r="BH160" s="1941"/>
      <c r="BI160" s="1941"/>
      <c r="BJ160" s="1941"/>
      <c r="BK160" s="1941"/>
      <c r="BL160" s="1941"/>
      <c r="BM160" s="1941"/>
      <c r="BN160" s="1941"/>
      <c r="BO160" s="1941"/>
      <c r="BP160" s="1009"/>
      <c r="BQ160" s="1009"/>
      <c r="BR160" s="1009"/>
      <c r="BS160" s="1009"/>
      <c r="BT160" s="1009"/>
      <c r="BU160" s="1009"/>
      <c r="BV160" s="1009"/>
      <c r="BW160" s="1009"/>
      <c r="BX160" s="1009"/>
      <c r="BY160" s="1009"/>
      <c r="BZ160" s="1009"/>
      <c r="CA160" s="1009"/>
      <c r="CB160" s="1009"/>
      <c r="CC160" s="1009"/>
      <c r="CD160" s="1009"/>
      <c r="CE160" s="1009"/>
      <c r="CF160" s="1009"/>
      <c r="CG160" s="1009"/>
      <c r="CH160" s="1009"/>
      <c r="CI160" s="1009"/>
      <c r="CJ160" s="1009"/>
      <c r="CK160" s="1009"/>
      <c r="CL160" s="1009"/>
      <c r="CM160" s="1009"/>
      <c r="CN160" s="1009"/>
      <c r="CO160" s="1009"/>
      <c r="CP160" s="1009"/>
      <c r="CQ160" s="1009"/>
      <c r="CR160" s="1009"/>
      <c r="CS160" s="1009"/>
      <c r="CT160" s="1009"/>
      <c r="CU160" s="1009"/>
      <c r="CV160" s="1009"/>
      <c r="CW160" s="1009"/>
      <c r="CX160" s="1009"/>
      <c r="CY160" s="1009"/>
      <c r="CZ160" s="1009"/>
      <c r="DA160" s="1009"/>
      <c r="DB160" s="1009"/>
      <c r="DC160" s="1009"/>
      <c r="DD160" s="1009"/>
      <c r="DE160" s="1009"/>
      <c r="DF160" s="1009"/>
      <c r="DG160" s="1009"/>
      <c r="DH160" s="1009"/>
      <c r="DI160" s="1009"/>
      <c r="DJ160" s="1009"/>
      <c r="DK160" s="1009"/>
      <c r="DL160" s="1009"/>
      <c r="DM160" s="1009"/>
      <c r="DN160" s="1009"/>
      <c r="DO160" s="1009"/>
      <c r="DP160" s="1009"/>
      <c r="DQ160" s="1009"/>
      <c r="DR160" s="1009"/>
      <c r="DS160" s="1009"/>
      <c r="DT160" s="1009"/>
      <c r="DU160" s="1009"/>
      <c r="DV160" s="1009"/>
      <c r="DW160" s="1009"/>
      <c r="DX160" s="1009"/>
      <c r="DY160" s="1009"/>
      <c r="DZ160" s="1009"/>
      <c r="EA160" s="1009"/>
      <c r="EB160" s="1009"/>
      <c r="EC160" s="1009"/>
      <c r="ED160" s="1009"/>
      <c r="EE160" s="1009"/>
      <c r="EF160" s="1009"/>
      <c r="EG160" s="1009"/>
      <c r="EH160" s="1009"/>
      <c r="EI160" s="1009"/>
      <c r="EJ160" s="1009"/>
      <c r="EK160" s="1009"/>
      <c r="EL160" s="1009"/>
      <c r="EM160" s="1009"/>
      <c r="EN160" s="1009"/>
      <c r="EO160" s="1009"/>
      <c r="EP160" s="1009"/>
      <c r="EQ160" s="1009"/>
      <c r="ER160" s="1009"/>
      <c r="ES160" s="1009"/>
      <c r="ET160" s="1009"/>
      <c r="EU160" s="1009"/>
      <c r="EV160" s="1009"/>
      <c r="EW160" s="1009"/>
      <c r="EX160" s="1009"/>
      <c r="EY160" s="1009"/>
      <c r="EZ160" s="1009"/>
      <c r="FA160" s="1009"/>
      <c r="FB160" s="1009"/>
      <c r="FC160" s="1009"/>
      <c r="FD160" s="1009"/>
      <c r="FE160" s="1009"/>
      <c r="FF160" s="1009"/>
      <c r="FG160" s="1009"/>
      <c r="FH160" s="1009"/>
      <c r="FI160" s="1009"/>
      <c r="FJ160" s="1009"/>
      <c r="FK160" s="1009"/>
      <c r="FL160" s="1009"/>
      <c r="FM160" s="1009"/>
      <c r="FN160" s="1009"/>
      <c r="FO160" s="1009"/>
      <c r="FP160" s="1009"/>
      <c r="FQ160" s="1009"/>
      <c r="FR160" s="1009"/>
      <c r="FS160" s="1009"/>
      <c r="FT160" s="1009"/>
      <c r="FU160" s="1009"/>
      <c r="FV160" s="1009"/>
      <c r="FW160" s="1009"/>
      <c r="FX160" s="1009"/>
      <c r="FY160" s="1009"/>
      <c r="FZ160" s="1009"/>
      <c r="GA160" s="1009"/>
      <c r="GB160" s="1009"/>
      <c r="GC160" s="1009"/>
      <c r="GD160" s="1009"/>
      <c r="GE160" s="1009"/>
      <c r="GF160" s="1009"/>
      <c r="GG160" s="1009"/>
      <c r="GH160" s="1009"/>
      <c r="GI160" s="1009"/>
      <c r="GJ160" s="1009"/>
      <c r="GK160" s="1009"/>
      <c r="GL160" s="1009"/>
      <c r="GM160" s="1009"/>
      <c r="GN160" s="1009"/>
      <c r="GO160" s="1009"/>
      <c r="GP160" s="1009"/>
      <c r="GQ160" s="1009"/>
      <c r="GR160" s="1009"/>
      <c r="GS160" s="1009"/>
      <c r="GT160" s="1009"/>
      <c r="GU160" s="1009"/>
      <c r="GV160" s="1009"/>
      <c r="GW160" s="1009"/>
      <c r="GX160" s="1009"/>
      <c r="GY160" s="1009"/>
      <c r="GZ160" s="1009"/>
      <c r="HA160" s="1009"/>
      <c r="HB160" s="1009"/>
      <c r="HC160" s="1009"/>
      <c r="HD160" s="1009"/>
      <c r="HE160" s="1009"/>
      <c r="HF160" s="1009"/>
      <c r="HG160" s="1009"/>
      <c r="HH160" s="1009"/>
      <c r="HI160" s="1009"/>
      <c r="HJ160" s="1009"/>
      <c r="HK160" s="1009"/>
      <c r="HL160" s="1009"/>
      <c r="HM160" s="1009"/>
      <c r="HN160" s="1009"/>
      <c r="HO160" s="1009"/>
      <c r="HP160" s="1009"/>
      <c r="HQ160" s="1009"/>
      <c r="HR160" s="1009"/>
      <c r="HS160" s="1009"/>
      <c r="HT160" s="1009"/>
      <c r="HU160" s="1009"/>
      <c r="HV160" s="1009"/>
      <c r="HW160" s="1009"/>
      <c r="HX160" s="1009"/>
      <c r="HY160" s="1009"/>
      <c r="HZ160" s="1009"/>
      <c r="IA160" s="1009"/>
      <c r="IB160" s="1009"/>
      <c r="IC160" s="1009"/>
      <c r="ID160" s="1009"/>
      <c r="IE160" s="1009"/>
      <c r="IF160" s="1009"/>
      <c r="IG160" s="1009"/>
      <c r="IH160" s="1009"/>
      <c r="II160" s="1009"/>
      <c r="IJ160" s="1009"/>
      <c r="IK160" s="1009"/>
      <c r="IL160" s="1009"/>
      <c r="IM160" s="1009"/>
      <c r="IN160" s="1009"/>
      <c r="IO160" s="1009"/>
      <c r="IP160" s="1009"/>
      <c r="IQ160" s="1009"/>
      <c r="IR160" s="1009"/>
      <c r="IS160" s="1009"/>
      <c r="IT160" s="1009"/>
      <c r="IU160" s="1009"/>
      <c r="IV160" s="1009"/>
      <c r="IW160" s="1009"/>
      <c r="IX160" s="1009"/>
      <c r="IY160" s="1009"/>
      <c r="IZ160" s="1009"/>
      <c r="JA160" s="1009"/>
      <c r="JB160" s="1009"/>
      <c r="JC160" s="1009"/>
      <c r="JD160" s="1009"/>
      <c r="JE160" s="1009"/>
      <c r="JF160" s="1009"/>
      <c r="JG160" s="1009"/>
      <c r="JH160" s="1009"/>
      <c r="JI160" s="1009"/>
      <c r="JJ160" s="1009"/>
      <c r="JK160" s="1009"/>
      <c r="JL160" s="1009"/>
      <c r="JM160" s="1009"/>
      <c r="JN160" s="1009"/>
      <c r="JO160" s="1009"/>
      <c r="JP160" s="1009"/>
      <c r="JQ160" s="1009"/>
      <c r="JR160" s="1009"/>
      <c r="JS160" s="1009"/>
      <c r="JT160" s="1009"/>
      <c r="JU160" s="1009"/>
      <c r="JV160" s="1009"/>
      <c r="JW160" s="1009"/>
      <c r="JX160" s="1009"/>
      <c r="JY160" s="1009"/>
      <c r="JZ160" s="1009"/>
      <c r="KA160" s="1009"/>
      <c r="KB160" s="1009"/>
      <c r="KC160" s="1009"/>
      <c r="KD160" s="1009"/>
      <c r="KE160" s="1009"/>
      <c r="KF160" s="1009"/>
      <c r="KG160" s="1009"/>
      <c r="KH160" s="1009"/>
      <c r="KI160" s="1009"/>
      <c r="KJ160" s="1009"/>
      <c r="KK160" s="1009"/>
      <c r="KL160" s="1009"/>
      <c r="KM160" s="1009"/>
      <c r="KN160" s="1009"/>
      <c r="KO160" s="1009"/>
      <c r="KP160" s="1009"/>
      <c r="KQ160" s="1009"/>
      <c r="KR160" s="1009"/>
      <c r="KS160" s="1009"/>
      <c r="KT160" s="1009"/>
      <c r="KU160" s="1009"/>
      <c r="KV160" s="1009"/>
      <c r="KW160" s="1009"/>
      <c r="KX160" s="1009"/>
      <c r="KY160" s="1009"/>
      <c r="KZ160" s="1009"/>
      <c r="LA160" s="1009"/>
      <c r="LB160" s="1009"/>
      <c r="LC160" s="1009"/>
      <c r="LD160" s="1009"/>
      <c r="LE160" s="1009"/>
      <c r="LF160" s="1009"/>
      <c r="LG160" s="1009"/>
      <c r="LH160" s="1009"/>
      <c r="LI160" s="1009"/>
      <c r="LJ160" s="1009"/>
      <c r="LK160" s="1009"/>
      <c r="LL160" s="1009"/>
      <c r="LM160" s="1009"/>
      <c r="LN160" s="1009"/>
      <c r="LO160" s="1009"/>
      <c r="LP160" s="1009"/>
      <c r="LQ160" s="1009"/>
      <c r="LR160" s="1009"/>
      <c r="LS160" s="1009"/>
      <c r="LT160" s="1009"/>
      <c r="LU160" s="1009"/>
      <c r="LV160" s="1009"/>
      <c r="LW160" s="1009"/>
      <c r="LX160" s="1009"/>
      <c r="LY160" s="1009"/>
      <c r="LZ160" s="1009"/>
      <c r="MA160" s="1009"/>
      <c r="MB160" s="1009"/>
      <c r="MC160" s="1009"/>
      <c r="MD160" s="1009"/>
      <c r="ME160" s="1009"/>
      <c r="MF160" s="1009"/>
      <c r="MG160" s="1009"/>
      <c r="MH160" s="1009"/>
      <c r="MI160" s="1009"/>
      <c r="MJ160" s="1009"/>
      <c r="MK160" s="1009"/>
      <c r="ML160" s="1009"/>
      <c r="MM160" s="1009"/>
      <c r="MN160" s="1009"/>
      <c r="MO160" s="1009"/>
      <c r="MP160" s="1009"/>
      <c r="MQ160" s="1009"/>
      <c r="MR160" s="1009"/>
      <c r="MS160" s="1009"/>
      <c r="MT160" s="1009"/>
      <c r="MU160" s="1009"/>
      <c r="MV160" s="1009"/>
      <c r="MW160" s="1009"/>
      <c r="MX160" s="1009"/>
      <c r="MY160" s="1009"/>
      <c r="MZ160" s="1009"/>
      <c r="NA160" s="1009"/>
      <c r="NB160" s="1009"/>
      <c r="NC160" s="1009"/>
      <c r="ND160" s="1009"/>
      <c r="NE160" s="1009"/>
      <c r="NF160" s="1009"/>
      <c r="NG160" s="1009"/>
      <c r="NH160" s="1009"/>
      <c r="NI160" s="1009"/>
      <c r="NJ160" s="1009"/>
      <c r="NK160" s="1009"/>
      <c r="NL160" s="1009"/>
      <c r="NM160" s="1009"/>
      <c r="NN160" s="1009"/>
      <c r="NO160" s="1009"/>
      <c r="NP160" s="1009"/>
      <c r="NQ160" s="1009"/>
      <c r="NR160" s="1009"/>
      <c r="NS160" s="1009"/>
      <c r="NT160" s="1009"/>
      <c r="NU160" s="1009"/>
      <c r="NV160" s="1009"/>
      <c r="NW160" s="1009"/>
      <c r="NX160" s="1009"/>
      <c r="NY160" s="1009"/>
      <c r="NZ160" s="1009"/>
      <c r="OA160" s="1009"/>
      <c r="OB160" s="1009"/>
      <c r="OC160" s="1009"/>
      <c r="OD160" s="1009"/>
      <c r="OE160" s="1009"/>
      <c r="OF160" s="1009"/>
      <c r="OG160" s="1009"/>
      <c r="OH160" s="1009"/>
      <c r="OI160" s="1009"/>
      <c r="OJ160" s="1009"/>
      <c r="OK160" s="1009"/>
      <c r="OL160" s="1009"/>
      <c r="OM160" s="1009"/>
      <c r="ON160" s="1009"/>
      <c r="OO160" s="1009"/>
      <c r="OP160" s="1009"/>
      <c r="OQ160" s="1009"/>
      <c r="OR160" s="1009"/>
      <c r="OS160" s="1009"/>
      <c r="OT160" s="1009"/>
      <c r="OU160" s="1009"/>
      <c r="OV160" s="1009"/>
      <c r="OW160" s="1009"/>
      <c r="OX160" s="1009"/>
      <c r="OY160" s="1009"/>
      <c r="OZ160" s="1009"/>
      <c r="PA160" s="1009"/>
      <c r="PB160" s="1009"/>
      <c r="PC160" s="1009"/>
      <c r="PD160" s="1009"/>
      <c r="PE160" s="1009"/>
      <c r="PF160" s="1009"/>
      <c r="PG160" s="1009"/>
      <c r="PH160" s="1009"/>
      <c r="PI160" s="1009"/>
      <c r="PJ160" s="1009"/>
      <c r="PK160" s="1009"/>
      <c r="PL160" s="1009"/>
      <c r="PM160" s="1009"/>
      <c r="PN160" s="1009"/>
      <c r="PO160" s="1009"/>
      <c r="PP160" s="1009"/>
      <c r="PQ160" s="1009"/>
      <c r="PR160" s="1009"/>
      <c r="PS160" s="1009"/>
      <c r="PT160" s="1009"/>
      <c r="PU160" s="1009"/>
      <c r="PV160" s="1009"/>
      <c r="PW160" s="1009"/>
      <c r="PX160" s="1009"/>
      <c r="PY160" s="1009"/>
      <c r="PZ160" s="1009"/>
      <c r="QA160" s="1009"/>
      <c r="QB160" s="1009"/>
      <c r="QC160" s="1009"/>
      <c r="QD160" s="1009"/>
      <c r="QE160" s="1009"/>
      <c r="QF160" s="1009"/>
      <c r="QG160" s="1009"/>
      <c r="QH160" s="1009"/>
      <c r="QI160" s="1009"/>
      <c r="QJ160" s="1009"/>
      <c r="QK160" s="1009"/>
      <c r="QL160" s="1009"/>
      <c r="QM160" s="1009"/>
      <c r="QN160" s="1009"/>
      <c r="QO160" s="1009"/>
      <c r="QP160" s="1009"/>
      <c r="QQ160" s="1009"/>
      <c r="QR160" s="1009"/>
      <c r="QS160" s="1009"/>
      <c r="QT160" s="1009"/>
      <c r="QU160" s="1009"/>
      <c r="QV160" s="1009"/>
      <c r="QW160" s="1009"/>
      <c r="QX160" s="1009"/>
      <c r="QY160" s="1009"/>
      <c r="QZ160" s="1009"/>
      <c r="RA160" s="1009"/>
      <c r="RB160" s="1009"/>
      <c r="RC160" s="1009"/>
      <c r="RD160" s="1009"/>
      <c r="RE160" s="1009"/>
      <c r="RF160" s="1009"/>
      <c r="RG160" s="1009"/>
      <c r="RH160" s="1009"/>
      <c r="RI160" s="1009"/>
      <c r="RJ160" s="1009"/>
      <c r="RK160" s="1009"/>
      <c r="RL160" s="1009"/>
      <c r="RM160" s="1009"/>
      <c r="RN160" s="1009"/>
      <c r="RO160" s="1009"/>
      <c r="RP160" s="1009"/>
      <c r="RQ160" s="1009"/>
      <c r="RR160" s="1009"/>
      <c r="RS160" s="1009"/>
      <c r="RT160" s="1009"/>
      <c r="RU160" s="1009"/>
      <c r="RV160" s="1009"/>
      <c r="RW160" s="1009"/>
      <c r="RX160" s="1009"/>
      <c r="RY160" s="1009"/>
      <c r="RZ160" s="1009"/>
      <c r="SA160" s="1009"/>
      <c r="SB160" s="1009"/>
      <c r="SC160" s="1009"/>
      <c r="SD160" s="1009"/>
      <c r="SE160" s="1009"/>
      <c r="SF160" s="1009"/>
      <c r="SG160" s="1009"/>
      <c r="SH160" s="1009"/>
      <c r="SI160" s="1009"/>
      <c r="SJ160" s="1009"/>
      <c r="SK160" s="1009"/>
      <c r="SL160" s="1009"/>
      <c r="SM160" s="1009"/>
      <c r="SN160" s="1009"/>
      <c r="SO160" s="1009"/>
      <c r="SP160" s="1009"/>
      <c r="SQ160" s="1009"/>
      <c r="SR160" s="1009"/>
      <c r="SS160" s="1009"/>
      <c r="ST160" s="1009"/>
      <c r="SU160" s="1009"/>
      <c r="SV160" s="1009"/>
      <c r="SW160" s="1009"/>
      <c r="SX160" s="1009"/>
      <c r="SY160" s="1009"/>
      <c r="SZ160" s="1009"/>
      <c r="TA160" s="1009"/>
      <c r="TB160" s="1009"/>
      <c r="TC160" s="1009"/>
      <c r="TD160" s="1009"/>
      <c r="TE160" s="1009"/>
      <c r="TF160" s="1009"/>
      <c r="TG160" s="1009"/>
      <c r="TH160" s="1009"/>
      <c r="TI160" s="1009"/>
      <c r="TJ160" s="1009"/>
      <c r="TK160" s="1009"/>
      <c r="TL160" s="1009"/>
      <c r="TM160" s="1009"/>
      <c r="TN160" s="1009"/>
      <c r="TO160" s="1009"/>
      <c r="TP160" s="1009"/>
      <c r="TQ160" s="1009"/>
      <c r="TR160" s="1009"/>
      <c r="TS160" s="1009"/>
      <c r="TT160" s="1009"/>
      <c r="TU160" s="1009"/>
      <c r="TV160" s="1009"/>
      <c r="TW160" s="1009"/>
      <c r="TX160" s="1009"/>
      <c r="TY160" s="1009"/>
      <c r="TZ160" s="1009"/>
      <c r="UA160" s="1009"/>
      <c r="UB160" s="1009"/>
      <c r="UC160" s="1009"/>
      <c r="UD160" s="1009"/>
      <c r="UE160" s="1009"/>
      <c r="UF160" s="1009"/>
      <c r="UG160" s="1009"/>
      <c r="UH160" s="1009"/>
      <c r="UI160" s="1009"/>
      <c r="UJ160" s="1009"/>
      <c r="UK160" s="1009"/>
      <c r="UL160" s="1009"/>
      <c r="UM160" s="1009"/>
      <c r="UN160" s="1009"/>
      <c r="UO160" s="1009"/>
      <c r="UP160" s="1009"/>
      <c r="UQ160" s="1009"/>
      <c r="UR160" s="1009"/>
      <c r="US160" s="1009"/>
      <c r="UT160" s="1009"/>
      <c r="UU160" s="1009"/>
      <c r="UV160" s="1009"/>
      <c r="UW160" s="1009"/>
      <c r="UX160" s="1009"/>
      <c r="UY160" s="1009"/>
      <c r="UZ160" s="1009"/>
      <c r="VA160" s="1009"/>
      <c r="VB160" s="1009"/>
      <c r="VC160" s="1009"/>
      <c r="VD160" s="1009"/>
      <c r="VE160" s="1009"/>
      <c r="VF160" s="1009"/>
      <c r="VG160" s="1009"/>
      <c r="VH160" s="1009"/>
      <c r="VI160" s="1009"/>
      <c r="VJ160" s="1009"/>
      <c r="VK160" s="1009"/>
      <c r="VL160" s="1009"/>
      <c r="VM160" s="1009"/>
      <c r="VN160" s="1009"/>
      <c r="VO160" s="1009"/>
      <c r="VP160" s="1009"/>
      <c r="VQ160" s="1009"/>
      <c r="VR160" s="1009"/>
      <c r="VS160" s="1009"/>
      <c r="VT160" s="1009"/>
      <c r="VU160" s="1009"/>
      <c r="VV160" s="1009"/>
      <c r="VW160" s="1009"/>
      <c r="VX160" s="1009"/>
      <c r="VY160" s="1009"/>
      <c r="VZ160" s="1009"/>
      <c r="WA160" s="1009"/>
      <c r="WB160" s="1009"/>
      <c r="WC160" s="1009"/>
      <c r="WD160" s="1009"/>
      <c r="WE160" s="1009"/>
      <c r="WF160" s="1009"/>
      <c r="WG160" s="1009"/>
      <c r="WH160" s="1009"/>
      <c r="WI160" s="1009"/>
      <c r="WJ160" s="1009"/>
      <c r="WK160" s="1009"/>
      <c r="WL160" s="1009"/>
      <c r="WM160" s="1009"/>
      <c r="WN160" s="1009"/>
      <c r="WO160" s="1009"/>
      <c r="WP160" s="1009"/>
      <c r="WQ160" s="1009"/>
      <c r="WR160" s="1009"/>
      <c r="WS160" s="1009"/>
      <c r="WT160" s="1009"/>
      <c r="WU160" s="1009"/>
      <c r="WV160" s="1009"/>
      <c r="WW160" s="1009"/>
      <c r="WX160" s="1009"/>
      <c r="WY160" s="1009"/>
      <c r="WZ160" s="1009"/>
      <c r="XA160" s="1009"/>
      <c r="XB160" s="1009"/>
      <c r="XC160" s="1009"/>
      <c r="XD160" s="1009"/>
      <c r="XE160" s="1009"/>
      <c r="XF160" s="1009"/>
      <c r="XG160" s="1009"/>
      <c r="XH160" s="1009"/>
      <c r="XI160" s="1009"/>
      <c r="XJ160" s="1009"/>
      <c r="XK160" s="1009"/>
      <c r="XL160" s="1009"/>
      <c r="XM160" s="1009"/>
      <c r="XN160" s="1009"/>
      <c r="XO160" s="1009"/>
      <c r="XP160" s="1009"/>
      <c r="XQ160" s="1009"/>
      <c r="XR160" s="1009"/>
      <c r="XS160" s="1009"/>
      <c r="XT160" s="1009"/>
      <c r="XU160" s="1009"/>
      <c r="XV160" s="1009"/>
      <c r="XW160" s="1009"/>
      <c r="XX160" s="1009"/>
      <c r="XY160" s="1009"/>
      <c r="XZ160" s="1009"/>
      <c r="YA160" s="1009"/>
      <c r="YB160" s="1009"/>
      <c r="YC160" s="1009"/>
      <c r="YD160" s="1009"/>
      <c r="YE160" s="1009"/>
      <c r="YF160" s="1009"/>
      <c r="YG160" s="1009"/>
      <c r="YH160" s="1009"/>
      <c r="YI160" s="1009"/>
      <c r="YJ160" s="1009"/>
      <c r="YK160" s="1009"/>
      <c r="YL160" s="1009"/>
      <c r="YM160" s="1009"/>
      <c r="YN160" s="1009"/>
      <c r="YO160" s="1009"/>
      <c r="YP160" s="1009"/>
      <c r="YQ160" s="1009"/>
      <c r="YR160" s="1009"/>
      <c r="YS160" s="1009"/>
      <c r="YT160" s="1009"/>
      <c r="YU160" s="1009"/>
      <c r="YV160" s="1009"/>
      <c r="YW160" s="1009"/>
      <c r="YX160" s="1009"/>
      <c r="YY160" s="1009"/>
      <c r="YZ160" s="1009"/>
      <c r="ZA160" s="1009"/>
      <c r="ZB160" s="1009"/>
      <c r="ZC160" s="1009"/>
      <c r="ZD160" s="1009"/>
      <c r="ZE160" s="1009"/>
      <c r="ZF160" s="1009"/>
      <c r="ZG160" s="1009"/>
      <c r="ZH160" s="1009"/>
      <c r="ZI160" s="1009"/>
      <c r="ZJ160" s="1009"/>
      <c r="ZK160" s="1009"/>
      <c r="ZL160" s="1009"/>
      <c r="ZM160" s="1009"/>
      <c r="ZN160" s="1009"/>
      <c r="ZO160" s="1009"/>
      <c r="ZP160" s="1009"/>
      <c r="ZQ160" s="1009"/>
      <c r="ZR160" s="1009"/>
      <c r="ZS160" s="1009"/>
      <c r="ZT160" s="1009"/>
      <c r="ZU160" s="1009"/>
      <c r="ZV160" s="1009"/>
      <c r="ZW160" s="1009"/>
      <c r="ZX160" s="1009"/>
      <c r="ZY160" s="1009"/>
      <c r="ZZ160" s="1009"/>
      <c r="AAA160" s="1009"/>
      <c r="AAB160" s="1009"/>
      <c r="AAC160" s="1009"/>
      <c r="AAD160" s="1009"/>
      <c r="AAE160" s="1009"/>
      <c r="AAF160" s="1009"/>
      <c r="AAG160" s="1009"/>
      <c r="AAH160" s="1009"/>
      <c r="AAI160" s="1009"/>
      <c r="AAJ160" s="1009"/>
      <c r="AAK160" s="1009"/>
      <c r="AAL160" s="1009"/>
      <c r="AAM160" s="1009"/>
      <c r="AAN160" s="1009"/>
      <c r="AAO160" s="1009"/>
      <c r="AAP160" s="1009"/>
      <c r="AAQ160" s="1009"/>
      <c r="AAR160" s="1009"/>
      <c r="AAS160" s="1009"/>
      <c r="AAT160" s="1009"/>
      <c r="AAU160" s="1009"/>
      <c r="AAV160" s="1009"/>
      <c r="AAW160" s="1009"/>
      <c r="AAX160" s="1009"/>
      <c r="AAY160" s="1009"/>
      <c r="AAZ160" s="1009"/>
      <c r="ABA160" s="1009"/>
      <c r="ABB160" s="1009"/>
      <c r="ABC160" s="1009"/>
      <c r="ABD160" s="1009"/>
      <c r="ABE160" s="1009"/>
      <c r="ABF160" s="1009"/>
      <c r="ABG160" s="1009"/>
      <c r="ABH160" s="1009"/>
      <c r="ABI160" s="1009"/>
      <c r="ABJ160" s="1009"/>
      <c r="ABK160" s="1009"/>
      <c r="ABL160" s="1009"/>
      <c r="ABM160" s="1009"/>
      <c r="ABN160" s="1009"/>
      <c r="ABO160" s="1009"/>
      <c r="ABP160" s="1009"/>
      <c r="ABQ160" s="1009"/>
      <c r="ABR160" s="1009"/>
    </row>
    <row r="161" spans="1:746" s="111" customFormat="1" ht="12" customHeight="1">
      <c r="A161" s="924"/>
      <c r="B161" s="1793"/>
      <c r="C161" s="1308"/>
      <c r="D161" s="1308"/>
      <c r="E161" s="1308"/>
      <c r="F161" s="1308"/>
      <c r="G161" s="1309"/>
      <c r="H161" s="1844" t="str">
        <f>IF(OR(H165=1,H172=1,H186=1),"Budgetera från och med startmånad !","")</f>
        <v/>
      </c>
      <c r="I161" s="2570" t="str">
        <f>IF(fx!I$57=0,"&gt;&gt;",IF($L$4=I$6,"","Välj 1-12 i P4"))</f>
        <v/>
      </c>
      <c r="J161" s="1843" t="str">
        <f>IF(fx!J$57=0,"&gt;&gt;",IF($L$4=J$6,"Startmånad",""))</f>
        <v/>
      </c>
      <c r="K161" s="1843" t="str">
        <f>IF(fx!K$57=0,"&gt;&gt;",IF($L$4=K$6,"Startmånad",""))</f>
        <v/>
      </c>
      <c r="L161" s="1843" t="str">
        <f>IF(fx!L$57=0,"&gt;&gt;",IF($L$4=L$6,"Startmånad",""))</f>
        <v/>
      </c>
      <c r="M161" s="1843" t="str">
        <f>IF(fx!M$57=0,"&gt;&gt;",IF($L$4=M$6,"Startmånad",""))</f>
        <v/>
      </c>
      <c r="N161" s="1843" t="str">
        <f>IF(fx!N$57=0,"&gt;&gt;",IF($L$4=N$6,"Startmånad",""))</f>
        <v/>
      </c>
      <c r="O161" s="1843" t="str">
        <f>IF(AND(fx!$C$57=1,fx!O$57=0),"&gt;&gt;",IF(AND(fx!$C$57=1,$L$4=$O$6),"Startmånad",IF(AND(fx!$C$57=2,$L$4&lt;7),"Välj 7-12 i P4",IF(AND(fx!$C$57=2,$L$4=$O$6),"Startmånad",IF(AND(fx!$C$57=2,$L$4&gt;$O$6),"&gt;&gt;","")))))</f>
        <v/>
      </c>
      <c r="P161" s="1843" t="str">
        <f>IF(fx!P$57=0,"&gt;&gt;",IF($L$4=P$6,"Startmånad",""))</f>
        <v/>
      </c>
      <c r="Q161" s="1843" t="str">
        <f>IF(fx!Q$57=0,"&gt;&gt;",IF($L$4=Q$6,"Startmånad",""))</f>
        <v/>
      </c>
      <c r="R161" s="1843" t="str">
        <f>IF(fx!R$57=0,"&gt;&gt;",IF($L$4=R$6,"Startmånad",""))</f>
        <v/>
      </c>
      <c r="S161" s="1843" t="str">
        <f>IF(fx!S$57=0,"&gt;&gt;",IF($L$4=S$6,"Startmånad",""))</f>
        <v/>
      </c>
      <c r="T161" s="2717" t="str">
        <f>IF(fx!T$57=0,"&gt;&gt;",IF($L$4=T$6,"Startmånad",""))</f>
        <v/>
      </c>
      <c r="U161" s="2718"/>
      <c r="V161" s="376"/>
      <c r="W161" s="376"/>
      <c r="X161" s="376"/>
      <c r="Y161" s="376"/>
      <c r="Z161" s="376"/>
      <c r="AA161" s="376"/>
      <c r="AB161" s="376"/>
      <c r="AC161" s="376"/>
      <c r="AD161" s="376"/>
      <c r="AE161" s="376"/>
      <c r="AF161" s="1784"/>
      <c r="AG161" s="376"/>
      <c r="AH161" s="769"/>
      <c r="AI161" s="769"/>
      <c r="AJ161" s="1289"/>
      <c r="AK161" s="434"/>
      <c r="AL161" s="773"/>
      <c r="AM161" s="1009"/>
      <c r="AN161" s="1015"/>
      <c r="AO161" s="1945"/>
      <c r="AP161" s="1935"/>
      <c r="AQ161" s="1936"/>
      <c r="AR161" s="1941"/>
      <c r="AS161" s="1941"/>
      <c r="AT161" s="1941"/>
      <c r="AU161" s="1941"/>
      <c r="AV161" s="1941"/>
      <c r="AW161" s="1941"/>
      <c r="AX161" s="1941"/>
      <c r="AY161" s="1941"/>
      <c r="AZ161" s="1941"/>
      <c r="BA161" s="1941"/>
      <c r="BB161" s="1941"/>
      <c r="BC161" s="1941"/>
      <c r="BD161" s="1941"/>
      <c r="BE161" s="1941"/>
      <c r="BF161" s="1941"/>
      <c r="BG161" s="1941"/>
      <c r="BH161" s="1941"/>
      <c r="BI161" s="1941"/>
      <c r="BJ161" s="1941"/>
      <c r="BK161" s="1941"/>
      <c r="BL161" s="1941"/>
      <c r="BM161" s="1941"/>
      <c r="BN161" s="1941"/>
      <c r="BO161" s="1941"/>
      <c r="BP161" s="1009"/>
      <c r="BQ161" s="1009"/>
      <c r="BR161" s="1009"/>
      <c r="BS161" s="1009"/>
      <c r="BT161" s="1009"/>
      <c r="BU161" s="1009"/>
      <c r="BV161" s="1009"/>
      <c r="BW161" s="1009"/>
      <c r="BX161" s="1009"/>
      <c r="BY161" s="1009"/>
      <c r="BZ161" s="1009"/>
      <c r="CA161" s="1009"/>
      <c r="CB161" s="1009"/>
      <c r="CC161" s="1009"/>
      <c r="CD161" s="1009"/>
      <c r="CE161" s="1009"/>
      <c r="CF161" s="1009"/>
      <c r="CG161" s="1009"/>
      <c r="CH161" s="1009"/>
      <c r="CI161" s="1009"/>
      <c r="CJ161" s="1009"/>
      <c r="CK161" s="1009"/>
      <c r="CL161" s="1009"/>
      <c r="CM161" s="1009"/>
      <c r="CN161" s="1009"/>
      <c r="CO161" s="1009"/>
      <c r="CP161" s="1009"/>
      <c r="CQ161" s="1009"/>
      <c r="CR161" s="1009"/>
      <c r="CS161" s="1009"/>
      <c r="CT161" s="1009"/>
      <c r="CU161" s="1009"/>
      <c r="CV161" s="1009"/>
      <c r="CW161" s="1009"/>
      <c r="CX161" s="1009"/>
      <c r="CY161" s="1009"/>
      <c r="CZ161" s="1009"/>
      <c r="DA161" s="1009"/>
      <c r="DB161" s="1009"/>
      <c r="DC161" s="1009"/>
      <c r="DD161" s="1009"/>
      <c r="DE161" s="1009"/>
      <c r="DF161" s="1009"/>
      <c r="DG161" s="1009"/>
      <c r="DH161" s="1009"/>
      <c r="DI161" s="1009"/>
      <c r="DJ161" s="1009"/>
      <c r="DK161" s="1009"/>
      <c r="DL161" s="1009"/>
      <c r="DM161" s="1009"/>
      <c r="DN161" s="1009"/>
      <c r="DO161" s="1009"/>
      <c r="DP161" s="1009"/>
      <c r="DQ161" s="1009"/>
      <c r="DR161" s="1009"/>
      <c r="DS161" s="1009"/>
      <c r="DT161" s="1009"/>
      <c r="DU161" s="1009"/>
      <c r="DV161" s="1009"/>
      <c r="DW161" s="1009"/>
      <c r="DX161" s="1009"/>
      <c r="DY161" s="1009"/>
      <c r="DZ161" s="1009"/>
      <c r="EA161" s="1009"/>
      <c r="EB161" s="1009"/>
      <c r="EC161" s="1009"/>
      <c r="ED161" s="1009"/>
      <c r="EE161" s="1009"/>
      <c r="EF161" s="1009"/>
      <c r="EG161" s="1009"/>
      <c r="EH161" s="1009"/>
      <c r="EI161" s="1009"/>
      <c r="EJ161" s="1009"/>
      <c r="EK161" s="1009"/>
      <c r="EL161" s="1009"/>
      <c r="EM161" s="1009"/>
      <c r="EN161" s="1009"/>
      <c r="EO161" s="1009"/>
      <c r="EP161" s="1009"/>
      <c r="EQ161" s="1009"/>
      <c r="ER161" s="1009"/>
      <c r="ES161" s="1009"/>
      <c r="ET161" s="1009"/>
      <c r="EU161" s="1009"/>
      <c r="EV161" s="1009"/>
      <c r="EW161" s="1009"/>
      <c r="EX161" s="1009"/>
      <c r="EY161" s="1009"/>
      <c r="EZ161" s="1009"/>
      <c r="FA161" s="1009"/>
      <c r="FB161" s="1009"/>
      <c r="FC161" s="1009"/>
      <c r="FD161" s="1009"/>
      <c r="FE161" s="1009"/>
      <c r="FF161" s="1009"/>
      <c r="FG161" s="1009"/>
      <c r="FH161" s="1009"/>
      <c r="FI161" s="1009"/>
      <c r="FJ161" s="1009"/>
      <c r="FK161" s="1009"/>
      <c r="FL161" s="1009"/>
      <c r="FM161" s="1009"/>
      <c r="FN161" s="1009"/>
      <c r="FO161" s="1009"/>
      <c r="FP161" s="1009"/>
      <c r="FQ161" s="1009"/>
      <c r="FR161" s="1009"/>
      <c r="FS161" s="1009"/>
      <c r="FT161" s="1009"/>
      <c r="FU161" s="1009"/>
      <c r="FV161" s="1009"/>
      <c r="FW161" s="1009"/>
      <c r="FX161" s="1009"/>
      <c r="FY161" s="1009"/>
      <c r="FZ161" s="1009"/>
      <c r="GA161" s="1009"/>
      <c r="GB161" s="1009"/>
      <c r="GC161" s="1009"/>
      <c r="GD161" s="1009"/>
      <c r="GE161" s="1009"/>
      <c r="GF161" s="1009"/>
      <c r="GG161" s="1009"/>
      <c r="GH161" s="1009"/>
      <c r="GI161" s="1009"/>
      <c r="GJ161" s="1009"/>
      <c r="GK161" s="1009"/>
      <c r="GL161" s="1009"/>
      <c r="GM161" s="1009"/>
      <c r="GN161" s="1009"/>
      <c r="GO161" s="1009"/>
      <c r="GP161" s="1009"/>
      <c r="GQ161" s="1009"/>
      <c r="GR161" s="1009"/>
      <c r="GS161" s="1009"/>
      <c r="GT161" s="1009"/>
      <c r="GU161" s="1009"/>
      <c r="GV161" s="1009"/>
      <c r="GW161" s="1009"/>
      <c r="GX161" s="1009"/>
      <c r="GY161" s="1009"/>
      <c r="GZ161" s="1009"/>
      <c r="HA161" s="1009"/>
      <c r="HB161" s="1009"/>
      <c r="HC161" s="1009"/>
      <c r="HD161" s="1009"/>
      <c r="HE161" s="1009"/>
      <c r="HF161" s="1009"/>
      <c r="HG161" s="1009"/>
      <c r="HH161" s="1009"/>
      <c r="HI161" s="1009"/>
      <c r="HJ161" s="1009"/>
      <c r="HK161" s="1009"/>
      <c r="HL161" s="1009"/>
      <c r="HM161" s="1009"/>
      <c r="HN161" s="1009"/>
      <c r="HO161" s="1009"/>
      <c r="HP161" s="1009"/>
      <c r="HQ161" s="1009"/>
      <c r="HR161" s="1009"/>
      <c r="HS161" s="1009"/>
      <c r="HT161" s="1009"/>
      <c r="HU161" s="1009"/>
      <c r="HV161" s="1009"/>
      <c r="HW161" s="1009"/>
      <c r="HX161" s="1009"/>
      <c r="HY161" s="1009"/>
      <c r="HZ161" s="1009"/>
      <c r="IA161" s="1009"/>
      <c r="IB161" s="1009"/>
      <c r="IC161" s="1009"/>
      <c r="ID161" s="1009"/>
      <c r="IE161" s="1009"/>
      <c r="IF161" s="1009"/>
      <c r="IG161" s="1009"/>
      <c r="IH161" s="1009"/>
      <c r="II161" s="1009"/>
      <c r="IJ161" s="1009"/>
      <c r="IK161" s="1009"/>
      <c r="IL161" s="1009"/>
      <c r="IM161" s="1009"/>
      <c r="IN161" s="1009"/>
      <c r="IO161" s="1009"/>
      <c r="IP161" s="1009"/>
      <c r="IQ161" s="1009"/>
      <c r="IR161" s="1009"/>
      <c r="IS161" s="1009"/>
      <c r="IT161" s="1009"/>
      <c r="IU161" s="1009"/>
      <c r="IV161" s="1009"/>
      <c r="IW161" s="1009"/>
      <c r="IX161" s="1009"/>
      <c r="IY161" s="1009"/>
      <c r="IZ161" s="1009"/>
      <c r="JA161" s="1009"/>
      <c r="JB161" s="1009"/>
      <c r="JC161" s="1009"/>
      <c r="JD161" s="1009"/>
      <c r="JE161" s="1009"/>
      <c r="JF161" s="1009"/>
      <c r="JG161" s="1009"/>
      <c r="JH161" s="1009"/>
      <c r="JI161" s="1009"/>
      <c r="JJ161" s="1009"/>
      <c r="JK161" s="1009"/>
      <c r="JL161" s="1009"/>
      <c r="JM161" s="1009"/>
      <c r="JN161" s="1009"/>
      <c r="JO161" s="1009"/>
      <c r="JP161" s="1009"/>
      <c r="JQ161" s="1009"/>
      <c r="JR161" s="1009"/>
      <c r="JS161" s="1009"/>
      <c r="JT161" s="1009"/>
      <c r="JU161" s="1009"/>
      <c r="JV161" s="1009"/>
      <c r="JW161" s="1009"/>
      <c r="JX161" s="1009"/>
      <c r="JY161" s="1009"/>
      <c r="JZ161" s="1009"/>
      <c r="KA161" s="1009"/>
      <c r="KB161" s="1009"/>
      <c r="KC161" s="1009"/>
      <c r="KD161" s="1009"/>
      <c r="KE161" s="1009"/>
      <c r="KF161" s="1009"/>
      <c r="KG161" s="1009"/>
      <c r="KH161" s="1009"/>
      <c r="KI161" s="1009"/>
      <c r="KJ161" s="1009"/>
      <c r="KK161" s="1009"/>
      <c r="KL161" s="1009"/>
      <c r="KM161" s="1009"/>
      <c r="KN161" s="1009"/>
      <c r="KO161" s="1009"/>
      <c r="KP161" s="1009"/>
      <c r="KQ161" s="1009"/>
      <c r="KR161" s="1009"/>
      <c r="KS161" s="1009"/>
      <c r="KT161" s="1009"/>
      <c r="KU161" s="1009"/>
      <c r="KV161" s="1009"/>
      <c r="KW161" s="1009"/>
      <c r="KX161" s="1009"/>
      <c r="KY161" s="1009"/>
      <c r="KZ161" s="1009"/>
      <c r="LA161" s="1009"/>
      <c r="LB161" s="1009"/>
      <c r="LC161" s="1009"/>
      <c r="LD161" s="1009"/>
      <c r="LE161" s="1009"/>
      <c r="LF161" s="1009"/>
      <c r="LG161" s="1009"/>
      <c r="LH161" s="1009"/>
      <c r="LI161" s="1009"/>
      <c r="LJ161" s="1009"/>
      <c r="LK161" s="1009"/>
      <c r="LL161" s="1009"/>
      <c r="LM161" s="1009"/>
      <c r="LN161" s="1009"/>
      <c r="LO161" s="1009"/>
      <c r="LP161" s="1009"/>
      <c r="LQ161" s="1009"/>
      <c r="LR161" s="1009"/>
      <c r="LS161" s="1009"/>
      <c r="LT161" s="1009"/>
      <c r="LU161" s="1009"/>
      <c r="LV161" s="1009"/>
      <c r="LW161" s="1009"/>
      <c r="LX161" s="1009"/>
      <c r="LY161" s="1009"/>
      <c r="LZ161" s="1009"/>
      <c r="MA161" s="1009"/>
      <c r="MB161" s="1009"/>
      <c r="MC161" s="1009"/>
      <c r="MD161" s="1009"/>
      <c r="ME161" s="1009"/>
      <c r="MF161" s="1009"/>
      <c r="MG161" s="1009"/>
      <c r="MH161" s="1009"/>
      <c r="MI161" s="1009"/>
      <c r="MJ161" s="1009"/>
      <c r="MK161" s="1009"/>
      <c r="ML161" s="1009"/>
      <c r="MM161" s="1009"/>
      <c r="MN161" s="1009"/>
      <c r="MO161" s="1009"/>
      <c r="MP161" s="1009"/>
      <c r="MQ161" s="1009"/>
      <c r="MR161" s="1009"/>
      <c r="MS161" s="1009"/>
      <c r="MT161" s="1009"/>
      <c r="MU161" s="1009"/>
      <c r="MV161" s="1009"/>
      <c r="MW161" s="1009"/>
      <c r="MX161" s="1009"/>
      <c r="MY161" s="1009"/>
      <c r="MZ161" s="1009"/>
      <c r="NA161" s="1009"/>
      <c r="NB161" s="1009"/>
      <c r="NC161" s="1009"/>
      <c r="ND161" s="1009"/>
      <c r="NE161" s="1009"/>
      <c r="NF161" s="1009"/>
      <c r="NG161" s="1009"/>
      <c r="NH161" s="1009"/>
      <c r="NI161" s="1009"/>
      <c r="NJ161" s="1009"/>
      <c r="NK161" s="1009"/>
      <c r="NL161" s="1009"/>
      <c r="NM161" s="1009"/>
      <c r="NN161" s="1009"/>
      <c r="NO161" s="1009"/>
      <c r="NP161" s="1009"/>
      <c r="NQ161" s="1009"/>
      <c r="NR161" s="1009"/>
      <c r="NS161" s="1009"/>
      <c r="NT161" s="1009"/>
      <c r="NU161" s="1009"/>
      <c r="NV161" s="1009"/>
      <c r="NW161" s="1009"/>
      <c r="NX161" s="1009"/>
      <c r="NY161" s="1009"/>
      <c r="NZ161" s="1009"/>
      <c r="OA161" s="1009"/>
      <c r="OB161" s="1009"/>
      <c r="OC161" s="1009"/>
      <c r="OD161" s="1009"/>
      <c r="OE161" s="1009"/>
      <c r="OF161" s="1009"/>
      <c r="OG161" s="1009"/>
      <c r="OH161" s="1009"/>
      <c r="OI161" s="1009"/>
      <c r="OJ161" s="1009"/>
      <c r="OK161" s="1009"/>
      <c r="OL161" s="1009"/>
      <c r="OM161" s="1009"/>
      <c r="ON161" s="1009"/>
      <c r="OO161" s="1009"/>
      <c r="OP161" s="1009"/>
      <c r="OQ161" s="1009"/>
      <c r="OR161" s="1009"/>
      <c r="OS161" s="1009"/>
      <c r="OT161" s="1009"/>
      <c r="OU161" s="1009"/>
      <c r="OV161" s="1009"/>
      <c r="OW161" s="1009"/>
      <c r="OX161" s="1009"/>
      <c r="OY161" s="1009"/>
      <c r="OZ161" s="1009"/>
      <c r="PA161" s="1009"/>
      <c r="PB161" s="1009"/>
      <c r="PC161" s="1009"/>
      <c r="PD161" s="1009"/>
      <c r="PE161" s="1009"/>
      <c r="PF161" s="1009"/>
      <c r="PG161" s="1009"/>
      <c r="PH161" s="1009"/>
      <c r="PI161" s="1009"/>
      <c r="PJ161" s="1009"/>
      <c r="PK161" s="1009"/>
      <c r="PL161" s="1009"/>
      <c r="PM161" s="1009"/>
      <c r="PN161" s="1009"/>
      <c r="PO161" s="1009"/>
      <c r="PP161" s="1009"/>
      <c r="PQ161" s="1009"/>
      <c r="PR161" s="1009"/>
      <c r="PS161" s="1009"/>
      <c r="PT161" s="1009"/>
      <c r="PU161" s="1009"/>
      <c r="PV161" s="1009"/>
      <c r="PW161" s="1009"/>
      <c r="PX161" s="1009"/>
      <c r="PY161" s="1009"/>
      <c r="PZ161" s="1009"/>
      <c r="QA161" s="1009"/>
      <c r="QB161" s="1009"/>
      <c r="QC161" s="1009"/>
      <c r="QD161" s="1009"/>
      <c r="QE161" s="1009"/>
      <c r="QF161" s="1009"/>
      <c r="QG161" s="1009"/>
      <c r="QH161" s="1009"/>
      <c r="QI161" s="1009"/>
      <c r="QJ161" s="1009"/>
      <c r="QK161" s="1009"/>
      <c r="QL161" s="1009"/>
      <c r="QM161" s="1009"/>
      <c r="QN161" s="1009"/>
      <c r="QO161" s="1009"/>
      <c r="QP161" s="1009"/>
      <c r="QQ161" s="1009"/>
      <c r="QR161" s="1009"/>
      <c r="QS161" s="1009"/>
      <c r="QT161" s="1009"/>
      <c r="QU161" s="1009"/>
      <c r="QV161" s="1009"/>
      <c r="QW161" s="1009"/>
      <c r="QX161" s="1009"/>
      <c r="QY161" s="1009"/>
      <c r="QZ161" s="1009"/>
      <c r="RA161" s="1009"/>
      <c r="RB161" s="1009"/>
      <c r="RC161" s="1009"/>
      <c r="RD161" s="1009"/>
      <c r="RE161" s="1009"/>
      <c r="RF161" s="1009"/>
      <c r="RG161" s="1009"/>
      <c r="RH161" s="1009"/>
      <c r="RI161" s="1009"/>
      <c r="RJ161" s="1009"/>
      <c r="RK161" s="1009"/>
      <c r="RL161" s="1009"/>
      <c r="RM161" s="1009"/>
      <c r="RN161" s="1009"/>
      <c r="RO161" s="1009"/>
      <c r="RP161" s="1009"/>
      <c r="RQ161" s="1009"/>
      <c r="RR161" s="1009"/>
      <c r="RS161" s="1009"/>
      <c r="RT161" s="1009"/>
      <c r="RU161" s="1009"/>
      <c r="RV161" s="1009"/>
      <c r="RW161" s="1009"/>
      <c r="RX161" s="1009"/>
      <c r="RY161" s="1009"/>
      <c r="RZ161" s="1009"/>
      <c r="SA161" s="1009"/>
      <c r="SB161" s="1009"/>
      <c r="SC161" s="1009"/>
      <c r="SD161" s="1009"/>
      <c r="SE161" s="1009"/>
      <c r="SF161" s="1009"/>
      <c r="SG161" s="1009"/>
      <c r="SH161" s="1009"/>
      <c r="SI161" s="1009"/>
      <c r="SJ161" s="1009"/>
      <c r="SK161" s="1009"/>
      <c r="SL161" s="1009"/>
      <c r="SM161" s="1009"/>
      <c r="SN161" s="1009"/>
      <c r="SO161" s="1009"/>
      <c r="SP161" s="1009"/>
      <c r="SQ161" s="1009"/>
      <c r="SR161" s="1009"/>
      <c r="SS161" s="1009"/>
      <c r="ST161" s="1009"/>
      <c r="SU161" s="1009"/>
      <c r="SV161" s="1009"/>
      <c r="SW161" s="1009"/>
      <c r="SX161" s="1009"/>
      <c r="SY161" s="1009"/>
      <c r="SZ161" s="1009"/>
      <c r="TA161" s="1009"/>
      <c r="TB161" s="1009"/>
      <c r="TC161" s="1009"/>
      <c r="TD161" s="1009"/>
      <c r="TE161" s="1009"/>
      <c r="TF161" s="1009"/>
      <c r="TG161" s="1009"/>
      <c r="TH161" s="1009"/>
      <c r="TI161" s="1009"/>
      <c r="TJ161" s="1009"/>
      <c r="TK161" s="1009"/>
      <c r="TL161" s="1009"/>
      <c r="TM161" s="1009"/>
      <c r="TN161" s="1009"/>
      <c r="TO161" s="1009"/>
      <c r="TP161" s="1009"/>
      <c r="TQ161" s="1009"/>
      <c r="TR161" s="1009"/>
      <c r="TS161" s="1009"/>
      <c r="TT161" s="1009"/>
      <c r="TU161" s="1009"/>
      <c r="TV161" s="1009"/>
      <c r="TW161" s="1009"/>
      <c r="TX161" s="1009"/>
      <c r="TY161" s="1009"/>
      <c r="TZ161" s="1009"/>
      <c r="UA161" s="1009"/>
      <c r="UB161" s="1009"/>
      <c r="UC161" s="1009"/>
      <c r="UD161" s="1009"/>
      <c r="UE161" s="1009"/>
      <c r="UF161" s="1009"/>
      <c r="UG161" s="1009"/>
      <c r="UH161" s="1009"/>
      <c r="UI161" s="1009"/>
      <c r="UJ161" s="1009"/>
      <c r="UK161" s="1009"/>
      <c r="UL161" s="1009"/>
      <c r="UM161" s="1009"/>
      <c r="UN161" s="1009"/>
      <c r="UO161" s="1009"/>
      <c r="UP161" s="1009"/>
      <c r="UQ161" s="1009"/>
      <c r="UR161" s="1009"/>
      <c r="US161" s="1009"/>
      <c r="UT161" s="1009"/>
      <c r="UU161" s="1009"/>
      <c r="UV161" s="1009"/>
      <c r="UW161" s="1009"/>
      <c r="UX161" s="1009"/>
      <c r="UY161" s="1009"/>
      <c r="UZ161" s="1009"/>
      <c r="VA161" s="1009"/>
      <c r="VB161" s="1009"/>
      <c r="VC161" s="1009"/>
      <c r="VD161" s="1009"/>
      <c r="VE161" s="1009"/>
      <c r="VF161" s="1009"/>
      <c r="VG161" s="1009"/>
      <c r="VH161" s="1009"/>
      <c r="VI161" s="1009"/>
      <c r="VJ161" s="1009"/>
      <c r="VK161" s="1009"/>
      <c r="VL161" s="1009"/>
      <c r="VM161" s="1009"/>
      <c r="VN161" s="1009"/>
      <c r="VO161" s="1009"/>
      <c r="VP161" s="1009"/>
      <c r="VQ161" s="1009"/>
      <c r="VR161" s="1009"/>
      <c r="VS161" s="1009"/>
      <c r="VT161" s="1009"/>
      <c r="VU161" s="1009"/>
      <c r="VV161" s="1009"/>
      <c r="VW161" s="1009"/>
      <c r="VX161" s="1009"/>
      <c r="VY161" s="1009"/>
      <c r="VZ161" s="1009"/>
      <c r="WA161" s="1009"/>
      <c r="WB161" s="1009"/>
      <c r="WC161" s="1009"/>
      <c r="WD161" s="1009"/>
      <c r="WE161" s="1009"/>
      <c r="WF161" s="1009"/>
      <c r="WG161" s="1009"/>
      <c r="WH161" s="1009"/>
      <c r="WI161" s="1009"/>
      <c r="WJ161" s="1009"/>
      <c r="WK161" s="1009"/>
      <c r="WL161" s="1009"/>
      <c r="WM161" s="1009"/>
      <c r="WN161" s="1009"/>
      <c r="WO161" s="1009"/>
      <c r="WP161" s="1009"/>
      <c r="WQ161" s="1009"/>
      <c r="WR161" s="1009"/>
      <c r="WS161" s="1009"/>
      <c r="WT161" s="1009"/>
      <c r="WU161" s="1009"/>
      <c r="WV161" s="1009"/>
      <c r="WW161" s="1009"/>
      <c r="WX161" s="1009"/>
      <c r="WY161" s="1009"/>
      <c r="WZ161" s="1009"/>
      <c r="XA161" s="1009"/>
      <c r="XB161" s="1009"/>
      <c r="XC161" s="1009"/>
      <c r="XD161" s="1009"/>
      <c r="XE161" s="1009"/>
      <c r="XF161" s="1009"/>
      <c r="XG161" s="1009"/>
      <c r="XH161" s="1009"/>
      <c r="XI161" s="1009"/>
      <c r="XJ161" s="1009"/>
      <c r="XK161" s="1009"/>
      <c r="XL161" s="1009"/>
      <c r="XM161" s="1009"/>
      <c r="XN161" s="1009"/>
      <c r="XO161" s="1009"/>
      <c r="XP161" s="1009"/>
      <c r="XQ161" s="1009"/>
      <c r="XR161" s="1009"/>
      <c r="XS161" s="1009"/>
      <c r="XT161" s="1009"/>
      <c r="XU161" s="1009"/>
      <c r="XV161" s="1009"/>
      <c r="XW161" s="1009"/>
      <c r="XX161" s="1009"/>
      <c r="XY161" s="1009"/>
      <c r="XZ161" s="1009"/>
      <c r="YA161" s="1009"/>
      <c r="YB161" s="1009"/>
      <c r="YC161" s="1009"/>
      <c r="YD161" s="1009"/>
      <c r="YE161" s="1009"/>
      <c r="YF161" s="1009"/>
      <c r="YG161" s="1009"/>
      <c r="YH161" s="1009"/>
      <c r="YI161" s="1009"/>
      <c r="YJ161" s="1009"/>
      <c r="YK161" s="1009"/>
      <c r="YL161" s="1009"/>
      <c r="YM161" s="1009"/>
      <c r="YN161" s="1009"/>
      <c r="YO161" s="1009"/>
      <c r="YP161" s="1009"/>
      <c r="YQ161" s="1009"/>
      <c r="YR161" s="1009"/>
      <c r="YS161" s="1009"/>
      <c r="YT161" s="1009"/>
      <c r="YU161" s="1009"/>
      <c r="YV161" s="1009"/>
      <c r="YW161" s="1009"/>
      <c r="YX161" s="1009"/>
      <c r="YY161" s="1009"/>
      <c r="YZ161" s="1009"/>
      <c r="ZA161" s="1009"/>
      <c r="ZB161" s="1009"/>
      <c r="ZC161" s="1009"/>
      <c r="ZD161" s="1009"/>
      <c r="ZE161" s="1009"/>
      <c r="ZF161" s="1009"/>
      <c r="ZG161" s="1009"/>
      <c r="ZH161" s="1009"/>
      <c r="ZI161" s="1009"/>
      <c r="ZJ161" s="1009"/>
      <c r="ZK161" s="1009"/>
      <c r="ZL161" s="1009"/>
      <c r="ZM161" s="1009"/>
      <c r="ZN161" s="1009"/>
      <c r="ZO161" s="1009"/>
      <c r="ZP161" s="1009"/>
      <c r="ZQ161" s="1009"/>
      <c r="ZR161" s="1009"/>
      <c r="ZS161" s="1009"/>
      <c r="ZT161" s="1009"/>
      <c r="ZU161" s="1009"/>
      <c r="ZV161" s="1009"/>
      <c r="ZW161" s="1009"/>
      <c r="ZX161" s="1009"/>
      <c r="ZY161" s="1009"/>
      <c r="ZZ161" s="1009"/>
      <c r="AAA161" s="1009"/>
      <c r="AAB161" s="1009"/>
      <c r="AAC161" s="1009"/>
      <c r="AAD161" s="1009"/>
      <c r="AAE161" s="1009"/>
      <c r="AAF161" s="1009"/>
      <c r="AAG161" s="1009"/>
      <c r="AAH161" s="1009"/>
      <c r="AAI161" s="1009"/>
      <c r="AAJ161" s="1009"/>
      <c r="AAK161" s="1009"/>
      <c r="AAL161" s="1009"/>
      <c r="AAM161" s="1009"/>
      <c r="AAN161" s="1009"/>
      <c r="AAO161" s="1009"/>
      <c r="AAP161" s="1009"/>
      <c r="AAQ161" s="1009"/>
      <c r="AAR161" s="1009"/>
      <c r="AAS161" s="1009"/>
      <c r="AAT161" s="1009"/>
      <c r="AAU161" s="1009"/>
      <c r="AAV161" s="1009"/>
      <c r="AAW161" s="1009"/>
      <c r="AAX161" s="1009"/>
      <c r="AAY161" s="1009"/>
      <c r="AAZ161" s="1009"/>
      <c r="ABA161" s="1009"/>
      <c r="ABB161" s="1009"/>
      <c r="ABC161" s="1009"/>
      <c r="ABD161" s="1009"/>
      <c r="ABE161" s="1009"/>
      <c r="ABF161" s="1009"/>
      <c r="ABG161" s="1009"/>
      <c r="ABH161" s="1009"/>
      <c r="ABI161" s="1009"/>
      <c r="ABJ161" s="1009"/>
      <c r="ABK161" s="1009"/>
      <c r="ABL161" s="1009"/>
      <c r="ABM161" s="1009"/>
      <c r="ABN161" s="1009"/>
      <c r="ABO161" s="1009"/>
      <c r="ABP161" s="1009"/>
      <c r="ABQ161" s="1009"/>
      <c r="ABR161" s="1009"/>
    </row>
    <row r="162" spans="1:746" s="1" customFormat="1" ht="12" customHeight="1">
      <c r="A162" s="924"/>
      <c r="B162" s="600" t="s">
        <v>230</v>
      </c>
      <c r="C162" s="870"/>
      <c r="D162" s="870"/>
      <c r="E162" s="870"/>
      <c r="F162" s="870"/>
      <c r="G162" s="871"/>
      <c r="H162" s="2163"/>
      <c r="I162" s="2365" t="s">
        <v>1110</v>
      </c>
      <c r="J162" s="867"/>
      <c r="K162" s="867"/>
      <c r="L162" s="867"/>
      <c r="M162" s="867"/>
      <c r="N162" s="867"/>
      <c r="O162" s="867"/>
      <c r="P162" s="867"/>
      <c r="Q162" s="867"/>
      <c r="R162" s="867"/>
      <c r="S162" s="867"/>
      <c r="T162" s="985"/>
      <c r="U162" s="994"/>
      <c r="V162" s="867"/>
      <c r="W162" s="867"/>
      <c r="X162" s="867"/>
      <c r="Y162" s="867"/>
      <c r="Z162" s="867"/>
      <c r="AA162" s="867"/>
      <c r="AB162" s="867"/>
      <c r="AC162" s="867"/>
      <c r="AD162" s="867"/>
      <c r="AE162" s="867"/>
      <c r="AF162" s="868"/>
      <c r="AG162" s="337"/>
      <c r="AH162" s="336"/>
      <c r="AI162" s="336"/>
      <c r="AJ162" s="1048"/>
      <c r="AK162" s="1046"/>
      <c r="AL162" s="1044"/>
      <c r="AM162" s="1004"/>
      <c r="AN162" s="1015"/>
      <c r="AO162" s="1945"/>
      <c r="AP162" s="1935"/>
      <c r="AQ162" s="1936"/>
      <c r="AR162" s="1941"/>
      <c r="AS162" s="1941"/>
      <c r="AT162" s="1941"/>
      <c r="AU162" s="1941"/>
      <c r="AV162" s="1941"/>
      <c r="AW162" s="1941"/>
      <c r="AX162" s="1941"/>
      <c r="AY162" s="1941"/>
      <c r="AZ162" s="1941"/>
      <c r="BA162" s="1941"/>
      <c r="BB162" s="1941"/>
      <c r="BC162" s="1941"/>
      <c r="BD162" s="1941"/>
      <c r="BE162" s="1941"/>
      <c r="BF162" s="1941"/>
      <c r="BG162" s="1941"/>
      <c r="BH162" s="1941"/>
      <c r="BI162" s="1941"/>
      <c r="BJ162" s="1941"/>
      <c r="BK162" s="1941"/>
      <c r="BL162" s="1941"/>
      <c r="BM162" s="1941"/>
      <c r="BN162" s="1941"/>
      <c r="BO162" s="1941"/>
      <c r="BP162" s="1004"/>
      <c r="BQ162" s="1004"/>
      <c r="BR162" s="1004"/>
      <c r="BS162" s="1004"/>
      <c r="BT162" s="1004"/>
      <c r="BU162" s="1004"/>
      <c r="BV162" s="1004"/>
      <c r="BW162" s="1004"/>
      <c r="BX162" s="1004"/>
      <c r="BY162" s="1004"/>
      <c r="BZ162" s="1004"/>
      <c r="CA162" s="1004"/>
      <c r="CB162" s="1004"/>
      <c r="CC162" s="1004"/>
      <c r="CD162" s="1004"/>
      <c r="CE162" s="1004"/>
      <c r="CF162" s="1004"/>
      <c r="CG162" s="1004"/>
      <c r="CH162" s="1004"/>
      <c r="CI162" s="1004"/>
      <c r="CJ162" s="1004"/>
      <c r="CK162" s="1004"/>
      <c r="CL162" s="1004"/>
      <c r="CM162" s="1004"/>
      <c r="CN162" s="1004"/>
      <c r="CO162" s="1004"/>
      <c r="CP162" s="1004"/>
      <c r="CQ162" s="1004"/>
      <c r="CR162" s="1004"/>
      <c r="CS162" s="1004"/>
      <c r="CT162" s="1004"/>
      <c r="CU162" s="1004"/>
      <c r="CV162" s="1004"/>
      <c r="CW162" s="1004"/>
      <c r="CX162" s="1004"/>
      <c r="CY162" s="1004"/>
      <c r="CZ162" s="1004"/>
      <c r="DA162" s="1004"/>
      <c r="DB162" s="1004"/>
      <c r="DC162" s="1004"/>
      <c r="DD162" s="1004"/>
      <c r="DE162" s="1004"/>
      <c r="DF162" s="1004"/>
      <c r="DG162" s="1004"/>
      <c r="DH162" s="1004"/>
      <c r="DI162" s="1004"/>
      <c r="DJ162" s="1004"/>
      <c r="DK162" s="1004"/>
      <c r="DL162" s="1004"/>
      <c r="DM162" s="1004"/>
      <c r="DN162" s="1004"/>
      <c r="DO162" s="1004"/>
      <c r="DP162" s="1004"/>
      <c r="DQ162" s="1004"/>
      <c r="DR162" s="1004"/>
      <c r="DS162" s="1004"/>
      <c r="DT162" s="1004"/>
      <c r="DU162" s="1004"/>
      <c r="DV162" s="1004"/>
      <c r="DW162" s="1004"/>
      <c r="DX162" s="1004"/>
      <c r="DY162" s="1004"/>
      <c r="DZ162" s="1004"/>
      <c r="EA162" s="1004"/>
      <c r="EB162" s="1004"/>
      <c r="EC162" s="1004"/>
      <c r="ED162" s="1004"/>
      <c r="EE162" s="1004"/>
      <c r="EF162" s="1004"/>
      <c r="EG162" s="1004"/>
      <c r="EH162" s="1004"/>
      <c r="EI162" s="1004"/>
      <c r="EJ162" s="1004"/>
      <c r="EK162" s="1004"/>
      <c r="EL162" s="1004"/>
      <c r="EM162" s="1004"/>
      <c r="EN162" s="1004"/>
      <c r="EO162" s="1004"/>
      <c r="EP162" s="1004"/>
      <c r="EQ162" s="1004"/>
      <c r="ER162" s="1004"/>
      <c r="ES162" s="1004"/>
      <c r="ET162" s="1004"/>
      <c r="EU162" s="1004"/>
      <c r="EV162" s="1004"/>
      <c r="EW162" s="1004"/>
      <c r="EX162" s="1004"/>
      <c r="EY162" s="1004"/>
      <c r="EZ162" s="1004"/>
      <c r="FA162" s="1004"/>
      <c r="FB162" s="1004"/>
      <c r="FC162" s="1004"/>
      <c r="FD162" s="1004"/>
      <c r="FE162" s="1004"/>
      <c r="FF162" s="1004"/>
      <c r="FG162" s="1004"/>
      <c r="FH162" s="1004"/>
      <c r="FI162" s="1004"/>
      <c r="FJ162" s="1004"/>
      <c r="FK162" s="1004"/>
      <c r="FL162" s="1004"/>
      <c r="FM162" s="1004"/>
      <c r="FN162" s="1004"/>
      <c r="FO162" s="1004"/>
      <c r="FP162" s="1004"/>
      <c r="FQ162" s="1004"/>
      <c r="FR162" s="1004"/>
      <c r="FS162" s="1004"/>
      <c r="FT162" s="1004"/>
      <c r="FU162" s="1004"/>
      <c r="FV162" s="1004"/>
      <c r="FW162" s="1004"/>
      <c r="FX162" s="1004"/>
      <c r="FY162" s="1004"/>
      <c r="FZ162" s="1004"/>
      <c r="GA162" s="1004"/>
      <c r="GB162" s="1004"/>
      <c r="GC162" s="1004"/>
      <c r="GD162" s="1004"/>
      <c r="GE162" s="1004"/>
      <c r="GF162" s="1004"/>
      <c r="GG162" s="1004"/>
      <c r="GH162" s="1004"/>
      <c r="GI162" s="1004"/>
      <c r="GJ162" s="1004"/>
      <c r="GK162" s="1004"/>
      <c r="GL162" s="1004"/>
      <c r="GM162" s="1004"/>
      <c r="GN162" s="1004"/>
      <c r="GO162" s="1004"/>
      <c r="GP162" s="1004"/>
      <c r="GQ162" s="1004"/>
      <c r="GR162" s="1004"/>
      <c r="GS162" s="1004"/>
      <c r="GT162" s="1004"/>
      <c r="GU162" s="1004"/>
      <c r="GV162" s="1004"/>
      <c r="GW162" s="1004"/>
      <c r="GX162" s="1004"/>
      <c r="GY162" s="1004"/>
      <c r="GZ162" s="1004"/>
      <c r="HA162" s="1004"/>
      <c r="HB162" s="1004"/>
      <c r="HC162" s="1004"/>
      <c r="HD162" s="1004"/>
      <c r="HE162" s="1004"/>
      <c r="HF162" s="1004"/>
      <c r="HG162" s="1004"/>
      <c r="HH162" s="1004"/>
      <c r="HI162" s="1004"/>
      <c r="HJ162" s="1004"/>
      <c r="HK162" s="1004"/>
      <c r="HL162" s="1004"/>
      <c r="HM162" s="1004"/>
      <c r="HN162" s="1004"/>
      <c r="HO162" s="1004"/>
      <c r="HP162" s="1004"/>
      <c r="HQ162" s="1004"/>
      <c r="HR162" s="1004"/>
      <c r="HS162" s="1004"/>
      <c r="HT162" s="1004"/>
      <c r="HU162" s="1004"/>
      <c r="HV162" s="1004"/>
      <c r="HW162" s="1004"/>
      <c r="HX162" s="1004"/>
      <c r="HY162" s="1004"/>
      <c r="HZ162" s="1004"/>
      <c r="IA162" s="1004"/>
      <c r="IB162" s="1004"/>
      <c r="IC162" s="1004"/>
      <c r="ID162" s="1004"/>
      <c r="IE162" s="1004"/>
      <c r="IF162" s="1004"/>
      <c r="IG162" s="1004"/>
      <c r="IH162" s="1004"/>
      <c r="II162" s="1004"/>
      <c r="IJ162" s="1004"/>
      <c r="IK162" s="1004"/>
      <c r="IL162" s="1004"/>
      <c r="IM162" s="1004"/>
      <c r="IN162" s="1004"/>
      <c r="IO162" s="1004"/>
      <c r="IP162" s="1004"/>
      <c r="IQ162" s="1004"/>
      <c r="IR162" s="1004"/>
      <c r="IS162" s="1004"/>
      <c r="IT162" s="1004"/>
      <c r="IU162" s="1004"/>
      <c r="IV162" s="1004"/>
      <c r="IW162" s="1004"/>
      <c r="IX162" s="1004"/>
      <c r="IY162" s="1004"/>
      <c r="IZ162" s="1004"/>
      <c r="JA162" s="1004"/>
      <c r="JB162" s="1004"/>
      <c r="JC162" s="1004"/>
      <c r="JD162" s="1004"/>
      <c r="JE162" s="1004"/>
      <c r="JF162" s="1004"/>
      <c r="JG162" s="1004"/>
      <c r="JH162" s="1004"/>
      <c r="JI162" s="1004"/>
      <c r="JJ162" s="1004"/>
      <c r="JK162" s="1004"/>
      <c r="JL162" s="1004"/>
      <c r="JM162" s="1004"/>
      <c r="JN162" s="1004"/>
      <c r="JO162" s="1004"/>
      <c r="JP162" s="1004"/>
      <c r="JQ162" s="1004"/>
      <c r="JR162" s="1004"/>
      <c r="JS162" s="1004"/>
      <c r="JT162" s="1004"/>
      <c r="JU162" s="1004"/>
      <c r="JV162" s="1004"/>
      <c r="JW162" s="1004"/>
      <c r="JX162" s="1004"/>
      <c r="JY162" s="1004"/>
      <c r="JZ162" s="1004"/>
      <c r="KA162" s="1004"/>
      <c r="KB162" s="1004"/>
      <c r="KC162" s="1004"/>
      <c r="KD162" s="1004"/>
      <c r="KE162" s="1004"/>
      <c r="KF162" s="1004"/>
      <c r="KG162" s="1004"/>
      <c r="KH162" s="1004"/>
      <c r="KI162" s="1004"/>
      <c r="KJ162" s="1004"/>
      <c r="KK162" s="1004"/>
      <c r="KL162" s="1004"/>
      <c r="KM162" s="1004"/>
      <c r="KN162" s="1004"/>
      <c r="KO162" s="1004"/>
      <c r="KP162" s="1004"/>
      <c r="KQ162" s="1004"/>
      <c r="KR162" s="1004"/>
      <c r="KS162" s="1004"/>
      <c r="KT162" s="1004"/>
      <c r="KU162" s="1004"/>
      <c r="KV162" s="1004"/>
      <c r="KW162" s="1004"/>
      <c r="KX162" s="1004"/>
      <c r="KY162" s="1004"/>
      <c r="KZ162" s="1004"/>
      <c r="LA162" s="1004"/>
      <c r="LB162" s="1004"/>
      <c r="LC162" s="1004"/>
      <c r="LD162" s="1004"/>
      <c r="LE162" s="1004"/>
      <c r="LF162" s="1004"/>
      <c r="LG162" s="1004"/>
      <c r="LH162" s="1004"/>
      <c r="LI162" s="1004"/>
      <c r="LJ162" s="1004"/>
      <c r="LK162" s="1004"/>
      <c r="LL162" s="1004"/>
      <c r="LM162" s="1004"/>
      <c r="LN162" s="1004"/>
      <c r="LO162" s="1004"/>
      <c r="LP162" s="1004"/>
      <c r="LQ162" s="1004"/>
      <c r="LR162" s="1004"/>
      <c r="LS162" s="1004"/>
      <c r="LT162" s="1004"/>
      <c r="LU162" s="1004"/>
      <c r="LV162" s="1004"/>
      <c r="LW162" s="1004"/>
      <c r="LX162" s="1004"/>
      <c r="LY162" s="1004"/>
      <c r="LZ162" s="1004"/>
      <c r="MA162" s="1004"/>
      <c r="MB162" s="1004"/>
      <c r="MC162" s="1004"/>
      <c r="MD162" s="1004"/>
      <c r="ME162" s="1004"/>
      <c r="MF162" s="1004"/>
      <c r="MG162" s="1004"/>
      <c r="MH162" s="1004"/>
      <c r="MI162" s="1004"/>
      <c r="MJ162" s="1004"/>
      <c r="MK162" s="1004"/>
      <c r="ML162" s="1004"/>
      <c r="MM162" s="1004"/>
      <c r="MN162" s="1004"/>
      <c r="MO162" s="1004"/>
      <c r="MP162" s="1004"/>
      <c r="MQ162" s="1004"/>
      <c r="MR162" s="1004"/>
      <c r="MS162" s="1004"/>
      <c r="MT162" s="1004"/>
      <c r="MU162" s="1004"/>
      <c r="MV162" s="1004"/>
      <c r="MW162" s="1004"/>
      <c r="MX162" s="1004"/>
      <c r="MY162" s="1004"/>
      <c r="MZ162" s="1004"/>
      <c r="NA162" s="1004"/>
      <c r="NB162" s="1004"/>
      <c r="NC162" s="1004"/>
      <c r="ND162" s="1004"/>
      <c r="NE162" s="1004"/>
      <c r="NF162" s="1004"/>
      <c r="NG162" s="1004"/>
      <c r="NH162" s="1004"/>
      <c r="NI162" s="1004"/>
      <c r="NJ162" s="1004"/>
      <c r="NK162" s="1004"/>
      <c r="NL162" s="1004"/>
      <c r="NM162" s="1004"/>
      <c r="NN162" s="1004"/>
      <c r="NO162" s="1004"/>
      <c r="NP162" s="1004"/>
      <c r="NQ162" s="1004"/>
      <c r="NR162" s="1004"/>
      <c r="NS162" s="1004"/>
      <c r="NT162" s="1004"/>
      <c r="NU162" s="1004"/>
      <c r="NV162" s="1004"/>
      <c r="NW162" s="1004"/>
      <c r="NX162" s="1004"/>
      <c r="NY162" s="1004"/>
      <c r="NZ162" s="1004"/>
      <c r="OA162" s="1004"/>
      <c r="OB162" s="1004"/>
      <c r="OC162" s="1004"/>
      <c r="OD162" s="1004"/>
      <c r="OE162" s="1004"/>
      <c r="OF162" s="1004"/>
      <c r="OG162" s="1004"/>
      <c r="OH162" s="1004"/>
      <c r="OI162" s="1004"/>
      <c r="OJ162" s="1004"/>
      <c r="OK162" s="1004"/>
      <c r="OL162" s="1004"/>
      <c r="OM162" s="1004"/>
      <c r="ON162" s="1004"/>
      <c r="OO162" s="1004"/>
      <c r="OP162" s="1004"/>
      <c r="OQ162" s="1004"/>
      <c r="OR162" s="1004"/>
      <c r="OS162" s="1004"/>
      <c r="OT162" s="1004"/>
      <c r="OU162" s="1004"/>
      <c r="OV162" s="1004"/>
      <c r="OW162" s="1004"/>
      <c r="OX162" s="1004"/>
      <c r="OY162" s="1004"/>
      <c r="OZ162" s="1004"/>
      <c r="PA162" s="1004"/>
      <c r="PB162" s="1004"/>
      <c r="PC162" s="1004"/>
      <c r="PD162" s="1004"/>
      <c r="PE162" s="1004"/>
      <c r="PF162" s="1004"/>
      <c r="PG162" s="1004"/>
      <c r="PH162" s="1004"/>
      <c r="PI162" s="1004"/>
      <c r="PJ162" s="1004"/>
      <c r="PK162" s="1004"/>
      <c r="PL162" s="1004"/>
      <c r="PM162" s="1004"/>
      <c r="PN162" s="1004"/>
      <c r="PO162" s="1004"/>
      <c r="PP162" s="1004"/>
      <c r="PQ162" s="1004"/>
      <c r="PR162" s="1004"/>
      <c r="PS162" s="1004"/>
      <c r="PT162" s="1004"/>
      <c r="PU162" s="1004"/>
      <c r="PV162" s="1004"/>
      <c r="PW162" s="1004"/>
      <c r="PX162" s="1004"/>
      <c r="PY162" s="1004"/>
      <c r="PZ162" s="1004"/>
      <c r="QA162" s="1004"/>
      <c r="QB162" s="1004"/>
      <c r="QC162" s="1004"/>
      <c r="QD162" s="1004"/>
      <c r="QE162" s="1004"/>
      <c r="QF162" s="1004"/>
      <c r="QG162" s="1004"/>
      <c r="QH162" s="1004"/>
      <c r="QI162" s="1004"/>
      <c r="QJ162" s="1004"/>
      <c r="QK162" s="1004"/>
      <c r="QL162" s="1004"/>
      <c r="QM162" s="1004"/>
      <c r="QN162" s="1004"/>
      <c r="QO162" s="1004"/>
      <c r="QP162" s="1004"/>
      <c r="QQ162" s="1004"/>
      <c r="QR162" s="1004"/>
      <c r="QS162" s="1004"/>
      <c r="QT162" s="1004"/>
      <c r="QU162" s="1004"/>
      <c r="QV162" s="1004"/>
      <c r="QW162" s="1004"/>
      <c r="QX162" s="1004"/>
      <c r="QY162" s="1004"/>
      <c r="QZ162" s="1004"/>
      <c r="RA162" s="1004"/>
      <c r="RB162" s="1004"/>
      <c r="RC162" s="1004"/>
      <c r="RD162" s="1004"/>
      <c r="RE162" s="1004"/>
      <c r="RF162" s="1004"/>
      <c r="RG162" s="1004"/>
      <c r="RH162" s="1004"/>
      <c r="RI162" s="1004"/>
      <c r="RJ162" s="1004"/>
      <c r="RK162" s="1004"/>
      <c r="RL162" s="1004"/>
      <c r="RM162" s="1004"/>
      <c r="RN162" s="1004"/>
      <c r="RO162" s="1004"/>
      <c r="RP162" s="1004"/>
      <c r="RQ162" s="1004"/>
      <c r="RR162" s="1004"/>
      <c r="RS162" s="1004"/>
      <c r="RT162" s="1004"/>
      <c r="RU162" s="1004"/>
      <c r="RV162" s="1004"/>
      <c r="RW162" s="1004"/>
      <c r="RX162" s="1004"/>
      <c r="RY162" s="1004"/>
      <c r="RZ162" s="1004"/>
      <c r="SA162" s="1004"/>
      <c r="SB162" s="1004"/>
      <c r="SC162" s="1004"/>
      <c r="SD162" s="1004"/>
      <c r="SE162" s="1004"/>
      <c r="SF162" s="1004"/>
      <c r="SG162" s="1004"/>
      <c r="SH162" s="1004"/>
      <c r="SI162" s="1004"/>
      <c r="SJ162" s="1004"/>
      <c r="SK162" s="1004"/>
      <c r="SL162" s="1004"/>
      <c r="SM162" s="1004"/>
      <c r="SN162" s="1004"/>
      <c r="SO162" s="1004"/>
      <c r="SP162" s="1004"/>
      <c r="SQ162" s="1004"/>
      <c r="SR162" s="1004"/>
      <c r="SS162" s="1004"/>
      <c r="ST162" s="1004"/>
      <c r="SU162" s="1004"/>
      <c r="SV162" s="1004"/>
      <c r="SW162" s="1004"/>
      <c r="SX162" s="1004"/>
      <c r="SY162" s="1004"/>
      <c r="SZ162" s="1004"/>
      <c r="TA162" s="1004"/>
      <c r="TB162" s="1004"/>
      <c r="TC162" s="1004"/>
      <c r="TD162" s="1004"/>
      <c r="TE162" s="1004"/>
      <c r="TF162" s="1004"/>
      <c r="TG162" s="1004"/>
      <c r="TH162" s="1004"/>
      <c r="TI162" s="1004"/>
      <c r="TJ162" s="1004"/>
      <c r="TK162" s="1004"/>
      <c r="TL162" s="1004"/>
      <c r="TM162" s="1004"/>
      <c r="TN162" s="1004"/>
      <c r="TO162" s="1004"/>
      <c r="TP162" s="1004"/>
      <c r="TQ162" s="1004"/>
      <c r="TR162" s="1004"/>
      <c r="TS162" s="1004"/>
      <c r="TT162" s="1004"/>
      <c r="TU162" s="1004"/>
      <c r="TV162" s="1004"/>
      <c r="TW162" s="1004"/>
      <c r="TX162" s="1004"/>
      <c r="TY162" s="1004"/>
      <c r="TZ162" s="1004"/>
      <c r="UA162" s="1004"/>
      <c r="UB162" s="1004"/>
      <c r="UC162" s="1004"/>
      <c r="UD162" s="1004"/>
      <c r="UE162" s="1004"/>
      <c r="UF162" s="1004"/>
      <c r="UG162" s="1004"/>
      <c r="UH162" s="1004"/>
      <c r="UI162" s="1004"/>
      <c r="UJ162" s="1004"/>
      <c r="UK162" s="1004"/>
      <c r="UL162" s="1004"/>
      <c r="UM162" s="1004"/>
      <c r="UN162" s="1004"/>
      <c r="UO162" s="1004"/>
      <c r="UP162" s="1004"/>
      <c r="UQ162" s="1004"/>
      <c r="UR162" s="1004"/>
      <c r="US162" s="1004"/>
      <c r="UT162" s="1004"/>
      <c r="UU162" s="1004"/>
      <c r="UV162" s="1004"/>
      <c r="UW162" s="1004"/>
      <c r="UX162" s="1004"/>
      <c r="UY162" s="1004"/>
      <c r="UZ162" s="1004"/>
      <c r="VA162" s="1004"/>
      <c r="VB162" s="1004"/>
      <c r="VC162" s="1004"/>
      <c r="VD162" s="1004"/>
      <c r="VE162" s="1004"/>
      <c r="VF162" s="1004"/>
      <c r="VG162" s="1004"/>
      <c r="VH162" s="1004"/>
      <c r="VI162" s="1004"/>
      <c r="VJ162" s="1004"/>
      <c r="VK162" s="1004"/>
      <c r="VL162" s="1004"/>
      <c r="VM162" s="1004"/>
      <c r="VN162" s="1004"/>
      <c r="VO162" s="1004"/>
      <c r="VP162" s="1004"/>
      <c r="VQ162" s="1004"/>
      <c r="VR162" s="1004"/>
      <c r="VS162" s="1004"/>
      <c r="VT162" s="1004"/>
      <c r="VU162" s="1004"/>
      <c r="VV162" s="1004"/>
      <c r="VW162" s="1004"/>
      <c r="VX162" s="1004"/>
      <c r="VY162" s="1004"/>
      <c r="VZ162" s="1004"/>
      <c r="WA162" s="1004"/>
      <c r="WB162" s="1004"/>
      <c r="WC162" s="1004"/>
      <c r="WD162" s="1004"/>
      <c r="WE162" s="1004"/>
      <c r="WF162" s="1004"/>
      <c r="WG162" s="1004"/>
      <c r="WH162" s="1004"/>
      <c r="WI162" s="1004"/>
      <c r="WJ162" s="1004"/>
      <c r="WK162" s="1004"/>
      <c r="WL162" s="1004"/>
      <c r="WM162" s="1004"/>
      <c r="WN162" s="1004"/>
      <c r="WO162" s="1004"/>
      <c r="WP162" s="1004"/>
      <c r="WQ162" s="1004"/>
      <c r="WR162" s="1004"/>
      <c r="WS162" s="1004"/>
      <c r="WT162" s="1004"/>
      <c r="WU162" s="1004"/>
      <c r="WV162" s="1004"/>
      <c r="WW162" s="1004"/>
      <c r="WX162" s="1004"/>
      <c r="WY162" s="1004"/>
      <c r="WZ162" s="1004"/>
      <c r="XA162" s="1004"/>
      <c r="XB162" s="1004"/>
      <c r="XC162" s="1004"/>
      <c r="XD162" s="1004"/>
      <c r="XE162" s="1004"/>
      <c r="XF162" s="1004"/>
      <c r="XG162" s="1004"/>
      <c r="XH162" s="1004"/>
      <c r="XI162" s="1004"/>
      <c r="XJ162" s="1004"/>
      <c r="XK162" s="1004"/>
      <c r="XL162" s="1004"/>
      <c r="XM162" s="1004"/>
      <c r="XN162" s="1004"/>
      <c r="XO162" s="1004"/>
      <c r="XP162" s="1004"/>
      <c r="XQ162" s="1004"/>
      <c r="XR162" s="1004"/>
      <c r="XS162" s="1004"/>
      <c r="XT162" s="1004"/>
      <c r="XU162" s="1004"/>
      <c r="XV162" s="1004"/>
      <c r="XW162" s="1004"/>
      <c r="XX162" s="1004"/>
      <c r="XY162" s="1004"/>
      <c r="XZ162" s="1004"/>
      <c r="YA162" s="1004"/>
      <c r="YB162" s="1004"/>
      <c r="YC162" s="1004"/>
      <c r="YD162" s="1004"/>
      <c r="YE162" s="1004"/>
      <c r="YF162" s="1004"/>
      <c r="YG162" s="1004"/>
      <c r="YH162" s="1004"/>
      <c r="YI162" s="1004"/>
      <c r="YJ162" s="1004"/>
      <c r="YK162" s="1004"/>
      <c r="YL162" s="1004"/>
      <c r="YM162" s="1004"/>
      <c r="YN162" s="1004"/>
      <c r="YO162" s="1004"/>
      <c r="YP162" s="1004"/>
      <c r="YQ162" s="1004"/>
      <c r="YR162" s="1004"/>
      <c r="YS162" s="1004"/>
      <c r="YT162" s="1004"/>
      <c r="YU162" s="1004"/>
      <c r="YV162" s="1004"/>
      <c r="YW162" s="1004"/>
      <c r="YX162" s="1004"/>
      <c r="YY162" s="1004"/>
      <c r="YZ162" s="1004"/>
      <c r="ZA162" s="1004"/>
      <c r="ZB162" s="1004"/>
      <c r="ZC162" s="1004"/>
      <c r="ZD162" s="1004"/>
      <c r="ZE162" s="1004"/>
      <c r="ZF162" s="1004"/>
      <c r="ZG162" s="1004"/>
      <c r="ZH162" s="1004"/>
      <c r="ZI162" s="1004"/>
      <c r="ZJ162" s="1004"/>
      <c r="ZK162" s="1004"/>
      <c r="ZL162" s="1004"/>
      <c r="ZM162" s="1004"/>
      <c r="ZN162" s="1004"/>
      <c r="ZO162" s="1004"/>
      <c r="ZP162" s="1004"/>
      <c r="ZQ162" s="1004"/>
      <c r="ZR162" s="1004"/>
      <c r="ZS162" s="1004"/>
      <c r="ZT162" s="1004"/>
      <c r="ZU162" s="1004"/>
      <c r="ZV162" s="1004"/>
      <c r="ZW162" s="1004"/>
      <c r="ZX162" s="1004"/>
      <c r="ZY162" s="1004"/>
      <c r="ZZ162" s="1004"/>
      <c r="AAA162" s="1004"/>
      <c r="AAB162" s="1004"/>
      <c r="AAC162" s="1004"/>
      <c r="AAD162" s="1004"/>
      <c r="AAE162" s="1004"/>
      <c r="AAF162" s="1004"/>
      <c r="AAG162" s="1004"/>
      <c r="AAH162" s="1004"/>
      <c r="AAI162" s="1004"/>
      <c r="AAJ162" s="1004"/>
      <c r="AAK162" s="1004"/>
      <c r="AAL162" s="1004"/>
      <c r="AAM162" s="1004"/>
      <c r="AAN162" s="1004"/>
      <c r="AAO162" s="1004"/>
      <c r="AAP162" s="1004"/>
      <c r="AAQ162" s="1004"/>
      <c r="AAR162" s="1004"/>
      <c r="AAS162" s="1004"/>
      <c r="AAT162" s="1004"/>
      <c r="AAU162" s="1004"/>
      <c r="AAV162" s="1004"/>
      <c r="AAW162" s="1004"/>
      <c r="AAX162" s="1004"/>
      <c r="AAY162" s="1004"/>
      <c r="AAZ162" s="1004"/>
      <c r="ABA162" s="1004"/>
      <c r="ABB162" s="1004"/>
      <c r="ABC162" s="1004"/>
      <c r="ABD162" s="1004"/>
      <c r="ABE162" s="1004"/>
      <c r="ABF162" s="1004"/>
      <c r="ABG162" s="1004"/>
      <c r="ABH162" s="1004"/>
      <c r="ABI162" s="1004"/>
      <c r="ABJ162" s="1004"/>
      <c r="ABK162" s="1004"/>
      <c r="ABL162" s="1004"/>
      <c r="ABM162" s="1004"/>
      <c r="ABN162" s="1004"/>
      <c r="ABO162" s="1004"/>
      <c r="ABP162" s="1004"/>
      <c r="ABQ162" s="1004"/>
      <c r="ABR162" s="1004"/>
    </row>
    <row r="163" spans="1:746" s="1" customFormat="1" ht="12" customHeight="1">
      <c r="A163" s="924"/>
      <c r="B163" s="782"/>
      <c r="C163" s="866"/>
      <c r="D163" s="866"/>
      <c r="E163" s="866"/>
      <c r="F163" s="866"/>
      <c r="G163" s="872"/>
      <c r="H163" s="2543" t="str">
        <f>IF(OR(127=1,H161=1,H164=1,H166=1),"Budgetera från och med startmånad !","")</f>
        <v/>
      </c>
      <c r="I163" s="2584" t="s">
        <v>1336</v>
      </c>
      <c r="J163" s="873"/>
      <c r="K163" s="873"/>
      <c r="L163" s="873"/>
      <c r="M163" s="873"/>
      <c r="N163" s="873"/>
      <c r="O163" s="873"/>
      <c r="P163" s="873"/>
      <c r="Q163" s="873"/>
      <c r="R163" s="873"/>
      <c r="S163" s="873"/>
      <c r="T163" s="986"/>
      <c r="U163" s="995"/>
      <c r="V163" s="869"/>
      <c r="W163" s="873"/>
      <c r="X163" s="873"/>
      <c r="Y163" s="873"/>
      <c r="Z163" s="873"/>
      <c r="AA163" s="873"/>
      <c r="AB163" s="873"/>
      <c r="AC163" s="873"/>
      <c r="AD163" s="873"/>
      <c r="AE163" s="873"/>
      <c r="AF163" s="874"/>
      <c r="AG163" s="337"/>
      <c r="AH163" s="336"/>
      <c r="AI163" s="336"/>
      <c r="AJ163" s="1048"/>
      <c r="AK163" s="1046"/>
      <c r="AL163" s="1044"/>
      <c r="AM163" s="1004"/>
      <c r="AN163" s="1015"/>
      <c r="AO163" s="1945"/>
      <c r="AP163" s="1935"/>
      <c r="AQ163" s="1936"/>
      <c r="AR163" s="1941"/>
      <c r="AS163" s="1941"/>
      <c r="AT163" s="1941"/>
      <c r="AU163" s="1941"/>
      <c r="AV163" s="1941"/>
      <c r="AW163" s="1941"/>
      <c r="AX163" s="1941"/>
      <c r="AY163" s="1941"/>
      <c r="AZ163" s="1941"/>
      <c r="BA163" s="1941"/>
      <c r="BB163" s="1941"/>
      <c r="BC163" s="1941"/>
      <c r="BD163" s="1941"/>
      <c r="BE163" s="1941"/>
      <c r="BF163" s="1941"/>
      <c r="BG163" s="1941"/>
      <c r="BH163" s="1941"/>
      <c r="BI163" s="1941"/>
      <c r="BJ163" s="1941"/>
      <c r="BK163" s="1941"/>
      <c r="BL163" s="1941"/>
      <c r="BM163" s="1941"/>
      <c r="BN163" s="1941"/>
      <c r="BO163" s="1941"/>
      <c r="BP163" s="1004"/>
      <c r="BQ163" s="1004"/>
      <c r="BR163" s="1004"/>
      <c r="BS163" s="1004"/>
      <c r="BT163" s="1004"/>
      <c r="BU163" s="1004"/>
      <c r="BV163" s="1004"/>
      <c r="BW163" s="1004"/>
      <c r="BX163" s="1004"/>
      <c r="BY163" s="1004"/>
      <c r="BZ163" s="1004"/>
      <c r="CA163" s="1004"/>
      <c r="CB163" s="1004"/>
      <c r="CC163" s="1004"/>
      <c r="CD163" s="1004"/>
      <c r="CE163" s="1004"/>
      <c r="CF163" s="1004"/>
      <c r="CG163" s="1004"/>
      <c r="CH163" s="1004"/>
      <c r="CI163" s="1004"/>
      <c r="CJ163" s="1004"/>
      <c r="CK163" s="1004"/>
      <c r="CL163" s="1004"/>
      <c r="CM163" s="1004"/>
      <c r="CN163" s="1004"/>
      <c r="CO163" s="1004"/>
      <c r="CP163" s="1004"/>
      <c r="CQ163" s="1004"/>
      <c r="CR163" s="1004"/>
      <c r="CS163" s="1004"/>
      <c r="CT163" s="1004"/>
      <c r="CU163" s="1004"/>
      <c r="CV163" s="1004"/>
      <c r="CW163" s="1004"/>
      <c r="CX163" s="1004"/>
      <c r="CY163" s="1004"/>
      <c r="CZ163" s="1004"/>
      <c r="DA163" s="1004"/>
      <c r="DB163" s="1004"/>
      <c r="DC163" s="1004"/>
      <c r="DD163" s="1004"/>
      <c r="DE163" s="1004"/>
      <c r="DF163" s="1004"/>
      <c r="DG163" s="1004"/>
      <c r="DH163" s="1004"/>
      <c r="DI163" s="1004"/>
      <c r="DJ163" s="1004"/>
      <c r="DK163" s="1004"/>
      <c r="DL163" s="1004"/>
      <c r="DM163" s="1004"/>
      <c r="DN163" s="1004"/>
      <c r="DO163" s="1004"/>
      <c r="DP163" s="1004"/>
      <c r="DQ163" s="1004"/>
      <c r="DR163" s="1004"/>
      <c r="DS163" s="1004"/>
      <c r="DT163" s="1004"/>
      <c r="DU163" s="1004"/>
      <c r="DV163" s="1004"/>
      <c r="DW163" s="1004"/>
      <c r="DX163" s="1004"/>
      <c r="DY163" s="1004"/>
      <c r="DZ163" s="1004"/>
      <c r="EA163" s="1004"/>
      <c r="EB163" s="1004"/>
      <c r="EC163" s="1004"/>
      <c r="ED163" s="1004"/>
      <c r="EE163" s="1004"/>
      <c r="EF163" s="1004"/>
      <c r="EG163" s="1004"/>
      <c r="EH163" s="1004"/>
      <c r="EI163" s="1004"/>
      <c r="EJ163" s="1004"/>
      <c r="EK163" s="1004"/>
      <c r="EL163" s="1004"/>
      <c r="EM163" s="1004"/>
      <c r="EN163" s="1004"/>
      <c r="EO163" s="1004"/>
      <c r="EP163" s="1004"/>
      <c r="EQ163" s="1004"/>
      <c r="ER163" s="1004"/>
      <c r="ES163" s="1004"/>
      <c r="ET163" s="1004"/>
      <c r="EU163" s="1004"/>
      <c r="EV163" s="1004"/>
      <c r="EW163" s="1004"/>
      <c r="EX163" s="1004"/>
      <c r="EY163" s="1004"/>
      <c r="EZ163" s="1004"/>
      <c r="FA163" s="1004"/>
      <c r="FB163" s="1004"/>
      <c r="FC163" s="1004"/>
      <c r="FD163" s="1004"/>
      <c r="FE163" s="1004"/>
      <c r="FF163" s="1004"/>
      <c r="FG163" s="1004"/>
      <c r="FH163" s="1004"/>
      <c r="FI163" s="1004"/>
      <c r="FJ163" s="1004"/>
      <c r="FK163" s="1004"/>
      <c r="FL163" s="1004"/>
      <c r="FM163" s="1004"/>
      <c r="FN163" s="1004"/>
      <c r="FO163" s="1004"/>
      <c r="FP163" s="1004"/>
      <c r="FQ163" s="1004"/>
      <c r="FR163" s="1004"/>
      <c r="FS163" s="1004"/>
      <c r="FT163" s="1004"/>
      <c r="FU163" s="1004"/>
      <c r="FV163" s="1004"/>
      <c r="FW163" s="1004"/>
      <c r="FX163" s="1004"/>
      <c r="FY163" s="1004"/>
      <c r="FZ163" s="1004"/>
      <c r="GA163" s="1004"/>
      <c r="GB163" s="1004"/>
      <c r="GC163" s="1004"/>
      <c r="GD163" s="1004"/>
      <c r="GE163" s="1004"/>
      <c r="GF163" s="1004"/>
      <c r="GG163" s="1004"/>
      <c r="GH163" s="1004"/>
      <c r="GI163" s="1004"/>
      <c r="GJ163" s="1004"/>
      <c r="GK163" s="1004"/>
      <c r="GL163" s="1004"/>
      <c r="GM163" s="1004"/>
      <c r="GN163" s="1004"/>
      <c r="GO163" s="1004"/>
      <c r="GP163" s="1004"/>
      <c r="GQ163" s="1004"/>
      <c r="GR163" s="1004"/>
      <c r="GS163" s="1004"/>
      <c r="GT163" s="1004"/>
      <c r="GU163" s="1004"/>
      <c r="GV163" s="1004"/>
      <c r="GW163" s="1004"/>
      <c r="GX163" s="1004"/>
      <c r="GY163" s="1004"/>
      <c r="GZ163" s="1004"/>
      <c r="HA163" s="1004"/>
      <c r="HB163" s="1004"/>
      <c r="HC163" s="1004"/>
      <c r="HD163" s="1004"/>
      <c r="HE163" s="1004"/>
      <c r="HF163" s="1004"/>
      <c r="HG163" s="1004"/>
      <c r="HH163" s="1004"/>
      <c r="HI163" s="1004"/>
      <c r="HJ163" s="1004"/>
      <c r="HK163" s="1004"/>
      <c r="HL163" s="1004"/>
      <c r="HM163" s="1004"/>
      <c r="HN163" s="1004"/>
      <c r="HO163" s="1004"/>
      <c r="HP163" s="1004"/>
      <c r="HQ163" s="1004"/>
      <c r="HR163" s="1004"/>
      <c r="HS163" s="1004"/>
      <c r="HT163" s="1004"/>
      <c r="HU163" s="1004"/>
      <c r="HV163" s="1004"/>
      <c r="HW163" s="1004"/>
      <c r="HX163" s="1004"/>
      <c r="HY163" s="1004"/>
      <c r="HZ163" s="1004"/>
      <c r="IA163" s="1004"/>
      <c r="IB163" s="1004"/>
      <c r="IC163" s="1004"/>
      <c r="ID163" s="1004"/>
      <c r="IE163" s="1004"/>
      <c r="IF163" s="1004"/>
      <c r="IG163" s="1004"/>
      <c r="IH163" s="1004"/>
      <c r="II163" s="1004"/>
      <c r="IJ163" s="1004"/>
      <c r="IK163" s="1004"/>
      <c r="IL163" s="1004"/>
      <c r="IM163" s="1004"/>
      <c r="IN163" s="1004"/>
      <c r="IO163" s="1004"/>
      <c r="IP163" s="1004"/>
      <c r="IQ163" s="1004"/>
      <c r="IR163" s="1004"/>
      <c r="IS163" s="1004"/>
      <c r="IT163" s="1004"/>
      <c r="IU163" s="1004"/>
      <c r="IV163" s="1004"/>
      <c r="IW163" s="1004"/>
      <c r="IX163" s="1004"/>
      <c r="IY163" s="1004"/>
      <c r="IZ163" s="1004"/>
      <c r="JA163" s="1004"/>
      <c r="JB163" s="1004"/>
      <c r="JC163" s="1004"/>
      <c r="JD163" s="1004"/>
      <c r="JE163" s="1004"/>
      <c r="JF163" s="1004"/>
      <c r="JG163" s="1004"/>
      <c r="JH163" s="1004"/>
      <c r="JI163" s="1004"/>
      <c r="JJ163" s="1004"/>
      <c r="JK163" s="1004"/>
      <c r="JL163" s="1004"/>
      <c r="JM163" s="1004"/>
      <c r="JN163" s="1004"/>
      <c r="JO163" s="1004"/>
      <c r="JP163" s="1004"/>
      <c r="JQ163" s="1004"/>
      <c r="JR163" s="1004"/>
      <c r="JS163" s="1004"/>
      <c r="JT163" s="1004"/>
      <c r="JU163" s="1004"/>
      <c r="JV163" s="1004"/>
      <c r="JW163" s="1004"/>
      <c r="JX163" s="1004"/>
      <c r="JY163" s="1004"/>
      <c r="JZ163" s="1004"/>
      <c r="KA163" s="1004"/>
      <c r="KB163" s="1004"/>
      <c r="KC163" s="1004"/>
      <c r="KD163" s="1004"/>
      <c r="KE163" s="1004"/>
      <c r="KF163" s="1004"/>
      <c r="KG163" s="1004"/>
      <c r="KH163" s="1004"/>
      <c r="KI163" s="1004"/>
      <c r="KJ163" s="1004"/>
      <c r="KK163" s="1004"/>
      <c r="KL163" s="1004"/>
      <c r="KM163" s="1004"/>
      <c r="KN163" s="1004"/>
      <c r="KO163" s="1004"/>
      <c r="KP163" s="1004"/>
      <c r="KQ163" s="1004"/>
      <c r="KR163" s="1004"/>
      <c r="KS163" s="1004"/>
      <c r="KT163" s="1004"/>
      <c r="KU163" s="1004"/>
      <c r="KV163" s="1004"/>
      <c r="KW163" s="1004"/>
      <c r="KX163" s="1004"/>
      <c r="KY163" s="1004"/>
      <c r="KZ163" s="1004"/>
      <c r="LA163" s="1004"/>
      <c r="LB163" s="1004"/>
      <c r="LC163" s="1004"/>
      <c r="LD163" s="1004"/>
      <c r="LE163" s="1004"/>
      <c r="LF163" s="1004"/>
      <c r="LG163" s="1004"/>
      <c r="LH163" s="1004"/>
      <c r="LI163" s="1004"/>
      <c r="LJ163" s="1004"/>
      <c r="LK163" s="1004"/>
      <c r="LL163" s="1004"/>
      <c r="LM163" s="1004"/>
      <c r="LN163" s="1004"/>
      <c r="LO163" s="1004"/>
      <c r="LP163" s="1004"/>
      <c r="LQ163" s="1004"/>
      <c r="LR163" s="1004"/>
      <c r="LS163" s="1004"/>
      <c r="LT163" s="1004"/>
      <c r="LU163" s="1004"/>
      <c r="LV163" s="1004"/>
      <c r="LW163" s="1004"/>
      <c r="LX163" s="1004"/>
      <c r="LY163" s="1004"/>
      <c r="LZ163" s="1004"/>
      <c r="MA163" s="1004"/>
      <c r="MB163" s="1004"/>
      <c r="MC163" s="1004"/>
      <c r="MD163" s="1004"/>
      <c r="ME163" s="1004"/>
      <c r="MF163" s="1004"/>
      <c r="MG163" s="1004"/>
      <c r="MH163" s="1004"/>
      <c r="MI163" s="1004"/>
      <c r="MJ163" s="1004"/>
      <c r="MK163" s="1004"/>
      <c r="ML163" s="1004"/>
      <c r="MM163" s="1004"/>
      <c r="MN163" s="1004"/>
      <c r="MO163" s="1004"/>
      <c r="MP163" s="1004"/>
      <c r="MQ163" s="1004"/>
      <c r="MR163" s="1004"/>
      <c r="MS163" s="1004"/>
      <c r="MT163" s="1004"/>
      <c r="MU163" s="1004"/>
      <c r="MV163" s="1004"/>
      <c r="MW163" s="1004"/>
      <c r="MX163" s="1004"/>
      <c r="MY163" s="1004"/>
      <c r="MZ163" s="1004"/>
      <c r="NA163" s="1004"/>
      <c r="NB163" s="1004"/>
      <c r="NC163" s="1004"/>
      <c r="ND163" s="1004"/>
      <c r="NE163" s="1004"/>
      <c r="NF163" s="1004"/>
      <c r="NG163" s="1004"/>
      <c r="NH163" s="1004"/>
      <c r="NI163" s="1004"/>
      <c r="NJ163" s="1004"/>
      <c r="NK163" s="1004"/>
      <c r="NL163" s="1004"/>
      <c r="NM163" s="1004"/>
      <c r="NN163" s="1004"/>
      <c r="NO163" s="1004"/>
      <c r="NP163" s="1004"/>
      <c r="NQ163" s="1004"/>
      <c r="NR163" s="1004"/>
      <c r="NS163" s="1004"/>
      <c r="NT163" s="1004"/>
      <c r="NU163" s="1004"/>
      <c r="NV163" s="1004"/>
      <c r="NW163" s="1004"/>
      <c r="NX163" s="1004"/>
      <c r="NY163" s="1004"/>
      <c r="NZ163" s="1004"/>
      <c r="OA163" s="1004"/>
      <c r="OB163" s="1004"/>
      <c r="OC163" s="1004"/>
      <c r="OD163" s="1004"/>
      <c r="OE163" s="1004"/>
      <c r="OF163" s="1004"/>
      <c r="OG163" s="1004"/>
      <c r="OH163" s="1004"/>
      <c r="OI163" s="1004"/>
      <c r="OJ163" s="1004"/>
      <c r="OK163" s="1004"/>
      <c r="OL163" s="1004"/>
      <c r="OM163" s="1004"/>
      <c r="ON163" s="1004"/>
      <c r="OO163" s="1004"/>
      <c r="OP163" s="1004"/>
      <c r="OQ163" s="1004"/>
      <c r="OR163" s="1004"/>
      <c r="OS163" s="1004"/>
      <c r="OT163" s="1004"/>
      <c r="OU163" s="1004"/>
      <c r="OV163" s="1004"/>
      <c r="OW163" s="1004"/>
      <c r="OX163" s="1004"/>
      <c r="OY163" s="1004"/>
      <c r="OZ163" s="1004"/>
      <c r="PA163" s="1004"/>
      <c r="PB163" s="1004"/>
      <c r="PC163" s="1004"/>
      <c r="PD163" s="1004"/>
      <c r="PE163" s="1004"/>
      <c r="PF163" s="1004"/>
      <c r="PG163" s="1004"/>
      <c r="PH163" s="1004"/>
      <c r="PI163" s="1004"/>
      <c r="PJ163" s="1004"/>
      <c r="PK163" s="1004"/>
      <c r="PL163" s="1004"/>
      <c r="PM163" s="1004"/>
      <c r="PN163" s="1004"/>
      <c r="PO163" s="1004"/>
      <c r="PP163" s="1004"/>
      <c r="PQ163" s="1004"/>
      <c r="PR163" s="1004"/>
      <c r="PS163" s="1004"/>
      <c r="PT163" s="1004"/>
      <c r="PU163" s="1004"/>
      <c r="PV163" s="1004"/>
      <c r="PW163" s="1004"/>
      <c r="PX163" s="1004"/>
      <c r="PY163" s="1004"/>
      <c r="PZ163" s="1004"/>
      <c r="QA163" s="1004"/>
      <c r="QB163" s="1004"/>
      <c r="QC163" s="1004"/>
      <c r="QD163" s="1004"/>
      <c r="QE163" s="1004"/>
      <c r="QF163" s="1004"/>
      <c r="QG163" s="1004"/>
      <c r="QH163" s="1004"/>
      <c r="QI163" s="1004"/>
      <c r="QJ163" s="1004"/>
      <c r="QK163" s="1004"/>
      <c r="QL163" s="1004"/>
      <c r="QM163" s="1004"/>
      <c r="QN163" s="1004"/>
      <c r="QO163" s="1004"/>
      <c r="QP163" s="1004"/>
      <c r="QQ163" s="1004"/>
      <c r="QR163" s="1004"/>
      <c r="QS163" s="1004"/>
      <c r="QT163" s="1004"/>
      <c r="QU163" s="1004"/>
      <c r="QV163" s="1004"/>
      <c r="QW163" s="1004"/>
      <c r="QX163" s="1004"/>
      <c r="QY163" s="1004"/>
      <c r="QZ163" s="1004"/>
      <c r="RA163" s="1004"/>
      <c r="RB163" s="1004"/>
      <c r="RC163" s="1004"/>
      <c r="RD163" s="1004"/>
      <c r="RE163" s="1004"/>
      <c r="RF163" s="1004"/>
      <c r="RG163" s="1004"/>
      <c r="RH163" s="1004"/>
      <c r="RI163" s="1004"/>
      <c r="RJ163" s="1004"/>
      <c r="RK163" s="1004"/>
      <c r="RL163" s="1004"/>
      <c r="RM163" s="1004"/>
      <c r="RN163" s="1004"/>
      <c r="RO163" s="1004"/>
      <c r="RP163" s="1004"/>
      <c r="RQ163" s="1004"/>
      <c r="RR163" s="1004"/>
      <c r="RS163" s="1004"/>
      <c r="RT163" s="1004"/>
      <c r="RU163" s="1004"/>
      <c r="RV163" s="1004"/>
      <c r="RW163" s="1004"/>
      <c r="RX163" s="1004"/>
      <c r="RY163" s="1004"/>
      <c r="RZ163" s="1004"/>
      <c r="SA163" s="1004"/>
      <c r="SB163" s="1004"/>
      <c r="SC163" s="1004"/>
      <c r="SD163" s="1004"/>
      <c r="SE163" s="1004"/>
      <c r="SF163" s="1004"/>
      <c r="SG163" s="1004"/>
      <c r="SH163" s="1004"/>
      <c r="SI163" s="1004"/>
      <c r="SJ163" s="1004"/>
      <c r="SK163" s="1004"/>
      <c r="SL163" s="1004"/>
      <c r="SM163" s="1004"/>
      <c r="SN163" s="1004"/>
      <c r="SO163" s="1004"/>
      <c r="SP163" s="1004"/>
      <c r="SQ163" s="1004"/>
      <c r="SR163" s="1004"/>
      <c r="SS163" s="1004"/>
      <c r="ST163" s="1004"/>
      <c r="SU163" s="1004"/>
      <c r="SV163" s="1004"/>
      <c r="SW163" s="1004"/>
      <c r="SX163" s="1004"/>
      <c r="SY163" s="1004"/>
      <c r="SZ163" s="1004"/>
      <c r="TA163" s="1004"/>
      <c r="TB163" s="1004"/>
      <c r="TC163" s="1004"/>
      <c r="TD163" s="1004"/>
      <c r="TE163" s="1004"/>
      <c r="TF163" s="1004"/>
      <c r="TG163" s="1004"/>
      <c r="TH163" s="1004"/>
      <c r="TI163" s="1004"/>
      <c r="TJ163" s="1004"/>
      <c r="TK163" s="1004"/>
      <c r="TL163" s="1004"/>
      <c r="TM163" s="1004"/>
      <c r="TN163" s="1004"/>
      <c r="TO163" s="1004"/>
      <c r="TP163" s="1004"/>
      <c r="TQ163" s="1004"/>
      <c r="TR163" s="1004"/>
      <c r="TS163" s="1004"/>
      <c r="TT163" s="1004"/>
      <c r="TU163" s="1004"/>
      <c r="TV163" s="1004"/>
      <c r="TW163" s="1004"/>
      <c r="TX163" s="1004"/>
      <c r="TY163" s="1004"/>
      <c r="TZ163" s="1004"/>
      <c r="UA163" s="1004"/>
      <c r="UB163" s="1004"/>
      <c r="UC163" s="1004"/>
      <c r="UD163" s="1004"/>
      <c r="UE163" s="1004"/>
      <c r="UF163" s="1004"/>
      <c r="UG163" s="1004"/>
      <c r="UH163" s="1004"/>
      <c r="UI163" s="1004"/>
      <c r="UJ163" s="1004"/>
      <c r="UK163" s="1004"/>
      <c r="UL163" s="1004"/>
      <c r="UM163" s="1004"/>
      <c r="UN163" s="1004"/>
      <c r="UO163" s="1004"/>
      <c r="UP163" s="1004"/>
      <c r="UQ163" s="1004"/>
      <c r="UR163" s="1004"/>
      <c r="US163" s="1004"/>
      <c r="UT163" s="1004"/>
      <c r="UU163" s="1004"/>
      <c r="UV163" s="1004"/>
      <c r="UW163" s="1004"/>
      <c r="UX163" s="1004"/>
      <c r="UY163" s="1004"/>
      <c r="UZ163" s="1004"/>
      <c r="VA163" s="1004"/>
      <c r="VB163" s="1004"/>
      <c r="VC163" s="1004"/>
      <c r="VD163" s="1004"/>
      <c r="VE163" s="1004"/>
      <c r="VF163" s="1004"/>
      <c r="VG163" s="1004"/>
      <c r="VH163" s="1004"/>
      <c r="VI163" s="1004"/>
      <c r="VJ163" s="1004"/>
      <c r="VK163" s="1004"/>
      <c r="VL163" s="1004"/>
      <c r="VM163" s="1004"/>
      <c r="VN163" s="1004"/>
      <c r="VO163" s="1004"/>
      <c r="VP163" s="1004"/>
      <c r="VQ163" s="1004"/>
      <c r="VR163" s="1004"/>
      <c r="VS163" s="1004"/>
      <c r="VT163" s="1004"/>
      <c r="VU163" s="1004"/>
      <c r="VV163" s="1004"/>
      <c r="VW163" s="1004"/>
      <c r="VX163" s="1004"/>
      <c r="VY163" s="1004"/>
      <c r="VZ163" s="1004"/>
      <c r="WA163" s="1004"/>
      <c r="WB163" s="1004"/>
      <c r="WC163" s="1004"/>
      <c r="WD163" s="1004"/>
      <c r="WE163" s="1004"/>
      <c r="WF163" s="1004"/>
      <c r="WG163" s="1004"/>
      <c r="WH163" s="1004"/>
      <c r="WI163" s="1004"/>
      <c r="WJ163" s="1004"/>
      <c r="WK163" s="1004"/>
      <c r="WL163" s="1004"/>
      <c r="WM163" s="1004"/>
      <c r="WN163" s="1004"/>
      <c r="WO163" s="1004"/>
      <c r="WP163" s="1004"/>
      <c r="WQ163" s="1004"/>
      <c r="WR163" s="1004"/>
      <c r="WS163" s="1004"/>
      <c r="WT163" s="1004"/>
      <c r="WU163" s="1004"/>
      <c r="WV163" s="1004"/>
      <c r="WW163" s="1004"/>
      <c r="WX163" s="1004"/>
      <c r="WY163" s="1004"/>
      <c r="WZ163" s="1004"/>
      <c r="XA163" s="1004"/>
      <c r="XB163" s="1004"/>
      <c r="XC163" s="1004"/>
      <c r="XD163" s="1004"/>
      <c r="XE163" s="1004"/>
      <c r="XF163" s="1004"/>
      <c r="XG163" s="1004"/>
      <c r="XH163" s="1004"/>
      <c r="XI163" s="1004"/>
      <c r="XJ163" s="1004"/>
      <c r="XK163" s="1004"/>
      <c r="XL163" s="1004"/>
      <c r="XM163" s="1004"/>
      <c r="XN163" s="1004"/>
      <c r="XO163" s="1004"/>
      <c r="XP163" s="1004"/>
      <c r="XQ163" s="1004"/>
      <c r="XR163" s="1004"/>
      <c r="XS163" s="1004"/>
      <c r="XT163" s="1004"/>
      <c r="XU163" s="1004"/>
      <c r="XV163" s="1004"/>
      <c r="XW163" s="1004"/>
      <c r="XX163" s="1004"/>
      <c r="XY163" s="1004"/>
      <c r="XZ163" s="1004"/>
      <c r="YA163" s="1004"/>
      <c r="YB163" s="1004"/>
      <c r="YC163" s="1004"/>
      <c r="YD163" s="1004"/>
      <c r="YE163" s="1004"/>
      <c r="YF163" s="1004"/>
      <c r="YG163" s="1004"/>
      <c r="YH163" s="1004"/>
      <c r="YI163" s="1004"/>
      <c r="YJ163" s="1004"/>
      <c r="YK163" s="1004"/>
      <c r="YL163" s="1004"/>
      <c r="YM163" s="1004"/>
      <c r="YN163" s="1004"/>
      <c r="YO163" s="1004"/>
      <c r="YP163" s="1004"/>
      <c r="YQ163" s="1004"/>
      <c r="YR163" s="1004"/>
      <c r="YS163" s="1004"/>
      <c r="YT163" s="1004"/>
      <c r="YU163" s="1004"/>
      <c r="YV163" s="1004"/>
      <c r="YW163" s="1004"/>
      <c r="YX163" s="1004"/>
      <c r="YY163" s="1004"/>
      <c r="YZ163" s="1004"/>
      <c r="ZA163" s="1004"/>
      <c r="ZB163" s="1004"/>
      <c r="ZC163" s="1004"/>
      <c r="ZD163" s="1004"/>
      <c r="ZE163" s="1004"/>
      <c r="ZF163" s="1004"/>
      <c r="ZG163" s="1004"/>
      <c r="ZH163" s="1004"/>
      <c r="ZI163" s="1004"/>
      <c r="ZJ163" s="1004"/>
      <c r="ZK163" s="1004"/>
      <c r="ZL163" s="1004"/>
      <c r="ZM163" s="1004"/>
      <c r="ZN163" s="1004"/>
      <c r="ZO163" s="1004"/>
      <c r="ZP163" s="1004"/>
      <c r="ZQ163" s="1004"/>
      <c r="ZR163" s="1004"/>
      <c r="ZS163" s="1004"/>
      <c r="ZT163" s="1004"/>
      <c r="ZU163" s="1004"/>
      <c r="ZV163" s="1004"/>
      <c r="ZW163" s="1004"/>
      <c r="ZX163" s="1004"/>
      <c r="ZY163" s="1004"/>
      <c r="ZZ163" s="1004"/>
      <c r="AAA163" s="1004"/>
      <c r="AAB163" s="1004"/>
      <c r="AAC163" s="1004"/>
      <c r="AAD163" s="1004"/>
      <c r="AAE163" s="1004"/>
      <c r="AAF163" s="1004"/>
      <c r="AAG163" s="1004"/>
      <c r="AAH163" s="1004"/>
      <c r="AAI163" s="1004"/>
      <c r="AAJ163" s="1004"/>
      <c r="AAK163" s="1004"/>
      <c r="AAL163" s="1004"/>
      <c r="AAM163" s="1004"/>
      <c r="AAN163" s="1004"/>
      <c r="AAO163" s="1004"/>
      <c r="AAP163" s="1004"/>
      <c r="AAQ163" s="1004"/>
      <c r="AAR163" s="1004"/>
      <c r="AAS163" s="1004"/>
      <c r="AAT163" s="1004"/>
      <c r="AAU163" s="1004"/>
      <c r="AAV163" s="1004"/>
      <c r="AAW163" s="1004"/>
      <c r="AAX163" s="1004"/>
      <c r="AAY163" s="1004"/>
      <c r="AAZ163" s="1004"/>
      <c r="ABA163" s="1004"/>
      <c r="ABB163" s="1004"/>
      <c r="ABC163" s="1004"/>
      <c r="ABD163" s="1004"/>
      <c r="ABE163" s="1004"/>
      <c r="ABF163" s="1004"/>
      <c r="ABG163" s="1004"/>
      <c r="ABH163" s="1004"/>
      <c r="ABI163" s="1004"/>
      <c r="ABJ163" s="1004"/>
      <c r="ABK163" s="1004"/>
      <c r="ABL163" s="1004"/>
      <c r="ABM163" s="1004"/>
      <c r="ABN163" s="1004"/>
      <c r="ABO163" s="1004"/>
      <c r="ABP163" s="1004"/>
      <c r="ABQ163" s="1004"/>
      <c r="ABR163" s="1004"/>
    </row>
    <row r="164" spans="1:746" s="80" customFormat="1" ht="12" customHeight="1">
      <c r="A164" s="924"/>
      <c r="B164" s="903" t="s">
        <v>794</v>
      </c>
      <c r="C164" s="820"/>
      <c r="D164" s="557"/>
      <c r="E164" s="558"/>
      <c r="F164" s="920"/>
      <c r="G164" s="920"/>
      <c r="H164" s="2164"/>
      <c r="I164" s="875"/>
      <c r="J164" s="875"/>
      <c r="K164" s="875"/>
      <c r="L164" s="875"/>
      <c r="M164" s="875"/>
      <c r="N164" s="875"/>
      <c r="O164" s="875"/>
      <c r="P164" s="875"/>
      <c r="Q164" s="875"/>
      <c r="R164" s="875"/>
      <c r="S164" s="875"/>
      <c r="T164" s="875"/>
      <c r="U164" s="875"/>
      <c r="V164" s="372"/>
      <c r="W164" s="875"/>
      <c r="X164" s="875"/>
      <c r="Y164" s="875"/>
      <c r="Z164" s="875"/>
      <c r="AA164" s="875"/>
      <c r="AB164" s="875"/>
      <c r="AC164" s="875"/>
      <c r="AD164" s="875"/>
      <c r="AE164" s="875"/>
      <c r="AF164" s="875"/>
      <c r="AG164" s="1042"/>
      <c r="AH164" s="336"/>
      <c r="AI164" s="336"/>
      <c r="AJ164" s="416">
        <f>IF(fx!$C$57=1,SUMIF(fx!I$57:T$57,1,I164:T164),IF(fx!$C$57=2,SUMIF(fx!O$57:AF$57,1,O164:AF164)))</f>
        <v>0</v>
      </c>
      <c r="AK164" s="328"/>
      <c r="AL164" s="422">
        <f>IF(fx!$C$57=1,SUM(U164:AF164),0)</f>
        <v>0</v>
      </c>
      <c r="AM164" s="1004"/>
      <c r="AN164" s="1017"/>
      <c r="AO164" s="1945"/>
      <c r="AP164" s="1935"/>
      <c r="AQ164" s="1936"/>
      <c r="AR164" s="1941"/>
      <c r="AS164" s="1941"/>
      <c r="AT164" s="1941"/>
      <c r="AU164" s="1941"/>
      <c r="AV164" s="1941"/>
      <c r="AW164" s="1941"/>
      <c r="AX164" s="1941"/>
      <c r="AY164" s="1941"/>
      <c r="AZ164" s="1941"/>
      <c r="BA164" s="1941"/>
      <c r="BB164" s="1941"/>
      <c r="BC164" s="1941"/>
      <c r="BD164" s="1941"/>
      <c r="BE164" s="1941"/>
      <c r="BF164" s="1941"/>
      <c r="BG164" s="1941"/>
      <c r="BH164" s="1941"/>
      <c r="BI164" s="1941"/>
      <c r="BJ164" s="1941"/>
      <c r="BK164" s="1941"/>
      <c r="BL164" s="1941"/>
      <c r="BM164" s="1941"/>
      <c r="BN164" s="1941"/>
      <c r="BO164" s="1941"/>
      <c r="BP164" s="1009"/>
      <c r="BQ164" s="1009"/>
      <c r="BR164" s="1009"/>
      <c r="BS164" s="1009"/>
      <c r="BT164" s="1009"/>
      <c r="BU164" s="1009"/>
      <c r="BV164" s="1009"/>
      <c r="BW164" s="1009"/>
      <c r="BX164" s="1009"/>
      <c r="BY164" s="1009"/>
      <c r="BZ164" s="1009"/>
      <c r="CA164" s="1009"/>
      <c r="CB164" s="1009"/>
      <c r="CC164" s="1009"/>
      <c r="CD164" s="1009"/>
      <c r="CE164" s="1009"/>
      <c r="CF164" s="1009"/>
      <c r="CG164" s="1009"/>
      <c r="CH164" s="1009"/>
      <c r="CI164" s="1009"/>
      <c r="CJ164" s="1009"/>
      <c r="CK164" s="1009"/>
      <c r="CL164" s="1009"/>
      <c r="CM164" s="1009"/>
      <c r="CN164" s="1009"/>
      <c r="CO164" s="1009"/>
      <c r="CP164" s="1009"/>
      <c r="CQ164" s="1009"/>
      <c r="CR164" s="1009"/>
      <c r="CS164" s="1009"/>
      <c r="CT164" s="1009"/>
      <c r="CU164" s="1009"/>
      <c r="CV164" s="1009"/>
      <c r="CW164" s="1009"/>
      <c r="CX164" s="1009"/>
      <c r="CY164" s="1009"/>
      <c r="CZ164" s="1009"/>
      <c r="DA164" s="1009"/>
      <c r="DB164" s="1009"/>
      <c r="DC164" s="1009"/>
      <c r="DD164" s="1009"/>
      <c r="DE164" s="1009"/>
      <c r="DF164" s="1009"/>
      <c r="DG164" s="1009"/>
      <c r="DH164" s="1009"/>
      <c r="DI164" s="1009"/>
      <c r="DJ164" s="1009"/>
      <c r="DK164" s="1009"/>
      <c r="DL164" s="1009"/>
      <c r="DM164" s="1009"/>
      <c r="DN164" s="1009"/>
      <c r="DO164" s="1009"/>
      <c r="DP164" s="1009"/>
      <c r="DQ164" s="1009"/>
      <c r="DR164" s="1009"/>
      <c r="DS164" s="1009"/>
      <c r="DT164" s="1009"/>
      <c r="DU164" s="1009"/>
      <c r="DV164" s="1009"/>
      <c r="DW164" s="1009"/>
      <c r="DX164" s="1009"/>
      <c r="DY164" s="1009"/>
      <c r="DZ164" s="1009"/>
      <c r="EA164" s="1009"/>
      <c r="EB164" s="1009"/>
      <c r="EC164" s="1009"/>
      <c r="ED164" s="1009"/>
      <c r="EE164" s="1009"/>
      <c r="EF164" s="1009"/>
      <c r="EG164" s="1009"/>
      <c r="EH164" s="1009"/>
      <c r="EI164" s="1009"/>
      <c r="EJ164" s="1009"/>
      <c r="EK164" s="1009"/>
      <c r="EL164" s="1009"/>
      <c r="EM164" s="1009"/>
      <c r="EN164" s="1009"/>
      <c r="EO164" s="1009"/>
      <c r="EP164" s="1009"/>
      <c r="EQ164" s="1009"/>
      <c r="ER164" s="1009"/>
      <c r="ES164" s="1009"/>
      <c r="ET164" s="1009"/>
      <c r="EU164" s="1009"/>
      <c r="EV164" s="1009"/>
      <c r="EW164" s="1009"/>
      <c r="EX164" s="1009"/>
      <c r="EY164" s="1009"/>
      <c r="EZ164" s="1009"/>
      <c r="FA164" s="1009"/>
      <c r="FB164" s="1009"/>
      <c r="FC164" s="1009"/>
      <c r="FD164" s="1009"/>
      <c r="FE164" s="1009"/>
      <c r="FF164" s="1009"/>
      <c r="FG164" s="1009"/>
      <c r="FH164" s="1009"/>
      <c r="FI164" s="1009"/>
      <c r="FJ164" s="1009"/>
      <c r="FK164" s="1009"/>
      <c r="FL164" s="1009"/>
      <c r="FM164" s="1009"/>
      <c r="FN164" s="1009"/>
      <c r="FO164" s="1009"/>
      <c r="FP164" s="1009"/>
      <c r="FQ164" s="1009"/>
      <c r="FR164" s="1009"/>
      <c r="FS164" s="1009"/>
      <c r="FT164" s="1009"/>
      <c r="FU164" s="1009"/>
      <c r="FV164" s="1009"/>
      <c r="FW164" s="1009"/>
      <c r="FX164" s="1009"/>
      <c r="FY164" s="1009"/>
      <c r="FZ164" s="1009"/>
      <c r="GA164" s="1009"/>
      <c r="GB164" s="1009"/>
      <c r="GC164" s="1009"/>
      <c r="GD164" s="1009"/>
      <c r="GE164" s="1009"/>
      <c r="GF164" s="1009"/>
      <c r="GG164" s="1009"/>
      <c r="GH164" s="1009"/>
      <c r="GI164" s="1009"/>
      <c r="GJ164" s="1009"/>
      <c r="GK164" s="1009"/>
      <c r="GL164" s="1009"/>
      <c r="GM164" s="1009"/>
      <c r="GN164" s="1009"/>
      <c r="GO164" s="1009"/>
      <c r="GP164" s="1009"/>
      <c r="GQ164" s="1009"/>
      <c r="GR164" s="1009"/>
      <c r="GS164" s="1009"/>
      <c r="GT164" s="1009"/>
      <c r="GU164" s="1009"/>
      <c r="GV164" s="1009"/>
      <c r="GW164" s="1009"/>
      <c r="GX164" s="1009"/>
      <c r="GY164" s="1009"/>
      <c r="GZ164" s="1009"/>
      <c r="HA164" s="1009"/>
      <c r="HB164" s="1009"/>
      <c r="HC164" s="1009"/>
      <c r="HD164" s="1009"/>
      <c r="HE164" s="1009"/>
      <c r="HF164" s="1009"/>
      <c r="HG164" s="1009"/>
      <c r="HH164" s="1009"/>
      <c r="HI164" s="1009"/>
      <c r="HJ164" s="1009"/>
      <c r="HK164" s="1009"/>
      <c r="HL164" s="1009"/>
      <c r="HM164" s="1009"/>
      <c r="HN164" s="1009"/>
      <c r="HO164" s="1009"/>
      <c r="HP164" s="1009"/>
      <c r="HQ164" s="1009"/>
      <c r="HR164" s="1009"/>
      <c r="HS164" s="1009"/>
      <c r="HT164" s="1009"/>
      <c r="HU164" s="1009"/>
      <c r="HV164" s="1009"/>
      <c r="HW164" s="1009"/>
      <c r="HX164" s="1009"/>
      <c r="HY164" s="1009"/>
      <c r="HZ164" s="1009"/>
      <c r="IA164" s="1009"/>
      <c r="IB164" s="1009"/>
      <c r="IC164" s="1009"/>
      <c r="ID164" s="1009"/>
      <c r="IE164" s="1009"/>
      <c r="IF164" s="1009"/>
      <c r="IG164" s="1009"/>
      <c r="IH164" s="1009"/>
      <c r="II164" s="1009"/>
      <c r="IJ164" s="1009"/>
      <c r="IK164" s="1009"/>
      <c r="IL164" s="1009"/>
      <c r="IM164" s="1009"/>
      <c r="IN164" s="1009"/>
      <c r="IO164" s="1009"/>
      <c r="IP164" s="1009"/>
      <c r="IQ164" s="1009"/>
      <c r="IR164" s="1009"/>
      <c r="IS164" s="1009"/>
      <c r="IT164" s="1009"/>
      <c r="IU164" s="1009"/>
      <c r="IV164" s="1009"/>
      <c r="IW164" s="1009"/>
      <c r="IX164" s="1009"/>
      <c r="IY164" s="1009"/>
      <c r="IZ164" s="1009"/>
      <c r="JA164" s="1009"/>
      <c r="JB164" s="1009"/>
      <c r="JC164" s="1009"/>
      <c r="JD164" s="1009"/>
      <c r="JE164" s="1009"/>
      <c r="JF164" s="1009"/>
      <c r="JG164" s="1009"/>
      <c r="JH164" s="1009"/>
      <c r="JI164" s="1009"/>
      <c r="JJ164" s="1009"/>
      <c r="JK164" s="1009"/>
      <c r="JL164" s="1009"/>
      <c r="JM164" s="1009"/>
      <c r="JN164" s="1009"/>
      <c r="JO164" s="1009"/>
      <c r="JP164" s="1009"/>
      <c r="JQ164" s="1009"/>
      <c r="JR164" s="1009"/>
      <c r="JS164" s="1009"/>
      <c r="JT164" s="1009"/>
      <c r="JU164" s="1009"/>
      <c r="JV164" s="1009"/>
      <c r="JW164" s="1009"/>
      <c r="JX164" s="1009"/>
      <c r="JY164" s="1009"/>
      <c r="JZ164" s="1009"/>
      <c r="KA164" s="1009"/>
      <c r="KB164" s="1009"/>
      <c r="KC164" s="1009"/>
      <c r="KD164" s="1009"/>
      <c r="KE164" s="1009"/>
      <c r="KF164" s="1009"/>
      <c r="KG164" s="1009"/>
      <c r="KH164" s="1009"/>
      <c r="KI164" s="1009"/>
      <c r="KJ164" s="1009"/>
      <c r="KK164" s="1009"/>
      <c r="KL164" s="1009"/>
      <c r="KM164" s="1009"/>
      <c r="KN164" s="1009"/>
      <c r="KO164" s="1009"/>
      <c r="KP164" s="1009"/>
      <c r="KQ164" s="1009"/>
      <c r="KR164" s="1009"/>
      <c r="KS164" s="1009"/>
      <c r="KT164" s="1009"/>
      <c r="KU164" s="1009"/>
      <c r="KV164" s="1009"/>
      <c r="KW164" s="1009"/>
      <c r="KX164" s="1009"/>
      <c r="KY164" s="1009"/>
      <c r="KZ164" s="1009"/>
      <c r="LA164" s="1009"/>
      <c r="LB164" s="1009"/>
      <c r="LC164" s="1009"/>
      <c r="LD164" s="1009"/>
      <c r="LE164" s="1009"/>
      <c r="LF164" s="1009"/>
      <c r="LG164" s="1009"/>
      <c r="LH164" s="1009"/>
      <c r="LI164" s="1009"/>
      <c r="LJ164" s="1009"/>
      <c r="LK164" s="1009"/>
      <c r="LL164" s="1009"/>
      <c r="LM164" s="1009"/>
      <c r="LN164" s="1009"/>
      <c r="LO164" s="1009"/>
      <c r="LP164" s="1009"/>
      <c r="LQ164" s="1009"/>
      <c r="LR164" s="1009"/>
      <c r="LS164" s="1009"/>
      <c r="LT164" s="1009"/>
      <c r="LU164" s="1009"/>
      <c r="LV164" s="1009"/>
      <c r="LW164" s="1009"/>
      <c r="LX164" s="1009"/>
      <c r="LY164" s="1009"/>
      <c r="LZ164" s="1009"/>
      <c r="MA164" s="1009"/>
      <c r="MB164" s="1009"/>
      <c r="MC164" s="1009"/>
      <c r="MD164" s="1009"/>
      <c r="ME164" s="1009"/>
      <c r="MF164" s="1009"/>
      <c r="MG164" s="1009"/>
      <c r="MH164" s="1009"/>
      <c r="MI164" s="1009"/>
      <c r="MJ164" s="1009"/>
      <c r="MK164" s="1009"/>
      <c r="ML164" s="1009"/>
      <c r="MM164" s="1009"/>
      <c r="MN164" s="1009"/>
      <c r="MO164" s="1009"/>
      <c r="MP164" s="1009"/>
      <c r="MQ164" s="1009"/>
      <c r="MR164" s="1009"/>
      <c r="MS164" s="1009"/>
      <c r="MT164" s="1009"/>
      <c r="MU164" s="1009"/>
      <c r="MV164" s="1009"/>
      <c r="MW164" s="1009"/>
      <c r="MX164" s="1009"/>
      <c r="MY164" s="1009"/>
      <c r="MZ164" s="1009"/>
      <c r="NA164" s="1009"/>
      <c r="NB164" s="1009"/>
      <c r="NC164" s="1009"/>
      <c r="ND164" s="1009"/>
      <c r="NE164" s="1009"/>
      <c r="NF164" s="1009"/>
      <c r="NG164" s="1009"/>
      <c r="NH164" s="1009"/>
      <c r="NI164" s="1009"/>
      <c r="NJ164" s="1009"/>
      <c r="NK164" s="1009"/>
      <c r="NL164" s="1009"/>
      <c r="NM164" s="1009"/>
      <c r="NN164" s="1009"/>
      <c r="NO164" s="1009"/>
      <c r="NP164" s="1009"/>
      <c r="NQ164" s="1009"/>
      <c r="NR164" s="1009"/>
      <c r="NS164" s="1009"/>
      <c r="NT164" s="1009"/>
      <c r="NU164" s="1009"/>
      <c r="NV164" s="1009"/>
      <c r="NW164" s="1009"/>
      <c r="NX164" s="1009"/>
      <c r="NY164" s="1009"/>
      <c r="NZ164" s="1009"/>
      <c r="OA164" s="1009"/>
      <c r="OB164" s="1009"/>
      <c r="OC164" s="1009"/>
      <c r="OD164" s="1009"/>
      <c r="OE164" s="1009"/>
      <c r="OF164" s="1009"/>
      <c r="OG164" s="1009"/>
      <c r="OH164" s="1009"/>
      <c r="OI164" s="1009"/>
      <c r="OJ164" s="1009"/>
      <c r="OK164" s="1009"/>
      <c r="OL164" s="1009"/>
      <c r="OM164" s="1009"/>
      <c r="ON164" s="1009"/>
      <c r="OO164" s="1009"/>
      <c r="OP164" s="1009"/>
      <c r="OQ164" s="1009"/>
      <c r="OR164" s="1009"/>
      <c r="OS164" s="1009"/>
      <c r="OT164" s="1009"/>
      <c r="OU164" s="1009"/>
      <c r="OV164" s="1009"/>
      <c r="OW164" s="1009"/>
      <c r="OX164" s="1009"/>
      <c r="OY164" s="1009"/>
      <c r="OZ164" s="1009"/>
      <c r="PA164" s="1009"/>
      <c r="PB164" s="1009"/>
      <c r="PC164" s="1009"/>
      <c r="PD164" s="1009"/>
      <c r="PE164" s="1009"/>
      <c r="PF164" s="1009"/>
      <c r="PG164" s="1009"/>
      <c r="PH164" s="1009"/>
      <c r="PI164" s="1009"/>
      <c r="PJ164" s="1009"/>
      <c r="PK164" s="1009"/>
      <c r="PL164" s="1009"/>
      <c r="PM164" s="1009"/>
      <c r="PN164" s="1009"/>
      <c r="PO164" s="1009"/>
      <c r="PP164" s="1009"/>
      <c r="PQ164" s="1009"/>
      <c r="PR164" s="1009"/>
      <c r="PS164" s="1009"/>
      <c r="PT164" s="1009"/>
      <c r="PU164" s="1009"/>
      <c r="PV164" s="1009"/>
      <c r="PW164" s="1009"/>
      <c r="PX164" s="1009"/>
      <c r="PY164" s="1009"/>
      <c r="PZ164" s="1009"/>
      <c r="QA164" s="1009"/>
      <c r="QB164" s="1009"/>
      <c r="QC164" s="1009"/>
      <c r="QD164" s="1009"/>
      <c r="QE164" s="1009"/>
      <c r="QF164" s="1009"/>
      <c r="QG164" s="1009"/>
      <c r="QH164" s="1009"/>
      <c r="QI164" s="1009"/>
      <c r="QJ164" s="1009"/>
      <c r="QK164" s="1009"/>
      <c r="QL164" s="1009"/>
      <c r="QM164" s="1009"/>
      <c r="QN164" s="1009"/>
      <c r="QO164" s="1009"/>
      <c r="QP164" s="1009"/>
      <c r="QQ164" s="1009"/>
      <c r="QR164" s="1009"/>
      <c r="QS164" s="1009"/>
      <c r="QT164" s="1009"/>
      <c r="QU164" s="1009"/>
      <c r="QV164" s="1009"/>
      <c r="QW164" s="1009"/>
      <c r="QX164" s="1009"/>
      <c r="QY164" s="1009"/>
      <c r="QZ164" s="1009"/>
      <c r="RA164" s="1009"/>
      <c r="RB164" s="1009"/>
      <c r="RC164" s="1009"/>
      <c r="RD164" s="1009"/>
      <c r="RE164" s="1009"/>
      <c r="RF164" s="1009"/>
      <c r="RG164" s="1009"/>
      <c r="RH164" s="1009"/>
      <c r="RI164" s="1009"/>
      <c r="RJ164" s="1009"/>
      <c r="RK164" s="1009"/>
      <c r="RL164" s="1009"/>
      <c r="RM164" s="1009"/>
      <c r="RN164" s="1009"/>
      <c r="RO164" s="1009"/>
      <c r="RP164" s="1009"/>
      <c r="RQ164" s="1009"/>
      <c r="RR164" s="1009"/>
      <c r="RS164" s="1009"/>
      <c r="RT164" s="1009"/>
      <c r="RU164" s="1009"/>
      <c r="RV164" s="1009"/>
      <c r="RW164" s="1009"/>
      <c r="RX164" s="1009"/>
      <c r="RY164" s="1009"/>
      <c r="RZ164" s="1009"/>
      <c r="SA164" s="1009"/>
      <c r="SB164" s="1009"/>
      <c r="SC164" s="1009"/>
      <c r="SD164" s="1009"/>
      <c r="SE164" s="1009"/>
      <c r="SF164" s="1009"/>
      <c r="SG164" s="1009"/>
      <c r="SH164" s="1009"/>
      <c r="SI164" s="1009"/>
      <c r="SJ164" s="1009"/>
      <c r="SK164" s="1009"/>
      <c r="SL164" s="1009"/>
      <c r="SM164" s="1009"/>
      <c r="SN164" s="1009"/>
      <c r="SO164" s="1009"/>
      <c r="SP164" s="1009"/>
      <c r="SQ164" s="1009"/>
      <c r="SR164" s="1009"/>
      <c r="SS164" s="1009"/>
      <c r="ST164" s="1009"/>
      <c r="SU164" s="1009"/>
      <c r="SV164" s="1009"/>
      <c r="SW164" s="1009"/>
      <c r="SX164" s="1009"/>
      <c r="SY164" s="1009"/>
      <c r="SZ164" s="1009"/>
      <c r="TA164" s="1009"/>
      <c r="TB164" s="1009"/>
      <c r="TC164" s="1009"/>
      <c r="TD164" s="1009"/>
      <c r="TE164" s="1009"/>
      <c r="TF164" s="1009"/>
      <c r="TG164" s="1009"/>
      <c r="TH164" s="1009"/>
      <c r="TI164" s="1009"/>
      <c r="TJ164" s="1009"/>
      <c r="TK164" s="1009"/>
      <c r="TL164" s="1009"/>
      <c r="TM164" s="1009"/>
      <c r="TN164" s="1009"/>
      <c r="TO164" s="1009"/>
      <c r="TP164" s="1009"/>
      <c r="TQ164" s="1009"/>
      <c r="TR164" s="1009"/>
      <c r="TS164" s="1009"/>
      <c r="TT164" s="1009"/>
      <c r="TU164" s="1009"/>
      <c r="TV164" s="1009"/>
      <c r="TW164" s="1009"/>
      <c r="TX164" s="1009"/>
      <c r="TY164" s="1009"/>
      <c r="TZ164" s="1009"/>
      <c r="UA164" s="1009"/>
      <c r="UB164" s="1009"/>
      <c r="UC164" s="1009"/>
      <c r="UD164" s="1009"/>
      <c r="UE164" s="1009"/>
      <c r="UF164" s="1009"/>
      <c r="UG164" s="1009"/>
      <c r="UH164" s="1009"/>
      <c r="UI164" s="1009"/>
      <c r="UJ164" s="1009"/>
      <c r="UK164" s="1009"/>
      <c r="UL164" s="1009"/>
      <c r="UM164" s="1009"/>
      <c r="UN164" s="1009"/>
      <c r="UO164" s="1009"/>
      <c r="UP164" s="1009"/>
      <c r="UQ164" s="1009"/>
      <c r="UR164" s="1009"/>
      <c r="US164" s="1009"/>
      <c r="UT164" s="1009"/>
      <c r="UU164" s="1009"/>
      <c r="UV164" s="1009"/>
      <c r="UW164" s="1009"/>
      <c r="UX164" s="1009"/>
      <c r="UY164" s="1009"/>
      <c r="UZ164" s="1009"/>
      <c r="VA164" s="1009"/>
      <c r="VB164" s="1009"/>
      <c r="VC164" s="1009"/>
      <c r="VD164" s="1009"/>
      <c r="VE164" s="1009"/>
      <c r="VF164" s="1009"/>
      <c r="VG164" s="1009"/>
      <c r="VH164" s="1009"/>
      <c r="VI164" s="1009"/>
      <c r="VJ164" s="1009"/>
      <c r="VK164" s="1009"/>
      <c r="VL164" s="1009"/>
      <c r="VM164" s="1009"/>
      <c r="VN164" s="1009"/>
      <c r="VO164" s="1009"/>
      <c r="VP164" s="1009"/>
      <c r="VQ164" s="1009"/>
      <c r="VR164" s="1009"/>
      <c r="VS164" s="1009"/>
      <c r="VT164" s="1009"/>
      <c r="VU164" s="1009"/>
      <c r="VV164" s="1009"/>
      <c r="VW164" s="1009"/>
      <c r="VX164" s="1009"/>
      <c r="VY164" s="1009"/>
      <c r="VZ164" s="1009"/>
      <c r="WA164" s="1009"/>
      <c r="WB164" s="1009"/>
      <c r="WC164" s="1009"/>
      <c r="WD164" s="1009"/>
      <c r="WE164" s="1009"/>
      <c r="WF164" s="1009"/>
      <c r="WG164" s="1009"/>
      <c r="WH164" s="1009"/>
      <c r="WI164" s="1009"/>
      <c r="WJ164" s="1009"/>
      <c r="WK164" s="1009"/>
      <c r="WL164" s="1009"/>
      <c r="WM164" s="1009"/>
      <c r="WN164" s="1009"/>
      <c r="WO164" s="1009"/>
      <c r="WP164" s="1009"/>
      <c r="WQ164" s="1009"/>
      <c r="WR164" s="1009"/>
      <c r="WS164" s="1009"/>
      <c r="WT164" s="1009"/>
      <c r="WU164" s="1009"/>
      <c r="WV164" s="1009"/>
      <c r="WW164" s="1009"/>
      <c r="WX164" s="1009"/>
      <c r="WY164" s="1009"/>
      <c r="WZ164" s="1009"/>
      <c r="XA164" s="1009"/>
      <c r="XB164" s="1009"/>
      <c r="XC164" s="1009"/>
      <c r="XD164" s="1009"/>
      <c r="XE164" s="1009"/>
      <c r="XF164" s="1009"/>
      <c r="XG164" s="1009"/>
      <c r="XH164" s="1009"/>
      <c r="XI164" s="1009"/>
      <c r="XJ164" s="1009"/>
      <c r="XK164" s="1009"/>
      <c r="XL164" s="1009"/>
      <c r="XM164" s="1009"/>
      <c r="XN164" s="1009"/>
      <c r="XO164" s="1009"/>
      <c r="XP164" s="1009"/>
      <c r="XQ164" s="1009"/>
      <c r="XR164" s="1009"/>
      <c r="XS164" s="1009"/>
      <c r="XT164" s="1009"/>
      <c r="XU164" s="1009"/>
      <c r="XV164" s="1009"/>
      <c r="XW164" s="1009"/>
      <c r="XX164" s="1009"/>
      <c r="XY164" s="1009"/>
      <c r="XZ164" s="1009"/>
      <c r="YA164" s="1009"/>
      <c r="YB164" s="1009"/>
      <c r="YC164" s="1009"/>
      <c r="YD164" s="1009"/>
      <c r="YE164" s="1009"/>
      <c r="YF164" s="1009"/>
      <c r="YG164" s="1009"/>
      <c r="YH164" s="1009"/>
      <c r="YI164" s="1009"/>
      <c r="YJ164" s="1009"/>
      <c r="YK164" s="1009"/>
      <c r="YL164" s="1009"/>
      <c r="YM164" s="1009"/>
      <c r="YN164" s="1009"/>
      <c r="YO164" s="1009"/>
      <c r="YP164" s="1009"/>
      <c r="YQ164" s="1009"/>
      <c r="YR164" s="1009"/>
      <c r="YS164" s="1009"/>
      <c r="YT164" s="1009"/>
      <c r="YU164" s="1009"/>
      <c r="YV164" s="1009"/>
      <c r="YW164" s="1009"/>
      <c r="YX164" s="1009"/>
      <c r="YY164" s="1009"/>
      <c r="YZ164" s="1009"/>
      <c r="ZA164" s="1009"/>
      <c r="ZB164" s="1009"/>
      <c r="ZC164" s="1009"/>
      <c r="ZD164" s="1009"/>
      <c r="ZE164" s="1009"/>
      <c r="ZF164" s="1009"/>
      <c r="ZG164" s="1009"/>
      <c r="ZH164" s="1009"/>
      <c r="ZI164" s="1009"/>
      <c r="ZJ164" s="1009"/>
      <c r="ZK164" s="1009"/>
      <c r="ZL164" s="1009"/>
      <c r="ZM164" s="1009"/>
      <c r="ZN164" s="1009"/>
      <c r="ZO164" s="1009"/>
      <c r="ZP164" s="1009"/>
      <c r="ZQ164" s="1009"/>
      <c r="ZR164" s="1009"/>
      <c r="ZS164" s="1009"/>
      <c r="ZT164" s="1009"/>
      <c r="ZU164" s="1009"/>
      <c r="ZV164" s="1009"/>
      <c r="ZW164" s="1009"/>
      <c r="ZX164" s="1009"/>
      <c r="ZY164" s="1009"/>
      <c r="ZZ164" s="1009"/>
      <c r="AAA164" s="1009"/>
      <c r="AAB164" s="1009"/>
      <c r="AAC164" s="1009"/>
      <c r="AAD164" s="1009"/>
      <c r="AAE164" s="1009"/>
      <c r="AAF164" s="1009"/>
      <c r="AAG164" s="1009"/>
      <c r="AAH164" s="1009"/>
      <c r="AAI164" s="1009"/>
      <c r="AAJ164" s="1009"/>
      <c r="AAK164" s="1009"/>
      <c r="AAL164" s="1009"/>
      <c r="AAM164" s="1009"/>
      <c r="AAN164" s="1009"/>
      <c r="AAO164" s="1009"/>
      <c r="AAP164" s="1009"/>
      <c r="AAQ164" s="1009"/>
      <c r="AAR164" s="1009"/>
      <c r="AAS164" s="1009"/>
      <c r="AAT164" s="1009"/>
      <c r="AAU164" s="1009"/>
      <c r="AAV164" s="1009"/>
      <c r="AAW164" s="1009"/>
      <c r="AAX164" s="1009"/>
      <c r="AAY164" s="1009"/>
      <c r="AAZ164" s="1009"/>
      <c r="ABA164" s="1009"/>
      <c r="ABB164" s="1009"/>
      <c r="ABC164" s="1009"/>
      <c r="ABD164" s="1009"/>
      <c r="ABE164" s="1009"/>
      <c r="ABF164" s="1009"/>
      <c r="ABG164" s="1009"/>
      <c r="ABH164" s="1009"/>
      <c r="ABI164" s="1009"/>
      <c r="ABJ164" s="1009"/>
      <c r="ABK164" s="1009"/>
      <c r="ABL164" s="1009"/>
      <c r="ABM164" s="1009"/>
      <c r="ABN164" s="1009"/>
      <c r="ABO164" s="1009"/>
      <c r="ABP164" s="1009"/>
      <c r="ABQ164" s="1009"/>
      <c r="ABR164" s="1009"/>
    </row>
    <row r="165" spans="1:746" s="1" customFormat="1" ht="12.75" customHeight="1">
      <c r="A165" s="924"/>
      <c r="B165" s="956" t="s">
        <v>1027</v>
      </c>
      <c r="C165" s="1845"/>
      <c r="D165" s="1845"/>
      <c r="E165" s="1845"/>
      <c r="F165" s="1845"/>
      <c r="G165" s="1845"/>
      <c r="H165" s="2182">
        <f>IF(SUM(I164:T164)&gt;T165,1,0)</f>
        <v>0</v>
      </c>
      <c r="I165" s="1771">
        <f>SUMIF(fx!$I$57:I57,1,$I$164:I164)</f>
        <v>0</v>
      </c>
      <c r="J165" s="1771">
        <f>SUMIF(fx!$I$57:J57,1,$I$164:J164)</f>
        <v>0</v>
      </c>
      <c r="K165" s="1771">
        <f>SUMIF(fx!$I$57:K57,1,$I$164:K164)</f>
        <v>0</v>
      </c>
      <c r="L165" s="1771">
        <f>SUMIF(fx!$I$57:L57,1,$I$164:L164)</f>
        <v>0</v>
      </c>
      <c r="M165" s="1771">
        <f>SUMIF(fx!$I$57:M57,1,$I$164:M164)</f>
        <v>0</v>
      </c>
      <c r="N165" s="1771">
        <f>SUMIF(fx!$I$57:N57,1,$I$164:N164)</f>
        <v>0</v>
      </c>
      <c r="O165" s="1771">
        <f>SUMIF(fx!$I$57:O57,1,$I$164:O164)</f>
        <v>0</v>
      </c>
      <c r="P165" s="1771">
        <f>SUMIF(fx!$I$57:P57,1,$I$164:P164)</f>
        <v>0</v>
      </c>
      <c r="Q165" s="1771">
        <f>SUMIF(fx!$I$57:Q57,1,$I$164:Q164)</f>
        <v>0</v>
      </c>
      <c r="R165" s="1771">
        <f>SUMIF(fx!$I$57:R57,1,$I$164:R164)</f>
        <v>0</v>
      </c>
      <c r="S165" s="1771">
        <f>SUMIF(fx!$I$57:S57,1,$I$164:S164)</f>
        <v>0</v>
      </c>
      <c r="T165" s="1771">
        <f>SUMIF(fx!$I$57:T57,1,$I$164:T164)</f>
        <v>0</v>
      </c>
      <c r="U165" s="1771">
        <f>SUMIF(fx!$I$57:U57,1,$I$164:U164)</f>
        <v>0</v>
      </c>
      <c r="V165" s="1771">
        <f>SUMIF(fx!$I$57:V57,1,$I$164:V164)</f>
        <v>0</v>
      </c>
      <c r="W165" s="1771">
        <f>SUMIF(fx!$I$57:W57,1,$I$164:W164)</f>
        <v>0</v>
      </c>
      <c r="X165" s="1771">
        <f>SUMIF(fx!$I$57:X57,1,$I$164:X164)</f>
        <v>0</v>
      </c>
      <c r="Y165" s="1771">
        <f>SUMIF(fx!$I$57:Y57,1,$I$164:Y164)</f>
        <v>0</v>
      </c>
      <c r="Z165" s="1771">
        <f>SUMIF(fx!$I$57:Z57,1,$I$164:Z164)</f>
        <v>0</v>
      </c>
      <c r="AA165" s="1771">
        <f>SUMIF(fx!$I$57:AA57,1,$I$164:AA164)</f>
        <v>0</v>
      </c>
      <c r="AB165" s="1771">
        <f>SUMIF(fx!$I$57:AB57,1,$I$164:AB164)</f>
        <v>0</v>
      </c>
      <c r="AC165" s="1771">
        <f>SUMIF(fx!$I$57:AC57,1,$I$164:AC164)</f>
        <v>0</v>
      </c>
      <c r="AD165" s="1771">
        <f>SUMIF(fx!$I$57:AD57,1,$I$164:AD164)</f>
        <v>0</v>
      </c>
      <c r="AE165" s="1771">
        <f>SUMIF(fx!$I$57:AE57,1,$I$164:AE164)</f>
        <v>0</v>
      </c>
      <c r="AF165" s="1771">
        <f>SUMIF(fx!$I$57:AF57,1,$I$164:AF164)</f>
        <v>0</v>
      </c>
      <c r="AG165" s="376"/>
      <c r="AH165" s="889"/>
      <c r="AI165" s="889"/>
      <c r="AJ165" s="934">
        <f>IF(fx!$C$57=1,T165,IF(fx!$C$57=2,AF165))</f>
        <v>0</v>
      </c>
      <c r="AK165" s="919"/>
      <c r="AL165" s="934">
        <f>IF(fx!$C$57=1,AF165,0)</f>
        <v>0</v>
      </c>
      <c r="AM165" s="1004"/>
      <c r="AN165" s="1017"/>
      <c r="AO165" s="1945"/>
      <c r="AP165" s="1935"/>
      <c r="AQ165" s="1936"/>
      <c r="AR165" s="1941"/>
      <c r="AS165" s="1941"/>
      <c r="AT165" s="1941"/>
      <c r="AU165" s="1941"/>
      <c r="AV165" s="1941"/>
      <c r="AW165" s="1941"/>
      <c r="AX165" s="1941"/>
      <c r="AY165" s="1941"/>
      <c r="AZ165" s="1941"/>
      <c r="BA165" s="1941"/>
      <c r="BB165" s="1941"/>
      <c r="BC165" s="1941"/>
      <c r="BD165" s="1941"/>
      <c r="BE165" s="1941"/>
      <c r="BF165" s="1941"/>
      <c r="BG165" s="1941"/>
      <c r="BH165" s="1941"/>
      <c r="BI165" s="1941"/>
      <c r="BJ165" s="1941"/>
      <c r="BK165" s="1941"/>
      <c r="BL165" s="1941"/>
      <c r="BM165" s="1941"/>
      <c r="BN165" s="1941"/>
      <c r="BO165" s="1941"/>
      <c r="BP165" s="1004"/>
      <c r="BQ165" s="1004"/>
      <c r="BR165" s="1004"/>
      <c r="BS165" s="1004"/>
      <c r="BT165" s="1004"/>
      <c r="BU165" s="1004"/>
      <c r="BV165" s="1004"/>
      <c r="BW165" s="1004"/>
      <c r="BX165" s="1004"/>
      <c r="BY165" s="1004"/>
      <c r="BZ165" s="1004"/>
      <c r="CA165" s="1004"/>
      <c r="CB165" s="1004"/>
      <c r="CC165" s="1004"/>
      <c r="CD165" s="1004"/>
      <c r="CE165" s="1004"/>
      <c r="CF165" s="1004"/>
      <c r="CG165" s="1004"/>
      <c r="CH165" s="1004"/>
      <c r="CI165" s="1004"/>
      <c r="CJ165" s="1004"/>
      <c r="CK165" s="1004"/>
      <c r="CL165" s="1004"/>
      <c r="CM165" s="1004"/>
      <c r="CN165" s="1004"/>
      <c r="CO165" s="1004"/>
      <c r="CP165" s="1004"/>
      <c r="CQ165" s="1004"/>
      <c r="CR165" s="1004"/>
      <c r="CS165" s="1004"/>
      <c r="CT165" s="1004"/>
      <c r="CU165" s="1004"/>
      <c r="CV165" s="1004"/>
      <c r="CW165" s="1004"/>
      <c r="CX165" s="1004"/>
      <c r="CY165" s="1004"/>
      <c r="CZ165" s="1004"/>
      <c r="DA165" s="1004"/>
      <c r="DB165" s="1004"/>
      <c r="DC165" s="1004"/>
      <c r="DD165" s="1004"/>
      <c r="DE165" s="1004"/>
      <c r="DF165" s="1004"/>
      <c r="DG165" s="1004"/>
      <c r="DH165" s="1004"/>
      <c r="DI165" s="1004"/>
      <c r="DJ165" s="1004"/>
      <c r="DK165" s="1004"/>
      <c r="DL165" s="1004"/>
      <c r="DM165" s="1004"/>
      <c r="DN165" s="1004"/>
      <c r="DO165" s="1004"/>
      <c r="DP165" s="1004"/>
      <c r="DQ165" s="1004"/>
      <c r="DR165" s="1004"/>
      <c r="DS165" s="1004"/>
      <c r="DT165" s="1004"/>
      <c r="DU165" s="1004"/>
      <c r="DV165" s="1004"/>
      <c r="DW165" s="1004"/>
      <c r="DX165" s="1004"/>
      <c r="DY165" s="1004"/>
      <c r="DZ165" s="1004"/>
      <c r="EA165" s="1004"/>
      <c r="EB165" s="1004"/>
      <c r="EC165" s="1004"/>
      <c r="ED165" s="1004"/>
      <c r="EE165" s="1004"/>
      <c r="EF165" s="1004"/>
      <c r="EG165" s="1004"/>
      <c r="EH165" s="1004"/>
      <c r="EI165" s="1004"/>
      <c r="EJ165" s="1004"/>
      <c r="EK165" s="1004"/>
      <c r="EL165" s="1004"/>
      <c r="EM165" s="1004"/>
      <c r="EN165" s="1004"/>
      <c r="EO165" s="1004"/>
      <c r="EP165" s="1004"/>
      <c r="EQ165" s="1004"/>
      <c r="ER165" s="1004"/>
      <c r="ES165" s="1004"/>
      <c r="ET165" s="1004"/>
      <c r="EU165" s="1004"/>
      <c r="EV165" s="1004"/>
      <c r="EW165" s="1004"/>
      <c r="EX165" s="1004"/>
      <c r="EY165" s="1004"/>
      <c r="EZ165" s="1004"/>
      <c r="FA165" s="1004"/>
      <c r="FB165" s="1004"/>
      <c r="FC165" s="1004"/>
      <c r="FD165" s="1004"/>
      <c r="FE165" s="1004"/>
      <c r="FF165" s="1004"/>
      <c r="FG165" s="1004"/>
      <c r="FH165" s="1004"/>
      <c r="FI165" s="1004"/>
      <c r="FJ165" s="1004"/>
      <c r="FK165" s="1004"/>
      <c r="FL165" s="1004"/>
      <c r="FM165" s="1004"/>
      <c r="FN165" s="1004"/>
      <c r="FO165" s="1004"/>
      <c r="FP165" s="1004"/>
      <c r="FQ165" s="1004"/>
      <c r="FR165" s="1004"/>
      <c r="FS165" s="1004"/>
      <c r="FT165" s="1004"/>
      <c r="FU165" s="1004"/>
      <c r="FV165" s="1004"/>
      <c r="FW165" s="1004"/>
      <c r="FX165" s="1004"/>
      <c r="FY165" s="1004"/>
      <c r="FZ165" s="1004"/>
      <c r="GA165" s="1004"/>
      <c r="GB165" s="1004"/>
      <c r="GC165" s="1004"/>
      <c r="GD165" s="1004"/>
      <c r="GE165" s="1004"/>
      <c r="GF165" s="1004"/>
      <c r="GG165" s="1004"/>
      <c r="GH165" s="1004"/>
      <c r="GI165" s="1004"/>
      <c r="GJ165" s="1004"/>
      <c r="GK165" s="1004"/>
      <c r="GL165" s="1004"/>
      <c r="GM165" s="1004"/>
      <c r="GN165" s="1004"/>
      <c r="GO165" s="1004"/>
      <c r="GP165" s="1004"/>
      <c r="GQ165" s="1004"/>
      <c r="GR165" s="1004"/>
      <c r="GS165" s="1004"/>
      <c r="GT165" s="1004"/>
      <c r="GU165" s="1004"/>
      <c r="GV165" s="1004"/>
      <c r="GW165" s="1004"/>
      <c r="GX165" s="1004"/>
      <c r="GY165" s="1004"/>
      <c r="GZ165" s="1004"/>
      <c r="HA165" s="1004"/>
      <c r="HB165" s="1004"/>
      <c r="HC165" s="1004"/>
      <c r="HD165" s="1004"/>
      <c r="HE165" s="1004"/>
      <c r="HF165" s="1004"/>
      <c r="HG165" s="1004"/>
      <c r="HH165" s="1004"/>
      <c r="HI165" s="1004"/>
      <c r="HJ165" s="1004"/>
      <c r="HK165" s="1004"/>
      <c r="HL165" s="1004"/>
      <c r="HM165" s="1004"/>
      <c r="HN165" s="1004"/>
      <c r="HO165" s="1004"/>
      <c r="HP165" s="1004"/>
      <c r="HQ165" s="1004"/>
      <c r="HR165" s="1004"/>
      <c r="HS165" s="1004"/>
      <c r="HT165" s="1004"/>
      <c r="HU165" s="1004"/>
      <c r="HV165" s="1004"/>
      <c r="HW165" s="1004"/>
      <c r="HX165" s="1004"/>
      <c r="HY165" s="1004"/>
      <c r="HZ165" s="1004"/>
      <c r="IA165" s="1004"/>
      <c r="IB165" s="1004"/>
      <c r="IC165" s="1004"/>
      <c r="ID165" s="1004"/>
      <c r="IE165" s="1004"/>
      <c r="IF165" s="1004"/>
      <c r="IG165" s="1004"/>
      <c r="IH165" s="1004"/>
      <c r="II165" s="1004"/>
      <c r="IJ165" s="1004"/>
      <c r="IK165" s="1004"/>
      <c r="IL165" s="1004"/>
      <c r="IM165" s="1004"/>
      <c r="IN165" s="1004"/>
      <c r="IO165" s="1004"/>
      <c r="IP165" s="1004"/>
      <c r="IQ165" s="1004"/>
      <c r="IR165" s="1004"/>
      <c r="IS165" s="1004"/>
      <c r="IT165" s="1004"/>
      <c r="IU165" s="1004"/>
      <c r="IV165" s="1004"/>
      <c r="IW165" s="1004"/>
      <c r="IX165" s="1004"/>
      <c r="IY165" s="1004"/>
      <c r="IZ165" s="1004"/>
      <c r="JA165" s="1004"/>
      <c r="JB165" s="1004"/>
      <c r="JC165" s="1004"/>
      <c r="JD165" s="1004"/>
      <c r="JE165" s="1004"/>
      <c r="JF165" s="1004"/>
      <c r="JG165" s="1004"/>
      <c r="JH165" s="1004"/>
      <c r="JI165" s="1004"/>
      <c r="JJ165" s="1004"/>
      <c r="JK165" s="1004"/>
      <c r="JL165" s="1004"/>
      <c r="JM165" s="1004"/>
      <c r="JN165" s="1004"/>
      <c r="JO165" s="1004"/>
      <c r="JP165" s="1004"/>
      <c r="JQ165" s="1004"/>
      <c r="JR165" s="1004"/>
      <c r="JS165" s="1004"/>
      <c r="JT165" s="1004"/>
      <c r="JU165" s="1004"/>
      <c r="JV165" s="1004"/>
      <c r="JW165" s="1004"/>
      <c r="JX165" s="1004"/>
      <c r="JY165" s="1004"/>
      <c r="JZ165" s="1004"/>
      <c r="KA165" s="1004"/>
      <c r="KB165" s="1004"/>
      <c r="KC165" s="1004"/>
      <c r="KD165" s="1004"/>
      <c r="KE165" s="1004"/>
      <c r="KF165" s="1004"/>
      <c r="KG165" s="1004"/>
      <c r="KH165" s="1004"/>
      <c r="KI165" s="1004"/>
      <c r="KJ165" s="1004"/>
      <c r="KK165" s="1004"/>
      <c r="KL165" s="1004"/>
      <c r="KM165" s="1004"/>
      <c r="KN165" s="1004"/>
      <c r="KO165" s="1004"/>
      <c r="KP165" s="1004"/>
      <c r="KQ165" s="1004"/>
      <c r="KR165" s="1004"/>
      <c r="KS165" s="1004"/>
      <c r="KT165" s="1004"/>
      <c r="KU165" s="1004"/>
      <c r="KV165" s="1004"/>
      <c r="KW165" s="1004"/>
      <c r="KX165" s="1004"/>
      <c r="KY165" s="1004"/>
      <c r="KZ165" s="1004"/>
      <c r="LA165" s="1004"/>
      <c r="LB165" s="1004"/>
      <c r="LC165" s="1004"/>
      <c r="LD165" s="1004"/>
      <c r="LE165" s="1004"/>
      <c r="LF165" s="1004"/>
      <c r="LG165" s="1004"/>
      <c r="LH165" s="1004"/>
      <c r="LI165" s="1004"/>
      <c r="LJ165" s="1004"/>
      <c r="LK165" s="1004"/>
      <c r="LL165" s="1004"/>
      <c r="LM165" s="1004"/>
      <c r="LN165" s="1004"/>
      <c r="LO165" s="1004"/>
      <c r="LP165" s="1004"/>
      <c r="LQ165" s="1004"/>
      <c r="LR165" s="1004"/>
      <c r="LS165" s="1004"/>
      <c r="LT165" s="1004"/>
      <c r="LU165" s="1004"/>
      <c r="LV165" s="1004"/>
      <c r="LW165" s="1004"/>
      <c r="LX165" s="1004"/>
      <c r="LY165" s="1004"/>
      <c r="LZ165" s="1004"/>
      <c r="MA165" s="1004"/>
      <c r="MB165" s="1004"/>
      <c r="MC165" s="1004"/>
      <c r="MD165" s="1004"/>
      <c r="ME165" s="1004"/>
      <c r="MF165" s="1004"/>
      <c r="MG165" s="1004"/>
      <c r="MH165" s="1004"/>
      <c r="MI165" s="1004"/>
      <c r="MJ165" s="1004"/>
      <c r="MK165" s="1004"/>
      <c r="ML165" s="1004"/>
      <c r="MM165" s="1004"/>
      <c r="MN165" s="1004"/>
      <c r="MO165" s="1004"/>
      <c r="MP165" s="1004"/>
      <c r="MQ165" s="1004"/>
      <c r="MR165" s="1004"/>
      <c r="MS165" s="1004"/>
      <c r="MT165" s="1004"/>
      <c r="MU165" s="1004"/>
      <c r="MV165" s="1004"/>
      <c r="MW165" s="1004"/>
      <c r="MX165" s="1004"/>
      <c r="MY165" s="1004"/>
      <c r="MZ165" s="1004"/>
      <c r="NA165" s="1004"/>
      <c r="NB165" s="1004"/>
      <c r="NC165" s="1004"/>
      <c r="ND165" s="1004"/>
      <c r="NE165" s="1004"/>
      <c r="NF165" s="1004"/>
      <c r="NG165" s="1004"/>
      <c r="NH165" s="1004"/>
      <c r="NI165" s="1004"/>
      <c r="NJ165" s="1004"/>
      <c r="NK165" s="1004"/>
      <c r="NL165" s="1004"/>
      <c r="NM165" s="1004"/>
      <c r="NN165" s="1004"/>
      <c r="NO165" s="1004"/>
      <c r="NP165" s="1004"/>
      <c r="NQ165" s="1004"/>
      <c r="NR165" s="1004"/>
      <c r="NS165" s="1004"/>
      <c r="NT165" s="1004"/>
      <c r="NU165" s="1004"/>
      <c r="NV165" s="1004"/>
      <c r="NW165" s="1004"/>
      <c r="NX165" s="1004"/>
      <c r="NY165" s="1004"/>
      <c r="NZ165" s="1004"/>
      <c r="OA165" s="1004"/>
      <c r="OB165" s="1004"/>
      <c r="OC165" s="1004"/>
      <c r="OD165" s="1004"/>
      <c r="OE165" s="1004"/>
      <c r="OF165" s="1004"/>
      <c r="OG165" s="1004"/>
      <c r="OH165" s="1004"/>
      <c r="OI165" s="1004"/>
      <c r="OJ165" s="1004"/>
      <c r="OK165" s="1004"/>
      <c r="OL165" s="1004"/>
      <c r="OM165" s="1004"/>
      <c r="ON165" s="1004"/>
      <c r="OO165" s="1004"/>
      <c r="OP165" s="1004"/>
      <c r="OQ165" s="1004"/>
      <c r="OR165" s="1004"/>
      <c r="OS165" s="1004"/>
      <c r="OT165" s="1004"/>
      <c r="OU165" s="1004"/>
      <c r="OV165" s="1004"/>
      <c r="OW165" s="1004"/>
      <c r="OX165" s="1004"/>
      <c r="OY165" s="1004"/>
      <c r="OZ165" s="1004"/>
      <c r="PA165" s="1004"/>
      <c r="PB165" s="1004"/>
      <c r="PC165" s="1004"/>
      <c r="PD165" s="1004"/>
      <c r="PE165" s="1004"/>
      <c r="PF165" s="1004"/>
      <c r="PG165" s="1004"/>
      <c r="PH165" s="1004"/>
      <c r="PI165" s="1004"/>
      <c r="PJ165" s="1004"/>
      <c r="PK165" s="1004"/>
      <c r="PL165" s="1004"/>
      <c r="PM165" s="1004"/>
      <c r="PN165" s="1004"/>
      <c r="PO165" s="1004"/>
      <c r="PP165" s="1004"/>
      <c r="PQ165" s="1004"/>
      <c r="PR165" s="1004"/>
      <c r="PS165" s="1004"/>
      <c r="PT165" s="1004"/>
      <c r="PU165" s="1004"/>
      <c r="PV165" s="1004"/>
      <c r="PW165" s="1004"/>
      <c r="PX165" s="1004"/>
      <c r="PY165" s="1004"/>
      <c r="PZ165" s="1004"/>
      <c r="QA165" s="1004"/>
      <c r="QB165" s="1004"/>
      <c r="QC165" s="1004"/>
      <c r="QD165" s="1004"/>
      <c r="QE165" s="1004"/>
      <c r="QF165" s="1004"/>
      <c r="QG165" s="1004"/>
      <c r="QH165" s="1004"/>
      <c r="QI165" s="1004"/>
      <c r="QJ165" s="1004"/>
      <c r="QK165" s="1004"/>
      <c r="QL165" s="1004"/>
      <c r="QM165" s="1004"/>
      <c r="QN165" s="1004"/>
      <c r="QO165" s="1004"/>
      <c r="QP165" s="1004"/>
      <c r="QQ165" s="1004"/>
      <c r="QR165" s="1004"/>
      <c r="QS165" s="1004"/>
      <c r="QT165" s="1004"/>
      <c r="QU165" s="1004"/>
      <c r="QV165" s="1004"/>
      <c r="QW165" s="1004"/>
      <c r="QX165" s="1004"/>
      <c r="QY165" s="1004"/>
      <c r="QZ165" s="1004"/>
      <c r="RA165" s="1004"/>
      <c r="RB165" s="1004"/>
      <c r="RC165" s="1004"/>
      <c r="RD165" s="1004"/>
      <c r="RE165" s="1004"/>
      <c r="RF165" s="1004"/>
      <c r="RG165" s="1004"/>
      <c r="RH165" s="1004"/>
      <c r="RI165" s="1004"/>
      <c r="RJ165" s="1004"/>
      <c r="RK165" s="1004"/>
      <c r="RL165" s="1004"/>
      <c r="RM165" s="1004"/>
      <c r="RN165" s="1004"/>
      <c r="RO165" s="1004"/>
      <c r="RP165" s="1004"/>
      <c r="RQ165" s="1004"/>
      <c r="RR165" s="1004"/>
      <c r="RS165" s="1004"/>
      <c r="RT165" s="1004"/>
      <c r="RU165" s="1004"/>
      <c r="RV165" s="1004"/>
      <c r="RW165" s="1004"/>
      <c r="RX165" s="1004"/>
      <c r="RY165" s="1004"/>
      <c r="RZ165" s="1004"/>
      <c r="SA165" s="1004"/>
      <c r="SB165" s="1004"/>
      <c r="SC165" s="1004"/>
      <c r="SD165" s="1004"/>
      <c r="SE165" s="1004"/>
      <c r="SF165" s="1004"/>
      <c r="SG165" s="1004"/>
      <c r="SH165" s="1004"/>
      <c r="SI165" s="1004"/>
      <c r="SJ165" s="1004"/>
      <c r="SK165" s="1004"/>
      <c r="SL165" s="1004"/>
      <c r="SM165" s="1004"/>
      <c r="SN165" s="1004"/>
      <c r="SO165" s="1004"/>
      <c r="SP165" s="1004"/>
      <c r="SQ165" s="1004"/>
      <c r="SR165" s="1004"/>
      <c r="SS165" s="1004"/>
      <c r="ST165" s="1004"/>
      <c r="SU165" s="1004"/>
      <c r="SV165" s="1004"/>
      <c r="SW165" s="1004"/>
      <c r="SX165" s="1004"/>
      <c r="SY165" s="1004"/>
      <c r="SZ165" s="1004"/>
      <c r="TA165" s="1004"/>
      <c r="TB165" s="1004"/>
      <c r="TC165" s="1004"/>
      <c r="TD165" s="1004"/>
      <c r="TE165" s="1004"/>
      <c r="TF165" s="1004"/>
      <c r="TG165" s="1004"/>
      <c r="TH165" s="1004"/>
      <c r="TI165" s="1004"/>
      <c r="TJ165" s="1004"/>
      <c r="TK165" s="1004"/>
      <c r="TL165" s="1004"/>
      <c r="TM165" s="1004"/>
      <c r="TN165" s="1004"/>
      <c r="TO165" s="1004"/>
      <c r="TP165" s="1004"/>
      <c r="TQ165" s="1004"/>
      <c r="TR165" s="1004"/>
      <c r="TS165" s="1004"/>
      <c r="TT165" s="1004"/>
      <c r="TU165" s="1004"/>
      <c r="TV165" s="1004"/>
      <c r="TW165" s="1004"/>
      <c r="TX165" s="1004"/>
      <c r="TY165" s="1004"/>
      <c r="TZ165" s="1004"/>
      <c r="UA165" s="1004"/>
      <c r="UB165" s="1004"/>
      <c r="UC165" s="1004"/>
      <c r="UD165" s="1004"/>
      <c r="UE165" s="1004"/>
      <c r="UF165" s="1004"/>
      <c r="UG165" s="1004"/>
      <c r="UH165" s="1004"/>
      <c r="UI165" s="1004"/>
      <c r="UJ165" s="1004"/>
      <c r="UK165" s="1004"/>
      <c r="UL165" s="1004"/>
      <c r="UM165" s="1004"/>
      <c r="UN165" s="1004"/>
      <c r="UO165" s="1004"/>
      <c r="UP165" s="1004"/>
      <c r="UQ165" s="1004"/>
      <c r="UR165" s="1004"/>
      <c r="US165" s="1004"/>
      <c r="UT165" s="1004"/>
      <c r="UU165" s="1004"/>
      <c r="UV165" s="1004"/>
      <c r="UW165" s="1004"/>
      <c r="UX165" s="1004"/>
      <c r="UY165" s="1004"/>
      <c r="UZ165" s="1004"/>
      <c r="VA165" s="1004"/>
      <c r="VB165" s="1004"/>
      <c r="VC165" s="1004"/>
      <c r="VD165" s="1004"/>
      <c r="VE165" s="1004"/>
      <c r="VF165" s="1004"/>
      <c r="VG165" s="1004"/>
      <c r="VH165" s="1004"/>
      <c r="VI165" s="1004"/>
      <c r="VJ165" s="1004"/>
      <c r="VK165" s="1004"/>
      <c r="VL165" s="1004"/>
      <c r="VM165" s="1004"/>
      <c r="VN165" s="1004"/>
      <c r="VO165" s="1004"/>
      <c r="VP165" s="1004"/>
      <c r="VQ165" s="1004"/>
      <c r="VR165" s="1004"/>
      <c r="VS165" s="1004"/>
      <c r="VT165" s="1004"/>
      <c r="VU165" s="1004"/>
      <c r="VV165" s="1004"/>
      <c r="VW165" s="1004"/>
      <c r="VX165" s="1004"/>
      <c r="VY165" s="1004"/>
      <c r="VZ165" s="1004"/>
      <c r="WA165" s="1004"/>
      <c r="WB165" s="1004"/>
      <c r="WC165" s="1004"/>
      <c r="WD165" s="1004"/>
      <c r="WE165" s="1004"/>
      <c r="WF165" s="1004"/>
      <c r="WG165" s="1004"/>
      <c r="WH165" s="1004"/>
      <c r="WI165" s="1004"/>
      <c r="WJ165" s="1004"/>
      <c r="WK165" s="1004"/>
      <c r="WL165" s="1004"/>
      <c r="WM165" s="1004"/>
      <c r="WN165" s="1004"/>
      <c r="WO165" s="1004"/>
      <c r="WP165" s="1004"/>
      <c r="WQ165" s="1004"/>
      <c r="WR165" s="1004"/>
      <c r="WS165" s="1004"/>
      <c r="WT165" s="1004"/>
      <c r="WU165" s="1004"/>
      <c r="WV165" s="1004"/>
      <c r="WW165" s="1004"/>
      <c r="WX165" s="1004"/>
      <c r="WY165" s="1004"/>
      <c r="WZ165" s="1004"/>
      <c r="XA165" s="1004"/>
      <c r="XB165" s="1004"/>
      <c r="XC165" s="1004"/>
      <c r="XD165" s="1004"/>
      <c r="XE165" s="1004"/>
      <c r="XF165" s="1004"/>
      <c r="XG165" s="1004"/>
      <c r="XH165" s="1004"/>
      <c r="XI165" s="1004"/>
      <c r="XJ165" s="1004"/>
      <c r="XK165" s="1004"/>
      <c r="XL165" s="1004"/>
      <c r="XM165" s="1004"/>
      <c r="XN165" s="1004"/>
      <c r="XO165" s="1004"/>
      <c r="XP165" s="1004"/>
      <c r="XQ165" s="1004"/>
      <c r="XR165" s="1004"/>
      <c r="XS165" s="1004"/>
      <c r="XT165" s="1004"/>
      <c r="XU165" s="1004"/>
      <c r="XV165" s="1004"/>
      <c r="XW165" s="1004"/>
      <c r="XX165" s="1004"/>
      <c r="XY165" s="1004"/>
      <c r="XZ165" s="1004"/>
      <c r="YA165" s="1004"/>
      <c r="YB165" s="1004"/>
      <c r="YC165" s="1004"/>
      <c r="YD165" s="1004"/>
      <c r="YE165" s="1004"/>
      <c r="YF165" s="1004"/>
      <c r="YG165" s="1004"/>
      <c r="YH165" s="1004"/>
      <c r="YI165" s="1004"/>
      <c r="YJ165" s="1004"/>
      <c r="YK165" s="1004"/>
      <c r="YL165" s="1004"/>
      <c r="YM165" s="1004"/>
      <c r="YN165" s="1004"/>
      <c r="YO165" s="1004"/>
      <c r="YP165" s="1004"/>
      <c r="YQ165" s="1004"/>
      <c r="YR165" s="1004"/>
      <c r="YS165" s="1004"/>
      <c r="YT165" s="1004"/>
      <c r="YU165" s="1004"/>
      <c r="YV165" s="1004"/>
      <c r="YW165" s="1004"/>
      <c r="YX165" s="1004"/>
      <c r="YY165" s="1004"/>
      <c r="YZ165" s="1004"/>
      <c r="ZA165" s="1004"/>
      <c r="ZB165" s="1004"/>
      <c r="ZC165" s="1004"/>
      <c r="ZD165" s="1004"/>
      <c r="ZE165" s="1004"/>
      <c r="ZF165" s="1004"/>
      <c r="ZG165" s="1004"/>
      <c r="ZH165" s="1004"/>
      <c r="ZI165" s="1004"/>
      <c r="ZJ165" s="1004"/>
      <c r="ZK165" s="1004"/>
      <c r="ZL165" s="1004"/>
      <c r="ZM165" s="1004"/>
      <c r="ZN165" s="1004"/>
      <c r="ZO165" s="1004"/>
      <c r="ZP165" s="1004"/>
      <c r="ZQ165" s="1004"/>
      <c r="ZR165" s="1004"/>
      <c r="ZS165" s="1004"/>
      <c r="ZT165" s="1004"/>
      <c r="ZU165" s="1004"/>
      <c r="ZV165" s="1004"/>
      <c r="ZW165" s="1004"/>
      <c r="ZX165" s="1004"/>
      <c r="ZY165" s="1004"/>
      <c r="ZZ165" s="1004"/>
      <c r="AAA165" s="1004"/>
      <c r="AAB165" s="1004"/>
      <c r="AAC165" s="1004"/>
      <c r="AAD165" s="1004"/>
      <c r="AAE165" s="1004"/>
      <c r="AAF165" s="1004"/>
      <c r="AAG165" s="1004"/>
      <c r="AAH165" s="1004"/>
      <c r="AAI165" s="1004"/>
      <c r="AAJ165" s="1004"/>
      <c r="AAK165" s="1004"/>
      <c r="AAL165" s="1004"/>
      <c r="AAM165" s="1004"/>
      <c r="AAN165" s="1004"/>
      <c r="AAO165" s="1004"/>
      <c r="AAP165" s="1004"/>
      <c r="AAQ165" s="1004"/>
      <c r="AAR165" s="1004"/>
      <c r="AAS165" s="1004"/>
      <c r="AAT165" s="1004"/>
      <c r="AAU165" s="1004"/>
      <c r="AAV165" s="1004"/>
      <c r="AAW165" s="1004"/>
      <c r="AAX165" s="1004"/>
      <c r="AAY165" s="1004"/>
      <c r="AAZ165" s="1004"/>
      <c r="ABA165" s="1004"/>
      <c r="ABB165" s="1004"/>
      <c r="ABC165" s="1004"/>
      <c r="ABD165" s="1004"/>
      <c r="ABE165" s="1004"/>
      <c r="ABF165" s="1004"/>
      <c r="ABG165" s="1004"/>
      <c r="ABH165" s="1004"/>
      <c r="ABI165" s="1004"/>
      <c r="ABJ165" s="1004"/>
      <c r="ABK165" s="1004"/>
      <c r="ABL165" s="1004"/>
      <c r="ABM165" s="1004"/>
      <c r="ABN165" s="1004"/>
      <c r="ABO165" s="1004"/>
      <c r="ABP165" s="1004"/>
      <c r="ABQ165" s="1004"/>
      <c r="ABR165" s="1004"/>
    </row>
    <row r="166" spans="1:746" s="1" customFormat="1" ht="12" customHeight="1" thickBot="1">
      <c r="A166" s="924"/>
      <c r="B166" s="2412" t="s">
        <v>432</v>
      </c>
      <c r="C166" s="2411"/>
      <c r="D166" s="881" t="s">
        <v>432</v>
      </c>
      <c r="E166" s="892" t="s">
        <v>781</v>
      </c>
      <c r="F166" s="2947" t="s">
        <v>782</v>
      </c>
      <c r="G166" s="2947"/>
      <c r="H166" s="2948"/>
      <c r="I166" s="2365" t="s">
        <v>790</v>
      </c>
      <c r="J166" s="876"/>
      <c r="K166" s="876"/>
      <c r="L166" s="876"/>
      <c r="M166" s="876"/>
      <c r="N166" s="876"/>
      <c r="O166" s="876"/>
      <c r="P166" s="876"/>
      <c r="Q166" s="876"/>
      <c r="R166" s="876"/>
      <c r="S166" s="876"/>
      <c r="T166" s="984"/>
      <c r="U166" s="996"/>
      <c r="V166" s="876"/>
      <c r="W166" s="876"/>
      <c r="X166" s="876"/>
      <c r="Y166" s="876"/>
      <c r="Z166" s="876"/>
      <c r="AA166" s="876"/>
      <c r="AB166" s="876"/>
      <c r="AC166" s="876"/>
      <c r="AD166" s="876"/>
      <c r="AE166" s="876"/>
      <c r="AF166" s="877"/>
      <c r="AG166" s="337"/>
      <c r="AH166" s="878"/>
      <c r="AI166" s="878"/>
      <c r="AJ166" s="1004"/>
      <c r="AK166" s="1004"/>
      <c r="AL166" s="1004"/>
      <c r="AM166" s="1004"/>
      <c r="AN166" s="1027"/>
      <c r="AO166" s="1945"/>
      <c r="AP166" s="1935"/>
      <c r="AQ166" s="1936"/>
      <c r="AR166" s="1941"/>
      <c r="AS166" s="1941"/>
      <c r="AT166" s="1941"/>
      <c r="AU166" s="1941"/>
      <c r="AV166" s="1941"/>
      <c r="AW166" s="1941"/>
      <c r="AX166" s="1941"/>
      <c r="AY166" s="1941"/>
      <c r="AZ166" s="1941"/>
      <c r="BA166" s="1941"/>
      <c r="BB166" s="1941"/>
      <c r="BC166" s="1941"/>
      <c r="BD166" s="1941"/>
      <c r="BE166" s="1941"/>
      <c r="BF166" s="1941"/>
      <c r="BG166" s="1941"/>
      <c r="BH166" s="1941"/>
      <c r="BI166" s="1941"/>
      <c r="BJ166" s="1941"/>
      <c r="BK166" s="1941"/>
      <c r="BL166" s="1941"/>
      <c r="BM166" s="1941"/>
      <c r="BN166" s="1941"/>
      <c r="BO166" s="1941"/>
      <c r="BP166" s="1004"/>
      <c r="BQ166" s="1004"/>
      <c r="BR166" s="1004"/>
      <c r="BS166" s="1004"/>
      <c r="BT166" s="1004"/>
      <c r="BU166" s="1004"/>
      <c r="BV166" s="1004"/>
      <c r="BW166" s="1004"/>
      <c r="BX166" s="1004"/>
      <c r="BY166" s="1004"/>
      <c r="BZ166" s="1004"/>
      <c r="CA166" s="1004"/>
      <c r="CB166" s="1004"/>
      <c r="CC166" s="1004"/>
      <c r="CD166" s="1004"/>
      <c r="CE166" s="1004"/>
      <c r="CF166" s="1004"/>
      <c r="CG166" s="1004"/>
      <c r="CH166" s="1004"/>
      <c r="CI166" s="1004"/>
      <c r="CJ166" s="1004"/>
      <c r="CK166" s="1004"/>
      <c r="CL166" s="1004"/>
      <c r="CM166" s="1004"/>
      <c r="CN166" s="1004"/>
      <c r="CO166" s="1004"/>
      <c r="CP166" s="1004"/>
      <c r="CQ166" s="1004"/>
      <c r="CR166" s="1004"/>
      <c r="CS166" s="1004"/>
      <c r="CT166" s="1004"/>
      <c r="CU166" s="1004"/>
      <c r="CV166" s="1004"/>
      <c r="CW166" s="1004"/>
      <c r="CX166" s="1004"/>
      <c r="CY166" s="1004"/>
      <c r="CZ166" s="1004"/>
      <c r="DA166" s="1004"/>
      <c r="DB166" s="1004"/>
      <c r="DC166" s="1004"/>
      <c r="DD166" s="1004"/>
      <c r="DE166" s="1004"/>
      <c r="DF166" s="1004"/>
      <c r="DG166" s="1004"/>
      <c r="DH166" s="1004"/>
      <c r="DI166" s="1004"/>
      <c r="DJ166" s="1004"/>
      <c r="DK166" s="1004"/>
      <c r="DL166" s="1004"/>
      <c r="DM166" s="1004"/>
      <c r="DN166" s="1004"/>
      <c r="DO166" s="1004"/>
      <c r="DP166" s="1004"/>
      <c r="DQ166" s="1004"/>
      <c r="DR166" s="1004"/>
      <c r="DS166" s="1004"/>
      <c r="DT166" s="1004"/>
      <c r="DU166" s="1004"/>
      <c r="DV166" s="1004"/>
      <c r="DW166" s="1004"/>
      <c r="DX166" s="1004"/>
      <c r="DY166" s="1004"/>
      <c r="DZ166" s="1004"/>
      <c r="EA166" s="1004"/>
      <c r="EB166" s="1004"/>
      <c r="EC166" s="1004"/>
      <c r="ED166" s="1004"/>
      <c r="EE166" s="1004"/>
      <c r="EF166" s="1004"/>
      <c r="EG166" s="1004"/>
      <c r="EH166" s="1004"/>
      <c r="EI166" s="1004"/>
      <c r="EJ166" s="1004"/>
      <c r="EK166" s="1004"/>
      <c r="EL166" s="1004"/>
      <c r="EM166" s="1004"/>
      <c r="EN166" s="1004"/>
      <c r="EO166" s="1004"/>
      <c r="EP166" s="1004"/>
      <c r="EQ166" s="1004"/>
      <c r="ER166" s="1004"/>
      <c r="ES166" s="1004"/>
      <c r="ET166" s="1004"/>
      <c r="EU166" s="1004"/>
      <c r="EV166" s="1004"/>
      <c r="EW166" s="1004"/>
      <c r="EX166" s="1004"/>
      <c r="EY166" s="1004"/>
      <c r="EZ166" s="1004"/>
      <c r="FA166" s="1004"/>
      <c r="FB166" s="1004"/>
      <c r="FC166" s="1004"/>
      <c r="FD166" s="1004"/>
      <c r="FE166" s="1004"/>
      <c r="FF166" s="1004"/>
      <c r="FG166" s="1004"/>
      <c r="FH166" s="1004"/>
      <c r="FI166" s="1004"/>
      <c r="FJ166" s="1004"/>
      <c r="FK166" s="1004"/>
      <c r="FL166" s="1004"/>
      <c r="FM166" s="1004"/>
      <c r="FN166" s="1004"/>
      <c r="FO166" s="1004"/>
      <c r="FP166" s="1004"/>
      <c r="FQ166" s="1004"/>
      <c r="FR166" s="1004"/>
      <c r="FS166" s="1004"/>
      <c r="FT166" s="1004"/>
      <c r="FU166" s="1004"/>
      <c r="FV166" s="1004"/>
      <c r="FW166" s="1004"/>
      <c r="FX166" s="1004"/>
      <c r="FY166" s="1004"/>
      <c r="FZ166" s="1004"/>
      <c r="GA166" s="1004"/>
      <c r="GB166" s="1004"/>
      <c r="GC166" s="1004"/>
      <c r="GD166" s="1004"/>
      <c r="GE166" s="1004"/>
      <c r="GF166" s="1004"/>
      <c r="GG166" s="1004"/>
      <c r="GH166" s="1004"/>
      <c r="GI166" s="1004"/>
      <c r="GJ166" s="1004"/>
      <c r="GK166" s="1004"/>
      <c r="GL166" s="1004"/>
      <c r="GM166" s="1004"/>
      <c r="GN166" s="1004"/>
      <c r="GO166" s="1004"/>
      <c r="GP166" s="1004"/>
      <c r="GQ166" s="1004"/>
      <c r="GR166" s="1004"/>
      <c r="GS166" s="1004"/>
      <c r="GT166" s="1004"/>
      <c r="GU166" s="1004"/>
      <c r="GV166" s="1004"/>
      <c r="GW166" s="1004"/>
      <c r="GX166" s="1004"/>
      <c r="GY166" s="1004"/>
      <c r="GZ166" s="1004"/>
      <c r="HA166" s="1004"/>
      <c r="HB166" s="1004"/>
      <c r="HC166" s="1004"/>
      <c r="HD166" s="1004"/>
      <c r="HE166" s="1004"/>
      <c r="HF166" s="1004"/>
      <c r="HG166" s="1004"/>
      <c r="HH166" s="1004"/>
      <c r="HI166" s="1004"/>
      <c r="HJ166" s="1004"/>
      <c r="HK166" s="1004"/>
      <c r="HL166" s="1004"/>
      <c r="HM166" s="1004"/>
      <c r="HN166" s="1004"/>
      <c r="HO166" s="1004"/>
      <c r="HP166" s="1004"/>
      <c r="HQ166" s="1004"/>
      <c r="HR166" s="1004"/>
      <c r="HS166" s="1004"/>
      <c r="HT166" s="1004"/>
      <c r="HU166" s="1004"/>
      <c r="HV166" s="1004"/>
      <c r="HW166" s="1004"/>
      <c r="HX166" s="1004"/>
      <c r="HY166" s="1004"/>
      <c r="HZ166" s="1004"/>
      <c r="IA166" s="1004"/>
      <c r="IB166" s="1004"/>
      <c r="IC166" s="1004"/>
      <c r="ID166" s="1004"/>
      <c r="IE166" s="1004"/>
      <c r="IF166" s="1004"/>
      <c r="IG166" s="1004"/>
      <c r="IH166" s="1004"/>
      <c r="II166" s="1004"/>
      <c r="IJ166" s="1004"/>
      <c r="IK166" s="1004"/>
      <c r="IL166" s="1004"/>
      <c r="IM166" s="1004"/>
      <c r="IN166" s="1004"/>
      <c r="IO166" s="1004"/>
      <c r="IP166" s="1004"/>
      <c r="IQ166" s="1004"/>
      <c r="IR166" s="1004"/>
      <c r="IS166" s="1004"/>
      <c r="IT166" s="1004"/>
      <c r="IU166" s="1004"/>
      <c r="IV166" s="1004"/>
      <c r="IW166" s="1004"/>
      <c r="IX166" s="1004"/>
      <c r="IY166" s="1004"/>
      <c r="IZ166" s="1004"/>
      <c r="JA166" s="1004"/>
      <c r="JB166" s="1004"/>
      <c r="JC166" s="1004"/>
      <c r="JD166" s="1004"/>
      <c r="JE166" s="1004"/>
      <c r="JF166" s="1004"/>
      <c r="JG166" s="1004"/>
      <c r="JH166" s="1004"/>
      <c r="JI166" s="1004"/>
      <c r="JJ166" s="1004"/>
      <c r="JK166" s="1004"/>
      <c r="JL166" s="1004"/>
      <c r="JM166" s="1004"/>
      <c r="JN166" s="1004"/>
      <c r="JO166" s="1004"/>
      <c r="JP166" s="1004"/>
      <c r="JQ166" s="1004"/>
      <c r="JR166" s="1004"/>
      <c r="JS166" s="1004"/>
      <c r="JT166" s="1004"/>
      <c r="JU166" s="1004"/>
      <c r="JV166" s="1004"/>
      <c r="JW166" s="1004"/>
      <c r="JX166" s="1004"/>
      <c r="JY166" s="1004"/>
      <c r="JZ166" s="1004"/>
      <c r="KA166" s="1004"/>
      <c r="KB166" s="1004"/>
      <c r="KC166" s="1004"/>
      <c r="KD166" s="1004"/>
      <c r="KE166" s="1004"/>
      <c r="KF166" s="1004"/>
      <c r="KG166" s="1004"/>
      <c r="KH166" s="1004"/>
      <c r="KI166" s="1004"/>
      <c r="KJ166" s="1004"/>
      <c r="KK166" s="1004"/>
      <c r="KL166" s="1004"/>
      <c r="KM166" s="1004"/>
      <c r="KN166" s="1004"/>
      <c r="KO166" s="1004"/>
      <c r="KP166" s="1004"/>
      <c r="KQ166" s="1004"/>
      <c r="KR166" s="1004"/>
      <c r="KS166" s="1004"/>
      <c r="KT166" s="1004"/>
      <c r="KU166" s="1004"/>
      <c r="KV166" s="1004"/>
      <c r="KW166" s="1004"/>
      <c r="KX166" s="1004"/>
      <c r="KY166" s="1004"/>
      <c r="KZ166" s="1004"/>
      <c r="LA166" s="1004"/>
      <c r="LB166" s="1004"/>
      <c r="LC166" s="1004"/>
      <c r="LD166" s="1004"/>
      <c r="LE166" s="1004"/>
      <c r="LF166" s="1004"/>
      <c r="LG166" s="1004"/>
      <c r="LH166" s="1004"/>
      <c r="LI166" s="1004"/>
      <c r="LJ166" s="1004"/>
      <c r="LK166" s="1004"/>
      <c r="LL166" s="1004"/>
      <c r="LM166" s="1004"/>
      <c r="LN166" s="1004"/>
      <c r="LO166" s="1004"/>
      <c r="LP166" s="1004"/>
      <c r="LQ166" s="1004"/>
      <c r="LR166" s="1004"/>
      <c r="LS166" s="1004"/>
      <c r="LT166" s="1004"/>
      <c r="LU166" s="1004"/>
      <c r="LV166" s="1004"/>
      <c r="LW166" s="1004"/>
      <c r="LX166" s="1004"/>
      <c r="LY166" s="1004"/>
      <c r="LZ166" s="1004"/>
      <c r="MA166" s="1004"/>
      <c r="MB166" s="1004"/>
      <c r="MC166" s="1004"/>
      <c r="MD166" s="1004"/>
      <c r="ME166" s="1004"/>
      <c r="MF166" s="1004"/>
      <c r="MG166" s="1004"/>
      <c r="MH166" s="1004"/>
      <c r="MI166" s="1004"/>
      <c r="MJ166" s="1004"/>
      <c r="MK166" s="1004"/>
      <c r="ML166" s="1004"/>
      <c r="MM166" s="1004"/>
      <c r="MN166" s="1004"/>
      <c r="MO166" s="1004"/>
      <c r="MP166" s="1004"/>
      <c r="MQ166" s="1004"/>
      <c r="MR166" s="1004"/>
      <c r="MS166" s="1004"/>
      <c r="MT166" s="1004"/>
      <c r="MU166" s="1004"/>
      <c r="MV166" s="1004"/>
      <c r="MW166" s="1004"/>
      <c r="MX166" s="1004"/>
      <c r="MY166" s="1004"/>
      <c r="MZ166" s="1004"/>
      <c r="NA166" s="1004"/>
      <c r="NB166" s="1004"/>
      <c r="NC166" s="1004"/>
      <c r="ND166" s="1004"/>
      <c r="NE166" s="1004"/>
      <c r="NF166" s="1004"/>
      <c r="NG166" s="1004"/>
      <c r="NH166" s="1004"/>
      <c r="NI166" s="1004"/>
      <c r="NJ166" s="1004"/>
      <c r="NK166" s="1004"/>
      <c r="NL166" s="1004"/>
      <c r="NM166" s="1004"/>
      <c r="NN166" s="1004"/>
      <c r="NO166" s="1004"/>
      <c r="NP166" s="1004"/>
      <c r="NQ166" s="1004"/>
      <c r="NR166" s="1004"/>
      <c r="NS166" s="1004"/>
      <c r="NT166" s="1004"/>
      <c r="NU166" s="1004"/>
      <c r="NV166" s="1004"/>
      <c r="NW166" s="1004"/>
      <c r="NX166" s="1004"/>
      <c r="NY166" s="1004"/>
      <c r="NZ166" s="1004"/>
      <c r="OA166" s="1004"/>
      <c r="OB166" s="1004"/>
      <c r="OC166" s="1004"/>
      <c r="OD166" s="1004"/>
      <c r="OE166" s="1004"/>
      <c r="OF166" s="1004"/>
      <c r="OG166" s="1004"/>
      <c r="OH166" s="1004"/>
      <c r="OI166" s="1004"/>
      <c r="OJ166" s="1004"/>
      <c r="OK166" s="1004"/>
      <c r="OL166" s="1004"/>
      <c r="OM166" s="1004"/>
      <c r="ON166" s="1004"/>
      <c r="OO166" s="1004"/>
      <c r="OP166" s="1004"/>
      <c r="OQ166" s="1004"/>
      <c r="OR166" s="1004"/>
      <c r="OS166" s="1004"/>
      <c r="OT166" s="1004"/>
      <c r="OU166" s="1004"/>
      <c r="OV166" s="1004"/>
      <c r="OW166" s="1004"/>
      <c r="OX166" s="1004"/>
      <c r="OY166" s="1004"/>
      <c r="OZ166" s="1004"/>
      <c r="PA166" s="1004"/>
      <c r="PB166" s="1004"/>
      <c r="PC166" s="1004"/>
      <c r="PD166" s="1004"/>
      <c r="PE166" s="1004"/>
      <c r="PF166" s="1004"/>
      <c r="PG166" s="1004"/>
      <c r="PH166" s="1004"/>
      <c r="PI166" s="1004"/>
      <c r="PJ166" s="1004"/>
      <c r="PK166" s="1004"/>
      <c r="PL166" s="1004"/>
      <c r="PM166" s="1004"/>
      <c r="PN166" s="1004"/>
      <c r="PO166" s="1004"/>
      <c r="PP166" s="1004"/>
      <c r="PQ166" s="1004"/>
      <c r="PR166" s="1004"/>
      <c r="PS166" s="1004"/>
      <c r="PT166" s="1004"/>
      <c r="PU166" s="1004"/>
      <c r="PV166" s="1004"/>
      <c r="PW166" s="1004"/>
      <c r="PX166" s="1004"/>
      <c r="PY166" s="1004"/>
      <c r="PZ166" s="1004"/>
      <c r="QA166" s="1004"/>
      <c r="QB166" s="1004"/>
      <c r="QC166" s="1004"/>
      <c r="QD166" s="1004"/>
      <c r="QE166" s="1004"/>
      <c r="QF166" s="1004"/>
      <c r="QG166" s="1004"/>
      <c r="QH166" s="1004"/>
      <c r="QI166" s="1004"/>
      <c r="QJ166" s="1004"/>
      <c r="QK166" s="1004"/>
      <c r="QL166" s="1004"/>
      <c r="QM166" s="1004"/>
      <c r="QN166" s="1004"/>
      <c r="QO166" s="1004"/>
      <c r="QP166" s="1004"/>
      <c r="QQ166" s="1004"/>
      <c r="QR166" s="1004"/>
      <c r="QS166" s="1004"/>
      <c r="QT166" s="1004"/>
      <c r="QU166" s="1004"/>
      <c r="QV166" s="1004"/>
      <c r="QW166" s="1004"/>
      <c r="QX166" s="1004"/>
      <c r="QY166" s="1004"/>
      <c r="QZ166" s="1004"/>
      <c r="RA166" s="1004"/>
      <c r="RB166" s="1004"/>
      <c r="RC166" s="1004"/>
      <c r="RD166" s="1004"/>
      <c r="RE166" s="1004"/>
      <c r="RF166" s="1004"/>
      <c r="RG166" s="1004"/>
      <c r="RH166" s="1004"/>
      <c r="RI166" s="1004"/>
      <c r="RJ166" s="1004"/>
      <c r="RK166" s="1004"/>
      <c r="RL166" s="1004"/>
      <c r="RM166" s="1004"/>
      <c r="RN166" s="1004"/>
      <c r="RO166" s="1004"/>
      <c r="RP166" s="1004"/>
      <c r="RQ166" s="1004"/>
      <c r="RR166" s="1004"/>
      <c r="RS166" s="1004"/>
      <c r="RT166" s="1004"/>
      <c r="RU166" s="1004"/>
      <c r="RV166" s="1004"/>
      <c r="RW166" s="1004"/>
      <c r="RX166" s="1004"/>
      <c r="RY166" s="1004"/>
      <c r="RZ166" s="1004"/>
      <c r="SA166" s="1004"/>
      <c r="SB166" s="1004"/>
      <c r="SC166" s="1004"/>
      <c r="SD166" s="1004"/>
      <c r="SE166" s="1004"/>
      <c r="SF166" s="1004"/>
      <c r="SG166" s="1004"/>
      <c r="SH166" s="1004"/>
      <c r="SI166" s="1004"/>
      <c r="SJ166" s="1004"/>
      <c r="SK166" s="1004"/>
      <c r="SL166" s="1004"/>
      <c r="SM166" s="1004"/>
      <c r="SN166" s="1004"/>
      <c r="SO166" s="1004"/>
      <c r="SP166" s="1004"/>
      <c r="SQ166" s="1004"/>
      <c r="SR166" s="1004"/>
      <c r="SS166" s="1004"/>
      <c r="ST166" s="1004"/>
      <c r="SU166" s="1004"/>
      <c r="SV166" s="1004"/>
      <c r="SW166" s="1004"/>
      <c r="SX166" s="1004"/>
      <c r="SY166" s="1004"/>
      <c r="SZ166" s="1004"/>
      <c r="TA166" s="1004"/>
      <c r="TB166" s="1004"/>
      <c r="TC166" s="1004"/>
      <c r="TD166" s="1004"/>
      <c r="TE166" s="1004"/>
      <c r="TF166" s="1004"/>
      <c r="TG166" s="1004"/>
      <c r="TH166" s="1004"/>
      <c r="TI166" s="1004"/>
      <c r="TJ166" s="1004"/>
      <c r="TK166" s="1004"/>
      <c r="TL166" s="1004"/>
      <c r="TM166" s="1004"/>
      <c r="TN166" s="1004"/>
      <c r="TO166" s="1004"/>
      <c r="TP166" s="1004"/>
      <c r="TQ166" s="1004"/>
      <c r="TR166" s="1004"/>
      <c r="TS166" s="1004"/>
      <c r="TT166" s="1004"/>
      <c r="TU166" s="1004"/>
      <c r="TV166" s="1004"/>
      <c r="TW166" s="1004"/>
      <c r="TX166" s="1004"/>
      <c r="TY166" s="1004"/>
      <c r="TZ166" s="1004"/>
      <c r="UA166" s="1004"/>
      <c r="UB166" s="1004"/>
      <c r="UC166" s="1004"/>
      <c r="UD166" s="1004"/>
      <c r="UE166" s="1004"/>
      <c r="UF166" s="1004"/>
      <c r="UG166" s="1004"/>
      <c r="UH166" s="1004"/>
      <c r="UI166" s="1004"/>
      <c r="UJ166" s="1004"/>
      <c r="UK166" s="1004"/>
      <c r="UL166" s="1004"/>
      <c r="UM166" s="1004"/>
      <c r="UN166" s="1004"/>
      <c r="UO166" s="1004"/>
      <c r="UP166" s="1004"/>
      <c r="UQ166" s="1004"/>
      <c r="UR166" s="1004"/>
      <c r="US166" s="1004"/>
      <c r="UT166" s="1004"/>
      <c r="UU166" s="1004"/>
      <c r="UV166" s="1004"/>
      <c r="UW166" s="1004"/>
      <c r="UX166" s="1004"/>
      <c r="UY166" s="1004"/>
      <c r="UZ166" s="1004"/>
      <c r="VA166" s="1004"/>
      <c r="VB166" s="1004"/>
      <c r="VC166" s="1004"/>
      <c r="VD166" s="1004"/>
      <c r="VE166" s="1004"/>
      <c r="VF166" s="1004"/>
      <c r="VG166" s="1004"/>
      <c r="VH166" s="1004"/>
      <c r="VI166" s="1004"/>
      <c r="VJ166" s="1004"/>
      <c r="VK166" s="1004"/>
      <c r="VL166" s="1004"/>
      <c r="VM166" s="1004"/>
      <c r="VN166" s="1004"/>
      <c r="VO166" s="1004"/>
      <c r="VP166" s="1004"/>
      <c r="VQ166" s="1004"/>
      <c r="VR166" s="1004"/>
      <c r="VS166" s="1004"/>
      <c r="VT166" s="1004"/>
      <c r="VU166" s="1004"/>
      <c r="VV166" s="1004"/>
      <c r="VW166" s="1004"/>
      <c r="VX166" s="1004"/>
      <c r="VY166" s="1004"/>
      <c r="VZ166" s="1004"/>
      <c r="WA166" s="1004"/>
      <c r="WB166" s="1004"/>
      <c r="WC166" s="1004"/>
      <c r="WD166" s="1004"/>
      <c r="WE166" s="1004"/>
      <c r="WF166" s="1004"/>
      <c r="WG166" s="1004"/>
      <c r="WH166" s="1004"/>
      <c r="WI166" s="1004"/>
      <c r="WJ166" s="1004"/>
      <c r="WK166" s="1004"/>
      <c r="WL166" s="1004"/>
      <c r="WM166" s="1004"/>
      <c r="WN166" s="1004"/>
      <c r="WO166" s="1004"/>
      <c r="WP166" s="1004"/>
      <c r="WQ166" s="1004"/>
      <c r="WR166" s="1004"/>
      <c r="WS166" s="1004"/>
      <c r="WT166" s="1004"/>
      <c r="WU166" s="1004"/>
      <c r="WV166" s="1004"/>
      <c r="WW166" s="1004"/>
      <c r="WX166" s="1004"/>
      <c r="WY166" s="1004"/>
      <c r="WZ166" s="1004"/>
      <c r="XA166" s="1004"/>
      <c r="XB166" s="1004"/>
      <c r="XC166" s="1004"/>
      <c r="XD166" s="1004"/>
      <c r="XE166" s="1004"/>
      <c r="XF166" s="1004"/>
      <c r="XG166" s="1004"/>
      <c r="XH166" s="1004"/>
      <c r="XI166" s="1004"/>
      <c r="XJ166" s="1004"/>
      <c r="XK166" s="1004"/>
      <c r="XL166" s="1004"/>
      <c r="XM166" s="1004"/>
      <c r="XN166" s="1004"/>
      <c r="XO166" s="1004"/>
      <c r="XP166" s="1004"/>
      <c r="XQ166" s="1004"/>
      <c r="XR166" s="1004"/>
      <c r="XS166" s="1004"/>
      <c r="XT166" s="1004"/>
      <c r="XU166" s="1004"/>
      <c r="XV166" s="1004"/>
      <c r="XW166" s="1004"/>
      <c r="XX166" s="1004"/>
      <c r="XY166" s="1004"/>
      <c r="XZ166" s="1004"/>
      <c r="YA166" s="1004"/>
      <c r="YB166" s="1004"/>
      <c r="YC166" s="1004"/>
      <c r="YD166" s="1004"/>
      <c r="YE166" s="1004"/>
      <c r="YF166" s="1004"/>
      <c r="YG166" s="1004"/>
      <c r="YH166" s="1004"/>
      <c r="YI166" s="1004"/>
      <c r="YJ166" s="1004"/>
      <c r="YK166" s="1004"/>
      <c r="YL166" s="1004"/>
      <c r="YM166" s="1004"/>
      <c r="YN166" s="1004"/>
      <c r="YO166" s="1004"/>
      <c r="YP166" s="1004"/>
      <c r="YQ166" s="1004"/>
      <c r="YR166" s="1004"/>
      <c r="YS166" s="1004"/>
      <c r="YT166" s="1004"/>
      <c r="YU166" s="1004"/>
      <c r="YV166" s="1004"/>
      <c r="YW166" s="1004"/>
      <c r="YX166" s="1004"/>
      <c r="YY166" s="1004"/>
      <c r="YZ166" s="1004"/>
      <c r="ZA166" s="1004"/>
      <c r="ZB166" s="1004"/>
      <c r="ZC166" s="1004"/>
      <c r="ZD166" s="1004"/>
      <c r="ZE166" s="1004"/>
      <c r="ZF166" s="1004"/>
      <c r="ZG166" s="1004"/>
      <c r="ZH166" s="1004"/>
      <c r="ZI166" s="1004"/>
      <c r="ZJ166" s="1004"/>
      <c r="ZK166" s="1004"/>
      <c r="ZL166" s="1004"/>
      <c r="ZM166" s="1004"/>
      <c r="ZN166" s="1004"/>
      <c r="ZO166" s="1004"/>
      <c r="ZP166" s="1004"/>
      <c r="ZQ166" s="1004"/>
      <c r="ZR166" s="1004"/>
      <c r="ZS166" s="1004"/>
      <c r="ZT166" s="1004"/>
      <c r="ZU166" s="1004"/>
      <c r="ZV166" s="1004"/>
      <c r="ZW166" s="1004"/>
      <c r="ZX166" s="1004"/>
      <c r="ZY166" s="1004"/>
      <c r="ZZ166" s="1004"/>
      <c r="AAA166" s="1004"/>
      <c r="AAB166" s="1004"/>
      <c r="AAC166" s="1004"/>
      <c r="AAD166" s="1004"/>
      <c r="AAE166" s="1004"/>
      <c r="AAF166" s="1004"/>
      <c r="AAG166" s="1004"/>
      <c r="AAH166" s="1004"/>
      <c r="AAI166" s="1004"/>
      <c r="AAJ166" s="1004"/>
      <c r="AAK166" s="1004"/>
      <c r="AAL166" s="1004"/>
      <c r="AAM166" s="1004"/>
      <c r="AAN166" s="1004"/>
      <c r="AAO166" s="1004"/>
      <c r="AAP166" s="1004"/>
      <c r="AAQ166" s="1004"/>
      <c r="AAR166" s="1004"/>
      <c r="AAS166" s="1004"/>
      <c r="AAT166" s="1004"/>
      <c r="AAU166" s="1004"/>
      <c r="AAV166" s="1004"/>
      <c r="AAW166" s="1004"/>
      <c r="AAX166" s="1004"/>
      <c r="AAY166" s="1004"/>
      <c r="AAZ166" s="1004"/>
      <c r="ABA166" s="1004"/>
      <c r="ABB166" s="1004"/>
      <c r="ABC166" s="1004"/>
      <c r="ABD166" s="1004"/>
      <c r="ABE166" s="1004"/>
      <c r="ABF166" s="1004"/>
      <c r="ABG166" s="1004"/>
      <c r="ABH166" s="1004"/>
      <c r="ABI166" s="1004"/>
      <c r="ABJ166" s="1004"/>
      <c r="ABK166" s="1004"/>
      <c r="ABL166" s="1004"/>
      <c r="ABM166" s="1004"/>
      <c r="ABN166" s="1004"/>
      <c r="ABO166" s="1004"/>
      <c r="ABP166" s="1004"/>
      <c r="ABQ166" s="1004"/>
      <c r="ABR166" s="1004"/>
    </row>
    <row r="167" spans="1:746" s="1" customFormat="1" ht="12" customHeight="1">
      <c r="A167" s="924"/>
      <c r="B167" s="893" t="s">
        <v>783</v>
      </c>
      <c r="C167" s="2341"/>
      <c r="D167" s="599"/>
      <c r="E167" s="894">
        <v>0.01</v>
      </c>
      <c r="F167" s="879"/>
      <c r="G167" s="894">
        <v>0.1</v>
      </c>
      <c r="H167" s="895"/>
      <c r="I167" s="875"/>
      <c r="J167" s="875"/>
      <c r="K167" s="875"/>
      <c r="L167" s="875"/>
      <c r="M167" s="875"/>
      <c r="N167" s="875"/>
      <c r="O167" s="875"/>
      <c r="P167" s="875"/>
      <c r="Q167" s="875"/>
      <c r="R167" s="875"/>
      <c r="S167" s="875"/>
      <c r="T167" s="875"/>
      <c r="U167" s="875"/>
      <c r="V167" s="875"/>
      <c r="W167" s="875"/>
      <c r="X167" s="875"/>
      <c r="Y167" s="875"/>
      <c r="Z167" s="875"/>
      <c r="AA167" s="875"/>
      <c r="AB167" s="875"/>
      <c r="AC167" s="875"/>
      <c r="AD167" s="875"/>
      <c r="AE167" s="875"/>
      <c r="AF167" s="875"/>
      <c r="AG167" s="1042"/>
      <c r="AH167" s="336"/>
      <c r="AI167" s="336"/>
      <c r="AJ167" s="901">
        <f>IF(fx!$C$57=1,SUMIF(fx!I$57:T$57,1,I167:T167),IF(fx!$C$57=2,SUMIF(fx!O$57:AF$57,1,O167:AF167)))</f>
        <v>0</v>
      </c>
      <c r="AK167" s="328"/>
      <c r="AL167" s="902">
        <f>IF(fx!$C$57=1,SUM(U167:AF167),0)</f>
        <v>0</v>
      </c>
      <c r="AM167" s="951"/>
      <c r="AN167" s="951"/>
      <c r="AO167" s="1945"/>
      <c r="AP167" s="1935"/>
      <c r="AQ167" s="1936"/>
      <c r="AR167" s="1941"/>
      <c r="AS167" s="1941"/>
      <c r="AT167" s="1941"/>
      <c r="AU167" s="1941"/>
      <c r="AV167" s="1941"/>
      <c r="AW167" s="1941"/>
      <c r="AX167" s="1941"/>
      <c r="AY167" s="1941"/>
      <c r="AZ167" s="1941"/>
      <c r="BA167" s="1941"/>
      <c r="BB167" s="1941"/>
      <c r="BC167" s="1941"/>
      <c r="BD167" s="1941"/>
      <c r="BE167" s="1941"/>
      <c r="BF167" s="1941"/>
      <c r="BG167" s="1941"/>
      <c r="BH167" s="1941"/>
      <c r="BI167" s="1941"/>
      <c r="BJ167" s="1941"/>
      <c r="BK167" s="1941"/>
      <c r="BL167" s="1941"/>
      <c r="BM167" s="1941"/>
      <c r="BN167" s="1941"/>
      <c r="BO167" s="1941"/>
      <c r="BP167" s="1004"/>
      <c r="BQ167" s="1004"/>
      <c r="BR167" s="1004"/>
      <c r="BS167" s="1004"/>
      <c r="BT167" s="1004"/>
      <c r="BU167" s="1004"/>
      <c r="BV167" s="1004"/>
      <c r="BW167" s="1004"/>
      <c r="BX167" s="1004"/>
      <c r="BY167" s="1004"/>
      <c r="BZ167" s="1004"/>
      <c r="CA167" s="1004"/>
      <c r="CB167" s="1004"/>
      <c r="CC167" s="1004"/>
      <c r="CD167" s="1004"/>
      <c r="CE167" s="1004"/>
      <c r="CF167" s="1004"/>
      <c r="CG167" s="1004"/>
      <c r="CH167" s="1004"/>
      <c r="CI167" s="1004"/>
      <c r="CJ167" s="1004"/>
      <c r="CK167" s="1004"/>
      <c r="CL167" s="1004"/>
      <c r="CM167" s="1004"/>
      <c r="CN167" s="1004"/>
      <c r="CO167" s="1004"/>
      <c r="CP167" s="1004"/>
      <c r="CQ167" s="1004"/>
      <c r="CR167" s="1004"/>
      <c r="CS167" s="1004"/>
      <c r="CT167" s="1004"/>
      <c r="CU167" s="1004"/>
      <c r="CV167" s="1004"/>
      <c r="CW167" s="1004"/>
      <c r="CX167" s="1004"/>
      <c r="CY167" s="1004"/>
      <c r="CZ167" s="1004"/>
      <c r="DA167" s="1004"/>
      <c r="DB167" s="1004"/>
      <c r="DC167" s="1004"/>
      <c r="DD167" s="1004"/>
      <c r="DE167" s="1004"/>
      <c r="DF167" s="1004"/>
      <c r="DG167" s="1004"/>
      <c r="DH167" s="1004"/>
      <c r="DI167" s="1004"/>
      <c r="DJ167" s="1004"/>
      <c r="DK167" s="1004"/>
      <c r="DL167" s="1004"/>
      <c r="DM167" s="1004"/>
      <c r="DN167" s="1004"/>
      <c r="DO167" s="1004"/>
      <c r="DP167" s="1004"/>
      <c r="DQ167" s="1004"/>
      <c r="DR167" s="1004"/>
      <c r="DS167" s="1004"/>
      <c r="DT167" s="1004"/>
      <c r="DU167" s="1004"/>
      <c r="DV167" s="1004"/>
      <c r="DW167" s="1004"/>
      <c r="DX167" s="1004"/>
      <c r="DY167" s="1004"/>
      <c r="DZ167" s="1004"/>
      <c r="EA167" s="1004"/>
      <c r="EB167" s="1004"/>
      <c r="EC167" s="1004"/>
      <c r="ED167" s="1004"/>
      <c r="EE167" s="1004"/>
      <c r="EF167" s="1004"/>
      <c r="EG167" s="1004"/>
      <c r="EH167" s="1004"/>
      <c r="EI167" s="1004"/>
      <c r="EJ167" s="1004"/>
      <c r="EK167" s="1004"/>
      <c r="EL167" s="1004"/>
      <c r="EM167" s="1004"/>
      <c r="EN167" s="1004"/>
      <c r="EO167" s="1004"/>
      <c r="EP167" s="1004"/>
      <c r="EQ167" s="1004"/>
      <c r="ER167" s="1004"/>
      <c r="ES167" s="1004"/>
      <c r="ET167" s="1004"/>
      <c r="EU167" s="1004"/>
      <c r="EV167" s="1004"/>
      <c r="EW167" s="1004"/>
      <c r="EX167" s="1004"/>
      <c r="EY167" s="1004"/>
      <c r="EZ167" s="1004"/>
      <c r="FA167" s="1004"/>
      <c r="FB167" s="1004"/>
      <c r="FC167" s="1004"/>
      <c r="FD167" s="1004"/>
      <c r="FE167" s="1004"/>
      <c r="FF167" s="1004"/>
      <c r="FG167" s="1004"/>
      <c r="FH167" s="1004"/>
      <c r="FI167" s="1004"/>
      <c r="FJ167" s="1004"/>
      <c r="FK167" s="1004"/>
      <c r="FL167" s="1004"/>
      <c r="FM167" s="1004"/>
      <c r="FN167" s="1004"/>
      <c r="FO167" s="1004"/>
      <c r="FP167" s="1004"/>
      <c r="FQ167" s="1004"/>
      <c r="FR167" s="1004"/>
      <c r="FS167" s="1004"/>
      <c r="FT167" s="1004"/>
      <c r="FU167" s="1004"/>
      <c r="FV167" s="1004"/>
      <c r="FW167" s="1004"/>
      <c r="FX167" s="1004"/>
      <c r="FY167" s="1004"/>
      <c r="FZ167" s="1004"/>
      <c r="GA167" s="1004"/>
      <c r="GB167" s="1004"/>
      <c r="GC167" s="1004"/>
      <c r="GD167" s="1004"/>
      <c r="GE167" s="1004"/>
      <c r="GF167" s="1004"/>
      <c r="GG167" s="1004"/>
      <c r="GH167" s="1004"/>
      <c r="GI167" s="1004"/>
      <c r="GJ167" s="1004"/>
      <c r="GK167" s="1004"/>
      <c r="GL167" s="1004"/>
      <c r="GM167" s="1004"/>
      <c r="GN167" s="1004"/>
      <c r="GO167" s="1004"/>
      <c r="GP167" s="1004"/>
      <c r="GQ167" s="1004"/>
      <c r="GR167" s="1004"/>
      <c r="GS167" s="1004"/>
      <c r="GT167" s="1004"/>
      <c r="GU167" s="1004"/>
      <c r="GV167" s="1004"/>
      <c r="GW167" s="1004"/>
      <c r="GX167" s="1004"/>
      <c r="GY167" s="1004"/>
      <c r="GZ167" s="1004"/>
      <c r="HA167" s="1004"/>
      <c r="HB167" s="1004"/>
      <c r="HC167" s="1004"/>
      <c r="HD167" s="1004"/>
      <c r="HE167" s="1004"/>
      <c r="HF167" s="1004"/>
      <c r="HG167" s="1004"/>
      <c r="HH167" s="1004"/>
      <c r="HI167" s="1004"/>
      <c r="HJ167" s="1004"/>
      <c r="HK167" s="1004"/>
      <c r="HL167" s="1004"/>
      <c r="HM167" s="1004"/>
      <c r="HN167" s="1004"/>
      <c r="HO167" s="1004"/>
      <c r="HP167" s="1004"/>
      <c r="HQ167" s="1004"/>
      <c r="HR167" s="1004"/>
      <c r="HS167" s="1004"/>
      <c r="HT167" s="1004"/>
      <c r="HU167" s="1004"/>
      <c r="HV167" s="1004"/>
      <c r="HW167" s="1004"/>
      <c r="HX167" s="1004"/>
      <c r="HY167" s="1004"/>
      <c r="HZ167" s="1004"/>
      <c r="IA167" s="1004"/>
      <c r="IB167" s="1004"/>
      <c r="IC167" s="1004"/>
      <c r="ID167" s="1004"/>
      <c r="IE167" s="1004"/>
      <c r="IF167" s="1004"/>
      <c r="IG167" s="1004"/>
      <c r="IH167" s="1004"/>
      <c r="II167" s="1004"/>
      <c r="IJ167" s="1004"/>
      <c r="IK167" s="1004"/>
      <c r="IL167" s="1004"/>
      <c r="IM167" s="1004"/>
      <c r="IN167" s="1004"/>
      <c r="IO167" s="1004"/>
      <c r="IP167" s="1004"/>
      <c r="IQ167" s="1004"/>
      <c r="IR167" s="1004"/>
      <c r="IS167" s="1004"/>
      <c r="IT167" s="1004"/>
      <c r="IU167" s="1004"/>
      <c r="IV167" s="1004"/>
      <c r="IW167" s="1004"/>
      <c r="IX167" s="1004"/>
      <c r="IY167" s="1004"/>
      <c r="IZ167" s="1004"/>
      <c r="JA167" s="1004"/>
      <c r="JB167" s="1004"/>
      <c r="JC167" s="1004"/>
      <c r="JD167" s="1004"/>
      <c r="JE167" s="1004"/>
      <c r="JF167" s="1004"/>
      <c r="JG167" s="1004"/>
      <c r="JH167" s="1004"/>
      <c r="JI167" s="1004"/>
      <c r="JJ167" s="1004"/>
      <c r="JK167" s="1004"/>
      <c r="JL167" s="1004"/>
      <c r="JM167" s="1004"/>
      <c r="JN167" s="1004"/>
      <c r="JO167" s="1004"/>
      <c r="JP167" s="1004"/>
      <c r="JQ167" s="1004"/>
      <c r="JR167" s="1004"/>
      <c r="JS167" s="1004"/>
      <c r="JT167" s="1004"/>
      <c r="JU167" s="1004"/>
      <c r="JV167" s="1004"/>
      <c r="JW167" s="1004"/>
      <c r="JX167" s="1004"/>
      <c r="JY167" s="1004"/>
      <c r="JZ167" s="1004"/>
      <c r="KA167" s="1004"/>
      <c r="KB167" s="1004"/>
      <c r="KC167" s="1004"/>
      <c r="KD167" s="1004"/>
      <c r="KE167" s="1004"/>
      <c r="KF167" s="1004"/>
      <c r="KG167" s="1004"/>
      <c r="KH167" s="1004"/>
      <c r="KI167" s="1004"/>
      <c r="KJ167" s="1004"/>
      <c r="KK167" s="1004"/>
      <c r="KL167" s="1004"/>
      <c r="KM167" s="1004"/>
      <c r="KN167" s="1004"/>
      <c r="KO167" s="1004"/>
      <c r="KP167" s="1004"/>
      <c r="KQ167" s="1004"/>
      <c r="KR167" s="1004"/>
      <c r="KS167" s="1004"/>
      <c r="KT167" s="1004"/>
      <c r="KU167" s="1004"/>
      <c r="KV167" s="1004"/>
      <c r="KW167" s="1004"/>
      <c r="KX167" s="1004"/>
      <c r="KY167" s="1004"/>
      <c r="KZ167" s="1004"/>
      <c r="LA167" s="1004"/>
      <c r="LB167" s="1004"/>
      <c r="LC167" s="1004"/>
      <c r="LD167" s="1004"/>
      <c r="LE167" s="1004"/>
      <c r="LF167" s="1004"/>
      <c r="LG167" s="1004"/>
      <c r="LH167" s="1004"/>
      <c r="LI167" s="1004"/>
      <c r="LJ167" s="1004"/>
      <c r="LK167" s="1004"/>
      <c r="LL167" s="1004"/>
      <c r="LM167" s="1004"/>
      <c r="LN167" s="1004"/>
      <c r="LO167" s="1004"/>
      <c r="LP167" s="1004"/>
      <c r="LQ167" s="1004"/>
      <c r="LR167" s="1004"/>
      <c r="LS167" s="1004"/>
      <c r="LT167" s="1004"/>
      <c r="LU167" s="1004"/>
      <c r="LV167" s="1004"/>
      <c r="LW167" s="1004"/>
      <c r="LX167" s="1004"/>
      <c r="LY167" s="1004"/>
      <c r="LZ167" s="1004"/>
      <c r="MA167" s="1004"/>
      <c r="MB167" s="1004"/>
      <c r="MC167" s="1004"/>
      <c r="MD167" s="1004"/>
      <c r="ME167" s="1004"/>
      <c r="MF167" s="1004"/>
      <c r="MG167" s="1004"/>
      <c r="MH167" s="1004"/>
      <c r="MI167" s="1004"/>
      <c r="MJ167" s="1004"/>
      <c r="MK167" s="1004"/>
      <c r="ML167" s="1004"/>
      <c r="MM167" s="1004"/>
      <c r="MN167" s="1004"/>
      <c r="MO167" s="1004"/>
      <c r="MP167" s="1004"/>
      <c r="MQ167" s="1004"/>
      <c r="MR167" s="1004"/>
      <c r="MS167" s="1004"/>
      <c r="MT167" s="1004"/>
      <c r="MU167" s="1004"/>
      <c r="MV167" s="1004"/>
      <c r="MW167" s="1004"/>
      <c r="MX167" s="1004"/>
      <c r="MY167" s="1004"/>
      <c r="MZ167" s="1004"/>
      <c r="NA167" s="1004"/>
      <c r="NB167" s="1004"/>
      <c r="NC167" s="1004"/>
      <c r="ND167" s="1004"/>
      <c r="NE167" s="1004"/>
      <c r="NF167" s="1004"/>
      <c r="NG167" s="1004"/>
      <c r="NH167" s="1004"/>
      <c r="NI167" s="1004"/>
      <c r="NJ167" s="1004"/>
      <c r="NK167" s="1004"/>
      <c r="NL167" s="1004"/>
      <c r="NM167" s="1004"/>
      <c r="NN167" s="1004"/>
      <c r="NO167" s="1004"/>
      <c r="NP167" s="1004"/>
      <c r="NQ167" s="1004"/>
      <c r="NR167" s="1004"/>
      <c r="NS167" s="1004"/>
      <c r="NT167" s="1004"/>
      <c r="NU167" s="1004"/>
      <c r="NV167" s="1004"/>
      <c r="NW167" s="1004"/>
      <c r="NX167" s="1004"/>
      <c r="NY167" s="1004"/>
      <c r="NZ167" s="1004"/>
      <c r="OA167" s="1004"/>
      <c r="OB167" s="1004"/>
      <c r="OC167" s="1004"/>
      <c r="OD167" s="1004"/>
      <c r="OE167" s="1004"/>
      <c r="OF167" s="1004"/>
      <c r="OG167" s="1004"/>
      <c r="OH167" s="1004"/>
      <c r="OI167" s="1004"/>
      <c r="OJ167" s="1004"/>
      <c r="OK167" s="1004"/>
      <c r="OL167" s="1004"/>
      <c r="OM167" s="1004"/>
      <c r="ON167" s="1004"/>
      <c r="OO167" s="1004"/>
      <c r="OP167" s="1004"/>
      <c r="OQ167" s="1004"/>
      <c r="OR167" s="1004"/>
      <c r="OS167" s="1004"/>
      <c r="OT167" s="1004"/>
      <c r="OU167" s="1004"/>
      <c r="OV167" s="1004"/>
      <c r="OW167" s="1004"/>
      <c r="OX167" s="1004"/>
      <c r="OY167" s="1004"/>
      <c r="OZ167" s="1004"/>
      <c r="PA167" s="1004"/>
      <c r="PB167" s="1004"/>
      <c r="PC167" s="1004"/>
      <c r="PD167" s="1004"/>
      <c r="PE167" s="1004"/>
      <c r="PF167" s="1004"/>
      <c r="PG167" s="1004"/>
      <c r="PH167" s="1004"/>
      <c r="PI167" s="1004"/>
      <c r="PJ167" s="1004"/>
      <c r="PK167" s="1004"/>
      <c r="PL167" s="1004"/>
      <c r="PM167" s="1004"/>
      <c r="PN167" s="1004"/>
      <c r="PO167" s="1004"/>
      <c r="PP167" s="1004"/>
      <c r="PQ167" s="1004"/>
      <c r="PR167" s="1004"/>
      <c r="PS167" s="1004"/>
      <c r="PT167" s="1004"/>
      <c r="PU167" s="1004"/>
      <c r="PV167" s="1004"/>
      <c r="PW167" s="1004"/>
      <c r="PX167" s="1004"/>
      <c r="PY167" s="1004"/>
      <c r="PZ167" s="1004"/>
      <c r="QA167" s="1004"/>
      <c r="QB167" s="1004"/>
      <c r="QC167" s="1004"/>
      <c r="QD167" s="1004"/>
      <c r="QE167" s="1004"/>
      <c r="QF167" s="1004"/>
      <c r="QG167" s="1004"/>
      <c r="QH167" s="1004"/>
      <c r="QI167" s="1004"/>
      <c r="QJ167" s="1004"/>
      <c r="QK167" s="1004"/>
      <c r="QL167" s="1004"/>
      <c r="QM167" s="1004"/>
      <c r="QN167" s="1004"/>
      <c r="QO167" s="1004"/>
      <c r="QP167" s="1004"/>
      <c r="QQ167" s="1004"/>
      <c r="QR167" s="1004"/>
      <c r="QS167" s="1004"/>
      <c r="QT167" s="1004"/>
      <c r="QU167" s="1004"/>
      <c r="QV167" s="1004"/>
      <c r="QW167" s="1004"/>
      <c r="QX167" s="1004"/>
      <c r="QY167" s="1004"/>
      <c r="QZ167" s="1004"/>
      <c r="RA167" s="1004"/>
      <c r="RB167" s="1004"/>
      <c r="RC167" s="1004"/>
      <c r="RD167" s="1004"/>
      <c r="RE167" s="1004"/>
      <c r="RF167" s="1004"/>
      <c r="RG167" s="1004"/>
      <c r="RH167" s="1004"/>
      <c r="RI167" s="1004"/>
      <c r="RJ167" s="1004"/>
      <c r="RK167" s="1004"/>
      <c r="RL167" s="1004"/>
      <c r="RM167" s="1004"/>
      <c r="RN167" s="1004"/>
      <c r="RO167" s="1004"/>
      <c r="RP167" s="1004"/>
      <c r="RQ167" s="1004"/>
      <c r="RR167" s="1004"/>
      <c r="RS167" s="1004"/>
      <c r="RT167" s="1004"/>
      <c r="RU167" s="1004"/>
      <c r="RV167" s="1004"/>
      <c r="RW167" s="1004"/>
      <c r="RX167" s="1004"/>
      <c r="RY167" s="1004"/>
      <c r="RZ167" s="1004"/>
      <c r="SA167" s="1004"/>
      <c r="SB167" s="1004"/>
      <c r="SC167" s="1004"/>
      <c r="SD167" s="1004"/>
      <c r="SE167" s="1004"/>
      <c r="SF167" s="1004"/>
      <c r="SG167" s="1004"/>
      <c r="SH167" s="1004"/>
      <c r="SI167" s="1004"/>
      <c r="SJ167" s="1004"/>
      <c r="SK167" s="1004"/>
      <c r="SL167" s="1004"/>
      <c r="SM167" s="1004"/>
      <c r="SN167" s="1004"/>
      <c r="SO167" s="1004"/>
      <c r="SP167" s="1004"/>
      <c r="SQ167" s="1004"/>
      <c r="SR167" s="1004"/>
      <c r="SS167" s="1004"/>
      <c r="ST167" s="1004"/>
      <c r="SU167" s="1004"/>
      <c r="SV167" s="1004"/>
      <c r="SW167" s="1004"/>
      <c r="SX167" s="1004"/>
      <c r="SY167" s="1004"/>
      <c r="SZ167" s="1004"/>
      <c r="TA167" s="1004"/>
      <c r="TB167" s="1004"/>
      <c r="TC167" s="1004"/>
      <c r="TD167" s="1004"/>
      <c r="TE167" s="1004"/>
      <c r="TF167" s="1004"/>
      <c r="TG167" s="1004"/>
      <c r="TH167" s="1004"/>
      <c r="TI167" s="1004"/>
      <c r="TJ167" s="1004"/>
      <c r="TK167" s="1004"/>
      <c r="TL167" s="1004"/>
      <c r="TM167" s="1004"/>
      <c r="TN167" s="1004"/>
      <c r="TO167" s="1004"/>
      <c r="TP167" s="1004"/>
      <c r="TQ167" s="1004"/>
      <c r="TR167" s="1004"/>
      <c r="TS167" s="1004"/>
      <c r="TT167" s="1004"/>
      <c r="TU167" s="1004"/>
      <c r="TV167" s="1004"/>
      <c r="TW167" s="1004"/>
      <c r="TX167" s="1004"/>
      <c r="TY167" s="1004"/>
      <c r="TZ167" s="1004"/>
      <c r="UA167" s="1004"/>
      <c r="UB167" s="1004"/>
      <c r="UC167" s="1004"/>
      <c r="UD167" s="1004"/>
      <c r="UE167" s="1004"/>
      <c r="UF167" s="1004"/>
      <c r="UG167" s="1004"/>
      <c r="UH167" s="1004"/>
      <c r="UI167" s="1004"/>
      <c r="UJ167" s="1004"/>
      <c r="UK167" s="1004"/>
      <c r="UL167" s="1004"/>
      <c r="UM167" s="1004"/>
      <c r="UN167" s="1004"/>
      <c r="UO167" s="1004"/>
      <c r="UP167" s="1004"/>
      <c r="UQ167" s="1004"/>
      <c r="UR167" s="1004"/>
      <c r="US167" s="1004"/>
      <c r="UT167" s="1004"/>
      <c r="UU167" s="1004"/>
      <c r="UV167" s="1004"/>
      <c r="UW167" s="1004"/>
      <c r="UX167" s="1004"/>
      <c r="UY167" s="1004"/>
      <c r="UZ167" s="1004"/>
      <c r="VA167" s="1004"/>
      <c r="VB167" s="1004"/>
      <c r="VC167" s="1004"/>
      <c r="VD167" s="1004"/>
      <c r="VE167" s="1004"/>
      <c r="VF167" s="1004"/>
      <c r="VG167" s="1004"/>
      <c r="VH167" s="1004"/>
      <c r="VI167" s="1004"/>
      <c r="VJ167" s="1004"/>
      <c r="VK167" s="1004"/>
      <c r="VL167" s="1004"/>
      <c r="VM167" s="1004"/>
      <c r="VN167" s="1004"/>
      <c r="VO167" s="1004"/>
      <c r="VP167" s="1004"/>
      <c r="VQ167" s="1004"/>
      <c r="VR167" s="1004"/>
      <c r="VS167" s="1004"/>
      <c r="VT167" s="1004"/>
      <c r="VU167" s="1004"/>
      <c r="VV167" s="1004"/>
      <c r="VW167" s="1004"/>
      <c r="VX167" s="1004"/>
      <c r="VY167" s="1004"/>
      <c r="VZ167" s="1004"/>
      <c r="WA167" s="1004"/>
      <c r="WB167" s="1004"/>
      <c r="WC167" s="1004"/>
      <c r="WD167" s="1004"/>
      <c r="WE167" s="1004"/>
      <c r="WF167" s="1004"/>
      <c r="WG167" s="1004"/>
      <c r="WH167" s="1004"/>
      <c r="WI167" s="1004"/>
      <c r="WJ167" s="1004"/>
      <c r="WK167" s="1004"/>
      <c r="WL167" s="1004"/>
      <c r="WM167" s="1004"/>
      <c r="WN167" s="1004"/>
      <c r="WO167" s="1004"/>
      <c r="WP167" s="1004"/>
      <c r="WQ167" s="1004"/>
      <c r="WR167" s="1004"/>
      <c r="WS167" s="1004"/>
      <c r="WT167" s="1004"/>
      <c r="WU167" s="1004"/>
      <c r="WV167" s="1004"/>
      <c r="WW167" s="1004"/>
      <c r="WX167" s="1004"/>
      <c r="WY167" s="1004"/>
      <c r="WZ167" s="1004"/>
      <c r="XA167" s="1004"/>
      <c r="XB167" s="1004"/>
      <c r="XC167" s="1004"/>
      <c r="XD167" s="1004"/>
      <c r="XE167" s="1004"/>
      <c r="XF167" s="1004"/>
      <c r="XG167" s="1004"/>
      <c r="XH167" s="1004"/>
      <c r="XI167" s="1004"/>
      <c r="XJ167" s="1004"/>
      <c r="XK167" s="1004"/>
      <c r="XL167" s="1004"/>
      <c r="XM167" s="1004"/>
      <c r="XN167" s="1004"/>
      <c r="XO167" s="1004"/>
      <c r="XP167" s="1004"/>
      <c r="XQ167" s="1004"/>
      <c r="XR167" s="1004"/>
      <c r="XS167" s="1004"/>
      <c r="XT167" s="1004"/>
      <c r="XU167" s="1004"/>
      <c r="XV167" s="1004"/>
      <c r="XW167" s="1004"/>
      <c r="XX167" s="1004"/>
      <c r="XY167" s="1004"/>
      <c r="XZ167" s="1004"/>
      <c r="YA167" s="1004"/>
      <c r="YB167" s="1004"/>
      <c r="YC167" s="1004"/>
      <c r="YD167" s="1004"/>
      <c r="YE167" s="1004"/>
      <c r="YF167" s="1004"/>
      <c r="YG167" s="1004"/>
      <c r="YH167" s="1004"/>
      <c r="YI167" s="1004"/>
      <c r="YJ167" s="1004"/>
      <c r="YK167" s="1004"/>
      <c r="YL167" s="1004"/>
      <c r="YM167" s="1004"/>
      <c r="YN167" s="1004"/>
      <c r="YO167" s="1004"/>
      <c r="YP167" s="1004"/>
      <c r="YQ167" s="1004"/>
      <c r="YR167" s="1004"/>
      <c r="YS167" s="1004"/>
      <c r="YT167" s="1004"/>
      <c r="YU167" s="1004"/>
      <c r="YV167" s="1004"/>
      <c r="YW167" s="1004"/>
      <c r="YX167" s="1004"/>
      <c r="YY167" s="1004"/>
      <c r="YZ167" s="1004"/>
      <c r="ZA167" s="1004"/>
      <c r="ZB167" s="1004"/>
      <c r="ZC167" s="1004"/>
      <c r="ZD167" s="1004"/>
      <c r="ZE167" s="1004"/>
      <c r="ZF167" s="1004"/>
      <c r="ZG167" s="1004"/>
      <c r="ZH167" s="1004"/>
      <c r="ZI167" s="1004"/>
      <c r="ZJ167" s="1004"/>
      <c r="ZK167" s="1004"/>
      <c r="ZL167" s="1004"/>
      <c r="ZM167" s="1004"/>
      <c r="ZN167" s="1004"/>
      <c r="ZO167" s="1004"/>
      <c r="ZP167" s="1004"/>
      <c r="ZQ167" s="1004"/>
      <c r="ZR167" s="1004"/>
      <c r="ZS167" s="1004"/>
      <c r="ZT167" s="1004"/>
      <c r="ZU167" s="1004"/>
      <c r="ZV167" s="1004"/>
      <c r="ZW167" s="1004"/>
      <c r="ZX167" s="1004"/>
      <c r="ZY167" s="1004"/>
      <c r="ZZ167" s="1004"/>
      <c r="AAA167" s="1004"/>
      <c r="AAB167" s="1004"/>
      <c r="AAC167" s="1004"/>
      <c r="AAD167" s="1004"/>
      <c r="AAE167" s="1004"/>
      <c r="AAF167" s="1004"/>
      <c r="AAG167" s="1004"/>
      <c r="AAH167" s="1004"/>
      <c r="AAI167" s="1004"/>
      <c r="AAJ167" s="1004"/>
      <c r="AAK167" s="1004"/>
      <c r="AAL167" s="1004"/>
      <c r="AAM167" s="1004"/>
      <c r="AAN167" s="1004"/>
      <c r="AAO167" s="1004"/>
      <c r="AAP167" s="1004"/>
      <c r="AAQ167" s="1004"/>
      <c r="AAR167" s="1004"/>
      <c r="AAS167" s="1004"/>
      <c r="AAT167" s="1004"/>
      <c r="AAU167" s="1004"/>
      <c r="AAV167" s="1004"/>
      <c r="AAW167" s="1004"/>
      <c r="AAX167" s="1004"/>
      <c r="AAY167" s="1004"/>
      <c r="AAZ167" s="1004"/>
      <c r="ABA167" s="1004"/>
      <c r="ABB167" s="1004"/>
      <c r="ABC167" s="1004"/>
      <c r="ABD167" s="1004"/>
      <c r="ABE167" s="1004"/>
      <c r="ABF167" s="1004"/>
      <c r="ABG167" s="1004"/>
      <c r="ABH167" s="1004"/>
      <c r="ABI167" s="1004"/>
      <c r="ABJ167" s="1004"/>
      <c r="ABK167" s="1004"/>
      <c r="ABL167" s="1004"/>
      <c r="ABM167" s="1004"/>
      <c r="ABN167" s="1004"/>
      <c r="ABO167" s="1004"/>
      <c r="ABP167" s="1004"/>
      <c r="ABQ167" s="1004"/>
      <c r="ABR167" s="1004"/>
    </row>
    <row r="168" spans="1:746" s="111" customFormat="1" ht="12" customHeight="1">
      <c r="A168" s="924"/>
      <c r="B168" s="2426" t="s">
        <v>1255</v>
      </c>
      <c r="C168" s="2425" t="s">
        <v>752</v>
      </c>
      <c r="D168" s="2428"/>
      <c r="E168" s="3021">
        <f>fx!C440</f>
        <v>0</v>
      </c>
      <c r="F168" s="3022"/>
      <c r="G168" s="3023"/>
      <c r="H168" s="2427">
        <f>IF(AND(SUMIF(fx!I57:'fx'!T57,1,I167:T167)&gt;=0,T168&gt;=0),0,1)</f>
        <v>0</v>
      </c>
      <c r="I168" s="334">
        <f>IF(I167&gt;0,I167,IF(fx!I332&gt;0,fx!I332,0))*fx!I57</f>
        <v>0</v>
      </c>
      <c r="J168" s="335">
        <f>IF(J167&gt;0,J167,IF(fx!J332&gt;0,fx!J332,I168))*fx!J57</f>
        <v>0</v>
      </c>
      <c r="K168" s="335">
        <f>IF(K167&gt;0,K167,IF(fx!K332&gt;0,fx!K332,J168))*fx!K57</f>
        <v>0</v>
      </c>
      <c r="L168" s="335">
        <f>IF(L167&gt;0,L167,IF(fx!L332&gt;0,fx!L332,K168))*fx!L57</f>
        <v>0</v>
      </c>
      <c r="M168" s="335">
        <f>IF(M167&gt;0,M167,IF(fx!M332&gt;0,fx!M332,L168))*fx!M57</f>
        <v>0</v>
      </c>
      <c r="N168" s="335">
        <f>IF(N167&gt;0,N167,IF(fx!N332&gt;0,fx!N332,M168))*fx!N57</f>
        <v>0</v>
      </c>
      <c r="O168" s="335">
        <f>IF(O167&gt;0,O167,IF(fx!O332&gt;0,fx!O332,N168))*fx!O57</f>
        <v>0</v>
      </c>
      <c r="P168" s="335">
        <f>IF(P167&gt;0,P167,IF(fx!P332&gt;0,fx!P332,O168))*fx!P57</f>
        <v>0</v>
      </c>
      <c r="Q168" s="335">
        <f>IF(Q167&gt;0,Q167,IF(fx!Q332&gt;0,fx!Q332,P168))*fx!Q57</f>
        <v>0</v>
      </c>
      <c r="R168" s="335">
        <f>IF(R167&gt;0,R167,IF(fx!R332&gt;0,fx!R332,Q168))*fx!R57</f>
        <v>0</v>
      </c>
      <c r="S168" s="335">
        <f>IF(S167&gt;0,S167,IF(fx!S332&gt;0,fx!S332,R168))*fx!S57</f>
        <v>0</v>
      </c>
      <c r="T168" s="335">
        <f>IF(T167&gt;0,T167,IF(fx!T332&gt;0,fx!T332,S168))*fx!T57</f>
        <v>0</v>
      </c>
      <c r="U168" s="335">
        <f>IF(U167&gt;0,U167,IF(fx!U332&gt;0,fx!U332,T168))</f>
        <v>0</v>
      </c>
      <c r="V168" s="335">
        <f>IF(V167&gt;0,V167,IF(fx!V332&gt;0,fx!V332,U168))</f>
        <v>0</v>
      </c>
      <c r="W168" s="335">
        <f>IF(W167&gt;0,W167,IF(fx!W332&gt;0,fx!W332,V168))</f>
        <v>0</v>
      </c>
      <c r="X168" s="335">
        <f>IF(X167&gt;0,X167,IF(fx!X332&gt;0,fx!X332,W168))</f>
        <v>0</v>
      </c>
      <c r="Y168" s="335">
        <f>IF(Y167&gt;0,Y167,IF(fx!Y332&gt;0,fx!Y332,X168))</f>
        <v>0</v>
      </c>
      <c r="Z168" s="335">
        <f>IF(Z167&gt;0,Z167,IF(fx!Z332&gt;0,fx!Z332,Y168))</f>
        <v>0</v>
      </c>
      <c r="AA168" s="335">
        <f>IF(AA167&gt;0,AA167,IF(fx!AA332&gt;0,fx!AA332,Z168))</f>
        <v>0</v>
      </c>
      <c r="AB168" s="335">
        <f>IF(AB167&gt;0,AB167,IF(fx!AB332&gt;0,fx!AB332,AA168))</f>
        <v>0</v>
      </c>
      <c r="AC168" s="335">
        <f>IF(AC167&gt;0,AC167,IF(fx!AC332&gt;0,fx!AC332,AB168))</f>
        <v>0</v>
      </c>
      <c r="AD168" s="335">
        <f>IF(AD167&gt;0,AD167,IF(fx!AD332&gt;0,fx!AD332,AC168))</f>
        <v>0</v>
      </c>
      <c r="AE168" s="335">
        <f>IF(AE167&gt;0,AE167,IF(fx!AE332&gt;0,fx!AE332,AD168))</f>
        <v>0</v>
      </c>
      <c r="AF168" s="335">
        <f>IF(AF167&gt;0,AF167,IF(fx!AF332&gt;0,fx!AF332,AE168))</f>
        <v>0</v>
      </c>
      <c r="AG168" s="2209">
        <f>IF(SUM(AG167:AG167)&gt;0,SUM(AG167:AG167),IF(fx!AG332&gt;0,fx!AG332,0))*fx!AG57</f>
        <v>0</v>
      </c>
      <c r="AH168" s="1042"/>
      <c r="AI168" s="878"/>
      <c r="AJ168" s="901">
        <f>IF(fx!$C$57=1,T168,IF(fx!$C$57=2,AF168))</f>
        <v>0</v>
      </c>
      <c r="AK168" s="328"/>
      <c r="AL168" s="902">
        <f>IF(fx!$C$57=1,AF168,0)</f>
        <v>0</v>
      </c>
      <c r="AM168" s="1004"/>
      <c r="AN168" s="1770"/>
      <c r="AO168" s="1945"/>
      <c r="AP168" s="1935"/>
      <c r="AQ168" s="1936"/>
      <c r="AR168" s="1941"/>
      <c r="AS168" s="1941"/>
      <c r="AT168" s="1941"/>
      <c r="AU168" s="1941"/>
      <c r="AV168" s="1941"/>
      <c r="AW168" s="1941"/>
      <c r="AX168" s="1941"/>
      <c r="AY168" s="1941"/>
      <c r="AZ168" s="1941"/>
      <c r="BA168" s="1941"/>
      <c r="BB168" s="1941"/>
      <c r="BC168" s="1941"/>
      <c r="BD168" s="1941"/>
      <c r="BE168" s="1941"/>
      <c r="BF168" s="1941"/>
      <c r="BG168" s="1941"/>
      <c r="BH168" s="1941"/>
      <c r="BI168" s="1941"/>
      <c r="BJ168" s="1941"/>
      <c r="BK168" s="1941"/>
      <c r="BL168" s="1941"/>
      <c r="BM168" s="1941"/>
      <c r="BN168" s="1941"/>
      <c r="BO168" s="1941"/>
      <c r="BP168" s="1009"/>
      <c r="BQ168" s="1009"/>
      <c r="BR168" s="1009"/>
      <c r="BS168" s="1009"/>
      <c r="BT168" s="1009"/>
      <c r="BU168" s="1009"/>
      <c r="BV168" s="1009"/>
      <c r="BW168" s="1009"/>
      <c r="BX168" s="1009"/>
      <c r="BY168" s="1009"/>
      <c r="BZ168" s="1009"/>
      <c r="CA168" s="1009"/>
      <c r="CB168" s="1009"/>
      <c r="CC168" s="1009"/>
      <c r="CD168" s="1009"/>
      <c r="CE168" s="1009"/>
      <c r="CF168" s="1009"/>
      <c r="CG168" s="1009"/>
      <c r="CH168" s="1009"/>
      <c r="CI168" s="1009"/>
      <c r="CJ168" s="1009"/>
      <c r="CK168" s="1009"/>
      <c r="CL168" s="1009"/>
      <c r="CM168" s="1009"/>
      <c r="CN168" s="1009"/>
      <c r="CO168" s="1009"/>
      <c r="CP168" s="1009"/>
      <c r="CQ168" s="1009"/>
      <c r="CR168" s="1009"/>
      <c r="CS168" s="1009"/>
      <c r="CT168" s="1009"/>
      <c r="CU168" s="1009"/>
      <c r="CV168" s="1009"/>
      <c r="CW168" s="1009"/>
      <c r="CX168" s="1009"/>
      <c r="CY168" s="1009"/>
      <c r="CZ168" s="1009"/>
      <c r="DA168" s="1009"/>
      <c r="DB168" s="1009"/>
      <c r="DC168" s="1009"/>
      <c r="DD168" s="1009"/>
      <c r="DE168" s="1009"/>
      <c r="DF168" s="1009"/>
      <c r="DG168" s="1009"/>
      <c r="DH168" s="1009"/>
      <c r="DI168" s="1009"/>
      <c r="DJ168" s="1009"/>
      <c r="DK168" s="1009"/>
      <c r="DL168" s="1009"/>
      <c r="DM168" s="1009"/>
      <c r="DN168" s="1009"/>
      <c r="DO168" s="1009"/>
      <c r="DP168" s="1009"/>
      <c r="DQ168" s="1009"/>
      <c r="DR168" s="1009"/>
      <c r="DS168" s="1009"/>
      <c r="DT168" s="1009"/>
      <c r="DU168" s="1009"/>
      <c r="DV168" s="1009"/>
      <c r="DW168" s="1009"/>
      <c r="DX168" s="1009"/>
      <c r="DY168" s="1009"/>
      <c r="DZ168" s="1009"/>
      <c r="EA168" s="1009"/>
      <c r="EB168" s="1009"/>
      <c r="EC168" s="1009"/>
      <c r="ED168" s="1009"/>
      <c r="EE168" s="1009"/>
      <c r="EF168" s="1009"/>
      <c r="EG168" s="1009"/>
      <c r="EH168" s="1009"/>
      <c r="EI168" s="1009"/>
      <c r="EJ168" s="1009"/>
      <c r="EK168" s="1009"/>
      <c r="EL168" s="1009"/>
      <c r="EM168" s="1009"/>
      <c r="EN168" s="1009"/>
      <c r="EO168" s="1009"/>
      <c r="EP168" s="1009"/>
      <c r="EQ168" s="1009"/>
      <c r="ER168" s="1009"/>
      <c r="ES168" s="1009"/>
      <c r="ET168" s="1009"/>
      <c r="EU168" s="1009"/>
      <c r="EV168" s="1009"/>
      <c r="EW168" s="1009"/>
      <c r="EX168" s="1009"/>
      <c r="EY168" s="1009"/>
      <c r="EZ168" s="1009"/>
      <c r="FA168" s="1009"/>
      <c r="FB168" s="1009"/>
      <c r="FC168" s="1009"/>
      <c r="FD168" s="1009"/>
      <c r="FE168" s="1009"/>
      <c r="FF168" s="1009"/>
      <c r="FG168" s="1009"/>
      <c r="FH168" s="1009"/>
      <c r="FI168" s="1009"/>
      <c r="FJ168" s="1009"/>
      <c r="FK168" s="1009"/>
      <c r="FL168" s="1009"/>
      <c r="FM168" s="1009"/>
      <c r="FN168" s="1009"/>
      <c r="FO168" s="1009"/>
      <c r="FP168" s="1009"/>
      <c r="FQ168" s="1009"/>
      <c r="FR168" s="1009"/>
      <c r="FS168" s="1009"/>
      <c r="FT168" s="1009"/>
      <c r="FU168" s="1009"/>
      <c r="FV168" s="1009"/>
      <c r="FW168" s="1009"/>
      <c r="FX168" s="1009"/>
      <c r="FY168" s="1009"/>
      <c r="FZ168" s="1009"/>
      <c r="GA168" s="1009"/>
      <c r="GB168" s="1009"/>
      <c r="GC168" s="1009"/>
      <c r="GD168" s="1009"/>
      <c r="GE168" s="1009"/>
      <c r="GF168" s="1009"/>
      <c r="GG168" s="1009"/>
      <c r="GH168" s="1009"/>
      <c r="GI168" s="1009"/>
      <c r="GJ168" s="1009"/>
      <c r="GK168" s="1009"/>
      <c r="GL168" s="1009"/>
      <c r="GM168" s="1009"/>
      <c r="GN168" s="1009"/>
      <c r="GO168" s="1009"/>
      <c r="GP168" s="1009"/>
      <c r="GQ168" s="1009"/>
      <c r="GR168" s="1009"/>
      <c r="GS168" s="1009"/>
      <c r="GT168" s="1009"/>
      <c r="GU168" s="1009"/>
      <c r="GV168" s="1009"/>
      <c r="GW168" s="1009"/>
      <c r="GX168" s="1009"/>
      <c r="GY168" s="1009"/>
      <c r="GZ168" s="1009"/>
      <c r="HA168" s="1009"/>
      <c r="HB168" s="1009"/>
      <c r="HC168" s="1009"/>
      <c r="HD168" s="1009"/>
      <c r="HE168" s="1009"/>
      <c r="HF168" s="1009"/>
      <c r="HG168" s="1009"/>
      <c r="HH168" s="1009"/>
      <c r="HI168" s="1009"/>
      <c r="HJ168" s="1009"/>
      <c r="HK168" s="1009"/>
      <c r="HL168" s="1009"/>
      <c r="HM168" s="1009"/>
      <c r="HN168" s="1009"/>
      <c r="HO168" s="1009"/>
      <c r="HP168" s="1009"/>
      <c r="HQ168" s="1009"/>
      <c r="HR168" s="1009"/>
      <c r="HS168" s="1009"/>
      <c r="HT168" s="1009"/>
      <c r="HU168" s="1009"/>
      <c r="HV168" s="1009"/>
      <c r="HW168" s="1009"/>
      <c r="HX168" s="1009"/>
      <c r="HY168" s="1009"/>
      <c r="HZ168" s="1009"/>
      <c r="IA168" s="1009"/>
      <c r="IB168" s="1009"/>
      <c r="IC168" s="1009"/>
      <c r="ID168" s="1009"/>
      <c r="IE168" s="1009"/>
      <c r="IF168" s="1009"/>
      <c r="IG168" s="1009"/>
      <c r="IH168" s="1009"/>
      <c r="II168" s="1009"/>
      <c r="IJ168" s="1009"/>
      <c r="IK168" s="1009"/>
      <c r="IL168" s="1009"/>
      <c r="IM168" s="1009"/>
      <c r="IN168" s="1009"/>
      <c r="IO168" s="1009"/>
      <c r="IP168" s="1009"/>
      <c r="IQ168" s="1009"/>
      <c r="IR168" s="1009"/>
      <c r="IS168" s="1009"/>
      <c r="IT168" s="1009"/>
      <c r="IU168" s="1009"/>
      <c r="IV168" s="1009"/>
      <c r="IW168" s="1009"/>
      <c r="IX168" s="1009"/>
      <c r="IY168" s="1009"/>
      <c r="IZ168" s="1009"/>
      <c r="JA168" s="1009"/>
      <c r="JB168" s="1009"/>
      <c r="JC168" s="1009"/>
      <c r="JD168" s="1009"/>
      <c r="JE168" s="1009"/>
      <c r="JF168" s="1009"/>
      <c r="JG168" s="1009"/>
      <c r="JH168" s="1009"/>
      <c r="JI168" s="1009"/>
      <c r="JJ168" s="1009"/>
      <c r="JK168" s="1009"/>
      <c r="JL168" s="1009"/>
      <c r="JM168" s="1009"/>
      <c r="JN168" s="1009"/>
      <c r="JO168" s="1009"/>
      <c r="JP168" s="1009"/>
      <c r="JQ168" s="1009"/>
      <c r="JR168" s="1009"/>
      <c r="JS168" s="1009"/>
      <c r="JT168" s="1009"/>
      <c r="JU168" s="1009"/>
      <c r="JV168" s="1009"/>
      <c r="JW168" s="1009"/>
      <c r="JX168" s="1009"/>
      <c r="JY168" s="1009"/>
      <c r="JZ168" s="1009"/>
      <c r="KA168" s="1009"/>
      <c r="KB168" s="1009"/>
      <c r="KC168" s="1009"/>
      <c r="KD168" s="1009"/>
      <c r="KE168" s="1009"/>
      <c r="KF168" s="1009"/>
      <c r="KG168" s="1009"/>
      <c r="KH168" s="1009"/>
      <c r="KI168" s="1009"/>
      <c r="KJ168" s="1009"/>
      <c r="KK168" s="1009"/>
      <c r="KL168" s="1009"/>
      <c r="KM168" s="1009"/>
      <c r="KN168" s="1009"/>
      <c r="KO168" s="1009"/>
      <c r="KP168" s="1009"/>
      <c r="KQ168" s="1009"/>
      <c r="KR168" s="1009"/>
      <c r="KS168" s="1009"/>
      <c r="KT168" s="1009"/>
      <c r="KU168" s="1009"/>
      <c r="KV168" s="1009"/>
      <c r="KW168" s="1009"/>
      <c r="KX168" s="1009"/>
      <c r="KY168" s="1009"/>
      <c r="KZ168" s="1009"/>
      <c r="LA168" s="1009"/>
      <c r="LB168" s="1009"/>
      <c r="LC168" s="1009"/>
      <c r="LD168" s="1009"/>
      <c r="LE168" s="1009"/>
      <c r="LF168" s="1009"/>
      <c r="LG168" s="1009"/>
      <c r="LH168" s="1009"/>
      <c r="LI168" s="1009"/>
      <c r="LJ168" s="1009"/>
      <c r="LK168" s="1009"/>
      <c r="LL168" s="1009"/>
      <c r="LM168" s="1009"/>
      <c r="LN168" s="1009"/>
      <c r="LO168" s="1009"/>
      <c r="LP168" s="1009"/>
      <c r="LQ168" s="1009"/>
      <c r="LR168" s="1009"/>
      <c r="LS168" s="1009"/>
      <c r="LT168" s="1009"/>
      <c r="LU168" s="1009"/>
      <c r="LV168" s="1009"/>
      <c r="LW168" s="1009"/>
      <c r="LX168" s="1009"/>
      <c r="LY168" s="1009"/>
      <c r="LZ168" s="1009"/>
      <c r="MA168" s="1009"/>
      <c r="MB168" s="1009"/>
      <c r="MC168" s="1009"/>
      <c r="MD168" s="1009"/>
      <c r="ME168" s="1009"/>
      <c r="MF168" s="1009"/>
      <c r="MG168" s="1009"/>
      <c r="MH168" s="1009"/>
      <c r="MI168" s="1009"/>
      <c r="MJ168" s="1009"/>
      <c r="MK168" s="1009"/>
      <c r="ML168" s="1009"/>
      <c r="MM168" s="1009"/>
      <c r="MN168" s="1009"/>
      <c r="MO168" s="1009"/>
      <c r="MP168" s="1009"/>
      <c r="MQ168" s="1009"/>
      <c r="MR168" s="1009"/>
      <c r="MS168" s="1009"/>
      <c r="MT168" s="1009"/>
      <c r="MU168" s="1009"/>
      <c r="MV168" s="1009"/>
      <c r="MW168" s="1009"/>
      <c r="MX168" s="1009"/>
      <c r="MY168" s="1009"/>
      <c r="MZ168" s="1009"/>
      <c r="NA168" s="1009"/>
      <c r="NB168" s="1009"/>
      <c r="NC168" s="1009"/>
      <c r="ND168" s="1009"/>
      <c r="NE168" s="1009"/>
      <c r="NF168" s="1009"/>
      <c r="NG168" s="1009"/>
      <c r="NH168" s="1009"/>
      <c r="NI168" s="1009"/>
      <c r="NJ168" s="1009"/>
      <c r="NK168" s="1009"/>
      <c r="NL168" s="1009"/>
      <c r="NM168" s="1009"/>
      <c r="NN168" s="1009"/>
      <c r="NO168" s="1009"/>
      <c r="NP168" s="1009"/>
      <c r="NQ168" s="1009"/>
      <c r="NR168" s="1009"/>
      <c r="NS168" s="1009"/>
      <c r="NT168" s="1009"/>
      <c r="NU168" s="1009"/>
      <c r="NV168" s="1009"/>
      <c r="NW168" s="1009"/>
      <c r="NX168" s="1009"/>
      <c r="NY168" s="1009"/>
      <c r="NZ168" s="1009"/>
      <c r="OA168" s="1009"/>
      <c r="OB168" s="1009"/>
      <c r="OC168" s="1009"/>
      <c r="OD168" s="1009"/>
      <c r="OE168" s="1009"/>
      <c r="OF168" s="1009"/>
      <c r="OG168" s="1009"/>
      <c r="OH168" s="1009"/>
      <c r="OI168" s="1009"/>
      <c r="OJ168" s="1009"/>
      <c r="OK168" s="1009"/>
      <c r="OL168" s="1009"/>
      <c r="OM168" s="1009"/>
      <c r="ON168" s="1009"/>
      <c r="OO168" s="1009"/>
      <c r="OP168" s="1009"/>
      <c r="OQ168" s="1009"/>
      <c r="OR168" s="1009"/>
      <c r="OS168" s="1009"/>
      <c r="OT168" s="1009"/>
      <c r="OU168" s="1009"/>
      <c r="OV168" s="1009"/>
      <c r="OW168" s="1009"/>
      <c r="OX168" s="1009"/>
      <c r="OY168" s="1009"/>
      <c r="OZ168" s="1009"/>
      <c r="PA168" s="1009"/>
      <c r="PB168" s="1009"/>
      <c r="PC168" s="1009"/>
      <c r="PD168" s="1009"/>
      <c r="PE168" s="1009"/>
      <c r="PF168" s="1009"/>
      <c r="PG168" s="1009"/>
      <c r="PH168" s="1009"/>
      <c r="PI168" s="1009"/>
      <c r="PJ168" s="1009"/>
      <c r="PK168" s="1009"/>
      <c r="PL168" s="1009"/>
      <c r="PM168" s="1009"/>
      <c r="PN168" s="1009"/>
      <c r="PO168" s="1009"/>
      <c r="PP168" s="1009"/>
      <c r="PQ168" s="1009"/>
      <c r="PR168" s="1009"/>
      <c r="PS168" s="1009"/>
      <c r="PT168" s="1009"/>
      <c r="PU168" s="1009"/>
      <c r="PV168" s="1009"/>
      <c r="PW168" s="1009"/>
      <c r="PX168" s="1009"/>
      <c r="PY168" s="1009"/>
      <c r="PZ168" s="1009"/>
      <c r="QA168" s="1009"/>
      <c r="QB168" s="1009"/>
      <c r="QC168" s="1009"/>
      <c r="QD168" s="1009"/>
      <c r="QE168" s="1009"/>
      <c r="QF168" s="1009"/>
      <c r="QG168" s="1009"/>
      <c r="QH168" s="1009"/>
      <c r="QI168" s="1009"/>
      <c r="QJ168" s="1009"/>
      <c r="QK168" s="1009"/>
      <c r="QL168" s="1009"/>
      <c r="QM168" s="1009"/>
      <c r="QN168" s="1009"/>
      <c r="QO168" s="1009"/>
      <c r="QP168" s="1009"/>
      <c r="QQ168" s="1009"/>
      <c r="QR168" s="1009"/>
      <c r="QS168" s="1009"/>
      <c r="QT168" s="1009"/>
      <c r="QU168" s="1009"/>
      <c r="QV168" s="1009"/>
      <c r="QW168" s="1009"/>
      <c r="QX168" s="1009"/>
      <c r="QY168" s="1009"/>
      <c r="QZ168" s="1009"/>
      <c r="RA168" s="1009"/>
      <c r="RB168" s="1009"/>
      <c r="RC168" s="1009"/>
      <c r="RD168" s="1009"/>
      <c r="RE168" s="1009"/>
      <c r="RF168" s="1009"/>
      <c r="RG168" s="1009"/>
      <c r="RH168" s="1009"/>
      <c r="RI168" s="1009"/>
      <c r="RJ168" s="1009"/>
      <c r="RK168" s="1009"/>
      <c r="RL168" s="1009"/>
      <c r="RM168" s="1009"/>
      <c r="RN168" s="1009"/>
      <c r="RO168" s="1009"/>
      <c r="RP168" s="1009"/>
      <c r="RQ168" s="1009"/>
      <c r="RR168" s="1009"/>
      <c r="RS168" s="1009"/>
      <c r="RT168" s="1009"/>
      <c r="RU168" s="1009"/>
      <c r="RV168" s="1009"/>
      <c r="RW168" s="1009"/>
      <c r="RX168" s="1009"/>
      <c r="RY168" s="1009"/>
      <c r="RZ168" s="1009"/>
      <c r="SA168" s="1009"/>
      <c r="SB168" s="1009"/>
      <c r="SC168" s="1009"/>
      <c r="SD168" s="1009"/>
      <c r="SE168" s="1009"/>
      <c r="SF168" s="1009"/>
      <c r="SG168" s="1009"/>
      <c r="SH168" s="1009"/>
      <c r="SI168" s="1009"/>
      <c r="SJ168" s="1009"/>
      <c r="SK168" s="1009"/>
      <c r="SL168" s="1009"/>
      <c r="SM168" s="1009"/>
      <c r="SN168" s="1009"/>
      <c r="SO168" s="1009"/>
      <c r="SP168" s="1009"/>
      <c r="SQ168" s="1009"/>
      <c r="SR168" s="1009"/>
      <c r="SS168" s="1009"/>
      <c r="ST168" s="1009"/>
      <c r="SU168" s="1009"/>
      <c r="SV168" s="1009"/>
      <c r="SW168" s="1009"/>
      <c r="SX168" s="1009"/>
      <c r="SY168" s="1009"/>
      <c r="SZ168" s="1009"/>
      <c r="TA168" s="1009"/>
      <c r="TB168" s="1009"/>
      <c r="TC168" s="1009"/>
      <c r="TD168" s="1009"/>
      <c r="TE168" s="1009"/>
      <c r="TF168" s="1009"/>
      <c r="TG168" s="1009"/>
      <c r="TH168" s="1009"/>
      <c r="TI168" s="1009"/>
      <c r="TJ168" s="1009"/>
      <c r="TK168" s="1009"/>
      <c r="TL168" s="1009"/>
      <c r="TM168" s="1009"/>
      <c r="TN168" s="1009"/>
      <c r="TO168" s="1009"/>
      <c r="TP168" s="1009"/>
      <c r="TQ168" s="1009"/>
      <c r="TR168" s="1009"/>
      <c r="TS168" s="1009"/>
      <c r="TT168" s="1009"/>
      <c r="TU168" s="1009"/>
      <c r="TV168" s="1009"/>
      <c r="TW168" s="1009"/>
      <c r="TX168" s="1009"/>
      <c r="TY168" s="1009"/>
      <c r="TZ168" s="1009"/>
      <c r="UA168" s="1009"/>
      <c r="UB168" s="1009"/>
      <c r="UC168" s="1009"/>
      <c r="UD168" s="1009"/>
      <c r="UE168" s="1009"/>
      <c r="UF168" s="1009"/>
      <c r="UG168" s="1009"/>
      <c r="UH168" s="1009"/>
      <c r="UI168" s="1009"/>
      <c r="UJ168" s="1009"/>
      <c r="UK168" s="1009"/>
      <c r="UL168" s="1009"/>
      <c r="UM168" s="1009"/>
      <c r="UN168" s="1009"/>
      <c r="UO168" s="1009"/>
      <c r="UP168" s="1009"/>
      <c r="UQ168" s="1009"/>
      <c r="UR168" s="1009"/>
      <c r="US168" s="1009"/>
      <c r="UT168" s="1009"/>
      <c r="UU168" s="1009"/>
      <c r="UV168" s="1009"/>
      <c r="UW168" s="1009"/>
      <c r="UX168" s="1009"/>
      <c r="UY168" s="1009"/>
      <c r="UZ168" s="1009"/>
      <c r="VA168" s="1009"/>
      <c r="VB168" s="1009"/>
      <c r="VC168" s="1009"/>
      <c r="VD168" s="1009"/>
      <c r="VE168" s="1009"/>
      <c r="VF168" s="1009"/>
      <c r="VG168" s="1009"/>
      <c r="VH168" s="1009"/>
      <c r="VI168" s="1009"/>
      <c r="VJ168" s="1009"/>
      <c r="VK168" s="1009"/>
      <c r="VL168" s="1009"/>
      <c r="VM168" s="1009"/>
      <c r="VN168" s="1009"/>
      <c r="VO168" s="1009"/>
      <c r="VP168" s="1009"/>
      <c r="VQ168" s="1009"/>
      <c r="VR168" s="1009"/>
      <c r="VS168" s="1009"/>
      <c r="VT168" s="1009"/>
      <c r="VU168" s="1009"/>
      <c r="VV168" s="1009"/>
      <c r="VW168" s="1009"/>
      <c r="VX168" s="1009"/>
      <c r="VY168" s="1009"/>
      <c r="VZ168" s="1009"/>
      <c r="WA168" s="1009"/>
      <c r="WB168" s="1009"/>
      <c r="WC168" s="1009"/>
      <c r="WD168" s="1009"/>
      <c r="WE168" s="1009"/>
      <c r="WF168" s="1009"/>
      <c r="WG168" s="1009"/>
      <c r="WH168" s="1009"/>
      <c r="WI168" s="1009"/>
      <c r="WJ168" s="1009"/>
      <c r="WK168" s="1009"/>
      <c r="WL168" s="1009"/>
      <c r="WM168" s="1009"/>
      <c r="WN168" s="1009"/>
      <c r="WO168" s="1009"/>
      <c r="WP168" s="1009"/>
      <c r="WQ168" s="1009"/>
      <c r="WR168" s="1009"/>
      <c r="WS168" s="1009"/>
      <c r="WT168" s="1009"/>
      <c r="WU168" s="1009"/>
      <c r="WV168" s="1009"/>
      <c r="WW168" s="1009"/>
      <c r="WX168" s="1009"/>
      <c r="WY168" s="1009"/>
      <c r="WZ168" s="1009"/>
      <c r="XA168" s="1009"/>
      <c r="XB168" s="1009"/>
      <c r="XC168" s="1009"/>
      <c r="XD168" s="1009"/>
      <c r="XE168" s="1009"/>
      <c r="XF168" s="1009"/>
      <c r="XG168" s="1009"/>
      <c r="XH168" s="1009"/>
      <c r="XI168" s="1009"/>
      <c r="XJ168" s="1009"/>
      <c r="XK168" s="1009"/>
      <c r="XL168" s="1009"/>
      <c r="XM168" s="1009"/>
      <c r="XN168" s="1009"/>
      <c r="XO168" s="1009"/>
      <c r="XP168" s="1009"/>
      <c r="XQ168" s="1009"/>
      <c r="XR168" s="1009"/>
      <c r="XS168" s="1009"/>
      <c r="XT168" s="1009"/>
      <c r="XU168" s="1009"/>
      <c r="XV168" s="1009"/>
      <c r="XW168" s="1009"/>
      <c r="XX168" s="1009"/>
      <c r="XY168" s="1009"/>
      <c r="XZ168" s="1009"/>
      <c r="YA168" s="1009"/>
      <c r="YB168" s="1009"/>
      <c r="YC168" s="1009"/>
      <c r="YD168" s="1009"/>
      <c r="YE168" s="1009"/>
      <c r="YF168" s="1009"/>
      <c r="YG168" s="1009"/>
      <c r="YH168" s="1009"/>
      <c r="YI168" s="1009"/>
      <c r="YJ168" s="1009"/>
      <c r="YK168" s="1009"/>
      <c r="YL168" s="1009"/>
      <c r="YM168" s="1009"/>
      <c r="YN168" s="1009"/>
      <c r="YO168" s="1009"/>
      <c r="YP168" s="1009"/>
      <c r="YQ168" s="1009"/>
      <c r="YR168" s="1009"/>
      <c r="YS168" s="1009"/>
      <c r="YT168" s="1009"/>
      <c r="YU168" s="1009"/>
      <c r="YV168" s="1009"/>
      <c r="YW168" s="1009"/>
      <c r="YX168" s="1009"/>
      <c r="YY168" s="1009"/>
      <c r="YZ168" s="1009"/>
      <c r="ZA168" s="1009"/>
      <c r="ZB168" s="1009"/>
      <c r="ZC168" s="1009"/>
      <c r="ZD168" s="1009"/>
      <c r="ZE168" s="1009"/>
      <c r="ZF168" s="1009"/>
      <c r="ZG168" s="1009"/>
      <c r="ZH168" s="1009"/>
      <c r="ZI168" s="1009"/>
      <c r="ZJ168" s="1009"/>
      <c r="ZK168" s="1009"/>
      <c r="ZL168" s="1009"/>
      <c r="ZM168" s="1009"/>
      <c r="ZN168" s="1009"/>
      <c r="ZO168" s="1009"/>
      <c r="ZP168" s="1009"/>
      <c r="ZQ168" s="1009"/>
      <c r="ZR168" s="1009"/>
      <c r="ZS168" s="1009"/>
      <c r="ZT168" s="1009"/>
      <c r="ZU168" s="1009"/>
      <c r="ZV168" s="1009"/>
      <c r="ZW168" s="1009"/>
      <c r="ZX168" s="1009"/>
      <c r="ZY168" s="1009"/>
      <c r="ZZ168" s="1009"/>
      <c r="AAA168" s="1009"/>
      <c r="AAB168" s="1009"/>
      <c r="AAC168" s="1009"/>
      <c r="AAD168" s="1009"/>
      <c r="AAE168" s="1009"/>
      <c r="AAF168" s="1009"/>
      <c r="AAG168" s="1009"/>
      <c r="AAH168" s="1009"/>
      <c r="AAI168" s="1009"/>
      <c r="AAJ168" s="1009"/>
      <c r="AAK168" s="1009"/>
      <c r="AAL168" s="1009"/>
      <c r="AAM168" s="1009"/>
      <c r="AAN168" s="1009"/>
      <c r="AAO168" s="1009"/>
      <c r="AAP168" s="1009"/>
      <c r="AAQ168" s="1009"/>
      <c r="AAR168" s="1009"/>
      <c r="AAS168" s="1009"/>
      <c r="AAT168" s="1009"/>
      <c r="AAU168" s="1009"/>
      <c r="AAV168" s="1009"/>
      <c r="AAW168" s="1009"/>
      <c r="AAX168" s="1009"/>
      <c r="AAY168" s="1009"/>
      <c r="AAZ168" s="1009"/>
      <c r="ABA168" s="1009"/>
      <c r="ABB168" s="1009"/>
      <c r="ABC168" s="1009"/>
      <c r="ABD168" s="1009"/>
      <c r="ABE168" s="1009"/>
      <c r="ABF168" s="1009"/>
      <c r="ABG168" s="1009"/>
      <c r="ABH168" s="1009"/>
      <c r="ABI168" s="1009"/>
      <c r="ABJ168" s="1009"/>
      <c r="ABK168" s="1009"/>
      <c r="ABL168" s="1009"/>
      <c r="ABM168" s="1009"/>
      <c r="ABN168" s="1009"/>
      <c r="ABO168" s="1009"/>
      <c r="ABP168" s="1009"/>
      <c r="ABQ168" s="1009"/>
      <c r="ABR168" s="1009"/>
    </row>
    <row r="169" spans="1:746" s="111" customFormat="1" ht="12" customHeight="1">
      <c r="A169" s="924"/>
      <c r="B169" s="2336"/>
      <c r="C169" s="2337"/>
      <c r="D169" s="2338"/>
      <c r="E169" s="2339"/>
      <c r="F169" s="2339"/>
      <c r="G169" s="2339"/>
      <c r="H169" s="2340"/>
      <c r="I169" s="2570" t="str">
        <f>IF(fx!I$57=0,"&gt;&gt;",IF($L$4=I$6,"","Välj 1-12 i P4"))</f>
        <v/>
      </c>
      <c r="J169" s="1843" t="str">
        <f>IF(fx!J$57=0,"&gt;&gt;",IF($L$4=J$6,"Startmånad",""))</f>
        <v/>
      </c>
      <c r="K169" s="1843" t="str">
        <f>IF(fx!K$57=0,"&gt;&gt;",IF($L$4=K$6,"Startmånad",""))</f>
        <v/>
      </c>
      <c r="L169" s="1843" t="str">
        <f>IF(fx!L$57=0,"&gt;&gt;",IF($L$4=L$6,"Startmånad",""))</f>
        <v/>
      </c>
      <c r="M169" s="1843" t="str">
        <f>IF(fx!M$57=0,"&gt;&gt;",IF($L$4=M$6,"Startmånad",""))</f>
        <v/>
      </c>
      <c r="N169" s="1843" t="str">
        <f>IF(fx!N$57=0,"&gt;&gt;",IF($L$4=N$6,"Startmånad",""))</f>
        <v/>
      </c>
      <c r="O169" s="1843" t="str">
        <f>IF(AND(fx!$C$57=1,fx!O$57=0),"&gt;&gt;",IF(AND(fx!$C$57=1,$L$4=$O$6),"Startmånad",IF(AND(fx!$C$57=2,$L$4&lt;7),"Välj 7-12 i P4",IF(AND(fx!$C$57=2,$L$4=$O$6),"Startmånad",IF(AND(fx!$C$57=2,$L$4&gt;$O$6),"&gt;&gt;","")))))</f>
        <v/>
      </c>
      <c r="P169" s="1843" t="str">
        <f>IF(fx!P$57=0,"&gt;&gt;",IF($L$4=P$6,"Startmånad",""))</f>
        <v/>
      </c>
      <c r="Q169" s="1843" t="str">
        <f>IF(fx!Q$57=0,"&gt;&gt;",IF($L$4=Q$6,"Startmånad",""))</f>
        <v/>
      </c>
      <c r="R169" s="1843" t="str">
        <f>IF(fx!R$57=0,"&gt;&gt;",IF($L$4=R$6,"Startmånad",""))</f>
        <v/>
      </c>
      <c r="S169" s="1843" t="str">
        <f>IF(fx!S$57=0,"&gt;&gt;",IF($L$4=S$6,"Startmånad",""))</f>
        <v/>
      </c>
      <c r="T169" s="2721" t="str">
        <f>IF(fx!T$57=0,"&gt;&gt;",IF($L$4=T$6,"Startmånad",""))</f>
        <v/>
      </c>
      <c r="U169" s="2722"/>
      <c r="V169" s="2241"/>
      <c r="W169" s="2241"/>
      <c r="X169" s="2241"/>
      <c r="Y169" s="2241"/>
      <c r="Z169" s="2241"/>
      <c r="AA169" s="2241"/>
      <c r="AB169" s="2241"/>
      <c r="AC169" s="2241"/>
      <c r="AD169" s="2241"/>
      <c r="AE169" s="2241"/>
      <c r="AF169" s="2242"/>
      <c r="AG169" s="376"/>
      <c r="AH169" s="386"/>
      <c r="AI169" s="1004"/>
      <c r="AJ169" s="1004"/>
      <c r="AK169" s="1004"/>
      <c r="AL169" s="1004"/>
      <c r="AM169" s="1004"/>
      <c r="AN169" s="1034"/>
      <c r="AO169" s="1945"/>
      <c r="AP169" s="1935"/>
      <c r="AQ169" s="1936"/>
      <c r="AR169" s="1941"/>
      <c r="AS169" s="1941"/>
      <c r="AT169" s="1941"/>
      <c r="AU169" s="1941"/>
      <c r="AV169" s="1941"/>
      <c r="AW169" s="1941"/>
      <c r="AX169" s="1941"/>
      <c r="AY169" s="1941"/>
      <c r="AZ169" s="1941"/>
      <c r="BA169" s="1941"/>
      <c r="BB169" s="1941"/>
      <c r="BC169" s="1941"/>
      <c r="BD169" s="1941"/>
      <c r="BE169" s="1941"/>
      <c r="BF169" s="1941"/>
      <c r="BG169" s="1941"/>
      <c r="BH169" s="1941"/>
      <c r="BI169" s="1941"/>
      <c r="BJ169" s="1941"/>
      <c r="BK169" s="1941"/>
      <c r="BL169" s="1941"/>
      <c r="BM169" s="1941"/>
      <c r="BN169" s="1941"/>
      <c r="BO169" s="1941"/>
      <c r="BP169" s="1009"/>
      <c r="BQ169" s="1009"/>
      <c r="BR169" s="1009"/>
      <c r="BS169" s="1009"/>
      <c r="BT169" s="1009"/>
      <c r="BU169" s="1009"/>
      <c r="BV169" s="1009"/>
      <c r="BW169" s="1009"/>
      <c r="BX169" s="1009"/>
      <c r="BY169" s="1009"/>
      <c r="BZ169" s="1009"/>
      <c r="CA169" s="1009"/>
      <c r="CB169" s="1009"/>
      <c r="CC169" s="1009"/>
      <c r="CD169" s="1009"/>
      <c r="CE169" s="1009"/>
      <c r="CF169" s="1009"/>
      <c r="CG169" s="1009"/>
      <c r="CH169" s="1009"/>
      <c r="CI169" s="1009"/>
      <c r="CJ169" s="1009"/>
      <c r="CK169" s="1009"/>
      <c r="CL169" s="1009"/>
      <c r="CM169" s="1009"/>
      <c r="CN169" s="1009"/>
      <c r="CO169" s="1009"/>
      <c r="CP169" s="1009"/>
      <c r="CQ169" s="1009"/>
      <c r="CR169" s="1009"/>
      <c r="CS169" s="1009"/>
      <c r="CT169" s="1009"/>
      <c r="CU169" s="1009"/>
      <c r="CV169" s="1009"/>
      <c r="CW169" s="1009"/>
      <c r="CX169" s="1009"/>
      <c r="CY169" s="1009"/>
      <c r="CZ169" s="1009"/>
      <c r="DA169" s="1009"/>
      <c r="DB169" s="1009"/>
      <c r="DC169" s="1009"/>
      <c r="DD169" s="1009"/>
      <c r="DE169" s="1009"/>
      <c r="DF169" s="1009"/>
      <c r="DG169" s="1009"/>
      <c r="DH169" s="1009"/>
      <c r="DI169" s="1009"/>
      <c r="DJ169" s="1009"/>
      <c r="DK169" s="1009"/>
      <c r="DL169" s="1009"/>
      <c r="DM169" s="1009"/>
      <c r="DN169" s="1009"/>
      <c r="DO169" s="1009"/>
      <c r="DP169" s="1009"/>
      <c r="DQ169" s="1009"/>
      <c r="DR169" s="1009"/>
      <c r="DS169" s="1009"/>
      <c r="DT169" s="1009"/>
      <c r="DU169" s="1009"/>
      <c r="DV169" s="1009"/>
      <c r="DW169" s="1009"/>
      <c r="DX169" s="1009"/>
      <c r="DY169" s="1009"/>
      <c r="DZ169" s="1009"/>
      <c r="EA169" s="1009"/>
      <c r="EB169" s="1009"/>
      <c r="EC169" s="1009"/>
      <c r="ED169" s="1009"/>
      <c r="EE169" s="1009"/>
      <c r="EF169" s="1009"/>
      <c r="EG169" s="1009"/>
      <c r="EH169" s="1009"/>
      <c r="EI169" s="1009"/>
      <c r="EJ169" s="1009"/>
      <c r="EK169" s="1009"/>
      <c r="EL169" s="1009"/>
      <c r="EM169" s="1009"/>
      <c r="EN169" s="1009"/>
      <c r="EO169" s="1009"/>
      <c r="EP169" s="1009"/>
      <c r="EQ169" s="1009"/>
      <c r="ER169" s="1009"/>
      <c r="ES169" s="1009"/>
      <c r="ET169" s="1009"/>
      <c r="EU169" s="1009"/>
      <c r="EV169" s="1009"/>
      <c r="EW169" s="1009"/>
      <c r="EX169" s="1009"/>
      <c r="EY169" s="1009"/>
      <c r="EZ169" s="1009"/>
      <c r="FA169" s="1009"/>
      <c r="FB169" s="1009"/>
      <c r="FC169" s="1009"/>
      <c r="FD169" s="1009"/>
      <c r="FE169" s="1009"/>
      <c r="FF169" s="1009"/>
      <c r="FG169" s="1009"/>
      <c r="FH169" s="1009"/>
      <c r="FI169" s="1009"/>
      <c r="FJ169" s="1009"/>
      <c r="FK169" s="1009"/>
      <c r="FL169" s="1009"/>
      <c r="FM169" s="1009"/>
      <c r="FN169" s="1009"/>
      <c r="FO169" s="1009"/>
      <c r="FP169" s="1009"/>
      <c r="FQ169" s="1009"/>
      <c r="FR169" s="1009"/>
      <c r="FS169" s="1009"/>
      <c r="FT169" s="1009"/>
      <c r="FU169" s="1009"/>
      <c r="FV169" s="1009"/>
      <c r="FW169" s="1009"/>
      <c r="FX169" s="1009"/>
      <c r="FY169" s="1009"/>
      <c r="FZ169" s="1009"/>
      <c r="GA169" s="1009"/>
      <c r="GB169" s="1009"/>
      <c r="GC169" s="1009"/>
      <c r="GD169" s="1009"/>
      <c r="GE169" s="1009"/>
      <c r="GF169" s="1009"/>
      <c r="GG169" s="1009"/>
      <c r="GH169" s="1009"/>
      <c r="GI169" s="1009"/>
      <c r="GJ169" s="1009"/>
      <c r="GK169" s="1009"/>
      <c r="GL169" s="1009"/>
      <c r="GM169" s="1009"/>
      <c r="GN169" s="1009"/>
      <c r="GO169" s="1009"/>
      <c r="GP169" s="1009"/>
      <c r="GQ169" s="1009"/>
      <c r="GR169" s="1009"/>
      <c r="GS169" s="1009"/>
      <c r="GT169" s="1009"/>
      <c r="GU169" s="1009"/>
      <c r="GV169" s="1009"/>
      <c r="GW169" s="1009"/>
      <c r="GX169" s="1009"/>
      <c r="GY169" s="1009"/>
      <c r="GZ169" s="1009"/>
      <c r="HA169" s="1009"/>
      <c r="HB169" s="1009"/>
      <c r="HC169" s="1009"/>
      <c r="HD169" s="1009"/>
      <c r="HE169" s="1009"/>
      <c r="HF169" s="1009"/>
      <c r="HG169" s="1009"/>
      <c r="HH169" s="1009"/>
      <c r="HI169" s="1009"/>
      <c r="HJ169" s="1009"/>
      <c r="HK169" s="1009"/>
      <c r="HL169" s="1009"/>
      <c r="HM169" s="1009"/>
      <c r="HN169" s="1009"/>
      <c r="HO169" s="1009"/>
      <c r="HP169" s="1009"/>
      <c r="HQ169" s="1009"/>
      <c r="HR169" s="1009"/>
      <c r="HS169" s="1009"/>
      <c r="HT169" s="1009"/>
      <c r="HU169" s="1009"/>
      <c r="HV169" s="1009"/>
      <c r="HW169" s="1009"/>
      <c r="HX169" s="1009"/>
      <c r="HY169" s="1009"/>
      <c r="HZ169" s="1009"/>
      <c r="IA169" s="1009"/>
      <c r="IB169" s="1009"/>
      <c r="IC169" s="1009"/>
      <c r="ID169" s="1009"/>
      <c r="IE169" s="1009"/>
      <c r="IF169" s="1009"/>
      <c r="IG169" s="1009"/>
      <c r="IH169" s="1009"/>
      <c r="II169" s="1009"/>
      <c r="IJ169" s="1009"/>
      <c r="IK169" s="1009"/>
      <c r="IL169" s="1009"/>
      <c r="IM169" s="1009"/>
      <c r="IN169" s="1009"/>
      <c r="IO169" s="1009"/>
      <c r="IP169" s="1009"/>
      <c r="IQ169" s="1009"/>
      <c r="IR169" s="1009"/>
      <c r="IS169" s="1009"/>
      <c r="IT169" s="1009"/>
      <c r="IU169" s="1009"/>
      <c r="IV169" s="1009"/>
      <c r="IW169" s="1009"/>
      <c r="IX169" s="1009"/>
      <c r="IY169" s="1009"/>
      <c r="IZ169" s="1009"/>
      <c r="JA169" s="1009"/>
      <c r="JB169" s="1009"/>
      <c r="JC169" s="1009"/>
      <c r="JD169" s="1009"/>
      <c r="JE169" s="1009"/>
      <c r="JF169" s="1009"/>
      <c r="JG169" s="1009"/>
      <c r="JH169" s="1009"/>
      <c r="JI169" s="1009"/>
      <c r="JJ169" s="1009"/>
      <c r="JK169" s="1009"/>
      <c r="JL169" s="1009"/>
      <c r="JM169" s="1009"/>
      <c r="JN169" s="1009"/>
      <c r="JO169" s="1009"/>
      <c r="JP169" s="1009"/>
      <c r="JQ169" s="1009"/>
      <c r="JR169" s="1009"/>
      <c r="JS169" s="1009"/>
      <c r="JT169" s="1009"/>
      <c r="JU169" s="1009"/>
      <c r="JV169" s="1009"/>
      <c r="JW169" s="1009"/>
      <c r="JX169" s="1009"/>
      <c r="JY169" s="1009"/>
      <c r="JZ169" s="1009"/>
      <c r="KA169" s="1009"/>
      <c r="KB169" s="1009"/>
      <c r="KC169" s="1009"/>
      <c r="KD169" s="1009"/>
      <c r="KE169" s="1009"/>
      <c r="KF169" s="1009"/>
      <c r="KG169" s="1009"/>
      <c r="KH169" s="1009"/>
      <c r="KI169" s="1009"/>
      <c r="KJ169" s="1009"/>
      <c r="KK169" s="1009"/>
      <c r="KL169" s="1009"/>
      <c r="KM169" s="1009"/>
      <c r="KN169" s="1009"/>
      <c r="KO169" s="1009"/>
      <c r="KP169" s="1009"/>
      <c r="KQ169" s="1009"/>
      <c r="KR169" s="1009"/>
      <c r="KS169" s="1009"/>
      <c r="KT169" s="1009"/>
      <c r="KU169" s="1009"/>
      <c r="KV169" s="1009"/>
      <c r="KW169" s="1009"/>
      <c r="KX169" s="1009"/>
      <c r="KY169" s="1009"/>
      <c r="KZ169" s="1009"/>
      <c r="LA169" s="1009"/>
      <c r="LB169" s="1009"/>
      <c r="LC169" s="1009"/>
      <c r="LD169" s="1009"/>
      <c r="LE169" s="1009"/>
      <c r="LF169" s="1009"/>
      <c r="LG169" s="1009"/>
      <c r="LH169" s="1009"/>
      <c r="LI169" s="1009"/>
      <c r="LJ169" s="1009"/>
      <c r="LK169" s="1009"/>
      <c r="LL169" s="1009"/>
      <c r="LM169" s="1009"/>
      <c r="LN169" s="1009"/>
      <c r="LO169" s="1009"/>
      <c r="LP169" s="1009"/>
      <c r="LQ169" s="1009"/>
      <c r="LR169" s="1009"/>
      <c r="LS169" s="1009"/>
      <c r="LT169" s="1009"/>
      <c r="LU169" s="1009"/>
      <c r="LV169" s="1009"/>
      <c r="LW169" s="1009"/>
      <c r="LX169" s="1009"/>
      <c r="LY169" s="1009"/>
      <c r="LZ169" s="1009"/>
      <c r="MA169" s="1009"/>
      <c r="MB169" s="1009"/>
      <c r="MC169" s="1009"/>
      <c r="MD169" s="1009"/>
      <c r="ME169" s="1009"/>
      <c r="MF169" s="1009"/>
      <c r="MG169" s="1009"/>
      <c r="MH169" s="1009"/>
      <c r="MI169" s="1009"/>
      <c r="MJ169" s="1009"/>
      <c r="MK169" s="1009"/>
      <c r="ML169" s="1009"/>
      <c r="MM169" s="1009"/>
      <c r="MN169" s="1009"/>
      <c r="MO169" s="1009"/>
      <c r="MP169" s="1009"/>
      <c r="MQ169" s="1009"/>
      <c r="MR169" s="1009"/>
      <c r="MS169" s="1009"/>
      <c r="MT169" s="1009"/>
      <c r="MU169" s="1009"/>
      <c r="MV169" s="1009"/>
      <c r="MW169" s="1009"/>
      <c r="MX169" s="1009"/>
      <c r="MY169" s="1009"/>
      <c r="MZ169" s="1009"/>
      <c r="NA169" s="1009"/>
      <c r="NB169" s="1009"/>
      <c r="NC169" s="1009"/>
      <c r="ND169" s="1009"/>
      <c r="NE169" s="1009"/>
      <c r="NF169" s="1009"/>
      <c r="NG169" s="1009"/>
      <c r="NH169" s="1009"/>
      <c r="NI169" s="1009"/>
      <c r="NJ169" s="1009"/>
      <c r="NK169" s="1009"/>
      <c r="NL169" s="1009"/>
      <c r="NM169" s="1009"/>
      <c r="NN169" s="1009"/>
      <c r="NO169" s="1009"/>
      <c r="NP169" s="1009"/>
      <c r="NQ169" s="1009"/>
      <c r="NR169" s="1009"/>
      <c r="NS169" s="1009"/>
      <c r="NT169" s="1009"/>
      <c r="NU169" s="1009"/>
      <c r="NV169" s="1009"/>
      <c r="NW169" s="1009"/>
      <c r="NX169" s="1009"/>
      <c r="NY169" s="1009"/>
      <c r="NZ169" s="1009"/>
      <c r="OA169" s="1009"/>
      <c r="OB169" s="1009"/>
      <c r="OC169" s="1009"/>
      <c r="OD169" s="1009"/>
      <c r="OE169" s="1009"/>
      <c r="OF169" s="1009"/>
      <c r="OG169" s="1009"/>
      <c r="OH169" s="1009"/>
      <c r="OI169" s="1009"/>
      <c r="OJ169" s="1009"/>
      <c r="OK169" s="1009"/>
      <c r="OL169" s="1009"/>
      <c r="OM169" s="1009"/>
      <c r="ON169" s="1009"/>
      <c r="OO169" s="1009"/>
      <c r="OP169" s="1009"/>
      <c r="OQ169" s="1009"/>
      <c r="OR169" s="1009"/>
      <c r="OS169" s="1009"/>
      <c r="OT169" s="1009"/>
      <c r="OU169" s="1009"/>
      <c r="OV169" s="1009"/>
      <c r="OW169" s="1009"/>
      <c r="OX169" s="1009"/>
      <c r="OY169" s="1009"/>
      <c r="OZ169" s="1009"/>
      <c r="PA169" s="1009"/>
      <c r="PB169" s="1009"/>
      <c r="PC169" s="1009"/>
      <c r="PD169" s="1009"/>
      <c r="PE169" s="1009"/>
      <c r="PF169" s="1009"/>
      <c r="PG169" s="1009"/>
      <c r="PH169" s="1009"/>
      <c r="PI169" s="1009"/>
      <c r="PJ169" s="1009"/>
      <c r="PK169" s="1009"/>
      <c r="PL169" s="1009"/>
      <c r="PM169" s="1009"/>
      <c r="PN169" s="1009"/>
      <c r="PO169" s="1009"/>
      <c r="PP169" s="1009"/>
      <c r="PQ169" s="1009"/>
      <c r="PR169" s="1009"/>
      <c r="PS169" s="1009"/>
      <c r="PT169" s="1009"/>
      <c r="PU169" s="1009"/>
      <c r="PV169" s="1009"/>
      <c r="PW169" s="1009"/>
      <c r="PX169" s="1009"/>
      <c r="PY169" s="1009"/>
      <c r="PZ169" s="1009"/>
      <c r="QA169" s="1009"/>
      <c r="QB169" s="1009"/>
      <c r="QC169" s="1009"/>
      <c r="QD169" s="1009"/>
      <c r="QE169" s="1009"/>
      <c r="QF169" s="1009"/>
      <c r="QG169" s="1009"/>
      <c r="QH169" s="1009"/>
      <c r="QI169" s="1009"/>
      <c r="QJ169" s="1009"/>
      <c r="QK169" s="1009"/>
      <c r="QL169" s="1009"/>
      <c r="QM169" s="1009"/>
      <c r="QN169" s="1009"/>
      <c r="QO169" s="1009"/>
      <c r="QP169" s="1009"/>
      <c r="QQ169" s="1009"/>
      <c r="QR169" s="1009"/>
      <c r="QS169" s="1009"/>
      <c r="QT169" s="1009"/>
      <c r="QU169" s="1009"/>
      <c r="QV169" s="1009"/>
      <c r="QW169" s="1009"/>
      <c r="QX169" s="1009"/>
      <c r="QY169" s="1009"/>
      <c r="QZ169" s="1009"/>
      <c r="RA169" s="1009"/>
      <c r="RB169" s="1009"/>
      <c r="RC169" s="1009"/>
      <c r="RD169" s="1009"/>
      <c r="RE169" s="1009"/>
      <c r="RF169" s="1009"/>
      <c r="RG169" s="1009"/>
      <c r="RH169" s="1009"/>
      <c r="RI169" s="1009"/>
      <c r="RJ169" s="1009"/>
      <c r="RK169" s="1009"/>
      <c r="RL169" s="1009"/>
      <c r="RM169" s="1009"/>
      <c r="RN169" s="1009"/>
      <c r="RO169" s="1009"/>
      <c r="RP169" s="1009"/>
      <c r="RQ169" s="1009"/>
      <c r="RR169" s="1009"/>
      <c r="RS169" s="1009"/>
      <c r="RT169" s="1009"/>
      <c r="RU169" s="1009"/>
      <c r="RV169" s="1009"/>
      <c r="RW169" s="1009"/>
      <c r="RX169" s="1009"/>
      <c r="RY169" s="1009"/>
      <c r="RZ169" s="1009"/>
      <c r="SA169" s="1009"/>
      <c r="SB169" s="1009"/>
      <c r="SC169" s="1009"/>
      <c r="SD169" s="1009"/>
      <c r="SE169" s="1009"/>
      <c r="SF169" s="1009"/>
      <c r="SG169" s="1009"/>
      <c r="SH169" s="1009"/>
      <c r="SI169" s="1009"/>
      <c r="SJ169" s="1009"/>
      <c r="SK169" s="1009"/>
      <c r="SL169" s="1009"/>
      <c r="SM169" s="1009"/>
      <c r="SN169" s="1009"/>
      <c r="SO169" s="1009"/>
      <c r="SP169" s="1009"/>
      <c r="SQ169" s="1009"/>
      <c r="SR169" s="1009"/>
      <c r="SS169" s="1009"/>
      <c r="ST169" s="1009"/>
      <c r="SU169" s="1009"/>
      <c r="SV169" s="1009"/>
      <c r="SW169" s="1009"/>
      <c r="SX169" s="1009"/>
      <c r="SY169" s="1009"/>
      <c r="SZ169" s="1009"/>
      <c r="TA169" s="1009"/>
      <c r="TB169" s="1009"/>
      <c r="TC169" s="1009"/>
      <c r="TD169" s="1009"/>
      <c r="TE169" s="1009"/>
      <c r="TF169" s="1009"/>
      <c r="TG169" s="1009"/>
      <c r="TH169" s="1009"/>
      <c r="TI169" s="1009"/>
      <c r="TJ169" s="1009"/>
      <c r="TK169" s="1009"/>
      <c r="TL169" s="1009"/>
      <c r="TM169" s="1009"/>
      <c r="TN169" s="1009"/>
      <c r="TO169" s="1009"/>
      <c r="TP169" s="1009"/>
      <c r="TQ169" s="1009"/>
      <c r="TR169" s="1009"/>
      <c r="TS169" s="1009"/>
      <c r="TT169" s="1009"/>
      <c r="TU169" s="1009"/>
      <c r="TV169" s="1009"/>
      <c r="TW169" s="1009"/>
      <c r="TX169" s="1009"/>
      <c r="TY169" s="1009"/>
      <c r="TZ169" s="1009"/>
      <c r="UA169" s="1009"/>
      <c r="UB169" s="1009"/>
      <c r="UC169" s="1009"/>
      <c r="UD169" s="1009"/>
      <c r="UE169" s="1009"/>
      <c r="UF169" s="1009"/>
      <c r="UG169" s="1009"/>
      <c r="UH169" s="1009"/>
      <c r="UI169" s="1009"/>
      <c r="UJ169" s="1009"/>
      <c r="UK169" s="1009"/>
      <c r="UL169" s="1009"/>
      <c r="UM169" s="1009"/>
      <c r="UN169" s="1009"/>
      <c r="UO169" s="1009"/>
      <c r="UP169" s="1009"/>
      <c r="UQ169" s="1009"/>
      <c r="UR169" s="1009"/>
      <c r="US169" s="1009"/>
      <c r="UT169" s="1009"/>
      <c r="UU169" s="1009"/>
      <c r="UV169" s="1009"/>
      <c r="UW169" s="1009"/>
      <c r="UX169" s="1009"/>
      <c r="UY169" s="1009"/>
      <c r="UZ169" s="1009"/>
      <c r="VA169" s="1009"/>
      <c r="VB169" s="1009"/>
      <c r="VC169" s="1009"/>
      <c r="VD169" s="1009"/>
      <c r="VE169" s="1009"/>
      <c r="VF169" s="1009"/>
      <c r="VG169" s="1009"/>
      <c r="VH169" s="1009"/>
      <c r="VI169" s="1009"/>
      <c r="VJ169" s="1009"/>
      <c r="VK169" s="1009"/>
      <c r="VL169" s="1009"/>
      <c r="VM169" s="1009"/>
      <c r="VN169" s="1009"/>
      <c r="VO169" s="1009"/>
      <c r="VP169" s="1009"/>
      <c r="VQ169" s="1009"/>
      <c r="VR169" s="1009"/>
      <c r="VS169" s="1009"/>
      <c r="VT169" s="1009"/>
      <c r="VU169" s="1009"/>
      <c r="VV169" s="1009"/>
      <c r="VW169" s="1009"/>
      <c r="VX169" s="1009"/>
      <c r="VY169" s="1009"/>
      <c r="VZ169" s="1009"/>
      <c r="WA169" s="1009"/>
      <c r="WB169" s="1009"/>
      <c r="WC169" s="1009"/>
      <c r="WD169" s="1009"/>
      <c r="WE169" s="1009"/>
      <c r="WF169" s="1009"/>
      <c r="WG169" s="1009"/>
      <c r="WH169" s="1009"/>
      <c r="WI169" s="1009"/>
      <c r="WJ169" s="1009"/>
      <c r="WK169" s="1009"/>
      <c r="WL169" s="1009"/>
      <c r="WM169" s="1009"/>
      <c r="WN169" s="1009"/>
      <c r="WO169" s="1009"/>
      <c r="WP169" s="1009"/>
      <c r="WQ169" s="1009"/>
      <c r="WR169" s="1009"/>
      <c r="WS169" s="1009"/>
      <c r="WT169" s="1009"/>
      <c r="WU169" s="1009"/>
      <c r="WV169" s="1009"/>
      <c r="WW169" s="1009"/>
      <c r="WX169" s="1009"/>
      <c r="WY169" s="1009"/>
      <c r="WZ169" s="1009"/>
      <c r="XA169" s="1009"/>
      <c r="XB169" s="1009"/>
      <c r="XC169" s="1009"/>
      <c r="XD169" s="1009"/>
      <c r="XE169" s="1009"/>
      <c r="XF169" s="1009"/>
      <c r="XG169" s="1009"/>
      <c r="XH169" s="1009"/>
      <c r="XI169" s="1009"/>
      <c r="XJ169" s="1009"/>
      <c r="XK169" s="1009"/>
      <c r="XL169" s="1009"/>
      <c r="XM169" s="1009"/>
      <c r="XN169" s="1009"/>
      <c r="XO169" s="1009"/>
      <c r="XP169" s="1009"/>
      <c r="XQ169" s="1009"/>
      <c r="XR169" s="1009"/>
      <c r="XS169" s="1009"/>
      <c r="XT169" s="1009"/>
      <c r="XU169" s="1009"/>
      <c r="XV169" s="1009"/>
      <c r="XW169" s="1009"/>
      <c r="XX169" s="1009"/>
      <c r="XY169" s="1009"/>
      <c r="XZ169" s="1009"/>
      <c r="YA169" s="1009"/>
      <c r="YB169" s="1009"/>
      <c r="YC169" s="1009"/>
      <c r="YD169" s="1009"/>
      <c r="YE169" s="1009"/>
      <c r="YF169" s="1009"/>
      <c r="YG169" s="1009"/>
      <c r="YH169" s="1009"/>
      <c r="YI169" s="1009"/>
      <c r="YJ169" s="1009"/>
      <c r="YK169" s="1009"/>
      <c r="YL169" s="1009"/>
      <c r="YM169" s="1009"/>
      <c r="YN169" s="1009"/>
      <c r="YO169" s="1009"/>
      <c r="YP169" s="1009"/>
      <c r="YQ169" s="1009"/>
      <c r="YR169" s="1009"/>
      <c r="YS169" s="1009"/>
      <c r="YT169" s="1009"/>
      <c r="YU169" s="1009"/>
      <c r="YV169" s="1009"/>
      <c r="YW169" s="1009"/>
      <c r="YX169" s="1009"/>
      <c r="YY169" s="1009"/>
      <c r="YZ169" s="1009"/>
      <c r="ZA169" s="1009"/>
      <c r="ZB169" s="1009"/>
      <c r="ZC169" s="1009"/>
      <c r="ZD169" s="1009"/>
      <c r="ZE169" s="1009"/>
      <c r="ZF169" s="1009"/>
      <c r="ZG169" s="1009"/>
      <c r="ZH169" s="1009"/>
      <c r="ZI169" s="1009"/>
      <c r="ZJ169" s="1009"/>
      <c r="ZK169" s="1009"/>
      <c r="ZL169" s="1009"/>
      <c r="ZM169" s="1009"/>
      <c r="ZN169" s="1009"/>
      <c r="ZO169" s="1009"/>
      <c r="ZP169" s="1009"/>
      <c r="ZQ169" s="1009"/>
      <c r="ZR169" s="1009"/>
      <c r="ZS169" s="1009"/>
      <c r="ZT169" s="1009"/>
      <c r="ZU169" s="1009"/>
      <c r="ZV169" s="1009"/>
      <c r="ZW169" s="1009"/>
      <c r="ZX169" s="1009"/>
      <c r="ZY169" s="1009"/>
      <c r="ZZ169" s="1009"/>
      <c r="AAA169" s="1009"/>
      <c r="AAB169" s="1009"/>
      <c r="AAC169" s="1009"/>
      <c r="AAD169" s="1009"/>
      <c r="AAE169" s="1009"/>
      <c r="AAF169" s="1009"/>
      <c r="AAG169" s="1009"/>
      <c r="AAH169" s="1009"/>
      <c r="AAI169" s="1009"/>
      <c r="AAJ169" s="1009"/>
      <c r="AAK169" s="1009"/>
      <c r="AAL169" s="1009"/>
      <c r="AAM169" s="1009"/>
      <c r="AAN169" s="1009"/>
      <c r="AAO169" s="1009"/>
      <c r="AAP169" s="1009"/>
      <c r="AAQ169" s="1009"/>
      <c r="AAR169" s="1009"/>
      <c r="AAS169" s="1009"/>
      <c r="AAT169" s="1009"/>
      <c r="AAU169" s="1009"/>
      <c r="AAV169" s="1009"/>
      <c r="AAW169" s="1009"/>
      <c r="AAX169" s="1009"/>
      <c r="AAY169" s="1009"/>
      <c r="AAZ169" s="1009"/>
      <c r="ABA169" s="1009"/>
      <c r="ABB169" s="1009"/>
      <c r="ABC169" s="1009"/>
      <c r="ABD169" s="1009"/>
      <c r="ABE169" s="1009"/>
      <c r="ABF169" s="1009"/>
      <c r="ABG169" s="1009"/>
      <c r="ABH169" s="1009"/>
      <c r="ABI169" s="1009"/>
      <c r="ABJ169" s="1009"/>
      <c r="ABK169" s="1009"/>
      <c r="ABL169" s="1009"/>
      <c r="ABM169" s="1009"/>
      <c r="ABN169" s="1009"/>
      <c r="ABO169" s="1009"/>
      <c r="ABP169" s="1009"/>
      <c r="ABQ169" s="1009"/>
      <c r="ABR169" s="1009"/>
    </row>
    <row r="170" spans="1:746" s="111" customFormat="1" ht="12" customHeight="1">
      <c r="A170" s="924"/>
      <c r="B170" s="2955" t="s">
        <v>1101</v>
      </c>
      <c r="C170" s="2956"/>
      <c r="D170" s="2332"/>
      <c r="E170" s="2333" t="s">
        <v>330</v>
      </c>
      <c r="F170" s="548"/>
      <c r="G170" s="2334">
        <v>0.1</v>
      </c>
      <c r="H170" s="598"/>
      <c r="I170" s="1966"/>
      <c r="J170" s="1966"/>
      <c r="K170" s="1966"/>
      <c r="L170" s="1966"/>
      <c r="M170" s="1966"/>
      <c r="N170" s="1966"/>
      <c r="O170" s="1966"/>
      <c r="P170" s="1966"/>
      <c r="Q170" s="1966"/>
      <c r="R170" s="1966"/>
      <c r="S170" s="1966"/>
      <c r="T170" s="1966"/>
      <c r="U170" s="1966"/>
      <c r="V170" s="2335"/>
      <c r="W170" s="1966"/>
      <c r="X170" s="1966"/>
      <c r="Y170" s="1966"/>
      <c r="Z170" s="1966"/>
      <c r="AA170" s="1966"/>
      <c r="AB170" s="1966"/>
      <c r="AC170" s="1966"/>
      <c r="AD170" s="1966"/>
      <c r="AE170" s="1966"/>
      <c r="AF170" s="1966"/>
      <c r="AG170" s="1042"/>
      <c r="AH170" s="336"/>
      <c r="AI170" s="336"/>
      <c r="AJ170" s="416">
        <f>IF(fx!$C$57=1,SUMIF(fx!I$57:T$57,1,I170:T170),IF(fx!$C$57=2,SUMIF(fx!O$57:AF$57,1,O170:AF170)))</f>
        <v>0</v>
      </c>
      <c r="AK170" s="328"/>
      <c r="AL170" s="422">
        <f>IF(fx!$C$57=1,SUM(U170:AF170),0)</f>
        <v>0</v>
      </c>
      <c r="AM170" s="1004"/>
      <c r="AN170" s="1023"/>
      <c r="AO170" s="1945"/>
      <c r="AP170" s="1935"/>
      <c r="AQ170" s="1936"/>
      <c r="AR170" s="1941"/>
      <c r="AS170" s="1941"/>
      <c r="AT170" s="1941"/>
      <c r="AU170" s="1941"/>
      <c r="AV170" s="1941"/>
      <c r="AW170" s="1941"/>
      <c r="AX170" s="1941"/>
      <c r="AY170" s="1941"/>
      <c r="AZ170" s="1941"/>
      <c r="BA170" s="1941"/>
      <c r="BB170" s="1941"/>
      <c r="BC170" s="1941"/>
      <c r="BD170" s="1941"/>
      <c r="BE170" s="1941"/>
      <c r="BF170" s="1941"/>
      <c r="BG170" s="1941"/>
      <c r="BH170" s="1941"/>
      <c r="BI170" s="1941"/>
      <c r="BJ170" s="1941"/>
      <c r="BK170" s="1941"/>
      <c r="BL170" s="1941"/>
      <c r="BM170" s="1941"/>
      <c r="BN170" s="1941"/>
      <c r="BO170" s="1941"/>
      <c r="BP170" s="1009"/>
      <c r="BQ170" s="1009"/>
      <c r="BR170" s="1009"/>
      <c r="BS170" s="1009"/>
      <c r="BT170" s="1009"/>
      <c r="BU170" s="1009"/>
      <c r="BV170" s="1009"/>
      <c r="BW170" s="1009"/>
      <c r="BX170" s="1009"/>
      <c r="BY170" s="1009"/>
      <c r="BZ170" s="1009"/>
      <c r="CA170" s="1009"/>
      <c r="CB170" s="1009"/>
      <c r="CC170" s="1009"/>
      <c r="CD170" s="1009"/>
      <c r="CE170" s="1009"/>
      <c r="CF170" s="1009"/>
      <c r="CG170" s="1009"/>
      <c r="CH170" s="1009"/>
      <c r="CI170" s="1009"/>
      <c r="CJ170" s="1009"/>
      <c r="CK170" s="1009"/>
      <c r="CL170" s="1009"/>
      <c r="CM170" s="1009"/>
      <c r="CN170" s="1009"/>
      <c r="CO170" s="1009"/>
      <c r="CP170" s="1009"/>
      <c r="CQ170" s="1009"/>
      <c r="CR170" s="1009"/>
      <c r="CS170" s="1009"/>
      <c r="CT170" s="1009"/>
      <c r="CU170" s="1009"/>
      <c r="CV170" s="1009"/>
      <c r="CW170" s="1009"/>
      <c r="CX170" s="1009"/>
      <c r="CY170" s="1009"/>
      <c r="CZ170" s="1009"/>
      <c r="DA170" s="1009"/>
      <c r="DB170" s="1009"/>
      <c r="DC170" s="1009"/>
      <c r="DD170" s="1009"/>
      <c r="DE170" s="1009"/>
      <c r="DF170" s="1009"/>
      <c r="DG170" s="1009"/>
      <c r="DH170" s="1009"/>
      <c r="DI170" s="1009"/>
      <c r="DJ170" s="1009"/>
      <c r="DK170" s="1009"/>
      <c r="DL170" s="1009"/>
      <c r="DM170" s="1009"/>
      <c r="DN170" s="1009"/>
      <c r="DO170" s="1009"/>
      <c r="DP170" s="1009"/>
      <c r="DQ170" s="1009"/>
      <c r="DR170" s="1009"/>
      <c r="DS170" s="1009"/>
      <c r="DT170" s="1009"/>
      <c r="DU170" s="1009"/>
      <c r="DV170" s="1009"/>
      <c r="DW170" s="1009"/>
      <c r="DX170" s="1009"/>
      <c r="DY170" s="1009"/>
      <c r="DZ170" s="1009"/>
      <c r="EA170" s="1009"/>
      <c r="EB170" s="1009"/>
      <c r="EC170" s="1009"/>
      <c r="ED170" s="1009"/>
      <c r="EE170" s="1009"/>
      <c r="EF170" s="1009"/>
      <c r="EG170" s="1009"/>
      <c r="EH170" s="1009"/>
      <c r="EI170" s="1009"/>
      <c r="EJ170" s="1009"/>
      <c r="EK170" s="1009"/>
      <c r="EL170" s="1009"/>
      <c r="EM170" s="1009"/>
      <c r="EN170" s="1009"/>
      <c r="EO170" s="1009"/>
      <c r="EP170" s="1009"/>
      <c r="EQ170" s="1009"/>
      <c r="ER170" s="1009"/>
      <c r="ES170" s="1009"/>
      <c r="ET170" s="1009"/>
      <c r="EU170" s="1009"/>
      <c r="EV170" s="1009"/>
      <c r="EW170" s="1009"/>
      <c r="EX170" s="1009"/>
      <c r="EY170" s="1009"/>
      <c r="EZ170" s="1009"/>
      <c r="FA170" s="1009"/>
      <c r="FB170" s="1009"/>
      <c r="FC170" s="1009"/>
      <c r="FD170" s="1009"/>
      <c r="FE170" s="1009"/>
      <c r="FF170" s="1009"/>
      <c r="FG170" s="1009"/>
      <c r="FH170" s="1009"/>
      <c r="FI170" s="1009"/>
      <c r="FJ170" s="1009"/>
      <c r="FK170" s="1009"/>
      <c r="FL170" s="1009"/>
      <c r="FM170" s="1009"/>
      <c r="FN170" s="1009"/>
      <c r="FO170" s="1009"/>
      <c r="FP170" s="1009"/>
      <c r="FQ170" s="1009"/>
      <c r="FR170" s="1009"/>
      <c r="FS170" s="1009"/>
      <c r="FT170" s="1009"/>
      <c r="FU170" s="1009"/>
      <c r="FV170" s="1009"/>
      <c r="FW170" s="1009"/>
      <c r="FX170" s="1009"/>
      <c r="FY170" s="1009"/>
      <c r="FZ170" s="1009"/>
      <c r="GA170" s="1009"/>
      <c r="GB170" s="1009"/>
      <c r="GC170" s="1009"/>
      <c r="GD170" s="1009"/>
      <c r="GE170" s="1009"/>
      <c r="GF170" s="1009"/>
      <c r="GG170" s="1009"/>
      <c r="GH170" s="1009"/>
      <c r="GI170" s="1009"/>
      <c r="GJ170" s="1009"/>
      <c r="GK170" s="1009"/>
      <c r="GL170" s="1009"/>
      <c r="GM170" s="1009"/>
      <c r="GN170" s="1009"/>
      <c r="GO170" s="1009"/>
      <c r="GP170" s="1009"/>
      <c r="GQ170" s="1009"/>
      <c r="GR170" s="1009"/>
      <c r="GS170" s="1009"/>
      <c r="GT170" s="1009"/>
      <c r="GU170" s="1009"/>
      <c r="GV170" s="1009"/>
      <c r="GW170" s="1009"/>
      <c r="GX170" s="1009"/>
      <c r="GY170" s="1009"/>
      <c r="GZ170" s="1009"/>
      <c r="HA170" s="1009"/>
      <c r="HB170" s="1009"/>
      <c r="HC170" s="1009"/>
      <c r="HD170" s="1009"/>
      <c r="HE170" s="1009"/>
      <c r="HF170" s="1009"/>
      <c r="HG170" s="1009"/>
      <c r="HH170" s="1009"/>
      <c r="HI170" s="1009"/>
      <c r="HJ170" s="1009"/>
      <c r="HK170" s="1009"/>
      <c r="HL170" s="1009"/>
      <c r="HM170" s="1009"/>
      <c r="HN170" s="1009"/>
      <c r="HO170" s="1009"/>
      <c r="HP170" s="1009"/>
      <c r="HQ170" s="1009"/>
      <c r="HR170" s="1009"/>
      <c r="HS170" s="1009"/>
      <c r="HT170" s="1009"/>
      <c r="HU170" s="1009"/>
      <c r="HV170" s="1009"/>
      <c r="HW170" s="1009"/>
      <c r="HX170" s="1009"/>
      <c r="HY170" s="1009"/>
      <c r="HZ170" s="1009"/>
      <c r="IA170" s="1009"/>
      <c r="IB170" s="1009"/>
      <c r="IC170" s="1009"/>
      <c r="ID170" s="1009"/>
      <c r="IE170" s="1009"/>
      <c r="IF170" s="1009"/>
      <c r="IG170" s="1009"/>
      <c r="IH170" s="1009"/>
      <c r="II170" s="1009"/>
      <c r="IJ170" s="1009"/>
      <c r="IK170" s="1009"/>
      <c r="IL170" s="1009"/>
      <c r="IM170" s="1009"/>
      <c r="IN170" s="1009"/>
      <c r="IO170" s="1009"/>
      <c r="IP170" s="1009"/>
      <c r="IQ170" s="1009"/>
      <c r="IR170" s="1009"/>
      <c r="IS170" s="1009"/>
      <c r="IT170" s="1009"/>
      <c r="IU170" s="1009"/>
      <c r="IV170" s="1009"/>
      <c r="IW170" s="1009"/>
      <c r="IX170" s="1009"/>
      <c r="IY170" s="1009"/>
      <c r="IZ170" s="1009"/>
      <c r="JA170" s="1009"/>
      <c r="JB170" s="1009"/>
      <c r="JC170" s="1009"/>
      <c r="JD170" s="1009"/>
      <c r="JE170" s="1009"/>
      <c r="JF170" s="1009"/>
      <c r="JG170" s="1009"/>
      <c r="JH170" s="1009"/>
      <c r="JI170" s="1009"/>
      <c r="JJ170" s="1009"/>
      <c r="JK170" s="1009"/>
      <c r="JL170" s="1009"/>
      <c r="JM170" s="1009"/>
      <c r="JN170" s="1009"/>
      <c r="JO170" s="1009"/>
      <c r="JP170" s="1009"/>
      <c r="JQ170" s="1009"/>
      <c r="JR170" s="1009"/>
      <c r="JS170" s="1009"/>
      <c r="JT170" s="1009"/>
      <c r="JU170" s="1009"/>
      <c r="JV170" s="1009"/>
      <c r="JW170" s="1009"/>
      <c r="JX170" s="1009"/>
      <c r="JY170" s="1009"/>
      <c r="JZ170" s="1009"/>
      <c r="KA170" s="1009"/>
      <c r="KB170" s="1009"/>
      <c r="KC170" s="1009"/>
      <c r="KD170" s="1009"/>
      <c r="KE170" s="1009"/>
      <c r="KF170" s="1009"/>
      <c r="KG170" s="1009"/>
      <c r="KH170" s="1009"/>
      <c r="KI170" s="1009"/>
      <c r="KJ170" s="1009"/>
      <c r="KK170" s="1009"/>
      <c r="KL170" s="1009"/>
      <c r="KM170" s="1009"/>
      <c r="KN170" s="1009"/>
      <c r="KO170" s="1009"/>
      <c r="KP170" s="1009"/>
      <c r="KQ170" s="1009"/>
      <c r="KR170" s="1009"/>
      <c r="KS170" s="1009"/>
      <c r="KT170" s="1009"/>
      <c r="KU170" s="1009"/>
      <c r="KV170" s="1009"/>
      <c r="KW170" s="1009"/>
      <c r="KX170" s="1009"/>
      <c r="KY170" s="1009"/>
      <c r="KZ170" s="1009"/>
      <c r="LA170" s="1009"/>
      <c r="LB170" s="1009"/>
      <c r="LC170" s="1009"/>
      <c r="LD170" s="1009"/>
      <c r="LE170" s="1009"/>
      <c r="LF170" s="1009"/>
      <c r="LG170" s="1009"/>
      <c r="LH170" s="1009"/>
      <c r="LI170" s="1009"/>
      <c r="LJ170" s="1009"/>
      <c r="LK170" s="1009"/>
      <c r="LL170" s="1009"/>
      <c r="LM170" s="1009"/>
      <c r="LN170" s="1009"/>
      <c r="LO170" s="1009"/>
      <c r="LP170" s="1009"/>
      <c r="LQ170" s="1009"/>
      <c r="LR170" s="1009"/>
      <c r="LS170" s="1009"/>
      <c r="LT170" s="1009"/>
      <c r="LU170" s="1009"/>
      <c r="LV170" s="1009"/>
      <c r="LW170" s="1009"/>
      <c r="LX170" s="1009"/>
      <c r="LY170" s="1009"/>
      <c r="LZ170" s="1009"/>
      <c r="MA170" s="1009"/>
      <c r="MB170" s="1009"/>
      <c r="MC170" s="1009"/>
      <c r="MD170" s="1009"/>
      <c r="ME170" s="1009"/>
      <c r="MF170" s="1009"/>
      <c r="MG170" s="1009"/>
      <c r="MH170" s="1009"/>
      <c r="MI170" s="1009"/>
      <c r="MJ170" s="1009"/>
      <c r="MK170" s="1009"/>
      <c r="ML170" s="1009"/>
      <c r="MM170" s="1009"/>
      <c r="MN170" s="1009"/>
      <c r="MO170" s="1009"/>
      <c r="MP170" s="1009"/>
      <c r="MQ170" s="1009"/>
      <c r="MR170" s="1009"/>
      <c r="MS170" s="1009"/>
      <c r="MT170" s="1009"/>
      <c r="MU170" s="1009"/>
      <c r="MV170" s="1009"/>
      <c r="MW170" s="1009"/>
      <c r="MX170" s="1009"/>
      <c r="MY170" s="1009"/>
      <c r="MZ170" s="1009"/>
      <c r="NA170" s="1009"/>
      <c r="NB170" s="1009"/>
      <c r="NC170" s="1009"/>
      <c r="ND170" s="1009"/>
      <c r="NE170" s="1009"/>
      <c r="NF170" s="1009"/>
      <c r="NG170" s="1009"/>
      <c r="NH170" s="1009"/>
      <c r="NI170" s="1009"/>
      <c r="NJ170" s="1009"/>
      <c r="NK170" s="1009"/>
      <c r="NL170" s="1009"/>
      <c r="NM170" s="1009"/>
      <c r="NN170" s="1009"/>
      <c r="NO170" s="1009"/>
      <c r="NP170" s="1009"/>
      <c r="NQ170" s="1009"/>
      <c r="NR170" s="1009"/>
      <c r="NS170" s="1009"/>
      <c r="NT170" s="1009"/>
      <c r="NU170" s="1009"/>
      <c r="NV170" s="1009"/>
      <c r="NW170" s="1009"/>
      <c r="NX170" s="1009"/>
      <c r="NY170" s="1009"/>
      <c r="NZ170" s="1009"/>
      <c r="OA170" s="1009"/>
      <c r="OB170" s="1009"/>
      <c r="OC170" s="1009"/>
      <c r="OD170" s="1009"/>
      <c r="OE170" s="1009"/>
      <c r="OF170" s="1009"/>
      <c r="OG170" s="1009"/>
      <c r="OH170" s="1009"/>
      <c r="OI170" s="1009"/>
      <c r="OJ170" s="1009"/>
      <c r="OK170" s="1009"/>
      <c r="OL170" s="1009"/>
      <c r="OM170" s="1009"/>
      <c r="ON170" s="1009"/>
      <c r="OO170" s="1009"/>
      <c r="OP170" s="1009"/>
      <c r="OQ170" s="1009"/>
      <c r="OR170" s="1009"/>
      <c r="OS170" s="1009"/>
      <c r="OT170" s="1009"/>
      <c r="OU170" s="1009"/>
      <c r="OV170" s="1009"/>
      <c r="OW170" s="1009"/>
      <c r="OX170" s="1009"/>
      <c r="OY170" s="1009"/>
      <c r="OZ170" s="1009"/>
      <c r="PA170" s="1009"/>
      <c r="PB170" s="1009"/>
      <c r="PC170" s="1009"/>
      <c r="PD170" s="1009"/>
      <c r="PE170" s="1009"/>
      <c r="PF170" s="1009"/>
      <c r="PG170" s="1009"/>
      <c r="PH170" s="1009"/>
      <c r="PI170" s="1009"/>
      <c r="PJ170" s="1009"/>
      <c r="PK170" s="1009"/>
      <c r="PL170" s="1009"/>
      <c r="PM170" s="1009"/>
      <c r="PN170" s="1009"/>
      <c r="PO170" s="1009"/>
      <c r="PP170" s="1009"/>
      <c r="PQ170" s="1009"/>
      <c r="PR170" s="1009"/>
      <c r="PS170" s="1009"/>
      <c r="PT170" s="1009"/>
      <c r="PU170" s="1009"/>
      <c r="PV170" s="1009"/>
      <c r="PW170" s="1009"/>
      <c r="PX170" s="1009"/>
      <c r="PY170" s="1009"/>
      <c r="PZ170" s="1009"/>
      <c r="QA170" s="1009"/>
      <c r="QB170" s="1009"/>
      <c r="QC170" s="1009"/>
      <c r="QD170" s="1009"/>
      <c r="QE170" s="1009"/>
      <c r="QF170" s="1009"/>
      <c r="QG170" s="1009"/>
      <c r="QH170" s="1009"/>
      <c r="QI170" s="1009"/>
      <c r="QJ170" s="1009"/>
      <c r="QK170" s="1009"/>
      <c r="QL170" s="1009"/>
      <c r="QM170" s="1009"/>
      <c r="QN170" s="1009"/>
      <c r="QO170" s="1009"/>
      <c r="QP170" s="1009"/>
      <c r="QQ170" s="1009"/>
      <c r="QR170" s="1009"/>
      <c r="QS170" s="1009"/>
      <c r="QT170" s="1009"/>
      <c r="QU170" s="1009"/>
      <c r="QV170" s="1009"/>
      <c r="QW170" s="1009"/>
      <c r="QX170" s="1009"/>
      <c r="QY170" s="1009"/>
      <c r="QZ170" s="1009"/>
      <c r="RA170" s="1009"/>
      <c r="RB170" s="1009"/>
      <c r="RC170" s="1009"/>
      <c r="RD170" s="1009"/>
      <c r="RE170" s="1009"/>
      <c r="RF170" s="1009"/>
      <c r="RG170" s="1009"/>
      <c r="RH170" s="1009"/>
      <c r="RI170" s="1009"/>
      <c r="RJ170" s="1009"/>
      <c r="RK170" s="1009"/>
      <c r="RL170" s="1009"/>
      <c r="RM170" s="1009"/>
      <c r="RN170" s="1009"/>
      <c r="RO170" s="1009"/>
      <c r="RP170" s="1009"/>
      <c r="RQ170" s="1009"/>
      <c r="RR170" s="1009"/>
      <c r="RS170" s="1009"/>
      <c r="RT170" s="1009"/>
      <c r="RU170" s="1009"/>
      <c r="RV170" s="1009"/>
      <c r="RW170" s="1009"/>
      <c r="RX170" s="1009"/>
      <c r="RY170" s="1009"/>
      <c r="RZ170" s="1009"/>
      <c r="SA170" s="1009"/>
      <c r="SB170" s="1009"/>
      <c r="SC170" s="1009"/>
      <c r="SD170" s="1009"/>
      <c r="SE170" s="1009"/>
      <c r="SF170" s="1009"/>
      <c r="SG170" s="1009"/>
      <c r="SH170" s="1009"/>
      <c r="SI170" s="1009"/>
      <c r="SJ170" s="1009"/>
      <c r="SK170" s="1009"/>
      <c r="SL170" s="1009"/>
      <c r="SM170" s="1009"/>
      <c r="SN170" s="1009"/>
      <c r="SO170" s="1009"/>
      <c r="SP170" s="1009"/>
      <c r="SQ170" s="1009"/>
      <c r="SR170" s="1009"/>
      <c r="SS170" s="1009"/>
      <c r="ST170" s="1009"/>
      <c r="SU170" s="1009"/>
      <c r="SV170" s="1009"/>
      <c r="SW170" s="1009"/>
      <c r="SX170" s="1009"/>
      <c r="SY170" s="1009"/>
      <c r="SZ170" s="1009"/>
      <c r="TA170" s="1009"/>
      <c r="TB170" s="1009"/>
      <c r="TC170" s="1009"/>
      <c r="TD170" s="1009"/>
      <c r="TE170" s="1009"/>
      <c r="TF170" s="1009"/>
      <c r="TG170" s="1009"/>
      <c r="TH170" s="1009"/>
      <c r="TI170" s="1009"/>
      <c r="TJ170" s="1009"/>
      <c r="TK170" s="1009"/>
      <c r="TL170" s="1009"/>
      <c r="TM170" s="1009"/>
      <c r="TN170" s="1009"/>
      <c r="TO170" s="1009"/>
      <c r="TP170" s="1009"/>
      <c r="TQ170" s="1009"/>
      <c r="TR170" s="1009"/>
      <c r="TS170" s="1009"/>
      <c r="TT170" s="1009"/>
      <c r="TU170" s="1009"/>
      <c r="TV170" s="1009"/>
      <c r="TW170" s="1009"/>
      <c r="TX170" s="1009"/>
      <c r="TY170" s="1009"/>
      <c r="TZ170" s="1009"/>
      <c r="UA170" s="1009"/>
      <c r="UB170" s="1009"/>
      <c r="UC170" s="1009"/>
      <c r="UD170" s="1009"/>
      <c r="UE170" s="1009"/>
      <c r="UF170" s="1009"/>
      <c r="UG170" s="1009"/>
      <c r="UH170" s="1009"/>
      <c r="UI170" s="1009"/>
      <c r="UJ170" s="1009"/>
      <c r="UK170" s="1009"/>
      <c r="UL170" s="1009"/>
      <c r="UM170" s="1009"/>
      <c r="UN170" s="1009"/>
      <c r="UO170" s="1009"/>
      <c r="UP170" s="1009"/>
      <c r="UQ170" s="1009"/>
      <c r="UR170" s="1009"/>
      <c r="US170" s="1009"/>
      <c r="UT170" s="1009"/>
      <c r="UU170" s="1009"/>
      <c r="UV170" s="1009"/>
      <c r="UW170" s="1009"/>
      <c r="UX170" s="1009"/>
      <c r="UY170" s="1009"/>
      <c r="UZ170" s="1009"/>
      <c r="VA170" s="1009"/>
      <c r="VB170" s="1009"/>
      <c r="VC170" s="1009"/>
      <c r="VD170" s="1009"/>
      <c r="VE170" s="1009"/>
      <c r="VF170" s="1009"/>
      <c r="VG170" s="1009"/>
      <c r="VH170" s="1009"/>
      <c r="VI170" s="1009"/>
      <c r="VJ170" s="1009"/>
      <c r="VK170" s="1009"/>
      <c r="VL170" s="1009"/>
      <c r="VM170" s="1009"/>
      <c r="VN170" s="1009"/>
      <c r="VO170" s="1009"/>
      <c r="VP170" s="1009"/>
      <c r="VQ170" s="1009"/>
      <c r="VR170" s="1009"/>
      <c r="VS170" s="1009"/>
      <c r="VT170" s="1009"/>
      <c r="VU170" s="1009"/>
      <c r="VV170" s="1009"/>
      <c r="VW170" s="1009"/>
      <c r="VX170" s="1009"/>
      <c r="VY170" s="1009"/>
      <c r="VZ170" s="1009"/>
      <c r="WA170" s="1009"/>
      <c r="WB170" s="1009"/>
      <c r="WC170" s="1009"/>
      <c r="WD170" s="1009"/>
      <c r="WE170" s="1009"/>
      <c r="WF170" s="1009"/>
      <c r="WG170" s="1009"/>
      <c r="WH170" s="1009"/>
      <c r="WI170" s="1009"/>
      <c r="WJ170" s="1009"/>
      <c r="WK170" s="1009"/>
      <c r="WL170" s="1009"/>
      <c r="WM170" s="1009"/>
      <c r="WN170" s="1009"/>
      <c r="WO170" s="1009"/>
      <c r="WP170" s="1009"/>
      <c r="WQ170" s="1009"/>
      <c r="WR170" s="1009"/>
      <c r="WS170" s="1009"/>
      <c r="WT170" s="1009"/>
      <c r="WU170" s="1009"/>
      <c r="WV170" s="1009"/>
      <c r="WW170" s="1009"/>
      <c r="WX170" s="1009"/>
      <c r="WY170" s="1009"/>
      <c r="WZ170" s="1009"/>
      <c r="XA170" s="1009"/>
      <c r="XB170" s="1009"/>
      <c r="XC170" s="1009"/>
      <c r="XD170" s="1009"/>
      <c r="XE170" s="1009"/>
      <c r="XF170" s="1009"/>
      <c r="XG170" s="1009"/>
      <c r="XH170" s="1009"/>
      <c r="XI170" s="1009"/>
      <c r="XJ170" s="1009"/>
      <c r="XK170" s="1009"/>
      <c r="XL170" s="1009"/>
      <c r="XM170" s="1009"/>
      <c r="XN170" s="1009"/>
      <c r="XO170" s="1009"/>
      <c r="XP170" s="1009"/>
      <c r="XQ170" s="1009"/>
      <c r="XR170" s="1009"/>
      <c r="XS170" s="1009"/>
      <c r="XT170" s="1009"/>
      <c r="XU170" s="1009"/>
      <c r="XV170" s="1009"/>
      <c r="XW170" s="1009"/>
      <c r="XX170" s="1009"/>
      <c r="XY170" s="1009"/>
      <c r="XZ170" s="1009"/>
      <c r="YA170" s="1009"/>
      <c r="YB170" s="1009"/>
      <c r="YC170" s="1009"/>
      <c r="YD170" s="1009"/>
      <c r="YE170" s="1009"/>
      <c r="YF170" s="1009"/>
      <c r="YG170" s="1009"/>
      <c r="YH170" s="1009"/>
      <c r="YI170" s="1009"/>
      <c r="YJ170" s="1009"/>
      <c r="YK170" s="1009"/>
      <c r="YL170" s="1009"/>
      <c r="YM170" s="1009"/>
      <c r="YN170" s="1009"/>
      <c r="YO170" s="1009"/>
      <c r="YP170" s="1009"/>
      <c r="YQ170" s="1009"/>
      <c r="YR170" s="1009"/>
      <c r="YS170" s="1009"/>
      <c r="YT170" s="1009"/>
      <c r="YU170" s="1009"/>
      <c r="YV170" s="1009"/>
      <c r="YW170" s="1009"/>
      <c r="YX170" s="1009"/>
      <c r="YY170" s="1009"/>
      <c r="YZ170" s="1009"/>
      <c r="ZA170" s="1009"/>
      <c r="ZB170" s="1009"/>
      <c r="ZC170" s="1009"/>
      <c r="ZD170" s="1009"/>
      <c r="ZE170" s="1009"/>
      <c r="ZF170" s="1009"/>
      <c r="ZG170" s="1009"/>
      <c r="ZH170" s="1009"/>
      <c r="ZI170" s="1009"/>
      <c r="ZJ170" s="1009"/>
      <c r="ZK170" s="1009"/>
      <c r="ZL170" s="1009"/>
      <c r="ZM170" s="1009"/>
      <c r="ZN170" s="1009"/>
      <c r="ZO170" s="1009"/>
      <c r="ZP170" s="1009"/>
      <c r="ZQ170" s="1009"/>
      <c r="ZR170" s="1009"/>
      <c r="ZS170" s="1009"/>
      <c r="ZT170" s="1009"/>
      <c r="ZU170" s="1009"/>
      <c r="ZV170" s="1009"/>
      <c r="ZW170" s="1009"/>
      <c r="ZX170" s="1009"/>
      <c r="ZY170" s="1009"/>
      <c r="ZZ170" s="1009"/>
      <c r="AAA170" s="1009"/>
      <c r="AAB170" s="1009"/>
      <c r="AAC170" s="1009"/>
      <c r="AAD170" s="1009"/>
      <c r="AAE170" s="1009"/>
      <c r="AAF170" s="1009"/>
      <c r="AAG170" s="1009"/>
      <c r="AAH170" s="1009"/>
      <c r="AAI170" s="1009"/>
      <c r="AAJ170" s="1009"/>
      <c r="AAK170" s="1009"/>
      <c r="AAL170" s="1009"/>
      <c r="AAM170" s="1009"/>
      <c r="AAN170" s="1009"/>
      <c r="AAO170" s="1009"/>
      <c r="AAP170" s="1009"/>
      <c r="AAQ170" s="1009"/>
      <c r="AAR170" s="1009"/>
      <c r="AAS170" s="1009"/>
      <c r="AAT170" s="1009"/>
      <c r="AAU170" s="1009"/>
      <c r="AAV170" s="1009"/>
      <c r="AAW170" s="1009"/>
      <c r="AAX170" s="1009"/>
      <c r="AAY170" s="1009"/>
      <c r="AAZ170" s="1009"/>
      <c r="ABA170" s="1009"/>
      <c r="ABB170" s="1009"/>
      <c r="ABC170" s="1009"/>
      <c r="ABD170" s="1009"/>
      <c r="ABE170" s="1009"/>
      <c r="ABF170" s="1009"/>
      <c r="ABG170" s="1009"/>
      <c r="ABH170" s="1009"/>
      <c r="ABI170" s="1009"/>
      <c r="ABJ170" s="1009"/>
      <c r="ABK170" s="1009"/>
      <c r="ABL170" s="1009"/>
      <c r="ABM170" s="1009"/>
      <c r="ABN170" s="1009"/>
      <c r="ABO170" s="1009"/>
      <c r="ABP170" s="1009"/>
      <c r="ABQ170" s="1009"/>
      <c r="ABR170" s="1009"/>
    </row>
    <row r="171" spans="1:746" s="111" customFormat="1" ht="12" customHeight="1">
      <c r="A171" s="924"/>
      <c r="B171" s="1244" t="s">
        <v>17</v>
      </c>
      <c r="C171" s="1245"/>
      <c r="D171" s="885"/>
      <c r="E171" s="1246"/>
      <c r="F171" s="551"/>
      <c r="G171" s="1247"/>
      <c r="H171" s="2544"/>
      <c r="I171" s="1966"/>
      <c r="J171" s="1966"/>
      <c r="K171" s="1966"/>
      <c r="L171" s="1966"/>
      <c r="M171" s="1966"/>
      <c r="N171" s="1966"/>
      <c r="O171" s="1966"/>
      <c r="P171" s="1966"/>
      <c r="Q171" s="1966"/>
      <c r="R171" s="1966"/>
      <c r="S171" s="1966"/>
      <c r="T171" s="373"/>
      <c r="U171" s="373"/>
      <c r="V171" s="373"/>
      <c r="W171" s="373"/>
      <c r="X171" s="373"/>
      <c r="Y171" s="373"/>
      <c r="Z171" s="373"/>
      <c r="AA171" s="373"/>
      <c r="AB171" s="373"/>
      <c r="AC171" s="373"/>
      <c r="AD171" s="373"/>
      <c r="AE171" s="373"/>
      <c r="AF171" s="373"/>
      <c r="AG171" s="1042"/>
      <c r="AH171" s="336"/>
      <c r="AI171" s="336"/>
      <c r="AJ171" s="416">
        <f>IF(fx!$C$57=1,SUMIF(fx!I$57:T$57,1,I171:T171),IF(fx!$C$57=2,SUMIF(fx!O$57:AF$57,1,O171:AF171)))</f>
        <v>0</v>
      </c>
      <c r="AK171" s="328"/>
      <c r="AL171" s="422">
        <f>IF(fx!$C$57=1,SUM(U171:AF171),0)</f>
        <v>0</v>
      </c>
      <c r="AM171" s="1004"/>
      <c r="AN171" s="1023"/>
      <c r="AO171" s="1945"/>
      <c r="AP171" s="1935"/>
      <c r="AQ171" s="1936"/>
      <c r="AR171" s="1941"/>
      <c r="AS171" s="1941"/>
      <c r="AT171" s="1941"/>
      <c r="AU171" s="1941"/>
      <c r="AV171" s="1941"/>
      <c r="AW171" s="1941"/>
      <c r="AX171" s="1941"/>
      <c r="AY171" s="1941"/>
      <c r="AZ171" s="1941"/>
      <c r="BA171" s="1941"/>
      <c r="BB171" s="1941"/>
      <c r="BC171" s="1941"/>
      <c r="BD171" s="1941"/>
      <c r="BE171" s="1941"/>
      <c r="BF171" s="1941"/>
      <c r="BG171" s="1941"/>
      <c r="BH171" s="1941"/>
      <c r="BI171" s="1941"/>
      <c r="BJ171" s="1941"/>
      <c r="BK171" s="1941"/>
      <c r="BL171" s="1941"/>
      <c r="BM171" s="1941"/>
      <c r="BN171" s="1941"/>
      <c r="BO171" s="1941"/>
      <c r="BP171" s="1009"/>
      <c r="BQ171" s="1009"/>
      <c r="BR171" s="1009"/>
      <c r="BS171" s="1009"/>
      <c r="BT171" s="1009"/>
      <c r="BU171" s="1009"/>
      <c r="BV171" s="1009"/>
      <c r="BW171" s="1009"/>
      <c r="BX171" s="1009"/>
      <c r="BY171" s="1009"/>
      <c r="BZ171" s="1009"/>
      <c r="CA171" s="1009"/>
      <c r="CB171" s="1009"/>
      <c r="CC171" s="1009"/>
      <c r="CD171" s="1009"/>
      <c r="CE171" s="1009"/>
      <c r="CF171" s="1009"/>
      <c r="CG171" s="1009"/>
      <c r="CH171" s="1009"/>
      <c r="CI171" s="1009"/>
      <c r="CJ171" s="1009"/>
      <c r="CK171" s="1009"/>
      <c r="CL171" s="1009"/>
      <c r="CM171" s="1009"/>
      <c r="CN171" s="1009"/>
      <c r="CO171" s="1009"/>
      <c r="CP171" s="1009"/>
      <c r="CQ171" s="1009"/>
      <c r="CR171" s="1009"/>
      <c r="CS171" s="1009"/>
      <c r="CT171" s="1009"/>
      <c r="CU171" s="1009"/>
      <c r="CV171" s="1009"/>
      <c r="CW171" s="1009"/>
      <c r="CX171" s="1009"/>
      <c r="CY171" s="1009"/>
      <c r="CZ171" s="1009"/>
      <c r="DA171" s="1009"/>
      <c r="DB171" s="1009"/>
      <c r="DC171" s="1009"/>
      <c r="DD171" s="1009"/>
      <c r="DE171" s="1009"/>
      <c r="DF171" s="1009"/>
      <c r="DG171" s="1009"/>
      <c r="DH171" s="1009"/>
      <c r="DI171" s="1009"/>
      <c r="DJ171" s="1009"/>
      <c r="DK171" s="1009"/>
      <c r="DL171" s="1009"/>
      <c r="DM171" s="1009"/>
      <c r="DN171" s="1009"/>
      <c r="DO171" s="1009"/>
      <c r="DP171" s="1009"/>
      <c r="DQ171" s="1009"/>
      <c r="DR171" s="1009"/>
      <c r="DS171" s="1009"/>
      <c r="DT171" s="1009"/>
      <c r="DU171" s="1009"/>
      <c r="DV171" s="1009"/>
      <c r="DW171" s="1009"/>
      <c r="DX171" s="1009"/>
      <c r="DY171" s="1009"/>
      <c r="DZ171" s="1009"/>
      <c r="EA171" s="1009"/>
      <c r="EB171" s="1009"/>
      <c r="EC171" s="1009"/>
      <c r="ED171" s="1009"/>
      <c r="EE171" s="1009"/>
      <c r="EF171" s="1009"/>
      <c r="EG171" s="1009"/>
      <c r="EH171" s="1009"/>
      <c r="EI171" s="1009"/>
      <c r="EJ171" s="1009"/>
      <c r="EK171" s="1009"/>
      <c r="EL171" s="1009"/>
      <c r="EM171" s="1009"/>
      <c r="EN171" s="1009"/>
      <c r="EO171" s="1009"/>
      <c r="EP171" s="1009"/>
      <c r="EQ171" s="1009"/>
      <c r="ER171" s="1009"/>
      <c r="ES171" s="1009"/>
      <c r="ET171" s="1009"/>
      <c r="EU171" s="1009"/>
      <c r="EV171" s="1009"/>
      <c r="EW171" s="1009"/>
      <c r="EX171" s="1009"/>
      <c r="EY171" s="1009"/>
      <c r="EZ171" s="1009"/>
      <c r="FA171" s="1009"/>
      <c r="FB171" s="1009"/>
      <c r="FC171" s="1009"/>
      <c r="FD171" s="1009"/>
      <c r="FE171" s="1009"/>
      <c r="FF171" s="1009"/>
      <c r="FG171" s="1009"/>
      <c r="FH171" s="1009"/>
      <c r="FI171" s="1009"/>
      <c r="FJ171" s="1009"/>
      <c r="FK171" s="1009"/>
      <c r="FL171" s="1009"/>
      <c r="FM171" s="1009"/>
      <c r="FN171" s="1009"/>
      <c r="FO171" s="1009"/>
      <c r="FP171" s="1009"/>
      <c r="FQ171" s="1009"/>
      <c r="FR171" s="1009"/>
      <c r="FS171" s="1009"/>
      <c r="FT171" s="1009"/>
      <c r="FU171" s="1009"/>
      <c r="FV171" s="1009"/>
      <c r="FW171" s="1009"/>
      <c r="FX171" s="1009"/>
      <c r="FY171" s="1009"/>
      <c r="FZ171" s="1009"/>
      <c r="GA171" s="1009"/>
      <c r="GB171" s="1009"/>
      <c r="GC171" s="1009"/>
      <c r="GD171" s="1009"/>
      <c r="GE171" s="1009"/>
      <c r="GF171" s="1009"/>
      <c r="GG171" s="1009"/>
      <c r="GH171" s="1009"/>
      <c r="GI171" s="1009"/>
      <c r="GJ171" s="1009"/>
      <c r="GK171" s="1009"/>
      <c r="GL171" s="1009"/>
      <c r="GM171" s="1009"/>
      <c r="GN171" s="1009"/>
      <c r="GO171" s="1009"/>
      <c r="GP171" s="1009"/>
      <c r="GQ171" s="1009"/>
      <c r="GR171" s="1009"/>
      <c r="GS171" s="1009"/>
      <c r="GT171" s="1009"/>
      <c r="GU171" s="1009"/>
      <c r="GV171" s="1009"/>
      <c r="GW171" s="1009"/>
      <c r="GX171" s="1009"/>
      <c r="GY171" s="1009"/>
      <c r="GZ171" s="1009"/>
      <c r="HA171" s="1009"/>
      <c r="HB171" s="1009"/>
      <c r="HC171" s="1009"/>
      <c r="HD171" s="1009"/>
      <c r="HE171" s="1009"/>
      <c r="HF171" s="1009"/>
      <c r="HG171" s="1009"/>
      <c r="HH171" s="1009"/>
      <c r="HI171" s="1009"/>
      <c r="HJ171" s="1009"/>
      <c r="HK171" s="1009"/>
      <c r="HL171" s="1009"/>
      <c r="HM171" s="1009"/>
      <c r="HN171" s="1009"/>
      <c r="HO171" s="1009"/>
      <c r="HP171" s="1009"/>
      <c r="HQ171" s="1009"/>
      <c r="HR171" s="1009"/>
      <c r="HS171" s="1009"/>
      <c r="HT171" s="1009"/>
      <c r="HU171" s="1009"/>
      <c r="HV171" s="1009"/>
      <c r="HW171" s="1009"/>
      <c r="HX171" s="1009"/>
      <c r="HY171" s="1009"/>
      <c r="HZ171" s="1009"/>
      <c r="IA171" s="1009"/>
      <c r="IB171" s="1009"/>
      <c r="IC171" s="1009"/>
      <c r="ID171" s="1009"/>
      <c r="IE171" s="1009"/>
      <c r="IF171" s="1009"/>
      <c r="IG171" s="1009"/>
      <c r="IH171" s="1009"/>
      <c r="II171" s="1009"/>
      <c r="IJ171" s="1009"/>
      <c r="IK171" s="1009"/>
      <c r="IL171" s="1009"/>
      <c r="IM171" s="1009"/>
      <c r="IN171" s="1009"/>
      <c r="IO171" s="1009"/>
      <c r="IP171" s="1009"/>
      <c r="IQ171" s="1009"/>
      <c r="IR171" s="1009"/>
      <c r="IS171" s="1009"/>
      <c r="IT171" s="1009"/>
      <c r="IU171" s="1009"/>
      <c r="IV171" s="1009"/>
      <c r="IW171" s="1009"/>
      <c r="IX171" s="1009"/>
      <c r="IY171" s="1009"/>
      <c r="IZ171" s="1009"/>
      <c r="JA171" s="1009"/>
      <c r="JB171" s="1009"/>
      <c r="JC171" s="1009"/>
      <c r="JD171" s="1009"/>
      <c r="JE171" s="1009"/>
      <c r="JF171" s="1009"/>
      <c r="JG171" s="1009"/>
      <c r="JH171" s="1009"/>
      <c r="JI171" s="1009"/>
      <c r="JJ171" s="1009"/>
      <c r="JK171" s="1009"/>
      <c r="JL171" s="1009"/>
      <c r="JM171" s="1009"/>
      <c r="JN171" s="1009"/>
      <c r="JO171" s="1009"/>
      <c r="JP171" s="1009"/>
      <c r="JQ171" s="1009"/>
      <c r="JR171" s="1009"/>
      <c r="JS171" s="1009"/>
      <c r="JT171" s="1009"/>
      <c r="JU171" s="1009"/>
      <c r="JV171" s="1009"/>
      <c r="JW171" s="1009"/>
      <c r="JX171" s="1009"/>
      <c r="JY171" s="1009"/>
      <c r="JZ171" s="1009"/>
      <c r="KA171" s="1009"/>
      <c r="KB171" s="1009"/>
      <c r="KC171" s="1009"/>
      <c r="KD171" s="1009"/>
      <c r="KE171" s="1009"/>
      <c r="KF171" s="1009"/>
      <c r="KG171" s="1009"/>
      <c r="KH171" s="1009"/>
      <c r="KI171" s="1009"/>
      <c r="KJ171" s="1009"/>
      <c r="KK171" s="1009"/>
      <c r="KL171" s="1009"/>
      <c r="KM171" s="1009"/>
      <c r="KN171" s="1009"/>
      <c r="KO171" s="1009"/>
      <c r="KP171" s="1009"/>
      <c r="KQ171" s="1009"/>
      <c r="KR171" s="1009"/>
      <c r="KS171" s="1009"/>
      <c r="KT171" s="1009"/>
      <c r="KU171" s="1009"/>
      <c r="KV171" s="1009"/>
      <c r="KW171" s="1009"/>
      <c r="KX171" s="1009"/>
      <c r="KY171" s="1009"/>
      <c r="KZ171" s="1009"/>
      <c r="LA171" s="1009"/>
      <c r="LB171" s="1009"/>
      <c r="LC171" s="1009"/>
      <c r="LD171" s="1009"/>
      <c r="LE171" s="1009"/>
      <c r="LF171" s="1009"/>
      <c r="LG171" s="1009"/>
      <c r="LH171" s="1009"/>
      <c r="LI171" s="1009"/>
      <c r="LJ171" s="1009"/>
      <c r="LK171" s="1009"/>
      <c r="LL171" s="1009"/>
      <c r="LM171" s="1009"/>
      <c r="LN171" s="1009"/>
      <c r="LO171" s="1009"/>
      <c r="LP171" s="1009"/>
      <c r="LQ171" s="1009"/>
      <c r="LR171" s="1009"/>
      <c r="LS171" s="1009"/>
      <c r="LT171" s="1009"/>
      <c r="LU171" s="1009"/>
      <c r="LV171" s="1009"/>
      <c r="LW171" s="1009"/>
      <c r="LX171" s="1009"/>
      <c r="LY171" s="1009"/>
      <c r="LZ171" s="1009"/>
      <c r="MA171" s="1009"/>
      <c r="MB171" s="1009"/>
      <c r="MC171" s="1009"/>
      <c r="MD171" s="1009"/>
      <c r="ME171" s="1009"/>
      <c r="MF171" s="1009"/>
      <c r="MG171" s="1009"/>
      <c r="MH171" s="1009"/>
      <c r="MI171" s="1009"/>
      <c r="MJ171" s="1009"/>
      <c r="MK171" s="1009"/>
      <c r="ML171" s="1009"/>
      <c r="MM171" s="1009"/>
      <c r="MN171" s="1009"/>
      <c r="MO171" s="1009"/>
      <c r="MP171" s="1009"/>
      <c r="MQ171" s="1009"/>
      <c r="MR171" s="1009"/>
      <c r="MS171" s="1009"/>
      <c r="MT171" s="1009"/>
      <c r="MU171" s="1009"/>
      <c r="MV171" s="1009"/>
      <c r="MW171" s="1009"/>
      <c r="MX171" s="1009"/>
      <c r="MY171" s="1009"/>
      <c r="MZ171" s="1009"/>
      <c r="NA171" s="1009"/>
      <c r="NB171" s="1009"/>
      <c r="NC171" s="1009"/>
      <c r="ND171" s="1009"/>
      <c r="NE171" s="1009"/>
      <c r="NF171" s="1009"/>
      <c r="NG171" s="1009"/>
      <c r="NH171" s="1009"/>
      <c r="NI171" s="1009"/>
      <c r="NJ171" s="1009"/>
      <c r="NK171" s="1009"/>
      <c r="NL171" s="1009"/>
      <c r="NM171" s="1009"/>
      <c r="NN171" s="1009"/>
      <c r="NO171" s="1009"/>
      <c r="NP171" s="1009"/>
      <c r="NQ171" s="1009"/>
      <c r="NR171" s="1009"/>
      <c r="NS171" s="1009"/>
      <c r="NT171" s="1009"/>
      <c r="NU171" s="1009"/>
      <c r="NV171" s="1009"/>
      <c r="NW171" s="1009"/>
      <c r="NX171" s="1009"/>
      <c r="NY171" s="1009"/>
      <c r="NZ171" s="1009"/>
      <c r="OA171" s="1009"/>
      <c r="OB171" s="1009"/>
      <c r="OC171" s="1009"/>
      <c r="OD171" s="1009"/>
      <c r="OE171" s="1009"/>
      <c r="OF171" s="1009"/>
      <c r="OG171" s="1009"/>
      <c r="OH171" s="1009"/>
      <c r="OI171" s="1009"/>
      <c r="OJ171" s="1009"/>
      <c r="OK171" s="1009"/>
      <c r="OL171" s="1009"/>
      <c r="OM171" s="1009"/>
      <c r="ON171" s="1009"/>
      <c r="OO171" s="1009"/>
      <c r="OP171" s="1009"/>
      <c r="OQ171" s="1009"/>
      <c r="OR171" s="1009"/>
      <c r="OS171" s="1009"/>
      <c r="OT171" s="1009"/>
      <c r="OU171" s="1009"/>
      <c r="OV171" s="1009"/>
      <c r="OW171" s="1009"/>
      <c r="OX171" s="1009"/>
      <c r="OY171" s="1009"/>
      <c r="OZ171" s="1009"/>
      <c r="PA171" s="1009"/>
      <c r="PB171" s="1009"/>
      <c r="PC171" s="1009"/>
      <c r="PD171" s="1009"/>
      <c r="PE171" s="1009"/>
      <c r="PF171" s="1009"/>
      <c r="PG171" s="1009"/>
      <c r="PH171" s="1009"/>
      <c r="PI171" s="1009"/>
      <c r="PJ171" s="1009"/>
      <c r="PK171" s="1009"/>
      <c r="PL171" s="1009"/>
      <c r="PM171" s="1009"/>
      <c r="PN171" s="1009"/>
      <c r="PO171" s="1009"/>
      <c r="PP171" s="1009"/>
      <c r="PQ171" s="1009"/>
      <c r="PR171" s="1009"/>
      <c r="PS171" s="1009"/>
      <c r="PT171" s="1009"/>
      <c r="PU171" s="1009"/>
      <c r="PV171" s="1009"/>
      <c r="PW171" s="1009"/>
      <c r="PX171" s="1009"/>
      <c r="PY171" s="1009"/>
      <c r="PZ171" s="1009"/>
      <c r="QA171" s="1009"/>
      <c r="QB171" s="1009"/>
      <c r="QC171" s="1009"/>
      <c r="QD171" s="1009"/>
      <c r="QE171" s="1009"/>
      <c r="QF171" s="1009"/>
      <c r="QG171" s="1009"/>
      <c r="QH171" s="1009"/>
      <c r="QI171" s="1009"/>
      <c r="QJ171" s="1009"/>
      <c r="QK171" s="1009"/>
      <c r="QL171" s="1009"/>
      <c r="QM171" s="1009"/>
      <c r="QN171" s="1009"/>
      <c r="QO171" s="1009"/>
      <c r="QP171" s="1009"/>
      <c r="QQ171" s="1009"/>
      <c r="QR171" s="1009"/>
      <c r="QS171" s="1009"/>
      <c r="QT171" s="1009"/>
      <c r="QU171" s="1009"/>
      <c r="QV171" s="1009"/>
      <c r="QW171" s="1009"/>
      <c r="QX171" s="1009"/>
      <c r="QY171" s="1009"/>
      <c r="QZ171" s="1009"/>
      <c r="RA171" s="1009"/>
      <c r="RB171" s="1009"/>
      <c r="RC171" s="1009"/>
      <c r="RD171" s="1009"/>
      <c r="RE171" s="1009"/>
      <c r="RF171" s="1009"/>
      <c r="RG171" s="1009"/>
      <c r="RH171" s="1009"/>
      <c r="RI171" s="1009"/>
      <c r="RJ171" s="1009"/>
      <c r="RK171" s="1009"/>
      <c r="RL171" s="1009"/>
      <c r="RM171" s="1009"/>
      <c r="RN171" s="1009"/>
      <c r="RO171" s="1009"/>
      <c r="RP171" s="1009"/>
      <c r="RQ171" s="1009"/>
      <c r="RR171" s="1009"/>
      <c r="RS171" s="1009"/>
      <c r="RT171" s="1009"/>
      <c r="RU171" s="1009"/>
      <c r="RV171" s="1009"/>
      <c r="RW171" s="1009"/>
      <c r="RX171" s="1009"/>
      <c r="RY171" s="1009"/>
      <c r="RZ171" s="1009"/>
      <c r="SA171" s="1009"/>
      <c r="SB171" s="1009"/>
      <c r="SC171" s="1009"/>
      <c r="SD171" s="1009"/>
      <c r="SE171" s="1009"/>
      <c r="SF171" s="1009"/>
      <c r="SG171" s="1009"/>
      <c r="SH171" s="1009"/>
      <c r="SI171" s="1009"/>
      <c r="SJ171" s="1009"/>
      <c r="SK171" s="1009"/>
      <c r="SL171" s="1009"/>
      <c r="SM171" s="1009"/>
      <c r="SN171" s="1009"/>
      <c r="SO171" s="1009"/>
      <c r="SP171" s="1009"/>
      <c r="SQ171" s="1009"/>
      <c r="SR171" s="1009"/>
      <c r="SS171" s="1009"/>
      <c r="ST171" s="1009"/>
      <c r="SU171" s="1009"/>
      <c r="SV171" s="1009"/>
      <c r="SW171" s="1009"/>
      <c r="SX171" s="1009"/>
      <c r="SY171" s="1009"/>
      <c r="SZ171" s="1009"/>
      <c r="TA171" s="1009"/>
      <c r="TB171" s="1009"/>
      <c r="TC171" s="1009"/>
      <c r="TD171" s="1009"/>
      <c r="TE171" s="1009"/>
      <c r="TF171" s="1009"/>
      <c r="TG171" s="1009"/>
      <c r="TH171" s="1009"/>
      <c r="TI171" s="1009"/>
      <c r="TJ171" s="1009"/>
      <c r="TK171" s="1009"/>
      <c r="TL171" s="1009"/>
      <c r="TM171" s="1009"/>
      <c r="TN171" s="1009"/>
      <c r="TO171" s="1009"/>
      <c r="TP171" s="1009"/>
      <c r="TQ171" s="1009"/>
      <c r="TR171" s="1009"/>
      <c r="TS171" s="1009"/>
      <c r="TT171" s="1009"/>
      <c r="TU171" s="1009"/>
      <c r="TV171" s="1009"/>
      <c r="TW171" s="1009"/>
      <c r="TX171" s="1009"/>
      <c r="TY171" s="1009"/>
      <c r="TZ171" s="1009"/>
      <c r="UA171" s="1009"/>
      <c r="UB171" s="1009"/>
      <c r="UC171" s="1009"/>
      <c r="UD171" s="1009"/>
      <c r="UE171" s="1009"/>
      <c r="UF171" s="1009"/>
      <c r="UG171" s="1009"/>
      <c r="UH171" s="1009"/>
      <c r="UI171" s="1009"/>
      <c r="UJ171" s="1009"/>
      <c r="UK171" s="1009"/>
      <c r="UL171" s="1009"/>
      <c r="UM171" s="1009"/>
      <c r="UN171" s="1009"/>
      <c r="UO171" s="1009"/>
      <c r="UP171" s="1009"/>
      <c r="UQ171" s="1009"/>
      <c r="UR171" s="1009"/>
      <c r="US171" s="1009"/>
      <c r="UT171" s="1009"/>
      <c r="UU171" s="1009"/>
      <c r="UV171" s="1009"/>
      <c r="UW171" s="1009"/>
      <c r="UX171" s="1009"/>
      <c r="UY171" s="1009"/>
      <c r="UZ171" s="1009"/>
      <c r="VA171" s="1009"/>
      <c r="VB171" s="1009"/>
      <c r="VC171" s="1009"/>
      <c r="VD171" s="1009"/>
      <c r="VE171" s="1009"/>
      <c r="VF171" s="1009"/>
      <c r="VG171" s="1009"/>
      <c r="VH171" s="1009"/>
      <c r="VI171" s="1009"/>
      <c r="VJ171" s="1009"/>
      <c r="VK171" s="1009"/>
      <c r="VL171" s="1009"/>
      <c r="VM171" s="1009"/>
      <c r="VN171" s="1009"/>
      <c r="VO171" s="1009"/>
      <c r="VP171" s="1009"/>
      <c r="VQ171" s="1009"/>
      <c r="VR171" s="1009"/>
      <c r="VS171" s="1009"/>
      <c r="VT171" s="1009"/>
      <c r="VU171" s="1009"/>
      <c r="VV171" s="1009"/>
      <c r="VW171" s="1009"/>
      <c r="VX171" s="1009"/>
      <c r="VY171" s="1009"/>
      <c r="VZ171" s="1009"/>
      <c r="WA171" s="1009"/>
      <c r="WB171" s="1009"/>
      <c r="WC171" s="1009"/>
      <c r="WD171" s="1009"/>
      <c r="WE171" s="1009"/>
      <c r="WF171" s="1009"/>
      <c r="WG171" s="1009"/>
      <c r="WH171" s="1009"/>
      <c r="WI171" s="1009"/>
      <c r="WJ171" s="1009"/>
      <c r="WK171" s="1009"/>
      <c r="WL171" s="1009"/>
      <c r="WM171" s="1009"/>
      <c r="WN171" s="1009"/>
      <c r="WO171" s="1009"/>
      <c r="WP171" s="1009"/>
      <c r="WQ171" s="1009"/>
      <c r="WR171" s="1009"/>
      <c r="WS171" s="1009"/>
      <c r="WT171" s="1009"/>
      <c r="WU171" s="1009"/>
      <c r="WV171" s="1009"/>
      <c r="WW171" s="1009"/>
      <c r="WX171" s="1009"/>
      <c r="WY171" s="1009"/>
      <c r="WZ171" s="1009"/>
      <c r="XA171" s="1009"/>
      <c r="XB171" s="1009"/>
      <c r="XC171" s="1009"/>
      <c r="XD171" s="1009"/>
      <c r="XE171" s="1009"/>
      <c r="XF171" s="1009"/>
      <c r="XG171" s="1009"/>
      <c r="XH171" s="1009"/>
      <c r="XI171" s="1009"/>
      <c r="XJ171" s="1009"/>
      <c r="XK171" s="1009"/>
      <c r="XL171" s="1009"/>
      <c r="XM171" s="1009"/>
      <c r="XN171" s="1009"/>
      <c r="XO171" s="1009"/>
      <c r="XP171" s="1009"/>
      <c r="XQ171" s="1009"/>
      <c r="XR171" s="1009"/>
      <c r="XS171" s="1009"/>
      <c r="XT171" s="1009"/>
      <c r="XU171" s="1009"/>
      <c r="XV171" s="1009"/>
      <c r="XW171" s="1009"/>
      <c r="XX171" s="1009"/>
      <c r="XY171" s="1009"/>
      <c r="XZ171" s="1009"/>
      <c r="YA171" s="1009"/>
      <c r="YB171" s="1009"/>
      <c r="YC171" s="1009"/>
      <c r="YD171" s="1009"/>
      <c r="YE171" s="1009"/>
      <c r="YF171" s="1009"/>
      <c r="YG171" s="1009"/>
      <c r="YH171" s="1009"/>
      <c r="YI171" s="1009"/>
      <c r="YJ171" s="1009"/>
      <c r="YK171" s="1009"/>
      <c r="YL171" s="1009"/>
      <c r="YM171" s="1009"/>
      <c r="YN171" s="1009"/>
      <c r="YO171" s="1009"/>
      <c r="YP171" s="1009"/>
      <c r="YQ171" s="1009"/>
      <c r="YR171" s="1009"/>
      <c r="YS171" s="1009"/>
      <c r="YT171" s="1009"/>
      <c r="YU171" s="1009"/>
      <c r="YV171" s="1009"/>
      <c r="YW171" s="1009"/>
      <c r="YX171" s="1009"/>
      <c r="YY171" s="1009"/>
      <c r="YZ171" s="1009"/>
      <c r="ZA171" s="1009"/>
      <c r="ZB171" s="1009"/>
      <c r="ZC171" s="1009"/>
      <c r="ZD171" s="1009"/>
      <c r="ZE171" s="1009"/>
      <c r="ZF171" s="1009"/>
      <c r="ZG171" s="1009"/>
      <c r="ZH171" s="1009"/>
      <c r="ZI171" s="1009"/>
      <c r="ZJ171" s="1009"/>
      <c r="ZK171" s="1009"/>
      <c r="ZL171" s="1009"/>
      <c r="ZM171" s="1009"/>
      <c r="ZN171" s="1009"/>
      <c r="ZO171" s="1009"/>
      <c r="ZP171" s="1009"/>
      <c r="ZQ171" s="1009"/>
      <c r="ZR171" s="1009"/>
      <c r="ZS171" s="1009"/>
      <c r="ZT171" s="1009"/>
      <c r="ZU171" s="1009"/>
      <c r="ZV171" s="1009"/>
      <c r="ZW171" s="1009"/>
      <c r="ZX171" s="1009"/>
      <c r="ZY171" s="1009"/>
      <c r="ZZ171" s="1009"/>
      <c r="AAA171" s="1009"/>
      <c r="AAB171" s="1009"/>
      <c r="AAC171" s="1009"/>
      <c r="AAD171" s="1009"/>
      <c r="AAE171" s="1009"/>
      <c r="AAF171" s="1009"/>
      <c r="AAG171" s="1009"/>
      <c r="AAH171" s="1009"/>
      <c r="AAI171" s="1009"/>
      <c r="AAJ171" s="1009"/>
      <c r="AAK171" s="1009"/>
      <c r="AAL171" s="1009"/>
      <c r="AAM171" s="1009"/>
      <c r="AAN171" s="1009"/>
      <c r="AAO171" s="1009"/>
      <c r="AAP171" s="1009"/>
      <c r="AAQ171" s="1009"/>
      <c r="AAR171" s="1009"/>
      <c r="AAS171" s="1009"/>
      <c r="AAT171" s="1009"/>
      <c r="AAU171" s="1009"/>
      <c r="AAV171" s="1009"/>
      <c r="AAW171" s="1009"/>
      <c r="AAX171" s="1009"/>
      <c r="AAY171" s="1009"/>
      <c r="AAZ171" s="1009"/>
      <c r="ABA171" s="1009"/>
      <c r="ABB171" s="1009"/>
      <c r="ABC171" s="1009"/>
      <c r="ABD171" s="1009"/>
      <c r="ABE171" s="1009"/>
      <c r="ABF171" s="1009"/>
      <c r="ABG171" s="1009"/>
      <c r="ABH171" s="1009"/>
      <c r="ABI171" s="1009"/>
      <c r="ABJ171" s="1009"/>
      <c r="ABK171" s="1009"/>
      <c r="ABL171" s="1009"/>
      <c r="ABM171" s="1009"/>
      <c r="ABN171" s="1009"/>
      <c r="ABO171" s="1009"/>
      <c r="ABP171" s="1009"/>
      <c r="ABQ171" s="1009"/>
      <c r="ABR171" s="1009"/>
    </row>
    <row r="172" spans="1:746" s="111" customFormat="1" ht="12" customHeight="1">
      <c r="A172" s="924"/>
      <c r="B172" s="954" t="s">
        <v>827</v>
      </c>
      <c r="C172" s="921"/>
      <c r="D172" s="921"/>
      <c r="E172" s="921"/>
      <c r="F172" s="921"/>
      <c r="G172" s="921"/>
      <c r="H172" s="922">
        <f>IF(T172&lt;&gt;(SUM(I170:T170)-SUM(I171:T171)),1,0)</f>
        <v>0</v>
      </c>
      <c r="I172" s="1771">
        <f>SUMIF(fx!$I$57:I57,1,$I$170:I170)-SUMIF(fx!$I$57:I57,1,$I$171:I171)</f>
        <v>0</v>
      </c>
      <c r="J172" s="955">
        <f>SUMIF(fx!$I$57:J57,1,$I$170:J170)-SUMIF(fx!$I$57:J57,1,$I$171:J171)</f>
        <v>0</v>
      </c>
      <c r="K172" s="955">
        <f>SUMIF(fx!$I$57:K57,1,$I$170:K170)-SUMIF(fx!$I$57:K57,1,$I$171:K171)</f>
        <v>0</v>
      </c>
      <c r="L172" s="955">
        <f>SUMIF(fx!$I$57:L57,1,$I$170:L170)-SUMIF(fx!$I$57:L57,1,$I$171:L171)</f>
        <v>0</v>
      </c>
      <c r="M172" s="955">
        <f>SUMIF(fx!$I$57:M57,1,$I$170:M170)-SUMIF(fx!$I$57:M57,1,$I$171:M171)</f>
        <v>0</v>
      </c>
      <c r="N172" s="955">
        <f>SUMIF(fx!$I$57:N57,1,$I$170:N170)-SUMIF(fx!$I$57:N57,1,$I$171:N171)</f>
        <v>0</v>
      </c>
      <c r="O172" s="955">
        <f>SUMIF(fx!$I$57:O57,1,$I$170:O170)-SUMIF(fx!$I$57:O57,1,$I$171:O171)</f>
        <v>0</v>
      </c>
      <c r="P172" s="955">
        <f>SUMIF(fx!$I$57:P57,1,$I$170:P170)-SUMIF(fx!$I$57:P57,1,$I$171:P171)</f>
        <v>0</v>
      </c>
      <c r="Q172" s="955">
        <f>SUMIF(fx!$I$57:Q57,1,$I$170:Q170)-SUMIF(fx!$I$57:Q57,1,$I$171:Q171)</f>
        <v>0</v>
      </c>
      <c r="R172" s="955">
        <f>SUMIF(fx!$I$57:R57,1,$I$170:R170)-SUMIF(fx!$I$57:R57,1,$I$171:R171)</f>
        <v>0</v>
      </c>
      <c r="S172" s="955">
        <f>SUMIF(fx!$I$57:S57,1,$I$170:S170)-SUMIF(fx!$I$57:S57,1,$I$171:S171)</f>
        <v>0</v>
      </c>
      <c r="T172" s="955">
        <f>SUMIF(fx!$I$57:T57,1,$I$170:T170)-SUMIF(fx!$I$57:T57,1,$I$171:T171)</f>
        <v>0</v>
      </c>
      <c r="U172" s="955">
        <f>SUMIF(fx!$I$57:U57,1,$I$170:U170)-SUMIF(fx!$I$57:U57,1,$I$171:U171)</f>
        <v>0</v>
      </c>
      <c r="V172" s="955">
        <f>SUMIF(fx!$I$57:V57,1,$I$170:V170)-SUMIF(fx!$I$57:V57,1,$I$171:V171)</f>
        <v>0</v>
      </c>
      <c r="W172" s="955">
        <f>SUMIF(fx!$I$57:W57,1,$I$170:W170)-SUMIF(fx!$I$57:W57,1,$I$171:W171)</f>
        <v>0</v>
      </c>
      <c r="X172" s="955">
        <f>SUMIF(fx!$I$57:X57,1,$I$170:X170)-SUMIF(fx!$I$57:X57,1,$I$171:X171)</f>
        <v>0</v>
      </c>
      <c r="Y172" s="955">
        <f>SUMIF(fx!$I$57:Y57,1,$I$170:Y170)-SUMIF(fx!$I$57:Y57,1,$I$171:Y171)</f>
        <v>0</v>
      </c>
      <c r="Z172" s="955">
        <f>SUMIF(fx!$I$57:Z57,1,$I$170:Z170)-SUMIF(fx!$I$57:Z57,1,$I$171:Z171)</f>
        <v>0</v>
      </c>
      <c r="AA172" s="955">
        <f>SUMIF(fx!$I$57:AA57,1,$I$170:AA170)-SUMIF(fx!$I$57:AA57,1,$I$171:AA171)</f>
        <v>0</v>
      </c>
      <c r="AB172" s="955">
        <f>SUMIF(fx!$I$57:AB57,1,$I$170:AB170)-SUMIF(fx!$I$57:AB57,1,$I$171:AB171)</f>
        <v>0</v>
      </c>
      <c r="AC172" s="955">
        <f>SUMIF(fx!$I$57:AC57,1,$I$170:AC170)-SUMIF(fx!$I$57:AC57,1,$I$171:AC171)</f>
        <v>0</v>
      </c>
      <c r="AD172" s="955">
        <f>SUMIF(fx!$I$57:AD57,1,$I$170:AD170)-SUMIF(fx!$I$57:AD57,1,$I$171:AD171)</f>
        <v>0</v>
      </c>
      <c r="AE172" s="955">
        <f>SUMIF(fx!$I$57:AE57,1,$I$170:AE170)-SUMIF(fx!$I$57:AE57,1,$I$171:AE171)</f>
        <v>0</v>
      </c>
      <c r="AF172" s="955">
        <f>SUMIF(fx!$I$57:AF57,1,$I$170:AF170)-SUMIF(fx!$I$57:AF57,1,$I$171:AF171)</f>
        <v>0</v>
      </c>
      <c r="AG172" s="376"/>
      <c r="AH172" s="336"/>
      <c r="AI172" s="336"/>
      <c r="AJ172" s="901">
        <f>IF(fx!$C$57=1,T172,IF(fx!$C$57=2,AF172))</f>
        <v>0</v>
      </c>
      <c r="AK172" s="328"/>
      <c r="AL172" s="902">
        <f>IF(fx!$C$57=1,AF172,0)</f>
        <v>0</v>
      </c>
      <c r="AM172" s="1028"/>
      <c r="AN172" s="1029"/>
      <c r="AO172" s="1945"/>
      <c r="AP172" s="1935"/>
      <c r="AQ172" s="1936"/>
      <c r="AR172" s="1941"/>
      <c r="AS172" s="1941"/>
      <c r="AT172" s="1941"/>
      <c r="AU172" s="1941"/>
      <c r="AV172" s="1941"/>
      <c r="AW172" s="1941"/>
      <c r="AX172" s="1941"/>
      <c r="AY172" s="1941"/>
      <c r="AZ172" s="1941"/>
      <c r="BA172" s="1941"/>
      <c r="BB172" s="1941"/>
      <c r="BC172" s="1941"/>
      <c r="BD172" s="1941"/>
      <c r="BE172" s="1941"/>
      <c r="BF172" s="1941"/>
      <c r="BG172" s="1941"/>
      <c r="BH172" s="1941"/>
      <c r="BI172" s="1941"/>
      <c r="BJ172" s="1941"/>
      <c r="BK172" s="1941"/>
      <c r="BL172" s="1941"/>
      <c r="BM172" s="1941"/>
      <c r="BN172" s="1941"/>
      <c r="BO172" s="1941"/>
      <c r="BP172" s="1009"/>
      <c r="BQ172" s="1009"/>
      <c r="BR172" s="1009"/>
      <c r="BS172" s="1009"/>
      <c r="BT172" s="1009"/>
      <c r="BU172" s="1009"/>
      <c r="BV172" s="1009"/>
      <c r="BW172" s="1009"/>
      <c r="BX172" s="1009"/>
      <c r="BY172" s="1009"/>
      <c r="BZ172" s="1009"/>
      <c r="CA172" s="1009"/>
      <c r="CB172" s="1009"/>
      <c r="CC172" s="1009"/>
      <c r="CD172" s="1009"/>
      <c r="CE172" s="1009"/>
      <c r="CF172" s="1009"/>
      <c r="CG172" s="1009"/>
      <c r="CH172" s="1009"/>
      <c r="CI172" s="1009"/>
      <c r="CJ172" s="1009"/>
      <c r="CK172" s="1009"/>
      <c r="CL172" s="1009"/>
      <c r="CM172" s="1009"/>
      <c r="CN172" s="1009"/>
      <c r="CO172" s="1009"/>
      <c r="CP172" s="1009"/>
      <c r="CQ172" s="1009"/>
      <c r="CR172" s="1009"/>
      <c r="CS172" s="1009"/>
      <c r="CT172" s="1009"/>
      <c r="CU172" s="1009"/>
      <c r="CV172" s="1009"/>
      <c r="CW172" s="1009"/>
      <c r="CX172" s="1009"/>
      <c r="CY172" s="1009"/>
      <c r="CZ172" s="1009"/>
      <c r="DA172" s="1009"/>
      <c r="DB172" s="1009"/>
      <c r="DC172" s="1009"/>
      <c r="DD172" s="1009"/>
      <c r="DE172" s="1009"/>
      <c r="DF172" s="1009"/>
      <c r="DG172" s="1009"/>
      <c r="DH172" s="1009"/>
      <c r="DI172" s="1009"/>
      <c r="DJ172" s="1009"/>
      <c r="DK172" s="1009"/>
      <c r="DL172" s="1009"/>
      <c r="DM172" s="1009"/>
      <c r="DN172" s="1009"/>
      <c r="DO172" s="1009"/>
      <c r="DP172" s="1009"/>
      <c r="DQ172" s="1009"/>
      <c r="DR172" s="1009"/>
      <c r="DS172" s="1009"/>
      <c r="DT172" s="1009"/>
      <c r="DU172" s="1009"/>
      <c r="DV172" s="1009"/>
      <c r="DW172" s="1009"/>
      <c r="DX172" s="1009"/>
      <c r="DY172" s="1009"/>
      <c r="DZ172" s="1009"/>
      <c r="EA172" s="1009"/>
      <c r="EB172" s="1009"/>
      <c r="EC172" s="1009"/>
      <c r="ED172" s="1009"/>
      <c r="EE172" s="1009"/>
      <c r="EF172" s="1009"/>
      <c r="EG172" s="1009"/>
      <c r="EH172" s="1009"/>
      <c r="EI172" s="1009"/>
      <c r="EJ172" s="1009"/>
      <c r="EK172" s="1009"/>
      <c r="EL172" s="1009"/>
      <c r="EM172" s="1009"/>
      <c r="EN172" s="1009"/>
      <c r="EO172" s="1009"/>
      <c r="EP172" s="1009"/>
      <c r="EQ172" s="1009"/>
      <c r="ER172" s="1009"/>
      <c r="ES172" s="1009"/>
      <c r="ET172" s="1009"/>
      <c r="EU172" s="1009"/>
      <c r="EV172" s="1009"/>
      <c r="EW172" s="1009"/>
      <c r="EX172" s="1009"/>
      <c r="EY172" s="1009"/>
      <c r="EZ172" s="1009"/>
      <c r="FA172" s="1009"/>
      <c r="FB172" s="1009"/>
      <c r="FC172" s="1009"/>
      <c r="FD172" s="1009"/>
      <c r="FE172" s="1009"/>
      <c r="FF172" s="1009"/>
      <c r="FG172" s="1009"/>
      <c r="FH172" s="1009"/>
      <c r="FI172" s="1009"/>
      <c r="FJ172" s="1009"/>
      <c r="FK172" s="1009"/>
      <c r="FL172" s="1009"/>
      <c r="FM172" s="1009"/>
      <c r="FN172" s="1009"/>
      <c r="FO172" s="1009"/>
      <c r="FP172" s="1009"/>
      <c r="FQ172" s="1009"/>
      <c r="FR172" s="1009"/>
      <c r="FS172" s="1009"/>
      <c r="FT172" s="1009"/>
      <c r="FU172" s="1009"/>
      <c r="FV172" s="1009"/>
      <c r="FW172" s="1009"/>
      <c r="FX172" s="1009"/>
      <c r="FY172" s="1009"/>
      <c r="FZ172" s="1009"/>
      <c r="GA172" s="1009"/>
      <c r="GB172" s="1009"/>
      <c r="GC172" s="1009"/>
      <c r="GD172" s="1009"/>
      <c r="GE172" s="1009"/>
      <c r="GF172" s="1009"/>
      <c r="GG172" s="1009"/>
      <c r="GH172" s="1009"/>
      <c r="GI172" s="1009"/>
      <c r="GJ172" s="1009"/>
      <c r="GK172" s="1009"/>
      <c r="GL172" s="1009"/>
      <c r="GM172" s="1009"/>
      <c r="GN172" s="1009"/>
      <c r="GO172" s="1009"/>
      <c r="GP172" s="1009"/>
      <c r="GQ172" s="1009"/>
      <c r="GR172" s="1009"/>
      <c r="GS172" s="1009"/>
      <c r="GT172" s="1009"/>
      <c r="GU172" s="1009"/>
      <c r="GV172" s="1009"/>
      <c r="GW172" s="1009"/>
      <c r="GX172" s="1009"/>
      <c r="GY172" s="1009"/>
      <c r="GZ172" s="1009"/>
      <c r="HA172" s="1009"/>
      <c r="HB172" s="1009"/>
      <c r="HC172" s="1009"/>
      <c r="HD172" s="1009"/>
      <c r="HE172" s="1009"/>
      <c r="HF172" s="1009"/>
      <c r="HG172" s="1009"/>
      <c r="HH172" s="1009"/>
      <c r="HI172" s="1009"/>
      <c r="HJ172" s="1009"/>
      <c r="HK172" s="1009"/>
      <c r="HL172" s="1009"/>
      <c r="HM172" s="1009"/>
      <c r="HN172" s="1009"/>
      <c r="HO172" s="1009"/>
      <c r="HP172" s="1009"/>
      <c r="HQ172" s="1009"/>
      <c r="HR172" s="1009"/>
      <c r="HS172" s="1009"/>
      <c r="HT172" s="1009"/>
      <c r="HU172" s="1009"/>
      <c r="HV172" s="1009"/>
      <c r="HW172" s="1009"/>
      <c r="HX172" s="1009"/>
      <c r="HY172" s="1009"/>
      <c r="HZ172" s="1009"/>
      <c r="IA172" s="1009"/>
      <c r="IB172" s="1009"/>
      <c r="IC172" s="1009"/>
      <c r="ID172" s="1009"/>
      <c r="IE172" s="1009"/>
      <c r="IF172" s="1009"/>
      <c r="IG172" s="1009"/>
      <c r="IH172" s="1009"/>
      <c r="II172" s="1009"/>
      <c r="IJ172" s="1009"/>
      <c r="IK172" s="1009"/>
      <c r="IL172" s="1009"/>
      <c r="IM172" s="1009"/>
      <c r="IN172" s="1009"/>
      <c r="IO172" s="1009"/>
      <c r="IP172" s="1009"/>
      <c r="IQ172" s="1009"/>
      <c r="IR172" s="1009"/>
      <c r="IS172" s="1009"/>
      <c r="IT172" s="1009"/>
      <c r="IU172" s="1009"/>
      <c r="IV172" s="1009"/>
      <c r="IW172" s="1009"/>
      <c r="IX172" s="1009"/>
      <c r="IY172" s="1009"/>
      <c r="IZ172" s="1009"/>
      <c r="JA172" s="1009"/>
      <c r="JB172" s="1009"/>
      <c r="JC172" s="1009"/>
      <c r="JD172" s="1009"/>
      <c r="JE172" s="1009"/>
      <c r="JF172" s="1009"/>
      <c r="JG172" s="1009"/>
      <c r="JH172" s="1009"/>
      <c r="JI172" s="1009"/>
      <c r="JJ172" s="1009"/>
      <c r="JK172" s="1009"/>
      <c r="JL172" s="1009"/>
      <c r="JM172" s="1009"/>
      <c r="JN172" s="1009"/>
      <c r="JO172" s="1009"/>
      <c r="JP172" s="1009"/>
      <c r="JQ172" s="1009"/>
      <c r="JR172" s="1009"/>
      <c r="JS172" s="1009"/>
      <c r="JT172" s="1009"/>
      <c r="JU172" s="1009"/>
      <c r="JV172" s="1009"/>
      <c r="JW172" s="1009"/>
      <c r="JX172" s="1009"/>
      <c r="JY172" s="1009"/>
      <c r="JZ172" s="1009"/>
      <c r="KA172" s="1009"/>
      <c r="KB172" s="1009"/>
      <c r="KC172" s="1009"/>
      <c r="KD172" s="1009"/>
      <c r="KE172" s="1009"/>
      <c r="KF172" s="1009"/>
      <c r="KG172" s="1009"/>
      <c r="KH172" s="1009"/>
      <c r="KI172" s="1009"/>
      <c r="KJ172" s="1009"/>
      <c r="KK172" s="1009"/>
      <c r="KL172" s="1009"/>
      <c r="KM172" s="1009"/>
      <c r="KN172" s="1009"/>
      <c r="KO172" s="1009"/>
      <c r="KP172" s="1009"/>
      <c r="KQ172" s="1009"/>
      <c r="KR172" s="1009"/>
      <c r="KS172" s="1009"/>
      <c r="KT172" s="1009"/>
      <c r="KU172" s="1009"/>
      <c r="KV172" s="1009"/>
      <c r="KW172" s="1009"/>
      <c r="KX172" s="1009"/>
      <c r="KY172" s="1009"/>
      <c r="KZ172" s="1009"/>
      <c r="LA172" s="1009"/>
      <c r="LB172" s="1009"/>
      <c r="LC172" s="1009"/>
      <c r="LD172" s="1009"/>
      <c r="LE172" s="1009"/>
      <c r="LF172" s="1009"/>
      <c r="LG172" s="1009"/>
      <c r="LH172" s="1009"/>
      <c r="LI172" s="1009"/>
      <c r="LJ172" s="1009"/>
      <c r="LK172" s="1009"/>
      <c r="LL172" s="1009"/>
      <c r="LM172" s="1009"/>
      <c r="LN172" s="1009"/>
      <c r="LO172" s="1009"/>
      <c r="LP172" s="1009"/>
      <c r="LQ172" s="1009"/>
      <c r="LR172" s="1009"/>
      <c r="LS172" s="1009"/>
      <c r="LT172" s="1009"/>
      <c r="LU172" s="1009"/>
      <c r="LV172" s="1009"/>
      <c r="LW172" s="1009"/>
      <c r="LX172" s="1009"/>
      <c r="LY172" s="1009"/>
      <c r="LZ172" s="1009"/>
      <c r="MA172" s="1009"/>
      <c r="MB172" s="1009"/>
      <c r="MC172" s="1009"/>
      <c r="MD172" s="1009"/>
      <c r="ME172" s="1009"/>
      <c r="MF172" s="1009"/>
      <c r="MG172" s="1009"/>
      <c r="MH172" s="1009"/>
      <c r="MI172" s="1009"/>
      <c r="MJ172" s="1009"/>
      <c r="MK172" s="1009"/>
      <c r="ML172" s="1009"/>
      <c r="MM172" s="1009"/>
      <c r="MN172" s="1009"/>
      <c r="MO172" s="1009"/>
      <c r="MP172" s="1009"/>
      <c r="MQ172" s="1009"/>
      <c r="MR172" s="1009"/>
      <c r="MS172" s="1009"/>
      <c r="MT172" s="1009"/>
      <c r="MU172" s="1009"/>
      <c r="MV172" s="1009"/>
      <c r="MW172" s="1009"/>
      <c r="MX172" s="1009"/>
      <c r="MY172" s="1009"/>
      <c r="MZ172" s="1009"/>
      <c r="NA172" s="1009"/>
      <c r="NB172" s="1009"/>
      <c r="NC172" s="1009"/>
      <c r="ND172" s="1009"/>
      <c r="NE172" s="1009"/>
      <c r="NF172" s="1009"/>
      <c r="NG172" s="1009"/>
      <c r="NH172" s="1009"/>
      <c r="NI172" s="1009"/>
      <c r="NJ172" s="1009"/>
      <c r="NK172" s="1009"/>
      <c r="NL172" s="1009"/>
      <c r="NM172" s="1009"/>
      <c r="NN172" s="1009"/>
      <c r="NO172" s="1009"/>
      <c r="NP172" s="1009"/>
      <c r="NQ172" s="1009"/>
      <c r="NR172" s="1009"/>
      <c r="NS172" s="1009"/>
      <c r="NT172" s="1009"/>
      <c r="NU172" s="1009"/>
      <c r="NV172" s="1009"/>
      <c r="NW172" s="1009"/>
      <c r="NX172" s="1009"/>
      <c r="NY172" s="1009"/>
      <c r="NZ172" s="1009"/>
      <c r="OA172" s="1009"/>
      <c r="OB172" s="1009"/>
      <c r="OC172" s="1009"/>
      <c r="OD172" s="1009"/>
      <c r="OE172" s="1009"/>
      <c r="OF172" s="1009"/>
      <c r="OG172" s="1009"/>
      <c r="OH172" s="1009"/>
      <c r="OI172" s="1009"/>
      <c r="OJ172" s="1009"/>
      <c r="OK172" s="1009"/>
      <c r="OL172" s="1009"/>
      <c r="OM172" s="1009"/>
      <c r="ON172" s="1009"/>
      <c r="OO172" s="1009"/>
      <c r="OP172" s="1009"/>
      <c r="OQ172" s="1009"/>
      <c r="OR172" s="1009"/>
      <c r="OS172" s="1009"/>
      <c r="OT172" s="1009"/>
      <c r="OU172" s="1009"/>
      <c r="OV172" s="1009"/>
      <c r="OW172" s="1009"/>
      <c r="OX172" s="1009"/>
      <c r="OY172" s="1009"/>
      <c r="OZ172" s="1009"/>
      <c r="PA172" s="1009"/>
      <c r="PB172" s="1009"/>
      <c r="PC172" s="1009"/>
      <c r="PD172" s="1009"/>
      <c r="PE172" s="1009"/>
      <c r="PF172" s="1009"/>
      <c r="PG172" s="1009"/>
      <c r="PH172" s="1009"/>
      <c r="PI172" s="1009"/>
      <c r="PJ172" s="1009"/>
      <c r="PK172" s="1009"/>
      <c r="PL172" s="1009"/>
      <c r="PM172" s="1009"/>
      <c r="PN172" s="1009"/>
      <c r="PO172" s="1009"/>
      <c r="PP172" s="1009"/>
      <c r="PQ172" s="1009"/>
      <c r="PR172" s="1009"/>
      <c r="PS172" s="1009"/>
      <c r="PT172" s="1009"/>
      <c r="PU172" s="1009"/>
      <c r="PV172" s="1009"/>
      <c r="PW172" s="1009"/>
      <c r="PX172" s="1009"/>
      <c r="PY172" s="1009"/>
      <c r="PZ172" s="1009"/>
      <c r="QA172" s="1009"/>
      <c r="QB172" s="1009"/>
      <c r="QC172" s="1009"/>
      <c r="QD172" s="1009"/>
      <c r="QE172" s="1009"/>
      <c r="QF172" s="1009"/>
      <c r="QG172" s="1009"/>
      <c r="QH172" s="1009"/>
      <c r="QI172" s="1009"/>
      <c r="QJ172" s="1009"/>
      <c r="QK172" s="1009"/>
      <c r="QL172" s="1009"/>
      <c r="QM172" s="1009"/>
      <c r="QN172" s="1009"/>
      <c r="QO172" s="1009"/>
      <c r="QP172" s="1009"/>
      <c r="QQ172" s="1009"/>
      <c r="QR172" s="1009"/>
      <c r="QS172" s="1009"/>
      <c r="QT172" s="1009"/>
      <c r="QU172" s="1009"/>
      <c r="QV172" s="1009"/>
      <c r="QW172" s="1009"/>
      <c r="QX172" s="1009"/>
      <c r="QY172" s="1009"/>
      <c r="QZ172" s="1009"/>
      <c r="RA172" s="1009"/>
      <c r="RB172" s="1009"/>
      <c r="RC172" s="1009"/>
      <c r="RD172" s="1009"/>
      <c r="RE172" s="1009"/>
      <c r="RF172" s="1009"/>
      <c r="RG172" s="1009"/>
      <c r="RH172" s="1009"/>
      <c r="RI172" s="1009"/>
      <c r="RJ172" s="1009"/>
      <c r="RK172" s="1009"/>
      <c r="RL172" s="1009"/>
      <c r="RM172" s="1009"/>
      <c r="RN172" s="1009"/>
      <c r="RO172" s="1009"/>
      <c r="RP172" s="1009"/>
      <c r="RQ172" s="1009"/>
      <c r="RR172" s="1009"/>
      <c r="RS172" s="1009"/>
      <c r="RT172" s="1009"/>
      <c r="RU172" s="1009"/>
      <c r="RV172" s="1009"/>
      <c r="RW172" s="1009"/>
      <c r="RX172" s="1009"/>
      <c r="RY172" s="1009"/>
      <c r="RZ172" s="1009"/>
      <c r="SA172" s="1009"/>
      <c r="SB172" s="1009"/>
      <c r="SC172" s="1009"/>
      <c r="SD172" s="1009"/>
      <c r="SE172" s="1009"/>
      <c r="SF172" s="1009"/>
      <c r="SG172" s="1009"/>
      <c r="SH172" s="1009"/>
      <c r="SI172" s="1009"/>
      <c r="SJ172" s="1009"/>
      <c r="SK172" s="1009"/>
      <c r="SL172" s="1009"/>
      <c r="SM172" s="1009"/>
      <c r="SN172" s="1009"/>
      <c r="SO172" s="1009"/>
      <c r="SP172" s="1009"/>
      <c r="SQ172" s="1009"/>
      <c r="SR172" s="1009"/>
      <c r="SS172" s="1009"/>
      <c r="ST172" s="1009"/>
      <c r="SU172" s="1009"/>
      <c r="SV172" s="1009"/>
      <c r="SW172" s="1009"/>
      <c r="SX172" s="1009"/>
      <c r="SY172" s="1009"/>
      <c r="SZ172" s="1009"/>
      <c r="TA172" s="1009"/>
      <c r="TB172" s="1009"/>
      <c r="TC172" s="1009"/>
      <c r="TD172" s="1009"/>
      <c r="TE172" s="1009"/>
      <c r="TF172" s="1009"/>
      <c r="TG172" s="1009"/>
      <c r="TH172" s="1009"/>
      <c r="TI172" s="1009"/>
      <c r="TJ172" s="1009"/>
      <c r="TK172" s="1009"/>
      <c r="TL172" s="1009"/>
      <c r="TM172" s="1009"/>
      <c r="TN172" s="1009"/>
      <c r="TO172" s="1009"/>
      <c r="TP172" s="1009"/>
      <c r="TQ172" s="1009"/>
      <c r="TR172" s="1009"/>
      <c r="TS172" s="1009"/>
      <c r="TT172" s="1009"/>
      <c r="TU172" s="1009"/>
      <c r="TV172" s="1009"/>
      <c r="TW172" s="1009"/>
      <c r="TX172" s="1009"/>
      <c r="TY172" s="1009"/>
      <c r="TZ172" s="1009"/>
      <c r="UA172" s="1009"/>
      <c r="UB172" s="1009"/>
      <c r="UC172" s="1009"/>
      <c r="UD172" s="1009"/>
      <c r="UE172" s="1009"/>
      <c r="UF172" s="1009"/>
      <c r="UG172" s="1009"/>
      <c r="UH172" s="1009"/>
      <c r="UI172" s="1009"/>
      <c r="UJ172" s="1009"/>
      <c r="UK172" s="1009"/>
      <c r="UL172" s="1009"/>
      <c r="UM172" s="1009"/>
      <c r="UN172" s="1009"/>
      <c r="UO172" s="1009"/>
      <c r="UP172" s="1009"/>
      <c r="UQ172" s="1009"/>
      <c r="UR172" s="1009"/>
      <c r="US172" s="1009"/>
      <c r="UT172" s="1009"/>
      <c r="UU172" s="1009"/>
      <c r="UV172" s="1009"/>
      <c r="UW172" s="1009"/>
      <c r="UX172" s="1009"/>
      <c r="UY172" s="1009"/>
      <c r="UZ172" s="1009"/>
      <c r="VA172" s="1009"/>
      <c r="VB172" s="1009"/>
      <c r="VC172" s="1009"/>
      <c r="VD172" s="1009"/>
      <c r="VE172" s="1009"/>
      <c r="VF172" s="1009"/>
      <c r="VG172" s="1009"/>
      <c r="VH172" s="1009"/>
      <c r="VI172" s="1009"/>
      <c r="VJ172" s="1009"/>
      <c r="VK172" s="1009"/>
      <c r="VL172" s="1009"/>
      <c r="VM172" s="1009"/>
      <c r="VN172" s="1009"/>
      <c r="VO172" s="1009"/>
      <c r="VP172" s="1009"/>
      <c r="VQ172" s="1009"/>
      <c r="VR172" s="1009"/>
      <c r="VS172" s="1009"/>
      <c r="VT172" s="1009"/>
      <c r="VU172" s="1009"/>
      <c r="VV172" s="1009"/>
      <c r="VW172" s="1009"/>
      <c r="VX172" s="1009"/>
      <c r="VY172" s="1009"/>
      <c r="VZ172" s="1009"/>
      <c r="WA172" s="1009"/>
      <c r="WB172" s="1009"/>
      <c r="WC172" s="1009"/>
      <c r="WD172" s="1009"/>
      <c r="WE172" s="1009"/>
      <c r="WF172" s="1009"/>
      <c r="WG172" s="1009"/>
      <c r="WH172" s="1009"/>
      <c r="WI172" s="1009"/>
      <c r="WJ172" s="1009"/>
      <c r="WK172" s="1009"/>
      <c r="WL172" s="1009"/>
      <c r="WM172" s="1009"/>
      <c r="WN172" s="1009"/>
      <c r="WO172" s="1009"/>
      <c r="WP172" s="1009"/>
      <c r="WQ172" s="1009"/>
      <c r="WR172" s="1009"/>
      <c r="WS172" s="1009"/>
      <c r="WT172" s="1009"/>
      <c r="WU172" s="1009"/>
      <c r="WV172" s="1009"/>
      <c r="WW172" s="1009"/>
      <c r="WX172" s="1009"/>
      <c r="WY172" s="1009"/>
      <c r="WZ172" s="1009"/>
      <c r="XA172" s="1009"/>
      <c r="XB172" s="1009"/>
      <c r="XC172" s="1009"/>
      <c r="XD172" s="1009"/>
      <c r="XE172" s="1009"/>
      <c r="XF172" s="1009"/>
      <c r="XG172" s="1009"/>
      <c r="XH172" s="1009"/>
      <c r="XI172" s="1009"/>
      <c r="XJ172" s="1009"/>
      <c r="XK172" s="1009"/>
      <c r="XL172" s="1009"/>
      <c r="XM172" s="1009"/>
      <c r="XN172" s="1009"/>
      <c r="XO172" s="1009"/>
      <c r="XP172" s="1009"/>
      <c r="XQ172" s="1009"/>
      <c r="XR172" s="1009"/>
      <c r="XS172" s="1009"/>
      <c r="XT172" s="1009"/>
      <c r="XU172" s="1009"/>
      <c r="XV172" s="1009"/>
      <c r="XW172" s="1009"/>
      <c r="XX172" s="1009"/>
      <c r="XY172" s="1009"/>
      <c r="XZ172" s="1009"/>
      <c r="YA172" s="1009"/>
      <c r="YB172" s="1009"/>
      <c r="YC172" s="1009"/>
      <c r="YD172" s="1009"/>
      <c r="YE172" s="1009"/>
      <c r="YF172" s="1009"/>
      <c r="YG172" s="1009"/>
      <c r="YH172" s="1009"/>
      <c r="YI172" s="1009"/>
      <c r="YJ172" s="1009"/>
      <c r="YK172" s="1009"/>
      <c r="YL172" s="1009"/>
      <c r="YM172" s="1009"/>
      <c r="YN172" s="1009"/>
      <c r="YO172" s="1009"/>
      <c r="YP172" s="1009"/>
      <c r="YQ172" s="1009"/>
      <c r="YR172" s="1009"/>
      <c r="YS172" s="1009"/>
      <c r="YT172" s="1009"/>
      <c r="YU172" s="1009"/>
      <c r="YV172" s="1009"/>
      <c r="YW172" s="1009"/>
      <c r="YX172" s="1009"/>
      <c r="YY172" s="1009"/>
      <c r="YZ172" s="1009"/>
      <c r="ZA172" s="1009"/>
      <c r="ZB172" s="1009"/>
      <c r="ZC172" s="1009"/>
      <c r="ZD172" s="1009"/>
      <c r="ZE172" s="1009"/>
      <c r="ZF172" s="1009"/>
      <c r="ZG172" s="1009"/>
      <c r="ZH172" s="1009"/>
      <c r="ZI172" s="1009"/>
      <c r="ZJ172" s="1009"/>
      <c r="ZK172" s="1009"/>
      <c r="ZL172" s="1009"/>
      <c r="ZM172" s="1009"/>
      <c r="ZN172" s="1009"/>
      <c r="ZO172" s="1009"/>
      <c r="ZP172" s="1009"/>
      <c r="ZQ172" s="1009"/>
      <c r="ZR172" s="1009"/>
      <c r="ZS172" s="1009"/>
      <c r="ZT172" s="1009"/>
      <c r="ZU172" s="1009"/>
      <c r="ZV172" s="1009"/>
      <c r="ZW172" s="1009"/>
      <c r="ZX172" s="1009"/>
      <c r="ZY172" s="1009"/>
      <c r="ZZ172" s="1009"/>
      <c r="AAA172" s="1009"/>
      <c r="AAB172" s="1009"/>
      <c r="AAC172" s="1009"/>
      <c r="AAD172" s="1009"/>
      <c r="AAE172" s="1009"/>
      <c r="AAF172" s="1009"/>
      <c r="AAG172" s="1009"/>
      <c r="AAH172" s="1009"/>
      <c r="AAI172" s="1009"/>
      <c r="AAJ172" s="1009"/>
      <c r="AAK172" s="1009"/>
      <c r="AAL172" s="1009"/>
      <c r="AAM172" s="1009"/>
      <c r="AAN172" s="1009"/>
      <c r="AAO172" s="1009"/>
      <c r="AAP172" s="1009"/>
      <c r="AAQ172" s="1009"/>
      <c r="AAR172" s="1009"/>
      <c r="AAS172" s="1009"/>
      <c r="AAT172" s="1009"/>
      <c r="AAU172" s="1009"/>
      <c r="AAV172" s="1009"/>
      <c r="AAW172" s="1009"/>
      <c r="AAX172" s="1009"/>
      <c r="AAY172" s="1009"/>
      <c r="AAZ172" s="1009"/>
      <c r="ABA172" s="1009"/>
      <c r="ABB172" s="1009"/>
      <c r="ABC172" s="1009"/>
      <c r="ABD172" s="1009"/>
      <c r="ABE172" s="1009"/>
      <c r="ABF172" s="1009"/>
      <c r="ABG172" s="1009"/>
      <c r="ABH172" s="1009"/>
      <c r="ABI172" s="1009"/>
      <c r="ABJ172" s="1009"/>
      <c r="ABK172" s="1009"/>
      <c r="ABL172" s="1009"/>
      <c r="ABM172" s="1009"/>
      <c r="ABN172" s="1009"/>
      <c r="ABO172" s="1009"/>
      <c r="ABP172" s="1009"/>
      <c r="ABQ172" s="1009"/>
      <c r="ABR172" s="1009"/>
    </row>
    <row r="173" spans="1:746" s="111" customFormat="1" ht="12" customHeight="1">
      <c r="A173" s="924"/>
      <c r="B173" s="3031" t="s">
        <v>1100</v>
      </c>
      <c r="C173" s="3032"/>
      <c r="D173" s="1959"/>
      <c r="E173" s="1960" t="s">
        <v>1102</v>
      </c>
      <c r="F173" s="559"/>
      <c r="G173" s="1961">
        <v>0.1</v>
      </c>
      <c r="H173" s="2164"/>
      <c r="I173" s="875"/>
      <c r="J173" s="875"/>
      <c r="K173" s="875"/>
      <c r="L173" s="875"/>
      <c r="M173" s="875"/>
      <c r="N173" s="875"/>
      <c r="O173" s="875"/>
      <c r="P173" s="875"/>
      <c r="Q173" s="875"/>
      <c r="R173" s="875"/>
      <c r="S173" s="875"/>
      <c r="T173" s="1966"/>
      <c r="U173" s="1966"/>
      <c r="V173" s="367"/>
      <c r="W173" s="1966"/>
      <c r="X173" s="1966"/>
      <c r="Y173" s="1966"/>
      <c r="Z173" s="1966"/>
      <c r="AA173" s="1966"/>
      <c r="AB173" s="1966"/>
      <c r="AC173" s="1966"/>
      <c r="AD173" s="1966"/>
      <c r="AE173" s="1966"/>
      <c r="AF173" s="1966"/>
      <c r="AG173" s="1042"/>
      <c r="AH173" s="336"/>
      <c r="AI173" s="336"/>
      <c r="AJ173" s="1956">
        <f>IF(fx!$C$57=1,SUMIF(fx!I$57:T$57,1,I173:T173),IF(fx!$C$57=2,SUMIF(fx!O$57:AF$57,1,O173:AF173)))</f>
        <v>0</v>
      </c>
      <c r="AK173" s="328"/>
      <c r="AL173" s="1957">
        <f>IF(fx!$C$57=1,SUM(U173:AF173),0)</f>
        <v>0</v>
      </c>
      <c r="AM173" s="1028"/>
      <c r="AN173" s="1029"/>
      <c r="AO173" s="1945"/>
      <c r="AP173" s="1935"/>
      <c r="AQ173" s="1936"/>
      <c r="AR173" s="1941"/>
      <c r="AS173" s="1941"/>
      <c r="AT173" s="1941"/>
      <c r="AU173" s="1941"/>
      <c r="AV173" s="1941"/>
      <c r="AW173" s="1941"/>
      <c r="AX173" s="1941"/>
      <c r="AY173" s="1941"/>
      <c r="AZ173" s="1941"/>
      <c r="BA173" s="1941"/>
      <c r="BB173" s="1941"/>
      <c r="BC173" s="1941"/>
      <c r="BD173" s="1941"/>
      <c r="BE173" s="1941"/>
      <c r="BF173" s="1941"/>
      <c r="BG173" s="1941"/>
      <c r="BH173" s="1941"/>
      <c r="BI173" s="1941"/>
      <c r="BJ173" s="1941"/>
      <c r="BK173" s="1941"/>
      <c r="BL173" s="1941"/>
      <c r="BM173" s="1941"/>
      <c r="BN173" s="1941"/>
      <c r="BO173" s="1941"/>
      <c r="BP173" s="1009"/>
      <c r="BQ173" s="1009"/>
      <c r="BR173" s="1009"/>
      <c r="BS173" s="1009"/>
      <c r="BT173" s="1009"/>
      <c r="BU173" s="1009"/>
      <c r="BV173" s="1009"/>
      <c r="BW173" s="1009"/>
      <c r="BX173" s="1009"/>
      <c r="BY173" s="1009"/>
      <c r="BZ173" s="1009"/>
      <c r="CA173" s="1009"/>
      <c r="CB173" s="1009"/>
      <c r="CC173" s="1009"/>
      <c r="CD173" s="1009"/>
      <c r="CE173" s="1009"/>
      <c r="CF173" s="1009"/>
      <c r="CG173" s="1009"/>
      <c r="CH173" s="1009"/>
      <c r="CI173" s="1009"/>
      <c r="CJ173" s="1009"/>
      <c r="CK173" s="1009"/>
      <c r="CL173" s="1009"/>
      <c r="CM173" s="1009"/>
      <c r="CN173" s="1009"/>
      <c r="CO173" s="1009"/>
      <c r="CP173" s="1009"/>
      <c r="CQ173" s="1009"/>
      <c r="CR173" s="1009"/>
      <c r="CS173" s="1009"/>
      <c r="CT173" s="1009"/>
      <c r="CU173" s="1009"/>
      <c r="CV173" s="1009"/>
      <c r="CW173" s="1009"/>
      <c r="CX173" s="1009"/>
      <c r="CY173" s="1009"/>
      <c r="CZ173" s="1009"/>
      <c r="DA173" s="1009"/>
      <c r="DB173" s="1009"/>
      <c r="DC173" s="1009"/>
      <c r="DD173" s="1009"/>
      <c r="DE173" s="1009"/>
      <c r="DF173" s="1009"/>
      <c r="DG173" s="1009"/>
      <c r="DH173" s="1009"/>
      <c r="DI173" s="1009"/>
      <c r="DJ173" s="1009"/>
      <c r="DK173" s="1009"/>
      <c r="DL173" s="1009"/>
      <c r="DM173" s="1009"/>
      <c r="DN173" s="1009"/>
      <c r="DO173" s="1009"/>
      <c r="DP173" s="1009"/>
      <c r="DQ173" s="1009"/>
      <c r="DR173" s="1009"/>
      <c r="DS173" s="1009"/>
      <c r="DT173" s="1009"/>
      <c r="DU173" s="1009"/>
      <c r="DV173" s="1009"/>
      <c r="DW173" s="1009"/>
      <c r="DX173" s="1009"/>
      <c r="DY173" s="1009"/>
      <c r="DZ173" s="1009"/>
      <c r="EA173" s="1009"/>
      <c r="EB173" s="1009"/>
      <c r="EC173" s="1009"/>
      <c r="ED173" s="1009"/>
      <c r="EE173" s="1009"/>
      <c r="EF173" s="1009"/>
      <c r="EG173" s="1009"/>
      <c r="EH173" s="1009"/>
      <c r="EI173" s="1009"/>
      <c r="EJ173" s="1009"/>
      <c r="EK173" s="1009"/>
      <c r="EL173" s="1009"/>
      <c r="EM173" s="1009"/>
      <c r="EN173" s="1009"/>
      <c r="EO173" s="1009"/>
      <c r="EP173" s="1009"/>
      <c r="EQ173" s="1009"/>
      <c r="ER173" s="1009"/>
      <c r="ES173" s="1009"/>
      <c r="ET173" s="1009"/>
      <c r="EU173" s="1009"/>
      <c r="EV173" s="1009"/>
      <c r="EW173" s="1009"/>
      <c r="EX173" s="1009"/>
      <c r="EY173" s="1009"/>
      <c r="EZ173" s="1009"/>
      <c r="FA173" s="1009"/>
      <c r="FB173" s="1009"/>
      <c r="FC173" s="1009"/>
      <c r="FD173" s="1009"/>
      <c r="FE173" s="1009"/>
      <c r="FF173" s="1009"/>
      <c r="FG173" s="1009"/>
      <c r="FH173" s="1009"/>
      <c r="FI173" s="1009"/>
      <c r="FJ173" s="1009"/>
      <c r="FK173" s="1009"/>
      <c r="FL173" s="1009"/>
      <c r="FM173" s="1009"/>
      <c r="FN173" s="1009"/>
      <c r="FO173" s="1009"/>
      <c r="FP173" s="1009"/>
      <c r="FQ173" s="1009"/>
      <c r="FR173" s="1009"/>
      <c r="FS173" s="1009"/>
      <c r="FT173" s="1009"/>
      <c r="FU173" s="1009"/>
      <c r="FV173" s="1009"/>
      <c r="FW173" s="1009"/>
      <c r="FX173" s="1009"/>
      <c r="FY173" s="1009"/>
      <c r="FZ173" s="1009"/>
      <c r="GA173" s="1009"/>
      <c r="GB173" s="1009"/>
      <c r="GC173" s="1009"/>
      <c r="GD173" s="1009"/>
      <c r="GE173" s="1009"/>
      <c r="GF173" s="1009"/>
      <c r="GG173" s="1009"/>
      <c r="GH173" s="1009"/>
      <c r="GI173" s="1009"/>
      <c r="GJ173" s="1009"/>
      <c r="GK173" s="1009"/>
      <c r="GL173" s="1009"/>
      <c r="GM173" s="1009"/>
      <c r="GN173" s="1009"/>
      <c r="GO173" s="1009"/>
      <c r="GP173" s="1009"/>
      <c r="GQ173" s="1009"/>
      <c r="GR173" s="1009"/>
      <c r="GS173" s="1009"/>
      <c r="GT173" s="1009"/>
      <c r="GU173" s="1009"/>
      <c r="GV173" s="1009"/>
      <c r="GW173" s="1009"/>
      <c r="GX173" s="1009"/>
      <c r="GY173" s="1009"/>
      <c r="GZ173" s="1009"/>
      <c r="HA173" s="1009"/>
      <c r="HB173" s="1009"/>
      <c r="HC173" s="1009"/>
      <c r="HD173" s="1009"/>
      <c r="HE173" s="1009"/>
      <c r="HF173" s="1009"/>
      <c r="HG173" s="1009"/>
      <c r="HH173" s="1009"/>
      <c r="HI173" s="1009"/>
      <c r="HJ173" s="1009"/>
      <c r="HK173" s="1009"/>
      <c r="HL173" s="1009"/>
      <c r="HM173" s="1009"/>
      <c r="HN173" s="1009"/>
      <c r="HO173" s="1009"/>
      <c r="HP173" s="1009"/>
      <c r="HQ173" s="1009"/>
      <c r="HR173" s="1009"/>
      <c r="HS173" s="1009"/>
      <c r="HT173" s="1009"/>
      <c r="HU173" s="1009"/>
      <c r="HV173" s="1009"/>
      <c r="HW173" s="1009"/>
      <c r="HX173" s="1009"/>
      <c r="HY173" s="1009"/>
      <c r="HZ173" s="1009"/>
      <c r="IA173" s="1009"/>
      <c r="IB173" s="1009"/>
      <c r="IC173" s="1009"/>
      <c r="ID173" s="1009"/>
      <c r="IE173" s="1009"/>
      <c r="IF173" s="1009"/>
      <c r="IG173" s="1009"/>
      <c r="IH173" s="1009"/>
      <c r="II173" s="1009"/>
      <c r="IJ173" s="1009"/>
      <c r="IK173" s="1009"/>
      <c r="IL173" s="1009"/>
      <c r="IM173" s="1009"/>
      <c r="IN173" s="1009"/>
      <c r="IO173" s="1009"/>
      <c r="IP173" s="1009"/>
      <c r="IQ173" s="1009"/>
      <c r="IR173" s="1009"/>
      <c r="IS173" s="1009"/>
      <c r="IT173" s="1009"/>
      <c r="IU173" s="1009"/>
      <c r="IV173" s="1009"/>
      <c r="IW173" s="1009"/>
      <c r="IX173" s="1009"/>
      <c r="IY173" s="1009"/>
      <c r="IZ173" s="1009"/>
      <c r="JA173" s="1009"/>
      <c r="JB173" s="1009"/>
      <c r="JC173" s="1009"/>
      <c r="JD173" s="1009"/>
      <c r="JE173" s="1009"/>
      <c r="JF173" s="1009"/>
      <c r="JG173" s="1009"/>
      <c r="JH173" s="1009"/>
      <c r="JI173" s="1009"/>
      <c r="JJ173" s="1009"/>
      <c r="JK173" s="1009"/>
      <c r="JL173" s="1009"/>
      <c r="JM173" s="1009"/>
      <c r="JN173" s="1009"/>
      <c r="JO173" s="1009"/>
      <c r="JP173" s="1009"/>
      <c r="JQ173" s="1009"/>
      <c r="JR173" s="1009"/>
      <c r="JS173" s="1009"/>
      <c r="JT173" s="1009"/>
      <c r="JU173" s="1009"/>
      <c r="JV173" s="1009"/>
      <c r="JW173" s="1009"/>
      <c r="JX173" s="1009"/>
      <c r="JY173" s="1009"/>
      <c r="JZ173" s="1009"/>
      <c r="KA173" s="1009"/>
      <c r="KB173" s="1009"/>
      <c r="KC173" s="1009"/>
      <c r="KD173" s="1009"/>
      <c r="KE173" s="1009"/>
      <c r="KF173" s="1009"/>
      <c r="KG173" s="1009"/>
      <c r="KH173" s="1009"/>
      <c r="KI173" s="1009"/>
      <c r="KJ173" s="1009"/>
      <c r="KK173" s="1009"/>
      <c r="KL173" s="1009"/>
      <c r="KM173" s="1009"/>
      <c r="KN173" s="1009"/>
      <c r="KO173" s="1009"/>
      <c r="KP173" s="1009"/>
      <c r="KQ173" s="1009"/>
      <c r="KR173" s="1009"/>
      <c r="KS173" s="1009"/>
      <c r="KT173" s="1009"/>
      <c r="KU173" s="1009"/>
      <c r="KV173" s="1009"/>
      <c r="KW173" s="1009"/>
      <c r="KX173" s="1009"/>
      <c r="KY173" s="1009"/>
      <c r="KZ173" s="1009"/>
      <c r="LA173" s="1009"/>
      <c r="LB173" s="1009"/>
      <c r="LC173" s="1009"/>
      <c r="LD173" s="1009"/>
      <c r="LE173" s="1009"/>
      <c r="LF173" s="1009"/>
      <c r="LG173" s="1009"/>
      <c r="LH173" s="1009"/>
      <c r="LI173" s="1009"/>
      <c r="LJ173" s="1009"/>
      <c r="LK173" s="1009"/>
      <c r="LL173" s="1009"/>
      <c r="LM173" s="1009"/>
      <c r="LN173" s="1009"/>
      <c r="LO173" s="1009"/>
      <c r="LP173" s="1009"/>
      <c r="LQ173" s="1009"/>
      <c r="LR173" s="1009"/>
      <c r="LS173" s="1009"/>
      <c r="LT173" s="1009"/>
      <c r="LU173" s="1009"/>
      <c r="LV173" s="1009"/>
      <c r="LW173" s="1009"/>
      <c r="LX173" s="1009"/>
      <c r="LY173" s="1009"/>
      <c r="LZ173" s="1009"/>
      <c r="MA173" s="1009"/>
      <c r="MB173" s="1009"/>
      <c r="MC173" s="1009"/>
      <c r="MD173" s="1009"/>
      <c r="ME173" s="1009"/>
      <c r="MF173" s="1009"/>
      <c r="MG173" s="1009"/>
      <c r="MH173" s="1009"/>
      <c r="MI173" s="1009"/>
      <c r="MJ173" s="1009"/>
      <c r="MK173" s="1009"/>
      <c r="ML173" s="1009"/>
      <c r="MM173" s="1009"/>
      <c r="MN173" s="1009"/>
      <c r="MO173" s="1009"/>
      <c r="MP173" s="1009"/>
      <c r="MQ173" s="1009"/>
      <c r="MR173" s="1009"/>
      <c r="MS173" s="1009"/>
      <c r="MT173" s="1009"/>
      <c r="MU173" s="1009"/>
      <c r="MV173" s="1009"/>
      <c r="MW173" s="1009"/>
      <c r="MX173" s="1009"/>
      <c r="MY173" s="1009"/>
      <c r="MZ173" s="1009"/>
      <c r="NA173" s="1009"/>
      <c r="NB173" s="1009"/>
      <c r="NC173" s="1009"/>
      <c r="ND173" s="1009"/>
      <c r="NE173" s="1009"/>
      <c r="NF173" s="1009"/>
      <c r="NG173" s="1009"/>
      <c r="NH173" s="1009"/>
      <c r="NI173" s="1009"/>
      <c r="NJ173" s="1009"/>
      <c r="NK173" s="1009"/>
      <c r="NL173" s="1009"/>
      <c r="NM173" s="1009"/>
      <c r="NN173" s="1009"/>
      <c r="NO173" s="1009"/>
      <c r="NP173" s="1009"/>
      <c r="NQ173" s="1009"/>
      <c r="NR173" s="1009"/>
      <c r="NS173" s="1009"/>
      <c r="NT173" s="1009"/>
      <c r="NU173" s="1009"/>
      <c r="NV173" s="1009"/>
      <c r="NW173" s="1009"/>
      <c r="NX173" s="1009"/>
      <c r="NY173" s="1009"/>
      <c r="NZ173" s="1009"/>
      <c r="OA173" s="1009"/>
      <c r="OB173" s="1009"/>
      <c r="OC173" s="1009"/>
      <c r="OD173" s="1009"/>
      <c r="OE173" s="1009"/>
      <c r="OF173" s="1009"/>
      <c r="OG173" s="1009"/>
      <c r="OH173" s="1009"/>
      <c r="OI173" s="1009"/>
      <c r="OJ173" s="1009"/>
      <c r="OK173" s="1009"/>
      <c r="OL173" s="1009"/>
      <c r="OM173" s="1009"/>
      <c r="ON173" s="1009"/>
      <c r="OO173" s="1009"/>
      <c r="OP173" s="1009"/>
      <c r="OQ173" s="1009"/>
      <c r="OR173" s="1009"/>
      <c r="OS173" s="1009"/>
      <c r="OT173" s="1009"/>
      <c r="OU173" s="1009"/>
      <c r="OV173" s="1009"/>
      <c r="OW173" s="1009"/>
      <c r="OX173" s="1009"/>
      <c r="OY173" s="1009"/>
      <c r="OZ173" s="1009"/>
      <c r="PA173" s="1009"/>
      <c r="PB173" s="1009"/>
      <c r="PC173" s="1009"/>
      <c r="PD173" s="1009"/>
      <c r="PE173" s="1009"/>
      <c r="PF173" s="1009"/>
      <c r="PG173" s="1009"/>
      <c r="PH173" s="1009"/>
      <c r="PI173" s="1009"/>
      <c r="PJ173" s="1009"/>
      <c r="PK173" s="1009"/>
      <c r="PL173" s="1009"/>
      <c r="PM173" s="1009"/>
      <c r="PN173" s="1009"/>
      <c r="PO173" s="1009"/>
      <c r="PP173" s="1009"/>
      <c r="PQ173" s="1009"/>
      <c r="PR173" s="1009"/>
      <c r="PS173" s="1009"/>
      <c r="PT173" s="1009"/>
      <c r="PU173" s="1009"/>
      <c r="PV173" s="1009"/>
      <c r="PW173" s="1009"/>
      <c r="PX173" s="1009"/>
      <c r="PY173" s="1009"/>
      <c r="PZ173" s="1009"/>
      <c r="QA173" s="1009"/>
      <c r="QB173" s="1009"/>
      <c r="QC173" s="1009"/>
      <c r="QD173" s="1009"/>
      <c r="QE173" s="1009"/>
      <c r="QF173" s="1009"/>
      <c r="QG173" s="1009"/>
      <c r="QH173" s="1009"/>
      <c r="QI173" s="1009"/>
      <c r="QJ173" s="1009"/>
      <c r="QK173" s="1009"/>
      <c r="QL173" s="1009"/>
      <c r="QM173" s="1009"/>
      <c r="QN173" s="1009"/>
      <c r="QO173" s="1009"/>
      <c r="QP173" s="1009"/>
      <c r="QQ173" s="1009"/>
      <c r="QR173" s="1009"/>
      <c r="QS173" s="1009"/>
      <c r="QT173" s="1009"/>
      <c r="QU173" s="1009"/>
      <c r="QV173" s="1009"/>
      <c r="QW173" s="1009"/>
      <c r="QX173" s="1009"/>
      <c r="QY173" s="1009"/>
      <c r="QZ173" s="1009"/>
      <c r="RA173" s="1009"/>
      <c r="RB173" s="1009"/>
      <c r="RC173" s="1009"/>
      <c r="RD173" s="1009"/>
      <c r="RE173" s="1009"/>
      <c r="RF173" s="1009"/>
      <c r="RG173" s="1009"/>
      <c r="RH173" s="1009"/>
      <c r="RI173" s="1009"/>
      <c r="RJ173" s="1009"/>
      <c r="RK173" s="1009"/>
      <c r="RL173" s="1009"/>
      <c r="RM173" s="1009"/>
      <c r="RN173" s="1009"/>
      <c r="RO173" s="1009"/>
      <c r="RP173" s="1009"/>
      <c r="RQ173" s="1009"/>
      <c r="RR173" s="1009"/>
      <c r="RS173" s="1009"/>
      <c r="RT173" s="1009"/>
      <c r="RU173" s="1009"/>
      <c r="RV173" s="1009"/>
      <c r="RW173" s="1009"/>
      <c r="RX173" s="1009"/>
      <c r="RY173" s="1009"/>
      <c r="RZ173" s="1009"/>
      <c r="SA173" s="1009"/>
      <c r="SB173" s="1009"/>
      <c r="SC173" s="1009"/>
      <c r="SD173" s="1009"/>
      <c r="SE173" s="1009"/>
      <c r="SF173" s="1009"/>
      <c r="SG173" s="1009"/>
      <c r="SH173" s="1009"/>
      <c r="SI173" s="1009"/>
      <c r="SJ173" s="1009"/>
      <c r="SK173" s="1009"/>
      <c r="SL173" s="1009"/>
      <c r="SM173" s="1009"/>
      <c r="SN173" s="1009"/>
      <c r="SO173" s="1009"/>
      <c r="SP173" s="1009"/>
      <c r="SQ173" s="1009"/>
      <c r="SR173" s="1009"/>
      <c r="SS173" s="1009"/>
      <c r="ST173" s="1009"/>
      <c r="SU173" s="1009"/>
      <c r="SV173" s="1009"/>
      <c r="SW173" s="1009"/>
      <c r="SX173" s="1009"/>
      <c r="SY173" s="1009"/>
      <c r="SZ173" s="1009"/>
      <c r="TA173" s="1009"/>
      <c r="TB173" s="1009"/>
      <c r="TC173" s="1009"/>
      <c r="TD173" s="1009"/>
      <c r="TE173" s="1009"/>
      <c r="TF173" s="1009"/>
      <c r="TG173" s="1009"/>
      <c r="TH173" s="1009"/>
      <c r="TI173" s="1009"/>
      <c r="TJ173" s="1009"/>
      <c r="TK173" s="1009"/>
      <c r="TL173" s="1009"/>
      <c r="TM173" s="1009"/>
      <c r="TN173" s="1009"/>
      <c r="TO173" s="1009"/>
      <c r="TP173" s="1009"/>
      <c r="TQ173" s="1009"/>
      <c r="TR173" s="1009"/>
      <c r="TS173" s="1009"/>
      <c r="TT173" s="1009"/>
      <c r="TU173" s="1009"/>
      <c r="TV173" s="1009"/>
      <c r="TW173" s="1009"/>
      <c r="TX173" s="1009"/>
      <c r="TY173" s="1009"/>
      <c r="TZ173" s="1009"/>
      <c r="UA173" s="1009"/>
      <c r="UB173" s="1009"/>
      <c r="UC173" s="1009"/>
      <c r="UD173" s="1009"/>
      <c r="UE173" s="1009"/>
      <c r="UF173" s="1009"/>
      <c r="UG173" s="1009"/>
      <c r="UH173" s="1009"/>
      <c r="UI173" s="1009"/>
      <c r="UJ173" s="1009"/>
      <c r="UK173" s="1009"/>
      <c r="UL173" s="1009"/>
      <c r="UM173" s="1009"/>
      <c r="UN173" s="1009"/>
      <c r="UO173" s="1009"/>
      <c r="UP173" s="1009"/>
      <c r="UQ173" s="1009"/>
      <c r="UR173" s="1009"/>
      <c r="US173" s="1009"/>
      <c r="UT173" s="1009"/>
      <c r="UU173" s="1009"/>
      <c r="UV173" s="1009"/>
      <c r="UW173" s="1009"/>
      <c r="UX173" s="1009"/>
      <c r="UY173" s="1009"/>
      <c r="UZ173" s="1009"/>
      <c r="VA173" s="1009"/>
      <c r="VB173" s="1009"/>
      <c r="VC173" s="1009"/>
      <c r="VD173" s="1009"/>
      <c r="VE173" s="1009"/>
      <c r="VF173" s="1009"/>
      <c r="VG173" s="1009"/>
      <c r="VH173" s="1009"/>
      <c r="VI173" s="1009"/>
      <c r="VJ173" s="1009"/>
      <c r="VK173" s="1009"/>
      <c r="VL173" s="1009"/>
      <c r="VM173" s="1009"/>
      <c r="VN173" s="1009"/>
      <c r="VO173" s="1009"/>
      <c r="VP173" s="1009"/>
      <c r="VQ173" s="1009"/>
      <c r="VR173" s="1009"/>
      <c r="VS173" s="1009"/>
      <c r="VT173" s="1009"/>
      <c r="VU173" s="1009"/>
      <c r="VV173" s="1009"/>
      <c r="VW173" s="1009"/>
      <c r="VX173" s="1009"/>
      <c r="VY173" s="1009"/>
      <c r="VZ173" s="1009"/>
      <c r="WA173" s="1009"/>
      <c r="WB173" s="1009"/>
      <c r="WC173" s="1009"/>
      <c r="WD173" s="1009"/>
      <c r="WE173" s="1009"/>
      <c r="WF173" s="1009"/>
      <c r="WG173" s="1009"/>
      <c r="WH173" s="1009"/>
      <c r="WI173" s="1009"/>
      <c r="WJ173" s="1009"/>
      <c r="WK173" s="1009"/>
      <c r="WL173" s="1009"/>
      <c r="WM173" s="1009"/>
      <c r="WN173" s="1009"/>
      <c r="WO173" s="1009"/>
      <c r="WP173" s="1009"/>
      <c r="WQ173" s="1009"/>
      <c r="WR173" s="1009"/>
      <c r="WS173" s="1009"/>
      <c r="WT173" s="1009"/>
      <c r="WU173" s="1009"/>
      <c r="WV173" s="1009"/>
      <c r="WW173" s="1009"/>
      <c r="WX173" s="1009"/>
      <c r="WY173" s="1009"/>
      <c r="WZ173" s="1009"/>
      <c r="XA173" s="1009"/>
      <c r="XB173" s="1009"/>
      <c r="XC173" s="1009"/>
      <c r="XD173" s="1009"/>
      <c r="XE173" s="1009"/>
      <c r="XF173" s="1009"/>
      <c r="XG173" s="1009"/>
      <c r="XH173" s="1009"/>
      <c r="XI173" s="1009"/>
      <c r="XJ173" s="1009"/>
      <c r="XK173" s="1009"/>
      <c r="XL173" s="1009"/>
      <c r="XM173" s="1009"/>
      <c r="XN173" s="1009"/>
      <c r="XO173" s="1009"/>
      <c r="XP173" s="1009"/>
      <c r="XQ173" s="1009"/>
      <c r="XR173" s="1009"/>
      <c r="XS173" s="1009"/>
      <c r="XT173" s="1009"/>
      <c r="XU173" s="1009"/>
      <c r="XV173" s="1009"/>
      <c r="XW173" s="1009"/>
      <c r="XX173" s="1009"/>
      <c r="XY173" s="1009"/>
      <c r="XZ173" s="1009"/>
      <c r="YA173" s="1009"/>
      <c r="YB173" s="1009"/>
      <c r="YC173" s="1009"/>
      <c r="YD173" s="1009"/>
      <c r="YE173" s="1009"/>
      <c r="YF173" s="1009"/>
      <c r="YG173" s="1009"/>
      <c r="YH173" s="1009"/>
      <c r="YI173" s="1009"/>
      <c r="YJ173" s="1009"/>
      <c r="YK173" s="1009"/>
      <c r="YL173" s="1009"/>
      <c r="YM173" s="1009"/>
      <c r="YN173" s="1009"/>
      <c r="YO173" s="1009"/>
      <c r="YP173" s="1009"/>
      <c r="YQ173" s="1009"/>
      <c r="YR173" s="1009"/>
      <c r="YS173" s="1009"/>
      <c r="YT173" s="1009"/>
      <c r="YU173" s="1009"/>
      <c r="YV173" s="1009"/>
      <c r="YW173" s="1009"/>
      <c r="YX173" s="1009"/>
      <c r="YY173" s="1009"/>
      <c r="YZ173" s="1009"/>
      <c r="ZA173" s="1009"/>
      <c r="ZB173" s="1009"/>
      <c r="ZC173" s="1009"/>
      <c r="ZD173" s="1009"/>
      <c r="ZE173" s="1009"/>
      <c r="ZF173" s="1009"/>
      <c r="ZG173" s="1009"/>
      <c r="ZH173" s="1009"/>
      <c r="ZI173" s="1009"/>
      <c r="ZJ173" s="1009"/>
      <c r="ZK173" s="1009"/>
      <c r="ZL173" s="1009"/>
      <c r="ZM173" s="1009"/>
      <c r="ZN173" s="1009"/>
      <c r="ZO173" s="1009"/>
      <c r="ZP173" s="1009"/>
      <c r="ZQ173" s="1009"/>
      <c r="ZR173" s="1009"/>
      <c r="ZS173" s="1009"/>
      <c r="ZT173" s="1009"/>
      <c r="ZU173" s="1009"/>
      <c r="ZV173" s="1009"/>
      <c r="ZW173" s="1009"/>
      <c r="ZX173" s="1009"/>
      <c r="ZY173" s="1009"/>
      <c r="ZZ173" s="1009"/>
      <c r="AAA173" s="1009"/>
      <c r="AAB173" s="1009"/>
      <c r="AAC173" s="1009"/>
      <c r="AAD173" s="1009"/>
      <c r="AAE173" s="1009"/>
      <c r="AAF173" s="1009"/>
      <c r="AAG173" s="1009"/>
      <c r="AAH173" s="1009"/>
      <c r="AAI173" s="1009"/>
      <c r="AAJ173" s="1009"/>
      <c r="AAK173" s="1009"/>
      <c r="AAL173" s="1009"/>
      <c r="AAM173" s="1009"/>
      <c r="AAN173" s="1009"/>
      <c r="AAO173" s="1009"/>
      <c r="AAP173" s="1009"/>
      <c r="AAQ173" s="1009"/>
      <c r="AAR173" s="1009"/>
      <c r="AAS173" s="1009"/>
      <c r="AAT173" s="1009"/>
      <c r="AAU173" s="1009"/>
      <c r="AAV173" s="1009"/>
      <c r="AAW173" s="1009"/>
      <c r="AAX173" s="1009"/>
      <c r="AAY173" s="1009"/>
      <c r="AAZ173" s="1009"/>
      <c r="ABA173" s="1009"/>
      <c r="ABB173" s="1009"/>
      <c r="ABC173" s="1009"/>
      <c r="ABD173" s="1009"/>
      <c r="ABE173" s="1009"/>
      <c r="ABF173" s="1009"/>
      <c r="ABG173" s="1009"/>
      <c r="ABH173" s="1009"/>
      <c r="ABI173" s="1009"/>
      <c r="ABJ173" s="1009"/>
      <c r="ABK173" s="1009"/>
      <c r="ABL173" s="1009"/>
      <c r="ABM173" s="1009"/>
      <c r="ABN173" s="1009"/>
      <c r="ABO173" s="1009"/>
      <c r="ABP173" s="1009"/>
      <c r="ABQ173" s="1009"/>
      <c r="ABR173" s="1009"/>
    </row>
    <row r="174" spans="1:746" s="111" customFormat="1" ht="12" customHeight="1">
      <c r="A174" s="924"/>
      <c r="B174" s="1244" t="s">
        <v>17</v>
      </c>
      <c r="C174" s="1245"/>
      <c r="D174" s="885"/>
      <c r="E174" s="1246"/>
      <c r="F174" s="551"/>
      <c r="G174" s="1247"/>
      <c r="H174" s="2544"/>
      <c r="I174" s="1966"/>
      <c r="J174" s="1966"/>
      <c r="K174" s="1966"/>
      <c r="L174" s="1966"/>
      <c r="M174" s="1966"/>
      <c r="N174" s="1966"/>
      <c r="O174" s="1966"/>
      <c r="P174" s="1966"/>
      <c r="Q174" s="1966"/>
      <c r="R174" s="1966"/>
      <c r="S174" s="1966"/>
      <c r="T174" s="373"/>
      <c r="U174" s="373"/>
      <c r="V174" s="373"/>
      <c r="W174" s="373"/>
      <c r="X174" s="373"/>
      <c r="Y174" s="373"/>
      <c r="Z174" s="373"/>
      <c r="AA174" s="373"/>
      <c r="AB174" s="373"/>
      <c r="AC174" s="373"/>
      <c r="AD174" s="373"/>
      <c r="AE174" s="373"/>
      <c r="AF174" s="373"/>
      <c r="AG174" s="1042"/>
      <c r="AH174" s="336"/>
      <c r="AI174" s="336"/>
      <c r="AJ174" s="1956">
        <f>IF(fx!$C$57=1,SUMIF(fx!I$57:T$57,1,I174:T174),IF(fx!$C$57=2,SUMIF(fx!O$57:AF$57,1,O174:AF174)))</f>
        <v>0</v>
      </c>
      <c r="AK174" s="328"/>
      <c r="AL174" s="1957">
        <f>IF(fx!$C$57=1,SUM(U174:AF174),0)</f>
        <v>0</v>
      </c>
      <c r="AM174" s="1028"/>
      <c r="AN174" s="1029"/>
      <c r="AO174" s="1945"/>
      <c r="AP174" s="1935"/>
      <c r="AQ174" s="1936"/>
      <c r="AR174" s="1941"/>
      <c r="AS174" s="1941"/>
      <c r="AT174" s="1941"/>
      <c r="AU174" s="1941"/>
      <c r="AV174" s="1941"/>
      <c r="AW174" s="1941"/>
      <c r="AX174" s="1941"/>
      <c r="AY174" s="1941"/>
      <c r="AZ174" s="1941"/>
      <c r="BA174" s="1941"/>
      <c r="BB174" s="1941"/>
      <c r="BC174" s="1941"/>
      <c r="BD174" s="1941"/>
      <c r="BE174" s="1941"/>
      <c r="BF174" s="1941"/>
      <c r="BG174" s="1941"/>
      <c r="BH174" s="1941"/>
      <c r="BI174" s="1941"/>
      <c r="BJ174" s="1941"/>
      <c r="BK174" s="1941"/>
      <c r="BL174" s="1941"/>
      <c r="BM174" s="1941"/>
      <c r="BN174" s="1941"/>
      <c r="BO174" s="1941"/>
      <c r="BP174" s="1009"/>
      <c r="BQ174" s="1009"/>
      <c r="BR174" s="1009"/>
      <c r="BS174" s="1009"/>
      <c r="BT174" s="1009"/>
      <c r="BU174" s="1009"/>
      <c r="BV174" s="1009"/>
      <c r="BW174" s="1009"/>
      <c r="BX174" s="1009"/>
      <c r="BY174" s="1009"/>
      <c r="BZ174" s="1009"/>
      <c r="CA174" s="1009"/>
      <c r="CB174" s="1009"/>
      <c r="CC174" s="1009"/>
      <c r="CD174" s="1009"/>
      <c r="CE174" s="1009"/>
      <c r="CF174" s="1009"/>
      <c r="CG174" s="1009"/>
      <c r="CH174" s="1009"/>
      <c r="CI174" s="1009"/>
      <c r="CJ174" s="1009"/>
      <c r="CK174" s="1009"/>
      <c r="CL174" s="1009"/>
      <c r="CM174" s="1009"/>
      <c r="CN174" s="1009"/>
      <c r="CO174" s="1009"/>
      <c r="CP174" s="1009"/>
      <c r="CQ174" s="1009"/>
      <c r="CR174" s="1009"/>
      <c r="CS174" s="1009"/>
      <c r="CT174" s="1009"/>
      <c r="CU174" s="1009"/>
      <c r="CV174" s="1009"/>
      <c r="CW174" s="1009"/>
      <c r="CX174" s="1009"/>
      <c r="CY174" s="1009"/>
      <c r="CZ174" s="1009"/>
      <c r="DA174" s="1009"/>
      <c r="DB174" s="1009"/>
      <c r="DC174" s="1009"/>
      <c r="DD174" s="1009"/>
      <c r="DE174" s="1009"/>
      <c r="DF174" s="1009"/>
      <c r="DG174" s="1009"/>
      <c r="DH174" s="1009"/>
      <c r="DI174" s="1009"/>
      <c r="DJ174" s="1009"/>
      <c r="DK174" s="1009"/>
      <c r="DL174" s="1009"/>
      <c r="DM174" s="1009"/>
      <c r="DN174" s="1009"/>
      <c r="DO174" s="1009"/>
      <c r="DP174" s="1009"/>
      <c r="DQ174" s="1009"/>
      <c r="DR174" s="1009"/>
      <c r="DS174" s="1009"/>
      <c r="DT174" s="1009"/>
      <c r="DU174" s="1009"/>
      <c r="DV174" s="1009"/>
      <c r="DW174" s="1009"/>
      <c r="DX174" s="1009"/>
      <c r="DY174" s="1009"/>
      <c r="DZ174" s="1009"/>
      <c r="EA174" s="1009"/>
      <c r="EB174" s="1009"/>
      <c r="EC174" s="1009"/>
      <c r="ED174" s="1009"/>
      <c r="EE174" s="1009"/>
      <c r="EF174" s="1009"/>
      <c r="EG174" s="1009"/>
      <c r="EH174" s="1009"/>
      <c r="EI174" s="1009"/>
      <c r="EJ174" s="1009"/>
      <c r="EK174" s="1009"/>
      <c r="EL174" s="1009"/>
      <c r="EM174" s="1009"/>
      <c r="EN174" s="1009"/>
      <c r="EO174" s="1009"/>
      <c r="EP174" s="1009"/>
      <c r="EQ174" s="1009"/>
      <c r="ER174" s="1009"/>
      <c r="ES174" s="1009"/>
      <c r="ET174" s="1009"/>
      <c r="EU174" s="1009"/>
      <c r="EV174" s="1009"/>
      <c r="EW174" s="1009"/>
      <c r="EX174" s="1009"/>
      <c r="EY174" s="1009"/>
      <c r="EZ174" s="1009"/>
      <c r="FA174" s="1009"/>
      <c r="FB174" s="1009"/>
      <c r="FC174" s="1009"/>
      <c r="FD174" s="1009"/>
      <c r="FE174" s="1009"/>
      <c r="FF174" s="1009"/>
      <c r="FG174" s="1009"/>
      <c r="FH174" s="1009"/>
      <c r="FI174" s="1009"/>
      <c r="FJ174" s="1009"/>
      <c r="FK174" s="1009"/>
      <c r="FL174" s="1009"/>
      <c r="FM174" s="1009"/>
      <c r="FN174" s="1009"/>
      <c r="FO174" s="1009"/>
      <c r="FP174" s="1009"/>
      <c r="FQ174" s="1009"/>
      <c r="FR174" s="1009"/>
      <c r="FS174" s="1009"/>
      <c r="FT174" s="1009"/>
      <c r="FU174" s="1009"/>
      <c r="FV174" s="1009"/>
      <c r="FW174" s="1009"/>
      <c r="FX174" s="1009"/>
      <c r="FY174" s="1009"/>
      <c r="FZ174" s="1009"/>
      <c r="GA174" s="1009"/>
      <c r="GB174" s="1009"/>
      <c r="GC174" s="1009"/>
      <c r="GD174" s="1009"/>
      <c r="GE174" s="1009"/>
      <c r="GF174" s="1009"/>
      <c r="GG174" s="1009"/>
      <c r="GH174" s="1009"/>
      <c r="GI174" s="1009"/>
      <c r="GJ174" s="1009"/>
      <c r="GK174" s="1009"/>
      <c r="GL174" s="1009"/>
      <c r="GM174" s="1009"/>
      <c r="GN174" s="1009"/>
      <c r="GO174" s="1009"/>
      <c r="GP174" s="1009"/>
      <c r="GQ174" s="1009"/>
      <c r="GR174" s="1009"/>
      <c r="GS174" s="1009"/>
      <c r="GT174" s="1009"/>
      <c r="GU174" s="1009"/>
      <c r="GV174" s="1009"/>
      <c r="GW174" s="1009"/>
      <c r="GX174" s="1009"/>
      <c r="GY174" s="1009"/>
      <c r="GZ174" s="1009"/>
      <c r="HA174" s="1009"/>
      <c r="HB174" s="1009"/>
      <c r="HC174" s="1009"/>
      <c r="HD174" s="1009"/>
      <c r="HE174" s="1009"/>
      <c r="HF174" s="1009"/>
      <c r="HG174" s="1009"/>
      <c r="HH174" s="1009"/>
      <c r="HI174" s="1009"/>
      <c r="HJ174" s="1009"/>
      <c r="HK174" s="1009"/>
      <c r="HL174" s="1009"/>
      <c r="HM174" s="1009"/>
      <c r="HN174" s="1009"/>
      <c r="HO174" s="1009"/>
      <c r="HP174" s="1009"/>
      <c r="HQ174" s="1009"/>
      <c r="HR174" s="1009"/>
      <c r="HS174" s="1009"/>
      <c r="HT174" s="1009"/>
      <c r="HU174" s="1009"/>
      <c r="HV174" s="1009"/>
      <c r="HW174" s="1009"/>
      <c r="HX174" s="1009"/>
      <c r="HY174" s="1009"/>
      <c r="HZ174" s="1009"/>
      <c r="IA174" s="1009"/>
      <c r="IB174" s="1009"/>
      <c r="IC174" s="1009"/>
      <c r="ID174" s="1009"/>
      <c r="IE174" s="1009"/>
      <c r="IF174" s="1009"/>
      <c r="IG174" s="1009"/>
      <c r="IH174" s="1009"/>
      <c r="II174" s="1009"/>
      <c r="IJ174" s="1009"/>
      <c r="IK174" s="1009"/>
      <c r="IL174" s="1009"/>
      <c r="IM174" s="1009"/>
      <c r="IN174" s="1009"/>
      <c r="IO174" s="1009"/>
      <c r="IP174" s="1009"/>
      <c r="IQ174" s="1009"/>
      <c r="IR174" s="1009"/>
      <c r="IS174" s="1009"/>
      <c r="IT174" s="1009"/>
      <c r="IU174" s="1009"/>
      <c r="IV174" s="1009"/>
      <c r="IW174" s="1009"/>
      <c r="IX174" s="1009"/>
      <c r="IY174" s="1009"/>
      <c r="IZ174" s="1009"/>
      <c r="JA174" s="1009"/>
      <c r="JB174" s="1009"/>
      <c r="JC174" s="1009"/>
      <c r="JD174" s="1009"/>
      <c r="JE174" s="1009"/>
      <c r="JF174" s="1009"/>
      <c r="JG174" s="1009"/>
      <c r="JH174" s="1009"/>
      <c r="JI174" s="1009"/>
      <c r="JJ174" s="1009"/>
      <c r="JK174" s="1009"/>
      <c r="JL174" s="1009"/>
      <c r="JM174" s="1009"/>
      <c r="JN174" s="1009"/>
      <c r="JO174" s="1009"/>
      <c r="JP174" s="1009"/>
      <c r="JQ174" s="1009"/>
      <c r="JR174" s="1009"/>
      <c r="JS174" s="1009"/>
      <c r="JT174" s="1009"/>
      <c r="JU174" s="1009"/>
      <c r="JV174" s="1009"/>
      <c r="JW174" s="1009"/>
      <c r="JX174" s="1009"/>
      <c r="JY174" s="1009"/>
      <c r="JZ174" s="1009"/>
      <c r="KA174" s="1009"/>
      <c r="KB174" s="1009"/>
      <c r="KC174" s="1009"/>
      <c r="KD174" s="1009"/>
      <c r="KE174" s="1009"/>
      <c r="KF174" s="1009"/>
      <c r="KG174" s="1009"/>
      <c r="KH174" s="1009"/>
      <c r="KI174" s="1009"/>
      <c r="KJ174" s="1009"/>
      <c r="KK174" s="1009"/>
      <c r="KL174" s="1009"/>
      <c r="KM174" s="1009"/>
      <c r="KN174" s="1009"/>
      <c r="KO174" s="1009"/>
      <c r="KP174" s="1009"/>
      <c r="KQ174" s="1009"/>
      <c r="KR174" s="1009"/>
      <c r="KS174" s="1009"/>
      <c r="KT174" s="1009"/>
      <c r="KU174" s="1009"/>
      <c r="KV174" s="1009"/>
      <c r="KW174" s="1009"/>
      <c r="KX174" s="1009"/>
      <c r="KY174" s="1009"/>
      <c r="KZ174" s="1009"/>
      <c r="LA174" s="1009"/>
      <c r="LB174" s="1009"/>
      <c r="LC174" s="1009"/>
      <c r="LD174" s="1009"/>
      <c r="LE174" s="1009"/>
      <c r="LF174" s="1009"/>
      <c r="LG174" s="1009"/>
      <c r="LH174" s="1009"/>
      <c r="LI174" s="1009"/>
      <c r="LJ174" s="1009"/>
      <c r="LK174" s="1009"/>
      <c r="LL174" s="1009"/>
      <c r="LM174" s="1009"/>
      <c r="LN174" s="1009"/>
      <c r="LO174" s="1009"/>
      <c r="LP174" s="1009"/>
      <c r="LQ174" s="1009"/>
      <c r="LR174" s="1009"/>
      <c r="LS174" s="1009"/>
      <c r="LT174" s="1009"/>
      <c r="LU174" s="1009"/>
      <c r="LV174" s="1009"/>
      <c r="LW174" s="1009"/>
      <c r="LX174" s="1009"/>
      <c r="LY174" s="1009"/>
      <c r="LZ174" s="1009"/>
      <c r="MA174" s="1009"/>
      <c r="MB174" s="1009"/>
      <c r="MC174" s="1009"/>
      <c r="MD174" s="1009"/>
      <c r="ME174" s="1009"/>
      <c r="MF174" s="1009"/>
      <c r="MG174" s="1009"/>
      <c r="MH174" s="1009"/>
      <c r="MI174" s="1009"/>
      <c r="MJ174" s="1009"/>
      <c r="MK174" s="1009"/>
      <c r="ML174" s="1009"/>
      <c r="MM174" s="1009"/>
      <c r="MN174" s="1009"/>
      <c r="MO174" s="1009"/>
      <c r="MP174" s="1009"/>
      <c r="MQ174" s="1009"/>
      <c r="MR174" s="1009"/>
      <c r="MS174" s="1009"/>
      <c r="MT174" s="1009"/>
      <c r="MU174" s="1009"/>
      <c r="MV174" s="1009"/>
      <c r="MW174" s="1009"/>
      <c r="MX174" s="1009"/>
      <c r="MY174" s="1009"/>
      <c r="MZ174" s="1009"/>
      <c r="NA174" s="1009"/>
      <c r="NB174" s="1009"/>
      <c r="NC174" s="1009"/>
      <c r="ND174" s="1009"/>
      <c r="NE174" s="1009"/>
      <c r="NF174" s="1009"/>
      <c r="NG174" s="1009"/>
      <c r="NH174" s="1009"/>
      <c r="NI174" s="1009"/>
      <c r="NJ174" s="1009"/>
      <c r="NK174" s="1009"/>
      <c r="NL174" s="1009"/>
      <c r="NM174" s="1009"/>
      <c r="NN174" s="1009"/>
      <c r="NO174" s="1009"/>
      <c r="NP174" s="1009"/>
      <c r="NQ174" s="1009"/>
      <c r="NR174" s="1009"/>
      <c r="NS174" s="1009"/>
      <c r="NT174" s="1009"/>
      <c r="NU174" s="1009"/>
      <c r="NV174" s="1009"/>
      <c r="NW174" s="1009"/>
      <c r="NX174" s="1009"/>
      <c r="NY174" s="1009"/>
      <c r="NZ174" s="1009"/>
      <c r="OA174" s="1009"/>
      <c r="OB174" s="1009"/>
      <c r="OC174" s="1009"/>
      <c r="OD174" s="1009"/>
      <c r="OE174" s="1009"/>
      <c r="OF174" s="1009"/>
      <c r="OG174" s="1009"/>
      <c r="OH174" s="1009"/>
      <c r="OI174" s="1009"/>
      <c r="OJ174" s="1009"/>
      <c r="OK174" s="1009"/>
      <c r="OL174" s="1009"/>
      <c r="OM174" s="1009"/>
      <c r="ON174" s="1009"/>
      <c r="OO174" s="1009"/>
      <c r="OP174" s="1009"/>
      <c r="OQ174" s="1009"/>
      <c r="OR174" s="1009"/>
      <c r="OS174" s="1009"/>
      <c r="OT174" s="1009"/>
      <c r="OU174" s="1009"/>
      <c r="OV174" s="1009"/>
      <c r="OW174" s="1009"/>
      <c r="OX174" s="1009"/>
      <c r="OY174" s="1009"/>
      <c r="OZ174" s="1009"/>
      <c r="PA174" s="1009"/>
      <c r="PB174" s="1009"/>
      <c r="PC174" s="1009"/>
      <c r="PD174" s="1009"/>
      <c r="PE174" s="1009"/>
      <c r="PF174" s="1009"/>
      <c r="PG174" s="1009"/>
      <c r="PH174" s="1009"/>
      <c r="PI174" s="1009"/>
      <c r="PJ174" s="1009"/>
      <c r="PK174" s="1009"/>
      <c r="PL174" s="1009"/>
      <c r="PM174" s="1009"/>
      <c r="PN174" s="1009"/>
      <c r="PO174" s="1009"/>
      <c r="PP174" s="1009"/>
      <c r="PQ174" s="1009"/>
      <c r="PR174" s="1009"/>
      <c r="PS174" s="1009"/>
      <c r="PT174" s="1009"/>
      <c r="PU174" s="1009"/>
      <c r="PV174" s="1009"/>
      <c r="PW174" s="1009"/>
      <c r="PX174" s="1009"/>
      <c r="PY174" s="1009"/>
      <c r="PZ174" s="1009"/>
      <c r="QA174" s="1009"/>
      <c r="QB174" s="1009"/>
      <c r="QC174" s="1009"/>
      <c r="QD174" s="1009"/>
      <c r="QE174" s="1009"/>
      <c r="QF174" s="1009"/>
      <c r="QG174" s="1009"/>
      <c r="QH174" s="1009"/>
      <c r="QI174" s="1009"/>
      <c r="QJ174" s="1009"/>
      <c r="QK174" s="1009"/>
      <c r="QL174" s="1009"/>
      <c r="QM174" s="1009"/>
      <c r="QN174" s="1009"/>
      <c r="QO174" s="1009"/>
      <c r="QP174" s="1009"/>
      <c r="QQ174" s="1009"/>
      <c r="QR174" s="1009"/>
      <c r="QS174" s="1009"/>
      <c r="QT174" s="1009"/>
      <c r="QU174" s="1009"/>
      <c r="QV174" s="1009"/>
      <c r="QW174" s="1009"/>
      <c r="QX174" s="1009"/>
      <c r="QY174" s="1009"/>
      <c r="QZ174" s="1009"/>
      <c r="RA174" s="1009"/>
      <c r="RB174" s="1009"/>
      <c r="RC174" s="1009"/>
      <c r="RD174" s="1009"/>
      <c r="RE174" s="1009"/>
      <c r="RF174" s="1009"/>
      <c r="RG174" s="1009"/>
      <c r="RH174" s="1009"/>
      <c r="RI174" s="1009"/>
      <c r="RJ174" s="1009"/>
      <c r="RK174" s="1009"/>
      <c r="RL174" s="1009"/>
      <c r="RM174" s="1009"/>
      <c r="RN174" s="1009"/>
      <c r="RO174" s="1009"/>
      <c r="RP174" s="1009"/>
      <c r="RQ174" s="1009"/>
      <c r="RR174" s="1009"/>
      <c r="RS174" s="1009"/>
      <c r="RT174" s="1009"/>
      <c r="RU174" s="1009"/>
      <c r="RV174" s="1009"/>
      <c r="RW174" s="1009"/>
      <c r="RX174" s="1009"/>
      <c r="RY174" s="1009"/>
      <c r="RZ174" s="1009"/>
      <c r="SA174" s="1009"/>
      <c r="SB174" s="1009"/>
      <c r="SC174" s="1009"/>
      <c r="SD174" s="1009"/>
      <c r="SE174" s="1009"/>
      <c r="SF174" s="1009"/>
      <c r="SG174" s="1009"/>
      <c r="SH174" s="1009"/>
      <c r="SI174" s="1009"/>
      <c r="SJ174" s="1009"/>
      <c r="SK174" s="1009"/>
      <c r="SL174" s="1009"/>
      <c r="SM174" s="1009"/>
      <c r="SN174" s="1009"/>
      <c r="SO174" s="1009"/>
      <c r="SP174" s="1009"/>
      <c r="SQ174" s="1009"/>
      <c r="SR174" s="1009"/>
      <c r="SS174" s="1009"/>
      <c r="ST174" s="1009"/>
      <c r="SU174" s="1009"/>
      <c r="SV174" s="1009"/>
      <c r="SW174" s="1009"/>
      <c r="SX174" s="1009"/>
      <c r="SY174" s="1009"/>
      <c r="SZ174" s="1009"/>
      <c r="TA174" s="1009"/>
      <c r="TB174" s="1009"/>
      <c r="TC174" s="1009"/>
      <c r="TD174" s="1009"/>
      <c r="TE174" s="1009"/>
      <c r="TF174" s="1009"/>
      <c r="TG174" s="1009"/>
      <c r="TH174" s="1009"/>
      <c r="TI174" s="1009"/>
      <c r="TJ174" s="1009"/>
      <c r="TK174" s="1009"/>
      <c r="TL174" s="1009"/>
      <c r="TM174" s="1009"/>
      <c r="TN174" s="1009"/>
      <c r="TO174" s="1009"/>
      <c r="TP174" s="1009"/>
      <c r="TQ174" s="1009"/>
      <c r="TR174" s="1009"/>
      <c r="TS174" s="1009"/>
      <c r="TT174" s="1009"/>
      <c r="TU174" s="1009"/>
      <c r="TV174" s="1009"/>
      <c r="TW174" s="1009"/>
      <c r="TX174" s="1009"/>
      <c r="TY174" s="1009"/>
      <c r="TZ174" s="1009"/>
      <c r="UA174" s="1009"/>
      <c r="UB174" s="1009"/>
      <c r="UC174" s="1009"/>
      <c r="UD174" s="1009"/>
      <c r="UE174" s="1009"/>
      <c r="UF174" s="1009"/>
      <c r="UG174" s="1009"/>
      <c r="UH174" s="1009"/>
      <c r="UI174" s="1009"/>
      <c r="UJ174" s="1009"/>
      <c r="UK174" s="1009"/>
      <c r="UL174" s="1009"/>
      <c r="UM174" s="1009"/>
      <c r="UN174" s="1009"/>
      <c r="UO174" s="1009"/>
      <c r="UP174" s="1009"/>
      <c r="UQ174" s="1009"/>
      <c r="UR174" s="1009"/>
      <c r="US174" s="1009"/>
      <c r="UT174" s="1009"/>
      <c r="UU174" s="1009"/>
      <c r="UV174" s="1009"/>
      <c r="UW174" s="1009"/>
      <c r="UX174" s="1009"/>
      <c r="UY174" s="1009"/>
      <c r="UZ174" s="1009"/>
      <c r="VA174" s="1009"/>
      <c r="VB174" s="1009"/>
      <c r="VC174" s="1009"/>
      <c r="VD174" s="1009"/>
      <c r="VE174" s="1009"/>
      <c r="VF174" s="1009"/>
      <c r="VG174" s="1009"/>
      <c r="VH174" s="1009"/>
      <c r="VI174" s="1009"/>
      <c r="VJ174" s="1009"/>
      <c r="VK174" s="1009"/>
      <c r="VL174" s="1009"/>
      <c r="VM174" s="1009"/>
      <c r="VN174" s="1009"/>
      <c r="VO174" s="1009"/>
      <c r="VP174" s="1009"/>
      <c r="VQ174" s="1009"/>
      <c r="VR174" s="1009"/>
      <c r="VS174" s="1009"/>
      <c r="VT174" s="1009"/>
      <c r="VU174" s="1009"/>
      <c r="VV174" s="1009"/>
      <c r="VW174" s="1009"/>
      <c r="VX174" s="1009"/>
      <c r="VY174" s="1009"/>
      <c r="VZ174" s="1009"/>
      <c r="WA174" s="1009"/>
      <c r="WB174" s="1009"/>
      <c r="WC174" s="1009"/>
      <c r="WD174" s="1009"/>
      <c r="WE174" s="1009"/>
      <c r="WF174" s="1009"/>
      <c r="WG174" s="1009"/>
      <c r="WH174" s="1009"/>
      <c r="WI174" s="1009"/>
      <c r="WJ174" s="1009"/>
      <c r="WK174" s="1009"/>
      <c r="WL174" s="1009"/>
      <c r="WM174" s="1009"/>
      <c r="WN174" s="1009"/>
      <c r="WO174" s="1009"/>
      <c r="WP174" s="1009"/>
      <c r="WQ174" s="1009"/>
      <c r="WR174" s="1009"/>
      <c r="WS174" s="1009"/>
      <c r="WT174" s="1009"/>
      <c r="WU174" s="1009"/>
      <c r="WV174" s="1009"/>
      <c r="WW174" s="1009"/>
      <c r="WX174" s="1009"/>
      <c r="WY174" s="1009"/>
      <c r="WZ174" s="1009"/>
      <c r="XA174" s="1009"/>
      <c r="XB174" s="1009"/>
      <c r="XC174" s="1009"/>
      <c r="XD174" s="1009"/>
      <c r="XE174" s="1009"/>
      <c r="XF174" s="1009"/>
      <c r="XG174" s="1009"/>
      <c r="XH174" s="1009"/>
      <c r="XI174" s="1009"/>
      <c r="XJ174" s="1009"/>
      <c r="XK174" s="1009"/>
      <c r="XL174" s="1009"/>
      <c r="XM174" s="1009"/>
      <c r="XN174" s="1009"/>
      <c r="XO174" s="1009"/>
      <c r="XP174" s="1009"/>
      <c r="XQ174" s="1009"/>
      <c r="XR174" s="1009"/>
      <c r="XS174" s="1009"/>
      <c r="XT174" s="1009"/>
      <c r="XU174" s="1009"/>
      <c r="XV174" s="1009"/>
      <c r="XW174" s="1009"/>
      <c r="XX174" s="1009"/>
      <c r="XY174" s="1009"/>
      <c r="XZ174" s="1009"/>
      <c r="YA174" s="1009"/>
      <c r="YB174" s="1009"/>
      <c r="YC174" s="1009"/>
      <c r="YD174" s="1009"/>
      <c r="YE174" s="1009"/>
      <c r="YF174" s="1009"/>
      <c r="YG174" s="1009"/>
      <c r="YH174" s="1009"/>
      <c r="YI174" s="1009"/>
      <c r="YJ174" s="1009"/>
      <c r="YK174" s="1009"/>
      <c r="YL174" s="1009"/>
      <c r="YM174" s="1009"/>
      <c r="YN174" s="1009"/>
      <c r="YO174" s="1009"/>
      <c r="YP174" s="1009"/>
      <c r="YQ174" s="1009"/>
      <c r="YR174" s="1009"/>
      <c r="YS174" s="1009"/>
      <c r="YT174" s="1009"/>
      <c r="YU174" s="1009"/>
      <c r="YV174" s="1009"/>
      <c r="YW174" s="1009"/>
      <c r="YX174" s="1009"/>
      <c r="YY174" s="1009"/>
      <c r="YZ174" s="1009"/>
      <c r="ZA174" s="1009"/>
      <c r="ZB174" s="1009"/>
      <c r="ZC174" s="1009"/>
      <c r="ZD174" s="1009"/>
      <c r="ZE174" s="1009"/>
      <c r="ZF174" s="1009"/>
      <c r="ZG174" s="1009"/>
      <c r="ZH174" s="1009"/>
      <c r="ZI174" s="1009"/>
      <c r="ZJ174" s="1009"/>
      <c r="ZK174" s="1009"/>
      <c r="ZL174" s="1009"/>
      <c r="ZM174" s="1009"/>
      <c r="ZN174" s="1009"/>
      <c r="ZO174" s="1009"/>
      <c r="ZP174" s="1009"/>
      <c r="ZQ174" s="1009"/>
      <c r="ZR174" s="1009"/>
      <c r="ZS174" s="1009"/>
      <c r="ZT174" s="1009"/>
      <c r="ZU174" s="1009"/>
      <c r="ZV174" s="1009"/>
      <c r="ZW174" s="1009"/>
      <c r="ZX174" s="1009"/>
      <c r="ZY174" s="1009"/>
      <c r="ZZ174" s="1009"/>
      <c r="AAA174" s="1009"/>
      <c r="AAB174" s="1009"/>
      <c r="AAC174" s="1009"/>
      <c r="AAD174" s="1009"/>
      <c r="AAE174" s="1009"/>
      <c r="AAF174" s="1009"/>
      <c r="AAG174" s="1009"/>
      <c r="AAH174" s="1009"/>
      <c r="AAI174" s="1009"/>
      <c r="AAJ174" s="1009"/>
      <c r="AAK174" s="1009"/>
      <c r="AAL174" s="1009"/>
      <c r="AAM174" s="1009"/>
      <c r="AAN174" s="1009"/>
      <c r="AAO174" s="1009"/>
      <c r="AAP174" s="1009"/>
      <c r="AAQ174" s="1009"/>
      <c r="AAR174" s="1009"/>
      <c r="AAS174" s="1009"/>
      <c r="AAT174" s="1009"/>
      <c r="AAU174" s="1009"/>
      <c r="AAV174" s="1009"/>
      <c r="AAW174" s="1009"/>
      <c r="AAX174" s="1009"/>
      <c r="AAY174" s="1009"/>
      <c r="AAZ174" s="1009"/>
      <c r="ABA174" s="1009"/>
      <c r="ABB174" s="1009"/>
      <c r="ABC174" s="1009"/>
      <c r="ABD174" s="1009"/>
      <c r="ABE174" s="1009"/>
      <c r="ABF174" s="1009"/>
      <c r="ABG174" s="1009"/>
      <c r="ABH174" s="1009"/>
      <c r="ABI174" s="1009"/>
      <c r="ABJ174" s="1009"/>
      <c r="ABK174" s="1009"/>
      <c r="ABL174" s="1009"/>
      <c r="ABM174" s="1009"/>
      <c r="ABN174" s="1009"/>
      <c r="ABO174" s="1009"/>
      <c r="ABP174" s="1009"/>
      <c r="ABQ174" s="1009"/>
      <c r="ABR174" s="1009"/>
    </row>
    <row r="175" spans="1:746" s="111" customFormat="1" ht="12" customHeight="1">
      <c r="A175" s="1252"/>
      <c r="B175" s="2711" t="s">
        <v>827</v>
      </c>
      <c r="C175" s="2712"/>
      <c r="D175" s="2712"/>
      <c r="E175" s="2712"/>
      <c r="F175" s="2712"/>
      <c r="G175" s="2712"/>
      <c r="H175" s="2713"/>
      <c r="I175" s="1771">
        <f>SUMIF(fx!$I$57:I57,1,$I$173:I173)-SUMIF(fx!$I$57:I57,1,$I$174:I174)</f>
        <v>0</v>
      </c>
      <c r="J175" s="955">
        <f>SUMIF(fx!$I$57:J57,1,$I$173:J173)-SUMIF(fx!$I$57:J57,1,$I$174:J174)</f>
        <v>0</v>
      </c>
      <c r="K175" s="955">
        <f>SUMIF(fx!$I$57:K57,1,$I$173:K173)-SUMIF(fx!$I$57:K57,1,$I$174:K174)</f>
        <v>0</v>
      </c>
      <c r="L175" s="955">
        <f>SUMIF(fx!$I$57:L57,1,$I$173:L173)-SUMIF(fx!$I$57:L57,1,$I$174:L174)</f>
        <v>0</v>
      </c>
      <c r="M175" s="955">
        <f>SUMIF(fx!$I$57:M57,1,$I$173:M173)-SUMIF(fx!$I$57:M57,1,$I$174:M174)</f>
        <v>0</v>
      </c>
      <c r="N175" s="955">
        <f>SUMIF(fx!$I$57:N57,1,$I$173:N173)-SUMIF(fx!$I$57:N57,1,$I$174:N174)</f>
        <v>0</v>
      </c>
      <c r="O175" s="955">
        <f>SUMIF(fx!$I$57:O57,1,$I$173:O173)-SUMIF(fx!$I$57:O57,1,$I$174:O174)</f>
        <v>0</v>
      </c>
      <c r="P175" s="955">
        <f>SUMIF(fx!$I$57:P57,1,$I$173:P173)-SUMIF(fx!$I$57:P57,1,$I$174:P174)</f>
        <v>0</v>
      </c>
      <c r="Q175" s="955">
        <f>SUMIF(fx!$I$57:Q57,1,$I$173:Q173)-SUMIF(fx!$I$57:Q57,1,$I$174:Q174)</f>
        <v>0</v>
      </c>
      <c r="R175" s="955">
        <f>SUMIF(fx!$I$57:R57,1,$I$173:R173)-SUMIF(fx!$I$57:R57,1,$I$174:R174)</f>
        <v>0</v>
      </c>
      <c r="S175" s="955">
        <f>SUMIF(fx!$I$57:S57,1,$I$173:S173)-SUMIF(fx!$I$57:S57,1,$I$174:S174)</f>
        <v>0</v>
      </c>
      <c r="T175" s="955">
        <f>SUMIF(fx!$I$57:T57,1,$I$173:T173)-SUMIF(fx!$I$57:T57,1,$I$174:T174)</f>
        <v>0</v>
      </c>
      <c r="U175" s="955">
        <f>SUMIF(fx!$I$57:U57,1,$I$173:U173)-SUMIF(fx!$I$57:U57,1,$I$174:U174)</f>
        <v>0</v>
      </c>
      <c r="V175" s="955">
        <f>SUMIF(fx!$I$57:V57,1,$I$173:V173)-SUMIF(fx!$I$57:V57,1,$I$174:V174)</f>
        <v>0</v>
      </c>
      <c r="W175" s="955">
        <f>SUMIF(fx!$I$57:W57,1,$I$173:W173)-SUMIF(fx!$I$57:W57,1,$I$174:W174)</f>
        <v>0</v>
      </c>
      <c r="X175" s="955">
        <f>SUMIF(fx!$I$57:X57,1,$I$173:X173)-SUMIF(fx!$I$57:X57,1,$I$174:X174)</f>
        <v>0</v>
      </c>
      <c r="Y175" s="955">
        <f>SUMIF(fx!$I$57:Y57,1,$I$173:Y173)-SUMIF(fx!$I$57:Y57,1,$I$174:Y174)</f>
        <v>0</v>
      </c>
      <c r="Z175" s="955">
        <f>SUMIF(fx!$I$57:Z57,1,$I$173:Z173)-SUMIF(fx!$I$57:Z57,1,$I$174:Z174)</f>
        <v>0</v>
      </c>
      <c r="AA175" s="955">
        <f>SUMIF(fx!$I$57:AA57,1,$I$173:AA173)-SUMIF(fx!$I$57:AA57,1,$I$174:AA174)</f>
        <v>0</v>
      </c>
      <c r="AB175" s="955">
        <f>SUMIF(fx!$I$57:AB57,1,$I$173:AB173)-SUMIF(fx!$I$57:AB57,1,$I$174:AB174)</f>
        <v>0</v>
      </c>
      <c r="AC175" s="955">
        <f>SUMIF(fx!$I$57:AC57,1,$I$173:AC173)-SUMIF(fx!$I$57:AC57,1,$I$174:AC174)</f>
        <v>0</v>
      </c>
      <c r="AD175" s="955">
        <f>SUMIF(fx!$I$57:AD57,1,$I$173:AD173)-SUMIF(fx!$I$57:AD57,1,$I$174:AD174)</f>
        <v>0</v>
      </c>
      <c r="AE175" s="955">
        <f>SUMIF(fx!$I$57:AE57,1,$I$173:AE173)-SUMIF(fx!$I$57:AE57,1,$I$174:AE174)</f>
        <v>0</v>
      </c>
      <c r="AF175" s="955">
        <f>SUMIF(fx!$I$57:AF57,1,$I$173:AF173)-SUMIF(fx!$I$57:AF57,1,$I$174:AF174)</f>
        <v>0</v>
      </c>
      <c r="AG175" s="376"/>
      <c r="AH175" s="336"/>
      <c r="AI175" s="336"/>
      <c r="AJ175" s="1956">
        <f>IF(fx!$C$57=1,T175,IF(fx!$C$57=2,AF175))</f>
        <v>0</v>
      </c>
      <c r="AK175" s="328"/>
      <c r="AL175" s="1957">
        <f>IF(fx!$C$57=1,AF175,0)</f>
        <v>0</v>
      </c>
      <c r="AM175" s="1028"/>
      <c r="AN175" s="1029"/>
      <c r="AO175" s="1945"/>
      <c r="AP175" s="1935"/>
      <c r="AQ175" s="1936"/>
      <c r="AR175" s="1941"/>
      <c r="AS175" s="1941"/>
      <c r="AT175" s="1941"/>
      <c r="AU175" s="1941"/>
      <c r="AV175" s="1941"/>
      <c r="AW175" s="1941"/>
      <c r="AX175" s="1941"/>
      <c r="AY175" s="1941"/>
      <c r="AZ175" s="1941"/>
      <c r="BA175" s="1941"/>
      <c r="BB175" s="1941"/>
      <c r="BC175" s="1941"/>
      <c r="BD175" s="1941"/>
      <c r="BE175" s="1941"/>
      <c r="BF175" s="1941"/>
      <c r="BG175" s="1941"/>
      <c r="BH175" s="1941"/>
      <c r="BI175" s="1941"/>
      <c r="BJ175" s="1941"/>
      <c r="BK175" s="1941"/>
      <c r="BL175" s="1941"/>
      <c r="BM175" s="1941"/>
      <c r="BN175" s="1941"/>
      <c r="BO175" s="1941"/>
      <c r="BP175" s="1009"/>
      <c r="BQ175" s="1009"/>
      <c r="BR175" s="1009"/>
      <c r="BS175" s="1009"/>
      <c r="BT175" s="1009"/>
      <c r="BU175" s="1009"/>
      <c r="BV175" s="1009"/>
      <c r="BW175" s="1009"/>
      <c r="BX175" s="1009"/>
      <c r="BY175" s="1009"/>
      <c r="BZ175" s="1009"/>
      <c r="CA175" s="1009"/>
      <c r="CB175" s="1009"/>
      <c r="CC175" s="1009"/>
      <c r="CD175" s="1009"/>
      <c r="CE175" s="1009"/>
      <c r="CF175" s="1009"/>
      <c r="CG175" s="1009"/>
      <c r="CH175" s="1009"/>
      <c r="CI175" s="1009"/>
      <c r="CJ175" s="1009"/>
      <c r="CK175" s="1009"/>
      <c r="CL175" s="1009"/>
      <c r="CM175" s="1009"/>
      <c r="CN175" s="1009"/>
      <c r="CO175" s="1009"/>
      <c r="CP175" s="1009"/>
      <c r="CQ175" s="1009"/>
      <c r="CR175" s="1009"/>
      <c r="CS175" s="1009"/>
      <c r="CT175" s="1009"/>
      <c r="CU175" s="1009"/>
      <c r="CV175" s="1009"/>
      <c r="CW175" s="1009"/>
      <c r="CX175" s="1009"/>
      <c r="CY175" s="1009"/>
      <c r="CZ175" s="1009"/>
      <c r="DA175" s="1009"/>
      <c r="DB175" s="1009"/>
      <c r="DC175" s="1009"/>
      <c r="DD175" s="1009"/>
      <c r="DE175" s="1009"/>
      <c r="DF175" s="1009"/>
      <c r="DG175" s="1009"/>
      <c r="DH175" s="1009"/>
      <c r="DI175" s="1009"/>
      <c r="DJ175" s="1009"/>
      <c r="DK175" s="1009"/>
      <c r="DL175" s="1009"/>
      <c r="DM175" s="1009"/>
      <c r="DN175" s="1009"/>
      <c r="DO175" s="1009"/>
      <c r="DP175" s="1009"/>
      <c r="DQ175" s="1009"/>
      <c r="DR175" s="1009"/>
      <c r="DS175" s="1009"/>
      <c r="DT175" s="1009"/>
      <c r="DU175" s="1009"/>
      <c r="DV175" s="1009"/>
      <c r="DW175" s="1009"/>
      <c r="DX175" s="1009"/>
      <c r="DY175" s="1009"/>
      <c r="DZ175" s="1009"/>
      <c r="EA175" s="1009"/>
      <c r="EB175" s="1009"/>
      <c r="EC175" s="1009"/>
      <c r="ED175" s="1009"/>
      <c r="EE175" s="1009"/>
      <c r="EF175" s="1009"/>
      <c r="EG175" s="1009"/>
      <c r="EH175" s="1009"/>
      <c r="EI175" s="1009"/>
      <c r="EJ175" s="1009"/>
      <c r="EK175" s="1009"/>
      <c r="EL175" s="1009"/>
      <c r="EM175" s="1009"/>
      <c r="EN175" s="1009"/>
      <c r="EO175" s="1009"/>
      <c r="EP175" s="1009"/>
      <c r="EQ175" s="1009"/>
      <c r="ER175" s="1009"/>
      <c r="ES175" s="1009"/>
      <c r="ET175" s="1009"/>
      <c r="EU175" s="1009"/>
      <c r="EV175" s="1009"/>
      <c r="EW175" s="1009"/>
      <c r="EX175" s="1009"/>
      <c r="EY175" s="1009"/>
      <c r="EZ175" s="1009"/>
      <c r="FA175" s="1009"/>
      <c r="FB175" s="1009"/>
      <c r="FC175" s="1009"/>
      <c r="FD175" s="1009"/>
      <c r="FE175" s="1009"/>
      <c r="FF175" s="1009"/>
      <c r="FG175" s="1009"/>
      <c r="FH175" s="1009"/>
      <c r="FI175" s="1009"/>
      <c r="FJ175" s="1009"/>
      <c r="FK175" s="1009"/>
      <c r="FL175" s="1009"/>
      <c r="FM175" s="1009"/>
      <c r="FN175" s="1009"/>
      <c r="FO175" s="1009"/>
      <c r="FP175" s="1009"/>
      <c r="FQ175" s="1009"/>
      <c r="FR175" s="1009"/>
      <c r="FS175" s="1009"/>
      <c r="FT175" s="1009"/>
      <c r="FU175" s="1009"/>
      <c r="FV175" s="1009"/>
      <c r="FW175" s="1009"/>
      <c r="FX175" s="1009"/>
      <c r="FY175" s="1009"/>
      <c r="FZ175" s="1009"/>
      <c r="GA175" s="1009"/>
      <c r="GB175" s="1009"/>
      <c r="GC175" s="1009"/>
      <c r="GD175" s="1009"/>
      <c r="GE175" s="1009"/>
      <c r="GF175" s="1009"/>
      <c r="GG175" s="1009"/>
      <c r="GH175" s="1009"/>
      <c r="GI175" s="1009"/>
      <c r="GJ175" s="1009"/>
      <c r="GK175" s="1009"/>
      <c r="GL175" s="1009"/>
      <c r="GM175" s="1009"/>
      <c r="GN175" s="1009"/>
      <c r="GO175" s="1009"/>
      <c r="GP175" s="1009"/>
      <c r="GQ175" s="1009"/>
      <c r="GR175" s="1009"/>
      <c r="GS175" s="1009"/>
      <c r="GT175" s="1009"/>
      <c r="GU175" s="1009"/>
      <c r="GV175" s="1009"/>
      <c r="GW175" s="1009"/>
      <c r="GX175" s="1009"/>
      <c r="GY175" s="1009"/>
      <c r="GZ175" s="1009"/>
      <c r="HA175" s="1009"/>
      <c r="HB175" s="1009"/>
      <c r="HC175" s="1009"/>
      <c r="HD175" s="1009"/>
      <c r="HE175" s="1009"/>
      <c r="HF175" s="1009"/>
      <c r="HG175" s="1009"/>
      <c r="HH175" s="1009"/>
      <c r="HI175" s="1009"/>
      <c r="HJ175" s="1009"/>
      <c r="HK175" s="1009"/>
      <c r="HL175" s="1009"/>
      <c r="HM175" s="1009"/>
      <c r="HN175" s="1009"/>
      <c r="HO175" s="1009"/>
      <c r="HP175" s="1009"/>
      <c r="HQ175" s="1009"/>
      <c r="HR175" s="1009"/>
      <c r="HS175" s="1009"/>
      <c r="HT175" s="1009"/>
      <c r="HU175" s="1009"/>
      <c r="HV175" s="1009"/>
      <c r="HW175" s="1009"/>
      <c r="HX175" s="1009"/>
      <c r="HY175" s="1009"/>
      <c r="HZ175" s="1009"/>
      <c r="IA175" s="1009"/>
      <c r="IB175" s="1009"/>
      <c r="IC175" s="1009"/>
      <c r="ID175" s="1009"/>
      <c r="IE175" s="1009"/>
      <c r="IF175" s="1009"/>
      <c r="IG175" s="1009"/>
      <c r="IH175" s="1009"/>
      <c r="II175" s="1009"/>
      <c r="IJ175" s="1009"/>
      <c r="IK175" s="1009"/>
      <c r="IL175" s="1009"/>
      <c r="IM175" s="1009"/>
      <c r="IN175" s="1009"/>
      <c r="IO175" s="1009"/>
      <c r="IP175" s="1009"/>
      <c r="IQ175" s="1009"/>
      <c r="IR175" s="1009"/>
      <c r="IS175" s="1009"/>
      <c r="IT175" s="1009"/>
      <c r="IU175" s="1009"/>
      <c r="IV175" s="1009"/>
      <c r="IW175" s="1009"/>
      <c r="IX175" s="1009"/>
      <c r="IY175" s="1009"/>
      <c r="IZ175" s="1009"/>
      <c r="JA175" s="1009"/>
      <c r="JB175" s="1009"/>
      <c r="JC175" s="1009"/>
      <c r="JD175" s="1009"/>
      <c r="JE175" s="1009"/>
      <c r="JF175" s="1009"/>
      <c r="JG175" s="1009"/>
      <c r="JH175" s="1009"/>
      <c r="JI175" s="1009"/>
      <c r="JJ175" s="1009"/>
      <c r="JK175" s="1009"/>
      <c r="JL175" s="1009"/>
      <c r="JM175" s="1009"/>
      <c r="JN175" s="1009"/>
      <c r="JO175" s="1009"/>
      <c r="JP175" s="1009"/>
      <c r="JQ175" s="1009"/>
      <c r="JR175" s="1009"/>
      <c r="JS175" s="1009"/>
      <c r="JT175" s="1009"/>
      <c r="JU175" s="1009"/>
      <c r="JV175" s="1009"/>
      <c r="JW175" s="1009"/>
      <c r="JX175" s="1009"/>
      <c r="JY175" s="1009"/>
      <c r="JZ175" s="1009"/>
      <c r="KA175" s="1009"/>
      <c r="KB175" s="1009"/>
      <c r="KC175" s="1009"/>
      <c r="KD175" s="1009"/>
      <c r="KE175" s="1009"/>
      <c r="KF175" s="1009"/>
      <c r="KG175" s="1009"/>
      <c r="KH175" s="1009"/>
      <c r="KI175" s="1009"/>
      <c r="KJ175" s="1009"/>
      <c r="KK175" s="1009"/>
      <c r="KL175" s="1009"/>
      <c r="KM175" s="1009"/>
      <c r="KN175" s="1009"/>
      <c r="KO175" s="1009"/>
      <c r="KP175" s="1009"/>
      <c r="KQ175" s="1009"/>
      <c r="KR175" s="1009"/>
      <c r="KS175" s="1009"/>
      <c r="KT175" s="1009"/>
      <c r="KU175" s="1009"/>
      <c r="KV175" s="1009"/>
      <c r="KW175" s="1009"/>
      <c r="KX175" s="1009"/>
      <c r="KY175" s="1009"/>
      <c r="KZ175" s="1009"/>
      <c r="LA175" s="1009"/>
      <c r="LB175" s="1009"/>
      <c r="LC175" s="1009"/>
      <c r="LD175" s="1009"/>
      <c r="LE175" s="1009"/>
      <c r="LF175" s="1009"/>
      <c r="LG175" s="1009"/>
      <c r="LH175" s="1009"/>
      <c r="LI175" s="1009"/>
      <c r="LJ175" s="1009"/>
      <c r="LK175" s="1009"/>
      <c r="LL175" s="1009"/>
      <c r="LM175" s="1009"/>
      <c r="LN175" s="1009"/>
      <c r="LO175" s="1009"/>
      <c r="LP175" s="1009"/>
      <c r="LQ175" s="1009"/>
      <c r="LR175" s="1009"/>
      <c r="LS175" s="1009"/>
      <c r="LT175" s="1009"/>
      <c r="LU175" s="1009"/>
      <c r="LV175" s="1009"/>
      <c r="LW175" s="1009"/>
      <c r="LX175" s="1009"/>
      <c r="LY175" s="1009"/>
      <c r="LZ175" s="1009"/>
      <c r="MA175" s="1009"/>
      <c r="MB175" s="1009"/>
      <c r="MC175" s="1009"/>
      <c r="MD175" s="1009"/>
      <c r="ME175" s="1009"/>
      <c r="MF175" s="1009"/>
      <c r="MG175" s="1009"/>
      <c r="MH175" s="1009"/>
      <c r="MI175" s="1009"/>
      <c r="MJ175" s="1009"/>
      <c r="MK175" s="1009"/>
      <c r="ML175" s="1009"/>
      <c r="MM175" s="1009"/>
      <c r="MN175" s="1009"/>
      <c r="MO175" s="1009"/>
      <c r="MP175" s="1009"/>
      <c r="MQ175" s="1009"/>
      <c r="MR175" s="1009"/>
      <c r="MS175" s="1009"/>
      <c r="MT175" s="1009"/>
      <c r="MU175" s="1009"/>
      <c r="MV175" s="1009"/>
      <c r="MW175" s="1009"/>
      <c r="MX175" s="1009"/>
      <c r="MY175" s="1009"/>
      <c r="MZ175" s="1009"/>
      <c r="NA175" s="1009"/>
      <c r="NB175" s="1009"/>
      <c r="NC175" s="1009"/>
      <c r="ND175" s="1009"/>
      <c r="NE175" s="1009"/>
      <c r="NF175" s="1009"/>
      <c r="NG175" s="1009"/>
      <c r="NH175" s="1009"/>
      <c r="NI175" s="1009"/>
      <c r="NJ175" s="1009"/>
      <c r="NK175" s="1009"/>
      <c r="NL175" s="1009"/>
      <c r="NM175" s="1009"/>
      <c r="NN175" s="1009"/>
      <c r="NO175" s="1009"/>
      <c r="NP175" s="1009"/>
      <c r="NQ175" s="1009"/>
      <c r="NR175" s="1009"/>
      <c r="NS175" s="1009"/>
      <c r="NT175" s="1009"/>
      <c r="NU175" s="1009"/>
      <c r="NV175" s="1009"/>
      <c r="NW175" s="1009"/>
      <c r="NX175" s="1009"/>
      <c r="NY175" s="1009"/>
      <c r="NZ175" s="1009"/>
      <c r="OA175" s="1009"/>
      <c r="OB175" s="1009"/>
      <c r="OC175" s="1009"/>
      <c r="OD175" s="1009"/>
      <c r="OE175" s="1009"/>
      <c r="OF175" s="1009"/>
      <c r="OG175" s="1009"/>
      <c r="OH175" s="1009"/>
      <c r="OI175" s="1009"/>
      <c r="OJ175" s="1009"/>
      <c r="OK175" s="1009"/>
      <c r="OL175" s="1009"/>
      <c r="OM175" s="1009"/>
      <c r="ON175" s="1009"/>
      <c r="OO175" s="1009"/>
      <c r="OP175" s="1009"/>
      <c r="OQ175" s="1009"/>
      <c r="OR175" s="1009"/>
      <c r="OS175" s="1009"/>
      <c r="OT175" s="1009"/>
      <c r="OU175" s="1009"/>
      <c r="OV175" s="1009"/>
      <c r="OW175" s="1009"/>
      <c r="OX175" s="1009"/>
      <c r="OY175" s="1009"/>
      <c r="OZ175" s="1009"/>
      <c r="PA175" s="1009"/>
      <c r="PB175" s="1009"/>
      <c r="PC175" s="1009"/>
      <c r="PD175" s="1009"/>
      <c r="PE175" s="1009"/>
      <c r="PF175" s="1009"/>
      <c r="PG175" s="1009"/>
      <c r="PH175" s="1009"/>
      <c r="PI175" s="1009"/>
      <c r="PJ175" s="1009"/>
      <c r="PK175" s="1009"/>
      <c r="PL175" s="1009"/>
      <c r="PM175" s="1009"/>
      <c r="PN175" s="1009"/>
      <c r="PO175" s="1009"/>
      <c r="PP175" s="1009"/>
      <c r="PQ175" s="1009"/>
      <c r="PR175" s="1009"/>
      <c r="PS175" s="1009"/>
      <c r="PT175" s="1009"/>
      <c r="PU175" s="1009"/>
      <c r="PV175" s="1009"/>
      <c r="PW175" s="1009"/>
      <c r="PX175" s="1009"/>
      <c r="PY175" s="1009"/>
      <c r="PZ175" s="1009"/>
      <c r="QA175" s="1009"/>
      <c r="QB175" s="1009"/>
      <c r="QC175" s="1009"/>
      <c r="QD175" s="1009"/>
      <c r="QE175" s="1009"/>
      <c r="QF175" s="1009"/>
      <c r="QG175" s="1009"/>
      <c r="QH175" s="1009"/>
      <c r="QI175" s="1009"/>
      <c r="QJ175" s="1009"/>
      <c r="QK175" s="1009"/>
      <c r="QL175" s="1009"/>
      <c r="QM175" s="1009"/>
      <c r="QN175" s="1009"/>
      <c r="QO175" s="1009"/>
      <c r="QP175" s="1009"/>
      <c r="QQ175" s="1009"/>
      <c r="QR175" s="1009"/>
      <c r="QS175" s="1009"/>
      <c r="QT175" s="1009"/>
      <c r="QU175" s="1009"/>
      <c r="QV175" s="1009"/>
      <c r="QW175" s="1009"/>
      <c r="QX175" s="1009"/>
      <c r="QY175" s="1009"/>
      <c r="QZ175" s="1009"/>
      <c r="RA175" s="1009"/>
      <c r="RB175" s="1009"/>
      <c r="RC175" s="1009"/>
      <c r="RD175" s="1009"/>
      <c r="RE175" s="1009"/>
      <c r="RF175" s="1009"/>
      <c r="RG175" s="1009"/>
      <c r="RH175" s="1009"/>
      <c r="RI175" s="1009"/>
      <c r="RJ175" s="1009"/>
      <c r="RK175" s="1009"/>
      <c r="RL175" s="1009"/>
      <c r="RM175" s="1009"/>
      <c r="RN175" s="1009"/>
      <c r="RO175" s="1009"/>
      <c r="RP175" s="1009"/>
      <c r="RQ175" s="1009"/>
      <c r="RR175" s="1009"/>
      <c r="RS175" s="1009"/>
      <c r="RT175" s="1009"/>
      <c r="RU175" s="1009"/>
      <c r="RV175" s="1009"/>
      <c r="RW175" s="1009"/>
      <c r="RX175" s="1009"/>
      <c r="RY175" s="1009"/>
      <c r="RZ175" s="1009"/>
      <c r="SA175" s="1009"/>
      <c r="SB175" s="1009"/>
      <c r="SC175" s="1009"/>
      <c r="SD175" s="1009"/>
      <c r="SE175" s="1009"/>
      <c r="SF175" s="1009"/>
      <c r="SG175" s="1009"/>
      <c r="SH175" s="1009"/>
      <c r="SI175" s="1009"/>
      <c r="SJ175" s="1009"/>
      <c r="SK175" s="1009"/>
      <c r="SL175" s="1009"/>
      <c r="SM175" s="1009"/>
      <c r="SN175" s="1009"/>
      <c r="SO175" s="1009"/>
      <c r="SP175" s="1009"/>
      <c r="SQ175" s="1009"/>
      <c r="SR175" s="1009"/>
      <c r="SS175" s="1009"/>
      <c r="ST175" s="1009"/>
      <c r="SU175" s="1009"/>
      <c r="SV175" s="1009"/>
      <c r="SW175" s="1009"/>
      <c r="SX175" s="1009"/>
      <c r="SY175" s="1009"/>
      <c r="SZ175" s="1009"/>
      <c r="TA175" s="1009"/>
      <c r="TB175" s="1009"/>
      <c r="TC175" s="1009"/>
      <c r="TD175" s="1009"/>
      <c r="TE175" s="1009"/>
      <c r="TF175" s="1009"/>
      <c r="TG175" s="1009"/>
      <c r="TH175" s="1009"/>
      <c r="TI175" s="1009"/>
      <c r="TJ175" s="1009"/>
      <c r="TK175" s="1009"/>
      <c r="TL175" s="1009"/>
      <c r="TM175" s="1009"/>
      <c r="TN175" s="1009"/>
      <c r="TO175" s="1009"/>
      <c r="TP175" s="1009"/>
      <c r="TQ175" s="1009"/>
      <c r="TR175" s="1009"/>
      <c r="TS175" s="1009"/>
      <c r="TT175" s="1009"/>
      <c r="TU175" s="1009"/>
      <c r="TV175" s="1009"/>
      <c r="TW175" s="1009"/>
      <c r="TX175" s="1009"/>
      <c r="TY175" s="1009"/>
      <c r="TZ175" s="1009"/>
      <c r="UA175" s="1009"/>
      <c r="UB175" s="1009"/>
      <c r="UC175" s="1009"/>
      <c r="UD175" s="1009"/>
      <c r="UE175" s="1009"/>
      <c r="UF175" s="1009"/>
      <c r="UG175" s="1009"/>
      <c r="UH175" s="1009"/>
      <c r="UI175" s="1009"/>
      <c r="UJ175" s="1009"/>
      <c r="UK175" s="1009"/>
      <c r="UL175" s="1009"/>
      <c r="UM175" s="1009"/>
      <c r="UN175" s="1009"/>
      <c r="UO175" s="1009"/>
      <c r="UP175" s="1009"/>
      <c r="UQ175" s="1009"/>
      <c r="UR175" s="1009"/>
      <c r="US175" s="1009"/>
      <c r="UT175" s="1009"/>
      <c r="UU175" s="1009"/>
      <c r="UV175" s="1009"/>
      <c r="UW175" s="1009"/>
      <c r="UX175" s="1009"/>
      <c r="UY175" s="1009"/>
      <c r="UZ175" s="1009"/>
      <c r="VA175" s="1009"/>
      <c r="VB175" s="1009"/>
      <c r="VC175" s="1009"/>
      <c r="VD175" s="1009"/>
      <c r="VE175" s="1009"/>
      <c r="VF175" s="1009"/>
      <c r="VG175" s="1009"/>
      <c r="VH175" s="1009"/>
      <c r="VI175" s="1009"/>
      <c r="VJ175" s="1009"/>
      <c r="VK175" s="1009"/>
      <c r="VL175" s="1009"/>
      <c r="VM175" s="1009"/>
      <c r="VN175" s="1009"/>
      <c r="VO175" s="1009"/>
      <c r="VP175" s="1009"/>
      <c r="VQ175" s="1009"/>
      <c r="VR175" s="1009"/>
      <c r="VS175" s="1009"/>
      <c r="VT175" s="1009"/>
      <c r="VU175" s="1009"/>
      <c r="VV175" s="1009"/>
      <c r="VW175" s="1009"/>
      <c r="VX175" s="1009"/>
      <c r="VY175" s="1009"/>
      <c r="VZ175" s="1009"/>
      <c r="WA175" s="1009"/>
      <c r="WB175" s="1009"/>
      <c r="WC175" s="1009"/>
      <c r="WD175" s="1009"/>
      <c r="WE175" s="1009"/>
      <c r="WF175" s="1009"/>
      <c r="WG175" s="1009"/>
      <c r="WH175" s="1009"/>
      <c r="WI175" s="1009"/>
      <c r="WJ175" s="1009"/>
      <c r="WK175" s="1009"/>
      <c r="WL175" s="1009"/>
      <c r="WM175" s="1009"/>
      <c r="WN175" s="1009"/>
      <c r="WO175" s="1009"/>
      <c r="WP175" s="1009"/>
      <c r="WQ175" s="1009"/>
      <c r="WR175" s="1009"/>
      <c r="WS175" s="1009"/>
      <c r="WT175" s="1009"/>
      <c r="WU175" s="1009"/>
      <c r="WV175" s="1009"/>
      <c r="WW175" s="1009"/>
      <c r="WX175" s="1009"/>
      <c r="WY175" s="1009"/>
      <c r="WZ175" s="1009"/>
      <c r="XA175" s="1009"/>
      <c r="XB175" s="1009"/>
      <c r="XC175" s="1009"/>
      <c r="XD175" s="1009"/>
      <c r="XE175" s="1009"/>
      <c r="XF175" s="1009"/>
      <c r="XG175" s="1009"/>
      <c r="XH175" s="1009"/>
      <c r="XI175" s="1009"/>
      <c r="XJ175" s="1009"/>
      <c r="XK175" s="1009"/>
      <c r="XL175" s="1009"/>
      <c r="XM175" s="1009"/>
      <c r="XN175" s="1009"/>
      <c r="XO175" s="1009"/>
      <c r="XP175" s="1009"/>
      <c r="XQ175" s="1009"/>
      <c r="XR175" s="1009"/>
      <c r="XS175" s="1009"/>
      <c r="XT175" s="1009"/>
      <c r="XU175" s="1009"/>
      <c r="XV175" s="1009"/>
      <c r="XW175" s="1009"/>
      <c r="XX175" s="1009"/>
      <c r="XY175" s="1009"/>
      <c r="XZ175" s="1009"/>
      <c r="YA175" s="1009"/>
      <c r="YB175" s="1009"/>
      <c r="YC175" s="1009"/>
      <c r="YD175" s="1009"/>
      <c r="YE175" s="1009"/>
      <c r="YF175" s="1009"/>
      <c r="YG175" s="1009"/>
      <c r="YH175" s="1009"/>
      <c r="YI175" s="1009"/>
      <c r="YJ175" s="1009"/>
      <c r="YK175" s="1009"/>
      <c r="YL175" s="1009"/>
      <c r="YM175" s="1009"/>
      <c r="YN175" s="1009"/>
      <c r="YO175" s="1009"/>
      <c r="YP175" s="1009"/>
      <c r="YQ175" s="1009"/>
      <c r="YR175" s="1009"/>
      <c r="YS175" s="1009"/>
      <c r="YT175" s="1009"/>
      <c r="YU175" s="1009"/>
      <c r="YV175" s="1009"/>
      <c r="YW175" s="1009"/>
      <c r="YX175" s="1009"/>
      <c r="YY175" s="1009"/>
      <c r="YZ175" s="1009"/>
      <c r="ZA175" s="1009"/>
      <c r="ZB175" s="1009"/>
      <c r="ZC175" s="1009"/>
      <c r="ZD175" s="1009"/>
      <c r="ZE175" s="1009"/>
      <c r="ZF175" s="1009"/>
      <c r="ZG175" s="1009"/>
      <c r="ZH175" s="1009"/>
      <c r="ZI175" s="1009"/>
      <c r="ZJ175" s="1009"/>
      <c r="ZK175" s="1009"/>
      <c r="ZL175" s="1009"/>
      <c r="ZM175" s="1009"/>
      <c r="ZN175" s="1009"/>
      <c r="ZO175" s="1009"/>
      <c r="ZP175" s="1009"/>
      <c r="ZQ175" s="1009"/>
      <c r="ZR175" s="1009"/>
      <c r="ZS175" s="1009"/>
      <c r="ZT175" s="1009"/>
      <c r="ZU175" s="1009"/>
      <c r="ZV175" s="1009"/>
      <c r="ZW175" s="1009"/>
      <c r="ZX175" s="1009"/>
      <c r="ZY175" s="1009"/>
      <c r="ZZ175" s="1009"/>
      <c r="AAA175" s="1009"/>
      <c r="AAB175" s="1009"/>
      <c r="AAC175" s="1009"/>
      <c r="AAD175" s="1009"/>
      <c r="AAE175" s="1009"/>
      <c r="AAF175" s="1009"/>
      <c r="AAG175" s="1009"/>
      <c r="AAH175" s="1009"/>
      <c r="AAI175" s="1009"/>
      <c r="AAJ175" s="1009"/>
      <c r="AAK175" s="1009"/>
      <c r="AAL175" s="1009"/>
      <c r="AAM175" s="1009"/>
      <c r="AAN175" s="1009"/>
      <c r="AAO175" s="1009"/>
      <c r="AAP175" s="1009"/>
      <c r="AAQ175" s="1009"/>
      <c r="AAR175" s="1009"/>
      <c r="AAS175" s="1009"/>
      <c r="AAT175" s="1009"/>
      <c r="AAU175" s="1009"/>
      <c r="AAV175" s="1009"/>
      <c r="AAW175" s="1009"/>
      <c r="AAX175" s="1009"/>
      <c r="AAY175" s="1009"/>
      <c r="AAZ175" s="1009"/>
      <c r="ABA175" s="1009"/>
      <c r="ABB175" s="1009"/>
      <c r="ABC175" s="1009"/>
      <c r="ABD175" s="1009"/>
      <c r="ABE175" s="1009"/>
      <c r="ABF175" s="1009"/>
      <c r="ABG175" s="1009"/>
      <c r="ABH175" s="1009"/>
      <c r="ABI175" s="1009"/>
      <c r="ABJ175" s="1009"/>
      <c r="ABK175" s="1009"/>
      <c r="ABL175" s="1009"/>
      <c r="ABM175" s="1009"/>
      <c r="ABN175" s="1009"/>
      <c r="ABO175" s="1009"/>
      <c r="ABP175" s="1009"/>
      <c r="ABQ175" s="1009"/>
      <c r="ABR175" s="1009"/>
    </row>
    <row r="176" spans="1:746" s="111" customFormat="1" ht="12" hidden="1" customHeight="1">
      <c r="A176" s="1252"/>
      <c r="B176" s="2955" t="s">
        <v>1394</v>
      </c>
      <c r="C176" s="2956"/>
      <c r="D176" s="2332"/>
      <c r="E176" s="2333"/>
      <c r="F176" s="879"/>
      <c r="G176" s="2334">
        <v>0.1</v>
      </c>
      <c r="H176" s="598"/>
      <c r="I176" s="1966"/>
      <c r="J176" s="1966"/>
      <c r="K176" s="1966"/>
      <c r="L176" s="1966"/>
      <c r="M176" s="1966"/>
      <c r="N176" s="1966"/>
      <c r="O176" s="1966"/>
      <c r="P176" s="1966"/>
      <c r="Q176" s="1966"/>
      <c r="R176" s="1966"/>
      <c r="S176" s="1966"/>
      <c r="T176" s="1966"/>
      <c r="U176" s="1966"/>
      <c r="V176" s="2335"/>
      <c r="W176" s="1966"/>
      <c r="X176" s="1966"/>
      <c r="Y176" s="1966"/>
      <c r="Z176" s="1966"/>
      <c r="AA176" s="1966"/>
      <c r="AB176" s="1966"/>
      <c r="AC176" s="1966"/>
      <c r="AD176" s="1966"/>
      <c r="AE176" s="1966"/>
      <c r="AF176" s="1966"/>
      <c r="AG176" s="1042"/>
      <c r="AH176" s="336"/>
      <c r="AI176" s="336"/>
      <c r="AJ176" s="901">
        <f>IF(fx!$C$57=1,SUMIF(fx!I$57:T$57,1,I176:T176),IF(fx!$C$57=2,SUMIF(fx!O$57:AF$57,1,O176:AF176)))</f>
        <v>0</v>
      </c>
      <c r="AK176" s="328"/>
      <c r="AL176" s="902">
        <f>IF(fx!$C$57=1,SUM(U176:AF176),0)</f>
        <v>0</v>
      </c>
      <c r="AM176" s="1028"/>
      <c r="AN176" s="1029"/>
      <c r="AO176" s="1945"/>
      <c r="AP176" s="1935"/>
      <c r="AQ176" s="1936"/>
      <c r="AR176" s="2710"/>
      <c r="AS176" s="2710"/>
      <c r="AT176" s="2710"/>
      <c r="AU176" s="2710"/>
      <c r="AV176" s="2710"/>
      <c r="AW176" s="2710"/>
      <c r="AX176" s="2710"/>
      <c r="AY176" s="2710"/>
      <c r="AZ176" s="2710"/>
      <c r="BA176" s="2710"/>
      <c r="BB176" s="2710"/>
      <c r="BC176" s="2710"/>
      <c r="BD176" s="2710"/>
      <c r="BE176" s="2710"/>
      <c r="BF176" s="2710"/>
      <c r="BG176" s="2710"/>
      <c r="BH176" s="2710"/>
      <c r="BI176" s="2710"/>
      <c r="BJ176" s="2710"/>
      <c r="BK176" s="2710"/>
      <c r="BL176" s="2710"/>
      <c r="BM176" s="2710"/>
      <c r="BN176" s="2710"/>
      <c r="BO176" s="2710"/>
      <c r="BP176" s="1009"/>
      <c r="BQ176" s="1009"/>
      <c r="BR176" s="1009"/>
      <c r="BS176" s="1009"/>
      <c r="BT176" s="1009"/>
      <c r="BU176" s="1009"/>
      <c r="BV176" s="1009"/>
      <c r="BW176" s="1009"/>
      <c r="BX176" s="1009"/>
      <c r="BY176" s="1009"/>
      <c r="BZ176" s="1009"/>
      <c r="CA176" s="1009"/>
      <c r="CB176" s="1009"/>
      <c r="CC176" s="1009"/>
      <c r="CD176" s="1009"/>
      <c r="CE176" s="1009"/>
      <c r="CF176" s="1009"/>
      <c r="CG176" s="1009"/>
      <c r="CH176" s="1009"/>
      <c r="CI176" s="1009"/>
      <c r="CJ176" s="1009"/>
      <c r="CK176" s="1009"/>
      <c r="CL176" s="1009"/>
      <c r="CM176" s="1009"/>
      <c r="CN176" s="1009"/>
      <c r="CO176" s="1009"/>
      <c r="CP176" s="1009"/>
      <c r="CQ176" s="1009"/>
      <c r="CR176" s="1009"/>
      <c r="CS176" s="1009"/>
      <c r="CT176" s="1009"/>
      <c r="CU176" s="1009"/>
      <c r="CV176" s="1009"/>
      <c r="CW176" s="1009"/>
      <c r="CX176" s="1009"/>
      <c r="CY176" s="1009"/>
      <c r="CZ176" s="1009"/>
      <c r="DA176" s="1009"/>
      <c r="DB176" s="1009"/>
      <c r="DC176" s="1009"/>
      <c r="DD176" s="1009"/>
      <c r="DE176" s="1009"/>
      <c r="DF176" s="1009"/>
      <c r="DG176" s="1009"/>
      <c r="DH176" s="1009"/>
      <c r="DI176" s="1009"/>
      <c r="DJ176" s="1009"/>
      <c r="DK176" s="1009"/>
      <c r="DL176" s="1009"/>
      <c r="DM176" s="1009"/>
      <c r="DN176" s="1009"/>
      <c r="DO176" s="1009"/>
      <c r="DP176" s="1009"/>
      <c r="DQ176" s="1009"/>
      <c r="DR176" s="1009"/>
      <c r="DS176" s="1009"/>
      <c r="DT176" s="1009"/>
      <c r="DU176" s="1009"/>
      <c r="DV176" s="1009"/>
      <c r="DW176" s="1009"/>
      <c r="DX176" s="1009"/>
      <c r="DY176" s="1009"/>
      <c r="DZ176" s="1009"/>
      <c r="EA176" s="1009"/>
      <c r="EB176" s="1009"/>
      <c r="EC176" s="1009"/>
      <c r="ED176" s="1009"/>
      <c r="EE176" s="1009"/>
      <c r="EF176" s="1009"/>
      <c r="EG176" s="1009"/>
      <c r="EH176" s="1009"/>
      <c r="EI176" s="1009"/>
      <c r="EJ176" s="1009"/>
      <c r="EK176" s="1009"/>
      <c r="EL176" s="1009"/>
      <c r="EM176" s="1009"/>
      <c r="EN176" s="1009"/>
      <c r="EO176" s="1009"/>
      <c r="EP176" s="1009"/>
      <c r="EQ176" s="1009"/>
      <c r="ER176" s="1009"/>
      <c r="ES176" s="1009"/>
      <c r="ET176" s="1009"/>
      <c r="EU176" s="1009"/>
      <c r="EV176" s="1009"/>
      <c r="EW176" s="1009"/>
      <c r="EX176" s="1009"/>
      <c r="EY176" s="1009"/>
      <c r="EZ176" s="1009"/>
      <c r="FA176" s="1009"/>
      <c r="FB176" s="1009"/>
      <c r="FC176" s="1009"/>
      <c r="FD176" s="1009"/>
      <c r="FE176" s="1009"/>
      <c r="FF176" s="1009"/>
      <c r="FG176" s="1009"/>
      <c r="FH176" s="1009"/>
      <c r="FI176" s="1009"/>
      <c r="FJ176" s="1009"/>
      <c r="FK176" s="1009"/>
      <c r="FL176" s="1009"/>
      <c r="FM176" s="1009"/>
      <c r="FN176" s="1009"/>
      <c r="FO176" s="1009"/>
      <c r="FP176" s="1009"/>
      <c r="FQ176" s="1009"/>
      <c r="FR176" s="1009"/>
      <c r="FS176" s="1009"/>
      <c r="FT176" s="1009"/>
      <c r="FU176" s="1009"/>
      <c r="FV176" s="1009"/>
      <c r="FW176" s="1009"/>
      <c r="FX176" s="1009"/>
      <c r="FY176" s="1009"/>
      <c r="FZ176" s="1009"/>
      <c r="GA176" s="1009"/>
      <c r="GB176" s="1009"/>
      <c r="GC176" s="1009"/>
      <c r="GD176" s="1009"/>
      <c r="GE176" s="1009"/>
      <c r="GF176" s="1009"/>
      <c r="GG176" s="1009"/>
      <c r="GH176" s="1009"/>
      <c r="GI176" s="1009"/>
      <c r="GJ176" s="1009"/>
      <c r="GK176" s="1009"/>
      <c r="GL176" s="1009"/>
      <c r="GM176" s="1009"/>
      <c r="GN176" s="1009"/>
      <c r="GO176" s="1009"/>
      <c r="GP176" s="1009"/>
      <c r="GQ176" s="1009"/>
      <c r="GR176" s="1009"/>
      <c r="GS176" s="1009"/>
      <c r="GT176" s="1009"/>
      <c r="GU176" s="1009"/>
      <c r="GV176" s="1009"/>
      <c r="GW176" s="1009"/>
      <c r="GX176" s="1009"/>
      <c r="GY176" s="1009"/>
      <c r="GZ176" s="1009"/>
      <c r="HA176" s="1009"/>
      <c r="HB176" s="1009"/>
      <c r="HC176" s="1009"/>
      <c r="HD176" s="1009"/>
      <c r="HE176" s="1009"/>
      <c r="HF176" s="1009"/>
      <c r="HG176" s="1009"/>
      <c r="HH176" s="1009"/>
      <c r="HI176" s="1009"/>
      <c r="HJ176" s="1009"/>
      <c r="HK176" s="1009"/>
      <c r="HL176" s="1009"/>
      <c r="HM176" s="1009"/>
      <c r="HN176" s="1009"/>
      <c r="HO176" s="1009"/>
      <c r="HP176" s="1009"/>
      <c r="HQ176" s="1009"/>
      <c r="HR176" s="1009"/>
      <c r="HS176" s="1009"/>
      <c r="HT176" s="1009"/>
      <c r="HU176" s="1009"/>
      <c r="HV176" s="1009"/>
      <c r="HW176" s="1009"/>
      <c r="HX176" s="1009"/>
      <c r="HY176" s="1009"/>
      <c r="HZ176" s="1009"/>
      <c r="IA176" s="1009"/>
      <c r="IB176" s="1009"/>
      <c r="IC176" s="1009"/>
      <c r="ID176" s="1009"/>
      <c r="IE176" s="1009"/>
      <c r="IF176" s="1009"/>
      <c r="IG176" s="1009"/>
      <c r="IH176" s="1009"/>
      <c r="II176" s="1009"/>
      <c r="IJ176" s="1009"/>
      <c r="IK176" s="1009"/>
      <c r="IL176" s="1009"/>
      <c r="IM176" s="1009"/>
      <c r="IN176" s="1009"/>
      <c r="IO176" s="1009"/>
      <c r="IP176" s="1009"/>
      <c r="IQ176" s="1009"/>
      <c r="IR176" s="1009"/>
      <c r="IS176" s="1009"/>
      <c r="IT176" s="1009"/>
      <c r="IU176" s="1009"/>
      <c r="IV176" s="1009"/>
      <c r="IW176" s="1009"/>
      <c r="IX176" s="1009"/>
      <c r="IY176" s="1009"/>
      <c r="IZ176" s="1009"/>
      <c r="JA176" s="1009"/>
      <c r="JB176" s="1009"/>
      <c r="JC176" s="1009"/>
      <c r="JD176" s="1009"/>
      <c r="JE176" s="1009"/>
      <c r="JF176" s="1009"/>
      <c r="JG176" s="1009"/>
      <c r="JH176" s="1009"/>
      <c r="JI176" s="1009"/>
      <c r="JJ176" s="1009"/>
      <c r="JK176" s="1009"/>
      <c r="JL176" s="1009"/>
      <c r="JM176" s="1009"/>
      <c r="JN176" s="1009"/>
      <c r="JO176" s="1009"/>
      <c r="JP176" s="1009"/>
      <c r="JQ176" s="1009"/>
      <c r="JR176" s="1009"/>
      <c r="JS176" s="1009"/>
      <c r="JT176" s="1009"/>
      <c r="JU176" s="1009"/>
      <c r="JV176" s="1009"/>
      <c r="JW176" s="1009"/>
      <c r="JX176" s="1009"/>
      <c r="JY176" s="1009"/>
      <c r="JZ176" s="1009"/>
      <c r="KA176" s="1009"/>
      <c r="KB176" s="1009"/>
      <c r="KC176" s="1009"/>
      <c r="KD176" s="1009"/>
      <c r="KE176" s="1009"/>
      <c r="KF176" s="1009"/>
      <c r="KG176" s="1009"/>
      <c r="KH176" s="1009"/>
      <c r="KI176" s="1009"/>
      <c r="KJ176" s="1009"/>
      <c r="KK176" s="1009"/>
      <c r="KL176" s="1009"/>
      <c r="KM176" s="1009"/>
      <c r="KN176" s="1009"/>
      <c r="KO176" s="1009"/>
      <c r="KP176" s="1009"/>
      <c r="KQ176" s="1009"/>
      <c r="KR176" s="1009"/>
      <c r="KS176" s="1009"/>
      <c r="KT176" s="1009"/>
      <c r="KU176" s="1009"/>
      <c r="KV176" s="1009"/>
      <c r="KW176" s="1009"/>
      <c r="KX176" s="1009"/>
      <c r="KY176" s="1009"/>
      <c r="KZ176" s="1009"/>
      <c r="LA176" s="1009"/>
      <c r="LB176" s="1009"/>
      <c r="LC176" s="1009"/>
      <c r="LD176" s="1009"/>
      <c r="LE176" s="1009"/>
      <c r="LF176" s="1009"/>
      <c r="LG176" s="1009"/>
      <c r="LH176" s="1009"/>
      <c r="LI176" s="1009"/>
      <c r="LJ176" s="1009"/>
      <c r="LK176" s="1009"/>
      <c r="LL176" s="1009"/>
      <c r="LM176" s="1009"/>
      <c r="LN176" s="1009"/>
      <c r="LO176" s="1009"/>
      <c r="LP176" s="1009"/>
      <c r="LQ176" s="1009"/>
      <c r="LR176" s="1009"/>
      <c r="LS176" s="1009"/>
      <c r="LT176" s="1009"/>
      <c r="LU176" s="1009"/>
      <c r="LV176" s="1009"/>
      <c r="LW176" s="1009"/>
      <c r="LX176" s="1009"/>
      <c r="LY176" s="1009"/>
      <c r="LZ176" s="1009"/>
      <c r="MA176" s="1009"/>
      <c r="MB176" s="1009"/>
      <c r="MC176" s="1009"/>
      <c r="MD176" s="1009"/>
      <c r="ME176" s="1009"/>
      <c r="MF176" s="1009"/>
      <c r="MG176" s="1009"/>
      <c r="MH176" s="1009"/>
      <c r="MI176" s="1009"/>
      <c r="MJ176" s="1009"/>
      <c r="MK176" s="1009"/>
      <c r="ML176" s="1009"/>
      <c r="MM176" s="1009"/>
      <c r="MN176" s="1009"/>
      <c r="MO176" s="1009"/>
      <c r="MP176" s="1009"/>
      <c r="MQ176" s="1009"/>
      <c r="MR176" s="1009"/>
      <c r="MS176" s="1009"/>
      <c r="MT176" s="1009"/>
      <c r="MU176" s="1009"/>
      <c r="MV176" s="1009"/>
      <c r="MW176" s="1009"/>
      <c r="MX176" s="1009"/>
      <c r="MY176" s="1009"/>
      <c r="MZ176" s="1009"/>
      <c r="NA176" s="1009"/>
      <c r="NB176" s="1009"/>
      <c r="NC176" s="1009"/>
      <c r="ND176" s="1009"/>
      <c r="NE176" s="1009"/>
      <c r="NF176" s="1009"/>
      <c r="NG176" s="1009"/>
      <c r="NH176" s="1009"/>
      <c r="NI176" s="1009"/>
      <c r="NJ176" s="1009"/>
      <c r="NK176" s="1009"/>
      <c r="NL176" s="1009"/>
      <c r="NM176" s="1009"/>
      <c r="NN176" s="1009"/>
      <c r="NO176" s="1009"/>
      <c r="NP176" s="1009"/>
      <c r="NQ176" s="1009"/>
      <c r="NR176" s="1009"/>
      <c r="NS176" s="1009"/>
      <c r="NT176" s="1009"/>
      <c r="NU176" s="1009"/>
      <c r="NV176" s="1009"/>
      <c r="NW176" s="1009"/>
      <c r="NX176" s="1009"/>
      <c r="NY176" s="1009"/>
      <c r="NZ176" s="1009"/>
      <c r="OA176" s="1009"/>
      <c r="OB176" s="1009"/>
      <c r="OC176" s="1009"/>
      <c r="OD176" s="1009"/>
      <c r="OE176" s="1009"/>
      <c r="OF176" s="1009"/>
      <c r="OG176" s="1009"/>
      <c r="OH176" s="1009"/>
      <c r="OI176" s="1009"/>
      <c r="OJ176" s="1009"/>
      <c r="OK176" s="1009"/>
      <c r="OL176" s="1009"/>
      <c r="OM176" s="1009"/>
      <c r="ON176" s="1009"/>
      <c r="OO176" s="1009"/>
      <c r="OP176" s="1009"/>
      <c r="OQ176" s="1009"/>
      <c r="OR176" s="1009"/>
      <c r="OS176" s="1009"/>
      <c r="OT176" s="1009"/>
      <c r="OU176" s="1009"/>
      <c r="OV176" s="1009"/>
      <c r="OW176" s="1009"/>
      <c r="OX176" s="1009"/>
      <c r="OY176" s="1009"/>
      <c r="OZ176" s="1009"/>
      <c r="PA176" s="1009"/>
      <c r="PB176" s="1009"/>
      <c r="PC176" s="1009"/>
      <c r="PD176" s="1009"/>
      <c r="PE176" s="1009"/>
      <c r="PF176" s="1009"/>
      <c r="PG176" s="1009"/>
      <c r="PH176" s="1009"/>
      <c r="PI176" s="1009"/>
      <c r="PJ176" s="1009"/>
      <c r="PK176" s="1009"/>
      <c r="PL176" s="1009"/>
      <c r="PM176" s="1009"/>
      <c r="PN176" s="1009"/>
      <c r="PO176" s="1009"/>
      <c r="PP176" s="1009"/>
      <c r="PQ176" s="1009"/>
      <c r="PR176" s="1009"/>
      <c r="PS176" s="1009"/>
      <c r="PT176" s="1009"/>
      <c r="PU176" s="1009"/>
      <c r="PV176" s="1009"/>
      <c r="PW176" s="1009"/>
      <c r="PX176" s="1009"/>
      <c r="PY176" s="1009"/>
      <c r="PZ176" s="1009"/>
      <c r="QA176" s="1009"/>
      <c r="QB176" s="1009"/>
      <c r="QC176" s="1009"/>
      <c r="QD176" s="1009"/>
      <c r="QE176" s="1009"/>
      <c r="QF176" s="1009"/>
      <c r="QG176" s="1009"/>
      <c r="QH176" s="1009"/>
      <c r="QI176" s="1009"/>
      <c r="QJ176" s="1009"/>
      <c r="QK176" s="1009"/>
      <c r="QL176" s="1009"/>
      <c r="QM176" s="1009"/>
      <c r="QN176" s="1009"/>
      <c r="QO176" s="1009"/>
      <c r="QP176" s="1009"/>
      <c r="QQ176" s="1009"/>
      <c r="QR176" s="1009"/>
      <c r="QS176" s="1009"/>
      <c r="QT176" s="1009"/>
      <c r="QU176" s="1009"/>
      <c r="QV176" s="1009"/>
      <c r="QW176" s="1009"/>
      <c r="QX176" s="1009"/>
      <c r="QY176" s="1009"/>
      <c r="QZ176" s="1009"/>
      <c r="RA176" s="1009"/>
      <c r="RB176" s="1009"/>
      <c r="RC176" s="1009"/>
      <c r="RD176" s="1009"/>
      <c r="RE176" s="1009"/>
      <c r="RF176" s="1009"/>
      <c r="RG176" s="1009"/>
      <c r="RH176" s="1009"/>
      <c r="RI176" s="1009"/>
      <c r="RJ176" s="1009"/>
      <c r="RK176" s="1009"/>
      <c r="RL176" s="1009"/>
      <c r="RM176" s="1009"/>
      <c r="RN176" s="1009"/>
      <c r="RO176" s="1009"/>
      <c r="RP176" s="1009"/>
      <c r="RQ176" s="1009"/>
      <c r="RR176" s="1009"/>
      <c r="RS176" s="1009"/>
      <c r="RT176" s="1009"/>
      <c r="RU176" s="1009"/>
      <c r="RV176" s="1009"/>
      <c r="RW176" s="1009"/>
      <c r="RX176" s="1009"/>
      <c r="RY176" s="1009"/>
      <c r="RZ176" s="1009"/>
      <c r="SA176" s="1009"/>
      <c r="SB176" s="1009"/>
      <c r="SC176" s="1009"/>
      <c r="SD176" s="1009"/>
      <c r="SE176" s="1009"/>
      <c r="SF176" s="1009"/>
      <c r="SG176" s="1009"/>
      <c r="SH176" s="1009"/>
      <c r="SI176" s="1009"/>
      <c r="SJ176" s="1009"/>
      <c r="SK176" s="1009"/>
      <c r="SL176" s="1009"/>
      <c r="SM176" s="1009"/>
      <c r="SN176" s="1009"/>
      <c r="SO176" s="1009"/>
      <c r="SP176" s="1009"/>
      <c r="SQ176" s="1009"/>
      <c r="SR176" s="1009"/>
      <c r="SS176" s="1009"/>
      <c r="ST176" s="1009"/>
      <c r="SU176" s="1009"/>
      <c r="SV176" s="1009"/>
      <c r="SW176" s="1009"/>
      <c r="SX176" s="1009"/>
      <c r="SY176" s="1009"/>
      <c r="SZ176" s="1009"/>
      <c r="TA176" s="1009"/>
      <c r="TB176" s="1009"/>
      <c r="TC176" s="1009"/>
      <c r="TD176" s="1009"/>
      <c r="TE176" s="1009"/>
      <c r="TF176" s="1009"/>
      <c r="TG176" s="1009"/>
      <c r="TH176" s="1009"/>
      <c r="TI176" s="1009"/>
      <c r="TJ176" s="1009"/>
      <c r="TK176" s="1009"/>
      <c r="TL176" s="1009"/>
      <c r="TM176" s="1009"/>
      <c r="TN176" s="1009"/>
      <c r="TO176" s="1009"/>
      <c r="TP176" s="1009"/>
      <c r="TQ176" s="1009"/>
      <c r="TR176" s="1009"/>
      <c r="TS176" s="1009"/>
      <c r="TT176" s="1009"/>
      <c r="TU176" s="1009"/>
      <c r="TV176" s="1009"/>
      <c r="TW176" s="1009"/>
      <c r="TX176" s="1009"/>
      <c r="TY176" s="1009"/>
      <c r="TZ176" s="1009"/>
      <c r="UA176" s="1009"/>
      <c r="UB176" s="1009"/>
      <c r="UC176" s="1009"/>
      <c r="UD176" s="1009"/>
      <c r="UE176" s="1009"/>
      <c r="UF176" s="1009"/>
      <c r="UG176" s="1009"/>
      <c r="UH176" s="1009"/>
      <c r="UI176" s="1009"/>
      <c r="UJ176" s="1009"/>
      <c r="UK176" s="1009"/>
      <c r="UL176" s="1009"/>
      <c r="UM176" s="1009"/>
      <c r="UN176" s="1009"/>
      <c r="UO176" s="1009"/>
      <c r="UP176" s="1009"/>
      <c r="UQ176" s="1009"/>
      <c r="UR176" s="1009"/>
      <c r="US176" s="1009"/>
      <c r="UT176" s="1009"/>
      <c r="UU176" s="1009"/>
      <c r="UV176" s="1009"/>
      <c r="UW176" s="1009"/>
      <c r="UX176" s="1009"/>
      <c r="UY176" s="1009"/>
      <c r="UZ176" s="1009"/>
      <c r="VA176" s="1009"/>
      <c r="VB176" s="1009"/>
      <c r="VC176" s="1009"/>
      <c r="VD176" s="1009"/>
      <c r="VE176" s="1009"/>
      <c r="VF176" s="1009"/>
      <c r="VG176" s="1009"/>
      <c r="VH176" s="1009"/>
      <c r="VI176" s="1009"/>
      <c r="VJ176" s="1009"/>
      <c r="VK176" s="1009"/>
      <c r="VL176" s="1009"/>
      <c r="VM176" s="1009"/>
      <c r="VN176" s="1009"/>
      <c r="VO176" s="1009"/>
      <c r="VP176" s="1009"/>
      <c r="VQ176" s="1009"/>
      <c r="VR176" s="1009"/>
      <c r="VS176" s="1009"/>
      <c r="VT176" s="1009"/>
      <c r="VU176" s="1009"/>
      <c r="VV176" s="1009"/>
      <c r="VW176" s="1009"/>
      <c r="VX176" s="1009"/>
      <c r="VY176" s="1009"/>
      <c r="VZ176" s="1009"/>
      <c r="WA176" s="1009"/>
      <c r="WB176" s="1009"/>
      <c r="WC176" s="1009"/>
      <c r="WD176" s="1009"/>
      <c r="WE176" s="1009"/>
      <c r="WF176" s="1009"/>
      <c r="WG176" s="1009"/>
      <c r="WH176" s="1009"/>
      <c r="WI176" s="1009"/>
      <c r="WJ176" s="1009"/>
      <c r="WK176" s="1009"/>
      <c r="WL176" s="1009"/>
      <c r="WM176" s="1009"/>
      <c r="WN176" s="1009"/>
      <c r="WO176" s="1009"/>
      <c r="WP176" s="1009"/>
      <c r="WQ176" s="1009"/>
      <c r="WR176" s="1009"/>
      <c r="WS176" s="1009"/>
      <c r="WT176" s="1009"/>
      <c r="WU176" s="1009"/>
      <c r="WV176" s="1009"/>
      <c r="WW176" s="1009"/>
      <c r="WX176" s="1009"/>
      <c r="WY176" s="1009"/>
      <c r="WZ176" s="1009"/>
      <c r="XA176" s="1009"/>
      <c r="XB176" s="1009"/>
      <c r="XC176" s="1009"/>
      <c r="XD176" s="1009"/>
      <c r="XE176" s="1009"/>
      <c r="XF176" s="1009"/>
      <c r="XG176" s="1009"/>
      <c r="XH176" s="1009"/>
      <c r="XI176" s="1009"/>
      <c r="XJ176" s="1009"/>
      <c r="XK176" s="1009"/>
      <c r="XL176" s="1009"/>
      <c r="XM176" s="1009"/>
      <c r="XN176" s="1009"/>
      <c r="XO176" s="1009"/>
      <c r="XP176" s="1009"/>
      <c r="XQ176" s="1009"/>
      <c r="XR176" s="1009"/>
      <c r="XS176" s="1009"/>
      <c r="XT176" s="1009"/>
      <c r="XU176" s="1009"/>
      <c r="XV176" s="1009"/>
      <c r="XW176" s="1009"/>
      <c r="XX176" s="1009"/>
      <c r="XY176" s="1009"/>
      <c r="XZ176" s="1009"/>
      <c r="YA176" s="1009"/>
      <c r="YB176" s="1009"/>
      <c r="YC176" s="1009"/>
      <c r="YD176" s="1009"/>
      <c r="YE176" s="1009"/>
      <c r="YF176" s="1009"/>
      <c r="YG176" s="1009"/>
      <c r="YH176" s="1009"/>
      <c r="YI176" s="1009"/>
      <c r="YJ176" s="1009"/>
      <c r="YK176" s="1009"/>
      <c r="YL176" s="1009"/>
      <c r="YM176" s="1009"/>
      <c r="YN176" s="1009"/>
      <c r="YO176" s="1009"/>
      <c r="YP176" s="1009"/>
      <c r="YQ176" s="1009"/>
      <c r="YR176" s="1009"/>
      <c r="YS176" s="1009"/>
      <c r="YT176" s="1009"/>
      <c r="YU176" s="1009"/>
      <c r="YV176" s="1009"/>
      <c r="YW176" s="1009"/>
      <c r="YX176" s="1009"/>
      <c r="YY176" s="1009"/>
      <c r="YZ176" s="1009"/>
      <c r="ZA176" s="1009"/>
      <c r="ZB176" s="1009"/>
      <c r="ZC176" s="1009"/>
      <c r="ZD176" s="1009"/>
      <c r="ZE176" s="1009"/>
      <c r="ZF176" s="1009"/>
      <c r="ZG176" s="1009"/>
      <c r="ZH176" s="1009"/>
      <c r="ZI176" s="1009"/>
      <c r="ZJ176" s="1009"/>
      <c r="ZK176" s="1009"/>
      <c r="ZL176" s="1009"/>
      <c r="ZM176" s="1009"/>
      <c r="ZN176" s="1009"/>
      <c r="ZO176" s="1009"/>
      <c r="ZP176" s="1009"/>
      <c r="ZQ176" s="1009"/>
      <c r="ZR176" s="1009"/>
      <c r="ZS176" s="1009"/>
      <c r="ZT176" s="1009"/>
      <c r="ZU176" s="1009"/>
      <c r="ZV176" s="1009"/>
      <c r="ZW176" s="1009"/>
      <c r="ZX176" s="1009"/>
      <c r="ZY176" s="1009"/>
      <c r="ZZ176" s="1009"/>
      <c r="AAA176" s="1009"/>
      <c r="AAB176" s="1009"/>
      <c r="AAC176" s="1009"/>
      <c r="AAD176" s="1009"/>
      <c r="AAE176" s="1009"/>
      <c r="AAF176" s="1009"/>
      <c r="AAG176" s="1009"/>
      <c r="AAH176" s="1009"/>
      <c r="AAI176" s="1009"/>
      <c r="AAJ176" s="1009"/>
      <c r="AAK176" s="1009"/>
      <c r="AAL176" s="1009"/>
      <c r="AAM176" s="1009"/>
      <c r="AAN176" s="1009"/>
      <c r="AAO176" s="1009"/>
      <c r="AAP176" s="1009"/>
      <c r="AAQ176" s="1009"/>
      <c r="AAR176" s="1009"/>
      <c r="AAS176" s="1009"/>
      <c r="AAT176" s="1009"/>
      <c r="AAU176" s="1009"/>
      <c r="AAV176" s="1009"/>
      <c r="AAW176" s="1009"/>
      <c r="AAX176" s="1009"/>
      <c r="AAY176" s="1009"/>
      <c r="AAZ176" s="1009"/>
      <c r="ABA176" s="1009"/>
      <c r="ABB176" s="1009"/>
      <c r="ABC176" s="1009"/>
      <c r="ABD176" s="1009"/>
      <c r="ABE176" s="1009"/>
      <c r="ABF176" s="1009"/>
      <c r="ABG176" s="1009"/>
      <c r="ABH176" s="1009"/>
      <c r="ABI176" s="1009"/>
      <c r="ABJ176" s="1009"/>
      <c r="ABK176" s="1009"/>
      <c r="ABL176" s="1009"/>
      <c r="ABM176" s="1009"/>
      <c r="ABN176" s="1009"/>
      <c r="ABO176" s="1009"/>
      <c r="ABP176" s="1009"/>
      <c r="ABQ176" s="1009"/>
      <c r="ABR176" s="1009"/>
    </row>
    <row r="177" spans="1:746" s="111" customFormat="1" ht="12" hidden="1" customHeight="1">
      <c r="A177" s="1252"/>
      <c r="B177" s="1244" t="s">
        <v>17</v>
      </c>
      <c r="C177" s="1245"/>
      <c r="D177" s="885"/>
      <c r="E177" s="1246"/>
      <c r="F177" s="551"/>
      <c r="G177" s="1247"/>
      <c r="H177" s="2544"/>
      <c r="I177" s="1966"/>
      <c r="J177" s="1966"/>
      <c r="K177" s="1966"/>
      <c r="L177" s="1966"/>
      <c r="M177" s="1966"/>
      <c r="N177" s="1966"/>
      <c r="O177" s="1966"/>
      <c r="P177" s="1966"/>
      <c r="Q177" s="1966"/>
      <c r="R177" s="1966"/>
      <c r="S177" s="1966"/>
      <c r="T177" s="373"/>
      <c r="U177" s="373"/>
      <c r="V177" s="373"/>
      <c r="W177" s="373"/>
      <c r="X177" s="373"/>
      <c r="Y177" s="373"/>
      <c r="Z177" s="373"/>
      <c r="AA177" s="373"/>
      <c r="AB177" s="373"/>
      <c r="AC177" s="373"/>
      <c r="AD177" s="373"/>
      <c r="AE177" s="373"/>
      <c r="AF177" s="373"/>
      <c r="AG177" s="1042"/>
      <c r="AH177" s="336"/>
      <c r="AI177" s="336"/>
      <c r="AJ177" s="901">
        <f>IF(fx!$C$57=1,SUMIF(fx!I$57:T$57,1,I177:T177),IF(fx!$C$57=2,SUMIF(fx!O$57:AF$57,1,O177:AF177)))</f>
        <v>0</v>
      </c>
      <c r="AK177" s="328"/>
      <c r="AL177" s="902">
        <f>IF(fx!$C$57=1,SUM(U177:AF177),0)</f>
        <v>0</v>
      </c>
      <c r="AM177" s="1028"/>
      <c r="AN177" s="1029"/>
      <c r="AO177" s="1945"/>
      <c r="AP177" s="1935"/>
      <c r="AQ177" s="1936"/>
      <c r="AR177" s="2710"/>
      <c r="AS177" s="2710"/>
      <c r="AT177" s="2710"/>
      <c r="AU177" s="2710"/>
      <c r="AV177" s="2710"/>
      <c r="AW177" s="2710"/>
      <c r="AX177" s="2710"/>
      <c r="AY177" s="2710"/>
      <c r="AZ177" s="2710"/>
      <c r="BA177" s="2710"/>
      <c r="BB177" s="2710"/>
      <c r="BC177" s="2710"/>
      <c r="BD177" s="2710"/>
      <c r="BE177" s="2710"/>
      <c r="BF177" s="2710"/>
      <c r="BG177" s="2710"/>
      <c r="BH177" s="2710"/>
      <c r="BI177" s="2710"/>
      <c r="BJ177" s="2710"/>
      <c r="BK177" s="2710"/>
      <c r="BL177" s="2710"/>
      <c r="BM177" s="2710"/>
      <c r="BN177" s="2710"/>
      <c r="BO177" s="2710"/>
      <c r="BP177" s="1009"/>
      <c r="BQ177" s="1009"/>
      <c r="BR177" s="1009"/>
      <c r="BS177" s="1009"/>
      <c r="BT177" s="1009"/>
      <c r="BU177" s="1009"/>
      <c r="BV177" s="1009"/>
      <c r="BW177" s="1009"/>
      <c r="BX177" s="1009"/>
      <c r="BY177" s="1009"/>
      <c r="BZ177" s="1009"/>
      <c r="CA177" s="1009"/>
      <c r="CB177" s="1009"/>
      <c r="CC177" s="1009"/>
      <c r="CD177" s="1009"/>
      <c r="CE177" s="1009"/>
      <c r="CF177" s="1009"/>
      <c r="CG177" s="1009"/>
      <c r="CH177" s="1009"/>
      <c r="CI177" s="1009"/>
      <c r="CJ177" s="1009"/>
      <c r="CK177" s="1009"/>
      <c r="CL177" s="1009"/>
      <c r="CM177" s="1009"/>
      <c r="CN177" s="1009"/>
      <c r="CO177" s="1009"/>
      <c r="CP177" s="1009"/>
      <c r="CQ177" s="1009"/>
      <c r="CR177" s="1009"/>
      <c r="CS177" s="1009"/>
      <c r="CT177" s="1009"/>
      <c r="CU177" s="1009"/>
      <c r="CV177" s="1009"/>
      <c r="CW177" s="1009"/>
      <c r="CX177" s="1009"/>
      <c r="CY177" s="1009"/>
      <c r="CZ177" s="1009"/>
      <c r="DA177" s="1009"/>
      <c r="DB177" s="1009"/>
      <c r="DC177" s="1009"/>
      <c r="DD177" s="1009"/>
      <c r="DE177" s="1009"/>
      <c r="DF177" s="1009"/>
      <c r="DG177" s="1009"/>
      <c r="DH177" s="1009"/>
      <c r="DI177" s="1009"/>
      <c r="DJ177" s="1009"/>
      <c r="DK177" s="1009"/>
      <c r="DL177" s="1009"/>
      <c r="DM177" s="1009"/>
      <c r="DN177" s="1009"/>
      <c r="DO177" s="1009"/>
      <c r="DP177" s="1009"/>
      <c r="DQ177" s="1009"/>
      <c r="DR177" s="1009"/>
      <c r="DS177" s="1009"/>
      <c r="DT177" s="1009"/>
      <c r="DU177" s="1009"/>
      <c r="DV177" s="1009"/>
      <c r="DW177" s="1009"/>
      <c r="DX177" s="1009"/>
      <c r="DY177" s="1009"/>
      <c r="DZ177" s="1009"/>
      <c r="EA177" s="1009"/>
      <c r="EB177" s="1009"/>
      <c r="EC177" s="1009"/>
      <c r="ED177" s="1009"/>
      <c r="EE177" s="1009"/>
      <c r="EF177" s="1009"/>
      <c r="EG177" s="1009"/>
      <c r="EH177" s="1009"/>
      <c r="EI177" s="1009"/>
      <c r="EJ177" s="1009"/>
      <c r="EK177" s="1009"/>
      <c r="EL177" s="1009"/>
      <c r="EM177" s="1009"/>
      <c r="EN177" s="1009"/>
      <c r="EO177" s="1009"/>
      <c r="EP177" s="1009"/>
      <c r="EQ177" s="1009"/>
      <c r="ER177" s="1009"/>
      <c r="ES177" s="1009"/>
      <c r="ET177" s="1009"/>
      <c r="EU177" s="1009"/>
      <c r="EV177" s="1009"/>
      <c r="EW177" s="1009"/>
      <c r="EX177" s="1009"/>
      <c r="EY177" s="1009"/>
      <c r="EZ177" s="1009"/>
      <c r="FA177" s="1009"/>
      <c r="FB177" s="1009"/>
      <c r="FC177" s="1009"/>
      <c r="FD177" s="1009"/>
      <c r="FE177" s="1009"/>
      <c r="FF177" s="1009"/>
      <c r="FG177" s="1009"/>
      <c r="FH177" s="1009"/>
      <c r="FI177" s="1009"/>
      <c r="FJ177" s="1009"/>
      <c r="FK177" s="1009"/>
      <c r="FL177" s="1009"/>
      <c r="FM177" s="1009"/>
      <c r="FN177" s="1009"/>
      <c r="FO177" s="1009"/>
      <c r="FP177" s="1009"/>
      <c r="FQ177" s="1009"/>
      <c r="FR177" s="1009"/>
      <c r="FS177" s="1009"/>
      <c r="FT177" s="1009"/>
      <c r="FU177" s="1009"/>
      <c r="FV177" s="1009"/>
      <c r="FW177" s="1009"/>
      <c r="FX177" s="1009"/>
      <c r="FY177" s="1009"/>
      <c r="FZ177" s="1009"/>
      <c r="GA177" s="1009"/>
      <c r="GB177" s="1009"/>
      <c r="GC177" s="1009"/>
      <c r="GD177" s="1009"/>
      <c r="GE177" s="1009"/>
      <c r="GF177" s="1009"/>
      <c r="GG177" s="1009"/>
      <c r="GH177" s="1009"/>
      <c r="GI177" s="1009"/>
      <c r="GJ177" s="1009"/>
      <c r="GK177" s="1009"/>
      <c r="GL177" s="1009"/>
      <c r="GM177" s="1009"/>
      <c r="GN177" s="1009"/>
      <c r="GO177" s="1009"/>
      <c r="GP177" s="1009"/>
      <c r="GQ177" s="1009"/>
      <c r="GR177" s="1009"/>
      <c r="GS177" s="1009"/>
      <c r="GT177" s="1009"/>
      <c r="GU177" s="1009"/>
      <c r="GV177" s="1009"/>
      <c r="GW177" s="1009"/>
      <c r="GX177" s="1009"/>
      <c r="GY177" s="1009"/>
      <c r="GZ177" s="1009"/>
      <c r="HA177" s="1009"/>
      <c r="HB177" s="1009"/>
      <c r="HC177" s="1009"/>
      <c r="HD177" s="1009"/>
      <c r="HE177" s="1009"/>
      <c r="HF177" s="1009"/>
      <c r="HG177" s="1009"/>
      <c r="HH177" s="1009"/>
      <c r="HI177" s="1009"/>
      <c r="HJ177" s="1009"/>
      <c r="HK177" s="1009"/>
      <c r="HL177" s="1009"/>
      <c r="HM177" s="1009"/>
      <c r="HN177" s="1009"/>
      <c r="HO177" s="1009"/>
      <c r="HP177" s="1009"/>
      <c r="HQ177" s="1009"/>
      <c r="HR177" s="1009"/>
      <c r="HS177" s="1009"/>
      <c r="HT177" s="1009"/>
      <c r="HU177" s="1009"/>
      <c r="HV177" s="1009"/>
      <c r="HW177" s="1009"/>
      <c r="HX177" s="1009"/>
      <c r="HY177" s="1009"/>
      <c r="HZ177" s="1009"/>
      <c r="IA177" s="1009"/>
      <c r="IB177" s="1009"/>
      <c r="IC177" s="1009"/>
      <c r="ID177" s="1009"/>
      <c r="IE177" s="1009"/>
      <c r="IF177" s="1009"/>
      <c r="IG177" s="1009"/>
      <c r="IH177" s="1009"/>
      <c r="II177" s="1009"/>
      <c r="IJ177" s="1009"/>
      <c r="IK177" s="1009"/>
      <c r="IL177" s="1009"/>
      <c r="IM177" s="1009"/>
      <c r="IN177" s="1009"/>
      <c r="IO177" s="1009"/>
      <c r="IP177" s="1009"/>
      <c r="IQ177" s="1009"/>
      <c r="IR177" s="1009"/>
      <c r="IS177" s="1009"/>
      <c r="IT177" s="1009"/>
      <c r="IU177" s="1009"/>
      <c r="IV177" s="1009"/>
      <c r="IW177" s="1009"/>
      <c r="IX177" s="1009"/>
      <c r="IY177" s="1009"/>
      <c r="IZ177" s="1009"/>
      <c r="JA177" s="1009"/>
      <c r="JB177" s="1009"/>
      <c r="JC177" s="1009"/>
      <c r="JD177" s="1009"/>
      <c r="JE177" s="1009"/>
      <c r="JF177" s="1009"/>
      <c r="JG177" s="1009"/>
      <c r="JH177" s="1009"/>
      <c r="JI177" s="1009"/>
      <c r="JJ177" s="1009"/>
      <c r="JK177" s="1009"/>
      <c r="JL177" s="1009"/>
      <c r="JM177" s="1009"/>
      <c r="JN177" s="1009"/>
      <c r="JO177" s="1009"/>
      <c r="JP177" s="1009"/>
      <c r="JQ177" s="1009"/>
      <c r="JR177" s="1009"/>
      <c r="JS177" s="1009"/>
      <c r="JT177" s="1009"/>
      <c r="JU177" s="1009"/>
      <c r="JV177" s="1009"/>
      <c r="JW177" s="1009"/>
      <c r="JX177" s="1009"/>
      <c r="JY177" s="1009"/>
      <c r="JZ177" s="1009"/>
      <c r="KA177" s="1009"/>
      <c r="KB177" s="1009"/>
      <c r="KC177" s="1009"/>
      <c r="KD177" s="1009"/>
      <c r="KE177" s="1009"/>
      <c r="KF177" s="1009"/>
      <c r="KG177" s="1009"/>
      <c r="KH177" s="1009"/>
      <c r="KI177" s="1009"/>
      <c r="KJ177" s="1009"/>
      <c r="KK177" s="1009"/>
      <c r="KL177" s="1009"/>
      <c r="KM177" s="1009"/>
      <c r="KN177" s="1009"/>
      <c r="KO177" s="1009"/>
      <c r="KP177" s="1009"/>
      <c r="KQ177" s="1009"/>
      <c r="KR177" s="1009"/>
      <c r="KS177" s="1009"/>
      <c r="KT177" s="1009"/>
      <c r="KU177" s="1009"/>
      <c r="KV177" s="1009"/>
      <c r="KW177" s="1009"/>
      <c r="KX177" s="1009"/>
      <c r="KY177" s="1009"/>
      <c r="KZ177" s="1009"/>
      <c r="LA177" s="1009"/>
      <c r="LB177" s="1009"/>
      <c r="LC177" s="1009"/>
      <c r="LD177" s="1009"/>
      <c r="LE177" s="1009"/>
      <c r="LF177" s="1009"/>
      <c r="LG177" s="1009"/>
      <c r="LH177" s="1009"/>
      <c r="LI177" s="1009"/>
      <c r="LJ177" s="1009"/>
      <c r="LK177" s="1009"/>
      <c r="LL177" s="1009"/>
      <c r="LM177" s="1009"/>
      <c r="LN177" s="1009"/>
      <c r="LO177" s="1009"/>
      <c r="LP177" s="1009"/>
      <c r="LQ177" s="1009"/>
      <c r="LR177" s="1009"/>
      <c r="LS177" s="1009"/>
      <c r="LT177" s="1009"/>
      <c r="LU177" s="1009"/>
      <c r="LV177" s="1009"/>
      <c r="LW177" s="1009"/>
      <c r="LX177" s="1009"/>
      <c r="LY177" s="1009"/>
      <c r="LZ177" s="1009"/>
      <c r="MA177" s="1009"/>
      <c r="MB177" s="1009"/>
      <c r="MC177" s="1009"/>
      <c r="MD177" s="1009"/>
      <c r="ME177" s="1009"/>
      <c r="MF177" s="1009"/>
      <c r="MG177" s="1009"/>
      <c r="MH177" s="1009"/>
      <c r="MI177" s="1009"/>
      <c r="MJ177" s="1009"/>
      <c r="MK177" s="1009"/>
      <c r="ML177" s="1009"/>
      <c r="MM177" s="1009"/>
      <c r="MN177" s="1009"/>
      <c r="MO177" s="1009"/>
      <c r="MP177" s="1009"/>
      <c r="MQ177" s="1009"/>
      <c r="MR177" s="1009"/>
      <c r="MS177" s="1009"/>
      <c r="MT177" s="1009"/>
      <c r="MU177" s="1009"/>
      <c r="MV177" s="1009"/>
      <c r="MW177" s="1009"/>
      <c r="MX177" s="1009"/>
      <c r="MY177" s="1009"/>
      <c r="MZ177" s="1009"/>
      <c r="NA177" s="1009"/>
      <c r="NB177" s="1009"/>
      <c r="NC177" s="1009"/>
      <c r="ND177" s="1009"/>
      <c r="NE177" s="1009"/>
      <c r="NF177" s="1009"/>
      <c r="NG177" s="1009"/>
      <c r="NH177" s="1009"/>
      <c r="NI177" s="1009"/>
      <c r="NJ177" s="1009"/>
      <c r="NK177" s="1009"/>
      <c r="NL177" s="1009"/>
      <c r="NM177" s="1009"/>
      <c r="NN177" s="1009"/>
      <c r="NO177" s="1009"/>
      <c r="NP177" s="1009"/>
      <c r="NQ177" s="1009"/>
      <c r="NR177" s="1009"/>
      <c r="NS177" s="1009"/>
      <c r="NT177" s="1009"/>
      <c r="NU177" s="1009"/>
      <c r="NV177" s="1009"/>
      <c r="NW177" s="1009"/>
      <c r="NX177" s="1009"/>
      <c r="NY177" s="1009"/>
      <c r="NZ177" s="1009"/>
      <c r="OA177" s="1009"/>
      <c r="OB177" s="1009"/>
      <c r="OC177" s="1009"/>
      <c r="OD177" s="1009"/>
      <c r="OE177" s="1009"/>
      <c r="OF177" s="1009"/>
      <c r="OG177" s="1009"/>
      <c r="OH177" s="1009"/>
      <c r="OI177" s="1009"/>
      <c r="OJ177" s="1009"/>
      <c r="OK177" s="1009"/>
      <c r="OL177" s="1009"/>
      <c r="OM177" s="1009"/>
      <c r="ON177" s="1009"/>
      <c r="OO177" s="1009"/>
      <c r="OP177" s="1009"/>
      <c r="OQ177" s="1009"/>
      <c r="OR177" s="1009"/>
      <c r="OS177" s="1009"/>
      <c r="OT177" s="1009"/>
      <c r="OU177" s="1009"/>
      <c r="OV177" s="1009"/>
      <c r="OW177" s="1009"/>
      <c r="OX177" s="1009"/>
      <c r="OY177" s="1009"/>
      <c r="OZ177" s="1009"/>
      <c r="PA177" s="1009"/>
      <c r="PB177" s="1009"/>
      <c r="PC177" s="1009"/>
      <c r="PD177" s="1009"/>
      <c r="PE177" s="1009"/>
      <c r="PF177" s="1009"/>
      <c r="PG177" s="1009"/>
      <c r="PH177" s="1009"/>
      <c r="PI177" s="1009"/>
      <c r="PJ177" s="1009"/>
      <c r="PK177" s="1009"/>
      <c r="PL177" s="1009"/>
      <c r="PM177" s="1009"/>
      <c r="PN177" s="1009"/>
      <c r="PO177" s="1009"/>
      <c r="PP177" s="1009"/>
      <c r="PQ177" s="1009"/>
      <c r="PR177" s="1009"/>
      <c r="PS177" s="1009"/>
      <c r="PT177" s="1009"/>
      <c r="PU177" s="1009"/>
      <c r="PV177" s="1009"/>
      <c r="PW177" s="1009"/>
      <c r="PX177" s="1009"/>
      <c r="PY177" s="1009"/>
      <c r="PZ177" s="1009"/>
      <c r="QA177" s="1009"/>
      <c r="QB177" s="1009"/>
      <c r="QC177" s="1009"/>
      <c r="QD177" s="1009"/>
      <c r="QE177" s="1009"/>
      <c r="QF177" s="1009"/>
      <c r="QG177" s="1009"/>
      <c r="QH177" s="1009"/>
      <c r="QI177" s="1009"/>
      <c r="QJ177" s="1009"/>
      <c r="QK177" s="1009"/>
      <c r="QL177" s="1009"/>
      <c r="QM177" s="1009"/>
      <c r="QN177" s="1009"/>
      <c r="QO177" s="1009"/>
      <c r="QP177" s="1009"/>
      <c r="QQ177" s="1009"/>
      <c r="QR177" s="1009"/>
      <c r="QS177" s="1009"/>
      <c r="QT177" s="1009"/>
      <c r="QU177" s="1009"/>
      <c r="QV177" s="1009"/>
      <c r="QW177" s="1009"/>
      <c r="QX177" s="1009"/>
      <c r="QY177" s="1009"/>
      <c r="QZ177" s="1009"/>
      <c r="RA177" s="1009"/>
      <c r="RB177" s="1009"/>
      <c r="RC177" s="1009"/>
      <c r="RD177" s="1009"/>
      <c r="RE177" s="1009"/>
      <c r="RF177" s="1009"/>
      <c r="RG177" s="1009"/>
      <c r="RH177" s="1009"/>
      <c r="RI177" s="1009"/>
      <c r="RJ177" s="1009"/>
      <c r="RK177" s="1009"/>
      <c r="RL177" s="1009"/>
      <c r="RM177" s="1009"/>
      <c r="RN177" s="1009"/>
      <c r="RO177" s="1009"/>
      <c r="RP177" s="1009"/>
      <c r="RQ177" s="1009"/>
      <c r="RR177" s="1009"/>
      <c r="RS177" s="1009"/>
      <c r="RT177" s="1009"/>
      <c r="RU177" s="1009"/>
      <c r="RV177" s="1009"/>
      <c r="RW177" s="1009"/>
      <c r="RX177" s="1009"/>
      <c r="RY177" s="1009"/>
      <c r="RZ177" s="1009"/>
      <c r="SA177" s="1009"/>
      <c r="SB177" s="1009"/>
      <c r="SC177" s="1009"/>
      <c r="SD177" s="1009"/>
      <c r="SE177" s="1009"/>
      <c r="SF177" s="1009"/>
      <c r="SG177" s="1009"/>
      <c r="SH177" s="1009"/>
      <c r="SI177" s="1009"/>
      <c r="SJ177" s="1009"/>
      <c r="SK177" s="1009"/>
      <c r="SL177" s="1009"/>
      <c r="SM177" s="1009"/>
      <c r="SN177" s="1009"/>
      <c r="SO177" s="1009"/>
      <c r="SP177" s="1009"/>
      <c r="SQ177" s="1009"/>
      <c r="SR177" s="1009"/>
      <c r="SS177" s="1009"/>
      <c r="ST177" s="1009"/>
      <c r="SU177" s="1009"/>
      <c r="SV177" s="1009"/>
      <c r="SW177" s="1009"/>
      <c r="SX177" s="1009"/>
      <c r="SY177" s="1009"/>
      <c r="SZ177" s="1009"/>
      <c r="TA177" s="1009"/>
      <c r="TB177" s="1009"/>
      <c r="TC177" s="1009"/>
      <c r="TD177" s="1009"/>
      <c r="TE177" s="1009"/>
      <c r="TF177" s="1009"/>
      <c r="TG177" s="1009"/>
      <c r="TH177" s="1009"/>
      <c r="TI177" s="1009"/>
      <c r="TJ177" s="1009"/>
      <c r="TK177" s="1009"/>
      <c r="TL177" s="1009"/>
      <c r="TM177" s="1009"/>
      <c r="TN177" s="1009"/>
      <c r="TO177" s="1009"/>
      <c r="TP177" s="1009"/>
      <c r="TQ177" s="1009"/>
      <c r="TR177" s="1009"/>
      <c r="TS177" s="1009"/>
      <c r="TT177" s="1009"/>
      <c r="TU177" s="1009"/>
      <c r="TV177" s="1009"/>
      <c r="TW177" s="1009"/>
      <c r="TX177" s="1009"/>
      <c r="TY177" s="1009"/>
      <c r="TZ177" s="1009"/>
      <c r="UA177" s="1009"/>
      <c r="UB177" s="1009"/>
      <c r="UC177" s="1009"/>
      <c r="UD177" s="1009"/>
      <c r="UE177" s="1009"/>
      <c r="UF177" s="1009"/>
      <c r="UG177" s="1009"/>
      <c r="UH177" s="1009"/>
      <c r="UI177" s="1009"/>
      <c r="UJ177" s="1009"/>
      <c r="UK177" s="1009"/>
      <c r="UL177" s="1009"/>
      <c r="UM177" s="1009"/>
      <c r="UN177" s="1009"/>
      <c r="UO177" s="1009"/>
      <c r="UP177" s="1009"/>
      <c r="UQ177" s="1009"/>
      <c r="UR177" s="1009"/>
      <c r="US177" s="1009"/>
      <c r="UT177" s="1009"/>
      <c r="UU177" s="1009"/>
      <c r="UV177" s="1009"/>
      <c r="UW177" s="1009"/>
      <c r="UX177" s="1009"/>
      <c r="UY177" s="1009"/>
      <c r="UZ177" s="1009"/>
      <c r="VA177" s="1009"/>
      <c r="VB177" s="1009"/>
      <c r="VC177" s="1009"/>
      <c r="VD177" s="1009"/>
      <c r="VE177" s="1009"/>
      <c r="VF177" s="1009"/>
      <c r="VG177" s="1009"/>
      <c r="VH177" s="1009"/>
      <c r="VI177" s="1009"/>
      <c r="VJ177" s="1009"/>
      <c r="VK177" s="1009"/>
      <c r="VL177" s="1009"/>
      <c r="VM177" s="1009"/>
      <c r="VN177" s="1009"/>
      <c r="VO177" s="1009"/>
      <c r="VP177" s="1009"/>
      <c r="VQ177" s="1009"/>
      <c r="VR177" s="1009"/>
      <c r="VS177" s="1009"/>
      <c r="VT177" s="1009"/>
      <c r="VU177" s="1009"/>
      <c r="VV177" s="1009"/>
      <c r="VW177" s="1009"/>
      <c r="VX177" s="1009"/>
      <c r="VY177" s="1009"/>
      <c r="VZ177" s="1009"/>
      <c r="WA177" s="1009"/>
      <c r="WB177" s="1009"/>
      <c r="WC177" s="1009"/>
      <c r="WD177" s="1009"/>
      <c r="WE177" s="1009"/>
      <c r="WF177" s="1009"/>
      <c r="WG177" s="1009"/>
      <c r="WH177" s="1009"/>
      <c r="WI177" s="1009"/>
      <c r="WJ177" s="1009"/>
      <c r="WK177" s="1009"/>
      <c r="WL177" s="1009"/>
      <c r="WM177" s="1009"/>
      <c r="WN177" s="1009"/>
      <c r="WO177" s="1009"/>
      <c r="WP177" s="1009"/>
      <c r="WQ177" s="1009"/>
      <c r="WR177" s="1009"/>
      <c r="WS177" s="1009"/>
      <c r="WT177" s="1009"/>
      <c r="WU177" s="1009"/>
      <c r="WV177" s="1009"/>
      <c r="WW177" s="1009"/>
      <c r="WX177" s="1009"/>
      <c r="WY177" s="1009"/>
      <c r="WZ177" s="1009"/>
      <c r="XA177" s="1009"/>
      <c r="XB177" s="1009"/>
      <c r="XC177" s="1009"/>
      <c r="XD177" s="1009"/>
      <c r="XE177" s="1009"/>
      <c r="XF177" s="1009"/>
      <c r="XG177" s="1009"/>
      <c r="XH177" s="1009"/>
      <c r="XI177" s="1009"/>
      <c r="XJ177" s="1009"/>
      <c r="XK177" s="1009"/>
      <c r="XL177" s="1009"/>
      <c r="XM177" s="1009"/>
      <c r="XN177" s="1009"/>
      <c r="XO177" s="1009"/>
      <c r="XP177" s="1009"/>
      <c r="XQ177" s="1009"/>
      <c r="XR177" s="1009"/>
      <c r="XS177" s="1009"/>
      <c r="XT177" s="1009"/>
      <c r="XU177" s="1009"/>
      <c r="XV177" s="1009"/>
      <c r="XW177" s="1009"/>
      <c r="XX177" s="1009"/>
      <c r="XY177" s="1009"/>
      <c r="XZ177" s="1009"/>
      <c r="YA177" s="1009"/>
      <c r="YB177" s="1009"/>
      <c r="YC177" s="1009"/>
      <c r="YD177" s="1009"/>
      <c r="YE177" s="1009"/>
      <c r="YF177" s="1009"/>
      <c r="YG177" s="1009"/>
      <c r="YH177" s="1009"/>
      <c r="YI177" s="1009"/>
      <c r="YJ177" s="1009"/>
      <c r="YK177" s="1009"/>
      <c r="YL177" s="1009"/>
      <c r="YM177" s="1009"/>
      <c r="YN177" s="1009"/>
      <c r="YO177" s="1009"/>
      <c r="YP177" s="1009"/>
      <c r="YQ177" s="1009"/>
      <c r="YR177" s="1009"/>
      <c r="YS177" s="1009"/>
      <c r="YT177" s="1009"/>
      <c r="YU177" s="1009"/>
      <c r="YV177" s="1009"/>
      <c r="YW177" s="1009"/>
      <c r="YX177" s="1009"/>
      <c r="YY177" s="1009"/>
      <c r="YZ177" s="1009"/>
      <c r="ZA177" s="1009"/>
      <c r="ZB177" s="1009"/>
      <c r="ZC177" s="1009"/>
      <c r="ZD177" s="1009"/>
      <c r="ZE177" s="1009"/>
      <c r="ZF177" s="1009"/>
      <c r="ZG177" s="1009"/>
      <c r="ZH177" s="1009"/>
      <c r="ZI177" s="1009"/>
      <c r="ZJ177" s="1009"/>
      <c r="ZK177" s="1009"/>
      <c r="ZL177" s="1009"/>
      <c r="ZM177" s="1009"/>
      <c r="ZN177" s="1009"/>
      <c r="ZO177" s="1009"/>
      <c r="ZP177" s="1009"/>
      <c r="ZQ177" s="1009"/>
      <c r="ZR177" s="1009"/>
      <c r="ZS177" s="1009"/>
      <c r="ZT177" s="1009"/>
      <c r="ZU177" s="1009"/>
      <c r="ZV177" s="1009"/>
      <c r="ZW177" s="1009"/>
      <c r="ZX177" s="1009"/>
      <c r="ZY177" s="1009"/>
      <c r="ZZ177" s="1009"/>
      <c r="AAA177" s="1009"/>
      <c r="AAB177" s="1009"/>
      <c r="AAC177" s="1009"/>
      <c r="AAD177" s="1009"/>
      <c r="AAE177" s="1009"/>
      <c r="AAF177" s="1009"/>
      <c r="AAG177" s="1009"/>
      <c r="AAH177" s="1009"/>
      <c r="AAI177" s="1009"/>
      <c r="AAJ177" s="1009"/>
      <c r="AAK177" s="1009"/>
      <c r="AAL177" s="1009"/>
      <c r="AAM177" s="1009"/>
      <c r="AAN177" s="1009"/>
      <c r="AAO177" s="1009"/>
      <c r="AAP177" s="1009"/>
      <c r="AAQ177" s="1009"/>
      <c r="AAR177" s="1009"/>
      <c r="AAS177" s="1009"/>
      <c r="AAT177" s="1009"/>
      <c r="AAU177" s="1009"/>
      <c r="AAV177" s="1009"/>
      <c r="AAW177" s="1009"/>
      <c r="AAX177" s="1009"/>
      <c r="AAY177" s="1009"/>
      <c r="AAZ177" s="1009"/>
      <c r="ABA177" s="1009"/>
      <c r="ABB177" s="1009"/>
      <c r="ABC177" s="1009"/>
      <c r="ABD177" s="1009"/>
      <c r="ABE177" s="1009"/>
      <c r="ABF177" s="1009"/>
      <c r="ABG177" s="1009"/>
      <c r="ABH177" s="1009"/>
      <c r="ABI177" s="1009"/>
      <c r="ABJ177" s="1009"/>
      <c r="ABK177" s="1009"/>
      <c r="ABL177" s="1009"/>
      <c r="ABM177" s="1009"/>
      <c r="ABN177" s="1009"/>
      <c r="ABO177" s="1009"/>
      <c r="ABP177" s="1009"/>
      <c r="ABQ177" s="1009"/>
      <c r="ABR177" s="1009"/>
    </row>
    <row r="178" spans="1:746" s="111" customFormat="1" ht="12" hidden="1" customHeight="1">
      <c r="A178" s="1252"/>
      <c r="B178" s="2711" t="s">
        <v>827</v>
      </c>
      <c r="C178" s="2712"/>
      <c r="D178" s="2712"/>
      <c r="E178" s="2712"/>
      <c r="F178" s="2712"/>
      <c r="G178" s="2712"/>
      <c r="H178" s="2713"/>
      <c r="I178" s="1771">
        <f>SUMIF(fx!$I$57:I57,1,$I$176:I176)-SUMIF(fx!$I$57:I57,1,$I$177:I177)</f>
        <v>0</v>
      </c>
      <c r="J178" s="1771">
        <f>SUMIF(fx!$I$57:J57,1,$I$176:J176)-SUMIF(fx!$I$57:J57,1,$I$177:J177)</f>
        <v>0</v>
      </c>
      <c r="K178" s="1771">
        <f>SUMIF(fx!$I$57:K57,1,$I$176:K176)-SUMIF(fx!$I$57:K57,1,$I$177:K177)</f>
        <v>0</v>
      </c>
      <c r="L178" s="1771">
        <f>SUMIF(fx!$I$57:L57,1,$I$176:L176)-SUMIF(fx!$I$57:L57,1,$I$177:L177)</f>
        <v>0</v>
      </c>
      <c r="M178" s="1771">
        <f>SUMIF(fx!$I$57:M57,1,$I$176:M176)-SUMIF(fx!$I$57:M57,1,$I$177:M177)</f>
        <v>0</v>
      </c>
      <c r="N178" s="1771">
        <f>SUMIF(fx!$I$57:N57,1,$I$176:N176)-SUMIF(fx!$I$57:N57,1,$I$177:N177)</f>
        <v>0</v>
      </c>
      <c r="O178" s="1771">
        <f>SUMIF(fx!$I$57:O57,1,$I$176:O176)-SUMIF(fx!$I$57:O57,1,$I$177:O177)</f>
        <v>0</v>
      </c>
      <c r="P178" s="1771">
        <f>SUMIF(fx!$I$57:P57,1,$I$176:P176)-SUMIF(fx!$I$57:P57,1,$I$177:P177)</f>
        <v>0</v>
      </c>
      <c r="Q178" s="1771">
        <f>SUMIF(fx!$I$57:Q57,1,$I$176:Q176)-SUMIF(fx!$I$57:Q57,1,$I$177:Q177)</f>
        <v>0</v>
      </c>
      <c r="R178" s="1771">
        <f>SUMIF(fx!$I$57:R57,1,$I$176:R176)-SUMIF(fx!$I$57:R57,1,$I$177:R177)</f>
        <v>0</v>
      </c>
      <c r="S178" s="1771">
        <f>SUMIF(fx!$I$57:S57,1,$I$176:S176)-SUMIF(fx!$I$57:S57,1,$I$177:S177)</f>
        <v>0</v>
      </c>
      <c r="T178" s="1771">
        <f>SUMIF(fx!$I$57:T57,1,$I$176:T176)-SUMIF(fx!$I$57:T57,1,$I$177:T177)</f>
        <v>0</v>
      </c>
      <c r="U178" s="1771">
        <f>SUMIF(fx!$I$57:U57,1,$I$176:U176)-SUMIF(fx!$I$57:U57,1,$I$177:U177)</f>
        <v>0</v>
      </c>
      <c r="V178" s="1771">
        <f>SUMIF(fx!$I$57:V57,1,$I$176:V176)-SUMIF(fx!$I$57:V57,1,$I$177:V177)</f>
        <v>0</v>
      </c>
      <c r="W178" s="1771">
        <f>SUMIF(fx!$I$57:W57,1,$I$176:W176)-SUMIF(fx!$I$57:W57,1,$I$177:W177)</f>
        <v>0</v>
      </c>
      <c r="X178" s="1771">
        <f>SUMIF(fx!$I$57:X57,1,$I$176:X176)-SUMIF(fx!$I$57:X57,1,$I$177:X177)</f>
        <v>0</v>
      </c>
      <c r="Y178" s="1771">
        <f>SUMIF(fx!$I$57:Y57,1,$I$176:Y176)-SUMIF(fx!$I$57:Y57,1,$I$177:Y177)</f>
        <v>0</v>
      </c>
      <c r="Z178" s="1771">
        <f>SUMIF(fx!$I$57:Z57,1,$I$176:Z176)-SUMIF(fx!$I$57:Z57,1,$I$177:Z177)</f>
        <v>0</v>
      </c>
      <c r="AA178" s="1771">
        <f>SUMIF(fx!$I$57:AA57,1,$I$176:AA176)-SUMIF(fx!$I$57:AA57,1,$I$177:AA177)</f>
        <v>0</v>
      </c>
      <c r="AB178" s="1771">
        <f>SUMIF(fx!$I$57:AB57,1,$I$176:AB176)-SUMIF(fx!$I$57:AB57,1,$I$177:AB177)</f>
        <v>0</v>
      </c>
      <c r="AC178" s="1771">
        <f>SUMIF(fx!$I$57:AC57,1,$I$176:AC176)-SUMIF(fx!$I$57:AC57,1,$I$177:AC177)</f>
        <v>0</v>
      </c>
      <c r="AD178" s="1771">
        <f>SUMIF(fx!$I$57:AD57,1,$I$176:AD176)-SUMIF(fx!$I$57:AD57,1,$I$177:AD177)</f>
        <v>0</v>
      </c>
      <c r="AE178" s="1771">
        <f>SUMIF(fx!$I$57:AE57,1,$I$176:AE176)-SUMIF(fx!$I$57:AE57,1,$I$177:AE177)</f>
        <v>0</v>
      </c>
      <c r="AF178" s="1771">
        <f>SUMIF(fx!$I$57:AF57,1,$I$176:AF176)-SUMIF(fx!$I$57:AF57,1,$I$177:AF177)</f>
        <v>0</v>
      </c>
      <c r="AG178" s="376"/>
      <c r="AH178" s="336"/>
      <c r="AI178" s="336"/>
      <c r="AJ178" s="901">
        <f>IF(fx!$C$57=1,T178,IF(fx!$C$57=2,AF178))</f>
        <v>0</v>
      </c>
      <c r="AK178" s="328"/>
      <c r="AL178" s="902">
        <f>IF(fx!$C$57=1,AF178,0)</f>
        <v>0</v>
      </c>
      <c r="AM178" s="1028"/>
      <c r="AN178" s="1029"/>
      <c r="AO178" s="1945"/>
      <c r="AP178" s="1935"/>
      <c r="AQ178" s="1936"/>
      <c r="AR178" s="2710"/>
      <c r="AS178" s="2710"/>
      <c r="AT178" s="2710"/>
      <c r="AU178" s="2710"/>
      <c r="AV178" s="2710"/>
      <c r="AW178" s="2710"/>
      <c r="AX178" s="2710"/>
      <c r="AY178" s="2710"/>
      <c r="AZ178" s="2710"/>
      <c r="BA178" s="2710"/>
      <c r="BB178" s="2710"/>
      <c r="BC178" s="2710"/>
      <c r="BD178" s="2710"/>
      <c r="BE178" s="2710"/>
      <c r="BF178" s="2710"/>
      <c r="BG178" s="2710"/>
      <c r="BH178" s="2710"/>
      <c r="BI178" s="2710"/>
      <c r="BJ178" s="2710"/>
      <c r="BK178" s="2710"/>
      <c r="BL178" s="2710"/>
      <c r="BM178" s="2710"/>
      <c r="BN178" s="2710"/>
      <c r="BO178" s="2710"/>
      <c r="BP178" s="1009"/>
      <c r="BQ178" s="1009"/>
      <c r="BR178" s="1009"/>
      <c r="BS178" s="1009"/>
      <c r="BT178" s="1009"/>
      <c r="BU178" s="1009"/>
      <c r="BV178" s="1009"/>
      <c r="BW178" s="1009"/>
      <c r="BX178" s="1009"/>
      <c r="BY178" s="1009"/>
      <c r="BZ178" s="1009"/>
      <c r="CA178" s="1009"/>
      <c r="CB178" s="1009"/>
      <c r="CC178" s="1009"/>
      <c r="CD178" s="1009"/>
      <c r="CE178" s="1009"/>
      <c r="CF178" s="1009"/>
      <c r="CG178" s="1009"/>
      <c r="CH178" s="1009"/>
      <c r="CI178" s="1009"/>
      <c r="CJ178" s="1009"/>
      <c r="CK178" s="1009"/>
      <c r="CL178" s="1009"/>
      <c r="CM178" s="1009"/>
      <c r="CN178" s="1009"/>
      <c r="CO178" s="1009"/>
      <c r="CP178" s="1009"/>
      <c r="CQ178" s="1009"/>
      <c r="CR178" s="1009"/>
      <c r="CS178" s="1009"/>
      <c r="CT178" s="1009"/>
      <c r="CU178" s="1009"/>
      <c r="CV178" s="1009"/>
      <c r="CW178" s="1009"/>
      <c r="CX178" s="1009"/>
      <c r="CY178" s="1009"/>
      <c r="CZ178" s="1009"/>
      <c r="DA178" s="1009"/>
      <c r="DB178" s="1009"/>
      <c r="DC178" s="1009"/>
      <c r="DD178" s="1009"/>
      <c r="DE178" s="1009"/>
      <c r="DF178" s="1009"/>
      <c r="DG178" s="1009"/>
      <c r="DH178" s="1009"/>
      <c r="DI178" s="1009"/>
      <c r="DJ178" s="1009"/>
      <c r="DK178" s="1009"/>
      <c r="DL178" s="1009"/>
      <c r="DM178" s="1009"/>
      <c r="DN178" s="1009"/>
      <c r="DO178" s="1009"/>
      <c r="DP178" s="1009"/>
      <c r="DQ178" s="1009"/>
      <c r="DR178" s="1009"/>
      <c r="DS178" s="1009"/>
      <c r="DT178" s="1009"/>
      <c r="DU178" s="1009"/>
      <c r="DV178" s="1009"/>
      <c r="DW178" s="1009"/>
      <c r="DX178" s="1009"/>
      <c r="DY178" s="1009"/>
      <c r="DZ178" s="1009"/>
      <c r="EA178" s="1009"/>
      <c r="EB178" s="1009"/>
      <c r="EC178" s="1009"/>
      <c r="ED178" s="1009"/>
      <c r="EE178" s="1009"/>
      <c r="EF178" s="1009"/>
      <c r="EG178" s="1009"/>
      <c r="EH178" s="1009"/>
      <c r="EI178" s="1009"/>
      <c r="EJ178" s="1009"/>
      <c r="EK178" s="1009"/>
      <c r="EL178" s="1009"/>
      <c r="EM178" s="1009"/>
      <c r="EN178" s="1009"/>
      <c r="EO178" s="1009"/>
      <c r="EP178" s="1009"/>
      <c r="EQ178" s="1009"/>
      <c r="ER178" s="1009"/>
      <c r="ES178" s="1009"/>
      <c r="ET178" s="1009"/>
      <c r="EU178" s="1009"/>
      <c r="EV178" s="1009"/>
      <c r="EW178" s="1009"/>
      <c r="EX178" s="1009"/>
      <c r="EY178" s="1009"/>
      <c r="EZ178" s="1009"/>
      <c r="FA178" s="1009"/>
      <c r="FB178" s="1009"/>
      <c r="FC178" s="1009"/>
      <c r="FD178" s="1009"/>
      <c r="FE178" s="1009"/>
      <c r="FF178" s="1009"/>
      <c r="FG178" s="1009"/>
      <c r="FH178" s="1009"/>
      <c r="FI178" s="1009"/>
      <c r="FJ178" s="1009"/>
      <c r="FK178" s="1009"/>
      <c r="FL178" s="1009"/>
      <c r="FM178" s="1009"/>
      <c r="FN178" s="1009"/>
      <c r="FO178" s="1009"/>
      <c r="FP178" s="1009"/>
      <c r="FQ178" s="1009"/>
      <c r="FR178" s="1009"/>
      <c r="FS178" s="1009"/>
      <c r="FT178" s="1009"/>
      <c r="FU178" s="1009"/>
      <c r="FV178" s="1009"/>
      <c r="FW178" s="1009"/>
      <c r="FX178" s="1009"/>
      <c r="FY178" s="1009"/>
      <c r="FZ178" s="1009"/>
      <c r="GA178" s="1009"/>
      <c r="GB178" s="1009"/>
      <c r="GC178" s="1009"/>
      <c r="GD178" s="1009"/>
      <c r="GE178" s="1009"/>
      <c r="GF178" s="1009"/>
      <c r="GG178" s="1009"/>
      <c r="GH178" s="1009"/>
      <c r="GI178" s="1009"/>
      <c r="GJ178" s="1009"/>
      <c r="GK178" s="1009"/>
      <c r="GL178" s="1009"/>
      <c r="GM178" s="1009"/>
      <c r="GN178" s="1009"/>
      <c r="GO178" s="1009"/>
      <c r="GP178" s="1009"/>
      <c r="GQ178" s="1009"/>
      <c r="GR178" s="1009"/>
      <c r="GS178" s="1009"/>
      <c r="GT178" s="1009"/>
      <c r="GU178" s="1009"/>
      <c r="GV178" s="1009"/>
      <c r="GW178" s="1009"/>
      <c r="GX178" s="1009"/>
      <c r="GY178" s="1009"/>
      <c r="GZ178" s="1009"/>
      <c r="HA178" s="1009"/>
      <c r="HB178" s="1009"/>
      <c r="HC178" s="1009"/>
      <c r="HD178" s="1009"/>
      <c r="HE178" s="1009"/>
      <c r="HF178" s="1009"/>
      <c r="HG178" s="1009"/>
      <c r="HH178" s="1009"/>
      <c r="HI178" s="1009"/>
      <c r="HJ178" s="1009"/>
      <c r="HK178" s="1009"/>
      <c r="HL178" s="1009"/>
      <c r="HM178" s="1009"/>
      <c r="HN178" s="1009"/>
      <c r="HO178" s="1009"/>
      <c r="HP178" s="1009"/>
      <c r="HQ178" s="1009"/>
      <c r="HR178" s="1009"/>
      <c r="HS178" s="1009"/>
      <c r="HT178" s="1009"/>
      <c r="HU178" s="1009"/>
      <c r="HV178" s="1009"/>
      <c r="HW178" s="1009"/>
      <c r="HX178" s="1009"/>
      <c r="HY178" s="1009"/>
      <c r="HZ178" s="1009"/>
      <c r="IA178" s="1009"/>
      <c r="IB178" s="1009"/>
      <c r="IC178" s="1009"/>
      <c r="ID178" s="1009"/>
      <c r="IE178" s="1009"/>
      <c r="IF178" s="1009"/>
      <c r="IG178" s="1009"/>
      <c r="IH178" s="1009"/>
      <c r="II178" s="1009"/>
      <c r="IJ178" s="1009"/>
      <c r="IK178" s="1009"/>
      <c r="IL178" s="1009"/>
      <c r="IM178" s="1009"/>
      <c r="IN178" s="1009"/>
      <c r="IO178" s="1009"/>
      <c r="IP178" s="1009"/>
      <c r="IQ178" s="1009"/>
      <c r="IR178" s="1009"/>
      <c r="IS178" s="1009"/>
      <c r="IT178" s="1009"/>
      <c r="IU178" s="1009"/>
      <c r="IV178" s="1009"/>
      <c r="IW178" s="1009"/>
      <c r="IX178" s="1009"/>
      <c r="IY178" s="1009"/>
      <c r="IZ178" s="1009"/>
      <c r="JA178" s="1009"/>
      <c r="JB178" s="1009"/>
      <c r="JC178" s="1009"/>
      <c r="JD178" s="1009"/>
      <c r="JE178" s="1009"/>
      <c r="JF178" s="1009"/>
      <c r="JG178" s="1009"/>
      <c r="JH178" s="1009"/>
      <c r="JI178" s="1009"/>
      <c r="JJ178" s="1009"/>
      <c r="JK178" s="1009"/>
      <c r="JL178" s="1009"/>
      <c r="JM178" s="1009"/>
      <c r="JN178" s="1009"/>
      <c r="JO178" s="1009"/>
      <c r="JP178" s="1009"/>
      <c r="JQ178" s="1009"/>
      <c r="JR178" s="1009"/>
      <c r="JS178" s="1009"/>
      <c r="JT178" s="1009"/>
      <c r="JU178" s="1009"/>
      <c r="JV178" s="1009"/>
      <c r="JW178" s="1009"/>
      <c r="JX178" s="1009"/>
      <c r="JY178" s="1009"/>
      <c r="JZ178" s="1009"/>
      <c r="KA178" s="1009"/>
      <c r="KB178" s="1009"/>
      <c r="KC178" s="1009"/>
      <c r="KD178" s="1009"/>
      <c r="KE178" s="1009"/>
      <c r="KF178" s="1009"/>
      <c r="KG178" s="1009"/>
      <c r="KH178" s="1009"/>
      <c r="KI178" s="1009"/>
      <c r="KJ178" s="1009"/>
      <c r="KK178" s="1009"/>
      <c r="KL178" s="1009"/>
      <c r="KM178" s="1009"/>
      <c r="KN178" s="1009"/>
      <c r="KO178" s="1009"/>
      <c r="KP178" s="1009"/>
      <c r="KQ178" s="1009"/>
      <c r="KR178" s="1009"/>
      <c r="KS178" s="1009"/>
      <c r="KT178" s="1009"/>
      <c r="KU178" s="1009"/>
      <c r="KV178" s="1009"/>
      <c r="KW178" s="1009"/>
      <c r="KX178" s="1009"/>
      <c r="KY178" s="1009"/>
      <c r="KZ178" s="1009"/>
      <c r="LA178" s="1009"/>
      <c r="LB178" s="1009"/>
      <c r="LC178" s="1009"/>
      <c r="LD178" s="1009"/>
      <c r="LE178" s="1009"/>
      <c r="LF178" s="1009"/>
      <c r="LG178" s="1009"/>
      <c r="LH178" s="1009"/>
      <c r="LI178" s="1009"/>
      <c r="LJ178" s="1009"/>
      <c r="LK178" s="1009"/>
      <c r="LL178" s="1009"/>
      <c r="LM178" s="1009"/>
      <c r="LN178" s="1009"/>
      <c r="LO178" s="1009"/>
      <c r="LP178" s="1009"/>
      <c r="LQ178" s="1009"/>
      <c r="LR178" s="1009"/>
      <c r="LS178" s="1009"/>
      <c r="LT178" s="1009"/>
      <c r="LU178" s="1009"/>
      <c r="LV178" s="1009"/>
      <c r="LW178" s="1009"/>
      <c r="LX178" s="1009"/>
      <c r="LY178" s="1009"/>
      <c r="LZ178" s="1009"/>
      <c r="MA178" s="1009"/>
      <c r="MB178" s="1009"/>
      <c r="MC178" s="1009"/>
      <c r="MD178" s="1009"/>
      <c r="ME178" s="1009"/>
      <c r="MF178" s="1009"/>
      <c r="MG178" s="1009"/>
      <c r="MH178" s="1009"/>
      <c r="MI178" s="1009"/>
      <c r="MJ178" s="1009"/>
      <c r="MK178" s="1009"/>
      <c r="ML178" s="1009"/>
      <c r="MM178" s="1009"/>
      <c r="MN178" s="1009"/>
      <c r="MO178" s="1009"/>
      <c r="MP178" s="1009"/>
      <c r="MQ178" s="1009"/>
      <c r="MR178" s="1009"/>
      <c r="MS178" s="1009"/>
      <c r="MT178" s="1009"/>
      <c r="MU178" s="1009"/>
      <c r="MV178" s="1009"/>
      <c r="MW178" s="1009"/>
      <c r="MX178" s="1009"/>
      <c r="MY178" s="1009"/>
      <c r="MZ178" s="1009"/>
      <c r="NA178" s="1009"/>
      <c r="NB178" s="1009"/>
      <c r="NC178" s="1009"/>
      <c r="ND178" s="1009"/>
      <c r="NE178" s="1009"/>
      <c r="NF178" s="1009"/>
      <c r="NG178" s="1009"/>
      <c r="NH178" s="1009"/>
      <c r="NI178" s="1009"/>
      <c r="NJ178" s="1009"/>
      <c r="NK178" s="1009"/>
      <c r="NL178" s="1009"/>
      <c r="NM178" s="1009"/>
      <c r="NN178" s="1009"/>
      <c r="NO178" s="1009"/>
      <c r="NP178" s="1009"/>
      <c r="NQ178" s="1009"/>
      <c r="NR178" s="1009"/>
      <c r="NS178" s="1009"/>
      <c r="NT178" s="1009"/>
      <c r="NU178" s="1009"/>
      <c r="NV178" s="1009"/>
      <c r="NW178" s="1009"/>
      <c r="NX178" s="1009"/>
      <c r="NY178" s="1009"/>
      <c r="NZ178" s="1009"/>
      <c r="OA178" s="1009"/>
      <c r="OB178" s="1009"/>
      <c r="OC178" s="1009"/>
      <c r="OD178" s="1009"/>
      <c r="OE178" s="1009"/>
      <c r="OF178" s="1009"/>
      <c r="OG178" s="1009"/>
      <c r="OH178" s="1009"/>
      <c r="OI178" s="1009"/>
      <c r="OJ178" s="1009"/>
      <c r="OK178" s="1009"/>
      <c r="OL178" s="1009"/>
      <c r="OM178" s="1009"/>
      <c r="ON178" s="1009"/>
      <c r="OO178" s="1009"/>
      <c r="OP178" s="1009"/>
      <c r="OQ178" s="1009"/>
      <c r="OR178" s="1009"/>
      <c r="OS178" s="1009"/>
      <c r="OT178" s="1009"/>
      <c r="OU178" s="1009"/>
      <c r="OV178" s="1009"/>
      <c r="OW178" s="1009"/>
      <c r="OX178" s="1009"/>
      <c r="OY178" s="1009"/>
      <c r="OZ178" s="1009"/>
      <c r="PA178" s="1009"/>
      <c r="PB178" s="1009"/>
      <c r="PC178" s="1009"/>
      <c r="PD178" s="1009"/>
      <c r="PE178" s="1009"/>
      <c r="PF178" s="1009"/>
      <c r="PG178" s="1009"/>
      <c r="PH178" s="1009"/>
      <c r="PI178" s="1009"/>
      <c r="PJ178" s="1009"/>
      <c r="PK178" s="1009"/>
      <c r="PL178" s="1009"/>
      <c r="PM178" s="1009"/>
      <c r="PN178" s="1009"/>
      <c r="PO178" s="1009"/>
      <c r="PP178" s="1009"/>
      <c r="PQ178" s="1009"/>
      <c r="PR178" s="1009"/>
      <c r="PS178" s="1009"/>
      <c r="PT178" s="1009"/>
      <c r="PU178" s="1009"/>
      <c r="PV178" s="1009"/>
      <c r="PW178" s="1009"/>
      <c r="PX178" s="1009"/>
      <c r="PY178" s="1009"/>
      <c r="PZ178" s="1009"/>
      <c r="QA178" s="1009"/>
      <c r="QB178" s="1009"/>
      <c r="QC178" s="1009"/>
      <c r="QD178" s="1009"/>
      <c r="QE178" s="1009"/>
      <c r="QF178" s="1009"/>
      <c r="QG178" s="1009"/>
      <c r="QH178" s="1009"/>
      <c r="QI178" s="1009"/>
      <c r="QJ178" s="1009"/>
      <c r="QK178" s="1009"/>
      <c r="QL178" s="1009"/>
      <c r="QM178" s="1009"/>
      <c r="QN178" s="1009"/>
      <c r="QO178" s="1009"/>
      <c r="QP178" s="1009"/>
      <c r="QQ178" s="1009"/>
      <c r="QR178" s="1009"/>
      <c r="QS178" s="1009"/>
      <c r="QT178" s="1009"/>
      <c r="QU178" s="1009"/>
      <c r="QV178" s="1009"/>
      <c r="QW178" s="1009"/>
      <c r="QX178" s="1009"/>
      <c r="QY178" s="1009"/>
      <c r="QZ178" s="1009"/>
      <c r="RA178" s="1009"/>
      <c r="RB178" s="1009"/>
      <c r="RC178" s="1009"/>
      <c r="RD178" s="1009"/>
      <c r="RE178" s="1009"/>
      <c r="RF178" s="1009"/>
      <c r="RG178" s="1009"/>
      <c r="RH178" s="1009"/>
      <c r="RI178" s="1009"/>
      <c r="RJ178" s="1009"/>
      <c r="RK178" s="1009"/>
      <c r="RL178" s="1009"/>
      <c r="RM178" s="1009"/>
      <c r="RN178" s="1009"/>
      <c r="RO178" s="1009"/>
      <c r="RP178" s="1009"/>
      <c r="RQ178" s="1009"/>
      <c r="RR178" s="1009"/>
      <c r="RS178" s="1009"/>
      <c r="RT178" s="1009"/>
      <c r="RU178" s="1009"/>
      <c r="RV178" s="1009"/>
      <c r="RW178" s="1009"/>
      <c r="RX178" s="1009"/>
      <c r="RY178" s="1009"/>
      <c r="RZ178" s="1009"/>
      <c r="SA178" s="1009"/>
      <c r="SB178" s="1009"/>
      <c r="SC178" s="1009"/>
      <c r="SD178" s="1009"/>
      <c r="SE178" s="1009"/>
      <c r="SF178" s="1009"/>
      <c r="SG178" s="1009"/>
      <c r="SH178" s="1009"/>
      <c r="SI178" s="1009"/>
      <c r="SJ178" s="1009"/>
      <c r="SK178" s="1009"/>
      <c r="SL178" s="1009"/>
      <c r="SM178" s="1009"/>
      <c r="SN178" s="1009"/>
      <c r="SO178" s="1009"/>
      <c r="SP178" s="1009"/>
      <c r="SQ178" s="1009"/>
      <c r="SR178" s="1009"/>
      <c r="SS178" s="1009"/>
      <c r="ST178" s="1009"/>
      <c r="SU178" s="1009"/>
      <c r="SV178" s="1009"/>
      <c r="SW178" s="1009"/>
      <c r="SX178" s="1009"/>
      <c r="SY178" s="1009"/>
      <c r="SZ178" s="1009"/>
      <c r="TA178" s="1009"/>
      <c r="TB178" s="1009"/>
      <c r="TC178" s="1009"/>
      <c r="TD178" s="1009"/>
      <c r="TE178" s="1009"/>
      <c r="TF178" s="1009"/>
      <c r="TG178" s="1009"/>
      <c r="TH178" s="1009"/>
      <c r="TI178" s="1009"/>
      <c r="TJ178" s="1009"/>
      <c r="TK178" s="1009"/>
      <c r="TL178" s="1009"/>
      <c r="TM178" s="1009"/>
      <c r="TN178" s="1009"/>
      <c r="TO178" s="1009"/>
      <c r="TP178" s="1009"/>
      <c r="TQ178" s="1009"/>
      <c r="TR178" s="1009"/>
      <c r="TS178" s="1009"/>
      <c r="TT178" s="1009"/>
      <c r="TU178" s="1009"/>
      <c r="TV178" s="1009"/>
      <c r="TW178" s="1009"/>
      <c r="TX178" s="1009"/>
      <c r="TY178" s="1009"/>
      <c r="TZ178" s="1009"/>
      <c r="UA178" s="1009"/>
      <c r="UB178" s="1009"/>
      <c r="UC178" s="1009"/>
      <c r="UD178" s="1009"/>
      <c r="UE178" s="1009"/>
      <c r="UF178" s="1009"/>
      <c r="UG178" s="1009"/>
      <c r="UH178" s="1009"/>
      <c r="UI178" s="1009"/>
      <c r="UJ178" s="1009"/>
      <c r="UK178" s="1009"/>
      <c r="UL178" s="1009"/>
      <c r="UM178" s="1009"/>
      <c r="UN178" s="1009"/>
      <c r="UO178" s="1009"/>
      <c r="UP178" s="1009"/>
      <c r="UQ178" s="1009"/>
      <c r="UR178" s="1009"/>
      <c r="US178" s="1009"/>
      <c r="UT178" s="1009"/>
      <c r="UU178" s="1009"/>
      <c r="UV178" s="1009"/>
      <c r="UW178" s="1009"/>
      <c r="UX178" s="1009"/>
      <c r="UY178" s="1009"/>
      <c r="UZ178" s="1009"/>
      <c r="VA178" s="1009"/>
      <c r="VB178" s="1009"/>
      <c r="VC178" s="1009"/>
      <c r="VD178" s="1009"/>
      <c r="VE178" s="1009"/>
      <c r="VF178" s="1009"/>
      <c r="VG178" s="1009"/>
      <c r="VH178" s="1009"/>
      <c r="VI178" s="1009"/>
      <c r="VJ178" s="1009"/>
      <c r="VK178" s="1009"/>
      <c r="VL178" s="1009"/>
      <c r="VM178" s="1009"/>
      <c r="VN178" s="1009"/>
      <c r="VO178" s="1009"/>
      <c r="VP178" s="1009"/>
      <c r="VQ178" s="1009"/>
      <c r="VR178" s="1009"/>
      <c r="VS178" s="1009"/>
      <c r="VT178" s="1009"/>
      <c r="VU178" s="1009"/>
      <c r="VV178" s="1009"/>
      <c r="VW178" s="1009"/>
      <c r="VX178" s="1009"/>
      <c r="VY178" s="1009"/>
      <c r="VZ178" s="1009"/>
      <c r="WA178" s="1009"/>
      <c r="WB178" s="1009"/>
      <c r="WC178" s="1009"/>
      <c r="WD178" s="1009"/>
      <c r="WE178" s="1009"/>
      <c r="WF178" s="1009"/>
      <c r="WG178" s="1009"/>
      <c r="WH178" s="1009"/>
      <c r="WI178" s="1009"/>
      <c r="WJ178" s="1009"/>
      <c r="WK178" s="1009"/>
      <c r="WL178" s="1009"/>
      <c r="WM178" s="1009"/>
      <c r="WN178" s="1009"/>
      <c r="WO178" s="1009"/>
      <c r="WP178" s="1009"/>
      <c r="WQ178" s="1009"/>
      <c r="WR178" s="1009"/>
      <c r="WS178" s="1009"/>
      <c r="WT178" s="1009"/>
      <c r="WU178" s="1009"/>
      <c r="WV178" s="1009"/>
      <c r="WW178" s="1009"/>
      <c r="WX178" s="1009"/>
      <c r="WY178" s="1009"/>
      <c r="WZ178" s="1009"/>
      <c r="XA178" s="1009"/>
      <c r="XB178" s="1009"/>
      <c r="XC178" s="1009"/>
      <c r="XD178" s="1009"/>
      <c r="XE178" s="1009"/>
      <c r="XF178" s="1009"/>
      <c r="XG178" s="1009"/>
      <c r="XH178" s="1009"/>
      <c r="XI178" s="1009"/>
      <c r="XJ178" s="1009"/>
      <c r="XK178" s="1009"/>
      <c r="XL178" s="1009"/>
      <c r="XM178" s="1009"/>
      <c r="XN178" s="1009"/>
      <c r="XO178" s="1009"/>
      <c r="XP178" s="1009"/>
      <c r="XQ178" s="1009"/>
      <c r="XR178" s="1009"/>
      <c r="XS178" s="1009"/>
      <c r="XT178" s="1009"/>
      <c r="XU178" s="1009"/>
      <c r="XV178" s="1009"/>
      <c r="XW178" s="1009"/>
      <c r="XX178" s="1009"/>
      <c r="XY178" s="1009"/>
      <c r="XZ178" s="1009"/>
      <c r="YA178" s="1009"/>
      <c r="YB178" s="1009"/>
      <c r="YC178" s="1009"/>
      <c r="YD178" s="1009"/>
      <c r="YE178" s="1009"/>
      <c r="YF178" s="1009"/>
      <c r="YG178" s="1009"/>
      <c r="YH178" s="1009"/>
      <c r="YI178" s="1009"/>
      <c r="YJ178" s="1009"/>
      <c r="YK178" s="1009"/>
      <c r="YL178" s="1009"/>
      <c r="YM178" s="1009"/>
      <c r="YN178" s="1009"/>
      <c r="YO178" s="1009"/>
      <c r="YP178" s="1009"/>
      <c r="YQ178" s="1009"/>
      <c r="YR178" s="1009"/>
      <c r="YS178" s="1009"/>
      <c r="YT178" s="1009"/>
      <c r="YU178" s="1009"/>
      <c r="YV178" s="1009"/>
      <c r="YW178" s="1009"/>
      <c r="YX178" s="1009"/>
      <c r="YY178" s="1009"/>
      <c r="YZ178" s="1009"/>
      <c r="ZA178" s="1009"/>
      <c r="ZB178" s="1009"/>
      <c r="ZC178" s="1009"/>
      <c r="ZD178" s="1009"/>
      <c r="ZE178" s="1009"/>
      <c r="ZF178" s="1009"/>
      <c r="ZG178" s="1009"/>
      <c r="ZH178" s="1009"/>
      <c r="ZI178" s="1009"/>
      <c r="ZJ178" s="1009"/>
      <c r="ZK178" s="1009"/>
      <c r="ZL178" s="1009"/>
      <c r="ZM178" s="1009"/>
      <c r="ZN178" s="1009"/>
      <c r="ZO178" s="1009"/>
      <c r="ZP178" s="1009"/>
      <c r="ZQ178" s="1009"/>
      <c r="ZR178" s="1009"/>
      <c r="ZS178" s="1009"/>
      <c r="ZT178" s="1009"/>
      <c r="ZU178" s="1009"/>
      <c r="ZV178" s="1009"/>
      <c r="ZW178" s="1009"/>
      <c r="ZX178" s="1009"/>
      <c r="ZY178" s="1009"/>
      <c r="ZZ178" s="1009"/>
      <c r="AAA178" s="1009"/>
      <c r="AAB178" s="1009"/>
      <c r="AAC178" s="1009"/>
      <c r="AAD178" s="1009"/>
      <c r="AAE178" s="1009"/>
      <c r="AAF178" s="1009"/>
      <c r="AAG178" s="1009"/>
      <c r="AAH178" s="1009"/>
      <c r="AAI178" s="1009"/>
      <c r="AAJ178" s="1009"/>
      <c r="AAK178" s="1009"/>
      <c r="AAL178" s="1009"/>
      <c r="AAM178" s="1009"/>
      <c r="AAN178" s="1009"/>
      <c r="AAO178" s="1009"/>
      <c r="AAP178" s="1009"/>
      <c r="AAQ178" s="1009"/>
      <c r="AAR178" s="1009"/>
      <c r="AAS178" s="1009"/>
      <c r="AAT178" s="1009"/>
      <c r="AAU178" s="1009"/>
      <c r="AAV178" s="1009"/>
      <c r="AAW178" s="1009"/>
      <c r="AAX178" s="1009"/>
      <c r="AAY178" s="1009"/>
      <c r="AAZ178" s="1009"/>
      <c r="ABA178" s="1009"/>
      <c r="ABB178" s="1009"/>
      <c r="ABC178" s="1009"/>
      <c r="ABD178" s="1009"/>
      <c r="ABE178" s="1009"/>
      <c r="ABF178" s="1009"/>
      <c r="ABG178" s="1009"/>
      <c r="ABH178" s="1009"/>
      <c r="ABI178" s="1009"/>
      <c r="ABJ178" s="1009"/>
      <c r="ABK178" s="1009"/>
      <c r="ABL178" s="1009"/>
      <c r="ABM178" s="1009"/>
      <c r="ABN178" s="1009"/>
      <c r="ABO178" s="1009"/>
      <c r="ABP178" s="1009"/>
      <c r="ABQ178" s="1009"/>
      <c r="ABR178" s="1009"/>
    </row>
    <row r="179" spans="1:746" s="111" customFormat="1" ht="12" hidden="1" customHeight="1">
      <c r="A179" s="1252"/>
      <c r="B179" s="2955" t="s">
        <v>1395</v>
      </c>
      <c r="C179" s="2956"/>
      <c r="D179" s="2332"/>
      <c r="E179" s="2333"/>
      <c r="F179" s="879"/>
      <c r="G179" s="2334">
        <v>0.1</v>
      </c>
      <c r="H179" s="598"/>
      <c r="I179" s="1966"/>
      <c r="J179" s="1966"/>
      <c r="K179" s="1966"/>
      <c r="L179" s="1966"/>
      <c r="M179" s="1966"/>
      <c r="N179" s="1966"/>
      <c r="O179" s="1966"/>
      <c r="P179" s="1966"/>
      <c r="Q179" s="1966"/>
      <c r="R179" s="1966"/>
      <c r="S179" s="1966"/>
      <c r="T179" s="1966"/>
      <c r="U179" s="1966"/>
      <c r="V179" s="2335"/>
      <c r="W179" s="1966"/>
      <c r="X179" s="1966"/>
      <c r="Y179" s="1966"/>
      <c r="Z179" s="1966"/>
      <c r="AA179" s="1966"/>
      <c r="AB179" s="1966"/>
      <c r="AC179" s="1966"/>
      <c r="AD179" s="1966"/>
      <c r="AE179" s="1966"/>
      <c r="AF179" s="1966"/>
      <c r="AG179" s="1042"/>
      <c r="AH179" s="336"/>
      <c r="AI179" s="336"/>
      <c r="AJ179" s="901">
        <f>IF(fx!$C$57=1,SUMIF(fx!I$57:T$57,1,I179:T179),IF(fx!$C$57=2,SUMIF(fx!O$57:AF$57,1,O179:AF179)))</f>
        <v>0</v>
      </c>
      <c r="AK179" s="328"/>
      <c r="AL179" s="902">
        <f>IF(fx!$C$57=1,SUM(U179:AF179),0)</f>
        <v>0</v>
      </c>
      <c r="AM179" s="1028"/>
      <c r="AN179" s="1029"/>
      <c r="AO179" s="1945"/>
      <c r="AP179" s="1935"/>
      <c r="AQ179" s="1936"/>
      <c r="AR179" s="2710"/>
      <c r="AS179" s="2710"/>
      <c r="AT179" s="2710"/>
      <c r="AU179" s="2710"/>
      <c r="AV179" s="2710"/>
      <c r="AW179" s="2710"/>
      <c r="AX179" s="2710"/>
      <c r="AY179" s="2710"/>
      <c r="AZ179" s="2710"/>
      <c r="BA179" s="2710"/>
      <c r="BB179" s="2710"/>
      <c r="BC179" s="2710"/>
      <c r="BD179" s="2710"/>
      <c r="BE179" s="2710"/>
      <c r="BF179" s="2710"/>
      <c r="BG179" s="2710"/>
      <c r="BH179" s="2710"/>
      <c r="BI179" s="2710"/>
      <c r="BJ179" s="2710"/>
      <c r="BK179" s="2710"/>
      <c r="BL179" s="2710"/>
      <c r="BM179" s="2710"/>
      <c r="BN179" s="2710"/>
      <c r="BO179" s="2710"/>
      <c r="BP179" s="1009"/>
      <c r="BQ179" s="1009"/>
      <c r="BR179" s="1009"/>
      <c r="BS179" s="1009"/>
      <c r="BT179" s="1009"/>
      <c r="BU179" s="1009"/>
      <c r="BV179" s="1009"/>
      <c r="BW179" s="1009"/>
      <c r="BX179" s="1009"/>
      <c r="BY179" s="1009"/>
      <c r="BZ179" s="1009"/>
      <c r="CA179" s="1009"/>
      <c r="CB179" s="1009"/>
      <c r="CC179" s="1009"/>
      <c r="CD179" s="1009"/>
      <c r="CE179" s="1009"/>
      <c r="CF179" s="1009"/>
      <c r="CG179" s="1009"/>
      <c r="CH179" s="1009"/>
      <c r="CI179" s="1009"/>
      <c r="CJ179" s="1009"/>
      <c r="CK179" s="1009"/>
      <c r="CL179" s="1009"/>
      <c r="CM179" s="1009"/>
      <c r="CN179" s="1009"/>
      <c r="CO179" s="1009"/>
      <c r="CP179" s="1009"/>
      <c r="CQ179" s="1009"/>
      <c r="CR179" s="1009"/>
      <c r="CS179" s="1009"/>
      <c r="CT179" s="1009"/>
      <c r="CU179" s="1009"/>
      <c r="CV179" s="1009"/>
      <c r="CW179" s="1009"/>
      <c r="CX179" s="1009"/>
      <c r="CY179" s="1009"/>
      <c r="CZ179" s="1009"/>
      <c r="DA179" s="1009"/>
      <c r="DB179" s="1009"/>
      <c r="DC179" s="1009"/>
      <c r="DD179" s="1009"/>
      <c r="DE179" s="1009"/>
      <c r="DF179" s="1009"/>
      <c r="DG179" s="1009"/>
      <c r="DH179" s="1009"/>
      <c r="DI179" s="1009"/>
      <c r="DJ179" s="1009"/>
      <c r="DK179" s="1009"/>
      <c r="DL179" s="1009"/>
      <c r="DM179" s="1009"/>
      <c r="DN179" s="1009"/>
      <c r="DO179" s="1009"/>
      <c r="DP179" s="1009"/>
      <c r="DQ179" s="1009"/>
      <c r="DR179" s="1009"/>
      <c r="DS179" s="1009"/>
      <c r="DT179" s="1009"/>
      <c r="DU179" s="1009"/>
      <c r="DV179" s="1009"/>
      <c r="DW179" s="1009"/>
      <c r="DX179" s="1009"/>
      <c r="DY179" s="1009"/>
      <c r="DZ179" s="1009"/>
      <c r="EA179" s="1009"/>
      <c r="EB179" s="1009"/>
      <c r="EC179" s="1009"/>
      <c r="ED179" s="1009"/>
      <c r="EE179" s="1009"/>
      <c r="EF179" s="1009"/>
      <c r="EG179" s="1009"/>
      <c r="EH179" s="1009"/>
      <c r="EI179" s="1009"/>
      <c r="EJ179" s="1009"/>
      <c r="EK179" s="1009"/>
      <c r="EL179" s="1009"/>
      <c r="EM179" s="1009"/>
      <c r="EN179" s="1009"/>
      <c r="EO179" s="1009"/>
      <c r="EP179" s="1009"/>
      <c r="EQ179" s="1009"/>
      <c r="ER179" s="1009"/>
      <c r="ES179" s="1009"/>
      <c r="ET179" s="1009"/>
      <c r="EU179" s="1009"/>
      <c r="EV179" s="1009"/>
      <c r="EW179" s="1009"/>
      <c r="EX179" s="1009"/>
      <c r="EY179" s="1009"/>
      <c r="EZ179" s="1009"/>
      <c r="FA179" s="1009"/>
      <c r="FB179" s="1009"/>
      <c r="FC179" s="1009"/>
      <c r="FD179" s="1009"/>
      <c r="FE179" s="1009"/>
      <c r="FF179" s="1009"/>
      <c r="FG179" s="1009"/>
      <c r="FH179" s="1009"/>
      <c r="FI179" s="1009"/>
      <c r="FJ179" s="1009"/>
      <c r="FK179" s="1009"/>
      <c r="FL179" s="1009"/>
      <c r="FM179" s="1009"/>
      <c r="FN179" s="1009"/>
      <c r="FO179" s="1009"/>
      <c r="FP179" s="1009"/>
      <c r="FQ179" s="1009"/>
      <c r="FR179" s="1009"/>
      <c r="FS179" s="1009"/>
      <c r="FT179" s="1009"/>
      <c r="FU179" s="1009"/>
      <c r="FV179" s="1009"/>
      <c r="FW179" s="1009"/>
      <c r="FX179" s="1009"/>
      <c r="FY179" s="1009"/>
      <c r="FZ179" s="1009"/>
      <c r="GA179" s="1009"/>
      <c r="GB179" s="1009"/>
      <c r="GC179" s="1009"/>
      <c r="GD179" s="1009"/>
      <c r="GE179" s="1009"/>
      <c r="GF179" s="1009"/>
      <c r="GG179" s="1009"/>
      <c r="GH179" s="1009"/>
      <c r="GI179" s="1009"/>
      <c r="GJ179" s="1009"/>
      <c r="GK179" s="1009"/>
      <c r="GL179" s="1009"/>
      <c r="GM179" s="1009"/>
      <c r="GN179" s="1009"/>
      <c r="GO179" s="1009"/>
      <c r="GP179" s="1009"/>
      <c r="GQ179" s="1009"/>
      <c r="GR179" s="1009"/>
      <c r="GS179" s="1009"/>
      <c r="GT179" s="1009"/>
      <c r="GU179" s="1009"/>
      <c r="GV179" s="1009"/>
      <c r="GW179" s="1009"/>
      <c r="GX179" s="1009"/>
      <c r="GY179" s="1009"/>
      <c r="GZ179" s="1009"/>
      <c r="HA179" s="1009"/>
      <c r="HB179" s="1009"/>
      <c r="HC179" s="1009"/>
      <c r="HD179" s="1009"/>
      <c r="HE179" s="1009"/>
      <c r="HF179" s="1009"/>
      <c r="HG179" s="1009"/>
      <c r="HH179" s="1009"/>
      <c r="HI179" s="1009"/>
      <c r="HJ179" s="1009"/>
      <c r="HK179" s="1009"/>
      <c r="HL179" s="1009"/>
      <c r="HM179" s="1009"/>
      <c r="HN179" s="1009"/>
      <c r="HO179" s="1009"/>
      <c r="HP179" s="1009"/>
      <c r="HQ179" s="1009"/>
      <c r="HR179" s="1009"/>
      <c r="HS179" s="1009"/>
      <c r="HT179" s="1009"/>
      <c r="HU179" s="1009"/>
      <c r="HV179" s="1009"/>
      <c r="HW179" s="1009"/>
      <c r="HX179" s="1009"/>
      <c r="HY179" s="1009"/>
      <c r="HZ179" s="1009"/>
      <c r="IA179" s="1009"/>
      <c r="IB179" s="1009"/>
      <c r="IC179" s="1009"/>
      <c r="ID179" s="1009"/>
      <c r="IE179" s="1009"/>
      <c r="IF179" s="1009"/>
      <c r="IG179" s="1009"/>
      <c r="IH179" s="1009"/>
      <c r="II179" s="1009"/>
      <c r="IJ179" s="1009"/>
      <c r="IK179" s="1009"/>
      <c r="IL179" s="1009"/>
      <c r="IM179" s="1009"/>
      <c r="IN179" s="1009"/>
      <c r="IO179" s="1009"/>
      <c r="IP179" s="1009"/>
      <c r="IQ179" s="1009"/>
      <c r="IR179" s="1009"/>
      <c r="IS179" s="1009"/>
      <c r="IT179" s="1009"/>
      <c r="IU179" s="1009"/>
      <c r="IV179" s="1009"/>
      <c r="IW179" s="1009"/>
      <c r="IX179" s="1009"/>
      <c r="IY179" s="1009"/>
      <c r="IZ179" s="1009"/>
      <c r="JA179" s="1009"/>
      <c r="JB179" s="1009"/>
      <c r="JC179" s="1009"/>
      <c r="JD179" s="1009"/>
      <c r="JE179" s="1009"/>
      <c r="JF179" s="1009"/>
      <c r="JG179" s="1009"/>
      <c r="JH179" s="1009"/>
      <c r="JI179" s="1009"/>
      <c r="JJ179" s="1009"/>
      <c r="JK179" s="1009"/>
      <c r="JL179" s="1009"/>
      <c r="JM179" s="1009"/>
      <c r="JN179" s="1009"/>
      <c r="JO179" s="1009"/>
      <c r="JP179" s="1009"/>
      <c r="JQ179" s="1009"/>
      <c r="JR179" s="1009"/>
      <c r="JS179" s="1009"/>
      <c r="JT179" s="1009"/>
      <c r="JU179" s="1009"/>
      <c r="JV179" s="1009"/>
      <c r="JW179" s="1009"/>
      <c r="JX179" s="1009"/>
      <c r="JY179" s="1009"/>
      <c r="JZ179" s="1009"/>
      <c r="KA179" s="1009"/>
      <c r="KB179" s="1009"/>
      <c r="KC179" s="1009"/>
      <c r="KD179" s="1009"/>
      <c r="KE179" s="1009"/>
      <c r="KF179" s="1009"/>
      <c r="KG179" s="1009"/>
      <c r="KH179" s="1009"/>
      <c r="KI179" s="1009"/>
      <c r="KJ179" s="1009"/>
      <c r="KK179" s="1009"/>
      <c r="KL179" s="1009"/>
      <c r="KM179" s="1009"/>
      <c r="KN179" s="1009"/>
      <c r="KO179" s="1009"/>
      <c r="KP179" s="1009"/>
      <c r="KQ179" s="1009"/>
      <c r="KR179" s="1009"/>
      <c r="KS179" s="1009"/>
      <c r="KT179" s="1009"/>
      <c r="KU179" s="1009"/>
      <c r="KV179" s="1009"/>
      <c r="KW179" s="1009"/>
      <c r="KX179" s="1009"/>
      <c r="KY179" s="1009"/>
      <c r="KZ179" s="1009"/>
      <c r="LA179" s="1009"/>
      <c r="LB179" s="1009"/>
      <c r="LC179" s="1009"/>
      <c r="LD179" s="1009"/>
      <c r="LE179" s="1009"/>
      <c r="LF179" s="1009"/>
      <c r="LG179" s="1009"/>
      <c r="LH179" s="1009"/>
      <c r="LI179" s="1009"/>
      <c r="LJ179" s="1009"/>
      <c r="LK179" s="1009"/>
      <c r="LL179" s="1009"/>
      <c r="LM179" s="1009"/>
      <c r="LN179" s="1009"/>
      <c r="LO179" s="1009"/>
      <c r="LP179" s="1009"/>
      <c r="LQ179" s="1009"/>
      <c r="LR179" s="1009"/>
      <c r="LS179" s="1009"/>
      <c r="LT179" s="1009"/>
      <c r="LU179" s="1009"/>
      <c r="LV179" s="1009"/>
      <c r="LW179" s="1009"/>
      <c r="LX179" s="1009"/>
      <c r="LY179" s="1009"/>
      <c r="LZ179" s="1009"/>
      <c r="MA179" s="1009"/>
      <c r="MB179" s="1009"/>
      <c r="MC179" s="1009"/>
      <c r="MD179" s="1009"/>
      <c r="ME179" s="1009"/>
      <c r="MF179" s="1009"/>
      <c r="MG179" s="1009"/>
      <c r="MH179" s="1009"/>
      <c r="MI179" s="1009"/>
      <c r="MJ179" s="1009"/>
      <c r="MK179" s="1009"/>
      <c r="ML179" s="1009"/>
      <c r="MM179" s="1009"/>
      <c r="MN179" s="1009"/>
      <c r="MO179" s="1009"/>
      <c r="MP179" s="1009"/>
      <c r="MQ179" s="1009"/>
      <c r="MR179" s="1009"/>
      <c r="MS179" s="1009"/>
      <c r="MT179" s="1009"/>
      <c r="MU179" s="1009"/>
      <c r="MV179" s="1009"/>
      <c r="MW179" s="1009"/>
      <c r="MX179" s="1009"/>
      <c r="MY179" s="1009"/>
      <c r="MZ179" s="1009"/>
      <c r="NA179" s="1009"/>
      <c r="NB179" s="1009"/>
      <c r="NC179" s="1009"/>
      <c r="ND179" s="1009"/>
      <c r="NE179" s="1009"/>
      <c r="NF179" s="1009"/>
      <c r="NG179" s="1009"/>
      <c r="NH179" s="1009"/>
      <c r="NI179" s="1009"/>
      <c r="NJ179" s="1009"/>
      <c r="NK179" s="1009"/>
      <c r="NL179" s="1009"/>
      <c r="NM179" s="1009"/>
      <c r="NN179" s="1009"/>
      <c r="NO179" s="1009"/>
      <c r="NP179" s="1009"/>
      <c r="NQ179" s="1009"/>
      <c r="NR179" s="1009"/>
      <c r="NS179" s="1009"/>
      <c r="NT179" s="1009"/>
      <c r="NU179" s="1009"/>
      <c r="NV179" s="1009"/>
      <c r="NW179" s="1009"/>
      <c r="NX179" s="1009"/>
      <c r="NY179" s="1009"/>
      <c r="NZ179" s="1009"/>
      <c r="OA179" s="1009"/>
      <c r="OB179" s="1009"/>
      <c r="OC179" s="1009"/>
      <c r="OD179" s="1009"/>
      <c r="OE179" s="1009"/>
      <c r="OF179" s="1009"/>
      <c r="OG179" s="1009"/>
      <c r="OH179" s="1009"/>
      <c r="OI179" s="1009"/>
      <c r="OJ179" s="1009"/>
      <c r="OK179" s="1009"/>
      <c r="OL179" s="1009"/>
      <c r="OM179" s="1009"/>
      <c r="ON179" s="1009"/>
      <c r="OO179" s="1009"/>
      <c r="OP179" s="1009"/>
      <c r="OQ179" s="1009"/>
      <c r="OR179" s="1009"/>
      <c r="OS179" s="1009"/>
      <c r="OT179" s="1009"/>
      <c r="OU179" s="1009"/>
      <c r="OV179" s="1009"/>
      <c r="OW179" s="1009"/>
      <c r="OX179" s="1009"/>
      <c r="OY179" s="1009"/>
      <c r="OZ179" s="1009"/>
      <c r="PA179" s="1009"/>
      <c r="PB179" s="1009"/>
      <c r="PC179" s="1009"/>
      <c r="PD179" s="1009"/>
      <c r="PE179" s="1009"/>
      <c r="PF179" s="1009"/>
      <c r="PG179" s="1009"/>
      <c r="PH179" s="1009"/>
      <c r="PI179" s="1009"/>
      <c r="PJ179" s="1009"/>
      <c r="PK179" s="1009"/>
      <c r="PL179" s="1009"/>
      <c r="PM179" s="1009"/>
      <c r="PN179" s="1009"/>
      <c r="PO179" s="1009"/>
      <c r="PP179" s="1009"/>
      <c r="PQ179" s="1009"/>
      <c r="PR179" s="1009"/>
      <c r="PS179" s="1009"/>
      <c r="PT179" s="1009"/>
      <c r="PU179" s="1009"/>
      <c r="PV179" s="1009"/>
      <c r="PW179" s="1009"/>
      <c r="PX179" s="1009"/>
      <c r="PY179" s="1009"/>
      <c r="PZ179" s="1009"/>
      <c r="QA179" s="1009"/>
      <c r="QB179" s="1009"/>
      <c r="QC179" s="1009"/>
      <c r="QD179" s="1009"/>
      <c r="QE179" s="1009"/>
      <c r="QF179" s="1009"/>
      <c r="QG179" s="1009"/>
      <c r="QH179" s="1009"/>
      <c r="QI179" s="1009"/>
      <c r="QJ179" s="1009"/>
      <c r="QK179" s="1009"/>
      <c r="QL179" s="1009"/>
      <c r="QM179" s="1009"/>
      <c r="QN179" s="1009"/>
      <c r="QO179" s="1009"/>
      <c r="QP179" s="1009"/>
      <c r="QQ179" s="1009"/>
      <c r="QR179" s="1009"/>
      <c r="QS179" s="1009"/>
      <c r="QT179" s="1009"/>
      <c r="QU179" s="1009"/>
      <c r="QV179" s="1009"/>
      <c r="QW179" s="1009"/>
      <c r="QX179" s="1009"/>
      <c r="QY179" s="1009"/>
      <c r="QZ179" s="1009"/>
      <c r="RA179" s="1009"/>
      <c r="RB179" s="1009"/>
      <c r="RC179" s="1009"/>
      <c r="RD179" s="1009"/>
      <c r="RE179" s="1009"/>
      <c r="RF179" s="1009"/>
      <c r="RG179" s="1009"/>
      <c r="RH179" s="1009"/>
      <c r="RI179" s="1009"/>
      <c r="RJ179" s="1009"/>
      <c r="RK179" s="1009"/>
      <c r="RL179" s="1009"/>
      <c r="RM179" s="1009"/>
      <c r="RN179" s="1009"/>
      <c r="RO179" s="1009"/>
      <c r="RP179" s="1009"/>
      <c r="RQ179" s="1009"/>
      <c r="RR179" s="1009"/>
      <c r="RS179" s="1009"/>
      <c r="RT179" s="1009"/>
      <c r="RU179" s="1009"/>
      <c r="RV179" s="1009"/>
      <c r="RW179" s="1009"/>
      <c r="RX179" s="1009"/>
      <c r="RY179" s="1009"/>
      <c r="RZ179" s="1009"/>
      <c r="SA179" s="1009"/>
      <c r="SB179" s="1009"/>
      <c r="SC179" s="1009"/>
      <c r="SD179" s="1009"/>
      <c r="SE179" s="1009"/>
      <c r="SF179" s="1009"/>
      <c r="SG179" s="1009"/>
      <c r="SH179" s="1009"/>
      <c r="SI179" s="1009"/>
      <c r="SJ179" s="1009"/>
      <c r="SK179" s="1009"/>
      <c r="SL179" s="1009"/>
      <c r="SM179" s="1009"/>
      <c r="SN179" s="1009"/>
      <c r="SO179" s="1009"/>
      <c r="SP179" s="1009"/>
      <c r="SQ179" s="1009"/>
      <c r="SR179" s="1009"/>
      <c r="SS179" s="1009"/>
      <c r="ST179" s="1009"/>
      <c r="SU179" s="1009"/>
      <c r="SV179" s="1009"/>
      <c r="SW179" s="1009"/>
      <c r="SX179" s="1009"/>
      <c r="SY179" s="1009"/>
      <c r="SZ179" s="1009"/>
      <c r="TA179" s="1009"/>
      <c r="TB179" s="1009"/>
      <c r="TC179" s="1009"/>
      <c r="TD179" s="1009"/>
      <c r="TE179" s="1009"/>
      <c r="TF179" s="1009"/>
      <c r="TG179" s="1009"/>
      <c r="TH179" s="1009"/>
      <c r="TI179" s="1009"/>
      <c r="TJ179" s="1009"/>
      <c r="TK179" s="1009"/>
      <c r="TL179" s="1009"/>
      <c r="TM179" s="1009"/>
      <c r="TN179" s="1009"/>
      <c r="TO179" s="1009"/>
      <c r="TP179" s="1009"/>
      <c r="TQ179" s="1009"/>
      <c r="TR179" s="1009"/>
      <c r="TS179" s="1009"/>
      <c r="TT179" s="1009"/>
      <c r="TU179" s="1009"/>
      <c r="TV179" s="1009"/>
      <c r="TW179" s="1009"/>
      <c r="TX179" s="1009"/>
      <c r="TY179" s="1009"/>
      <c r="TZ179" s="1009"/>
      <c r="UA179" s="1009"/>
      <c r="UB179" s="1009"/>
      <c r="UC179" s="1009"/>
      <c r="UD179" s="1009"/>
      <c r="UE179" s="1009"/>
      <c r="UF179" s="1009"/>
      <c r="UG179" s="1009"/>
      <c r="UH179" s="1009"/>
      <c r="UI179" s="1009"/>
      <c r="UJ179" s="1009"/>
      <c r="UK179" s="1009"/>
      <c r="UL179" s="1009"/>
      <c r="UM179" s="1009"/>
      <c r="UN179" s="1009"/>
      <c r="UO179" s="1009"/>
      <c r="UP179" s="1009"/>
      <c r="UQ179" s="1009"/>
      <c r="UR179" s="1009"/>
      <c r="US179" s="1009"/>
      <c r="UT179" s="1009"/>
      <c r="UU179" s="1009"/>
      <c r="UV179" s="1009"/>
      <c r="UW179" s="1009"/>
      <c r="UX179" s="1009"/>
      <c r="UY179" s="1009"/>
      <c r="UZ179" s="1009"/>
      <c r="VA179" s="1009"/>
      <c r="VB179" s="1009"/>
      <c r="VC179" s="1009"/>
      <c r="VD179" s="1009"/>
      <c r="VE179" s="1009"/>
      <c r="VF179" s="1009"/>
      <c r="VG179" s="1009"/>
      <c r="VH179" s="1009"/>
      <c r="VI179" s="1009"/>
      <c r="VJ179" s="1009"/>
      <c r="VK179" s="1009"/>
      <c r="VL179" s="1009"/>
      <c r="VM179" s="1009"/>
      <c r="VN179" s="1009"/>
      <c r="VO179" s="1009"/>
      <c r="VP179" s="1009"/>
      <c r="VQ179" s="1009"/>
      <c r="VR179" s="1009"/>
      <c r="VS179" s="1009"/>
      <c r="VT179" s="1009"/>
      <c r="VU179" s="1009"/>
      <c r="VV179" s="1009"/>
      <c r="VW179" s="1009"/>
      <c r="VX179" s="1009"/>
      <c r="VY179" s="1009"/>
      <c r="VZ179" s="1009"/>
      <c r="WA179" s="1009"/>
      <c r="WB179" s="1009"/>
      <c r="WC179" s="1009"/>
      <c r="WD179" s="1009"/>
      <c r="WE179" s="1009"/>
      <c r="WF179" s="1009"/>
      <c r="WG179" s="1009"/>
      <c r="WH179" s="1009"/>
      <c r="WI179" s="1009"/>
      <c r="WJ179" s="1009"/>
      <c r="WK179" s="1009"/>
      <c r="WL179" s="1009"/>
      <c r="WM179" s="1009"/>
      <c r="WN179" s="1009"/>
      <c r="WO179" s="1009"/>
      <c r="WP179" s="1009"/>
      <c r="WQ179" s="1009"/>
      <c r="WR179" s="1009"/>
      <c r="WS179" s="1009"/>
      <c r="WT179" s="1009"/>
      <c r="WU179" s="1009"/>
      <c r="WV179" s="1009"/>
      <c r="WW179" s="1009"/>
      <c r="WX179" s="1009"/>
      <c r="WY179" s="1009"/>
      <c r="WZ179" s="1009"/>
      <c r="XA179" s="1009"/>
      <c r="XB179" s="1009"/>
      <c r="XC179" s="1009"/>
      <c r="XD179" s="1009"/>
      <c r="XE179" s="1009"/>
      <c r="XF179" s="1009"/>
      <c r="XG179" s="1009"/>
      <c r="XH179" s="1009"/>
      <c r="XI179" s="1009"/>
      <c r="XJ179" s="1009"/>
      <c r="XK179" s="1009"/>
      <c r="XL179" s="1009"/>
      <c r="XM179" s="1009"/>
      <c r="XN179" s="1009"/>
      <c r="XO179" s="1009"/>
      <c r="XP179" s="1009"/>
      <c r="XQ179" s="1009"/>
      <c r="XR179" s="1009"/>
      <c r="XS179" s="1009"/>
      <c r="XT179" s="1009"/>
      <c r="XU179" s="1009"/>
      <c r="XV179" s="1009"/>
      <c r="XW179" s="1009"/>
      <c r="XX179" s="1009"/>
      <c r="XY179" s="1009"/>
      <c r="XZ179" s="1009"/>
      <c r="YA179" s="1009"/>
      <c r="YB179" s="1009"/>
      <c r="YC179" s="1009"/>
      <c r="YD179" s="1009"/>
      <c r="YE179" s="1009"/>
      <c r="YF179" s="1009"/>
      <c r="YG179" s="1009"/>
      <c r="YH179" s="1009"/>
      <c r="YI179" s="1009"/>
      <c r="YJ179" s="1009"/>
      <c r="YK179" s="1009"/>
      <c r="YL179" s="1009"/>
      <c r="YM179" s="1009"/>
      <c r="YN179" s="1009"/>
      <c r="YO179" s="1009"/>
      <c r="YP179" s="1009"/>
      <c r="YQ179" s="1009"/>
      <c r="YR179" s="1009"/>
      <c r="YS179" s="1009"/>
      <c r="YT179" s="1009"/>
      <c r="YU179" s="1009"/>
      <c r="YV179" s="1009"/>
      <c r="YW179" s="1009"/>
      <c r="YX179" s="1009"/>
      <c r="YY179" s="1009"/>
      <c r="YZ179" s="1009"/>
      <c r="ZA179" s="1009"/>
      <c r="ZB179" s="1009"/>
      <c r="ZC179" s="1009"/>
      <c r="ZD179" s="1009"/>
      <c r="ZE179" s="1009"/>
      <c r="ZF179" s="1009"/>
      <c r="ZG179" s="1009"/>
      <c r="ZH179" s="1009"/>
      <c r="ZI179" s="1009"/>
      <c r="ZJ179" s="1009"/>
      <c r="ZK179" s="1009"/>
      <c r="ZL179" s="1009"/>
      <c r="ZM179" s="1009"/>
      <c r="ZN179" s="1009"/>
      <c r="ZO179" s="1009"/>
      <c r="ZP179" s="1009"/>
      <c r="ZQ179" s="1009"/>
      <c r="ZR179" s="1009"/>
      <c r="ZS179" s="1009"/>
      <c r="ZT179" s="1009"/>
      <c r="ZU179" s="1009"/>
      <c r="ZV179" s="1009"/>
      <c r="ZW179" s="1009"/>
      <c r="ZX179" s="1009"/>
      <c r="ZY179" s="1009"/>
      <c r="ZZ179" s="1009"/>
      <c r="AAA179" s="1009"/>
      <c r="AAB179" s="1009"/>
      <c r="AAC179" s="1009"/>
      <c r="AAD179" s="1009"/>
      <c r="AAE179" s="1009"/>
      <c r="AAF179" s="1009"/>
      <c r="AAG179" s="1009"/>
      <c r="AAH179" s="1009"/>
      <c r="AAI179" s="1009"/>
      <c r="AAJ179" s="1009"/>
      <c r="AAK179" s="1009"/>
      <c r="AAL179" s="1009"/>
      <c r="AAM179" s="1009"/>
      <c r="AAN179" s="1009"/>
      <c r="AAO179" s="1009"/>
      <c r="AAP179" s="1009"/>
      <c r="AAQ179" s="1009"/>
      <c r="AAR179" s="1009"/>
      <c r="AAS179" s="1009"/>
      <c r="AAT179" s="1009"/>
      <c r="AAU179" s="1009"/>
      <c r="AAV179" s="1009"/>
      <c r="AAW179" s="1009"/>
      <c r="AAX179" s="1009"/>
      <c r="AAY179" s="1009"/>
      <c r="AAZ179" s="1009"/>
      <c r="ABA179" s="1009"/>
      <c r="ABB179" s="1009"/>
      <c r="ABC179" s="1009"/>
      <c r="ABD179" s="1009"/>
      <c r="ABE179" s="1009"/>
      <c r="ABF179" s="1009"/>
      <c r="ABG179" s="1009"/>
      <c r="ABH179" s="1009"/>
      <c r="ABI179" s="1009"/>
      <c r="ABJ179" s="1009"/>
      <c r="ABK179" s="1009"/>
      <c r="ABL179" s="1009"/>
      <c r="ABM179" s="1009"/>
      <c r="ABN179" s="1009"/>
      <c r="ABO179" s="1009"/>
      <c r="ABP179" s="1009"/>
      <c r="ABQ179" s="1009"/>
      <c r="ABR179" s="1009"/>
    </row>
    <row r="180" spans="1:746" s="111" customFormat="1" ht="12" hidden="1" customHeight="1">
      <c r="A180" s="1252"/>
      <c r="B180" s="1244" t="s">
        <v>17</v>
      </c>
      <c r="C180" s="1245"/>
      <c r="D180" s="885"/>
      <c r="E180" s="1246"/>
      <c r="F180" s="551"/>
      <c r="G180" s="1247"/>
      <c r="H180" s="2544"/>
      <c r="I180" s="1966"/>
      <c r="J180" s="1966"/>
      <c r="K180" s="1966"/>
      <c r="L180" s="1966"/>
      <c r="M180" s="1966"/>
      <c r="N180" s="1966"/>
      <c r="O180" s="1966"/>
      <c r="P180" s="1966"/>
      <c r="Q180" s="1966"/>
      <c r="R180" s="1966"/>
      <c r="S180" s="1966"/>
      <c r="T180" s="373"/>
      <c r="U180" s="373"/>
      <c r="V180" s="373"/>
      <c r="W180" s="373"/>
      <c r="X180" s="373"/>
      <c r="Y180" s="373"/>
      <c r="Z180" s="373"/>
      <c r="AA180" s="373"/>
      <c r="AB180" s="373"/>
      <c r="AC180" s="373"/>
      <c r="AD180" s="373"/>
      <c r="AE180" s="373"/>
      <c r="AF180" s="373"/>
      <c r="AG180" s="1042"/>
      <c r="AH180" s="336"/>
      <c r="AI180" s="336"/>
      <c r="AJ180" s="901">
        <f>IF(fx!$C$57=1,SUMIF(fx!I$57:T$57,1,I180:T180),IF(fx!$C$57=2,SUMIF(fx!O$57:AF$57,1,O180:AF180)))</f>
        <v>0</v>
      </c>
      <c r="AK180" s="328"/>
      <c r="AL180" s="902">
        <f>IF(fx!$C$57=1,SUM(U180:AF180),0)</f>
        <v>0</v>
      </c>
      <c r="AM180" s="1028"/>
      <c r="AN180" s="1029"/>
      <c r="AO180" s="1945"/>
      <c r="AP180" s="1935"/>
      <c r="AQ180" s="1936"/>
      <c r="AR180" s="2710"/>
      <c r="AS180" s="2710"/>
      <c r="AT180" s="2710"/>
      <c r="AU180" s="2710"/>
      <c r="AV180" s="2710"/>
      <c r="AW180" s="2710"/>
      <c r="AX180" s="2710"/>
      <c r="AY180" s="2710"/>
      <c r="AZ180" s="2710"/>
      <c r="BA180" s="2710"/>
      <c r="BB180" s="2710"/>
      <c r="BC180" s="2710"/>
      <c r="BD180" s="2710"/>
      <c r="BE180" s="2710"/>
      <c r="BF180" s="2710"/>
      <c r="BG180" s="2710"/>
      <c r="BH180" s="2710"/>
      <c r="BI180" s="2710"/>
      <c r="BJ180" s="2710"/>
      <c r="BK180" s="2710"/>
      <c r="BL180" s="2710"/>
      <c r="BM180" s="2710"/>
      <c r="BN180" s="2710"/>
      <c r="BO180" s="2710"/>
      <c r="BP180" s="1009"/>
      <c r="BQ180" s="1009"/>
      <c r="BR180" s="1009"/>
      <c r="BS180" s="1009"/>
      <c r="BT180" s="1009"/>
      <c r="BU180" s="1009"/>
      <c r="BV180" s="1009"/>
      <c r="BW180" s="1009"/>
      <c r="BX180" s="1009"/>
      <c r="BY180" s="1009"/>
      <c r="BZ180" s="1009"/>
      <c r="CA180" s="1009"/>
      <c r="CB180" s="1009"/>
      <c r="CC180" s="1009"/>
      <c r="CD180" s="1009"/>
      <c r="CE180" s="1009"/>
      <c r="CF180" s="1009"/>
      <c r="CG180" s="1009"/>
      <c r="CH180" s="1009"/>
      <c r="CI180" s="1009"/>
      <c r="CJ180" s="1009"/>
      <c r="CK180" s="1009"/>
      <c r="CL180" s="1009"/>
      <c r="CM180" s="1009"/>
      <c r="CN180" s="1009"/>
      <c r="CO180" s="1009"/>
      <c r="CP180" s="1009"/>
      <c r="CQ180" s="1009"/>
      <c r="CR180" s="1009"/>
      <c r="CS180" s="1009"/>
      <c r="CT180" s="1009"/>
      <c r="CU180" s="1009"/>
      <c r="CV180" s="1009"/>
      <c r="CW180" s="1009"/>
      <c r="CX180" s="1009"/>
      <c r="CY180" s="1009"/>
      <c r="CZ180" s="1009"/>
      <c r="DA180" s="1009"/>
      <c r="DB180" s="1009"/>
      <c r="DC180" s="1009"/>
      <c r="DD180" s="1009"/>
      <c r="DE180" s="1009"/>
      <c r="DF180" s="1009"/>
      <c r="DG180" s="1009"/>
      <c r="DH180" s="1009"/>
      <c r="DI180" s="1009"/>
      <c r="DJ180" s="1009"/>
      <c r="DK180" s="1009"/>
      <c r="DL180" s="1009"/>
      <c r="DM180" s="1009"/>
      <c r="DN180" s="1009"/>
      <c r="DO180" s="1009"/>
      <c r="DP180" s="1009"/>
      <c r="DQ180" s="1009"/>
      <c r="DR180" s="1009"/>
      <c r="DS180" s="1009"/>
      <c r="DT180" s="1009"/>
      <c r="DU180" s="1009"/>
      <c r="DV180" s="1009"/>
      <c r="DW180" s="1009"/>
      <c r="DX180" s="1009"/>
      <c r="DY180" s="1009"/>
      <c r="DZ180" s="1009"/>
      <c r="EA180" s="1009"/>
      <c r="EB180" s="1009"/>
      <c r="EC180" s="1009"/>
      <c r="ED180" s="1009"/>
      <c r="EE180" s="1009"/>
      <c r="EF180" s="1009"/>
      <c r="EG180" s="1009"/>
      <c r="EH180" s="1009"/>
      <c r="EI180" s="1009"/>
      <c r="EJ180" s="1009"/>
      <c r="EK180" s="1009"/>
      <c r="EL180" s="1009"/>
      <c r="EM180" s="1009"/>
      <c r="EN180" s="1009"/>
      <c r="EO180" s="1009"/>
      <c r="EP180" s="1009"/>
      <c r="EQ180" s="1009"/>
      <c r="ER180" s="1009"/>
      <c r="ES180" s="1009"/>
      <c r="ET180" s="1009"/>
      <c r="EU180" s="1009"/>
      <c r="EV180" s="1009"/>
      <c r="EW180" s="1009"/>
      <c r="EX180" s="1009"/>
      <c r="EY180" s="1009"/>
      <c r="EZ180" s="1009"/>
      <c r="FA180" s="1009"/>
      <c r="FB180" s="1009"/>
      <c r="FC180" s="1009"/>
      <c r="FD180" s="1009"/>
      <c r="FE180" s="1009"/>
      <c r="FF180" s="1009"/>
      <c r="FG180" s="1009"/>
      <c r="FH180" s="1009"/>
      <c r="FI180" s="1009"/>
      <c r="FJ180" s="1009"/>
      <c r="FK180" s="1009"/>
      <c r="FL180" s="1009"/>
      <c r="FM180" s="1009"/>
      <c r="FN180" s="1009"/>
      <c r="FO180" s="1009"/>
      <c r="FP180" s="1009"/>
      <c r="FQ180" s="1009"/>
      <c r="FR180" s="1009"/>
      <c r="FS180" s="1009"/>
      <c r="FT180" s="1009"/>
      <c r="FU180" s="1009"/>
      <c r="FV180" s="1009"/>
      <c r="FW180" s="1009"/>
      <c r="FX180" s="1009"/>
      <c r="FY180" s="1009"/>
      <c r="FZ180" s="1009"/>
      <c r="GA180" s="1009"/>
      <c r="GB180" s="1009"/>
      <c r="GC180" s="1009"/>
      <c r="GD180" s="1009"/>
      <c r="GE180" s="1009"/>
      <c r="GF180" s="1009"/>
      <c r="GG180" s="1009"/>
      <c r="GH180" s="1009"/>
      <c r="GI180" s="1009"/>
      <c r="GJ180" s="1009"/>
      <c r="GK180" s="1009"/>
      <c r="GL180" s="1009"/>
      <c r="GM180" s="1009"/>
      <c r="GN180" s="1009"/>
      <c r="GO180" s="1009"/>
      <c r="GP180" s="1009"/>
      <c r="GQ180" s="1009"/>
      <c r="GR180" s="1009"/>
      <c r="GS180" s="1009"/>
      <c r="GT180" s="1009"/>
      <c r="GU180" s="1009"/>
      <c r="GV180" s="1009"/>
      <c r="GW180" s="1009"/>
      <c r="GX180" s="1009"/>
      <c r="GY180" s="1009"/>
      <c r="GZ180" s="1009"/>
      <c r="HA180" s="1009"/>
      <c r="HB180" s="1009"/>
      <c r="HC180" s="1009"/>
      <c r="HD180" s="1009"/>
      <c r="HE180" s="1009"/>
      <c r="HF180" s="1009"/>
      <c r="HG180" s="1009"/>
      <c r="HH180" s="1009"/>
      <c r="HI180" s="1009"/>
      <c r="HJ180" s="1009"/>
      <c r="HK180" s="1009"/>
      <c r="HL180" s="1009"/>
      <c r="HM180" s="1009"/>
      <c r="HN180" s="1009"/>
      <c r="HO180" s="1009"/>
      <c r="HP180" s="1009"/>
      <c r="HQ180" s="1009"/>
      <c r="HR180" s="1009"/>
      <c r="HS180" s="1009"/>
      <c r="HT180" s="1009"/>
      <c r="HU180" s="1009"/>
      <c r="HV180" s="1009"/>
      <c r="HW180" s="1009"/>
      <c r="HX180" s="1009"/>
      <c r="HY180" s="1009"/>
      <c r="HZ180" s="1009"/>
      <c r="IA180" s="1009"/>
      <c r="IB180" s="1009"/>
      <c r="IC180" s="1009"/>
      <c r="ID180" s="1009"/>
      <c r="IE180" s="1009"/>
      <c r="IF180" s="1009"/>
      <c r="IG180" s="1009"/>
      <c r="IH180" s="1009"/>
      <c r="II180" s="1009"/>
      <c r="IJ180" s="1009"/>
      <c r="IK180" s="1009"/>
      <c r="IL180" s="1009"/>
      <c r="IM180" s="1009"/>
      <c r="IN180" s="1009"/>
      <c r="IO180" s="1009"/>
      <c r="IP180" s="1009"/>
      <c r="IQ180" s="1009"/>
      <c r="IR180" s="1009"/>
      <c r="IS180" s="1009"/>
      <c r="IT180" s="1009"/>
      <c r="IU180" s="1009"/>
      <c r="IV180" s="1009"/>
      <c r="IW180" s="1009"/>
      <c r="IX180" s="1009"/>
      <c r="IY180" s="1009"/>
      <c r="IZ180" s="1009"/>
      <c r="JA180" s="1009"/>
      <c r="JB180" s="1009"/>
      <c r="JC180" s="1009"/>
      <c r="JD180" s="1009"/>
      <c r="JE180" s="1009"/>
      <c r="JF180" s="1009"/>
      <c r="JG180" s="1009"/>
      <c r="JH180" s="1009"/>
      <c r="JI180" s="1009"/>
      <c r="JJ180" s="1009"/>
      <c r="JK180" s="1009"/>
      <c r="JL180" s="1009"/>
      <c r="JM180" s="1009"/>
      <c r="JN180" s="1009"/>
      <c r="JO180" s="1009"/>
      <c r="JP180" s="1009"/>
      <c r="JQ180" s="1009"/>
      <c r="JR180" s="1009"/>
      <c r="JS180" s="1009"/>
      <c r="JT180" s="1009"/>
      <c r="JU180" s="1009"/>
      <c r="JV180" s="1009"/>
      <c r="JW180" s="1009"/>
      <c r="JX180" s="1009"/>
      <c r="JY180" s="1009"/>
      <c r="JZ180" s="1009"/>
      <c r="KA180" s="1009"/>
      <c r="KB180" s="1009"/>
      <c r="KC180" s="1009"/>
      <c r="KD180" s="1009"/>
      <c r="KE180" s="1009"/>
      <c r="KF180" s="1009"/>
      <c r="KG180" s="1009"/>
      <c r="KH180" s="1009"/>
      <c r="KI180" s="1009"/>
      <c r="KJ180" s="1009"/>
      <c r="KK180" s="1009"/>
      <c r="KL180" s="1009"/>
      <c r="KM180" s="1009"/>
      <c r="KN180" s="1009"/>
      <c r="KO180" s="1009"/>
      <c r="KP180" s="1009"/>
      <c r="KQ180" s="1009"/>
      <c r="KR180" s="1009"/>
      <c r="KS180" s="1009"/>
      <c r="KT180" s="1009"/>
      <c r="KU180" s="1009"/>
      <c r="KV180" s="1009"/>
      <c r="KW180" s="1009"/>
      <c r="KX180" s="1009"/>
      <c r="KY180" s="1009"/>
      <c r="KZ180" s="1009"/>
      <c r="LA180" s="1009"/>
      <c r="LB180" s="1009"/>
      <c r="LC180" s="1009"/>
      <c r="LD180" s="1009"/>
      <c r="LE180" s="1009"/>
      <c r="LF180" s="1009"/>
      <c r="LG180" s="1009"/>
      <c r="LH180" s="1009"/>
      <c r="LI180" s="1009"/>
      <c r="LJ180" s="1009"/>
      <c r="LK180" s="1009"/>
      <c r="LL180" s="1009"/>
      <c r="LM180" s="1009"/>
      <c r="LN180" s="1009"/>
      <c r="LO180" s="1009"/>
      <c r="LP180" s="1009"/>
      <c r="LQ180" s="1009"/>
      <c r="LR180" s="1009"/>
      <c r="LS180" s="1009"/>
      <c r="LT180" s="1009"/>
      <c r="LU180" s="1009"/>
      <c r="LV180" s="1009"/>
      <c r="LW180" s="1009"/>
      <c r="LX180" s="1009"/>
      <c r="LY180" s="1009"/>
      <c r="LZ180" s="1009"/>
      <c r="MA180" s="1009"/>
      <c r="MB180" s="1009"/>
      <c r="MC180" s="1009"/>
      <c r="MD180" s="1009"/>
      <c r="ME180" s="1009"/>
      <c r="MF180" s="1009"/>
      <c r="MG180" s="1009"/>
      <c r="MH180" s="1009"/>
      <c r="MI180" s="1009"/>
      <c r="MJ180" s="1009"/>
      <c r="MK180" s="1009"/>
      <c r="ML180" s="1009"/>
      <c r="MM180" s="1009"/>
      <c r="MN180" s="1009"/>
      <c r="MO180" s="1009"/>
      <c r="MP180" s="1009"/>
      <c r="MQ180" s="1009"/>
      <c r="MR180" s="1009"/>
      <c r="MS180" s="1009"/>
      <c r="MT180" s="1009"/>
      <c r="MU180" s="1009"/>
      <c r="MV180" s="1009"/>
      <c r="MW180" s="1009"/>
      <c r="MX180" s="1009"/>
      <c r="MY180" s="1009"/>
      <c r="MZ180" s="1009"/>
      <c r="NA180" s="1009"/>
      <c r="NB180" s="1009"/>
      <c r="NC180" s="1009"/>
      <c r="ND180" s="1009"/>
      <c r="NE180" s="1009"/>
      <c r="NF180" s="1009"/>
      <c r="NG180" s="1009"/>
      <c r="NH180" s="1009"/>
      <c r="NI180" s="1009"/>
      <c r="NJ180" s="1009"/>
      <c r="NK180" s="1009"/>
      <c r="NL180" s="1009"/>
      <c r="NM180" s="1009"/>
      <c r="NN180" s="1009"/>
      <c r="NO180" s="1009"/>
      <c r="NP180" s="1009"/>
      <c r="NQ180" s="1009"/>
      <c r="NR180" s="1009"/>
      <c r="NS180" s="1009"/>
      <c r="NT180" s="1009"/>
      <c r="NU180" s="1009"/>
      <c r="NV180" s="1009"/>
      <c r="NW180" s="1009"/>
      <c r="NX180" s="1009"/>
      <c r="NY180" s="1009"/>
      <c r="NZ180" s="1009"/>
      <c r="OA180" s="1009"/>
      <c r="OB180" s="1009"/>
      <c r="OC180" s="1009"/>
      <c r="OD180" s="1009"/>
      <c r="OE180" s="1009"/>
      <c r="OF180" s="1009"/>
      <c r="OG180" s="1009"/>
      <c r="OH180" s="1009"/>
      <c r="OI180" s="1009"/>
      <c r="OJ180" s="1009"/>
      <c r="OK180" s="1009"/>
      <c r="OL180" s="1009"/>
      <c r="OM180" s="1009"/>
      <c r="ON180" s="1009"/>
      <c r="OO180" s="1009"/>
      <c r="OP180" s="1009"/>
      <c r="OQ180" s="1009"/>
      <c r="OR180" s="1009"/>
      <c r="OS180" s="1009"/>
      <c r="OT180" s="1009"/>
      <c r="OU180" s="1009"/>
      <c r="OV180" s="1009"/>
      <c r="OW180" s="1009"/>
      <c r="OX180" s="1009"/>
      <c r="OY180" s="1009"/>
      <c r="OZ180" s="1009"/>
      <c r="PA180" s="1009"/>
      <c r="PB180" s="1009"/>
      <c r="PC180" s="1009"/>
      <c r="PD180" s="1009"/>
      <c r="PE180" s="1009"/>
      <c r="PF180" s="1009"/>
      <c r="PG180" s="1009"/>
      <c r="PH180" s="1009"/>
      <c r="PI180" s="1009"/>
      <c r="PJ180" s="1009"/>
      <c r="PK180" s="1009"/>
      <c r="PL180" s="1009"/>
      <c r="PM180" s="1009"/>
      <c r="PN180" s="1009"/>
      <c r="PO180" s="1009"/>
      <c r="PP180" s="1009"/>
      <c r="PQ180" s="1009"/>
      <c r="PR180" s="1009"/>
      <c r="PS180" s="1009"/>
      <c r="PT180" s="1009"/>
      <c r="PU180" s="1009"/>
      <c r="PV180" s="1009"/>
      <c r="PW180" s="1009"/>
      <c r="PX180" s="1009"/>
      <c r="PY180" s="1009"/>
      <c r="PZ180" s="1009"/>
      <c r="QA180" s="1009"/>
      <c r="QB180" s="1009"/>
      <c r="QC180" s="1009"/>
      <c r="QD180" s="1009"/>
      <c r="QE180" s="1009"/>
      <c r="QF180" s="1009"/>
      <c r="QG180" s="1009"/>
      <c r="QH180" s="1009"/>
      <c r="QI180" s="1009"/>
      <c r="QJ180" s="1009"/>
      <c r="QK180" s="1009"/>
      <c r="QL180" s="1009"/>
      <c r="QM180" s="1009"/>
      <c r="QN180" s="1009"/>
      <c r="QO180" s="1009"/>
      <c r="QP180" s="1009"/>
      <c r="QQ180" s="1009"/>
      <c r="QR180" s="1009"/>
      <c r="QS180" s="1009"/>
      <c r="QT180" s="1009"/>
      <c r="QU180" s="1009"/>
      <c r="QV180" s="1009"/>
      <c r="QW180" s="1009"/>
      <c r="QX180" s="1009"/>
      <c r="QY180" s="1009"/>
      <c r="QZ180" s="1009"/>
      <c r="RA180" s="1009"/>
      <c r="RB180" s="1009"/>
      <c r="RC180" s="1009"/>
      <c r="RD180" s="1009"/>
      <c r="RE180" s="1009"/>
      <c r="RF180" s="1009"/>
      <c r="RG180" s="1009"/>
      <c r="RH180" s="1009"/>
      <c r="RI180" s="1009"/>
      <c r="RJ180" s="1009"/>
      <c r="RK180" s="1009"/>
      <c r="RL180" s="1009"/>
      <c r="RM180" s="1009"/>
      <c r="RN180" s="1009"/>
      <c r="RO180" s="1009"/>
      <c r="RP180" s="1009"/>
      <c r="RQ180" s="1009"/>
      <c r="RR180" s="1009"/>
      <c r="RS180" s="1009"/>
      <c r="RT180" s="1009"/>
      <c r="RU180" s="1009"/>
      <c r="RV180" s="1009"/>
      <c r="RW180" s="1009"/>
      <c r="RX180" s="1009"/>
      <c r="RY180" s="1009"/>
      <c r="RZ180" s="1009"/>
      <c r="SA180" s="1009"/>
      <c r="SB180" s="1009"/>
      <c r="SC180" s="1009"/>
      <c r="SD180" s="1009"/>
      <c r="SE180" s="1009"/>
      <c r="SF180" s="1009"/>
      <c r="SG180" s="1009"/>
      <c r="SH180" s="1009"/>
      <c r="SI180" s="1009"/>
      <c r="SJ180" s="1009"/>
      <c r="SK180" s="1009"/>
      <c r="SL180" s="1009"/>
      <c r="SM180" s="1009"/>
      <c r="SN180" s="1009"/>
      <c r="SO180" s="1009"/>
      <c r="SP180" s="1009"/>
      <c r="SQ180" s="1009"/>
      <c r="SR180" s="1009"/>
      <c r="SS180" s="1009"/>
      <c r="ST180" s="1009"/>
      <c r="SU180" s="1009"/>
      <c r="SV180" s="1009"/>
      <c r="SW180" s="1009"/>
      <c r="SX180" s="1009"/>
      <c r="SY180" s="1009"/>
      <c r="SZ180" s="1009"/>
      <c r="TA180" s="1009"/>
      <c r="TB180" s="1009"/>
      <c r="TC180" s="1009"/>
      <c r="TD180" s="1009"/>
      <c r="TE180" s="1009"/>
      <c r="TF180" s="1009"/>
      <c r="TG180" s="1009"/>
      <c r="TH180" s="1009"/>
      <c r="TI180" s="1009"/>
      <c r="TJ180" s="1009"/>
      <c r="TK180" s="1009"/>
      <c r="TL180" s="1009"/>
      <c r="TM180" s="1009"/>
      <c r="TN180" s="1009"/>
      <c r="TO180" s="1009"/>
      <c r="TP180" s="1009"/>
      <c r="TQ180" s="1009"/>
      <c r="TR180" s="1009"/>
      <c r="TS180" s="1009"/>
      <c r="TT180" s="1009"/>
      <c r="TU180" s="1009"/>
      <c r="TV180" s="1009"/>
      <c r="TW180" s="1009"/>
      <c r="TX180" s="1009"/>
      <c r="TY180" s="1009"/>
      <c r="TZ180" s="1009"/>
      <c r="UA180" s="1009"/>
      <c r="UB180" s="1009"/>
      <c r="UC180" s="1009"/>
      <c r="UD180" s="1009"/>
      <c r="UE180" s="1009"/>
      <c r="UF180" s="1009"/>
      <c r="UG180" s="1009"/>
      <c r="UH180" s="1009"/>
      <c r="UI180" s="1009"/>
      <c r="UJ180" s="1009"/>
      <c r="UK180" s="1009"/>
      <c r="UL180" s="1009"/>
      <c r="UM180" s="1009"/>
      <c r="UN180" s="1009"/>
      <c r="UO180" s="1009"/>
      <c r="UP180" s="1009"/>
      <c r="UQ180" s="1009"/>
      <c r="UR180" s="1009"/>
      <c r="US180" s="1009"/>
      <c r="UT180" s="1009"/>
      <c r="UU180" s="1009"/>
      <c r="UV180" s="1009"/>
      <c r="UW180" s="1009"/>
      <c r="UX180" s="1009"/>
      <c r="UY180" s="1009"/>
      <c r="UZ180" s="1009"/>
      <c r="VA180" s="1009"/>
      <c r="VB180" s="1009"/>
      <c r="VC180" s="1009"/>
      <c r="VD180" s="1009"/>
      <c r="VE180" s="1009"/>
      <c r="VF180" s="1009"/>
      <c r="VG180" s="1009"/>
      <c r="VH180" s="1009"/>
      <c r="VI180" s="1009"/>
      <c r="VJ180" s="1009"/>
      <c r="VK180" s="1009"/>
      <c r="VL180" s="1009"/>
      <c r="VM180" s="1009"/>
      <c r="VN180" s="1009"/>
      <c r="VO180" s="1009"/>
      <c r="VP180" s="1009"/>
      <c r="VQ180" s="1009"/>
      <c r="VR180" s="1009"/>
      <c r="VS180" s="1009"/>
      <c r="VT180" s="1009"/>
      <c r="VU180" s="1009"/>
      <c r="VV180" s="1009"/>
      <c r="VW180" s="1009"/>
      <c r="VX180" s="1009"/>
      <c r="VY180" s="1009"/>
      <c r="VZ180" s="1009"/>
      <c r="WA180" s="1009"/>
      <c r="WB180" s="1009"/>
      <c r="WC180" s="1009"/>
      <c r="WD180" s="1009"/>
      <c r="WE180" s="1009"/>
      <c r="WF180" s="1009"/>
      <c r="WG180" s="1009"/>
      <c r="WH180" s="1009"/>
      <c r="WI180" s="1009"/>
      <c r="WJ180" s="1009"/>
      <c r="WK180" s="1009"/>
      <c r="WL180" s="1009"/>
      <c r="WM180" s="1009"/>
      <c r="WN180" s="1009"/>
      <c r="WO180" s="1009"/>
      <c r="WP180" s="1009"/>
      <c r="WQ180" s="1009"/>
      <c r="WR180" s="1009"/>
      <c r="WS180" s="1009"/>
      <c r="WT180" s="1009"/>
      <c r="WU180" s="1009"/>
      <c r="WV180" s="1009"/>
      <c r="WW180" s="1009"/>
      <c r="WX180" s="1009"/>
      <c r="WY180" s="1009"/>
      <c r="WZ180" s="1009"/>
      <c r="XA180" s="1009"/>
      <c r="XB180" s="1009"/>
      <c r="XC180" s="1009"/>
      <c r="XD180" s="1009"/>
      <c r="XE180" s="1009"/>
      <c r="XF180" s="1009"/>
      <c r="XG180" s="1009"/>
      <c r="XH180" s="1009"/>
      <c r="XI180" s="1009"/>
      <c r="XJ180" s="1009"/>
      <c r="XK180" s="1009"/>
      <c r="XL180" s="1009"/>
      <c r="XM180" s="1009"/>
      <c r="XN180" s="1009"/>
      <c r="XO180" s="1009"/>
      <c r="XP180" s="1009"/>
      <c r="XQ180" s="1009"/>
      <c r="XR180" s="1009"/>
      <c r="XS180" s="1009"/>
      <c r="XT180" s="1009"/>
      <c r="XU180" s="1009"/>
      <c r="XV180" s="1009"/>
      <c r="XW180" s="1009"/>
      <c r="XX180" s="1009"/>
      <c r="XY180" s="1009"/>
      <c r="XZ180" s="1009"/>
      <c r="YA180" s="1009"/>
      <c r="YB180" s="1009"/>
      <c r="YC180" s="1009"/>
      <c r="YD180" s="1009"/>
      <c r="YE180" s="1009"/>
      <c r="YF180" s="1009"/>
      <c r="YG180" s="1009"/>
      <c r="YH180" s="1009"/>
      <c r="YI180" s="1009"/>
      <c r="YJ180" s="1009"/>
      <c r="YK180" s="1009"/>
      <c r="YL180" s="1009"/>
      <c r="YM180" s="1009"/>
      <c r="YN180" s="1009"/>
      <c r="YO180" s="1009"/>
      <c r="YP180" s="1009"/>
      <c r="YQ180" s="1009"/>
      <c r="YR180" s="1009"/>
      <c r="YS180" s="1009"/>
      <c r="YT180" s="1009"/>
      <c r="YU180" s="1009"/>
      <c r="YV180" s="1009"/>
      <c r="YW180" s="1009"/>
      <c r="YX180" s="1009"/>
      <c r="YY180" s="1009"/>
      <c r="YZ180" s="1009"/>
      <c r="ZA180" s="1009"/>
      <c r="ZB180" s="1009"/>
      <c r="ZC180" s="1009"/>
      <c r="ZD180" s="1009"/>
      <c r="ZE180" s="1009"/>
      <c r="ZF180" s="1009"/>
      <c r="ZG180" s="1009"/>
      <c r="ZH180" s="1009"/>
      <c r="ZI180" s="1009"/>
      <c r="ZJ180" s="1009"/>
      <c r="ZK180" s="1009"/>
      <c r="ZL180" s="1009"/>
      <c r="ZM180" s="1009"/>
      <c r="ZN180" s="1009"/>
      <c r="ZO180" s="1009"/>
      <c r="ZP180" s="1009"/>
      <c r="ZQ180" s="1009"/>
      <c r="ZR180" s="1009"/>
      <c r="ZS180" s="1009"/>
      <c r="ZT180" s="1009"/>
      <c r="ZU180" s="1009"/>
      <c r="ZV180" s="1009"/>
      <c r="ZW180" s="1009"/>
      <c r="ZX180" s="1009"/>
      <c r="ZY180" s="1009"/>
      <c r="ZZ180" s="1009"/>
      <c r="AAA180" s="1009"/>
      <c r="AAB180" s="1009"/>
      <c r="AAC180" s="1009"/>
      <c r="AAD180" s="1009"/>
      <c r="AAE180" s="1009"/>
      <c r="AAF180" s="1009"/>
      <c r="AAG180" s="1009"/>
      <c r="AAH180" s="1009"/>
      <c r="AAI180" s="1009"/>
      <c r="AAJ180" s="1009"/>
      <c r="AAK180" s="1009"/>
      <c r="AAL180" s="1009"/>
      <c r="AAM180" s="1009"/>
      <c r="AAN180" s="1009"/>
      <c r="AAO180" s="1009"/>
      <c r="AAP180" s="1009"/>
      <c r="AAQ180" s="1009"/>
      <c r="AAR180" s="1009"/>
      <c r="AAS180" s="1009"/>
      <c r="AAT180" s="1009"/>
      <c r="AAU180" s="1009"/>
      <c r="AAV180" s="1009"/>
      <c r="AAW180" s="1009"/>
      <c r="AAX180" s="1009"/>
      <c r="AAY180" s="1009"/>
      <c r="AAZ180" s="1009"/>
      <c r="ABA180" s="1009"/>
      <c r="ABB180" s="1009"/>
      <c r="ABC180" s="1009"/>
      <c r="ABD180" s="1009"/>
      <c r="ABE180" s="1009"/>
      <c r="ABF180" s="1009"/>
      <c r="ABG180" s="1009"/>
      <c r="ABH180" s="1009"/>
      <c r="ABI180" s="1009"/>
      <c r="ABJ180" s="1009"/>
      <c r="ABK180" s="1009"/>
      <c r="ABL180" s="1009"/>
      <c r="ABM180" s="1009"/>
      <c r="ABN180" s="1009"/>
      <c r="ABO180" s="1009"/>
      <c r="ABP180" s="1009"/>
      <c r="ABQ180" s="1009"/>
      <c r="ABR180" s="1009"/>
    </row>
    <row r="181" spans="1:746" s="111" customFormat="1" ht="12" hidden="1" customHeight="1">
      <c r="A181" s="1252"/>
      <c r="B181" s="2711" t="s">
        <v>827</v>
      </c>
      <c r="C181" s="2712"/>
      <c r="D181" s="2712"/>
      <c r="E181" s="2712"/>
      <c r="F181" s="2712"/>
      <c r="G181" s="2712"/>
      <c r="H181" s="2713"/>
      <c r="I181" s="1771">
        <f>SUMIF(fx!$I$57:I57,1,$I$179:I179)-SUMIF(fx!$I$57:I57,1,$I$180:I180)</f>
        <v>0</v>
      </c>
      <c r="J181" s="955">
        <f>SUMIF(fx!$I$57:J57,1,$I$179:J179)-SUMIF(fx!$I$57:J57,1,$I$180:J180)</f>
        <v>0</v>
      </c>
      <c r="K181" s="955">
        <f>SUMIF(fx!$I$57:K57,1,$I$179:K179)-SUMIF(fx!$I$57:K57,1,$I$180:K180)</f>
        <v>0</v>
      </c>
      <c r="L181" s="955">
        <f>SUMIF(fx!$I$57:L57,1,$I$179:L179)-SUMIF(fx!$I$57:L57,1,$I$180:L180)</f>
        <v>0</v>
      </c>
      <c r="M181" s="955">
        <f>SUMIF(fx!$I$57:M57,1,$I$179:M179)-SUMIF(fx!$I$57:M57,1,$I$180:M180)</f>
        <v>0</v>
      </c>
      <c r="N181" s="955">
        <f>SUMIF(fx!$I$57:N57,1,$I$179:N179)-SUMIF(fx!$I$57:N57,1,$I$180:N180)</f>
        <v>0</v>
      </c>
      <c r="O181" s="955">
        <f>SUMIF(fx!$I$57:O57,1,$I$179:O179)-SUMIF(fx!$I$57:O57,1,$I$180:O180)</f>
        <v>0</v>
      </c>
      <c r="P181" s="955">
        <f>SUMIF(fx!$I$57:P57,1,$I$179:P179)-SUMIF(fx!$I$57:P57,1,$I$180:P180)</f>
        <v>0</v>
      </c>
      <c r="Q181" s="955">
        <f>SUMIF(fx!$I$57:Q57,1,$I$179:Q179)-SUMIF(fx!$I$57:Q57,1,$I$180:Q180)</f>
        <v>0</v>
      </c>
      <c r="R181" s="955">
        <f>SUMIF(fx!$I$57:R57,1,$I$179:R179)-SUMIF(fx!$I$57:R57,1,$I$180:R180)</f>
        <v>0</v>
      </c>
      <c r="S181" s="955">
        <f>SUMIF(fx!$I$57:S57,1,$I$179:S179)-SUMIF(fx!$I$57:S57,1,$I$180:S180)</f>
        <v>0</v>
      </c>
      <c r="T181" s="955">
        <f>SUMIF(fx!$I$57:T57,1,$I$179:T179)-SUMIF(fx!$I$57:T57,1,$I$180:T180)</f>
        <v>0</v>
      </c>
      <c r="U181" s="955">
        <f>SUMIF(fx!$I$57:U57,1,$I$179:U179)-SUMIF(fx!$I$57:U57,1,$I$180:U180)</f>
        <v>0</v>
      </c>
      <c r="V181" s="955">
        <f>SUMIF(fx!$I$57:V57,1,$I$179:V179)-SUMIF(fx!$I$57:V57,1,$I$180:V180)</f>
        <v>0</v>
      </c>
      <c r="W181" s="955">
        <f>SUMIF(fx!$I$57:W57,1,$I$179:W179)-SUMIF(fx!$I$57:W57,1,$I$180:W180)</f>
        <v>0</v>
      </c>
      <c r="X181" s="955">
        <f>SUMIF(fx!$I$57:X57,1,$I$179:X179)-SUMIF(fx!$I$57:X57,1,$I$180:X180)</f>
        <v>0</v>
      </c>
      <c r="Y181" s="955">
        <f>SUMIF(fx!$I$57:Y57,1,$I$179:Y179)-SUMIF(fx!$I$57:Y57,1,$I$180:Y180)</f>
        <v>0</v>
      </c>
      <c r="Z181" s="955">
        <f>SUMIF(fx!$I$57:Z57,1,$I$179:Z179)-SUMIF(fx!$I$57:Z57,1,$I$180:Z180)</f>
        <v>0</v>
      </c>
      <c r="AA181" s="955">
        <f>SUMIF(fx!$I$57:AA57,1,$I$179:AA179)-SUMIF(fx!$I$57:AA57,1,$I$180:AA180)</f>
        <v>0</v>
      </c>
      <c r="AB181" s="955">
        <f>SUMIF(fx!$I$57:AB57,1,$I$179:AB179)-SUMIF(fx!$I$57:AB57,1,$I$180:AB180)</f>
        <v>0</v>
      </c>
      <c r="AC181" s="955">
        <f>SUMIF(fx!$I$57:AC57,1,$I$179:AC179)-SUMIF(fx!$I$57:AC57,1,$I$180:AC180)</f>
        <v>0</v>
      </c>
      <c r="AD181" s="955">
        <f>SUMIF(fx!$I$57:AD57,1,$I$179:AD179)-SUMIF(fx!$I$57:AD57,1,$I$180:AD180)</f>
        <v>0</v>
      </c>
      <c r="AE181" s="955">
        <f>SUMIF(fx!$I$57:AE57,1,$I$179:AE179)-SUMIF(fx!$I$57:AE57,1,$I$180:AE180)</f>
        <v>0</v>
      </c>
      <c r="AF181" s="955">
        <f>SUMIF(fx!$I$57:AF57,1,$I$179:AF179)-SUMIF(fx!$I$57:AF57,1,$I$180:AF180)</f>
        <v>0</v>
      </c>
      <c r="AG181" s="376"/>
      <c r="AH181" s="336"/>
      <c r="AI181" s="336"/>
      <c r="AJ181" s="901">
        <f>IF(fx!$C$57=1,T181,IF(fx!$C$57=2,AF181))</f>
        <v>0</v>
      </c>
      <c r="AK181" s="328"/>
      <c r="AL181" s="902">
        <f>IF(fx!$C$57=1,AF181,0)</f>
        <v>0</v>
      </c>
      <c r="AM181" s="1028"/>
      <c r="AN181" s="1029"/>
      <c r="AO181" s="1945"/>
      <c r="AP181" s="1935"/>
      <c r="AQ181" s="1936"/>
      <c r="AR181" s="2710"/>
      <c r="AS181" s="2710"/>
      <c r="AT181" s="2710"/>
      <c r="AU181" s="2710"/>
      <c r="AV181" s="2710"/>
      <c r="AW181" s="2710"/>
      <c r="AX181" s="2710"/>
      <c r="AY181" s="2710"/>
      <c r="AZ181" s="2710"/>
      <c r="BA181" s="2710"/>
      <c r="BB181" s="2710"/>
      <c r="BC181" s="2710"/>
      <c r="BD181" s="2710"/>
      <c r="BE181" s="2710"/>
      <c r="BF181" s="2710"/>
      <c r="BG181" s="2710"/>
      <c r="BH181" s="2710"/>
      <c r="BI181" s="2710"/>
      <c r="BJ181" s="2710"/>
      <c r="BK181" s="2710"/>
      <c r="BL181" s="2710"/>
      <c r="BM181" s="2710"/>
      <c r="BN181" s="2710"/>
      <c r="BO181" s="2710"/>
      <c r="BP181" s="1009"/>
      <c r="BQ181" s="1009"/>
      <c r="BR181" s="1009"/>
      <c r="BS181" s="1009"/>
      <c r="BT181" s="1009"/>
      <c r="BU181" s="1009"/>
      <c r="BV181" s="1009"/>
      <c r="BW181" s="1009"/>
      <c r="BX181" s="1009"/>
      <c r="BY181" s="1009"/>
      <c r="BZ181" s="1009"/>
      <c r="CA181" s="1009"/>
      <c r="CB181" s="1009"/>
      <c r="CC181" s="1009"/>
      <c r="CD181" s="1009"/>
      <c r="CE181" s="1009"/>
      <c r="CF181" s="1009"/>
      <c r="CG181" s="1009"/>
      <c r="CH181" s="1009"/>
      <c r="CI181" s="1009"/>
      <c r="CJ181" s="1009"/>
      <c r="CK181" s="1009"/>
      <c r="CL181" s="1009"/>
      <c r="CM181" s="1009"/>
      <c r="CN181" s="1009"/>
      <c r="CO181" s="1009"/>
      <c r="CP181" s="1009"/>
      <c r="CQ181" s="1009"/>
      <c r="CR181" s="1009"/>
      <c r="CS181" s="1009"/>
      <c r="CT181" s="1009"/>
      <c r="CU181" s="1009"/>
      <c r="CV181" s="1009"/>
      <c r="CW181" s="1009"/>
      <c r="CX181" s="1009"/>
      <c r="CY181" s="1009"/>
      <c r="CZ181" s="1009"/>
      <c r="DA181" s="1009"/>
      <c r="DB181" s="1009"/>
      <c r="DC181" s="1009"/>
      <c r="DD181" s="1009"/>
      <c r="DE181" s="1009"/>
      <c r="DF181" s="1009"/>
      <c r="DG181" s="1009"/>
      <c r="DH181" s="1009"/>
      <c r="DI181" s="1009"/>
      <c r="DJ181" s="1009"/>
      <c r="DK181" s="1009"/>
      <c r="DL181" s="1009"/>
      <c r="DM181" s="1009"/>
      <c r="DN181" s="1009"/>
      <c r="DO181" s="1009"/>
      <c r="DP181" s="1009"/>
      <c r="DQ181" s="1009"/>
      <c r="DR181" s="1009"/>
      <c r="DS181" s="1009"/>
      <c r="DT181" s="1009"/>
      <c r="DU181" s="1009"/>
      <c r="DV181" s="1009"/>
      <c r="DW181" s="1009"/>
      <c r="DX181" s="1009"/>
      <c r="DY181" s="1009"/>
      <c r="DZ181" s="1009"/>
      <c r="EA181" s="1009"/>
      <c r="EB181" s="1009"/>
      <c r="EC181" s="1009"/>
      <c r="ED181" s="1009"/>
      <c r="EE181" s="1009"/>
      <c r="EF181" s="1009"/>
      <c r="EG181" s="1009"/>
      <c r="EH181" s="1009"/>
      <c r="EI181" s="1009"/>
      <c r="EJ181" s="1009"/>
      <c r="EK181" s="1009"/>
      <c r="EL181" s="1009"/>
      <c r="EM181" s="1009"/>
      <c r="EN181" s="1009"/>
      <c r="EO181" s="1009"/>
      <c r="EP181" s="1009"/>
      <c r="EQ181" s="1009"/>
      <c r="ER181" s="1009"/>
      <c r="ES181" s="1009"/>
      <c r="ET181" s="1009"/>
      <c r="EU181" s="1009"/>
      <c r="EV181" s="1009"/>
      <c r="EW181" s="1009"/>
      <c r="EX181" s="1009"/>
      <c r="EY181" s="1009"/>
      <c r="EZ181" s="1009"/>
      <c r="FA181" s="1009"/>
      <c r="FB181" s="1009"/>
      <c r="FC181" s="1009"/>
      <c r="FD181" s="1009"/>
      <c r="FE181" s="1009"/>
      <c r="FF181" s="1009"/>
      <c r="FG181" s="1009"/>
      <c r="FH181" s="1009"/>
      <c r="FI181" s="1009"/>
      <c r="FJ181" s="1009"/>
      <c r="FK181" s="1009"/>
      <c r="FL181" s="1009"/>
      <c r="FM181" s="1009"/>
      <c r="FN181" s="1009"/>
      <c r="FO181" s="1009"/>
      <c r="FP181" s="1009"/>
      <c r="FQ181" s="1009"/>
      <c r="FR181" s="1009"/>
      <c r="FS181" s="1009"/>
      <c r="FT181" s="1009"/>
      <c r="FU181" s="1009"/>
      <c r="FV181" s="1009"/>
      <c r="FW181" s="1009"/>
      <c r="FX181" s="1009"/>
      <c r="FY181" s="1009"/>
      <c r="FZ181" s="1009"/>
      <c r="GA181" s="1009"/>
      <c r="GB181" s="1009"/>
      <c r="GC181" s="1009"/>
      <c r="GD181" s="1009"/>
      <c r="GE181" s="1009"/>
      <c r="GF181" s="1009"/>
      <c r="GG181" s="1009"/>
      <c r="GH181" s="1009"/>
      <c r="GI181" s="1009"/>
      <c r="GJ181" s="1009"/>
      <c r="GK181" s="1009"/>
      <c r="GL181" s="1009"/>
      <c r="GM181" s="1009"/>
      <c r="GN181" s="1009"/>
      <c r="GO181" s="1009"/>
      <c r="GP181" s="1009"/>
      <c r="GQ181" s="1009"/>
      <c r="GR181" s="1009"/>
      <c r="GS181" s="1009"/>
      <c r="GT181" s="1009"/>
      <c r="GU181" s="1009"/>
      <c r="GV181" s="1009"/>
      <c r="GW181" s="1009"/>
      <c r="GX181" s="1009"/>
      <c r="GY181" s="1009"/>
      <c r="GZ181" s="1009"/>
      <c r="HA181" s="1009"/>
      <c r="HB181" s="1009"/>
      <c r="HC181" s="1009"/>
      <c r="HD181" s="1009"/>
      <c r="HE181" s="1009"/>
      <c r="HF181" s="1009"/>
      <c r="HG181" s="1009"/>
      <c r="HH181" s="1009"/>
      <c r="HI181" s="1009"/>
      <c r="HJ181" s="1009"/>
      <c r="HK181" s="1009"/>
      <c r="HL181" s="1009"/>
      <c r="HM181" s="1009"/>
      <c r="HN181" s="1009"/>
      <c r="HO181" s="1009"/>
      <c r="HP181" s="1009"/>
      <c r="HQ181" s="1009"/>
      <c r="HR181" s="1009"/>
      <c r="HS181" s="1009"/>
      <c r="HT181" s="1009"/>
      <c r="HU181" s="1009"/>
      <c r="HV181" s="1009"/>
      <c r="HW181" s="1009"/>
      <c r="HX181" s="1009"/>
      <c r="HY181" s="1009"/>
      <c r="HZ181" s="1009"/>
      <c r="IA181" s="1009"/>
      <c r="IB181" s="1009"/>
      <c r="IC181" s="1009"/>
      <c r="ID181" s="1009"/>
      <c r="IE181" s="1009"/>
      <c r="IF181" s="1009"/>
      <c r="IG181" s="1009"/>
      <c r="IH181" s="1009"/>
      <c r="II181" s="1009"/>
      <c r="IJ181" s="1009"/>
      <c r="IK181" s="1009"/>
      <c r="IL181" s="1009"/>
      <c r="IM181" s="1009"/>
      <c r="IN181" s="1009"/>
      <c r="IO181" s="1009"/>
      <c r="IP181" s="1009"/>
      <c r="IQ181" s="1009"/>
      <c r="IR181" s="1009"/>
      <c r="IS181" s="1009"/>
      <c r="IT181" s="1009"/>
      <c r="IU181" s="1009"/>
      <c r="IV181" s="1009"/>
      <c r="IW181" s="1009"/>
      <c r="IX181" s="1009"/>
      <c r="IY181" s="1009"/>
      <c r="IZ181" s="1009"/>
      <c r="JA181" s="1009"/>
      <c r="JB181" s="1009"/>
      <c r="JC181" s="1009"/>
      <c r="JD181" s="1009"/>
      <c r="JE181" s="1009"/>
      <c r="JF181" s="1009"/>
      <c r="JG181" s="1009"/>
      <c r="JH181" s="1009"/>
      <c r="JI181" s="1009"/>
      <c r="JJ181" s="1009"/>
      <c r="JK181" s="1009"/>
      <c r="JL181" s="1009"/>
      <c r="JM181" s="1009"/>
      <c r="JN181" s="1009"/>
      <c r="JO181" s="1009"/>
      <c r="JP181" s="1009"/>
      <c r="JQ181" s="1009"/>
      <c r="JR181" s="1009"/>
      <c r="JS181" s="1009"/>
      <c r="JT181" s="1009"/>
      <c r="JU181" s="1009"/>
      <c r="JV181" s="1009"/>
      <c r="JW181" s="1009"/>
      <c r="JX181" s="1009"/>
      <c r="JY181" s="1009"/>
      <c r="JZ181" s="1009"/>
      <c r="KA181" s="1009"/>
      <c r="KB181" s="1009"/>
      <c r="KC181" s="1009"/>
      <c r="KD181" s="1009"/>
      <c r="KE181" s="1009"/>
      <c r="KF181" s="1009"/>
      <c r="KG181" s="1009"/>
      <c r="KH181" s="1009"/>
      <c r="KI181" s="1009"/>
      <c r="KJ181" s="1009"/>
      <c r="KK181" s="1009"/>
      <c r="KL181" s="1009"/>
      <c r="KM181" s="1009"/>
      <c r="KN181" s="1009"/>
      <c r="KO181" s="1009"/>
      <c r="KP181" s="1009"/>
      <c r="KQ181" s="1009"/>
      <c r="KR181" s="1009"/>
      <c r="KS181" s="1009"/>
      <c r="KT181" s="1009"/>
      <c r="KU181" s="1009"/>
      <c r="KV181" s="1009"/>
      <c r="KW181" s="1009"/>
      <c r="KX181" s="1009"/>
      <c r="KY181" s="1009"/>
      <c r="KZ181" s="1009"/>
      <c r="LA181" s="1009"/>
      <c r="LB181" s="1009"/>
      <c r="LC181" s="1009"/>
      <c r="LD181" s="1009"/>
      <c r="LE181" s="1009"/>
      <c r="LF181" s="1009"/>
      <c r="LG181" s="1009"/>
      <c r="LH181" s="1009"/>
      <c r="LI181" s="1009"/>
      <c r="LJ181" s="1009"/>
      <c r="LK181" s="1009"/>
      <c r="LL181" s="1009"/>
      <c r="LM181" s="1009"/>
      <c r="LN181" s="1009"/>
      <c r="LO181" s="1009"/>
      <c r="LP181" s="1009"/>
      <c r="LQ181" s="1009"/>
      <c r="LR181" s="1009"/>
      <c r="LS181" s="1009"/>
      <c r="LT181" s="1009"/>
      <c r="LU181" s="1009"/>
      <c r="LV181" s="1009"/>
      <c r="LW181" s="1009"/>
      <c r="LX181" s="1009"/>
      <c r="LY181" s="1009"/>
      <c r="LZ181" s="1009"/>
      <c r="MA181" s="1009"/>
      <c r="MB181" s="1009"/>
      <c r="MC181" s="1009"/>
      <c r="MD181" s="1009"/>
      <c r="ME181" s="1009"/>
      <c r="MF181" s="1009"/>
      <c r="MG181" s="1009"/>
      <c r="MH181" s="1009"/>
      <c r="MI181" s="1009"/>
      <c r="MJ181" s="1009"/>
      <c r="MK181" s="1009"/>
      <c r="ML181" s="1009"/>
      <c r="MM181" s="1009"/>
      <c r="MN181" s="1009"/>
      <c r="MO181" s="1009"/>
      <c r="MP181" s="1009"/>
      <c r="MQ181" s="1009"/>
      <c r="MR181" s="1009"/>
      <c r="MS181" s="1009"/>
      <c r="MT181" s="1009"/>
      <c r="MU181" s="1009"/>
      <c r="MV181" s="1009"/>
      <c r="MW181" s="1009"/>
      <c r="MX181" s="1009"/>
      <c r="MY181" s="1009"/>
      <c r="MZ181" s="1009"/>
      <c r="NA181" s="1009"/>
      <c r="NB181" s="1009"/>
      <c r="NC181" s="1009"/>
      <c r="ND181" s="1009"/>
      <c r="NE181" s="1009"/>
      <c r="NF181" s="1009"/>
      <c r="NG181" s="1009"/>
      <c r="NH181" s="1009"/>
      <c r="NI181" s="1009"/>
      <c r="NJ181" s="1009"/>
      <c r="NK181" s="1009"/>
      <c r="NL181" s="1009"/>
      <c r="NM181" s="1009"/>
      <c r="NN181" s="1009"/>
      <c r="NO181" s="1009"/>
      <c r="NP181" s="1009"/>
      <c r="NQ181" s="1009"/>
      <c r="NR181" s="1009"/>
      <c r="NS181" s="1009"/>
      <c r="NT181" s="1009"/>
      <c r="NU181" s="1009"/>
      <c r="NV181" s="1009"/>
      <c r="NW181" s="1009"/>
      <c r="NX181" s="1009"/>
      <c r="NY181" s="1009"/>
      <c r="NZ181" s="1009"/>
      <c r="OA181" s="1009"/>
      <c r="OB181" s="1009"/>
      <c r="OC181" s="1009"/>
      <c r="OD181" s="1009"/>
      <c r="OE181" s="1009"/>
      <c r="OF181" s="1009"/>
      <c r="OG181" s="1009"/>
      <c r="OH181" s="1009"/>
      <c r="OI181" s="1009"/>
      <c r="OJ181" s="1009"/>
      <c r="OK181" s="1009"/>
      <c r="OL181" s="1009"/>
      <c r="OM181" s="1009"/>
      <c r="ON181" s="1009"/>
      <c r="OO181" s="1009"/>
      <c r="OP181" s="1009"/>
      <c r="OQ181" s="1009"/>
      <c r="OR181" s="1009"/>
      <c r="OS181" s="1009"/>
      <c r="OT181" s="1009"/>
      <c r="OU181" s="1009"/>
      <c r="OV181" s="1009"/>
      <c r="OW181" s="1009"/>
      <c r="OX181" s="1009"/>
      <c r="OY181" s="1009"/>
      <c r="OZ181" s="1009"/>
      <c r="PA181" s="1009"/>
      <c r="PB181" s="1009"/>
      <c r="PC181" s="1009"/>
      <c r="PD181" s="1009"/>
      <c r="PE181" s="1009"/>
      <c r="PF181" s="1009"/>
      <c r="PG181" s="1009"/>
      <c r="PH181" s="1009"/>
      <c r="PI181" s="1009"/>
      <c r="PJ181" s="1009"/>
      <c r="PK181" s="1009"/>
      <c r="PL181" s="1009"/>
      <c r="PM181" s="1009"/>
      <c r="PN181" s="1009"/>
      <c r="PO181" s="1009"/>
      <c r="PP181" s="1009"/>
      <c r="PQ181" s="1009"/>
      <c r="PR181" s="1009"/>
      <c r="PS181" s="1009"/>
      <c r="PT181" s="1009"/>
      <c r="PU181" s="1009"/>
      <c r="PV181" s="1009"/>
      <c r="PW181" s="1009"/>
      <c r="PX181" s="1009"/>
      <c r="PY181" s="1009"/>
      <c r="PZ181" s="1009"/>
      <c r="QA181" s="1009"/>
      <c r="QB181" s="1009"/>
      <c r="QC181" s="1009"/>
      <c r="QD181" s="1009"/>
      <c r="QE181" s="1009"/>
      <c r="QF181" s="1009"/>
      <c r="QG181" s="1009"/>
      <c r="QH181" s="1009"/>
      <c r="QI181" s="1009"/>
      <c r="QJ181" s="1009"/>
      <c r="QK181" s="1009"/>
      <c r="QL181" s="1009"/>
      <c r="QM181" s="1009"/>
      <c r="QN181" s="1009"/>
      <c r="QO181" s="1009"/>
      <c r="QP181" s="1009"/>
      <c r="QQ181" s="1009"/>
      <c r="QR181" s="1009"/>
      <c r="QS181" s="1009"/>
      <c r="QT181" s="1009"/>
      <c r="QU181" s="1009"/>
      <c r="QV181" s="1009"/>
      <c r="QW181" s="1009"/>
      <c r="QX181" s="1009"/>
      <c r="QY181" s="1009"/>
      <c r="QZ181" s="1009"/>
      <c r="RA181" s="1009"/>
      <c r="RB181" s="1009"/>
      <c r="RC181" s="1009"/>
      <c r="RD181" s="1009"/>
      <c r="RE181" s="1009"/>
      <c r="RF181" s="1009"/>
      <c r="RG181" s="1009"/>
      <c r="RH181" s="1009"/>
      <c r="RI181" s="1009"/>
      <c r="RJ181" s="1009"/>
      <c r="RK181" s="1009"/>
      <c r="RL181" s="1009"/>
      <c r="RM181" s="1009"/>
      <c r="RN181" s="1009"/>
      <c r="RO181" s="1009"/>
      <c r="RP181" s="1009"/>
      <c r="RQ181" s="1009"/>
      <c r="RR181" s="1009"/>
      <c r="RS181" s="1009"/>
      <c r="RT181" s="1009"/>
      <c r="RU181" s="1009"/>
      <c r="RV181" s="1009"/>
      <c r="RW181" s="1009"/>
      <c r="RX181" s="1009"/>
      <c r="RY181" s="1009"/>
      <c r="RZ181" s="1009"/>
      <c r="SA181" s="1009"/>
      <c r="SB181" s="1009"/>
      <c r="SC181" s="1009"/>
      <c r="SD181" s="1009"/>
      <c r="SE181" s="1009"/>
      <c r="SF181" s="1009"/>
      <c r="SG181" s="1009"/>
      <c r="SH181" s="1009"/>
      <c r="SI181" s="1009"/>
      <c r="SJ181" s="1009"/>
      <c r="SK181" s="1009"/>
      <c r="SL181" s="1009"/>
      <c r="SM181" s="1009"/>
      <c r="SN181" s="1009"/>
      <c r="SO181" s="1009"/>
      <c r="SP181" s="1009"/>
      <c r="SQ181" s="1009"/>
      <c r="SR181" s="1009"/>
      <c r="SS181" s="1009"/>
      <c r="ST181" s="1009"/>
      <c r="SU181" s="1009"/>
      <c r="SV181" s="1009"/>
      <c r="SW181" s="1009"/>
      <c r="SX181" s="1009"/>
      <c r="SY181" s="1009"/>
      <c r="SZ181" s="1009"/>
      <c r="TA181" s="1009"/>
      <c r="TB181" s="1009"/>
      <c r="TC181" s="1009"/>
      <c r="TD181" s="1009"/>
      <c r="TE181" s="1009"/>
      <c r="TF181" s="1009"/>
      <c r="TG181" s="1009"/>
      <c r="TH181" s="1009"/>
      <c r="TI181" s="1009"/>
      <c r="TJ181" s="1009"/>
      <c r="TK181" s="1009"/>
      <c r="TL181" s="1009"/>
      <c r="TM181" s="1009"/>
      <c r="TN181" s="1009"/>
      <c r="TO181" s="1009"/>
      <c r="TP181" s="1009"/>
      <c r="TQ181" s="1009"/>
      <c r="TR181" s="1009"/>
      <c r="TS181" s="1009"/>
      <c r="TT181" s="1009"/>
      <c r="TU181" s="1009"/>
      <c r="TV181" s="1009"/>
      <c r="TW181" s="1009"/>
      <c r="TX181" s="1009"/>
      <c r="TY181" s="1009"/>
      <c r="TZ181" s="1009"/>
      <c r="UA181" s="1009"/>
      <c r="UB181" s="1009"/>
      <c r="UC181" s="1009"/>
      <c r="UD181" s="1009"/>
      <c r="UE181" s="1009"/>
      <c r="UF181" s="1009"/>
      <c r="UG181" s="1009"/>
      <c r="UH181" s="1009"/>
      <c r="UI181" s="1009"/>
      <c r="UJ181" s="1009"/>
      <c r="UK181" s="1009"/>
      <c r="UL181" s="1009"/>
      <c r="UM181" s="1009"/>
      <c r="UN181" s="1009"/>
      <c r="UO181" s="1009"/>
      <c r="UP181" s="1009"/>
      <c r="UQ181" s="1009"/>
      <c r="UR181" s="1009"/>
      <c r="US181" s="1009"/>
      <c r="UT181" s="1009"/>
      <c r="UU181" s="1009"/>
      <c r="UV181" s="1009"/>
      <c r="UW181" s="1009"/>
      <c r="UX181" s="1009"/>
      <c r="UY181" s="1009"/>
      <c r="UZ181" s="1009"/>
      <c r="VA181" s="1009"/>
      <c r="VB181" s="1009"/>
      <c r="VC181" s="1009"/>
      <c r="VD181" s="1009"/>
      <c r="VE181" s="1009"/>
      <c r="VF181" s="1009"/>
      <c r="VG181" s="1009"/>
      <c r="VH181" s="1009"/>
      <c r="VI181" s="1009"/>
      <c r="VJ181" s="1009"/>
      <c r="VK181" s="1009"/>
      <c r="VL181" s="1009"/>
      <c r="VM181" s="1009"/>
      <c r="VN181" s="1009"/>
      <c r="VO181" s="1009"/>
      <c r="VP181" s="1009"/>
      <c r="VQ181" s="1009"/>
      <c r="VR181" s="1009"/>
      <c r="VS181" s="1009"/>
      <c r="VT181" s="1009"/>
      <c r="VU181" s="1009"/>
      <c r="VV181" s="1009"/>
      <c r="VW181" s="1009"/>
      <c r="VX181" s="1009"/>
      <c r="VY181" s="1009"/>
      <c r="VZ181" s="1009"/>
      <c r="WA181" s="1009"/>
      <c r="WB181" s="1009"/>
      <c r="WC181" s="1009"/>
      <c r="WD181" s="1009"/>
      <c r="WE181" s="1009"/>
      <c r="WF181" s="1009"/>
      <c r="WG181" s="1009"/>
      <c r="WH181" s="1009"/>
      <c r="WI181" s="1009"/>
      <c r="WJ181" s="1009"/>
      <c r="WK181" s="1009"/>
      <c r="WL181" s="1009"/>
      <c r="WM181" s="1009"/>
      <c r="WN181" s="1009"/>
      <c r="WO181" s="1009"/>
      <c r="WP181" s="1009"/>
      <c r="WQ181" s="1009"/>
      <c r="WR181" s="1009"/>
      <c r="WS181" s="1009"/>
      <c r="WT181" s="1009"/>
      <c r="WU181" s="1009"/>
      <c r="WV181" s="1009"/>
      <c r="WW181" s="1009"/>
      <c r="WX181" s="1009"/>
      <c r="WY181" s="1009"/>
      <c r="WZ181" s="1009"/>
      <c r="XA181" s="1009"/>
      <c r="XB181" s="1009"/>
      <c r="XC181" s="1009"/>
      <c r="XD181" s="1009"/>
      <c r="XE181" s="1009"/>
      <c r="XF181" s="1009"/>
      <c r="XG181" s="1009"/>
      <c r="XH181" s="1009"/>
      <c r="XI181" s="1009"/>
      <c r="XJ181" s="1009"/>
      <c r="XK181" s="1009"/>
      <c r="XL181" s="1009"/>
      <c r="XM181" s="1009"/>
      <c r="XN181" s="1009"/>
      <c r="XO181" s="1009"/>
      <c r="XP181" s="1009"/>
      <c r="XQ181" s="1009"/>
      <c r="XR181" s="1009"/>
      <c r="XS181" s="1009"/>
      <c r="XT181" s="1009"/>
      <c r="XU181" s="1009"/>
      <c r="XV181" s="1009"/>
      <c r="XW181" s="1009"/>
      <c r="XX181" s="1009"/>
      <c r="XY181" s="1009"/>
      <c r="XZ181" s="1009"/>
      <c r="YA181" s="1009"/>
      <c r="YB181" s="1009"/>
      <c r="YC181" s="1009"/>
      <c r="YD181" s="1009"/>
      <c r="YE181" s="1009"/>
      <c r="YF181" s="1009"/>
      <c r="YG181" s="1009"/>
      <c r="YH181" s="1009"/>
      <c r="YI181" s="1009"/>
      <c r="YJ181" s="1009"/>
      <c r="YK181" s="1009"/>
      <c r="YL181" s="1009"/>
      <c r="YM181" s="1009"/>
      <c r="YN181" s="1009"/>
      <c r="YO181" s="1009"/>
      <c r="YP181" s="1009"/>
      <c r="YQ181" s="1009"/>
      <c r="YR181" s="1009"/>
      <c r="YS181" s="1009"/>
      <c r="YT181" s="1009"/>
      <c r="YU181" s="1009"/>
      <c r="YV181" s="1009"/>
      <c r="YW181" s="1009"/>
      <c r="YX181" s="1009"/>
      <c r="YY181" s="1009"/>
      <c r="YZ181" s="1009"/>
      <c r="ZA181" s="1009"/>
      <c r="ZB181" s="1009"/>
      <c r="ZC181" s="1009"/>
      <c r="ZD181" s="1009"/>
      <c r="ZE181" s="1009"/>
      <c r="ZF181" s="1009"/>
      <c r="ZG181" s="1009"/>
      <c r="ZH181" s="1009"/>
      <c r="ZI181" s="1009"/>
      <c r="ZJ181" s="1009"/>
      <c r="ZK181" s="1009"/>
      <c r="ZL181" s="1009"/>
      <c r="ZM181" s="1009"/>
      <c r="ZN181" s="1009"/>
      <c r="ZO181" s="1009"/>
      <c r="ZP181" s="1009"/>
      <c r="ZQ181" s="1009"/>
      <c r="ZR181" s="1009"/>
      <c r="ZS181" s="1009"/>
      <c r="ZT181" s="1009"/>
      <c r="ZU181" s="1009"/>
      <c r="ZV181" s="1009"/>
      <c r="ZW181" s="1009"/>
      <c r="ZX181" s="1009"/>
      <c r="ZY181" s="1009"/>
      <c r="ZZ181" s="1009"/>
      <c r="AAA181" s="1009"/>
      <c r="AAB181" s="1009"/>
      <c r="AAC181" s="1009"/>
      <c r="AAD181" s="1009"/>
      <c r="AAE181" s="1009"/>
      <c r="AAF181" s="1009"/>
      <c r="AAG181" s="1009"/>
      <c r="AAH181" s="1009"/>
      <c r="AAI181" s="1009"/>
      <c r="AAJ181" s="1009"/>
      <c r="AAK181" s="1009"/>
      <c r="AAL181" s="1009"/>
      <c r="AAM181" s="1009"/>
      <c r="AAN181" s="1009"/>
      <c r="AAO181" s="1009"/>
      <c r="AAP181" s="1009"/>
      <c r="AAQ181" s="1009"/>
      <c r="AAR181" s="1009"/>
      <c r="AAS181" s="1009"/>
      <c r="AAT181" s="1009"/>
      <c r="AAU181" s="1009"/>
      <c r="AAV181" s="1009"/>
      <c r="AAW181" s="1009"/>
      <c r="AAX181" s="1009"/>
      <c r="AAY181" s="1009"/>
      <c r="AAZ181" s="1009"/>
      <c r="ABA181" s="1009"/>
      <c r="ABB181" s="1009"/>
      <c r="ABC181" s="1009"/>
      <c r="ABD181" s="1009"/>
      <c r="ABE181" s="1009"/>
      <c r="ABF181" s="1009"/>
      <c r="ABG181" s="1009"/>
      <c r="ABH181" s="1009"/>
      <c r="ABI181" s="1009"/>
      <c r="ABJ181" s="1009"/>
      <c r="ABK181" s="1009"/>
      <c r="ABL181" s="1009"/>
      <c r="ABM181" s="1009"/>
      <c r="ABN181" s="1009"/>
      <c r="ABO181" s="1009"/>
      <c r="ABP181" s="1009"/>
      <c r="ABQ181" s="1009"/>
      <c r="ABR181" s="1009"/>
    </row>
    <row r="182" spans="1:746" s="111" customFormat="1" ht="12" hidden="1" customHeight="1">
      <c r="A182" s="1252"/>
      <c r="B182" s="2955" t="s">
        <v>1396</v>
      </c>
      <c r="C182" s="2956"/>
      <c r="D182" s="2332"/>
      <c r="E182" s="2333"/>
      <c r="F182" s="879"/>
      <c r="G182" s="2334">
        <v>0.1</v>
      </c>
      <c r="H182" s="598"/>
      <c r="I182" s="1966"/>
      <c r="J182" s="1966"/>
      <c r="K182" s="1966"/>
      <c r="L182" s="1966"/>
      <c r="M182" s="1966"/>
      <c r="N182" s="1966"/>
      <c r="O182" s="1966"/>
      <c r="P182" s="1966"/>
      <c r="Q182" s="1966"/>
      <c r="R182" s="1966"/>
      <c r="S182" s="1966"/>
      <c r="T182" s="1966"/>
      <c r="U182" s="1966"/>
      <c r="V182" s="2335"/>
      <c r="W182" s="1966"/>
      <c r="X182" s="1966"/>
      <c r="Y182" s="1966"/>
      <c r="Z182" s="1966"/>
      <c r="AA182" s="1966"/>
      <c r="AB182" s="1966"/>
      <c r="AC182" s="1966"/>
      <c r="AD182" s="1966"/>
      <c r="AE182" s="1966"/>
      <c r="AF182" s="1966"/>
      <c r="AG182" s="1042"/>
      <c r="AH182" s="336"/>
      <c r="AI182" s="336"/>
      <c r="AJ182" s="901">
        <f>IF(fx!$C$57=1,SUMIF(fx!I$57:T$57,1,I182:T182),IF(fx!$C$57=2,SUMIF(fx!O$57:AF$57,1,O182:AF182)))</f>
        <v>0</v>
      </c>
      <c r="AK182" s="328"/>
      <c r="AL182" s="902">
        <f>IF(fx!$C$57=1,SUM(U182:AF182),0)</f>
        <v>0</v>
      </c>
      <c r="AM182" s="1028"/>
      <c r="AN182" s="1029"/>
      <c r="AO182" s="1945"/>
      <c r="AP182" s="1935"/>
      <c r="AQ182" s="1936"/>
      <c r="AR182" s="2710"/>
      <c r="AS182" s="2710"/>
      <c r="AT182" s="2710"/>
      <c r="AU182" s="2710"/>
      <c r="AV182" s="2710"/>
      <c r="AW182" s="2710"/>
      <c r="AX182" s="2710"/>
      <c r="AY182" s="2710"/>
      <c r="AZ182" s="2710"/>
      <c r="BA182" s="2710"/>
      <c r="BB182" s="2710"/>
      <c r="BC182" s="2710"/>
      <c r="BD182" s="2710"/>
      <c r="BE182" s="2710"/>
      <c r="BF182" s="2710"/>
      <c r="BG182" s="2710"/>
      <c r="BH182" s="2710"/>
      <c r="BI182" s="2710"/>
      <c r="BJ182" s="2710"/>
      <c r="BK182" s="2710"/>
      <c r="BL182" s="2710"/>
      <c r="BM182" s="2710"/>
      <c r="BN182" s="2710"/>
      <c r="BO182" s="2710"/>
      <c r="BP182" s="1009"/>
      <c r="BQ182" s="1009"/>
      <c r="BR182" s="1009"/>
      <c r="BS182" s="1009"/>
      <c r="BT182" s="1009"/>
      <c r="BU182" s="1009"/>
      <c r="BV182" s="1009"/>
      <c r="BW182" s="1009"/>
      <c r="BX182" s="1009"/>
      <c r="BY182" s="1009"/>
      <c r="BZ182" s="1009"/>
      <c r="CA182" s="1009"/>
      <c r="CB182" s="1009"/>
      <c r="CC182" s="1009"/>
      <c r="CD182" s="1009"/>
      <c r="CE182" s="1009"/>
      <c r="CF182" s="1009"/>
      <c r="CG182" s="1009"/>
      <c r="CH182" s="1009"/>
      <c r="CI182" s="1009"/>
      <c r="CJ182" s="1009"/>
      <c r="CK182" s="1009"/>
      <c r="CL182" s="1009"/>
      <c r="CM182" s="1009"/>
      <c r="CN182" s="1009"/>
      <c r="CO182" s="1009"/>
      <c r="CP182" s="1009"/>
      <c r="CQ182" s="1009"/>
      <c r="CR182" s="1009"/>
      <c r="CS182" s="1009"/>
      <c r="CT182" s="1009"/>
      <c r="CU182" s="1009"/>
      <c r="CV182" s="1009"/>
      <c r="CW182" s="1009"/>
      <c r="CX182" s="1009"/>
      <c r="CY182" s="1009"/>
      <c r="CZ182" s="1009"/>
      <c r="DA182" s="1009"/>
      <c r="DB182" s="1009"/>
      <c r="DC182" s="1009"/>
      <c r="DD182" s="1009"/>
      <c r="DE182" s="1009"/>
      <c r="DF182" s="1009"/>
      <c r="DG182" s="1009"/>
      <c r="DH182" s="1009"/>
      <c r="DI182" s="1009"/>
      <c r="DJ182" s="1009"/>
      <c r="DK182" s="1009"/>
      <c r="DL182" s="1009"/>
      <c r="DM182" s="1009"/>
      <c r="DN182" s="1009"/>
      <c r="DO182" s="1009"/>
      <c r="DP182" s="1009"/>
      <c r="DQ182" s="1009"/>
      <c r="DR182" s="1009"/>
      <c r="DS182" s="1009"/>
      <c r="DT182" s="1009"/>
      <c r="DU182" s="1009"/>
      <c r="DV182" s="1009"/>
      <c r="DW182" s="1009"/>
      <c r="DX182" s="1009"/>
      <c r="DY182" s="1009"/>
      <c r="DZ182" s="1009"/>
      <c r="EA182" s="1009"/>
      <c r="EB182" s="1009"/>
      <c r="EC182" s="1009"/>
      <c r="ED182" s="1009"/>
      <c r="EE182" s="1009"/>
      <c r="EF182" s="1009"/>
      <c r="EG182" s="1009"/>
      <c r="EH182" s="1009"/>
      <c r="EI182" s="1009"/>
      <c r="EJ182" s="1009"/>
      <c r="EK182" s="1009"/>
      <c r="EL182" s="1009"/>
      <c r="EM182" s="1009"/>
      <c r="EN182" s="1009"/>
      <c r="EO182" s="1009"/>
      <c r="EP182" s="1009"/>
      <c r="EQ182" s="1009"/>
      <c r="ER182" s="1009"/>
      <c r="ES182" s="1009"/>
      <c r="ET182" s="1009"/>
      <c r="EU182" s="1009"/>
      <c r="EV182" s="1009"/>
      <c r="EW182" s="1009"/>
      <c r="EX182" s="1009"/>
      <c r="EY182" s="1009"/>
      <c r="EZ182" s="1009"/>
      <c r="FA182" s="1009"/>
      <c r="FB182" s="1009"/>
      <c r="FC182" s="1009"/>
      <c r="FD182" s="1009"/>
      <c r="FE182" s="1009"/>
      <c r="FF182" s="1009"/>
      <c r="FG182" s="1009"/>
      <c r="FH182" s="1009"/>
      <c r="FI182" s="1009"/>
      <c r="FJ182" s="1009"/>
      <c r="FK182" s="1009"/>
      <c r="FL182" s="1009"/>
      <c r="FM182" s="1009"/>
      <c r="FN182" s="1009"/>
      <c r="FO182" s="1009"/>
      <c r="FP182" s="1009"/>
      <c r="FQ182" s="1009"/>
      <c r="FR182" s="1009"/>
      <c r="FS182" s="1009"/>
      <c r="FT182" s="1009"/>
      <c r="FU182" s="1009"/>
      <c r="FV182" s="1009"/>
      <c r="FW182" s="1009"/>
      <c r="FX182" s="1009"/>
      <c r="FY182" s="1009"/>
      <c r="FZ182" s="1009"/>
      <c r="GA182" s="1009"/>
      <c r="GB182" s="1009"/>
      <c r="GC182" s="1009"/>
      <c r="GD182" s="1009"/>
      <c r="GE182" s="1009"/>
      <c r="GF182" s="1009"/>
      <c r="GG182" s="1009"/>
      <c r="GH182" s="1009"/>
      <c r="GI182" s="1009"/>
      <c r="GJ182" s="1009"/>
      <c r="GK182" s="1009"/>
      <c r="GL182" s="1009"/>
      <c r="GM182" s="1009"/>
      <c r="GN182" s="1009"/>
      <c r="GO182" s="1009"/>
      <c r="GP182" s="1009"/>
      <c r="GQ182" s="1009"/>
      <c r="GR182" s="1009"/>
      <c r="GS182" s="1009"/>
      <c r="GT182" s="1009"/>
      <c r="GU182" s="1009"/>
      <c r="GV182" s="1009"/>
      <c r="GW182" s="1009"/>
      <c r="GX182" s="1009"/>
      <c r="GY182" s="1009"/>
      <c r="GZ182" s="1009"/>
      <c r="HA182" s="1009"/>
      <c r="HB182" s="1009"/>
      <c r="HC182" s="1009"/>
      <c r="HD182" s="1009"/>
      <c r="HE182" s="1009"/>
      <c r="HF182" s="1009"/>
      <c r="HG182" s="1009"/>
      <c r="HH182" s="1009"/>
      <c r="HI182" s="1009"/>
      <c r="HJ182" s="1009"/>
      <c r="HK182" s="1009"/>
      <c r="HL182" s="1009"/>
      <c r="HM182" s="1009"/>
      <c r="HN182" s="1009"/>
      <c r="HO182" s="1009"/>
      <c r="HP182" s="1009"/>
      <c r="HQ182" s="1009"/>
      <c r="HR182" s="1009"/>
      <c r="HS182" s="1009"/>
      <c r="HT182" s="1009"/>
      <c r="HU182" s="1009"/>
      <c r="HV182" s="1009"/>
      <c r="HW182" s="1009"/>
      <c r="HX182" s="1009"/>
      <c r="HY182" s="1009"/>
      <c r="HZ182" s="1009"/>
      <c r="IA182" s="1009"/>
      <c r="IB182" s="1009"/>
      <c r="IC182" s="1009"/>
      <c r="ID182" s="1009"/>
      <c r="IE182" s="1009"/>
      <c r="IF182" s="1009"/>
      <c r="IG182" s="1009"/>
      <c r="IH182" s="1009"/>
      <c r="II182" s="1009"/>
      <c r="IJ182" s="1009"/>
      <c r="IK182" s="1009"/>
      <c r="IL182" s="1009"/>
      <c r="IM182" s="1009"/>
      <c r="IN182" s="1009"/>
      <c r="IO182" s="1009"/>
      <c r="IP182" s="1009"/>
      <c r="IQ182" s="1009"/>
      <c r="IR182" s="1009"/>
      <c r="IS182" s="1009"/>
      <c r="IT182" s="1009"/>
      <c r="IU182" s="1009"/>
      <c r="IV182" s="1009"/>
      <c r="IW182" s="1009"/>
      <c r="IX182" s="1009"/>
      <c r="IY182" s="1009"/>
      <c r="IZ182" s="1009"/>
      <c r="JA182" s="1009"/>
      <c r="JB182" s="1009"/>
      <c r="JC182" s="1009"/>
      <c r="JD182" s="1009"/>
      <c r="JE182" s="1009"/>
      <c r="JF182" s="1009"/>
      <c r="JG182" s="1009"/>
      <c r="JH182" s="1009"/>
      <c r="JI182" s="1009"/>
      <c r="JJ182" s="1009"/>
      <c r="JK182" s="1009"/>
      <c r="JL182" s="1009"/>
      <c r="JM182" s="1009"/>
      <c r="JN182" s="1009"/>
      <c r="JO182" s="1009"/>
      <c r="JP182" s="1009"/>
      <c r="JQ182" s="1009"/>
      <c r="JR182" s="1009"/>
      <c r="JS182" s="1009"/>
      <c r="JT182" s="1009"/>
      <c r="JU182" s="1009"/>
      <c r="JV182" s="1009"/>
      <c r="JW182" s="1009"/>
      <c r="JX182" s="1009"/>
      <c r="JY182" s="1009"/>
      <c r="JZ182" s="1009"/>
      <c r="KA182" s="1009"/>
      <c r="KB182" s="1009"/>
      <c r="KC182" s="1009"/>
      <c r="KD182" s="1009"/>
      <c r="KE182" s="1009"/>
      <c r="KF182" s="1009"/>
      <c r="KG182" s="1009"/>
      <c r="KH182" s="1009"/>
      <c r="KI182" s="1009"/>
      <c r="KJ182" s="1009"/>
      <c r="KK182" s="1009"/>
      <c r="KL182" s="1009"/>
      <c r="KM182" s="1009"/>
      <c r="KN182" s="1009"/>
      <c r="KO182" s="1009"/>
      <c r="KP182" s="1009"/>
      <c r="KQ182" s="1009"/>
      <c r="KR182" s="1009"/>
      <c r="KS182" s="1009"/>
      <c r="KT182" s="1009"/>
      <c r="KU182" s="1009"/>
      <c r="KV182" s="1009"/>
      <c r="KW182" s="1009"/>
      <c r="KX182" s="1009"/>
      <c r="KY182" s="1009"/>
      <c r="KZ182" s="1009"/>
      <c r="LA182" s="1009"/>
      <c r="LB182" s="1009"/>
      <c r="LC182" s="1009"/>
      <c r="LD182" s="1009"/>
      <c r="LE182" s="1009"/>
      <c r="LF182" s="1009"/>
      <c r="LG182" s="1009"/>
      <c r="LH182" s="1009"/>
      <c r="LI182" s="1009"/>
      <c r="LJ182" s="1009"/>
      <c r="LK182" s="1009"/>
      <c r="LL182" s="1009"/>
      <c r="LM182" s="1009"/>
      <c r="LN182" s="1009"/>
      <c r="LO182" s="1009"/>
      <c r="LP182" s="1009"/>
      <c r="LQ182" s="1009"/>
      <c r="LR182" s="1009"/>
      <c r="LS182" s="1009"/>
      <c r="LT182" s="1009"/>
      <c r="LU182" s="1009"/>
      <c r="LV182" s="1009"/>
      <c r="LW182" s="1009"/>
      <c r="LX182" s="1009"/>
      <c r="LY182" s="1009"/>
      <c r="LZ182" s="1009"/>
      <c r="MA182" s="1009"/>
      <c r="MB182" s="1009"/>
      <c r="MC182" s="1009"/>
      <c r="MD182" s="1009"/>
      <c r="ME182" s="1009"/>
      <c r="MF182" s="1009"/>
      <c r="MG182" s="1009"/>
      <c r="MH182" s="1009"/>
      <c r="MI182" s="1009"/>
      <c r="MJ182" s="1009"/>
      <c r="MK182" s="1009"/>
      <c r="ML182" s="1009"/>
      <c r="MM182" s="1009"/>
      <c r="MN182" s="1009"/>
      <c r="MO182" s="1009"/>
      <c r="MP182" s="1009"/>
      <c r="MQ182" s="1009"/>
      <c r="MR182" s="1009"/>
      <c r="MS182" s="1009"/>
      <c r="MT182" s="1009"/>
      <c r="MU182" s="1009"/>
      <c r="MV182" s="1009"/>
      <c r="MW182" s="1009"/>
      <c r="MX182" s="1009"/>
      <c r="MY182" s="1009"/>
      <c r="MZ182" s="1009"/>
      <c r="NA182" s="1009"/>
      <c r="NB182" s="1009"/>
      <c r="NC182" s="1009"/>
      <c r="ND182" s="1009"/>
      <c r="NE182" s="1009"/>
      <c r="NF182" s="1009"/>
      <c r="NG182" s="1009"/>
      <c r="NH182" s="1009"/>
      <c r="NI182" s="1009"/>
      <c r="NJ182" s="1009"/>
      <c r="NK182" s="1009"/>
      <c r="NL182" s="1009"/>
      <c r="NM182" s="1009"/>
      <c r="NN182" s="1009"/>
      <c r="NO182" s="1009"/>
      <c r="NP182" s="1009"/>
      <c r="NQ182" s="1009"/>
      <c r="NR182" s="1009"/>
      <c r="NS182" s="1009"/>
      <c r="NT182" s="1009"/>
      <c r="NU182" s="1009"/>
      <c r="NV182" s="1009"/>
      <c r="NW182" s="1009"/>
      <c r="NX182" s="1009"/>
      <c r="NY182" s="1009"/>
      <c r="NZ182" s="1009"/>
      <c r="OA182" s="1009"/>
      <c r="OB182" s="1009"/>
      <c r="OC182" s="1009"/>
      <c r="OD182" s="1009"/>
      <c r="OE182" s="1009"/>
      <c r="OF182" s="1009"/>
      <c r="OG182" s="1009"/>
      <c r="OH182" s="1009"/>
      <c r="OI182" s="1009"/>
      <c r="OJ182" s="1009"/>
      <c r="OK182" s="1009"/>
      <c r="OL182" s="1009"/>
      <c r="OM182" s="1009"/>
      <c r="ON182" s="1009"/>
      <c r="OO182" s="1009"/>
      <c r="OP182" s="1009"/>
      <c r="OQ182" s="1009"/>
      <c r="OR182" s="1009"/>
      <c r="OS182" s="1009"/>
      <c r="OT182" s="1009"/>
      <c r="OU182" s="1009"/>
      <c r="OV182" s="1009"/>
      <c r="OW182" s="1009"/>
      <c r="OX182" s="1009"/>
      <c r="OY182" s="1009"/>
      <c r="OZ182" s="1009"/>
      <c r="PA182" s="1009"/>
      <c r="PB182" s="1009"/>
      <c r="PC182" s="1009"/>
      <c r="PD182" s="1009"/>
      <c r="PE182" s="1009"/>
      <c r="PF182" s="1009"/>
      <c r="PG182" s="1009"/>
      <c r="PH182" s="1009"/>
      <c r="PI182" s="1009"/>
      <c r="PJ182" s="1009"/>
      <c r="PK182" s="1009"/>
      <c r="PL182" s="1009"/>
      <c r="PM182" s="1009"/>
      <c r="PN182" s="1009"/>
      <c r="PO182" s="1009"/>
      <c r="PP182" s="1009"/>
      <c r="PQ182" s="1009"/>
      <c r="PR182" s="1009"/>
      <c r="PS182" s="1009"/>
      <c r="PT182" s="1009"/>
      <c r="PU182" s="1009"/>
      <c r="PV182" s="1009"/>
      <c r="PW182" s="1009"/>
      <c r="PX182" s="1009"/>
      <c r="PY182" s="1009"/>
      <c r="PZ182" s="1009"/>
      <c r="QA182" s="1009"/>
      <c r="QB182" s="1009"/>
      <c r="QC182" s="1009"/>
      <c r="QD182" s="1009"/>
      <c r="QE182" s="1009"/>
      <c r="QF182" s="1009"/>
      <c r="QG182" s="1009"/>
      <c r="QH182" s="1009"/>
      <c r="QI182" s="1009"/>
      <c r="QJ182" s="1009"/>
      <c r="QK182" s="1009"/>
      <c r="QL182" s="1009"/>
      <c r="QM182" s="1009"/>
      <c r="QN182" s="1009"/>
      <c r="QO182" s="1009"/>
      <c r="QP182" s="1009"/>
      <c r="QQ182" s="1009"/>
      <c r="QR182" s="1009"/>
      <c r="QS182" s="1009"/>
      <c r="QT182" s="1009"/>
      <c r="QU182" s="1009"/>
      <c r="QV182" s="1009"/>
      <c r="QW182" s="1009"/>
      <c r="QX182" s="1009"/>
      <c r="QY182" s="1009"/>
      <c r="QZ182" s="1009"/>
      <c r="RA182" s="1009"/>
      <c r="RB182" s="1009"/>
      <c r="RC182" s="1009"/>
      <c r="RD182" s="1009"/>
      <c r="RE182" s="1009"/>
      <c r="RF182" s="1009"/>
      <c r="RG182" s="1009"/>
      <c r="RH182" s="1009"/>
      <c r="RI182" s="1009"/>
      <c r="RJ182" s="1009"/>
      <c r="RK182" s="1009"/>
      <c r="RL182" s="1009"/>
      <c r="RM182" s="1009"/>
      <c r="RN182" s="1009"/>
      <c r="RO182" s="1009"/>
      <c r="RP182" s="1009"/>
      <c r="RQ182" s="1009"/>
      <c r="RR182" s="1009"/>
      <c r="RS182" s="1009"/>
      <c r="RT182" s="1009"/>
      <c r="RU182" s="1009"/>
      <c r="RV182" s="1009"/>
      <c r="RW182" s="1009"/>
      <c r="RX182" s="1009"/>
      <c r="RY182" s="1009"/>
      <c r="RZ182" s="1009"/>
      <c r="SA182" s="1009"/>
      <c r="SB182" s="1009"/>
      <c r="SC182" s="1009"/>
      <c r="SD182" s="1009"/>
      <c r="SE182" s="1009"/>
      <c r="SF182" s="1009"/>
      <c r="SG182" s="1009"/>
      <c r="SH182" s="1009"/>
      <c r="SI182" s="1009"/>
      <c r="SJ182" s="1009"/>
      <c r="SK182" s="1009"/>
      <c r="SL182" s="1009"/>
      <c r="SM182" s="1009"/>
      <c r="SN182" s="1009"/>
      <c r="SO182" s="1009"/>
      <c r="SP182" s="1009"/>
      <c r="SQ182" s="1009"/>
      <c r="SR182" s="1009"/>
      <c r="SS182" s="1009"/>
      <c r="ST182" s="1009"/>
      <c r="SU182" s="1009"/>
      <c r="SV182" s="1009"/>
      <c r="SW182" s="1009"/>
      <c r="SX182" s="1009"/>
      <c r="SY182" s="1009"/>
      <c r="SZ182" s="1009"/>
      <c r="TA182" s="1009"/>
      <c r="TB182" s="1009"/>
      <c r="TC182" s="1009"/>
      <c r="TD182" s="1009"/>
      <c r="TE182" s="1009"/>
      <c r="TF182" s="1009"/>
      <c r="TG182" s="1009"/>
      <c r="TH182" s="1009"/>
      <c r="TI182" s="1009"/>
      <c r="TJ182" s="1009"/>
      <c r="TK182" s="1009"/>
      <c r="TL182" s="1009"/>
      <c r="TM182" s="1009"/>
      <c r="TN182" s="1009"/>
      <c r="TO182" s="1009"/>
      <c r="TP182" s="1009"/>
      <c r="TQ182" s="1009"/>
      <c r="TR182" s="1009"/>
      <c r="TS182" s="1009"/>
      <c r="TT182" s="1009"/>
      <c r="TU182" s="1009"/>
      <c r="TV182" s="1009"/>
      <c r="TW182" s="1009"/>
      <c r="TX182" s="1009"/>
      <c r="TY182" s="1009"/>
      <c r="TZ182" s="1009"/>
      <c r="UA182" s="1009"/>
      <c r="UB182" s="1009"/>
      <c r="UC182" s="1009"/>
      <c r="UD182" s="1009"/>
      <c r="UE182" s="1009"/>
      <c r="UF182" s="1009"/>
      <c r="UG182" s="1009"/>
      <c r="UH182" s="1009"/>
      <c r="UI182" s="1009"/>
      <c r="UJ182" s="1009"/>
      <c r="UK182" s="1009"/>
      <c r="UL182" s="1009"/>
      <c r="UM182" s="1009"/>
      <c r="UN182" s="1009"/>
      <c r="UO182" s="1009"/>
      <c r="UP182" s="1009"/>
      <c r="UQ182" s="1009"/>
      <c r="UR182" s="1009"/>
      <c r="US182" s="1009"/>
      <c r="UT182" s="1009"/>
      <c r="UU182" s="1009"/>
      <c r="UV182" s="1009"/>
      <c r="UW182" s="1009"/>
      <c r="UX182" s="1009"/>
      <c r="UY182" s="1009"/>
      <c r="UZ182" s="1009"/>
      <c r="VA182" s="1009"/>
      <c r="VB182" s="1009"/>
      <c r="VC182" s="1009"/>
      <c r="VD182" s="1009"/>
      <c r="VE182" s="1009"/>
      <c r="VF182" s="1009"/>
      <c r="VG182" s="1009"/>
      <c r="VH182" s="1009"/>
      <c r="VI182" s="1009"/>
      <c r="VJ182" s="1009"/>
      <c r="VK182" s="1009"/>
      <c r="VL182" s="1009"/>
      <c r="VM182" s="1009"/>
      <c r="VN182" s="1009"/>
      <c r="VO182" s="1009"/>
      <c r="VP182" s="1009"/>
      <c r="VQ182" s="1009"/>
      <c r="VR182" s="1009"/>
      <c r="VS182" s="1009"/>
      <c r="VT182" s="1009"/>
      <c r="VU182" s="1009"/>
      <c r="VV182" s="1009"/>
      <c r="VW182" s="1009"/>
      <c r="VX182" s="1009"/>
      <c r="VY182" s="1009"/>
      <c r="VZ182" s="1009"/>
      <c r="WA182" s="1009"/>
      <c r="WB182" s="1009"/>
      <c r="WC182" s="1009"/>
      <c r="WD182" s="1009"/>
      <c r="WE182" s="1009"/>
      <c r="WF182" s="1009"/>
      <c r="WG182" s="1009"/>
      <c r="WH182" s="1009"/>
      <c r="WI182" s="1009"/>
      <c r="WJ182" s="1009"/>
      <c r="WK182" s="1009"/>
      <c r="WL182" s="1009"/>
      <c r="WM182" s="1009"/>
      <c r="WN182" s="1009"/>
      <c r="WO182" s="1009"/>
      <c r="WP182" s="1009"/>
      <c r="WQ182" s="1009"/>
      <c r="WR182" s="1009"/>
      <c r="WS182" s="1009"/>
      <c r="WT182" s="1009"/>
      <c r="WU182" s="1009"/>
      <c r="WV182" s="1009"/>
      <c r="WW182" s="1009"/>
      <c r="WX182" s="1009"/>
      <c r="WY182" s="1009"/>
      <c r="WZ182" s="1009"/>
      <c r="XA182" s="1009"/>
      <c r="XB182" s="1009"/>
      <c r="XC182" s="1009"/>
      <c r="XD182" s="1009"/>
      <c r="XE182" s="1009"/>
      <c r="XF182" s="1009"/>
      <c r="XG182" s="1009"/>
      <c r="XH182" s="1009"/>
      <c r="XI182" s="1009"/>
      <c r="XJ182" s="1009"/>
      <c r="XK182" s="1009"/>
      <c r="XL182" s="1009"/>
      <c r="XM182" s="1009"/>
      <c r="XN182" s="1009"/>
      <c r="XO182" s="1009"/>
      <c r="XP182" s="1009"/>
      <c r="XQ182" s="1009"/>
      <c r="XR182" s="1009"/>
      <c r="XS182" s="1009"/>
      <c r="XT182" s="1009"/>
      <c r="XU182" s="1009"/>
      <c r="XV182" s="1009"/>
      <c r="XW182" s="1009"/>
      <c r="XX182" s="1009"/>
      <c r="XY182" s="1009"/>
      <c r="XZ182" s="1009"/>
      <c r="YA182" s="1009"/>
      <c r="YB182" s="1009"/>
      <c r="YC182" s="1009"/>
      <c r="YD182" s="1009"/>
      <c r="YE182" s="1009"/>
      <c r="YF182" s="1009"/>
      <c r="YG182" s="1009"/>
      <c r="YH182" s="1009"/>
      <c r="YI182" s="1009"/>
      <c r="YJ182" s="1009"/>
      <c r="YK182" s="1009"/>
      <c r="YL182" s="1009"/>
      <c r="YM182" s="1009"/>
      <c r="YN182" s="1009"/>
      <c r="YO182" s="1009"/>
      <c r="YP182" s="1009"/>
      <c r="YQ182" s="1009"/>
      <c r="YR182" s="1009"/>
      <c r="YS182" s="1009"/>
      <c r="YT182" s="1009"/>
      <c r="YU182" s="1009"/>
      <c r="YV182" s="1009"/>
      <c r="YW182" s="1009"/>
      <c r="YX182" s="1009"/>
      <c r="YY182" s="1009"/>
      <c r="YZ182" s="1009"/>
      <c r="ZA182" s="1009"/>
      <c r="ZB182" s="1009"/>
      <c r="ZC182" s="1009"/>
      <c r="ZD182" s="1009"/>
      <c r="ZE182" s="1009"/>
      <c r="ZF182" s="1009"/>
      <c r="ZG182" s="1009"/>
      <c r="ZH182" s="1009"/>
      <c r="ZI182" s="1009"/>
      <c r="ZJ182" s="1009"/>
      <c r="ZK182" s="1009"/>
      <c r="ZL182" s="1009"/>
      <c r="ZM182" s="1009"/>
      <c r="ZN182" s="1009"/>
      <c r="ZO182" s="1009"/>
      <c r="ZP182" s="1009"/>
      <c r="ZQ182" s="1009"/>
      <c r="ZR182" s="1009"/>
      <c r="ZS182" s="1009"/>
      <c r="ZT182" s="1009"/>
      <c r="ZU182" s="1009"/>
      <c r="ZV182" s="1009"/>
      <c r="ZW182" s="1009"/>
      <c r="ZX182" s="1009"/>
      <c r="ZY182" s="1009"/>
      <c r="ZZ182" s="1009"/>
      <c r="AAA182" s="1009"/>
      <c r="AAB182" s="1009"/>
      <c r="AAC182" s="1009"/>
      <c r="AAD182" s="1009"/>
      <c r="AAE182" s="1009"/>
      <c r="AAF182" s="1009"/>
      <c r="AAG182" s="1009"/>
      <c r="AAH182" s="1009"/>
      <c r="AAI182" s="1009"/>
      <c r="AAJ182" s="1009"/>
      <c r="AAK182" s="1009"/>
      <c r="AAL182" s="1009"/>
      <c r="AAM182" s="1009"/>
      <c r="AAN182" s="1009"/>
      <c r="AAO182" s="1009"/>
      <c r="AAP182" s="1009"/>
      <c r="AAQ182" s="1009"/>
      <c r="AAR182" s="1009"/>
      <c r="AAS182" s="1009"/>
      <c r="AAT182" s="1009"/>
      <c r="AAU182" s="1009"/>
      <c r="AAV182" s="1009"/>
      <c r="AAW182" s="1009"/>
      <c r="AAX182" s="1009"/>
      <c r="AAY182" s="1009"/>
      <c r="AAZ182" s="1009"/>
      <c r="ABA182" s="1009"/>
      <c r="ABB182" s="1009"/>
      <c r="ABC182" s="1009"/>
      <c r="ABD182" s="1009"/>
      <c r="ABE182" s="1009"/>
      <c r="ABF182" s="1009"/>
      <c r="ABG182" s="1009"/>
      <c r="ABH182" s="1009"/>
      <c r="ABI182" s="1009"/>
      <c r="ABJ182" s="1009"/>
      <c r="ABK182" s="1009"/>
      <c r="ABL182" s="1009"/>
      <c r="ABM182" s="1009"/>
      <c r="ABN182" s="1009"/>
      <c r="ABO182" s="1009"/>
      <c r="ABP182" s="1009"/>
      <c r="ABQ182" s="1009"/>
      <c r="ABR182" s="1009"/>
    </row>
    <row r="183" spans="1:746" s="111" customFormat="1" ht="12" hidden="1" customHeight="1">
      <c r="A183" s="1252"/>
      <c r="B183" s="1244" t="s">
        <v>17</v>
      </c>
      <c r="C183" s="1245"/>
      <c r="D183" s="885"/>
      <c r="E183" s="1246"/>
      <c r="F183" s="551"/>
      <c r="G183" s="1247"/>
      <c r="H183" s="2544"/>
      <c r="I183" s="1966"/>
      <c r="J183" s="1966"/>
      <c r="K183" s="1966"/>
      <c r="L183" s="1966"/>
      <c r="M183" s="1966"/>
      <c r="N183" s="1966"/>
      <c r="O183" s="1966"/>
      <c r="P183" s="1966"/>
      <c r="Q183" s="1966"/>
      <c r="R183" s="1966"/>
      <c r="S183" s="1966"/>
      <c r="T183" s="373"/>
      <c r="U183" s="373"/>
      <c r="V183" s="373"/>
      <c r="W183" s="373"/>
      <c r="X183" s="373"/>
      <c r="Y183" s="373"/>
      <c r="Z183" s="373"/>
      <c r="AA183" s="373"/>
      <c r="AB183" s="373"/>
      <c r="AC183" s="373"/>
      <c r="AD183" s="373"/>
      <c r="AE183" s="373"/>
      <c r="AF183" s="373"/>
      <c r="AG183" s="1042"/>
      <c r="AH183" s="336"/>
      <c r="AI183" s="336"/>
      <c r="AJ183" s="901">
        <f>IF(fx!$C$57=1,SUMIF(fx!I$57:T$57,1,I183:T183),IF(fx!$C$57=2,SUMIF(fx!O$57:AF$57,1,O183:AF183)))</f>
        <v>0</v>
      </c>
      <c r="AK183" s="328"/>
      <c r="AL183" s="902">
        <f>IF(fx!$C$57=1,SUM(U183:AF183),0)</f>
        <v>0</v>
      </c>
      <c r="AM183" s="1028"/>
      <c r="AN183" s="1029"/>
      <c r="AO183" s="1945"/>
      <c r="AP183" s="1935"/>
      <c r="AQ183" s="1936"/>
      <c r="AR183" s="2710"/>
      <c r="AS183" s="2710"/>
      <c r="AT183" s="2710"/>
      <c r="AU183" s="2710"/>
      <c r="AV183" s="2710"/>
      <c r="AW183" s="2710"/>
      <c r="AX183" s="2710"/>
      <c r="AY183" s="2710"/>
      <c r="AZ183" s="2710"/>
      <c r="BA183" s="2710"/>
      <c r="BB183" s="2710"/>
      <c r="BC183" s="2710"/>
      <c r="BD183" s="2710"/>
      <c r="BE183" s="2710"/>
      <c r="BF183" s="2710"/>
      <c r="BG183" s="2710"/>
      <c r="BH183" s="2710"/>
      <c r="BI183" s="2710"/>
      <c r="BJ183" s="2710"/>
      <c r="BK183" s="2710"/>
      <c r="BL183" s="2710"/>
      <c r="BM183" s="2710"/>
      <c r="BN183" s="2710"/>
      <c r="BO183" s="2710"/>
      <c r="BP183" s="1009"/>
      <c r="BQ183" s="1009"/>
      <c r="BR183" s="1009"/>
      <c r="BS183" s="1009"/>
      <c r="BT183" s="1009"/>
      <c r="BU183" s="1009"/>
      <c r="BV183" s="1009"/>
      <c r="BW183" s="1009"/>
      <c r="BX183" s="1009"/>
      <c r="BY183" s="1009"/>
      <c r="BZ183" s="1009"/>
      <c r="CA183" s="1009"/>
      <c r="CB183" s="1009"/>
      <c r="CC183" s="1009"/>
      <c r="CD183" s="1009"/>
      <c r="CE183" s="1009"/>
      <c r="CF183" s="1009"/>
      <c r="CG183" s="1009"/>
      <c r="CH183" s="1009"/>
      <c r="CI183" s="1009"/>
      <c r="CJ183" s="1009"/>
      <c r="CK183" s="1009"/>
      <c r="CL183" s="1009"/>
      <c r="CM183" s="1009"/>
      <c r="CN183" s="1009"/>
      <c r="CO183" s="1009"/>
      <c r="CP183" s="1009"/>
      <c r="CQ183" s="1009"/>
      <c r="CR183" s="1009"/>
      <c r="CS183" s="1009"/>
      <c r="CT183" s="1009"/>
      <c r="CU183" s="1009"/>
      <c r="CV183" s="1009"/>
      <c r="CW183" s="1009"/>
      <c r="CX183" s="1009"/>
      <c r="CY183" s="1009"/>
      <c r="CZ183" s="1009"/>
      <c r="DA183" s="1009"/>
      <c r="DB183" s="1009"/>
      <c r="DC183" s="1009"/>
      <c r="DD183" s="1009"/>
      <c r="DE183" s="1009"/>
      <c r="DF183" s="1009"/>
      <c r="DG183" s="1009"/>
      <c r="DH183" s="1009"/>
      <c r="DI183" s="1009"/>
      <c r="DJ183" s="1009"/>
      <c r="DK183" s="1009"/>
      <c r="DL183" s="1009"/>
      <c r="DM183" s="1009"/>
      <c r="DN183" s="1009"/>
      <c r="DO183" s="1009"/>
      <c r="DP183" s="1009"/>
      <c r="DQ183" s="1009"/>
      <c r="DR183" s="1009"/>
      <c r="DS183" s="1009"/>
      <c r="DT183" s="1009"/>
      <c r="DU183" s="1009"/>
      <c r="DV183" s="1009"/>
      <c r="DW183" s="1009"/>
      <c r="DX183" s="1009"/>
      <c r="DY183" s="1009"/>
      <c r="DZ183" s="1009"/>
      <c r="EA183" s="1009"/>
      <c r="EB183" s="1009"/>
      <c r="EC183" s="1009"/>
      <c r="ED183" s="1009"/>
      <c r="EE183" s="1009"/>
      <c r="EF183" s="1009"/>
      <c r="EG183" s="1009"/>
      <c r="EH183" s="1009"/>
      <c r="EI183" s="1009"/>
      <c r="EJ183" s="1009"/>
      <c r="EK183" s="1009"/>
      <c r="EL183" s="1009"/>
      <c r="EM183" s="1009"/>
      <c r="EN183" s="1009"/>
      <c r="EO183" s="1009"/>
      <c r="EP183" s="1009"/>
      <c r="EQ183" s="1009"/>
      <c r="ER183" s="1009"/>
      <c r="ES183" s="1009"/>
      <c r="ET183" s="1009"/>
      <c r="EU183" s="1009"/>
      <c r="EV183" s="1009"/>
      <c r="EW183" s="1009"/>
      <c r="EX183" s="1009"/>
      <c r="EY183" s="1009"/>
      <c r="EZ183" s="1009"/>
      <c r="FA183" s="1009"/>
      <c r="FB183" s="1009"/>
      <c r="FC183" s="1009"/>
      <c r="FD183" s="1009"/>
      <c r="FE183" s="1009"/>
      <c r="FF183" s="1009"/>
      <c r="FG183" s="1009"/>
      <c r="FH183" s="1009"/>
      <c r="FI183" s="1009"/>
      <c r="FJ183" s="1009"/>
      <c r="FK183" s="1009"/>
      <c r="FL183" s="1009"/>
      <c r="FM183" s="1009"/>
      <c r="FN183" s="1009"/>
      <c r="FO183" s="1009"/>
      <c r="FP183" s="1009"/>
      <c r="FQ183" s="1009"/>
      <c r="FR183" s="1009"/>
      <c r="FS183" s="1009"/>
      <c r="FT183" s="1009"/>
      <c r="FU183" s="1009"/>
      <c r="FV183" s="1009"/>
      <c r="FW183" s="1009"/>
      <c r="FX183" s="1009"/>
      <c r="FY183" s="1009"/>
      <c r="FZ183" s="1009"/>
      <c r="GA183" s="1009"/>
      <c r="GB183" s="1009"/>
      <c r="GC183" s="1009"/>
      <c r="GD183" s="1009"/>
      <c r="GE183" s="1009"/>
      <c r="GF183" s="1009"/>
      <c r="GG183" s="1009"/>
      <c r="GH183" s="1009"/>
      <c r="GI183" s="1009"/>
      <c r="GJ183" s="1009"/>
      <c r="GK183" s="1009"/>
      <c r="GL183" s="1009"/>
      <c r="GM183" s="1009"/>
      <c r="GN183" s="1009"/>
      <c r="GO183" s="1009"/>
      <c r="GP183" s="1009"/>
      <c r="GQ183" s="1009"/>
      <c r="GR183" s="1009"/>
      <c r="GS183" s="1009"/>
      <c r="GT183" s="1009"/>
      <c r="GU183" s="1009"/>
      <c r="GV183" s="1009"/>
      <c r="GW183" s="1009"/>
      <c r="GX183" s="1009"/>
      <c r="GY183" s="1009"/>
      <c r="GZ183" s="1009"/>
      <c r="HA183" s="1009"/>
      <c r="HB183" s="1009"/>
      <c r="HC183" s="1009"/>
      <c r="HD183" s="1009"/>
      <c r="HE183" s="1009"/>
      <c r="HF183" s="1009"/>
      <c r="HG183" s="1009"/>
      <c r="HH183" s="1009"/>
      <c r="HI183" s="1009"/>
      <c r="HJ183" s="1009"/>
      <c r="HK183" s="1009"/>
      <c r="HL183" s="1009"/>
      <c r="HM183" s="1009"/>
      <c r="HN183" s="1009"/>
      <c r="HO183" s="1009"/>
      <c r="HP183" s="1009"/>
      <c r="HQ183" s="1009"/>
      <c r="HR183" s="1009"/>
      <c r="HS183" s="1009"/>
      <c r="HT183" s="1009"/>
      <c r="HU183" s="1009"/>
      <c r="HV183" s="1009"/>
      <c r="HW183" s="1009"/>
      <c r="HX183" s="1009"/>
      <c r="HY183" s="1009"/>
      <c r="HZ183" s="1009"/>
      <c r="IA183" s="1009"/>
      <c r="IB183" s="1009"/>
      <c r="IC183" s="1009"/>
      <c r="ID183" s="1009"/>
      <c r="IE183" s="1009"/>
      <c r="IF183" s="1009"/>
      <c r="IG183" s="1009"/>
      <c r="IH183" s="1009"/>
      <c r="II183" s="1009"/>
      <c r="IJ183" s="1009"/>
      <c r="IK183" s="1009"/>
      <c r="IL183" s="1009"/>
      <c r="IM183" s="1009"/>
      <c r="IN183" s="1009"/>
      <c r="IO183" s="1009"/>
      <c r="IP183" s="1009"/>
      <c r="IQ183" s="1009"/>
      <c r="IR183" s="1009"/>
      <c r="IS183" s="1009"/>
      <c r="IT183" s="1009"/>
      <c r="IU183" s="1009"/>
      <c r="IV183" s="1009"/>
      <c r="IW183" s="1009"/>
      <c r="IX183" s="1009"/>
      <c r="IY183" s="1009"/>
      <c r="IZ183" s="1009"/>
      <c r="JA183" s="1009"/>
      <c r="JB183" s="1009"/>
      <c r="JC183" s="1009"/>
      <c r="JD183" s="1009"/>
      <c r="JE183" s="1009"/>
      <c r="JF183" s="1009"/>
      <c r="JG183" s="1009"/>
      <c r="JH183" s="1009"/>
      <c r="JI183" s="1009"/>
      <c r="JJ183" s="1009"/>
      <c r="JK183" s="1009"/>
      <c r="JL183" s="1009"/>
      <c r="JM183" s="1009"/>
      <c r="JN183" s="1009"/>
      <c r="JO183" s="1009"/>
      <c r="JP183" s="1009"/>
      <c r="JQ183" s="1009"/>
      <c r="JR183" s="1009"/>
      <c r="JS183" s="1009"/>
      <c r="JT183" s="1009"/>
      <c r="JU183" s="1009"/>
      <c r="JV183" s="1009"/>
      <c r="JW183" s="1009"/>
      <c r="JX183" s="1009"/>
      <c r="JY183" s="1009"/>
      <c r="JZ183" s="1009"/>
      <c r="KA183" s="1009"/>
      <c r="KB183" s="1009"/>
      <c r="KC183" s="1009"/>
      <c r="KD183" s="1009"/>
      <c r="KE183" s="1009"/>
      <c r="KF183" s="1009"/>
      <c r="KG183" s="1009"/>
      <c r="KH183" s="1009"/>
      <c r="KI183" s="1009"/>
      <c r="KJ183" s="1009"/>
      <c r="KK183" s="1009"/>
      <c r="KL183" s="1009"/>
      <c r="KM183" s="1009"/>
      <c r="KN183" s="1009"/>
      <c r="KO183" s="1009"/>
      <c r="KP183" s="1009"/>
      <c r="KQ183" s="1009"/>
      <c r="KR183" s="1009"/>
      <c r="KS183" s="1009"/>
      <c r="KT183" s="1009"/>
      <c r="KU183" s="1009"/>
      <c r="KV183" s="1009"/>
      <c r="KW183" s="1009"/>
      <c r="KX183" s="1009"/>
      <c r="KY183" s="1009"/>
      <c r="KZ183" s="1009"/>
      <c r="LA183" s="1009"/>
      <c r="LB183" s="1009"/>
      <c r="LC183" s="1009"/>
      <c r="LD183" s="1009"/>
      <c r="LE183" s="1009"/>
      <c r="LF183" s="1009"/>
      <c r="LG183" s="1009"/>
      <c r="LH183" s="1009"/>
      <c r="LI183" s="1009"/>
      <c r="LJ183" s="1009"/>
      <c r="LK183" s="1009"/>
      <c r="LL183" s="1009"/>
      <c r="LM183" s="1009"/>
      <c r="LN183" s="1009"/>
      <c r="LO183" s="1009"/>
      <c r="LP183" s="1009"/>
      <c r="LQ183" s="1009"/>
      <c r="LR183" s="1009"/>
      <c r="LS183" s="1009"/>
      <c r="LT183" s="1009"/>
      <c r="LU183" s="1009"/>
      <c r="LV183" s="1009"/>
      <c r="LW183" s="1009"/>
      <c r="LX183" s="1009"/>
      <c r="LY183" s="1009"/>
      <c r="LZ183" s="1009"/>
      <c r="MA183" s="1009"/>
      <c r="MB183" s="1009"/>
      <c r="MC183" s="1009"/>
      <c r="MD183" s="1009"/>
      <c r="ME183" s="1009"/>
      <c r="MF183" s="1009"/>
      <c r="MG183" s="1009"/>
      <c r="MH183" s="1009"/>
      <c r="MI183" s="1009"/>
      <c r="MJ183" s="1009"/>
      <c r="MK183" s="1009"/>
      <c r="ML183" s="1009"/>
      <c r="MM183" s="1009"/>
      <c r="MN183" s="1009"/>
      <c r="MO183" s="1009"/>
      <c r="MP183" s="1009"/>
      <c r="MQ183" s="1009"/>
      <c r="MR183" s="1009"/>
      <c r="MS183" s="1009"/>
      <c r="MT183" s="1009"/>
      <c r="MU183" s="1009"/>
      <c r="MV183" s="1009"/>
      <c r="MW183" s="1009"/>
      <c r="MX183" s="1009"/>
      <c r="MY183" s="1009"/>
      <c r="MZ183" s="1009"/>
      <c r="NA183" s="1009"/>
      <c r="NB183" s="1009"/>
      <c r="NC183" s="1009"/>
      <c r="ND183" s="1009"/>
      <c r="NE183" s="1009"/>
      <c r="NF183" s="1009"/>
      <c r="NG183" s="1009"/>
      <c r="NH183" s="1009"/>
      <c r="NI183" s="1009"/>
      <c r="NJ183" s="1009"/>
      <c r="NK183" s="1009"/>
      <c r="NL183" s="1009"/>
      <c r="NM183" s="1009"/>
      <c r="NN183" s="1009"/>
      <c r="NO183" s="1009"/>
      <c r="NP183" s="1009"/>
      <c r="NQ183" s="1009"/>
      <c r="NR183" s="1009"/>
      <c r="NS183" s="1009"/>
      <c r="NT183" s="1009"/>
      <c r="NU183" s="1009"/>
      <c r="NV183" s="1009"/>
      <c r="NW183" s="1009"/>
      <c r="NX183" s="1009"/>
      <c r="NY183" s="1009"/>
      <c r="NZ183" s="1009"/>
      <c r="OA183" s="1009"/>
      <c r="OB183" s="1009"/>
      <c r="OC183" s="1009"/>
      <c r="OD183" s="1009"/>
      <c r="OE183" s="1009"/>
      <c r="OF183" s="1009"/>
      <c r="OG183" s="1009"/>
      <c r="OH183" s="1009"/>
      <c r="OI183" s="1009"/>
      <c r="OJ183" s="1009"/>
      <c r="OK183" s="1009"/>
      <c r="OL183" s="1009"/>
      <c r="OM183" s="1009"/>
      <c r="ON183" s="1009"/>
      <c r="OO183" s="1009"/>
      <c r="OP183" s="1009"/>
      <c r="OQ183" s="1009"/>
      <c r="OR183" s="1009"/>
      <c r="OS183" s="1009"/>
      <c r="OT183" s="1009"/>
      <c r="OU183" s="1009"/>
      <c r="OV183" s="1009"/>
      <c r="OW183" s="1009"/>
      <c r="OX183" s="1009"/>
      <c r="OY183" s="1009"/>
      <c r="OZ183" s="1009"/>
      <c r="PA183" s="1009"/>
      <c r="PB183" s="1009"/>
      <c r="PC183" s="1009"/>
      <c r="PD183" s="1009"/>
      <c r="PE183" s="1009"/>
      <c r="PF183" s="1009"/>
      <c r="PG183" s="1009"/>
      <c r="PH183" s="1009"/>
      <c r="PI183" s="1009"/>
      <c r="PJ183" s="1009"/>
      <c r="PK183" s="1009"/>
      <c r="PL183" s="1009"/>
      <c r="PM183" s="1009"/>
      <c r="PN183" s="1009"/>
      <c r="PO183" s="1009"/>
      <c r="PP183" s="1009"/>
      <c r="PQ183" s="1009"/>
      <c r="PR183" s="1009"/>
      <c r="PS183" s="1009"/>
      <c r="PT183" s="1009"/>
      <c r="PU183" s="1009"/>
      <c r="PV183" s="1009"/>
      <c r="PW183" s="1009"/>
      <c r="PX183" s="1009"/>
      <c r="PY183" s="1009"/>
      <c r="PZ183" s="1009"/>
      <c r="QA183" s="1009"/>
      <c r="QB183" s="1009"/>
      <c r="QC183" s="1009"/>
      <c r="QD183" s="1009"/>
      <c r="QE183" s="1009"/>
      <c r="QF183" s="1009"/>
      <c r="QG183" s="1009"/>
      <c r="QH183" s="1009"/>
      <c r="QI183" s="1009"/>
      <c r="QJ183" s="1009"/>
      <c r="QK183" s="1009"/>
      <c r="QL183" s="1009"/>
      <c r="QM183" s="1009"/>
      <c r="QN183" s="1009"/>
      <c r="QO183" s="1009"/>
      <c r="QP183" s="1009"/>
      <c r="QQ183" s="1009"/>
      <c r="QR183" s="1009"/>
      <c r="QS183" s="1009"/>
      <c r="QT183" s="1009"/>
      <c r="QU183" s="1009"/>
      <c r="QV183" s="1009"/>
      <c r="QW183" s="1009"/>
      <c r="QX183" s="1009"/>
      <c r="QY183" s="1009"/>
      <c r="QZ183" s="1009"/>
      <c r="RA183" s="1009"/>
      <c r="RB183" s="1009"/>
      <c r="RC183" s="1009"/>
      <c r="RD183" s="1009"/>
      <c r="RE183" s="1009"/>
      <c r="RF183" s="1009"/>
      <c r="RG183" s="1009"/>
      <c r="RH183" s="1009"/>
      <c r="RI183" s="1009"/>
      <c r="RJ183" s="1009"/>
      <c r="RK183" s="1009"/>
      <c r="RL183" s="1009"/>
      <c r="RM183" s="1009"/>
      <c r="RN183" s="1009"/>
      <c r="RO183" s="1009"/>
      <c r="RP183" s="1009"/>
      <c r="RQ183" s="1009"/>
      <c r="RR183" s="1009"/>
      <c r="RS183" s="1009"/>
      <c r="RT183" s="1009"/>
      <c r="RU183" s="1009"/>
      <c r="RV183" s="1009"/>
      <c r="RW183" s="1009"/>
      <c r="RX183" s="1009"/>
      <c r="RY183" s="1009"/>
      <c r="RZ183" s="1009"/>
      <c r="SA183" s="1009"/>
      <c r="SB183" s="1009"/>
      <c r="SC183" s="1009"/>
      <c r="SD183" s="1009"/>
      <c r="SE183" s="1009"/>
      <c r="SF183" s="1009"/>
      <c r="SG183" s="1009"/>
      <c r="SH183" s="1009"/>
      <c r="SI183" s="1009"/>
      <c r="SJ183" s="1009"/>
      <c r="SK183" s="1009"/>
      <c r="SL183" s="1009"/>
      <c r="SM183" s="1009"/>
      <c r="SN183" s="1009"/>
      <c r="SO183" s="1009"/>
      <c r="SP183" s="1009"/>
      <c r="SQ183" s="1009"/>
      <c r="SR183" s="1009"/>
      <c r="SS183" s="1009"/>
      <c r="ST183" s="1009"/>
      <c r="SU183" s="1009"/>
      <c r="SV183" s="1009"/>
      <c r="SW183" s="1009"/>
      <c r="SX183" s="1009"/>
      <c r="SY183" s="1009"/>
      <c r="SZ183" s="1009"/>
      <c r="TA183" s="1009"/>
      <c r="TB183" s="1009"/>
      <c r="TC183" s="1009"/>
      <c r="TD183" s="1009"/>
      <c r="TE183" s="1009"/>
      <c r="TF183" s="1009"/>
      <c r="TG183" s="1009"/>
      <c r="TH183" s="1009"/>
      <c r="TI183" s="1009"/>
      <c r="TJ183" s="1009"/>
      <c r="TK183" s="1009"/>
      <c r="TL183" s="1009"/>
      <c r="TM183" s="1009"/>
      <c r="TN183" s="1009"/>
      <c r="TO183" s="1009"/>
      <c r="TP183" s="1009"/>
      <c r="TQ183" s="1009"/>
      <c r="TR183" s="1009"/>
      <c r="TS183" s="1009"/>
      <c r="TT183" s="1009"/>
      <c r="TU183" s="1009"/>
      <c r="TV183" s="1009"/>
      <c r="TW183" s="1009"/>
      <c r="TX183" s="1009"/>
      <c r="TY183" s="1009"/>
      <c r="TZ183" s="1009"/>
      <c r="UA183" s="1009"/>
      <c r="UB183" s="1009"/>
      <c r="UC183" s="1009"/>
      <c r="UD183" s="1009"/>
      <c r="UE183" s="1009"/>
      <c r="UF183" s="1009"/>
      <c r="UG183" s="1009"/>
      <c r="UH183" s="1009"/>
      <c r="UI183" s="1009"/>
      <c r="UJ183" s="1009"/>
      <c r="UK183" s="1009"/>
      <c r="UL183" s="1009"/>
      <c r="UM183" s="1009"/>
      <c r="UN183" s="1009"/>
      <c r="UO183" s="1009"/>
      <c r="UP183" s="1009"/>
      <c r="UQ183" s="1009"/>
      <c r="UR183" s="1009"/>
      <c r="US183" s="1009"/>
      <c r="UT183" s="1009"/>
      <c r="UU183" s="1009"/>
      <c r="UV183" s="1009"/>
      <c r="UW183" s="1009"/>
      <c r="UX183" s="1009"/>
      <c r="UY183" s="1009"/>
      <c r="UZ183" s="1009"/>
      <c r="VA183" s="1009"/>
      <c r="VB183" s="1009"/>
      <c r="VC183" s="1009"/>
      <c r="VD183" s="1009"/>
      <c r="VE183" s="1009"/>
      <c r="VF183" s="1009"/>
      <c r="VG183" s="1009"/>
      <c r="VH183" s="1009"/>
      <c r="VI183" s="1009"/>
      <c r="VJ183" s="1009"/>
      <c r="VK183" s="1009"/>
      <c r="VL183" s="1009"/>
      <c r="VM183" s="1009"/>
      <c r="VN183" s="1009"/>
      <c r="VO183" s="1009"/>
      <c r="VP183" s="1009"/>
      <c r="VQ183" s="1009"/>
      <c r="VR183" s="1009"/>
      <c r="VS183" s="1009"/>
      <c r="VT183" s="1009"/>
      <c r="VU183" s="1009"/>
      <c r="VV183" s="1009"/>
      <c r="VW183" s="1009"/>
      <c r="VX183" s="1009"/>
      <c r="VY183" s="1009"/>
      <c r="VZ183" s="1009"/>
      <c r="WA183" s="1009"/>
      <c r="WB183" s="1009"/>
      <c r="WC183" s="1009"/>
      <c r="WD183" s="1009"/>
      <c r="WE183" s="1009"/>
      <c r="WF183" s="1009"/>
      <c r="WG183" s="1009"/>
      <c r="WH183" s="1009"/>
      <c r="WI183" s="1009"/>
      <c r="WJ183" s="1009"/>
      <c r="WK183" s="1009"/>
      <c r="WL183" s="1009"/>
      <c r="WM183" s="1009"/>
      <c r="WN183" s="1009"/>
      <c r="WO183" s="1009"/>
      <c r="WP183" s="1009"/>
      <c r="WQ183" s="1009"/>
      <c r="WR183" s="1009"/>
      <c r="WS183" s="1009"/>
      <c r="WT183" s="1009"/>
      <c r="WU183" s="1009"/>
      <c r="WV183" s="1009"/>
      <c r="WW183" s="1009"/>
      <c r="WX183" s="1009"/>
      <c r="WY183" s="1009"/>
      <c r="WZ183" s="1009"/>
      <c r="XA183" s="1009"/>
      <c r="XB183" s="1009"/>
      <c r="XC183" s="1009"/>
      <c r="XD183" s="1009"/>
      <c r="XE183" s="1009"/>
      <c r="XF183" s="1009"/>
      <c r="XG183" s="1009"/>
      <c r="XH183" s="1009"/>
      <c r="XI183" s="1009"/>
      <c r="XJ183" s="1009"/>
      <c r="XK183" s="1009"/>
      <c r="XL183" s="1009"/>
      <c r="XM183" s="1009"/>
      <c r="XN183" s="1009"/>
      <c r="XO183" s="1009"/>
      <c r="XP183" s="1009"/>
      <c r="XQ183" s="1009"/>
      <c r="XR183" s="1009"/>
      <c r="XS183" s="1009"/>
      <c r="XT183" s="1009"/>
      <c r="XU183" s="1009"/>
      <c r="XV183" s="1009"/>
      <c r="XW183" s="1009"/>
      <c r="XX183" s="1009"/>
      <c r="XY183" s="1009"/>
      <c r="XZ183" s="1009"/>
      <c r="YA183" s="1009"/>
      <c r="YB183" s="1009"/>
      <c r="YC183" s="1009"/>
      <c r="YD183" s="1009"/>
      <c r="YE183" s="1009"/>
      <c r="YF183" s="1009"/>
      <c r="YG183" s="1009"/>
      <c r="YH183" s="1009"/>
      <c r="YI183" s="1009"/>
      <c r="YJ183" s="1009"/>
      <c r="YK183" s="1009"/>
      <c r="YL183" s="1009"/>
      <c r="YM183" s="1009"/>
      <c r="YN183" s="1009"/>
      <c r="YO183" s="1009"/>
      <c r="YP183" s="1009"/>
      <c r="YQ183" s="1009"/>
      <c r="YR183" s="1009"/>
      <c r="YS183" s="1009"/>
      <c r="YT183" s="1009"/>
      <c r="YU183" s="1009"/>
      <c r="YV183" s="1009"/>
      <c r="YW183" s="1009"/>
      <c r="YX183" s="1009"/>
      <c r="YY183" s="1009"/>
      <c r="YZ183" s="1009"/>
      <c r="ZA183" s="1009"/>
      <c r="ZB183" s="1009"/>
      <c r="ZC183" s="1009"/>
      <c r="ZD183" s="1009"/>
      <c r="ZE183" s="1009"/>
      <c r="ZF183" s="1009"/>
      <c r="ZG183" s="1009"/>
      <c r="ZH183" s="1009"/>
      <c r="ZI183" s="1009"/>
      <c r="ZJ183" s="1009"/>
      <c r="ZK183" s="1009"/>
      <c r="ZL183" s="1009"/>
      <c r="ZM183" s="1009"/>
      <c r="ZN183" s="1009"/>
      <c r="ZO183" s="1009"/>
      <c r="ZP183" s="1009"/>
      <c r="ZQ183" s="1009"/>
      <c r="ZR183" s="1009"/>
      <c r="ZS183" s="1009"/>
      <c r="ZT183" s="1009"/>
      <c r="ZU183" s="1009"/>
      <c r="ZV183" s="1009"/>
      <c r="ZW183" s="1009"/>
      <c r="ZX183" s="1009"/>
      <c r="ZY183" s="1009"/>
      <c r="ZZ183" s="1009"/>
      <c r="AAA183" s="1009"/>
      <c r="AAB183" s="1009"/>
      <c r="AAC183" s="1009"/>
      <c r="AAD183" s="1009"/>
      <c r="AAE183" s="1009"/>
      <c r="AAF183" s="1009"/>
      <c r="AAG183" s="1009"/>
      <c r="AAH183" s="1009"/>
      <c r="AAI183" s="1009"/>
      <c r="AAJ183" s="1009"/>
      <c r="AAK183" s="1009"/>
      <c r="AAL183" s="1009"/>
      <c r="AAM183" s="1009"/>
      <c r="AAN183" s="1009"/>
      <c r="AAO183" s="1009"/>
      <c r="AAP183" s="1009"/>
      <c r="AAQ183" s="1009"/>
      <c r="AAR183" s="1009"/>
      <c r="AAS183" s="1009"/>
      <c r="AAT183" s="1009"/>
      <c r="AAU183" s="1009"/>
      <c r="AAV183" s="1009"/>
      <c r="AAW183" s="1009"/>
      <c r="AAX183" s="1009"/>
      <c r="AAY183" s="1009"/>
      <c r="AAZ183" s="1009"/>
      <c r="ABA183" s="1009"/>
      <c r="ABB183" s="1009"/>
      <c r="ABC183" s="1009"/>
      <c r="ABD183" s="1009"/>
      <c r="ABE183" s="1009"/>
      <c r="ABF183" s="1009"/>
      <c r="ABG183" s="1009"/>
      <c r="ABH183" s="1009"/>
      <c r="ABI183" s="1009"/>
      <c r="ABJ183" s="1009"/>
      <c r="ABK183" s="1009"/>
      <c r="ABL183" s="1009"/>
      <c r="ABM183" s="1009"/>
      <c r="ABN183" s="1009"/>
      <c r="ABO183" s="1009"/>
      <c r="ABP183" s="1009"/>
      <c r="ABQ183" s="1009"/>
      <c r="ABR183" s="1009"/>
    </row>
    <row r="184" spans="1:746" s="111" customFormat="1" ht="12" hidden="1" customHeight="1">
      <c r="A184" s="1252"/>
      <c r="B184" s="954" t="s">
        <v>827</v>
      </c>
      <c r="C184" s="921"/>
      <c r="D184" s="921"/>
      <c r="E184" s="921"/>
      <c r="F184" s="921"/>
      <c r="G184" s="921"/>
      <c r="H184" s="922"/>
      <c r="I184" s="1771">
        <f>SUMIF(fx!$I$57:I57,1,$I$182:I182)-SUMIF(fx!$I$57:I57,1,$I$183:I183)</f>
        <v>0</v>
      </c>
      <c r="J184" s="955">
        <f>SUMIF(fx!$I$57:J57,1,$I$182:J182)-SUMIF(fx!$I$57:J57,1,$I$183:J183)</f>
        <v>0</v>
      </c>
      <c r="K184" s="955">
        <f>SUMIF(fx!$I$57:K57,1,$I$182:K182)-SUMIF(fx!$I$57:K57,1,$I$183:K183)</f>
        <v>0</v>
      </c>
      <c r="L184" s="955">
        <f>SUMIF(fx!$I$57:L57,1,$I$182:L182)-SUMIF(fx!$I$57:L57,1,$I$183:L183)</f>
        <v>0</v>
      </c>
      <c r="M184" s="955">
        <f>SUMIF(fx!$I$57:M57,1,$I$182:M182)-SUMIF(fx!$I$57:M57,1,$I$183:M183)</f>
        <v>0</v>
      </c>
      <c r="N184" s="955">
        <f>SUMIF(fx!$I$57:N57,1,$I$182:N182)-SUMIF(fx!$I$57:N57,1,$I$183:N183)</f>
        <v>0</v>
      </c>
      <c r="O184" s="955">
        <f>SUMIF(fx!$I$57:O57,1,$I$182:O182)-SUMIF(fx!$I$57:O57,1,$I$183:O183)</f>
        <v>0</v>
      </c>
      <c r="P184" s="955">
        <f>SUMIF(fx!$I$57:P57,1,$I$182:P182)-SUMIF(fx!$I$57:P57,1,$I$183:P183)</f>
        <v>0</v>
      </c>
      <c r="Q184" s="955">
        <f>SUMIF(fx!$I$57:Q57,1,$I$182:Q182)-SUMIF(fx!$I$57:Q57,1,$I$183:Q183)</f>
        <v>0</v>
      </c>
      <c r="R184" s="955">
        <f>SUMIF(fx!$I$57:R57,1,$I$182:R182)-SUMIF(fx!$I$57:R57,1,$I$183:R183)</f>
        <v>0</v>
      </c>
      <c r="S184" s="955">
        <f>SUMIF(fx!$I$57:S57,1,$I$182:S182)-SUMIF(fx!$I$57:S57,1,$I$183:S183)</f>
        <v>0</v>
      </c>
      <c r="T184" s="955">
        <f>SUMIF(fx!$I$57:T57,1,$I$182:T182)-SUMIF(fx!$I$57:T57,1,$I$183:T183)</f>
        <v>0</v>
      </c>
      <c r="U184" s="955">
        <f>SUMIF(fx!$I$57:U57,1,$I$182:U182)-SUMIF(fx!$I$57:U57,1,$I$183:U183)</f>
        <v>0</v>
      </c>
      <c r="V184" s="955">
        <f>SUMIF(fx!$I$57:V57,1,$I$182:V182)-SUMIF(fx!$I$57:V57,1,$I$183:V183)</f>
        <v>0</v>
      </c>
      <c r="W184" s="955">
        <f>SUMIF(fx!$I$57:W57,1,$I$182:W182)-SUMIF(fx!$I$57:W57,1,$I$183:W183)</f>
        <v>0</v>
      </c>
      <c r="X184" s="955">
        <f>SUMIF(fx!$I$57:X57,1,$I$182:X182)-SUMIF(fx!$I$57:X57,1,$I$183:X183)</f>
        <v>0</v>
      </c>
      <c r="Y184" s="955">
        <f>SUMIF(fx!$I$57:Y57,1,$I$182:Y182)-SUMIF(fx!$I$57:Y57,1,$I$183:Y183)</f>
        <v>0</v>
      </c>
      <c r="Z184" s="955">
        <f>SUMIF(fx!$I$57:Z57,1,$I$182:Z182)-SUMIF(fx!$I$57:Z57,1,$I$183:Z183)</f>
        <v>0</v>
      </c>
      <c r="AA184" s="955">
        <f>SUMIF(fx!$I$57:AA57,1,$I$182:AA182)-SUMIF(fx!$I$57:AA57,1,$I$183:AA183)</f>
        <v>0</v>
      </c>
      <c r="AB184" s="955">
        <f>SUMIF(fx!$I$57:AB57,1,$I$182:AB182)-SUMIF(fx!$I$57:AB57,1,$I$183:AB183)</f>
        <v>0</v>
      </c>
      <c r="AC184" s="955">
        <f>SUMIF(fx!$I$57:AC57,1,$I$182:AC182)-SUMIF(fx!$I$57:AC57,1,$I$183:AC183)</f>
        <v>0</v>
      </c>
      <c r="AD184" s="955">
        <f>SUMIF(fx!$I$57:AD57,1,$I$182:AD182)-SUMIF(fx!$I$57:AD57,1,$I$183:AD183)</f>
        <v>0</v>
      </c>
      <c r="AE184" s="955">
        <f>SUMIF(fx!$I$57:AE57,1,$I$182:AE182)-SUMIF(fx!$I$57:AE57,1,$I$183:AE183)</f>
        <v>0</v>
      </c>
      <c r="AF184" s="955">
        <f>SUMIF(fx!$I$57:AF57,1,$I$182:AF182)-SUMIF(fx!$I$57:AF57,1,$I$183:AF183)</f>
        <v>0</v>
      </c>
      <c r="AG184" s="376"/>
      <c r="AH184" s="336"/>
      <c r="AI184" s="336"/>
      <c r="AJ184" s="901">
        <f>IF(fx!$C$57=1,T184,IF(fx!$C$57=2,AF184))</f>
        <v>0</v>
      </c>
      <c r="AK184" s="328"/>
      <c r="AL184" s="902">
        <f>IF(fx!$C$57=1,AF184,0)</f>
        <v>0</v>
      </c>
      <c r="AM184" s="1028"/>
      <c r="AN184" s="1029"/>
      <c r="AO184" s="1945"/>
      <c r="AP184" s="1935"/>
      <c r="AQ184" s="1936"/>
      <c r="AR184" s="2710"/>
      <c r="AS184" s="2710"/>
      <c r="AT184" s="2710"/>
      <c r="AU184" s="2710"/>
      <c r="AV184" s="2710"/>
      <c r="AW184" s="2710"/>
      <c r="AX184" s="2710"/>
      <c r="AY184" s="2710"/>
      <c r="AZ184" s="2710"/>
      <c r="BA184" s="2710"/>
      <c r="BB184" s="2710"/>
      <c r="BC184" s="2710"/>
      <c r="BD184" s="2710"/>
      <c r="BE184" s="2710"/>
      <c r="BF184" s="2710"/>
      <c r="BG184" s="2710"/>
      <c r="BH184" s="2710"/>
      <c r="BI184" s="2710"/>
      <c r="BJ184" s="2710"/>
      <c r="BK184" s="2710"/>
      <c r="BL184" s="2710"/>
      <c r="BM184" s="2710"/>
      <c r="BN184" s="2710"/>
      <c r="BO184" s="2710"/>
      <c r="BP184" s="1009"/>
      <c r="BQ184" s="1009"/>
      <c r="BR184" s="1009"/>
      <c r="BS184" s="1009"/>
      <c r="BT184" s="1009"/>
      <c r="BU184" s="1009"/>
      <c r="BV184" s="1009"/>
      <c r="BW184" s="1009"/>
      <c r="BX184" s="1009"/>
      <c r="BY184" s="1009"/>
      <c r="BZ184" s="1009"/>
      <c r="CA184" s="1009"/>
      <c r="CB184" s="1009"/>
      <c r="CC184" s="1009"/>
      <c r="CD184" s="1009"/>
      <c r="CE184" s="1009"/>
      <c r="CF184" s="1009"/>
      <c r="CG184" s="1009"/>
      <c r="CH184" s="1009"/>
      <c r="CI184" s="1009"/>
      <c r="CJ184" s="1009"/>
      <c r="CK184" s="1009"/>
      <c r="CL184" s="1009"/>
      <c r="CM184" s="1009"/>
      <c r="CN184" s="1009"/>
      <c r="CO184" s="1009"/>
      <c r="CP184" s="1009"/>
      <c r="CQ184" s="1009"/>
      <c r="CR184" s="1009"/>
      <c r="CS184" s="1009"/>
      <c r="CT184" s="1009"/>
      <c r="CU184" s="1009"/>
      <c r="CV184" s="1009"/>
      <c r="CW184" s="1009"/>
      <c r="CX184" s="1009"/>
      <c r="CY184" s="1009"/>
      <c r="CZ184" s="1009"/>
      <c r="DA184" s="1009"/>
      <c r="DB184" s="1009"/>
      <c r="DC184" s="1009"/>
      <c r="DD184" s="1009"/>
      <c r="DE184" s="1009"/>
      <c r="DF184" s="1009"/>
      <c r="DG184" s="1009"/>
      <c r="DH184" s="1009"/>
      <c r="DI184" s="1009"/>
      <c r="DJ184" s="1009"/>
      <c r="DK184" s="1009"/>
      <c r="DL184" s="1009"/>
      <c r="DM184" s="1009"/>
      <c r="DN184" s="1009"/>
      <c r="DO184" s="1009"/>
      <c r="DP184" s="1009"/>
      <c r="DQ184" s="1009"/>
      <c r="DR184" s="1009"/>
      <c r="DS184" s="1009"/>
      <c r="DT184" s="1009"/>
      <c r="DU184" s="1009"/>
      <c r="DV184" s="1009"/>
      <c r="DW184" s="1009"/>
      <c r="DX184" s="1009"/>
      <c r="DY184" s="1009"/>
      <c r="DZ184" s="1009"/>
      <c r="EA184" s="1009"/>
      <c r="EB184" s="1009"/>
      <c r="EC184" s="1009"/>
      <c r="ED184" s="1009"/>
      <c r="EE184" s="1009"/>
      <c r="EF184" s="1009"/>
      <c r="EG184" s="1009"/>
      <c r="EH184" s="1009"/>
      <c r="EI184" s="1009"/>
      <c r="EJ184" s="1009"/>
      <c r="EK184" s="1009"/>
      <c r="EL184" s="1009"/>
      <c r="EM184" s="1009"/>
      <c r="EN184" s="1009"/>
      <c r="EO184" s="1009"/>
      <c r="EP184" s="1009"/>
      <c r="EQ184" s="1009"/>
      <c r="ER184" s="1009"/>
      <c r="ES184" s="1009"/>
      <c r="ET184" s="1009"/>
      <c r="EU184" s="1009"/>
      <c r="EV184" s="1009"/>
      <c r="EW184" s="1009"/>
      <c r="EX184" s="1009"/>
      <c r="EY184" s="1009"/>
      <c r="EZ184" s="1009"/>
      <c r="FA184" s="1009"/>
      <c r="FB184" s="1009"/>
      <c r="FC184" s="1009"/>
      <c r="FD184" s="1009"/>
      <c r="FE184" s="1009"/>
      <c r="FF184" s="1009"/>
      <c r="FG184" s="1009"/>
      <c r="FH184" s="1009"/>
      <c r="FI184" s="1009"/>
      <c r="FJ184" s="1009"/>
      <c r="FK184" s="1009"/>
      <c r="FL184" s="1009"/>
      <c r="FM184" s="1009"/>
      <c r="FN184" s="1009"/>
      <c r="FO184" s="1009"/>
      <c r="FP184" s="1009"/>
      <c r="FQ184" s="1009"/>
      <c r="FR184" s="1009"/>
      <c r="FS184" s="1009"/>
      <c r="FT184" s="1009"/>
      <c r="FU184" s="1009"/>
      <c r="FV184" s="1009"/>
      <c r="FW184" s="1009"/>
      <c r="FX184" s="1009"/>
      <c r="FY184" s="1009"/>
      <c r="FZ184" s="1009"/>
      <c r="GA184" s="1009"/>
      <c r="GB184" s="1009"/>
      <c r="GC184" s="1009"/>
      <c r="GD184" s="1009"/>
      <c r="GE184" s="1009"/>
      <c r="GF184" s="1009"/>
      <c r="GG184" s="1009"/>
      <c r="GH184" s="1009"/>
      <c r="GI184" s="1009"/>
      <c r="GJ184" s="1009"/>
      <c r="GK184" s="1009"/>
      <c r="GL184" s="1009"/>
      <c r="GM184" s="1009"/>
      <c r="GN184" s="1009"/>
      <c r="GO184" s="1009"/>
      <c r="GP184" s="1009"/>
      <c r="GQ184" s="1009"/>
      <c r="GR184" s="1009"/>
      <c r="GS184" s="1009"/>
      <c r="GT184" s="1009"/>
      <c r="GU184" s="1009"/>
      <c r="GV184" s="1009"/>
      <c r="GW184" s="1009"/>
      <c r="GX184" s="1009"/>
      <c r="GY184" s="1009"/>
      <c r="GZ184" s="1009"/>
      <c r="HA184" s="1009"/>
      <c r="HB184" s="1009"/>
      <c r="HC184" s="1009"/>
      <c r="HD184" s="1009"/>
      <c r="HE184" s="1009"/>
      <c r="HF184" s="1009"/>
      <c r="HG184" s="1009"/>
      <c r="HH184" s="1009"/>
      <c r="HI184" s="1009"/>
      <c r="HJ184" s="1009"/>
      <c r="HK184" s="1009"/>
      <c r="HL184" s="1009"/>
      <c r="HM184" s="1009"/>
      <c r="HN184" s="1009"/>
      <c r="HO184" s="1009"/>
      <c r="HP184" s="1009"/>
      <c r="HQ184" s="1009"/>
      <c r="HR184" s="1009"/>
      <c r="HS184" s="1009"/>
      <c r="HT184" s="1009"/>
      <c r="HU184" s="1009"/>
      <c r="HV184" s="1009"/>
      <c r="HW184" s="1009"/>
      <c r="HX184" s="1009"/>
      <c r="HY184" s="1009"/>
      <c r="HZ184" s="1009"/>
      <c r="IA184" s="1009"/>
      <c r="IB184" s="1009"/>
      <c r="IC184" s="1009"/>
      <c r="ID184" s="1009"/>
      <c r="IE184" s="1009"/>
      <c r="IF184" s="1009"/>
      <c r="IG184" s="1009"/>
      <c r="IH184" s="1009"/>
      <c r="II184" s="1009"/>
      <c r="IJ184" s="1009"/>
      <c r="IK184" s="1009"/>
      <c r="IL184" s="1009"/>
      <c r="IM184" s="1009"/>
      <c r="IN184" s="1009"/>
      <c r="IO184" s="1009"/>
      <c r="IP184" s="1009"/>
      <c r="IQ184" s="1009"/>
      <c r="IR184" s="1009"/>
      <c r="IS184" s="1009"/>
      <c r="IT184" s="1009"/>
      <c r="IU184" s="1009"/>
      <c r="IV184" s="1009"/>
      <c r="IW184" s="1009"/>
      <c r="IX184" s="1009"/>
      <c r="IY184" s="1009"/>
      <c r="IZ184" s="1009"/>
      <c r="JA184" s="1009"/>
      <c r="JB184" s="1009"/>
      <c r="JC184" s="1009"/>
      <c r="JD184" s="1009"/>
      <c r="JE184" s="1009"/>
      <c r="JF184" s="1009"/>
      <c r="JG184" s="1009"/>
      <c r="JH184" s="1009"/>
      <c r="JI184" s="1009"/>
      <c r="JJ184" s="1009"/>
      <c r="JK184" s="1009"/>
      <c r="JL184" s="1009"/>
      <c r="JM184" s="1009"/>
      <c r="JN184" s="1009"/>
      <c r="JO184" s="1009"/>
      <c r="JP184" s="1009"/>
      <c r="JQ184" s="1009"/>
      <c r="JR184" s="1009"/>
      <c r="JS184" s="1009"/>
      <c r="JT184" s="1009"/>
      <c r="JU184" s="1009"/>
      <c r="JV184" s="1009"/>
      <c r="JW184" s="1009"/>
      <c r="JX184" s="1009"/>
      <c r="JY184" s="1009"/>
      <c r="JZ184" s="1009"/>
      <c r="KA184" s="1009"/>
      <c r="KB184" s="1009"/>
      <c r="KC184" s="1009"/>
      <c r="KD184" s="1009"/>
      <c r="KE184" s="1009"/>
      <c r="KF184" s="1009"/>
      <c r="KG184" s="1009"/>
      <c r="KH184" s="1009"/>
      <c r="KI184" s="1009"/>
      <c r="KJ184" s="1009"/>
      <c r="KK184" s="1009"/>
      <c r="KL184" s="1009"/>
      <c r="KM184" s="1009"/>
      <c r="KN184" s="1009"/>
      <c r="KO184" s="1009"/>
      <c r="KP184" s="1009"/>
      <c r="KQ184" s="1009"/>
      <c r="KR184" s="1009"/>
      <c r="KS184" s="1009"/>
      <c r="KT184" s="1009"/>
      <c r="KU184" s="1009"/>
      <c r="KV184" s="1009"/>
      <c r="KW184" s="1009"/>
      <c r="KX184" s="1009"/>
      <c r="KY184" s="1009"/>
      <c r="KZ184" s="1009"/>
      <c r="LA184" s="1009"/>
      <c r="LB184" s="1009"/>
      <c r="LC184" s="1009"/>
      <c r="LD184" s="1009"/>
      <c r="LE184" s="1009"/>
      <c r="LF184" s="1009"/>
      <c r="LG184" s="1009"/>
      <c r="LH184" s="1009"/>
      <c r="LI184" s="1009"/>
      <c r="LJ184" s="1009"/>
      <c r="LK184" s="1009"/>
      <c r="LL184" s="1009"/>
      <c r="LM184" s="1009"/>
      <c r="LN184" s="1009"/>
      <c r="LO184" s="1009"/>
      <c r="LP184" s="1009"/>
      <c r="LQ184" s="1009"/>
      <c r="LR184" s="1009"/>
      <c r="LS184" s="1009"/>
      <c r="LT184" s="1009"/>
      <c r="LU184" s="1009"/>
      <c r="LV184" s="1009"/>
      <c r="LW184" s="1009"/>
      <c r="LX184" s="1009"/>
      <c r="LY184" s="1009"/>
      <c r="LZ184" s="1009"/>
      <c r="MA184" s="1009"/>
      <c r="MB184" s="1009"/>
      <c r="MC184" s="1009"/>
      <c r="MD184" s="1009"/>
      <c r="ME184" s="1009"/>
      <c r="MF184" s="1009"/>
      <c r="MG184" s="1009"/>
      <c r="MH184" s="1009"/>
      <c r="MI184" s="1009"/>
      <c r="MJ184" s="1009"/>
      <c r="MK184" s="1009"/>
      <c r="ML184" s="1009"/>
      <c r="MM184" s="1009"/>
      <c r="MN184" s="1009"/>
      <c r="MO184" s="1009"/>
      <c r="MP184" s="1009"/>
      <c r="MQ184" s="1009"/>
      <c r="MR184" s="1009"/>
      <c r="MS184" s="1009"/>
      <c r="MT184" s="1009"/>
      <c r="MU184" s="1009"/>
      <c r="MV184" s="1009"/>
      <c r="MW184" s="1009"/>
      <c r="MX184" s="1009"/>
      <c r="MY184" s="1009"/>
      <c r="MZ184" s="1009"/>
      <c r="NA184" s="1009"/>
      <c r="NB184" s="1009"/>
      <c r="NC184" s="1009"/>
      <c r="ND184" s="1009"/>
      <c r="NE184" s="1009"/>
      <c r="NF184" s="1009"/>
      <c r="NG184" s="1009"/>
      <c r="NH184" s="1009"/>
      <c r="NI184" s="1009"/>
      <c r="NJ184" s="1009"/>
      <c r="NK184" s="1009"/>
      <c r="NL184" s="1009"/>
      <c r="NM184" s="1009"/>
      <c r="NN184" s="1009"/>
      <c r="NO184" s="1009"/>
      <c r="NP184" s="1009"/>
      <c r="NQ184" s="1009"/>
      <c r="NR184" s="1009"/>
      <c r="NS184" s="1009"/>
      <c r="NT184" s="1009"/>
      <c r="NU184" s="1009"/>
      <c r="NV184" s="1009"/>
      <c r="NW184" s="1009"/>
      <c r="NX184" s="1009"/>
      <c r="NY184" s="1009"/>
      <c r="NZ184" s="1009"/>
      <c r="OA184" s="1009"/>
      <c r="OB184" s="1009"/>
      <c r="OC184" s="1009"/>
      <c r="OD184" s="1009"/>
      <c r="OE184" s="1009"/>
      <c r="OF184" s="1009"/>
      <c r="OG184" s="1009"/>
      <c r="OH184" s="1009"/>
      <c r="OI184" s="1009"/>
      <c r="OJ184" s="1009"/>
      <c r="OK184" s="1009"/>
      <c r="OL184" s="1009"/>
      <c r="OM184" s="1009"/>
      <c r="ON184" s="1009"/>
      <c r="OO184" s="1009"/>
      <c r="OP184" s="1009"/>
      <c r="OQ184" s="1009"/>
      <c r="OR184" s="1009"/>
      <c r="OS184" s="1009"/>
      <c r="OT184" s="1009"/>
      <c r="OU184" s="1009"/>
      <c r="OV184" s="1009"/>
      <c r="OW184" s="1009"/>
      <c r="OX184" s="1009"/>
      <c r="OY184" s="1009"/>
      <c r="OZ184" s="1009"/>
      <c r="PA184" s="1009"/>
      <c r="PB184" s="1009"/>
      <c r="PC184" s="1009"/>
      <c r="PD184" s="1009"/>
      <c r="PE184" s="1009"/>
      <c r="PF184" s="1009"/>
      <c r="PG184" s="1009"/>
      <c r="PH184" s="1009"/>
      <c r="PI184" s="1009"/>
      <c r="PJ184" s="1009"/>
      <c r="PK184" s="1009"/>
      <c r="PL184" s="1009"/>
      <c r="PM184" s="1009"/>
      <c r="PN184" s="1009"/>
      <c r="PO184" s="1009"/>
      <c r="PP184" s="1009"/>
      <c r="PQ184" s="1009"/>
      <c r="PR184" s="1009"/>
      <c r="PS184" s="1009"/>
      <c r="PT184" s="1009"/>
      <c r="PU184" s="1009"/>
      <c r="PV184" s="1009"/>
      <c r="PW184" s="1009"/>
      <c r="PX184" s="1009"/>
      <c r="PY184" s="1009"/>
      <c r="PZ184" s="1009"/>
      <c r="QA184" s="1009"/>
      <c r="QB184" s="1009"/>
      <c r="QC184" s="1009"/>
      <c r="QD184" s="1009"/>
      <c r="QE184" s="1009"/>
      <c r="QF184" s="1009"/>
      <c r="QG184" s="1009"/>
      <c r="QH184" s="1009"/>
      <c r="QI184" s="1009"/>
      <c r="QJ184" s="1009"/>
      <c r="QK184" s="1009"/>
      <c r="QL184" s="1009"/>
      <c r="QM184" s="1009"/>
      <c r="QN184" s="1009"/>
      <c r="QO184" s="1009"/>
      <c r="QP184" s="1009"/>
      <c r="QQ184" s="1009"/>
      <c r="QR184" s="1009"/>
      <c r="QS184" s="1009"/>
      <c r="QT184" s="1009"/>
      <c r="QU184" s="1009"/>
      <c r="QV184" s="1009"/>
      <c r="QW184" s="1009"/>
      <c r="QX184" s="1009"/>
      <c r="QY184" s="1009"/>
      <c r="QZ184" s="1009"/>
      <c r="RA184" s="1009"/>
      <c r="RB184" s="1009"/>
      <c r="RC184" s="1009"/>
      <c r="RD184" s="1009"/>
      <c r="RE184" s="1009"/>
      <c r="RF184" s="1009"/>
      <c r="RG184" s="1009"/>
      <c r="RH184" s="1009"/>
      <c r="RI184" s="1009"/>
      <c r="RJ184" s="1009"/>
      <c r="RK184" s="1009"/>
      <c r="RL184" s="1009"/>
      <c r="RM184" s="1009"/>
      <c r="RN184" s="1009"/>
      <c r="RO184" s="1009"/>
      <c r="RP184" s="1009"/>
      <c r="RQ184" s="1009"/>
      <c r="RR184" s="1009"/>
      <c r="RS184" s="1009"/>
      <c r="RT184" s="1009"/>
      <c r="RU184" s="1009"/>
      <c r="RV184" s="1009"/>
      <c r="RW184" s="1009"/>
      <c r="RX184" s="1009"/>
      <c r="RY184" s="1009"/>
      <c r="RZ184" s="1009"/>
      <c r="SA184" s="1009"/>
      <c r="SB184" s="1009"/>
      <c r="SC184" s="1009"/>
      <c r="SD184" s="1009"/>
      <c r="SE184" s="1009"/>
      <c r="SF184" s="1009"/>
      <c r="SG184" s="1009"/>
      <c r="SH184" s="1009"/>
      <c r="SI184" s="1009"/>
      <c r="SJ184" s="1009"/>
      <c r="SK184" s="1009"/>
      <c r="SL184" s="1009"/>
      <c r="SM184" s="1009"/>
      <c r="SN184" s="1009"/>
      <c r="SO184" s="1009"/>
      <c r="SP184" s="1009"/>
      <c r="SQ184" s="1009"/>
      <c r="SR184" s="1009"/>
      <c r="SS184" s="1009"/>
      <c r="ST184" s="1009"/>
      <c r="SU184" s="1009"/>
      <c r="SV184" s="1009"/>
      <c r="SW184" s="1009"/>
      <c r="SX184" s="1009"/>
      <c r="SY184" s="1009"/>
      <c r="SZ184" s="1009"/>
      <c r="TA184" s="1009"/>
      <c r="TB184" s="1009"/>
      <c r="TC184" s="1009"/>
      <c r="TD184" s="1009"/>
      <c r="TE184" s="1009"/>
      <c r="TF184" s="1009"/>
      <c r="TG184" s="1009"/>
      <c r="TH184" s="1009"/>
      <c r="TI184" s="1009"/>
      <c r="TJ184" s="1009"/>
      <c r="TK184" s="1009"/>
      <c r="TL184" s="1009"/>
      <c r="TM184" s="1009"/>
      <c r="TN184" s="1009"/>
      <c r="TO184" s="1009"/>
      <c r="TP184" s="1009"/>
      <c r="TQ184" s="1009"/>
      <c r="TR184" s="1009"/>
      <c r="TS184" s="1009"/>
      <c r="TT184" s="1009"/>
      <c r="TU184" s="1009"/>
      <c r="TV184" s="1009"/>
      <c r="TW184" s="1009"/>
      <c r="TX184" s="1009"/>
      <c r="TY184" s="1009"/>
      <c r="TZ184" s="1009"/>
      <c r="UA184" s="1009"/>
      <c r="UB184" s="1009"/>
      <c r="UC184" s="1009"/>
      <c r="UD184" s="1009"/>
      <c r="UE184" s="1009"/>
      <c r="UF184" s="1009"/>
      <c r="UG184" s="1009"/>
      <c r="UH184" s="1009"/>
      <c r="UI184" s="1009"/>
      <c r="UJ184" s="1009"/>
      <c r="UK184" s="1009"/>
      <c r="UL184" s="1009"/>
      <c r="UM184" s="1009"/>
      <c r="UN184" s="1009"/>
      <c r="UO184" s="1009"/>
      <c r="UP184" s="1009"/>
      <c r="UQ184" s="1009"/>
      <c r="UR184" s="1009"/>
      <c r="US184" s="1009"/>
      <c r="UT184" s="1009"/>
      <c r="UU184" s="1009"/>
      <c r="UV184" s="1009"/>
      <c r="UW184" s="1009"/>
      <c r="UX184" s="1009"/>
      <c r="UY184" s="1009"/>
      <c r="UZ184" s="1009"/>
      <c r="VA184" s="1009"/>
      <c r="VB184" s="1009"/>
      <c r="VC184" s="1009"/>
      <c r="VD184" s="1009"/>
      <c r="VE184" s="1009"/>
      <c r="VF184" s="1009"/>
      <c r="VG184" s="1009"/>
      <c r="VH184" s="1009"/>
      <c r="VI184" s="1009"/>
      <c r="VJ184" s="1009"/>
      <c r="VK184" s="1009"/>
      <c r="VL184" s="1009"/>
      <c r="VM184" s="1009"/>
      <c r="VN184" s="1009"/>
      <c r="VO184" s="1009"/>
      <c r="VP184" s="1009"/>
      <c r="VQ184" s="1009"/>
      <c r="VR184" s="1009"/>
      <c r="VS184" s="1009"/>
      <c r="VT184" s="1009"/>
      <c r="VU184" s="1009"/>
      <c r="VV184" s="1009"/>
      <c r="VW184" s="1009"/>
      <c r="VX184" s="1009"/>
      <c r="VY184" s="1009"/>
      <c r="VZ184" s="1009"/>
      <c r="WA184" s="1009"/>
      <c r="WB184" s="1009"/>
      <c r="WC184" s="1009"/>
      <c r="WD184" s="1009"/>
      <c r="WE184" s="1009"/>
      <c r="WF184" s="1009"/>
      <c r="WG184" s="1009"/>
      <c r="WH184" s="1009"/>
      <c r="WI184" s="1009"/>
      <c r="WJ184" s="1009"/>
      <c r="WK184" s="1009"/>
      <c r="WL184" s="1009"/>
      <c r="WM184" s="1009"/>
      <c r="WN184" s="1009"/>
      <c r="WO184" s="1009"/>
      <c r="WP184" s="1009"/>
      <c r="WQ184" s="1009"/>
      <c r="WR184" s="1009"/>
      <c r="WS184" s="1009"/>
      <c r="WT184" s="1009"/>
      <c r="WU184" s="1009"/>
      <c r="WV184" s="1009"/>
      <c r="WW184" s="1009"/>
      <c r="WX184" s="1009"/>
      <c r="WY184" s="1009"/>
      <c r="WZ184" s="1009"/>
      <c r="XA184" s="1009"/>
      <c r="XB184" s="1009"/>
      <c r="XC184" s="1009"/>
      <c r="XD184" s="1009"/>
      <c r="XE184" s="1009"/>
      <c r="XF184" s="1009"/>
      <c r="XG184" s="1009"/>
      <c r="XH184" s="1009"/>
      <c r="XI184" s="1009"/>
      <c r="XJ184" s="1009"/>
      <c r="XK184" s="1009"/>
      <c r="XL184" s="1009"/>
      <c r="XM184" s="1009"/>
      <c r="XN184" s="1009"/>
      <c r="XO184" s="1009"/>
      <c r="XP184" s="1009"/>
      <c r="XQ184" s="1009"/>
      <c r="XR184" s="1009"/>
      <c r="XS184" s="1009"/>
      <c r="XT184" s="1009"/>
      <c r="XU184" s="1009"/>
      <c r="XV184" s="1009"/>
      <c r="XW184" s="1009"/>
      <c r="XX184" s="1009"/>
      <c r="XY184" s="1009"/>
      <c r="XZ184" s="1009"/>
      <c r="YA184" s="1009"/>
      <c r="YB184" s="1009"/>
      <c r="YC184" s="1009"/>
      <c r="YD184" s="1009"/>
      <c r="YE184" s="1009"/>
      <c r="YF184" s="1009"/>
      <c r="YG184" s="1009"/>
      <c r="YH184" s="1009"/>
      <c r="YI184" s="1009"/>
      <c r="YJ184" s="1009"/>
      <c r="YK184" s="1009"/>
      <c r="YL184" s="1009"/>
      <c r="YM184" s="1009"/>
      <c r="YN184" s="1009"/>
      <c r="YO184" s="1009"/>
      <c r="YP184" s="1009"/>
      <c r="YQ184" s="1009"/>
      <c r="YR184" s="1009"/>
      <c r="YS184" s="1009"/>
      <c r="YT184" s="1009"/>
      <c r="YU184" s="1009"/>
      <c r="YV184" s="1009"/>
      <c r="YW184" s="1009"/>
      <c r="YX184" s="1009"/>
      <c r="YY184" s="1009"/>
      <c r="YZ184" s="1009"/>
      <c r="ZA184" s="1009"/>
      <c r="ZB184" s="1009"/>
      <c r="ZC184" s="1009"/>
      <c r="ZD184" s="1009"/>
      <c r="ZE184" s="1009"/>
      <c r="ZF184" s="1009"/>
      <c r="ZG184" s="1009"/>
      <c r="ZH184" s="1009"/>
      <c r="ZI184" s="1009"/>
      <c r="ZJ184" s="1009"/>
      <c r="ZK184" s="1009"/>
      <c r="ZL184" s="1009"/>
      <c r="ZM184" s="1009"/>
      <c r="ZN184" s="1009"/>
      <c r="ZO184" s="1009"/>
      <c r="ZP184" s="1009"/>
      <c r="ZQ184" s="1009"/>
      <c r="ZR184" s="1009"/>
      <c r="ZS184" s="1009"/>
      <c r="ZT184" s="1009"/>
      <c r="ZU184" s="1009"/>
      <c r="ZV184" s="1009"/>
      <c r="ZW184" s="1009"/>
      <c r="ZX184" s="1009"/>
      <c r="ZY184" s="1009"/>
      <c r="ZZ184" s="1009"/>
      <c r="AAA184" s="1009"/>
      <c r="AAB184" s="1009"/>
      <c r="AAC184" s="1009"/>
      <c r="AAD184" s="1009"/>
      <c r="AAE184" s="1009"/>
      <c r="AAF184" s="1009"/>
      <c r="AAG184" s="1009"/>
      <c r="AAH184" s="1009"/>
      <c r="AAI184" s="1009"/>
      <c r="AAJ184" s="1009"/>
      <c r="AAK184" s="1009"/>
      <c r="AAL184" s="1009"/>
      <c r="AAM184" s="1009"/>
      <c r="AAN184" s="1009"/>
      <c r="AAO184" s="1009"/>
      <c r="AAP184" s="1009"/>
      <c r="AAQ184" s="1009"/>
      <c r="AAR184" s="1009"/>
      <c r="AAS184" s="1009"/>
      <c r="AAT184" s="1009"/>
      <c r="AAU184" s="1009"/>
      <c r="AAV184" s="1009"/>
      <c r="AAW184" s="1009"/>
      <c r="AAX184" s="1009"/>
      <c r="AAY184" s="1009"/>
      <c r="AAZ184" s="1009"/>
      <c r="ABA184" s="1009"/>
      <c r="ABB184" s="1009"/>
      <c r="ABC184" s="1009"/>
      <c r="ABD184" s="1009"/>
      <c r="ABE184" s="1009"/>
      <c r="ABF184" s="1009"/>
      <c r="ABG184" s="1009"/>
      <c r="ABH184" s="1009"/>
      <c r="ABI184" s="1009"/>
      <c r="ABJ184" s="1009"/>
      <c r="ABK184" s="1009"/>
      <c r="ABL184" s="1009"/>
      <c r="ABM184" s="1009"/>
      <c r="ABN184" s="1009"/>
      <c r="ABO184" s="1009"/>
      <c r="ABP184" s="1009"/>
      <c r="ABQ184" s="1009"/>
      <c r="ABR184" s="1009"/>
    </row>
    <row r="185" spans="1:746" s="111" customFormat="1" ht="12" customHeight="1" thickBot="1">
      <c r="A185" s="1252"/>
      <c r="B185" s="965" t="s">
        <v>740</v>
      </c>
      <c r="C185" s="966"/>
      <c r="D185" s="132"/>
      <c r="E185" s="967"/>
      <c r="F185" s="967"/>
      <c r="G185" s="967"/>
      <c r="H185" s="2183"/>
      <c r="I185" s="875"/>
      <c r="J185" s="875"/>
      <c r="K185" s="875"/>
      <c r="L185" s="875"/>
      <c r="M185" s="875"/>
      <c r="N185" s="875"/>
      <c r="O185" s="875"/>
      <c r="P185" s="875"/>
      <c r="Q185" s="875"/>
      <c r="R185" s="875"/>
      <c r="S185" s="875"/>
      <c r="T185" s="1966"/>
      <c r="U185" s="1966"/>
      <c r="V185" s="1966"/>
      <c r="W185" s="1966"/>
      <c r="X185" s="1966"/>
      <c r="Y185" s="1966"/>
      <c r="Z185" s="1966"/>
      <c r="AA185" s="1966"/>
      <c r="AB185" s="1966"/>
      <c r="AC185" s="1966"/>
      <c r="AD185" s="1966"/>
      <c r="AE185" s="1966"/>
      <c r="AF185" s="1966"/>
      <c r="AG185" s="1042"/>
      <c r="AH185" s="336"/>
      <c r="AI185" s="336"/>
      <c r="AJ185" s="901">
        <f>IF(fx!$C$57=1,SUMIF(fx!I$57:T$57,1,I185:T185),IF(fx!$C$57=2,SUMIF(fx!O$57:AF$57,1,O185:AF185)))</f>
        <v>0</v>
      </c>
      <c r="AK185" s="328"/>
      <c r="AL185" s="902">
        <f>IF(fx!$C$57=1,SUM(U185:AF185),0)</f>
        <v>0</v>
      </c>
      <c r="AM185" s="1004"/>
      <c r="AN185" s="1023"/>
      <c r="AO185" s="1945"/>
      <c r="AP185" s="1935"/>
      <c r="AQ185" s="1936"/>
      <c r="AR185" s="1941"/>
      <c r="AS185" s="1941"/>
      <c r="AT185" s="1941"/>
      <c r="AU185" s="1941"/>
      <c r="AV185" s="1941"/>
      <c r="AW185" s="1941"/>
      <c r="AX185" s="1941"/>
      <c r="AY185" s="1941"/>
      <c r="AZ185" s="1941"/>
      <c r="BA185" s="1941"/>
      <c r="BB185" s="1941"/>
      <c r="BC185" s="1941"/>
      <c r="BD185" s="1941"/>
      <c r="BE185" s="1941"/>
      <c r="BF185" s="1941"/>
      <c r="BG185" s="1941"/>
      <c r="BH185" s="1941"/>
      <c r="BI185" s="1941"/>
      <c r="BJ185" s="1941"/>
      <c r="BK185" s="1941"/>
      <c r="BL185" s="1941"/>
      <c r="BM185" s="1941"/>
      <c r="BN185" s="1941"/>
      <c r="BO185" s="1941"/>
      <c r="BP185" s="1009"/>
      <c r="BQ185" s="1009"/>
      <c r="BR185" s="1009"/>
      <c r="BS185" s="1009"/>
      <c r="BT185" s="1009"/>
      <c r="BU185" s="1009"/>
      <c r="BV185" s="1009"/>
      <c r="BW185" s="1009"/>
      <c r="BX185" s="1009"/>
      <c r="BY185" s="1009"/>
      <c r="BZ185" s="1009"/>
      <c r="CA185" s="1009"/>
      <c r="CB185" s="1009"/>
      <c r="CC185" s="1009"/>
      <c r="CD185" s="1009"/>
      <c r="CE185" s="1009"/>
      <c r="CF185" s="1009"/>
      <c r="CG185" s="1009"/>
      <c r="CH185" s="1009"/>
      <c r="CI185" s="1009"/>
      <c r="CJ185" s="1009"/>
      <c r="CK185" s="1009"/>
      <c r="CL185" s="1009"/>
      <c r="CM185" s="1009"/>
      <c r="CN185" s="1009"/>
      <c r="CO185" s="1009"/>
      <c r="CP185" s="1009"/>
      <c r="CQ185" s="1009"/>
      <c r="CR185" s="1009"/>
      <c r="CS185" s="1009"/>
      <c r="CT185" s="1009"/>
      <c r="CU185" s="1009"/>
      <c r="CV185" s="1009"/>
      <c r="CW185" s="1009"/>
      <c r="CX185" s="1009"/>
      <c r="CY185" s="1009"/>
      <c r="CZ185" s="1009"/>
      <c r="DA185" s="1009"/>
      <c r="DB185" s="1009"/>
      <c r="DC185" s="1009"/>
      <c r="DD185" s="1009"/>
      <c r="DE185" s="1009"/>
      <c r="DF185" s="1009"/>
      <c r="DG185" s="1009"/>
      <c r="DH185" s="1009"/>
      <c r="DI185" s="1009"/>
      <c r="DJ185" s="1009"/>
      <c r="DK185" s="1009"/>
      <c r="DL185" s="1009"/>
      <c r="DM185" s="1009"/>
      <c r="DN185" s="1009"/>
      <c r="DO185" s="1009"/>
      <c r="DP185" s="1009"/>
      <c r="DQ185" s="1009"/>
      <c r="DR185" s="1009"/>
      <c r="DS185" s="1009"/>
      <c r="DT185" s="1009"/>
      <c r="DU185" s="1009"/>
      <c r="DV185" s="1009"/>
      <c r="DW185" s="1009"/>
      <c r="DX185" s="1009"/>
      <c r="DY185" s="1009"/>
      <c r="DZ185" s="1009"/>
      <c r="EA185" s="1009"/>
      <c r="EB185" s="1009"/>
      <c r="EC185" s="1009"/>
      <c r="ED185" s="1009"/>
      <c r="EE185" s="1009"/>
      <c r="EF185" s="1009"/>
      <c r="EG185" s="1009"/>
      <c r="EH185" s="1009"/>
      <c r="EI185" s="1009"/>
      <c r="EJ185" s="1009"/>
      <c r="EK185" s="1009"/>
      <c r="EL185" s="1009"/>
      <c r="EM185" s="1009"/>
      <c r="EN185" s="1009"/>
      <c r="EO185" s="1009"/>
      <c r="EP185" s="1009"/>
      <c r="EQ185" s="1009"/>
      <c r="ER185" s="1009"/>
      <c r="ES185" s="1009"/>
      <c r="ET185" s="1009"/>
      <c r="EU185" s="1009"/>
      <c r="EV185" s="1009"/>
      <c r="EW185" s="1009"/>
      <c r="EX185" s="1009"/>
      <c r="EY185" s="1009"/>
      <c r="EZ185" s="1009"/>
      <c r="FA185" s="1009"/>
      <c r="FB185" s="1009"/>
      <c r="FC185" s="1009"/>
      <c r="FD185" s="1009"/>
      <c r="FE185" s="1009"/>
      <c r="FF185" s="1009"/>
      <c r="FG185" s="1009"/>
      <c r="FH185" s="1009"/>
      <c r="FI185" s="1009"/>
      <c r="FJ185" s="1009"/>
      <c r="FK185" s="1009"/>
      <c r="FL185" s="1009"/>
      <c r="FM185" s="1009"/>
      <c r="FN185" s="1009"/>
      <c r="FO185" s="1009"/>
      <c r="FP185" s="1009"/>
      <c r="FQ185" s="1009"/>
      <c r="FR185" s="1009"/>
      <c r="FS185" s="1009"/>
      <c r="FT185" s="1009"/>
      <c r="FU185" s="1009"/>
      <c r="FV185" s="1009"/>
      <c r="FW185" s="1009"/>
      <c r="FX185" s="1009"/>
      <c r="FY185" s="1009"/>
      <c r="FZ185" s="1009"/>
      <c r="GA185" s="1009"/>
      <c r="GB185" s="1009"/>
      <c r="GC185" s="1009"/>
      <c r="GD185" s="1009"/>
      <c r="GE185" s="1009"/>
      <c r="GF185" s="1009"/>
      <c r="GG185" s="1009"/>
      <c r="GH185" s="1009"/>
      <c r="GI185" s="1009"/>
      <c r="GJ185" s="1009"/>
      <c r="GK185" s="1009"/>
      <c r="GL185" s="1009"/>
      <c r="GM185" s="1009"/>
      <c r="GN185" s="1009"/>
      <c r="GO185" s="1009"/>
      <c r="GP185" s="1009"/>
      <c r="GQ185" s="1009"/>
      <c r="GR185" s="1009"/>
      <c r="GS185" s="1009"/>
      <c r="GT185" s="1009"/>
      <c r="GU185" s="1009"/>
      <c r="GV185" s="1009"/>
      <c r="GW185" s="1009"/>
      <c r="GX185" s="1009"/>
      <c r="GY185" s="1009"/>
      <c r="GZ185" s="1009"/>
      <c r="HA185" s="1009"/>
      <c r="HB185" s="1009"/>
      <c r="HC185" s="1009"/>
      <c r="HD185" s="1009"/>
      <c r="HE185" s="1009"/>
      <c r="HF185" s="1009"/>
      <c r="HG185" s="1009"/>
      <c r="HH185" s="1009"/>
      <c r="HI185" s="1009"/>
      <c r="HJ185" s="1009"/>
      <c r="HK185" s="1009"/>
      <c r="HL185" s="1009"/>
      <c r="HM185" s="1009"/>
      <c r="HN185" s="1009"/>
      <c r="HO185" s="1009"/>
      <c r="HP185" s="1009"/>
      <c r="HQ185" s="1009"/>
      <c r="HR185" s="1009"/>
      <c r="HS185" s="1009"/>
      <c r="HT185" s="1009"/>
      <c r="HU185" s="1009"/>
      <c r="HV185" s="1009"/>
      <c r="HW185" s="1009"/>
      <c r="HX185" s="1009"/>
      <c r="HY185" s="1009"/>
      <c r="HZ185" s="1009"/>
      <c r="IA185" s="1009"/>
      <c r="IB185" s="1009"/>
      <c r="IC185" s="1009"/>
      <c r="ID185" s="1009"/>
      <c r="IE185" s="1009"/>
      <c r="IF185" s="1009"/>
      <c r="IG185" s="1009"/>
      <c r="IH185" s="1009"/>
      <c r="II185" s="1009"/>
      <c r="IJ185" s="1009"/>
      <c r="IK185" s="1009"/>
      <c r="IL185" s="1009"/>
      <c r="IM185" s="1009"/>
      <c r="IN185" s="1009"/>
      <c r="IO185" s="1009"/>
      <c r="IP185" s="1009"/>
      <c r="IQ185" s="1009"/>
      <c r="IR185" s="1009"/>
      <c r="IS185" s="1009"/>
      <c r="IT185" s="1009"/>
      <c r="IU185" s="1009"/>
      <c r="IV185" s="1009"/>
      <c r="IW185" s="1009"/>
      <c r="IX185" s="1009"/>
      <c r="IY185" s="1009"/>
      <c r="IZ185" s="1009"/>
      <c r="JA185" s="1009"/>
      <c r="JB185" s="1009"/>
      <c r="JC185" s="1009"/>
      <c r="JD185" s="1009"/>
      <c r="JE185" s="1009"/>
      <c r="JF185" s="1009"/>
      <c r="JG185" s="1009"/>
      <c r="JH185" s="1009"/>
      <c r="JI185" s="1009"/>
      <c r="JJ185" s="1009"/>
      <c r="JK185" s="1009"/>
      <c r="JL185" s="1009"/>
      <c r="JM185" s="1009"/>
      <c r="JN185" s="1009"/>
      <c r="JO185" s="1009"/>
      <c r="JP185" s="1009"/>
      <c r="JQ185" s="1009"/>
      <c r="JR185" s="1009"/>
      <c r="JS185" s="1009"/>
      <c r="JT185" s="1009"/>
      <c r="JU185" s="1009"/>
      <c r="JV185" s="1009"/>
      <c r="JW185" s="1009"/>
      <c r="JX185" s="1009"/>
      <c r="JY185" s="1009"/>
      <c r="JZ185" s="1009"/>
      <c r="KA185" s="1009"/>
      <c r="KB185" s="1009"/>
      <c r="KC185" s="1009"/>
      <c r="KD185" s="1009"/>
      <c r="KE185" s="1009"/>
      <c r="KF185" s="1009"/>
      <c r="KG185" s="1009"/>
      <c r="KH185" s="1009"/>
      <c r="KI185" s="1009"/>
      <c r="KJ185" s="1009"/>
      <c r="KK185" s="1009"/>
      <c r="KL185" s="1009"/>
      <c r="KM185" s="1009"/>
      <c r="KN185" s="1009"/>
      <c r="KO185" s="1009"/>
      <c r="KP185" s="1009"/>
      <c r="KQ185" s="1009"/>
      <c r="KR185" s="1009"/>
      <c r="KS185" s="1009"/>
      <c r="KT185" s="1009"/>
      <c r="KU185" s="1009"/>
      <c r="KV185" s="1009"/>
      <c r="KW185" s="1009"/>
      <c r="KX185" s="1009"/>
      <c r="KY185" s="1009"/>
      <c r="KZ185" s="1009"/>
      <c r="LA185" s="1009"/>
      <c r="LB185" s="1009"/>
      <c r="LC185" s="1009"/>
      <c r="LD185" s="1009"/>
      <c r="LE185" s="1009"/>
      <c r="LF185" s="1009"/>
      <c r="LG185" s="1009"/>
      <c r="LH185" s="1009"/>
      <c r="LI185" s="1009"/>
      <c r="LJ185" s="1009"/>
      <c r="LK185" s="1009"/>
      <c r="LL185" s="1009"/>
      <c r="LM185" s="1009"/>
      <c r="LN185" s="1009"/>
      <c r="LO185" s="1009"/>
      <c r="LP185" s="1009"/>
      <c r="LQ185" s="1009"/>
      <c r="LR185" s="1009"/>
      <c r="LS185" s="1009"/>
      <c r="LT185" s="1009"/>
      <c r="LU185" s="1009"/>
      <c r="LV185" s="1009"/>
      <c r="LW185" s="1009"/>
      <c r="LX185" s="1009"/>
      <c r="LY185" s="1009"/>
      <c r="LZ185" s="1009"/>
      <c r="MA185" s="1009"/>
      <c r="MB185" s="1009"/>
      <c r="MC185" s="1009"/>
      <c r="MD185" s="1009"/>
      <c r="ME185" s="1009"/>
      <c r="MF185" s="1009"/>
      <c r="MG185" s="1009"/>
      <c r="MH185" s="1009"/>
      <c r="MI185" s="1009"/>
      <c r="MJ185" s="1009"/>
      <c r="MK185" s="1009"/>
      <c r="ML185" s="1009"/>
      <c r="MM185" s="1009"/>
      <c r="MN185" s="1009"/>
      <c r="MO185" s="1009"/>
      <c r="MP185" s="1009"/>
      <c r="MQ185" s="1009"/>
      <c r="MR185" s="1009"/>
      <c r="MS185" s="1009"/>
      <c r="MT185" s="1009"/>
      <c r="MU185" s="1009"/>
      <c r="MV185" s="1009"/>
      <c r="MW185" s="1009"/>
      <c r="MX185" s="1009"/>
      <c r="MY185" s="1009"/>
      <c r="MZ185" s="1009"/>
      <c r="NA185" s="1009"/>
      <c r="NB185" s="1009"/>
      <c r="NC185" s="1009"/>
      <c r="ND185" s="1009"/>
      <c r="NE185" s="1009"/>
      <c r="NF185" s="1009"/>
      <c r="NG185" s="1009"/>
      <c r="NH185" s="1009"/>
      <c r="NI185" s="1009"/>
      <c r="NJ185" s="1009"/>
      <c r="NK185" s="1009"/>
      <c r="NL185" s="1009"/>
      <c r="NM185" s="1009"/>
      <c r="NN185" s="1009"/>
      <c r="NO185" s="1009"/>
      <c r="NP185" s="1009"/>
      <c r="NQ185" s="1009"/>
      <c r="NR185" s="1009"/>
      <c r="NS185" s="1009"/>
      <c r="NT185" s="1009"/>
      <c r="NU185" s="1009"/>
      <c r="NV185" s="1009"/>
      <c r="NW185" s="1009"/>
      <c r="NX185" s="1009"/>
      <c r="NY185" s="1009"/>
      <c r="NZ185" s="1009"/>
      <c r="OA185" s="1009"/>
      <c r="OB185" s="1009"/>
      <c r="OC185" s="1009"/>
      <c r="OD185" s="1009"/>
      <c r="OE185" s="1009"/>
      <c r="OF185" s="1009"/>
      <c r="OG185" s="1009"/>
      <c r="OH185" s="1009"/>
      <c r="OI185" s="1009"/>
      <c r="OJ185" s="1009"/>
      <c r="OK185" s="1009"/>
      <c r="OL185" s="1009"/>
      <c r="OM185" s="1009"/>
      <c r="ON185" s="1009"/>
      <c r="OO185" s="1009"/>
      <c r="OP185" s="1009"/>
      <c r="OQ185" s="1009"/>
      <c r="OR185" s="1009"/>
      <c r="OS185" s="1009"/>
      <c r="OT185" s="1009"/>
      <c r="OU185" s="1009"/>
      <c r="OV185" s="1009"/>
      <c r="OW185" s="1009"/>
      <c r="OX185" s="1009"/>
      <c r="OY185" s="1009"/>
      <c r="OZ185" s="1009"/>
      <c r="PA185" s="1009"/>
      <c r="PB185" s="1009"/>
      <c r="PC185" s="1009"/>
      <c r="PD185" s="1009"/>
      <c r="PE185" s="1009"/>
      <c r="PF185" s="1009"/>
      <c r="PG185" s="1009"/>
      <c r="PH185" s="1009"/>
      <c r="PI185" s="1009"/>
      <c r="PJ185" s="1009"/>
      <c r="PK185" s="1009"/>
      <c r="PL185" s="1009"/>
      <c r="PM185" s="1009"/>
      <c r="PN185" s="1009"/>
      <c r="PO185" s="1009"/>
      <c r="PP185" s="1009"/>
      <c r="PQ185" s="1009"/>
      <c r="PR185" s="1009"/>
      <c r="PS185" s="1009"/>
      <c r="PT185" s="1009"/>
      <c r="PU185" s="1009"/>
      <c r="PV185" s="1009"/>
      <c r="PW185" s="1009"/>
      <c r="PX185" s="1009"/>
      <c r="PY185" s="1009"/>
      <c r="PZ185" s="1009"/>
      <c r="QA185" s="1009"/>
      <c r="QB185" s="1009"/>
      <c r="QC185" s="1009"/>
      <c r="QD185" s="1009"/>
      <c r="QE185" s="1009"/>
      <c r="QF185" s="1009"/>
      <c r="QG185" s="1009"/>
      <c r="QH185" s="1009"/>
      <c r="QI185" s="1009"/>
      <c r="QJ185" s="1009"/>
      <c r="QK185" s="1009"/>
      <c r="QL185" s="1009"/>
      <c r="QM185" s="1009"/>
      <c r="QN185" s="1009"/>
      <c r="QO185" s="1009"/>
      <c r="QP185" s="1009"/>
      <c r="QQ185" s="1009"/>
      <c r="QR185" s="1009"/>
      <c r="QS185" s="1009"/>
      <c r="QT185" s="1009"/>
      <c r="QU185" s="1009"/>
      <c r="QV185" s="1009"/>
      <c r="QW185" s="1009"/>
      <c r="QX185" s="1009"/>
      <c r="QY185" s="1009"/>
      <c r="QZ185" s="1009"/>
      <c r="RA185" s="1009"/>
      <c r="RB185" s="1009"/>
      <c r="RC185" s="1009"/>
      <c r="RD185" s="1009"/>
      <c r="RE185" s="1009"/>
      <c r="RF185" s="1009"/>
      <c r="RG185" s="1009"/>
      <c r="RH185" s="1009"/>
      <c r="RI185" s="1009"/>
      <c r="RJ185" s="1009"/>
      <c r="RK185" s="1009"/>
      <c r="RL185" s="1009"/>
      <c r="RM185" s="1009"/>
      <c r="RN185" s="1009"/>
      <c r="RO185" s="1009"/>
      <c r="RP185" s="1009"/>
      <c r="RQ185" s="1009"/>
      <c r="RR185" s="1009"/>
      <c r="RS185" s="1009"/>
      <c r="RT185" s="1009"/>
      <c r="RU185" s="1009"/>
      <c r="RV185" s="1009"/>
      <c r="RW185" s="1009"/>
      <c r="RX185" s="1009"/>
      <c r="RY185" s="1009"/>
      <c r="RZ185" s="1009"/>
      <c r="SA185" s="1009"/>
      <c r="SB185" s="1009"/>
      <c r="SC185" s="1009"/>
      <c r="SD185" s="1009"/>
      <c r="SE185" s="1009"/>
      <c r="SF185" s="1009"/>
      <c r="SG185" s="1009"/>
      <c r="SH185" s="1009"/>
      <c r="SI185" s="1009"/>
      <c r="SJ185" s="1009"/>
      <c r="SK185" s="1009"/>
      <c r="SL185" s="1009"/>
      <c r="SM185" s="1009"/>
      <c r="SN185" s="1009"/>
      <c r="SO185" s="1009"/>
      <c r="SP185" s="1009"/>
      <c r="SQ185" s="1009"/>
      <c r="SR185" s="1009"/>
      <c r="SS185" s="1009"/>
      <c r="ST185" s="1009"/>
      <c r="SU185" s="1009"/>
      <c r="SV185" s="1009"/>
      <c r="SW185" s="1009"/>
      <c r="SX185" s="1009"/>
      <c r="SY185" s="1009"/>
      <c r="SZ185" s="1009"/>
      <c r="TA185" s="1009"/>
      <c r="TB185" s="1009"/>
      <c r="TC185" s="1009"/>
      <c r="TD185" s="1009"/>
      <c r="TE185" s="1009"/>
      <c r="TF185" s="1009"/>
      <c r="TG185" s="1009"/>
      <c r="TH185" s="1009"/>
      <c r="TI185" s="1009"/>
      <c r="TJ185" s="1009"/>
      <c r="TK185" s="1009"/>
      <c r="TL185" s="1009"/>
      <c r="TM185" s="1009"/>
      <c r="TN185" s="1009"/>
      <c r="TO185" s="1009"/>
      <c r="TP185" s="1009"/>
      <c r="TQ185" s="1009"/>
      <c r="TR185" s="1009"/>
      <c r="TS185" s="1009"/>
      <c r="TT185" s="1009"/>
      <c r="TU185" s="1009"/>
      <c r="TV185" s="1009"/>
      <c r="TW185" s="1009"/>
      <c r="TX185" s="1009"/>
      <c r="TY185" s="1009"/>
      <c r="TZ185" s="1009"/>
      <c r="UA185" s="1009"/>
      <c r="UB185" s="1009"/>
      <c r="UC185" s="1009"/>
      <c r="UD185" s="1009"/>
      <c r="UE185" s="1009"/>
      <c r="UF185" s="1009"/>
      <c r="UG185" s="1009"/>
      <c r="UH185" s="1009"/>
      <c r="UI185" s="1009"/>
      <c r="UJ185" s="1009"/>
      <c r="UK185" s="1009"/>
      <c r="UL185" s="1009"/>
      <c r="UM185" s="1009"/>
      <c r="UN185" s="1009"/>
      <c r="UO185" s="1009"/>
      <c r="UP185" s="1009"/>
      <c r="UQ185" s="1009"/>
      <c r="UR185" s="1009"/>
      <c r="US185" s="1009"/>
      <c r="UT185" s="1009"/>
      <c r="UU185" s="1009"/>
      <c r="UV185" s="1009"/>
      <c r="UW185" s="1009"/>
      <c r="UX185" s="1009"/>
      <c r="UY185" s="1009"/>
      <c r="UZ185" s="1009"/>
      <c r="VA185" s="1009"/>
      <c r="VB185" s="1009"/>
      <c r="VC185" s="1009"/>
      <c r="VD185" s="1009"/>
      <c r="VE185" s="1009"/>
      <c r="VF185" s="1009"/>
      <c r="VG185" s="1009"/>
      <c r="VH185" s="1009"/>
      <c r="VI185" s="1009"/>
      <c r="VJ185" s="1009"/>
      <c r="VK185" s="1009"/>
      <c r="VL185" s="1009"/>
      <c r="VM185" s="1009"/>
      <c r="VN185" s="1009"/>
      <c r="VO185" s="1009"/>
      <c r="VP185" s="1009"/>
      <c r="VQ185" s="1009"/>
      <c r="VR185" s="1009"/>
      <c r="VS185" s="1009"/>
      <c r="VT185" s="1009"/>
      <c r="VU185" s="1009"/>
      <c r="VV185" s="1009"/>
      <c r="VW185" s="1009"/>
      <c r="VX185" s="1009"/>
      <c r="VY185" s="1009"/>
      <c r="VZ185" s="1009"/>
      <c r="WA185" s="1009"/>
      <c r="WB185" s="1009"/>
      <c r="WC185" s="1009"/>
      <c r="WD185" s="1009"/>
      <c r="WE185" s="1009"/>
      <c r="WF185" s="1009"/>
      <c r="WG185" s="1009"/>
      <c r="WH185" s="1009"/>
      <c r="WI185" s="1009"/>
      <c r="WJ185" s="1009"/>
      <c r="WK185" s="1009"/>
      <c r="WL185" s="1009"/>
      <c r="WM185" s="1009"/>
      <c r="WN185" s="1009"/>
      <c r="WO185" s="1009"/>
      <c r="WP185" s="1009"/>
      <c r="WQ185" s="1009"/>
      <c r="WR185" s="1009"/>
      <c r="WS185" s="1009"/>
      <c r="WT185" s="1009"/>
      <c r="WU185" s="1009"/>
      <c r="WV185" s="1009"/>
      <c r="WW185" s="1009"/>
      <c r="WX185" s="1009"/>
      <c r="WY185" s="1009"/>
      <c r="WZ185" s="1009"/>
      <c r="XA185" s="1009"/>
      <c r="XB185" s="1009"/>
      <c r="XC185" s="1009"/>
      <c r="XD185" s="1009"/>
      <c r="XE185" s="1009"/>
      <c r="XF185" s="1009"/>
      <c r="XG185" s="1009"/>
      <c r="XH185" s="1009"/>
      <c r="XI185" s="1009"/>
      <c r="XJ185" s="1009"/>
      <c r="XK185" s="1009"/>
      <c r="XL185" s="1009"/>
      <c r="XM185" s="1009"/>
      <c r="XN185" s="1009"/>
      <c r="XO185" s="1009"/>
      <c r="XP185" s="1009"/>
      <c r="XQ185" s="1009"/>
      <c r="XR185" s="1009"/>
      <c r="XS185" s="1009"/>
      <c r="XT185" s="1009"/>
      <c r="XU185" s="1009"/>
      <c r="XV185" s="1009"/>
      <c r="XW185" s="1009"/>
      <c r="XX185" s="1009"/>
      <c r="XY185" s="1009"/>
      <c r="XZ185" s="1009"/>
      <c r="YA185" s="1009"/>
      <c r="YB185" s="1009"/>
      <c r="YC185" s="1009"/>
      <c r="YD185" s="1009"/>
      <c r="YE185" s="1009"/>
      <c r="YF185" s="1009"/>
      <c r="YG185" s="1009"/>
      <c r="YH185" s="1009"/>
      <c r="YI185" s="1009"/>
      <c r="YJ185" s="1009"/>
      <c r="YK185" s="1009"/>
      <c r="YL185" s="1009"/>
      <c r="YM185" s="1009"/>
      <c r="YN185" s="1009"/>
      <c r="YO185" s="1009"/>
      <c r="YP185" s="1009"/>
      <c r="YQ185" s="1009"/>
      <c r="YR185" s="1009"/>
      <c r="YS185" s="1009"/>
      <c r="YT185" s="1009"/>
      <c r="YU185" s="1009"/>
      <c r="YV185" s="1009"/>
      <c r="YW185" s="1009"/>
      <c r="YX185" s="1009"/>
      <c r="YY185" s="1009"/>
      <c r="YZ185" s="1009"/>
      <c r="ZA185" s="1009"/>
      <c r="ZB185" s="1009"/>
      <c r="ZC185" s="1009"/>
      <c r="ZD185" s="1009"/>
      <c r="ZE185" s="1009"/>
      <c r="ZF185" s="1009"/>
      <c r="ZG185" s="1009"/>
      <c r="ZH185" s="1009"/>
      <c r="ZI185" s="1009"/>
      <c r="ZJ185" s="1009"/>
      <c r="ZK185" s="1009"/>
      <c r="ZL185" s="1009"/>
      <c r="ZM185" s="1009"/>
      <c r="ZN185" s="1009"/>
      <c r="ZO185" s="1009"/>
      <c r="ZP185" s="1009"/>
      <c r="ZQ185" s="1009"/>
      <c r="ZR185" s="1009"/>
      <c r="ZS185" s="1009"/>
      <c r="ZT185" s="1009"/>
      <c r="ZU185" s="1009"/>
      <c r="ZV185" s="1009"/>
      <c r="ZW185" s="1009"/>
      <c r="ZX185" s="1009"/>
      <c r="ZY185" s="1009"/>
      <c r="ZZ185" s="1009"/>
      <c r="AAA185" s="1009"/>
      <c r="AAB185" s="1009"/>
      <c r="AAC185" s="1009"/>
      <c r="AAD185" s="1009"/>
      <c r="AAE185" s="1009"/>
      <c r="AAF185" s="1009"/>
      <c r="AAG185" s="1009"/>
      <c r="AAH185" s="1009"/>
      <c r="AAI185" s="1009"/>
      <c r="AAJ185" s="1009"/>
      <c r="AAK185" s="1009"/>
      <c r="AAL185" s="1009"/>
      <c r="AAM185" s="1009"/>
      <c r="AAN185" s="1009"/>
      <c r="AAO185" s="1009"/>
      <c r="AAP185" s="1009"/>
      <c r="AAQ185" s="1009"/>
      <c r="AAR185" s="1009"/>
      <c r="AAS185" s="1009"/>
      <c r="AAT185" s="1009"/>
      <c r="AAU185" s="1009"/>
      <c r="AAV185" s="1009"/>
      <c r="AAW185" s="1009"/>
      <c r="AAX185" s="1009"/>
      <c r="AAY185" s="1009"/>
      <c r="AAZ185" s="1009"/>
      <c r="ABA185" s="1009"/>
      <c r="ABB185" s="1009"/>
      <c r="ABC185" s="1009"/>
      <c r="ABD185" s="1009"/>
      <c r="ABE185" s="1009"/>
      <c r="ABF185" s="1009"/>
      <c r="ABG185" s="1009"/>
      <c r="ABH185" s="1009"/>
      <c r="ABI185" s="1009"/>
      <c r="ABJ185" s="1009"/>
      <c r="ABK185" s="1009"/>
      <c r="ABL185" s="1009"/>
      <c r="ABM185" s="1009"/>
      <c r="ABN185" s="1009"/>
      <c r="ABO185" s="1009"/>
      <c r="ABP185" s="1009"/>
      <c r="ABQ185" s="1009"/>
      <c r="ABR185" s="1009"/>
    </row>
    <row r="186" spans="1:746" s="111" customFormat="1" ht="12" customHeight="1">
      <c r="A186" s="926"/>
      <c r="B186" s="968" t="s">
        <v>830</v>
      </c>
      <c r="C186" s="969">
        <f>fx!C439</f>
        <v>0</v>
      </c>
      <c r="D186" s="970"/>
      <c r="E186" s="970" t="s">
        <v>330</v>
      </c>
      <c r="F186" s="918"/>
      <c r="G186" s="826">
        <v>0.1</v>
      </c>
      <c r="H186" s="2545">
        <f>IF(C186-SUM(I185:T185)&lt;&gt;T186,1,0)</f>
        <v>0</v>
      </c>
      <c r="I186" s="1771">
        <f>fx!$C$439*fx!I57-SUMIF(fx!$I$57:I57,1,$I$185:I185)</f>
        <v>0</v>
      </c>
      <c r="J186" s="955">
        <f>fx!$C$439*fx!J57-SUMIF(fx!$I$57:J57,1,$I$185:J185)</f>
        <v>0</v>
      </c>
      <c r="K186" s="955">
        <f>fx!$C$439*fx!K57-SUMIF(fx!$I$57:K57,1,$I$185:K185)</f>
        <v>0</v>
      </c>
      <c r="L186" s="955">
        <f>fx!$C$439*fx!L57-SUMIF(fx!$I$57:L57,1,$I$185:L185)</f>
        <v>0</v>
      </c>
      <c r="M186" s="955">
        <f>fx!$C$439*fx!M57-SUMIF(fx!$I$57:M57,1,$I$185:M185)</f>
        <v>0</v>
      </c>
      <c r="N186" s="955">
        <f>fx!$C$439*fx!N57-SUMIF(fx!$I$57:N57,1,$I$185:N185)</f>
        <v>0</v>
      </c>
      <c r="O186" s="955">
        <f>fx!$C$439*fx!O57-SUMIF(fx!$I$57:O57,1,$I$185:O185)</f>
        <v>0</v>
      </c>
      <c r="P186" s="955">
        <f>fx!$C$439*fx!P57-SUMIF(fx!$I$57:P57,1,$I$185:P185)</f>
        <v>0</v>
      </c>
      <c r="Q186" s="955">
        <f>fx!$C$439*fx!Q57-SUMIF(fx!$I$57:Q57,1,$I$185:Q185)</f>
        <v>0</v>
      </c>
      <c r="R186" s="955">
        <f>fx!$C$439*fx!R57-SUMIF(fx!$I$57:R57,1,$I$185:R185)</f>
        <v>0</v>
      </c>
      <c r="S186" s="955">
        <f>fx!$C$439*fx!S57-SUMIF(fx!$I$57:S57,1,$I$185:S185)</f>
        <v>0</v>
      </c>
      <c r="T186" s="955">
        <f>fx!$C$439*fx!T57-SUMIF(fx!$I$57:T57,1,$I$185:T185)</f>
        <v>0</v>
      </c>
      <c r="U186" s="955">
        <f>$T$186-SUM($U$185:U185)</f>
        <v>0</v>
      </c>
      <c r="V186" s="955">
        <f>$T$186-SUM($U$185:V185)</f>
        <v>0</v>
      </c>
      <c r="W186" s="955">
        <f>$T$186-SUM($U$185:W185)</f>
        <v>0</v>
      </c>
      <c r="X186" s="955">
        <f>$T$186-SUM($U$185:X185)</f>
        <v>0</v>
      </c>
      <c r="Y186" s="955">
        <f>$T$186-SUM($U$185:Y185)</f>
        <v>0</v>
      </c>
      <c r="Z186" s="955">
        <f>$T$186-SUM($U$185:Z185)</f>
        <v>0</v>
      </c>
      <c r="AA186" s="955">
        <f>$T$186-SUM($U$185:AA185)</f>
        <v>0</v>
      </c>
      <c r="AB186" s="955">
        <f>$T$186-SUM($U$185:AB185)</f>
        <v>0</v>
      </c>
      <c r="AC186" s="955">
        <f>$T$186-SUM($U$185:AC185)</f>
        <v>0</v>
      </c>
      <c r="AD186" s="955">
        <f>$T$186-SUM($U$185:AD185)</f>
        <v>0</v>
      </c>
      <c r="AE186" s="955">
        <f>$T$186-SUM($U$185:AE185)</f>
        <v>0</v>
      </c>
      <c r="AF186" s="955">
        <f>$T$186-SUM($U$185:AF185)</f>
        <v>0</v>
      </c>
      <c r="AG186" s="376"/>
      <c r="AH186" s="889"/>
      <c r="AI186" s="889"/>
      <c r="AJ186" s="901">
        <f>IF(fx!$C$57=1,T186,IF(fx!$C$57=2,AF186))</f>
        <v>0</v>
      </c>
      <c r="AK186" s="328"/>
      <c r="AL186" s="902">
        <f>IF(fx!$C$57=1,AF186,0)</f>
        <v>0</v>
      </c>
      <c r="AM186" s="1004"/>
      <c r="AN186" s="1030"/>
      <c r="AO186" s="1945"/>
      <c r="AP186" s="1935"/>
      <c r="AQ186" s="1936"/>
      <c r="AR186" s="1941"/>
      <c r="AS186" s="1941"/>
      <c r="AT186" s="1941"/>
      <c r="AU186" s="1941"/>
      <c r="AV186" s="1941"/>
      <c r="AW186" s="1941"/>
      <c r="AX186" s="1941"/>
      <c r="AY186" s="1941"/>
      <c r="AZ186" s="1941"/>
      <c r="BA186" s="1941"/>
      <c r="BB186" s="1941"/>
      <c r="BC186" s="1941"/>
      <c r="BD186" s="1941"/>
      <c r="BE186" s="1941"/>
      <c r="BF186" s="1941"/>
      <c r="BG186" s="1941"/>
      <c r="BH186" s="1941"/>
      <c r="BI186" s="1941"/>
      <c r="BJ186" s="1941"/>
      <c r="BK186" s="1941"/>
      <c r="BL186" s="1941"/>
      <c r="BM186" s="1941"/>
      <c r="BN186" s="1941"/>
      <c r="BO186" s="1941"/>
      <c r="BP186" s="1009"/>
      <c r="BQ186" s="1009"/>
      <c r="BR186" s="1009"/>
      <c r="BS186" s="1009"/>
      <c r="BT186" s="1009"/>
      <c r="BU186" s="1009"/>
      <c r="BV186" s="1009"/>
      <c r="BW186" s="1009"/>
      <c r="BX186" s="1009"/>
      <c r="BY186" s="1009"/>
      <c r="BZ186" s="1009"/>
      <c r="CA186" s="1009"/>
      <c r="CB186" s="1009"/>
      <c r="CC186" s="1009"/>
      <c r="CD186" s="1009"/>
      <c r="CE186" s="1009"/>
      <c r="CF186" s="1009"/>
      <c r="CG186" s="1009"/>
      <c r="CH186" s="1009"/>
      <c r="CI186" s="1009"/>
      <c r="CJ186" s="1009"/>
      <c r="CK186" s="1009"/>
      <c r="CL186" s="1009"/>
      <c r="CM186" s="1009"/>
      <c r="CN186" s="1009"/>
      <c r="CO186" s="1009"/>
      <c r="CP186" s="1009"/>
      <c r="CQ186" s="1009"/>
      <c r="CR186" s="1009"/>
      <c r="CS186" s="1009"/>
      <c r="CT186" s="1009"/>
      <c r="CU186" s="1009"/>
      <c r="CV186" s="1009"/>
      <c r="CW186" s="1009"/>
      <c r="CX186" s="1009"/>
      <c r="CY186" s="1009"/>
      <c r="CZ186" s="1009"/>
      <c r="DA186" s="1009"/>
      <c r="DB186" s="1009"/>
      <c r="DC186" s="1009"/>
      <c r="DD186" s="1009"/>
      <c r="DE186" s="1009"/>
      <c r="DF186" s="1009"/>
      <c r="DG186" s="1009"/>
      <c r="DH186" s="1009"/>
      <c r="DI186" s="1009"/>
      <c r="DJ186" s="1009"/>
      <c r="DK186" s="1009"/>
      <c r="DL186" s="1009"/>
      <c r="DM186" s="1009"/>
      <c r="DN186" s="1009"/>
      <c r="DO186" s="1009"/>
      <c r="DP186" s="1009"/>
      <c r="DQ186" s="1009"/>
      <c r="DR186" s="1009"/>
      <c r="DS186" s="1009"/>
      <c r="DT186" s="1009"/>
      <c r="DU186" s="1009"/>
      <c r="DV186" s="1009"/>
      <c r="DW186" s="1009"/>
      <c r="DX186" s="1009"/>
      <c r="DY186" s="1009"/>
      <c r="DZ186" s="1009"/>
      <c r="EA186" s="1009"/>
      <c r="EB186" s="1009"/>
      <c r="EC186" s="1009"/>
      <c r="ED186" s="1009"/>
      <c r="EE186" s="1009"/>
      <c r="EF186" s="1009"/>
      <c r="EG186" s="1009"/>
      <c r="EH186" s="1009"/>
      <c r="EI186" s="1009"/>
      <c r="EJ186" s="1009"/>
      <c r="EK186" s="1009"/>
      <c r="EL186" s="1009"/>
      <c r="EM186" s="1009"/>
      <c r="EN186" s="1009"/>
      <c r="EO186" s="1009"/>
      <c r="EP186" s="1009"/>
      <c r="EQ186" s="1009"/>
      <c r="ER186" s="1009"/>
      <c r="ES186" s="1009"/>
      <c r="ET186" s="1009"/>
      <c r="EU186" s="1009"/>
      <c r="EV186" s="1009"/>
      <c r="EW186" s="1009"/>
      <c r="EX186" s="1009"/>
      <c r="EY186" s="1009"/>
      <c r="EZ186" s="1009"/>
      <c r="FA186" s="1009"/>
      <c r="FB186" s="1009"/>
      <c r="FC186" s="1009"/>
      <c r="FD186" s="1009"/>
      <c r="FE186" s="1009"/>
      <c r="FF186" s="1009"/>
      <c r="FG186" s="1009"/>
      <c r="FH186" s="1009"/>
      <c r="FI186" s="1009"/>
      <c r="FJ186" s="1009"/>
      <c r="FK186" s="1009"/>
      <c r="FL186" s="1009"/>
      <c r="FM186" s="1009"/>
      <c r="FN186" s="1009"/>
      <c r="FO186" s="1009"/>
      <c r="FP186" s="1009"/>
      <c r="FQ186" s="1009"/>
      <c r="FR186" s="1009"/>
      <c r="FS186" s="1009"/>
      <c r="FT186" s="1009"/>
      <c r="FU186" s="1009"/>
      <c r="FV186" s="1009"/>
      <c r="FW186" s="1009"/>
      <c r="FX186" s="1009"/>
      <c r="FY186" s="1009"/>
      <c r="FZ186" s="1009"/>
      <c r="GA186" s="1009"/>
      <c r="GB186" s="1009"/>
      <c r="GC186" s="1009"/>
      <c r="GD186" s="1009"/>
      <c r="GE186" s="1009"/>
      <c r="GF186" s="1009"/>
      <c r="GG186" s="1009"/>
      <c r="GH186" s="1009"/>
      <c r="GI186" s="1009"/>
      <c r="GJ186" s="1009"/>
      <c r="GK186" s="1009"/>
      <c r="GL186" s="1009"/>
      <c r="GM186" s="1009"/>
      <c r="GN186" s="1009"/>
      <c r="GO186" s="1009"/>
      <c r="GP186" s="1009"/>
      <c r="GQ186" s="1009"/>
      <c r="GR186" s="1009"/>
      <c r="GS186" s="1009"/>
      <c r="GT186" s="1009"/>
      <c r="GU186" s="1009"/>
      <c r="GV186" s="1009"/>
      <c r="GW186" s="1009"/>
      <c r="GX186" s="1009"/>
      <c r="GY186" s="1009"/>
      <c r="GZ186" s="1009"/>
      <c r="HA186" s="1009"/>
      <c r="HB186" s="1009"/>
      <c r="HC186" s="1009"/>
      <c r="HD186" s="1009"/>
      <c r="HE186" s="1009"/>
      <c r="HF186" s="1009"/>
      <c r="HG186" s="1009"/>
      <c r="HH186" s="1009"/>
      <c r="HI186" s="1009"/>
      <c r="HJ186" s="1009"/>
      <c r="HK186" s="1009"/>
      <c r="HL186" s="1009"/>
      <c r="HM186" s="1009"/>
      <c r="HN186" s="1009"/>
      <c r="HO186" s="1009"/>
      <c r="HP186" s="1009"/>
      <c r="HQ186" s="1009"/>
      <c r="HR186" s="1009"/>
      <c r="HS186" s="1009"/>
      <c r="HT186" s="1009"/>
      <c r="HU186" s="1009"/>
      <c r="HV186" s="1009"/>
      <c r="HW186" s="1009"/>
      <c r="HX186" s="1009"/>
      <c r="HY186" s="1009"/>
      <c r="HZ186" s="1009"/>
      <c r="IA186" s="1009"/>
      <c r="IB186" s="1009"/>
      <c r="IC186" s="1009"/>
      <c r="ID186" s="1009"/>
      <c r="IE186" s="1009"/>
      <c r="IF186" s="1009"/>
      <c r="IG186" s="1009"/>
      <c r="IH186" s="1009"/>
      <c r="II186" s="1009"/>
      <c r="IJ186" s="1009"/>
      <c r="IK186" s="1009"/>
      <c r="IL186" s="1009"/>
      <c r="IM186" s="1009"/>
      <c r="IN186" s="1009"/>
      <c r="IO186" s="1009"/>
      <c r="IP186" s="1009"/>
      <c r="IQ186" s="1009"/>
      <c r="IR186" s="1009"/>
      <c r="IS186" s="1009"/>
      <c r="IT186" s="1009"/>
      <c r="IU186" s="1009"/>
      <c r="IV186" s="1009"/>
      <c r="IW186" s="1009"/>
      <c r="IX186" s="1009"/>
      <c r="IY186" s="1009"/>
      <c r="IZ186" s="1009"/>
      <c r="JA186" s="1009"/>
      <c r="JB186" s="1009"/>
      <c r="JC186" s="1009"/>
      <c r="JD186" s="1009"/>
      <c r="JE186" s="1009"/>
      <c r="JF186" s="1009"/>
      <c r="JG186" s="1009"/>
      <c r="JH186" s="1009"/>
      <c r="JI186" s="1009"/>
      <c r="JJ186" s="1009"/>
      <c r="JK186" s="1009"/>
      <c r="JL186" s="1009"/>
      <c r="JM186" s="1009"/>
      <c r="JN186" s="1009"/>
      <c r="JO186" s="1009"/>
      <c r="JP186" s="1009"/>
      <c r="JQ186" s="1009"/>
      <c r="JR186" s="1009"/>
      <c r="JS186" s="1009"/>
      <c r="JT186" s="1009"/>
      <c r="JU186" s="1009"/>
      <c r="JV186" s="1009"/>
      <c r="JW186" s="1009"/>
      <c r="JX186" s="1009"/>
      <c r="JY186" s="1009"/>
      <c r="JZ186" s="1009"/>
      <c r="KA186" s="1009"/>
      <c r="KB186" s="1009"/>
      <c r="KC186" s="1009"/>
      <c r="KD186" s="1009"/>
      <c r="KE186" s="1009"/>
      <c r="KF186" s="1009"/>
      <c r="KG186" s="1009"/>
      <c r="KH186" s="1009"/>
      <c r="KI186" s="1009"/>
      <c r="KJ186" s="1009"/>
      <c r="KK186" s="1009"/>
      <c r="KL186" s="1009"/>
      <c r="KM186" s="1009"/>
      <c r="KN186" s="1009"/>
      <c r="KO186" s="1009"/>
      <c r="KP186" s="1009"/>
      <c r="KQ186" s="1009"/>
      <c r="KR186" s="1009"/>
      <c r="KS186" s="1009"/>
      <c r="KT186" s="1009"/>
      <c r="KU186" s="1009"/>
      <c r="KV186" s="1009"/>
      <c r="KW186" s="1009"/>
      <c r="KX186" s="1009"/>
      <c r="KY186" s="1009"/>
      <c r="KZ186" s="1009"/>
      <c r="LA186" s="1009"/>
      <c r="LB186" s="1009"/>
      <c r="LC186" s="1009"/>
      <c r="LD186" s="1009"/>
      <c r="LE186" s="1009"/>
      <c r="LF186" s="1009"/>
      <c r="LG186" s="1009"/>
      <c r="LH186" s="1009"/>
      <c r="LI186" s="1009"/>
      <c r="LJ186" s="1009"/>
      <c r="LK186" s="1009"/>
      <c r="LL186" s="1009"/>
      <c r="LM186" s="1009"/>
      <c r="LN186" s="1009"/>
      <c r="LO186" s="1009"/>
      <c r="LP186" s="1009"/>
      <c r="LQ186" s="1009"/>
      <c r="LR186" s="1009"/>
      <c r="LS186" s="1009"/>
      <c r="LT186" s="1009"/>
      <c r="LU186" s="1009"/>
      <c r="LV186" s="1009"/>
      <c r="LW186" s="1009"/>
      <c r="LX186" s="1009"/>
      <c r="LY186" s="1009"/>
      <c r="LZ186" s="1009"/>
      <c r="MA186" s="1009"/>
      <c r="MB186" s="1009"/>
      <c r="MC186" s="1009"/>
      <c r="MD186" s="1009"/>
      <c r="ME186" s="1009"/>
      <c r="MF186" s="1009"/>
      <c r="MG186" s="1009"/>
      <c r="MH186" s="1009"/>
      <c r="MI186" s="1009"/>
      <c r="MJ186" s="1009"/>
      <c r="MK186" s="1009"/>
      <c r="ML186" s="1009"/>
      <c r="MM186" s="1009"/>
      <c r="MN186" s="1009"/>
      <c r="MO186" s="1009"/>
      <c r="MP186" s="1009"/>
      <c r="MQ186" s="1009"/>
      <c r="MR186" s="1009"/>
      <c r="MS186" s="1009"/>
      <c r="MT186" s="1009"/>
      <c r="MU186" s="1009"/>
      <c r="MV186" s="1009"/>
      <c r="MW186" s="1009"/>
      <c r="MX186" s="1009"/>
      <c r="MY186" s="1009"/>
      <c r="MZ186" s="1009"/>
      <c r="NA186" s="1009"/>
      <c r="NB186" s="1009"/>
      <c r="NC186" s="1009"/>
      <c r="ND186" s="1009"/>
      <c r="NE186" s="1009"/>
      <c r="NF186" s="1009"/>
      <c r="NG186" s="1009"/>
      <c r="NH186" s="1009"/>
      <c r="NI186" s="1009"/>
      <c r="NJ186" s="1009"/>
      <c r="NK186" s="1009"/>
      <c r="NL186" s="1009"/>
      <c r="NM186" s="1009"/>
      <c r="NN186" s="1009"/>
      <c r="NO186" s="1009"/>
      <c r="NP186" s="1009"/>
      <c r="NQ186" s="1009"/>
      <c r="NR186" s="1009"/>
      <c r="NS186" s="1009"/>
      <c r="NT186" s="1009"/>
      <c r="NU186" s="1009"/>
      <c r="NV186" s="1009"/>
      <c r="NW186" s="1009"/>
      <c r="NX186" s="1009"/>
      <c r="NY186" s="1009"/>
      <c r="NZ186" s="1009"/>
      <c r="OA186" s="1009"/>
      <c r="OB186" s="1009"/>
      <c r="OC186" s="1009"/>
      <c r="OD186" s="1009"/>
      <c r="OE186" s="1009"/>
      <c r="OF186" s="1009"/>
      <c r="OG186" s="1009"/>
      <c r="OH186" s="1009"/>
      <c r="OI186" s="1009"/>
      <c r="OJ186" s="1009"/>
      <c r="OK186" s="1009"/>
      <c r="OL186" s="1009"/>
      <c r="OM186" s="1009"/>
      <c r="ON186" s="1009"/>
      <c r="OO186" s="1009"/>
      <c r="OP186" s="1009"/>
      <c r="OQ186" s="1009"/>
      <c r="OR186" s="1009"/>
      <c r="OS186" s="1009"/>
      <c r="OT186" s="1009"/>
      <c r="OU186" s="1009"/>
      <c r="OV186" s="1009"/>
      <c r="OW186" s="1009"/>
      <c r="OX186" s="1009"/>
      <c r="OY186" s="1009"/>
      <c r="OZ186" s="1009"/>
      <c r="PA186" s="1009"/>
      <c r="PB186" s="1009"/>
      <c r="PC186" s="1009"/>
      <c r="PD186" s="1009"/>
      <c r="PE186" s="1009"/>
      <c r="PF186" s="1009"/>
      <c r="PG186" s="1009"/>
      <c r="PH186" s="1009"/>
      <c r="PI186" s="1009"/>
      <c r="PJ186" s="1009"/>
      <c r="PK186" s="1009"/>
      <c r="PL186" s="1009"/>
      <c r="PM186" s="1009"/>
      <c r="PN186" s="1009"/>
      <c r="PO186" s="1009"/>
      <c r="PP186" s="1009"/>
      <c r="PQ186" s="1009"/>
      <c r="PR186" s="1009"/>
      <c r="PS186" s="1009"/>
      <c r="PT186" s="1009"/>
      <c r="PU186" s="1009"/>
      <c r="PV186" s="1009"/>
      <c r="PW186" s="1009"/>
      <c r="PX186" s="1009"/>
      <c r="PY186" s="1009"/>
      <c r="PZ186" s="1009"/>
      <c r="QA186" s="1009"/>
      <c r="QB186" s="1009"/>
      <c r="QC186" s="1009"/>
      <c r="QD186" s="1009"/>
      <c r="QE186" s="1009"/>
      <c r="QF186" s="1009"/>
      <c r="QG186" s="1009"/>
      <c r="QH186" s="1009"/>
      <c r="QI186" s="1009"/>
      <c r="QJ186" s="1009"/>
      <c r="QK186" s="1009"/>
      <c r="QL186" s="1009"/>
      <c r="QM186" s="1009"/>
      <c r="QN186" s="1009"/>
      <c r="QO186" s="1009"/>
      <c r="QP186" s="1009"/>
      <c r="QQ186" s="1009"/>
      <c r="QR186" s="1009"/>
      <c r="QS186" s="1009"/>
      <c r="QT186" s="1009"/>
      <c r="QU186" s="1009"/>
      <c r="QV186" s="1009"/>
      <c r="QW186" s="1009"/>
      <c r="QX186" s="1009"/>
      <c r="QY186" s="1009"/>
      <c r="QZ186" s="1009"/>
      <c r="RA186" s="1009"/>
      <c r="RB186" s="1009"/>
      <c r="RC186" s="1009"/>
      <c r="RD186" s="1009"/>
      <c r="RE186" s="1009"/>
      <c r="RF186" s="1009"/>
      <c r="RG186" s="1009"/>
      <c r="RH186" s="1009"/>
      <c r="RI186" s="1009"/>
      <c r="RJ186" s="1009"/>
      <c r="RK186" s="1009"/>
      <c r="RL186" s="1009"/>
      <c r="RM186" s="1009"/>
      <c r="RN186" s="1009"/>
      <c r="RO186" s="1009"/>
      <c r="RP186" s="1009"/>
      <c r="RQ186" s="1009"/>
      <c r="RR186" s="1009"/>
      <c r="RS186" s="1009"/>
      <c r="RT186" s="1009"/>
      <c r="RU186" s="1009"/>
      <c r="RV186" s="1009"/>
      <c r="RW186" s="1009"/>
      <c r="RX186" s="1009"/>
      <c r="RY186" s="1009"/>
      <c r="RZ186" s="1009"/>
      <c r="SA186" s="1009"/>
      <c r="SB186" s="1009"/>
      <c r="SC186" s="1009"/>
      <c r="SD186" s="1009"/>
      <c r="SE186" s="1009"/>
      <c r="SF186" s="1009"/>
      <c r="SG186" s="1009"/>
      <c r="SH186" s="1009"/>
      <c r="SI186" s="1009"/>
      <c r="SJ186" s="1009"/>
      <c r="SK186" s="1009"/>
      <c r="SL186" s="1009"/>
      <c r="SM186" s="1009"/>
      <c r="SN186" s="1009"/>
      <c r="SO186" s="1009"/>
      <c r="SP186" s="1009"/>
      <c r="SQ186" s="1009"/>
      <c r="SR186" s="1009"/>
      <c r="SS186" s="1009"/>
      <c r="ST186" s="1009"/>
      <c r="SU186" s="1009"/>
      <c r="SV186" s="1009"/>
      <c r="SW186" s="1009"/>
      <c r="SX186" s="1009"/>
      <c r="SY186" s="1009"/>
      <c r="SZ186" s="1009"/>
      <c r="TA186" s="1009"/>
      <c r="TB186" s="1009"/>
      <c r="TC186" s="1009"/>
      <c r="TD186" s="1009"/>
      <c r="TE186" s="1009"/>
      <c r="TF186" s="1009"/>
      <c r="TG186" s="1009"/>
      <c r="TH186" s="1009"/>
      <c r="TI186" s="1009"/>
      <c r="TJ186" s="1009"/>
      <c r="TK186" s="1009"/>
      <c r="TL186" s="1009"/>
      <c r="TM186" s="1009"/>
      <c r="TN186" s="1009"/>
      <c r="TO186" s="1009"/>
      <c r="TP186" s="1009"/>
      <c r="TQ186" s="1009"/>
      <c r="TR186" s="1009"/>
      <c r="TS186" s="1009"/>
      <c r="TT186" s="1009"/>
      <c r="TU186" s="1009"/>
      <c r="TV186" s="1009"/>
      <c r="TW186" s="1009"/>
      <c r="TX186" s="1009"/>
      <c r="TY186" s="1009"/>
      <c r="TZ186" s="1009"/>
      <c r="UA186" s="1009"/>
      <c r="UB186" s="1009"/>
      <c r="UC186" s="1009"/>
      <c r="UD186" s="1009"/>
      <c r="UE186" s="1009"/>
      <c r="UF186" s="1009"/>
      <c r="UG186" s="1009"/>
      <c r="UH186" s="1009"/>
      <c r="UI186" s="1009"/>
      <c r="UJ186" s="1009"/>
      <c r="UK186" s="1009"/>
      <c r="UL186" s="1009"/>
      <c r="UM186" s="1009"/>
      <c r="UN186" s="1009"/>
      <c r="UO186" s="1009"/>
      <c r="UP186" s="1009"/>
      <c r="UQ186" s="1009"/>
      <c r="UR186" s="1009"/>
      <c r="US186" s="1009"/>
      <c r="UT186" s="1009"/>
      <c r="UU186" s="1009"/>
      <c r="UV186" s="1009"/>
      <c r="UW186" s="1009"/>
      <c r="UX186" s="1009"/>
      <c r="UY186" s="1009"/>
      <c r="UZ186" s="1009"/>
      <c r="VA186" s="1009"/>
      <c r="VB186" s="1009"/>
      <c r="VC186" s="1009"/>
      <c r="VD186" s="1009"/>
      <c r="VE186" s="1009"/>
      <c r="VF186" s="1009"/>
      <c r="VG186" s="1009"/>
      <c r="VH186" s="1009"/>
      <c r="VI186" s="1009"/>
      <c r="VJ186" s="1009"/>
      <c r="VK186" s="1009"/>
      <c r="VL186" s="1009"/>
      <c r="VM186" s="1009"/>
      <c r="VN186" s="1009"/>
      <c r="VO186" s="1009"/>
      <c r="VP186" s="1009"/>
      <c r="VQ186" s="1009"/>
      <c r="VR186" s="1009"/>
      <c r="VS186" s="1009"/>
      <c r="VT186" s="1009"/>
      <c r="VU186" s="1009"/>
      <c r="VV186" s="1009"/>
      <c r="VW186" s="1009"/>
      <c r="VX186" s="1009"/>
      <c r="VY186" s="1009"/>
      <c r="VZ186" s="1009"/>
      <c r="WA186" s="1009"/>
      <c r="WB186" s="1009"/>
      <c r="WC186" s="1009"/>
      <c r="WD186" s="1009"/>
      <c r="WE186" s="1009"/>
      <c r="WF186" s="1009"/>
      <c r="WG186" s="1009"/>
      <c r="WH186" s="1009"/>
      <c r="WI186" s="1009"/>
      <c r="WJ186" s="1009"/>
      <c r="WK186" s="1009"/>
      <c r="WL186" s="1009"/>
      <c r="WM186" s="1009"/>
      <c r="WN186" s="1009"/>
      <c r="WO186" s="1009"/>
      <c r="WP186" s="1009"/>
      <c r="WQ186" s="1009"/>
      <c r="WR186" s="1009"/>
      <c r="WS186" s="1009"/>
      <c r="WT186" s="1009"/>
      <c r="WU186" s="1009"/>
      <c r="WV186" s="1009"/>
      <c r="WW186" s="1009"/>
      <c r="WX186" s="1009"/>
      <c r="WY186" s="1009"/>
      <c r="WZ186" s="1009"/>
      <c r="XA186" s="1009"/>
      <c r="XB186" s="1009"/>
      <c r="XC186" s="1009"/>
      <c r="XD186" s="1009"/>
      <c r="XE186" s="1009"/>
      <c r="XF186" s="1009"/>
      <c r="XG186" s="1009"/>
      <c r="XH186" s="1009"/>
      <c r="XI186" s="1009"/>
      <c r="XJ186" s="1009"/>
      <c r="XK186" s="1009"/>
      <c r="XL186" s="1009"/>
      <c r="XM186" s="1009"/>
      <c r="XN186" s="1009"/>
      <c r="XO186" s="1009"/>
      <c r="XP186" s="1009"/>
      <c r="XQ186" s="1009"/>
      <c r="XR186" s="1009"/>
      <c r="XS186" s="1009"/>
      <c r="XT186" s="1009"/>
      <c r="XU186" s="1009"/>
      <c r="XV186" s="1009"/>
      <c r="XW186" s="1009"/>
      <c r="XX186" s="1009"/>
      <c r="XY186" s="1009"/>
      <c r="XZ186" s="1009"/>
      <c r="YA186" s="1009"/>
      <c r="YB186" s="1009"/>
      <c r="YC186" s="1009"/>
      <c r="YD186" s="1009"/>
      <c r="YE186" s="1009"/>
      <c r="YF186" s="1009"/>
      <c r="YG186" s="1009"/>
      <c r="YH186" s="1009"/>
      <c r="YI186" s="1009"/>
      <c r="YJ186" s="1009"/>
      <c r="YK186" s="1009"/>
      <c r="YL186" s="1009"/>
      <c r="YM186" s="1009"/>
      <c r="YN186" s="1009"/>
      <c r="YO186" s="1009"/>
      <c r="YP186" s="1009"/>
      <c r="YQ186" s="1009"/>
      <c r="YR186" s="1009"/>
      <c r="YS186" s="1009"/>
      <c r="YT186" s="1009"/>
      <c r="YU186" s="1009"/>
      <c r="YV186" s="1009"/>
      <c r="YW186" s="1009"/>
      <c r="YX186" s="1009"/>
      <c r="YY186" s="1009"/>
      <c r="YZ186" s="1009"/>
      <c r="ZA186" s="1009"/>
      <c r="ZB186" s="1009"/>
      <c r="ZC186" s="1009"/>
      <c r="ZD186" s="1009"/>
      <c r="ZE186" s="1009"/>
      <c r="ZF186" s="1009"/>
      <c r="ZG186" s="1009"/>
      <c r="ZH186" s="1009"/>
      <c r="ZI186" s="1009"/>
      <c r="ZJ186" s="1009"/>
      <c r="ZK186" s="1009"/>
      <c r="ZL186" s="1009"/>
      <c r="ZM186" s="1009"/>
      <c r="ZN186" s="1009"/>
      <c r="ZO186" s="1009"/>
      <c r="ZP186" s="1009"/>
      <c r="ZQ186" s="1009"/>
      <c r="ZR186" s="1009"/>
      <c r="ZS186" s="1009"/>
      <c r="ZT186" s="1009"/>
      <c r="ZU186" s="1009"/>
      <c r="ZV186" s="1009"/>
      <c r="ZW186" s="1009"/>
      <c r="ZX186" s="1009"/>
      <c r="ZY186" s="1009"/>
      <c r="ZZ186" s="1009"/>
      <c r="AAA186" s="1009"/>
      <c r="AAB186" s="1009"/>
      <c r="AAC186" s="1009"/>
      <c r="AAD186" s="1009"/>
      <c r="AAE186" s="1009"/>
      <c r="AAF186" s="1009"/>
      <c r="AAG186" s="1009"/>
      <c r="AAH186" s="1009"/>
      <c r="AAI186" s="1009"/>
      <c r="AAJ186" s="1009"/>
      <c r="AAK186" s="1009"/>
      <c r="AAL186" s="1009"/>
      <c r="AAM186" s="1009"/>
      <c r="AAN186" s="1009"/>
      <c r="AAO186" s="1009"/>
      <c r="AAP186" s="1009"/>
      <c r="AAQ186" s="1009"/>
      <c r="AAR186" s="1009"/>
      <c r="AAS186" s="1009"/>
      <c r="AAT186" s="1009"/>
      <c r="AAU186" s="1009"/>
      <c r="AAV186" s="1009"/>
      <c r="AAW186" s="1009"/>
      <c r="AAX186" s="1009"/>
      <c r="AAY186" s="1009"/>
      <c r="AAZ186" s="1009"/>
      <c r="ABA186" s="1009"/>
      <c r="ABB186" s="1009"/>
      <c r="ABC186" s="1009"/>
      <c r="ABD186" s="1009"/>
      <c r="ABE186" s="1009"/>
      <c r="ABF186" s="1009"/>
      <c r="ABG186" s="1009"/>
      <c r="ABH186" s="1009"/>
      <c r="ABI186" s="1009"/>
      <c r="ABJ186" s="1009"/>
      <c r="ABK186" s="1009"/>
      <c r="ABL186" s="1009"/>
      <c r="ABM186" s="1009"/>
      <c r="ABN186" s="1009"/>
      <c r="ABO186" s="1009"/>
      <c r="ABP186" s="1009"/>
      <c r="ABQ186" s="1009"/>
      <c r="ABR186" s="1009"/>
    </row>
    <row r="187" spans="1:746" s="112" customFormat="1" ht="12" customHeight="1">
      <c r="A187" s="924"/>
      <c r="B187" s="1772"/>
      <c r="C187" s="1773"/>
      <c r="D187" s="1774"/>
      <c r="E187" s="1775"/>
      <c r="F187" s="1776"/>
      <c r="G187" s="1775"/>
      <c r="H187" s="1844" t="str">
        <f>IF(OR(H165=1,H172=1,H186=1),"Budgetera från och med startmånad !","")</f>
        <v/>
      </c>
      <c r="I187" s="2570" t="str">
        <f>IF(fx!I$57=0,"&gt;&gt;",IF($L$4=I$6,"","Välj 1-12 i P4"))</f>
        <v/>
      </c>
      <c r="J187" s="1843" t="str">
        <f>IF(fx!J$57=0,"&gt;&gt;",IF($L$4=J$6,"Startmånad",""))</f>
        <v/>
      </c>
      <c r="K187" s="1843" t="str">
        <f>IF(fx!K$57=0,"&gt;&gt;",IF($L$4=K$6,"Startmånad",""))</f>
        <v/>
      </c>
      <c r="L187" s="1843" t="str">
        <f>IF(fx!L$57=0,"&gt;&gt;",IF($L$4=L$6,"Startmånad",""))</f>
        <v/>
      </c>
      <c r="M187" s="1843" t="str">
        <f>IF(fx!M$57=0,"&gt;&gt;",IF($L$4=M$6,"Startmånad",""))</f>
        <v/>
      </c>
      <c r="N187" s="1843" t="str">
        <f>IF(fx!N$57=0,"&gt;&gt;",IF($L$4=N$6,"Startmånad",""))</f>
        <v/>
      </c>
      <c r="O187" s="1843" t="str">
        <f>IF(AND(fx!$C$57=1,fx!O$57=0),"&gt;&gt;",IF(AND(fx!$C$57=1,$L$4=$O$6),"Startmånad",IF(AND(fx!$C$57=2,$L$4&lt;7),"Välj 7-12 i P4",IF(AND(fx!$C$57=2,$L$4=$O$6),"Startmånad",IF(AND(fx!$C$57=2,$L$4&gt;$O$6),"&gt;&gt;","")))))</f>
        <v/>
      </c>
      <c r="P187" s="1843" t="str">
        <f>IF(fx!P$57=0,"&gt;&gt;",IF($L$4=P$6,"Startmånad",""))</f>
        <v/>
      </c>
      <c r="Q187" s="1843" t="str">
        <f>IF(fx!Q$57=0,"&gt;&gt;",IF($L$4=Q$6,"Startmånad",""))</f>
        <v/>
      </c>
      <c r="R187" s="1843" t="str">
        <f>IF(fx!R$57=0,"&gt;&gt;",IF($L$4=R$6,"Startmånad",""))</f>
        <v/>
      </c>
      <c r="S187" s="1843" t="str">
        <f>IF(fx!S$57=0,"&gt;&gt;",IF($L$4=S$6,"Startmånad",""))</f>
        <v/>
      </c>
      <c r="T187" s="2717" t="str">
        <f>IF(fx!T$57=0,"&gt;&gt;",IF($L$4=T$6,"Startmånad",""))</f>
        <v/>
      </c>
      <c r="U187" s="2723"/>
      <c r="V187" s="1777"/>
      <c r="W187" s="1777"/>
      <c r="X187" s="1777"/>
      <c r="Y187" s="1777"/>
      <c r="Z187" s="1777"/>
      <c r="AA187" s="1777"/>
      <c r="AB187" s="1777"/>
      <c r="AC187" s="1777"/>
      <c r="AD187" s="1777"/>
      <c r="AE187" s="1777"/>
      <c r="AF187" s="1778"/>
      <c r="AG187" s="2204"/>
      <c r="AH187" s="769"/>
      <c r="AI187" s="769"/>
      <c r="AJ187" s="1502"/>
      <c r="AK187" s="1502"/>
      <c r="AL187" s="1502"/>
      <c r="AM187" s="1005"/>
      <c r="AN187" s="1023"/>
      <c r="AO187" s="1945"/>
      <c r="AP187" s="1935"/>
      <c r="AQ187" s="1936"/>
      <c r="AR187" s="1941"/>
      <c r="AS187" s="1941"/>
      <c r="AT187" s="1941"/>
      <c r="AU187" s="1941"/>
      <c r="AV187" s="1941"/>
      <c r="AW187" s="1941"/>
      <c r="AX187" s="1941"/>
      <c r="AY187" s="1941"/>
      <c r="AZ187" s="1941"/>
      <c r="BA187" s="1941"/>
      <c r="BB187" s="1941"/>
      <c r="BC187" s="1941"/>
      <c r="BD187" s="1941"/>
      <c r="BE187" s="1941"/>
      <c r="BF187" s="1941"/>
      <c r="BG187" s="1941"/>
      <c r="BH187" s="1941"/>
      <c r="BI187" s="1941"/>
      <c r="BJ187" s="1941"/>
      <c r="BK187" s="1941"/>
      <c r="BL187" s="1941"/>
      <c r="BM187" s="1941"/>
      <c r="BN187" s="1941"/>
      <c r="BO187" s="1941"/>
      <c r="BP187" s="1004"/>
      <c r="BQ187" s="1004"/>
      <c r="BR187" s="1004"/>
      <c r="BS187" s="1004"/>
      <c r="BT187" s="1004"/>
      <c r="BU187" s="1004"/>
      <c r="BV187" s="1004"/>
      <c r="BW187" s="1004"/>
      <c r="BX187" s="1004"/>
      <c r="BY187" s="1004"/>
      <c r="BZ187" s="1004"/>
      <c r="CA187" s="1004"/>
      <c r="CB187" s="1004"/>
      <c r="CC187" s="1004"/>
      <c r="CD187" s="1004"/>
      <c r="CE187" s="1004"/>
      <c r="CF187" s="1004"/>
      <c r="CG187" s="1004"/>
      <c r="CH187" s="1004"/>
      <c r="CI187" s="1004"/>
      <c r="CJ187" s="1004"/>
      <c r="CK187" s="1004"/>
      <c r="CL187" s="1004"/>
      <c r="CM187" s="1004"/>
      <c r="CN187" s="1004"/>
      <c r="CO187" s="1004"/>
      <c r="CP187" s="1004"/>
      <c r="CQ187" s="1004"/>
      <c r="CR187" s="1004"/>
      <c r="CS187" s="1004"/>
      <c r="CT187" s="1004"/>
      <c r="CU187" s="1004"/>
      <c r="CV187" s="1004"/>
      <c r="CW187" s="1004"/>
      <c r="CX187" s="1004"/>
      <c r="CY187" s="1004"/>
      <c r="CZ187" s="1004"/>
      <c r="DA187" s="1004"/>
      <c r="DB187" s="1004"/>
      <c r="DC187" s="1004"/>
      <c r="DD187" s="1004"/>
      <c r="DE187" s="1004"/>
      <c r="DF187" s="1004"/>
      <c r="DG187" s="1004"/>
      <c r="DH187" s="1004"/>
      <c r="DI187" s="1004"/>
      <c r="DJ187" s="1004"/>
      <c r="DK187" s="1004"/>
      <c r="DL187" s="1004"/>
      <c r="DM187" s="1004"/>
      <c r="DN187" s="1004"/>
      <c r="DO187" s="1004"/>
      <c r="DP187" s="1004"/>
      <c r="DQ187" s="1004"/>
      <c r="DR187" s="1004"/>
      <c r="DS187" s="1004"/>
      <c r="DT187" s="1004"/>
      <c r="DU187" s="1004"/>
      <c r="DV187" s="1004"/>
      <c r="DW187" s="1004"/>
      <c r="DX187" s="1004"/>
      <c r="DY187" s="1004"/>
      <c r="DZ187" s="1004"/>
      <c r="EA187" s="1004"/>
      <c r="EB187" s="1004"/>
      <c r="EC187" s="1004"/>
      <c r="ED187" s="1004"/>
      <c r="EE187" s="1004"/>
      <c r="EF187" s="1004"/>
      <c r="EG187" s="1004"/>
      <c r="EH187" s="1004"/>
      <c r="EI187" s="1004"/>
      <c r="EJ187" s="1004"/>
      <c r="EK187" s="1004"/>
      <c r="EL187" s="1004"/>
      <c r="EM187" s="1004"/>
      <c r="EN187" s="1004"/>
      <c r="EO187" s="1004"/>
      <c r="EP187" s="1004"/>
      <c r="EQ187" s="1004"/>
      <c r="ER187" s="1004"/>
      <c r="ES187" s="1004"/>
      <c r="ET187" s="1004"/>
      <c r="EU187" s="1004"/>
      <c r="EV187" s="1004"/>
      <c r="EW187" s="1004"/>
      <c r="EX187" s="1004"/>
      <c r="EY187" s="1004"/>
      <c r="EZ187" s="1004"/>
      <c r="FA187" s="1004"/>
      <c r="FB187" s="1004"/>
      <c r="FC187" s="1004"/>
      <c r="FD187" s="1004"/>
      <c r="FE187" s="1004"/>
      <c r="FF187" s="1004"/>
      <c r="FG187" s="1004"/>
      <c r="FH187" s="1004"/>
      <c r="FI187" s="1004"/>
      <c r="FJ187" s="1004"/>
      <c r="FK187" s="1004"/>
      <c r="FL187" s="1004"/>
      <c r="FM187" s="1004"/>
      <c r="FN187" s="1004"/>
      <c r="FO187" s="1004"/>
      <c r="FP187" s="1004"/>
      <c r="FQ187" s="1004"/>
      <c r="FR187" s="1004"/>
      <c r="FS187" s="1004"/>
      <c r="FT187" s="1004"/>
      <c r="FU187" s="1004"/>
      <c r="FV187" s="1004"/>
      <c r="FW187" s="1004"/>
      <c r="FX187" s="1004"/>
      <c r="FY187" s="1004"/>
      <c r="FZ187" s="1004"/>
      <c r="GA187" s="1004"/>
      <c r="GB187" s="1004"/>
      <c r="GC187" s="1004"/>
      <c r="GD187" s="1004"/>
      <c r="GE187" s="1004"/>
      <c r="GF187" s="1004"/>
      <c r="GG187" s="1004"/>
      <c r="GH187" s="1004"/>
      <c r="GI187" s="1004"/>
      <c r="GJ187" s="1004"/>
      <c r="GK187" s="1004"/>
      <c r="GL187" s="1004"/>
      <c r="GM187" s="1004"/>
      <c r="GN187" s="1004"/>
      <c r="GO187" s="1004"/>
      <c r="GP187" s="1004"/>
      <c r="GQ187" s="1004"/>
      <c r="GR187" s="1004"/>
      <c r="GS187" s="1004"/>
      <c r="GT187" s="1004"/>
      <c r="GU187" s="1004"/>
      <c r="GV187" s="1004"/>
      <c r="GW187" s="1004"/>
      <c r="GX187" s="1004"/>
      <c r="GY187" s="1004"/>
      <c r="GZ187" s="1004"/>
      <c r="HA187" s="1004"/>
      <c r="HB187" s="1004"/>
      <c r="HC187" s="1004"/>
      <c r="HD187" s="1004"/>
      <c r="HE187" s="1004"/>
      <c r="HF187" s="1004"/>
      <c r="HG187" s="1004"/>
      <c r="HH187" s="1004"/>
      <c r="HI187" s="1004"/>
      <c r="HJ187" s="1004"/>
      <c r="HK187" s="1004"/>
      <c r="HL187" s="1004"/>
      <c r="HM187" s="1004"/>
      <c r="HN187" s="1004"/>
      <c r="HO187" s="1004"/>
      <c r="HP187" s="1004"/>
      <c r="HQ187" s="1004"/>
      <c r="HR187" s="1004"/>
      <c r="HS187" s="1004"/>
      <c r="HT187" s="1004"/>
      <c r="HU187" s="1004"/>
      <c r="HV187" s="1004"/>
      <c r="HW187" s="1004"/>
      <c r="HX187" s="1004"/>
      <c r="HY187" s="1004"/>
      <c r="HZ187" s="1004"/>
      <c r="IA187" s="1004"/>
      <c r="IB187" s="1004"/>
      <c r="IC187" s="1004"/>
      <c r="ID187" s="1004"/>
      <c r="IE187" s="1004"/>
      <c r="IF187" s="1004"/>
      <c r="IG187" s="1004"/>
      <c r="IH187" s="1004"/>
      <c r="II187" s="1004"/>
      <c r="IJ187" s="1004"/>
      <c r="IK187" s="1004"/>
      <c r="IL187" s="1004"/>
      <c r="IM187" s="1004"/>
      <c r="IN187" s="1004"/>
      <c r="IO187" s="1004"/>
      <c r="IP187" s="1004"/>
      <c r="IQ187" s="1004"/>
      <c r="IR187" s="1004"/>
      <c r="IS187" s="1004"/>
      <c r="IT187" s="1004"/>
      <c r="IU187" s="1004"/>
      <c r="IV187" s="1004"/>
      <c r="IW187" s="1004"/>
      <c r="IX187" s="1004"/>
      <c r="IY187" s="1004"/>
      <c r="IZ187" s="1004"/>
      <c r="JA187" s="1004"/>
      <c r="JB187" s="1004"/>
      <c r="JC187" s="1004"/>
      <c r="JD187" s="1004"/>
      <c r="JE187" s="1004"/>
      <c r="JF187" s="1004"/>
      <c r="JG187" s="1004"/>
      <c r="JH187" s="1004"/>
      <c r="JI187" s="1004"/>
      <c r="JJ187" s="1004"/>
      <c r="JK187" s="1004"/>
      <c r="JL187" s="1004"/>
      <c r="JM187" s="1004"/>
      <c r="JN187" s="1004"/>
      <c r="JO187" s="1004"/>
      <c r="JP187" s="1004"/>
      <c r="JQ187" s="1004"/>
      <c r="JR187" s="1004"/>
      <c r="JS187" s="1004"/>
      <c r="JT187" s="1004"/>
      <c r="JU187" s="1004"/>
      <c r="JV187" s="1004"/>
      <c r="JW187" s="1004"/>
      <c r="JX187" s="1004"/>
      <c r="JY187" s="1004"/>
      <c r="JZ187" s="1004"/>
      <c r="KA187" s="1004"/>
      <c r="KB187" s="1004"/>
      <c r="KC187" s="1004"/>
      <c r="KD187" s="1004"/>
      <c r="KE187" s="1004"/>
      <c r="KF187" s="1004"/>
      <c r="KG187" s="1004"/>
      <c r="KH187" s="1004"/>
      <c r="KI187" s="1004"/>
      <c r="KJ187" s="1004"/>
      <c r="KK187" s="1004"/>
      <c r="KL187" s="1004"/>
      <c r="KM187" s="1004"/>
      <c r="KN187" s="1004"/>
      <c r="KO187" s="1004"/>
      <c r="KP187" s="1004"/>
      <c r="KQ187" s="1004"/>
      <c r="KR187" s="1004"/>
      <c r="KS187" s="1004"/>
      <c r="KT187" s="1004"/>
      <c r="KU187" s="1004"/>
      <c r="KV187" s="1004"/>
      <c r="KW187" s="1004"/>
      <c r="KX187" s="1004"/>
      <c r="KY187" s="1004"/>
      <c r="KZ187" s="1004"/>
      <c r="LA187" s="1004"/>
      <c r="LB187" s="1004"/>
      <c r="LC187" s="1004"/>
      <c r="LD187" s="1004"/>
      <c r="LE187" s="1004"/>
      <c r="LF187" s="1004"/>
      <c r="LG187" s="1004"/>
      <c r="LH187" s="1004"/>
      <c r="LI187" s="1004"/>
      <c r="LJ187" s="1004"/>
      <c r="LK187" s="1004"/>
      <c r="LL187" s="1004"/>
      <c r="LM187" s="1004"/>
      <c r="LN187" s="1004"/>
      <c r="LO187" s="1004"/>
      <c r="LP187" s="1004"/>
      <c r="LQ187" s="1004"/>
      <c r="LR187" s="1004"/>
      <c r="LS187" s="1004"/>
      <c r="LT187" s="1004"/>
      <c r="LU187" s="1004"/>
      <c r="LV187" s="1004"/>
      <c r="LW187" s="1004"/>
      <c r="LX187" s="1004"/>
      <c r="LY187" s="1004"/>
      <c r="LZ187" s="1004"/>
      <c r="MA187" s="1004"/>
      <c r="MB187" s="1004"/>
      <c r="MC187" s="1004"/>
      <c r="MD187" s="1004"/>
      <c r="ME187" s="1004"/>
      <c r="MF187" s="1004"/>
      <c r="MG187" s="1004"/>
      <c r="MH187" s="1004"/>
      <c r="MI187" s="1004"/>
      <c r="MJ187" s="1004"/>
      <c r="MK187" s="1004"/>
      <c r="ML187" s="1004"/>
      <c r="MM187" s="1004"/>
      <c r="MN187" s="1004"/>
      <c r="MO187" s="1004"/>
      <c r="MP187" s="1004"/>
      <c r="MQ187" s="1004"/>
      <c r="MR187" s="1004"/>
      <c r="MS187" s="1004"/>
      <c r="MT187" s="1004"/>
      <c r="MU187" s="1004"/>
      <c r="MV187" s="1004"/>
      <c r="MW187" s="1004"/>
      <c r="MX187" s="1004"/>
      <c r="MY187" s="1004"/>
      <c r="MZ187" s="1004"/>
      <c r="NA187" s="1004"/>
      <c r="NB187" s="1004"/>
      <c r="NC187" s="1004"/>
      <c r="ND187" s="1004"/>
      <c r="NE187" s="1004"/>
      <c r="NF187" s="1004"/>
      <c r="NG187" s="1004"/>
      <c r="NH187" s="1004"/>
      <c r="NI187" s="1004"/>
      <c r="NJ187" s="1004"/>
      <c r="NK187" s="1004"/>
      <c r="NL187" s="1004"/>
      <c r="NM187" s="1004"/>
      <c r="NN187" s="1004"/>
      <c r="NO187" s="1004"/>
      <c r="NP187" s="1004"/>
      <c r="NQ187" s="1004"/>
      <c r="NR187" s="1004"/>
      <c r="NS187" s="1004"/>
      <c r="NT187" s="1004"/>
      <c r="NU187" s="1004"/>
      <c r="NV187" s="1004"/>
      <c r="NW187" s="1004"/>
      <c r="NX187" s="1004"/>
      <c r="NY187" s="1004"/>
      <c r="NZ187" s="1004"/>
      <c r="OA187" s="1004"/>
      <c r="OB187" s="1004"/>
      <c r="OC187" s="1004"/>
      <c r="OD187" s="1004"/>
      <c r="OE187" s="1004"/>
      <c r="OF187" s="1004"/>
      <c r="OG187" s="1004"/>
      <c r="OH187" s="1004"/>
      <c r="OI187" s="1004"/>
      <c r="OJ187" s="1004"/>
      <c r="OK187" s="1004"/>
      <c r="OL187" s="1004"/>
      <c r="OM187" s="1004"/>
      <c r="ON187" s="1004"/>
      <c r="OO187" s="1004"/>
      <c r="OP187" s="1004"/>
      <c r="OQ187" s="1004"/>
      <c r="OR187" s="1004"/>
      <c r="OS187" s="1004"/>
      <c r="OT187" s="1004"/>
      <c r="OU187" s="1004"/>
      <c r="OV187" s="1004"/>
      <c r="OW187" s="1004"/>
      <c r="OX187" s="1004"/>
      <c r="OY187" s="1004"/>
      <c r="OZ187" s="1004"/>
      <c r="PA187" s="1004"/>
      <c r="PB187" s="1004"/>
      <c r="PC187" s="1004"/>
      <c r="PD187" s="1004"/>
      <c r="PE187" s="1004"/>
      <c r="PF187" s="1004"/>
      <c r="PG187" s="1004"/>
      <c r="PH187" s="1004"/>
      <c r="PI187" s="1004"/>
      <c r="PJ187" s="1004"/>
      <c r="PK187" s="1004"/>
      <c r="PL187" s="1004"/>
      <c r="PM187" s="1004"/>
      <c r="PN187" s="1004"/>
      <c r="PO187" s="1004"/>
      <c r="PP187" s="1004"/>
      <c r="PQ187" s="1004"/>
      <c r="PR187" s="1004"/>
      <c r="PS187" s="1004"/>
      <c r="PT187" s="1004"/>
      <c r="PU187" s="1004"/>
      <c r="PV187" s="1004"/>
      <c r="PW187" s="1004"/>
      <c r="PX187" s="1004"/>
      <c r="PY187" s="1004"/>
      <c r="PZ187" s="1004"/>
      <c r="QA187" s="1004"/>
      <c r="QB187" s="1004"/>
      <c r="QC187" s="1004"/>
      <c r="QD187" s="1004"/>
      <c r="QE187" s="1004"/>
      <c r="QF187" s="1004"/>
      <c r="QG187" s="1004"/>
      <c r="QH187" s="1004"/>
      <c r="QI187" s="1004"/>
      <c r="QJ187" s="1004"/>
      <c r="QK187" s="1004"/>
      <c r="QL187" s="1004"/>
      <c r="QM187" s="1004"/>
      <c r="QN187" s="1004"/>
      <c r="QO187" s="1004"/>
      <c r="QP187" s="1004"/>
      <c r="QQ187" s="1004"/>
      <c r="QR187" s="1004"/>
      <c r="QS187" s="1004"/>
      <c r="QT187" s="1004"/>
      <c r="QU187" s="1004"/>
      <c r="QV187" s="1004"/>
      <c r="QW187" s="1004"/>
      <c r="QX187" s="1004"/>
      <c r="QY187" s="1004"/>
      <c r="QZ187" s="1004"/>
      <c r="RA187" s="1004"/>
      <c r="RB187" s="1004"/>
      <c r="RC187" s="1004"/>
      <c r="RD187" s="1004"/>
      <c r="RE187" s="1004"/>
      <c r="RF187" s="1004"/>
      <c r="RG187" s="1004"/>
      <c r="RH187" s="1004"/>
      <c r="RI187" s="1004"/>
      <c r="RJ187" s="1004"/>
      <c r="RK187" s="1004"/>
      <c r="RL187" s="1004"/>
      <c r="RM187" s="1004"/>
      <c r="RN187" s="1004"/>
      <c r="RO187" s="1004"/>
      <c r="RP187" s="1004"/>
      <c r="RQ187" s="1004"/>
      <c r="RR187" s="1004"/>
      <c r="RS187" s="1004"/>
      <c r="RT187" s="1004"/>
      <c r="RU187" s="1004"/>
      <c r="RV187" s="1004"/>
      <c r="RW187" s="1004"/>
      <c r="RX187" s="1004"/>
      <c r="RY187" s="1004"/>
      <c r="RZ187" s="1004"/>
      <c r="SA187" s="1004"/>
      <c r="SB187" s="1004"/>
      <c r="SC187" s="1004"/>
      <c r="SD187" s="1004"/>
      <c r="SE187" s="1004"/>
      <c r="SF187" s="1004"/>
      <c r="SG187" s="1004"/>
      <c r="SH187" s="1004"/>
      <c r="SI187" s="1004"/>
      <c r="SJ187" s="1004"/>
      <c r="SK187" s="1004"/>
      <c r="SL187" s="1004"/>
      <c r="SM187" s="1004"/>
      <c r="SN187" s="1004"/>
      <c r="SO187" s="1004"/>
      <c r="SP187" s="1004"/>
      <c r="SQ187" s="1004"/>
      <c r="SR187" s="1004"/>
      <c r="SS187" s="1004"/>
      <c r="ST187" s="1004"/>
      <c r="SU187" s="1004"/>
      <c r="SV187" s="1004"/>
      <c r="SW187" s="1004"/>
      <c r="SX187" s="1004"/>
      <c r="SY187" s="1004"/>
      <c r="SZ187" s="1004"/>
      <c r="TA187" s="1004"/>
      <c r="TB187" s="1004"/>
      <c r="TC187" s="1004"/>
      <c r="TD187" s="1004"/>
      <c r="TE187" s="1004"/>
      <c r="TF187" s="1004"/>
      <c r="TG187" s="1004"/>
      <c r="TH187" s="1004"/>
      <c r="TI187" s="1004"/>
      <c r="TJ187" s="1004"/>
      <c r="TK187" s="1004"/>
      <c r="TL187" s="1004"/>
      <c r="TM187" s="1004"/>
      <c r="TN187" s="1004"/>
      <c r="TO187" s="1004"/>
      <c r="TP187" s="1004"/>
      <c r="TQ187" s="1004"/>
      <c r="TR187" s="1004"/>
      <c r="TS187" s="1004"/>
      <c r="TT187" s="1004"/>
      <c r="TU187" s="1004"/>
      <c r="TV187" s="1004"/>
      <c r="TW187" s="1004"/>
      <c r="TX187" s="1004"/>
      <c r="TY187" s="1004"/>
      <c r="TZ187" s="1004"/>
      <c r="UA187" s="1004"/>
      <c r="UB187" s="1004"/>
      <c r="UC187" s="1004"/>
      <c r="UD187" s="1004"/>
      <c r="UE187" s="1004"/>
      <c r="UF187" s="1004"/>
      <c r="UG187" s="1004"/>
      <c r="UH187" s="1004"/>
      <c r="UI187" s="1004"/>
      <c r="UJ187" s="1004"/>
      <c r="UK187" s="1004"/>
      <c r="UL187" s="1004"/>
      <c r="UM187" s="1004"/>
      <c r="UN187" s="1004"/>
      <c r="UO187" s="1004"/>
      <c r="UP187" s="1004"/>
      <c r="UQ187" s="1004"/>
      <c r="UR187" s="1004"/>
      <c r="US187" s="1004"/>
      <c r="UT187" s="1004"/>
      <c r="UU187" s="1004"/>
      <c r="UV187" s="1004"/>
      <c r="UW187" s="1004"/>
      <c r="UX187" s="1004"/>
      <c r="UY187" s="1004"/>
      <c r="UZ187" s="1004"/>
      <c r="VA187" s="1004"/>
      <c r="VB187" s="1004"/>
      <c r="VC187" s="1004"/>
      <c r="VD187" s="1004"/>
      <c r="VE187" s="1004"/>
      <c r="VF187" s="1004"/>
      <c r="VG187" s="1004"/>
      <c r="VH187" s="1004"/>
      <c r="VI187" s="1004"/>
      <c r="VJ187" s="1004"/>
      <c r="VK187" s="1004"/>
      <c r="VL187" s="1004"/>
      <c r="VM187" s="1004"/>
      <c r="VN187" s="1004"/>
      <c r="VO187" s="1004"/>
      <c r="VP187" s="1004"/>
      <c r="VQ187" s="1004"/>
      <c r="VR187" s="1004"/>
      <c r="VS187" s="1004"/>
      <c r="VT187" s="1004"/>
      <c r="VU187" s="1004"/>
      <c r="VV187" s="1004"/>
      <c r="VW187" s="1004"/>
      <c r="VX187" s="1004"/>
      <c r="VY187" s="1004"/>
      <c r="VZ187" s="1004"/>
      <c r="WA187" s="1004"/>
      <c r="WB187" s="1004"/>
      <c r="WC187" s="1004"/>
      <c r="WD187" s="1004"/>
      <c r="WE187" s="1004"/>
      <c r="WF187" s="1004"/>
      <c r="WG187" s="1004"/>
      <c r="WH187" s="1004"/>
      <c r="WI187" s="1004"/>
      <c r="WJ187" s="1004"/>
      <c r="WK187" s="1004"/>
      <c r="WL187" s="1004"/>
      <c r="WM187" s="1004"/>
      <c r="WN187" s="1004"/>
      <c r="WO187" s="1004"/>
      <c r="WP187" s="1004"/>
      <c r="WQ187" s="1004"/>
      <c r="WR187" s="1004"/>
      <c r="WS187" s="1004"/>
      <c r="WT187" s="1004"/>
      <c r="WU187" s="1004"/>
      <c r="WV187" s="1004"/>
      <c r="WW187" s="1004"/>
      <c r="WX187" s="1004"/>
      <c r="WY187" s="1004"/>
      <c r="WZ187" s="1004"/>
      <c r="XA187" s="1004"/>
      <c r="XB187" s="1004"/>
      <c r="XC187" s="1004"/>
      <c r="XD187" s="1004"/>
      <c r="XE187" s="1004"/>
      <c r="XF187" s="1004"/>
      <c r="XG187" s="1004"/>
      <c r="XH187" s="1004"/>
      <c r="XI187" s="1004"/>
      <c r="XJ187" s="1004"/>
      <c r="XK187" s="1004"/>
      <c r="XL187" s="1004"/>
      <c r="XM187" s="1004"/>
      <c r="XN187" s="1004"/>
      <c r="XO187" s="1004"/>
      <c r="XP187" s="1004"/>
      <c r="XQ187" s="1004"/>
      <c r="XR187" s="1004"/>
      <c r="XS187" s="1004"/>
      <c r="XT187" s="1004"/>
      <c r="XU187" s="1004"/>
      <c r="XV187" s="1004"/>
      <c r="XW187" s="1004"/>
      <c r="XX187" s="1004"/>
      <c r="XY187" s="1004"/>
      <c r="XZ187" s="1004"/>
      <c r="YA187" s="1004"/>
      <c r="YB187" s="1004"/>
      <c r="YC187" s="1004"/>
      <c r="YD187" s="1004"/>
      <c r="YE187" s="1004"/>
      <c r="YF187" s="1004"/>
      <c r="YG187" s="1004"/>
      <c r="YH187" s="1004"/>
      <c r="YI187" s="1004"/>
      <c r="YJ187" s="1004"/>
      <c r="YK187" s="1004"/>
      <c r="YL187" s="1004"/>
      <c r="YM187" s="1004"/>
      <c r="YN187" s="1004"/>
      <c r="YO187" s="1004"/>
      <c r="YP187" s="1004"/>
      <c r="YQ187" s="1004"/>
      <c r="YR187" s="1004"/>
      <c r="YS187" s="1004"/>
      <c r="YT187" s="1004"/>
      <c r="YU187" s="1004"/>
      <c r="YV187" s="1004"/>
      <c r="YW187" s="1004"/>
      <c r="YX187" s="1004"/>
      <c r="YY187" s="1004"/>
      <c r="YZ187" s="1004"/>
      <c r="ZA187" s="1004"/>
      <c r="ZB187" s="1004"/>
      <c r="ZC187" s="1004"/>
      <c r="ZD187" s="1004"/>
      <c r="ZE187" s="1004"/>
      <c r="ZF187" s="1004"/>
      <c r="ZG187" s="1004"/>
      <c r="ZH187" s="1004"/>
      <c r="ZI187" s="1004"/>
      <c r="ZJ187" s="1004"/>
      <c r="ZK187" s="1004"/>
      <c r="ZL187" s="1004"/>
      <c r="ZM187" s="1004"/>
      <c r="ZN187" s="1004"/>
      <c r="ZO187" s="1004"/>
      <c r="ZP187" s="1004"/>
      <c r="ZQ187" s="1004"/>
      <c r="ZR187" s="1004"/>
      <c r="ZS187" s="1004"/>
      <c r="ZT187" s="1004"/>
      <c r="ZU187" s="1004"/>
      <c r="ZV187" s="1004"/>
      <c r="ZW187" s="1004"/>
      <c r="ZX187" s="1004"/>
      <c r="ZY187" s="1004"/>
      <c r="ZZ187" s="1004"/>
      <c r="AAA187" s="1004"/>
      <c r="AAB187" s="1004"/>
      <c r="AAC187" s="1004"/>
      <c r="AAD187" s="1004"/>
      <c r="AAE187" s="1004"/>
      <c r="AAF187" s="1004"/>
      <c r="AAG187" s="1004"/>
      <c r="AAH187" s="1004"/>
      <c r="AAI187" s="1004"/>
      <c r="AAJ187" s="1004"/>
      <c r="AAK187" s="1004"/>
      <c r="AAL187" s="1004"/>
      <c r="AAM187" s="1004"/>
      <c r="AAN187" s="1004"/>
      <c r="AAO187" s="1004"/>
      <c r="AAP187" s="1004"/>
      <c r="AAQ187" s="1004"/>
      <c r="AAR187" s="1004"/>
      <c r="AAS187" s="1004"/>
      <c r="AAT187" s="1004"/>
      <c r="AAU187" s="1004"/>
      <c r="AAV187" s="1004"/>
      <c r="AAW187" s="1004"/>
      <c r="AAX187" s="1004"/>
      <c r="AAY187" s="1004"/>
      <c r="AAZ187" s="1004"/>
      <c r="ABA187" s="1004"/>
      <c r="ABB187" s="1004"/>
      <c r="ABC187" s="1004"/>
      <c r="ABD187" s="1004"/>
      <c r="ABE187" s="1004"/>
      <c r="ABF187" s="1004"/>
      <c r="ABG187" s="1004"/>
      <c r="ABH187" s="1004"/>
      <c r="ABI187" s="1004"/>
      <c r="ABJ187" s="1004"/>
      <c r="ABK187" s="1004"/>
      <c r="ABL187" s="1004"/>
      <c r="ABM187" s="1004"/>
      <c r="ABN187" s="1004"/>
      <c r="ABO187" s="1004"/>
      <c r="ABP187" s="1004"/>
      <c r="ABQ187" s="1004"/>
      <c r="ABR187" s="1004"/>
    </row>
    <row r="188" spans="1:746" s="112" customFormat="1" ht="12.75" customHeight="1">
      <c r="A188" s="924"/>
      <c r="B188" s="821" t="s">
        <v>753</v>
      </c>
      <c r="C188" s="820"/>
      <c r="D188" s="817"/>
      <c r="E188" s="817"/>
      <c r="F188" s="817"/>
      <c r="G188" s="819"/>
      <c r="H188" s="2163"/>
      <c r="I188" s="2585" t="s">
        <v>829</v>
      </c>
      <c r="J188" s="339"/>
      <c r="K188" s="339"/>
      <c r="L188" s="339"/>
      <c r="M188" s="339"/>
      <c r="N188" s="339"/>
      <c r="O188" s="339"/>
      <c r="P188" s="339"/>
      <c r="Q188" s="339"/>
      <c r="R188" s="339"/>
      <c r="S188" s="339"/>
      <c r="T188" s="985"/>
      <c r="U188" s="994"/>
      <c r="V188" s="339"/>
      <c r="W188" s="339"/>
      <c r="X188" s="339"/>
      <c r="Y188" s="339"/>
      <c r="Z188" s="339"/>
      <c r="AA188" s="339"/>
      <c r="AB188" s="339"/>
      <c r="AC188" s="339"/>
      <c r="AD188" s="339"/>
      <c r="AE188" s="339"/>
      <c r="AF188" s="340"/>
      <c r="AG188" s="337"/>
      <c r="AH188" s="375"/>
      <c r="AI188" s="375"/>
      <c r="AJ188" s="1004"/>
      <c r="AK188" s="1004"/>
      <c r="AL188" s="1004"/>
      <c r="AM188" s="1004"/>
      <c r="AN188" s="1015"/>
      <c r="AO188" s="1945"/>
      <c r="AP188" s="1935"/>
      <c r="AQ188" s="1936"/>
      <c r="AR188" s="1941"/>
      <c r="AS188" s="1941"/>
      <c r="AT188" s="1941"/>
      <c r="AU188" s="1941"/>
      <c r="AV188" s="1941"/>
      <c r="AW188" s="1941"/>
      <c r="AX188" s="1941"/>
      <c r="AY188" s="1941"/>
      <c r="AZ188" s="1941"/>
      <c r="BA188" s="1941"/>
      <c r="BB188" s="1941"/>
      <c r="BC188" s="1941"/>
      <c r="BD188" s="1941"/>
      <c r="BE188" s="1941"/>
      <c r="BF188" s="1941"/>
      <c r="BG188" s="1941"/>
      <c r="BH188" s="1941"/>
      <c r="BI188" s="1941"/>
      <c r="BJ188" s="1941"/>
      <c r="BK188" s="1941"/>
      <c r="BL188" s="1941"/>
      <c r="BM188" s="1941"/>
      <c r="BN188" s="1941"/>
      <c r="BO188" s="1941"/>
      <c r="BP188" s="1004"/>
      <c r="BQ188" s="1004"/>
      <c r="BR188" s="1004"/>
      <c r="BS188" s="1004"/>
      <c r="BT188" s="1004"/>
      <c r="BU188" s="1004"/>
      <c r="BV188" s="1004"/>
      <c r="BW188" s="1004"/>
      <c r="BX188" s="1004"/>
      <c r="BY188" s="1004"/>
      <c r="BZ188" s="1004"/>
      <c r="CA188" s="1004"/>
      <c r="CB188" s="1004"/>
      <c r="CC188" s="1004"/>
      <c r="CD188" s="1004"/>
      <c r="CE188" s="1004"/>
      <c r="CF188" s="1004"/>
      <c r="CG188" s="1004"/>
      <c r="CH188" s="1004"/>
      <c r="CI188" s="1004"/>
      <c r="CJ188" s="1004"/>
      <c r="CK188" s="1004"/>
      <c r="CL188" s="1004"/>
      <c r="CM188" s="1004"/>
      <c r="CN188" s="1004"/>
      <c r="CO188" s="1004"/>
      <c r="CP188" s="1004"/>
      <c r="CQ188" s="1004"/>
      <c r="CR188" s="1004"/>
      <c r="CS188" s="1004"/>
      <c r="CT188" s="1004"/>
      <c r="CU188" s="1004"/>
      <c r="CV188" s="1004"/>
      <c r="CW188" s="1004"/>
      <c r="CX188" s="1004"/>
      <c r="CY188" s="1004"/>
      <c r="CZ188" s="1004"/>
      <c r="DA188" s="1004"/>
      <c r="DB188" s="1004"/>
      <c r="DC188" s="1004"/>
      <c r="DD188" s="1004"/>
      <c r="DE188" s="1004"/>
      <c r="DF188" s="1004"/>
      <c r="DG188" s="1004"/>
      <c r="DH188" s="1004"/>
      <c r="DI188" s="1004"/>
      <c r="DJ188" s="1004"/>
      <c r="DK188" s="1004"/>
      <c r="DL188" s="1004"/>
      <c r="DM188" s="1004"/>
      <c r="DN188" s="1004"/>
      <c r="DO188" s="1004"/>
      <c r="DP188" s="1004"/>
      <c r="DQ188" s="1004"/>
      <c r="DR188" s="1004"/>
      <c r="DS188" s="1004"/>
      <c r="DT188" s="1004"/>
      <c r="DU188" s="1004"/>
      <c r="DV188" s="1004"/>
      <c r="DW188" s="1004"/>
      <c r="DX188" s="1004"/>
      <c r="DY188" s="1004"/>
      <c r="DZ188" s="1004"/>
      <c r="EA188" s="1004"/>
      <c r="EB188" s="1004"/>
      <c r="EC188" s="1004"/>
      <c r="ED188" s="1004"/>
      <c r="EE188" s="1004"/>
      <c r="EF188" s="1004"/>
      <c r="EG188" s="1004"/>
      <c r="EH188" s="1004"/>
      <c r="EI188" s="1004"/>
      <c r="EJ188" s="1004"/>
      <c r="EK188" s="1004"/>
      <c r="EL188" s="1004"/>
      <c r="EM188" s="1004"/>
      <c r="EN188" s="1004"/>
      <c r="EO188" s="1004"/>
      <c r="EP188" s="1004"/>
      <c r="EQ188" s="1004"/>
      <c r="ER188" s="1004"/>
      <c r="ES188" s="1004"/>
      <c r="ET188" s="1004"/>
      <c r="EU188" s="1004"/>
      <c r="EV188" s="1004"/>
      <c r="EW188" s="1004"/>
      <c r="EX188" s="1004"/>
      <c r="EY188" s="1004"/>
      <c r="EZ188" s="1004"/>
      <c r="FA188" s="1004"/>
      <c r="FB188" s="1004"/>
      <c r="FC188" s="1004"/>
      <c r="FD188" s="1004"/>
      <c r="FE188" s="1004"/>
      <c r="FF188" s="1004"/>
      <c r="FG188" s="1004"/>
      <c r="FH188" s="1004"/>
      <c r="FI188" s="1004"/>
      <c r="FJ188" s="1004"/>
      <c r="FK188" s="1004"/>
      <c r="FL188" s="1004"/>
      <c r="FM188" s="1004"/>
      <c r="FN188" s="1004"/>
      <c r="FO188" s="1004"/>
      <c r="FP188" s="1004"/>
      <c r="FQ188" s="1004"/>
      <c r="FR188" s="1004"/>
      <c r="FS188" s="1004"/>
      <c r="FT188" s="1004"/>
      <c r="FU188" s="1004"/>
      <c r="FV188" s="1004"/>
      <c r="FW188" s="1004"/>
      <c r="FX188" s="1004"/>
      <c r="FY188" s="1004"/>
      <c r="FZ188" s="1004"/>
      <c r="GA188" s="1004"/>
      <c r="GB188" s="1004"/>
      <c r="GC188" s="1004"/>
      <c r="GD188" s="1004"/>
      <c r="GE188" s="1004"/>
      <c r="GF188" s="1004"/>
      <c r="GG188" s="1004"/>
      <c r="GH188" s="1004"/>
      <c r="GI188" s="1004"/>
      <c r="GJ188" s="1004"/>
      <c r="GK188" s="1004"/>
      <c r="GL188" s="1004"/>
      <c r="GM188" s="1004"/>
      <c r="GN188" s="1004"/>
      <c r="GO188" s="1004"/>
      <c r="GP188" s="1004"/>
      <c r="GQ188" s="1004"/>
      <c r="GR188" s="1004"/>
      <c r="GS188" s="1004"/>
      <c r="GT188" s="1004"/>
      <c r="GU188" s="1004"/>
      <c r="GV188" s="1004"/>
      <c r="GW188" s="1004"/>
      <c r="GX188" s="1004"/>
      <c r="GY188" s="1004"/>
      <c r="GZ188" s="1004"/>
      <c r="HA188" s="1004"/>
      <c r="HB188" s="1004"/>
      <c r="HC188" s="1004"/>
      <c r="HD188" s="1004"/>
      <c r="HE188" s="1004"/>
      <c r="HF188" s="1004"/>
      <c r="HG188" s="1004"/>
      <c r="HH188" s="1004"/>
      <c r="HI188" s="1004"/>
      <c r="HJ188" s="1004"/>
      <c r="HK188" s="1004"/>
      <c r="HL188" s="1004"/>
      <c r="HM188" s="1004"/>
      <c r="HN188" s="1004"/>
      <c r="HO188" s="1004"/>
      <c r="HP188" s="1004"/>
      <c r="HQ188" s="1004"/>
      <c r="HR188" s="1004"/>
      <c r="HS188" s="1004"/>
      <c r="HT188" s="1004"/>
      <c r="HU188" s="1004"/>
      <c r="HV188" s="1004"/>
      <c r="HW188" s="1004"/>
      <c r="HX188" s="1004"/>
      <c r="HY188" s="1004"/>
      <c r="HZ188" s="1004"/>
      <c r="IA188" s="1004"/>
      <c r="IB188" s="1004"/>
      <c r="IC188" s="1004"/>
      <c r="ID188" s="1004"/>
      <c r="IE188" s="1004"/>
      <c r="IF188" s="1004"/>
      <c r="IG188" s="1004"/>
      <c r="IH188" s="1004"/>
      <c r="II188" s="1004"/>
      <c r="IJ188" s="1004"/>
      <c r="IK188" s="1004"/>
      <c r="IL188" s="1004"/>
      <c r="IM188" s="1004"/>
      <c r="IN188" s="1004"/>
      <c r="IO188" s="1004"/>
      <c r="IP188" s="1004"/>
      <c r="IQ188" s="1004"/>
      <c r="IR188" s="1004"/>
      <c r="IS188" s="1004"/>
      <c r="IT188" s="1004"/>
      <c r="IU188" s="1004"/>
      <c r="IV188" s="1004"/>
      <c r="IW188" s="1004"/>
      <c r="IX188" s="1004"/>
      <c r="IY188" s="1004"/>
      <c r="IZ188" s="1004"/>
      <c r="JA188" s="1004"/>
      <c r="JB188" s="1004"/>
      <c r="JC188" s="1004"/>
      <c r="JD188" s="1004"/>
      <c r="JE188" s="1004"/>
      <c r="JF188" s="1004"/>
      <c r="JG188" s="1004"/>
      <c r="JH188" s="1004"/>
      <c r="JI188" s="1004"/>
      <c r="JJ188" s="1004"/>
      <c r="JK188" s="1004"/>
      <c r="JL188" s="1004"/>
      <c r="JM188" s="1004"/>
      <c r="JN188" s="1004"/>
      <c r="JO188" s="1004"/>
      <c r="JP188" s="1004"/>
      <c r="JQ188" s="1004"/>
      <c r="JR188" s="1004"/>
      <c r="JS188" s="1004"/>
      <c r="JT188" s="1004"/>
      <c r="JU188" s="1004"/>
      <c r="JV188" s="1004"/>
      <c r="JW188" s="1004"/>
      <c r="JX188" s="1004"/>
      <c r="JY188" s="1004"/>
      <c r="JZ188" s="1004"/>
      <c r="KA188" s="1004"/>
      <c r="KB188" s="1004"/>
      <c r="KC188" s="1004"/>
      <c r="KD188" s="1004"/>
      <c r="KE188" s="1004"/>
      <c r="KF188" s="1004"/>
      <c r="KG188" s="1004"/>
      <c r="KH188" s="1004"/>
      <c r="KI188" s="1004"/>
      <c r="KJ188" s="1004"/>
      <c r="KK188" s="1004"/>
      <c r="KL188" s="1004"/>
      <c r="KM188" s="1004"/>
      <c r="KN188" s="1004"/>
      <c r="KO188" s="1004"/>
      <c r="KP188" s="1004"/>
      <c r="KQ188" s="1004"/>
      <c r="KR188" s="1004"/>
      <c r="KS188" s="1004"/>
      <c r="KT188" s="1004"/>
      <c r="KU188" s="1004"/>
      <c r="KV188" s="1004"/>
      <c r="KW188" s="1004"/>
      <c r="KX188" s="1004"/>
      <c r="KY188" s="1004"/>
      <c r="KZ188" s="1004"/>
      <c r="LA188" s="1004"/>
      <c r="LB188" s="1004"/>
      <c r="LC188" s="1004"/>
      <c r="LD188" s="1004"/>
      <c r="LE188" s="1004"/>
      <c r="LF188" s="1004"/>
      <c r="LG188" s="1004"/>
      <c r="LH188" s="1004"/>
      <c r="LI188" s="1004"/>
      <c r="LJ188" s="1004"/>
      <c r="LK188" s="1004"/>
      <c r="LL188" s="1004"/>
      <c r="LM188" s="1004"/>
      <c r="LN188" s="1004"/>
      <c r="LO188" s="1004"/>
      <c r="LP188" s="1004"/>
      <c r="LQ188" s="1004"/>
      <c r="LR188" s="1004"/>
      <c r="LS188" s="1004"/>
      <c r="LT188" s="1004"/>
      <c r="LU188" s="1004"/>
      <c r="LV188" s="1004"/>
      <c r="LW188" s="1004"/>
      <c r="LX188" s="1004"/>
      <c r="LY188" s="1004"/>
      <c r="LZ188" s="1004"/>
      <c r="MA188" s="1004"/>
      <c r="MB188" s="1004"/>
      <c r="MC188" s="1004"/>
      <c r="MD188" s="1004"/>
      <c r="ME188" s="1004"/>
      <c r="MF188" s="1004"/>
      <c r="MG188" s="1004"/>
      <c r="MH188" s="1004"/>
      <c r="MI188" s="1004"/>
      <c r="MJ188" s="1004"/>
      <c r="MK188" s="1004"/>
      <c r="ML188" s="1004"/>
      <c r="MM188" s="1004"/>
      <c r="MN188" s="1004"/>
      <c r="MO188" s="1004"/>
      <c r="MP188" s="1004"/>
      <c r="MQ188" s="1004"/>
      <c r="MR188" s="1004"/>
      <c r="MS188" s="1004"/>
      <c r="MT188" s="1004"/>
      <c r="MU188" s="1004"/>
      <c r="MV188" s="1004"/>
      <c r="MW188" s="1004"/>
      <c r="MX188" s="1004"/>
      <c r="MY188" s="1004"/>
      <c r="MZ188" s="1004"/>
      <c r="NA188" s="1004"/>
      <c r="NB188" s="1004"/>
      <c r="NC188" s="1004"/>
      <c r="ND188" s="1004"/>
      <c r="NE188" s="1004"/>
      <c r="NF188" s="1004"/>
      <c r="NG188" s="1004"/>
      <c r="NH188" s="1004"/>
      <c r="NI188" s="1004"/>
      <c r="NJ188" s="1004"/>
      <c r="NK188" s="1004"/>
      <c r="NL188" s="1004"/>
      <c r="NM188" s="1004"/>
      <c r="NN188" s="1004"/>
      <c r="NO188" s="1004"/>
      <c r="NP188" s="1004"/>
      <c r="NQ188" s="1004"/>
      <c r="NR188" s="1004"/>
      <c r="NS188" s="1004"/>
      <c r="NT188" s="1004"/>
      <c r="NU188" s="1004"/>
      <c r="NV188" s="1004"/>
      <c r="NW188" s="1004"/>
      <c r="NX188" s="1004"/>
      <c r="NY188" s="1004"/>
      <c r="NZ188" s="1004"/>
      <c r="OA188" s="1004"/>
      <c r="OB188" s="1004"/>
      <c r="OC188" s="1004"/>
      <c r="OD188" s="1004"/>
      <c r="OE188" s="1004"/>
      <c r="OF188" s="1004"/>
      <c r="OG188" s="1004"/>
      <c r="OH188" s="1004"/>
      <c r="OI188" s="1004"/>
      <c r="OJ188" s="1004"/>
      <c r="OK188" s="1004"/>
      <c r="OL188" s="1004"/>
      <c r="OM188" s="1004"/>
      <c r="ON188" s="1004"/>
      <c r="OO188" s="1004"/>
      <c r="OP188" s="1004"/>
      <c r="OQ188" s="1004"/>
      <c r="OR188" s="1004"/>
      <c r="OS188" s="1004"/>
      <c r="OT188" s="1004"/>
      <c r="OU188" s="1004"/>
      <c r="OV188" s="1004"/>
      <c r="OW188" s="1004"/>
      <c r="OX188" s="1004"/>
      <c r="OY188" s="1004"/>
      <c r="OZ188" s="1004"/>
      <c r="PA188" s="1004"/>
      <c r="PB188" s="1004"/>
      <c r="PC188" s="1004"/>
      <c r="PD188" s="1004"/>
      <c r="PE188" s="1004"/>
      <c r="PF188" s="1004"/>
      <c r="PG188" s="1004"/>
      <c r="PH188" s="1004"/>
      <c r="PI188" s="1004"/>
      <c r="PJ188" s="1004"/>
      <c r="PK188" s="1004"/>
      <c r="PL188" s="1004"/>
      <c r="PM188" s="1004"/>
      <c r="PN188" s="1004"/>
      <c r="PO188" s="1004"/>
      <c r="PP188" s="1004"/>
      <c r="PQ188" s="1004"/>
      <c r="PR188" s="1004"/>
      <c r="PS188" s="1004"/>
      <c r="PT188" s="1004"/>
      <c r="PU188" s="1004"/>
      <c r="PV188" s="1004"/>
      <c r="PW188" s="1004"/>
      <c r="PX188" s="1004"/>
      <c r="PY188" s="1004"/>
      <c r="PZ188" s="1004"/>
      <c r="QA188" s="1004"/>
      <c r="QB188" s="1004"/>
      <c r="QC188" s="1004"/>
      <c r="QD188" s="1004"/>
      <c r="QE188" s="1004"/>
      <c r="QF188" s="1004"/>
      <c r="QG188" s="1004"/>
      <c r="QH188" s="1004"/>
      <c r="QI188" s="1004"/>
      <c r="QJ188" s="1004"/>
      <c r="QK188" s="1004"/>
      <c r="QL188" s="1004"/>
      <c r="QM188" s="1004"/>
      <c r="QN188" s="1004"/>
      <c r="QO188" s="1004"/>
      <c r="QP188" s="1004"/>
      <c r="QQ188" s="1004"/>
      <c r="QR188" s="1004"/>
      <c r="QS188" s="1004"/>
      <c r="QT188" s="1004"/>
      <c r="QU188" s="1004"/>
      <c r="QV188" s="1004"/>
      <c r="QW188" s="1004"/>
      <c r="QX188" s="1004"/>
      <c r="QY188" s="1004"/>
      <c r="QZ188" s="1004"/>
      <c r="RA188" s="1004"/>
      <c r="RB188" s="1004"/>
      <c r="RC188" s="1004"/>
      <c r="RD188" s="1004"/>
      <c r="RE188" s="1004"/>
      <c r="RF188" s="1004"/>
      <c r="RG188" s="1004"/>
      <c r="RH188" s="1004"/>
      <c r="RI188" s="1004"/>
      <c r="RJ188" s="1004"/>
      <c r="RK188" s="1004"/>
      <c r="RL188" s="1004"/>
      <c r="RM188" s="1004"/>
      <c r="RN188" s="1004"/>
      <c r="RO188" s="1004"/>
      <c r="RP188" s="1004"/>
      <c r="RQ188" s="1004"/>
      <c r="RR188" s="1004"/>
      <c r="RS188" s="1004"/>
      <c r="RT188" s="1004"/>
      <c r="RU188" s="1004"/>
      <c r="RV188" s="1004"/>
      <c r="RW188" s="1004"/>
      <c r="RX188" s="1004"/>
      <c r="RY188" s="1004"/>
      <c r="RZ188" s="1004"/>
      <c r="SA188" s="1004"/>
      <c r="SB188" s="1004"/>
      <c r="SC188" s="1004"/>
      <c r="SD188" s="1004"/>
      <c r="SE188" s="1004"/>
      <c r="SF188" s="1004"/>
      <c r="SG188" s="1004"/>
      <c r="SH188" s="1004"/>
      <c r="SI188" s="1004"/>
      <c r="SJ188" s="1004"/>
      <c r="SK188" s="1004"/>
      <c r="SL188" s="1004"/>
      <c r="SM188" s="1004"/>
      <c r="SN188" s="1004"/>
      <c r="SO188" s="1004"/>
      <c r="SP188" s="1004"/>
      <c r="SQ188" s="1004"/>
      <c r="SR188" s="1004"/>
      <c r="SS188" s="1004"/>
      <c r="ST188" s="1004"/>
      <c r="SU188" s="1004"/>
      <c r="SV188" s="1004"/>
      <c r="SW188" s="1004"/>
      <c r="SX188" s="1004"/>
      <c r="SY188" s="1004"/>
      <c r="SZ188" s="1004"/>
      <c r="TA188" s="1004"/>
      <c r="TB188" s="1004"/>
      <c r="TC188" s="1004"/>
      <c r="TD188" s="1004"/>
      <c r="TE188" s="1004"/>
      <c r="TF188" s="1004"/>
      <c r="TG188" s="1004"/>
      <c r="TH188" s="1004"/>
      <c r="TI188" s="1004"/>
      <c r="TJ188" s="1004"/>
      <c r="TK188" s="1004"/>
      <c r="TL188" s="1004"/>
      <c r="TM188" s="1004"/>
      <c r="TN188" s="1004"/>
      <c r="TO188" s="1004"/>
      <c r="TP188" s="1004"/>
      <c r="TQ188" s="1004"/>
      <c r="TR188" s="1004"/>
      <c r="TS188" s="1004"/>
      <c r="TT188" s="1004"/>
      <c r="TU188" s="1004"/>
      <c r="TV188" s="1004"/>
      <c r="TW188" s="1004"/>
      <c r="TX188" s="1004"/>
      <c r="TY188" s="1004"/>
      <c r="TZ188" s="1004"/>
      <c r="UA188" s="1004"/>
      <c r="UB188" s="1004"/>
      <c r="UC188" s="1004"/>
      <c r="UD188" s="1004"/>
      <c r="UE188" s="1004"/>
      <c r="UF188" s="1004"/>
      <c r="UG188" s="1004"/>
      <c r="UH188" s="1004"/>
      <c r="UI188" s="1004"/>
      <c r="UJ188" s="1004"/>
      <c r="UK188" s="1004"/>
      <c r="UL188" s="1004"/>
      <c r="UM188" s="1004"/>
      <c r="UN188" s="1004"/>
      <c r="UO188" s="1004"/>
      <c r="UP188" s="1004"/>
      <c r="UQ188" s="1004"/>
      <c r="UR188" s="1004"/>
      <c r="US188" s="1004"/>
      <c r="UT188" s="1004"/>
      <c r="UU188" s="1004"/>
      <c r="UV188" s="1004"/>
      <c r="UW188" s="1004"/>
      <c r="UX188" s="1004"/>
      <c r="UY188" s="1004"/>
      <c r="UZ188" s="1004"/>
      <c r="VA188" s="1004"/>
      <c r="VB188" s="1004"/>
      <c r="VC188" s="1004"/>
      <c r="VD188" s="1004"/>
      <c r="VE188" s="1004"/>
      <c r="VF188" s="1004"/>
      <c r="VG188" s="1004"/>
      <c r="VH188" s="1004"/>
      <c r="VI188" s="1004"/>
      <c r="VJ188" s="1004"/>
      <c r="VK188" s="1004"/>
      <c r="VL188" s="1004"/>
      <c r="VM188" s="1004"/>
      <c r="VN188" s="1004"/>
      <c r="VO188" s="1004"/>
      <c r="VP188" s="1004"/>
      <c r="VQ188" s="1004"/>
      <c r="VR188" s="1004"/>
      <c r="VS188" s="1004"/>
      <c r="VT188" s="1004"/>
      <c r="VU188" s="1004"/>
      <c r="VV188" s="1004"/>
      <c r="VW188" s="1004"/>
      <c r="VX188" s="1004"/>
      <c r="VY188" s="1004"/>
      <c r="VZ188" s="1004"/>
      <c r="WA188" s="1004"/>
      <c r="WB188" s="1004"/>
      <c r="WC188" s="1004"/>
      <c r="WD188" s="1004"/>
      <c r="WE188" s="1004"/>
      <c r="WF188" s="1004"/>
      <c r="WG188" s="1004"/>
      <c r="WH188" s="1004"/>
      <c r="WI188" s="1004"/>
      <c r="WJ188" s="1004"/>
      <c r="WK188" s="1004"/>
      <c r="WL188" s="1004"/>
      <c r="WM188" s="1004"/>
      <c r="WN188" s="1004"/>
      <c r="WO188" s="1004"/>
      <c r="WP188" s="1004"/>
      <c r="WQ188" s="1004"/>
      <c r="WR188" s="1004"/>
      <c r="WS188" s="1004"/>
      <c r="WT188" s="1004"/>
      <c r="WU188" s="1004"/>
      <c r="WV188" s="1004"/>
      <c r="WW188" s="1004"/>
      <c r="WX188" s="1004"/>
      <c r="WY188" s="1004"/>
      <c r="WZ188" s="1004"/>
      <c r="XA188" s="1004"/>
      <c r="XB188" s="1004"/>
      <c r="XC188" s="1004"/>
      <c r="XD188" s="1004"/>
      <c r="XE188" s="1004"/>
      <c r="XF188" s="1004"/>
      <c r="XG188" s="1004"/>
      <c r="XH188" s="1004"/>
      <c r="XI188" s="1004"/>
      <c r="XJ188" s="1004"/>
      <c r="XK188" s="1004"/>
      <c r="XL188" s="1004"/>
      <c r="XM188" s="1004"/>
      <c r="XN188" s="1004"/>
      <c r="XO188" s="1004"/>
      <c r="XP188" s="1004"/>
      <c r="XQ188" s="1004"/>
      <c r="XR188" s="1004"/>
      <c r="XS188" s="1004"/>
      <c r="XT188" s="1004"/>
      <c r="XU188" s="1004"/>
      <c r="XV188" s="1004"/>
      <c r="XW188" s="1004"/>
      <c r="XX188" s="1004"/>
      <c r="XY188" s="1004"/>
      <c r="XZ188" s="1004"/>
      <c r="YA188" s="1004"/>
      <c r="YB188" s="1004"/>
      <c r="YC188" s="1004"/>
      <c r="YD188" s="1004"/>
      <c r="YE188" s="1004"/>
      <c r="YF188" s="1004"/>
      <c r="YG188" s="1004"/>
      <c r="YH188" s="1004"/>
      <c r="YI188" s="1004"/>
      <c r="YJ188" s="1004"/>
      <c r="YK188" s="1004"/>
      <c r="YL188" s="1004"/>
      <c r="YM188" s="1004"/>
      <c r="YN188" s="1004"/>
      <c r="YO188" s="1004"/>
      <c r="YP188" s="1004"/>
      <c r="YQ188" s="1004"/>
      <c r="YR188" s="1004"/>
      <c r="YS188" s="1004"/>
      <c r="YT188" s="1004"/>
      <c r="YU188" s="1004"/>
      <c r="YV188" s="1004"/>
      <c r="YW188" s="1004"/>
      <c r="YX188" s="1004"/>
      <c r="YY188" s="1004"/>
      <c r="YZ188" s="1004"/>
      <c r="ZA188" s="1004"/>
      <c r="ZB188" s="1004"/>
      <c r="ZC188" s="1004"/>
      <c r="ZD188" s="1004"/>
      <c r="ZE188" s="1004"/>
      <c r="ZF188" s="1004"/>
      <c r="ZG188" s="1004"/>
      <c r="ZH188" s="1004"/>
      <c r="ZI188" s="1004"/>
      <c r="ZJ188" s="1004"/>
      <c r="ZK188" s="1004"/>
      <c r="ZL188" s="1004"/>
      <c r="ZM188" s="1004"/>
      <c r="ZN188" s="1004"/>
      <c r="ZO188" s="1004"/>
      <c r="ZP188" s="1004"/>
      <c r="ZQ188" s="1004"/>
      <c r="ZR188" s="1004"/>
      <c r="ZS188" s="1004"/>
      <c r="ZT188" s="1004"/>
      <c r="ZU188" s="1004"/>
      <c r="ZV188" s="1004"/>
      <c r="ZW188" s="1004"/>
      <c r="ZX188" s="1004"/>
      <c r="ZY188" s="1004"/>
      <c r="ZZ188" s="1004"/>
      <c r="AAA188" s="1004"/>
      <c r="AAB188" s="1004"/>
      <c r="AAC188" s="1004"/>
      <c r="AAD188" s="1004"/>
      <c r="AAE188" s="1004"/>
      <c r="AAF188" s="1004"/>
      <c r="AAG188" s="1004"/>
      <c r="AAH188" s="1004"/>
      <c r="AAI188" s="1004"/>
      <c r="AAJ188" s="1004"/>
      <c r="AAK188" s="1004"/>
      <c r="AAL188" s="1004"/>
      <c r="AAM188" s="1004"/>
      <c r="AAN188" s="1004"/>
      <c r="AAO188" s="1004"/>
      <c r="AAP188" s="1004"/>
      <c r="AAQ188" s="1004"/>
      <c r="AAR188" s="1004"/>
      <c r="AAS188" s="1004"/>
      <c r="AAT188" s="1004"/>
      <c r="AAU188" s="1004"/>
      <c r="AAV188" s="1004"/>
      <c r="AAW188" s="1004"/>
      <c r="AAX188" s="1004"/>
      <c r="AAY188" s="1004"/>
      <c r="AAZ188" s="1004"/>
      <c r="ABA188" s="1004"/>
      <c r="ABB188" s="1004"/>
      <c r="ABC188" s="1004"/>
      <c r="ABD188" s="1004"/>
      <c r="ABE188" s="1004"/>
      <c r="ABF188" s="1004"/>
      <c r="ABG188" s="1004"/>
      <c r="ABH188" s="1004"/>
      <c r="ABI188" s="1004"/>
      <c r="ABJ188" s="1004"/>
      <c r="ABK188" s="1004"/>
      <c r="ABL188" s="1004"/>
      <c r="ABM188" s="1004"/>
      <c r="ABN188" s="1004"/>
      <c r="ABO188" s="1004"/>
      <c r="ABP188" s="1004"/>
      <c r="ABQ188" s="1004"/>
      <c r="ABR188" s="1004"/>
    </row>
    <row r="189" spans="1:746" s="112" customFormat="1" ht="12" customHeight="1">
      <c r="A189" s="924"/>
      <c r="B189" s="971" t="s">
        <v>1398</v>
      </c>
      <c r="C189" s="818"/>
      <c r="D189" s="824"/>
      <c r="E189" s="824"/>
      <c r="F189" s="824"/>
      <c r="G189" s="825"/>
      <c r="H189" s="825"/>
      <c r="I189" s="2586" t="s">
        <v>1397</v>
      </c>
      <c r="J189" s="816"/>
      <c r="K189" s="816"/>
      <c r="L189" s="816"/>
      <c r="M189" s="816"/>
      <c r="N189" s="816"/>
      <c r="O189" s="816"/>
      <c r="P189" s="816"/>
      <c r="Q189" s="816"/>
      <c r="R189" s="816"/>
      <c r="S189" s="816"/>
      <c r="T189" s="987"/>
      <c r="U189" s="997"/>
      <c r="V189" s="816"/>
      <c r="W189" s="816"/>
      <c r="X189" s="816"/>
      <c r="Y189" s="816"/>
      <c r="Z189" s="816"/>
      <c r="AA189" s="816"/>
      <c r="AB189" s="816"/>
      <c r="AC189" s="816"/>
      <c r="AD189" s="816"/>
      <c r="AE189" s="816"/>
      <c r="AF189" s="798"/>
      <c r="AG189" s="337"/>
      <c r="AH189" s="375"/>
      <c r="AI189" s="375"/>
      <c r="AJ189" s="1004"/>
      <c r="AK189" s="1004"/>
      <c r="AL189" s="1004"/>
      <c r="AM189" s="1004"/>
      <c r="AN189" s="1015"/>
      <c r="AO189" s="1945"/>
      <c r="AP189" s="1935"/>
      <c r="AQ189" s="1936"/>
      <c r="AR189" s="1941"/>
      <c r="AS189" s="1941"/>
      <c r="AT189" s="1941"/>
      <c r="AU189" s="1941"/>
      <c r="AV189" s="1941"/>
      <c r="AW189" s="1941"/>
      <c r="AX189" s="1941"/>
      <c r="AY189" s="1941"/>
      <c r="AZ189" s="1941"/>
      <c r="BA189" s="1941"/>
      <c r="BB189" s="1941"/>
      <c r="BC189" s="1941"/>
      <c r="BD189" s="1941"/>
      <c r="BE189" s="1941"/>
      <c r="BF189" s="1941"/>
      <c r="BG189" s="1941"/>
      <c r="BH189" s="1941"/>
      <c r="BI189" s="1941"/>
      <c r="BJ189" s="1941"/>
      <c r="BK189" s="1941"/>
      <c r="BL189" s="1941"/>
      <c r="BM189" s="1941"/>
      <c r="BN189" s="1941"/>
      <c r="BO189" s="1941"/>
      <c r="BP189" s="1004"/>
      <c r="BQ189" s="1004"/>
      <c r="BR189" s="1004"/>
      <c r="BS189" s="1004"/>
      <c r="BT189" s="1004"/>
      <c r="BU189" s="1004"/>
      <c r="BV189" s="1004"/>
      <c r="BW189" s="1004"/>
      <c r="BX189" s="1004"/>
      <c r="BY189" s="1004"/>
      <c r="BZ189" s="1004"/>
      <c r="CA189" s="1004"/>
      <c r="CB189" s="1004"/>
      <c r="CC189" s="1004"/>
      <c r="CD189" s="1004"/>
      <c r="CE189" s="1004"/>
      <c r="CF189" s="1004"/>
      <c r="CG189" s="1004"/>
      <c r="CH189" s="1004"/>
      <c r="CI189" s="1004"/>
      <c r="CJ189" s="1004"/>
      <c r="CK189" s="1004"/>
      <c r="CL189" s="1004"/>
      <c r="CM189" s="1004"/>
      <c r="CN189" s="1004"/>
      <c r="CO189" s="1004"/>
      <c r="CP189" s="1004"/>
      <c r="CQ189" s="1004"/>
      <c r="CR189" s="1004"/>
      <c r="CS189" s="1004"/>
      <c r="CT189" s="1004"/>
      <c r="CU189" s="1004"/>
      <c r="CV189" s="1004"/>
      <c r="CW189" s="1004"/>
      <c r="CX189" s="1004"/>
      <c r="CY189" s="1004"/>
      <c r="CZ189" s="1004"/>
      <c r="DA189" s="1004"/>
      <c r="DB189" s="1004"/>
      <c r="DC189" s="1004"/>
      <c r="DD189" s="1004"/>
      <c r="DE189" s="1004"/>
      <c r="DF189" s="1004"/>
      <c r="DG189" s="1004"/>
      <c r="DH189" s="1004"/>
      <c r="DI189" s="1004"/>
      <c r="DJ189" s="1004"/>
      <c r="DK189" s="1004"/>
      <c r="DL189" s="1004"/>
      <c r="DM189" s="1004"/>
      <c r="DN189" s="1004"/>
      <c r="DO189" s="1004"/>
      <c r="DP189" s="1004"/>
      <c r="DQ189" s="1004"/>
      <c r="DR189" s="1004"/>
      <c r="DS189" s="1004"/>
      <c r="DT189" s="1004"/>
      <c r="DU189" s="1004"/>
      <c r="DV189" s="1004"/>
      <c r="DW189" s="1004"/>
      <c r="DX189" s="1004"/>
      <c r="DY189" s="1004"/>
      <c r="DZ189" s="1004"/>
      <c r="EA189" s="1004"/>
      <c r="EB189" s="1004"/>
      <c r="EC189" s="1004"/>
      <c r="ED189" s="1004"/>
      <c r="EE189" s="1004"/>
      <c r="EF189" s="1004"/>
      <c r="EG189" s="1004"/>
      <c r="EH189" s="1004"/>
      <c r="EI189" s="1004"/>
      <c r="EJ189" s="1004"/>
      <c r="EK189" s="1004"/>
      <c r="EL189" s="1004"/>
      <c r="EM189" s="1004"/>
      <c r="EN189" s="1004"/>
      <c r="EO189" s="1004"/>
      <c r="EP189" s="1004"/>
      <c r="EQ189" s="1004"/>
      <c r="ER189" s="1004"/>
      <c r="ES189" s="1004"/>
      <c r="ET189" s="1004"/>
      <c r="EU189" s="1004"/>
      <c r="EV189" s="1004"/>
      <c r="EW189" s="1004"/>
      <c r="EX189" s="1004"/>
      <c r="EY189" s="1004"/>
      <c r="EZ189" s="1004"/>
      <c r="FA189" s="1004"/>
      <c r="FB189" s="1004"/>
      <c r="FC189" s="1004"/>
      <c r="FD189" s="1004"/>
      <c r="FE189" s="1004"/>
      <c r="FF189" s="1004"/>
      <c r="FG189" s="1004"/>
      <c r="FH189" s="1004"/>
      <c r="FI189" s="1004"/>
      <c r="FJ189" s="1004"/>
      <c r="FK189" s="1004"/>
      <c r="FL189" s="1004"/>
      <c r="FM189" s="1004"/>
      <c r="FN189" s="1004"/>
      <c r="FO189" s="1004"/>
      <c r="FP189" s="1004"/>
      <c r="FQ189" s="1004"/>
      <c r="FR189" s="1004"/>
      <c r="FS189" s="1004"/>
      <c r="FT189" s="1004"/>
      <c r="FU189" s="1004"/>
      <c r="FV189" s="1004"/>
      <c r="FW189" s="1004"/>
      <c r="FX189" s="1004"/>
      <c r="FY189" s="1004"/>
      <c r="FZ189" s="1004"/>
      <c r="GA189" s="1004"/>
      <c r="GB189" s="1004"/>
      <c r="GC189" s="1004"/>
      <c r="GD189" s="1004"/>
      <c r="GE189" s="1004"/>
      <c r="GF189" s="1004"/>
      <c r="GG189" s="1004"/>
      <c r="GH189" s="1004"/>
      <c r="GI189" s="1004"/>
      <c r="GJ189" s="1004"/>
      <c r="GK189" s="1004"/>
      <c r="GL189" s="1004"/>
      <c r="GM189" s="1004"/>
      <c r="GN189" s="1004"/>
      <c r="GO189" s="1004"/>
      <c r="GP189" s="1004"/>
      <c r="GQ189" s="1004"/>
      <c r="GR189" s="1004"/>
      <c r="GS189" s="1004"/>
      <c r="GT189" s="1004"/>
      <c r="GU189" s="1004"/>
      <c r="GV189" s="1004"/>
      <c r="GW189" s="1004"/>
      <c r="GX189" s="1004"/>
      <c r="GY189" s="1004"/>
      <c r="GZ189" s="1004"/>
      <c r="HA189" s="1004"/>
      <c r="HB189" s="1004"/>
      <c r="HC189" s="1004"/>
      <c r="HD189" s="1004"/>
      <c r="HE189" s="1004"/>
      <c r="HF189" s="1004"/>
      <c r="HG189" s="1004"/>
      <c r="HH189" s="1004"/>
      <c r="HI189" s="1004"/>
      <c r="HJ189" s="1004"/>
      <c r="HK189" s="1004"/>
      <c r="HL189" s="1004"/>
      <c r="HM189" s="1004"/>
      <c r="HN189" s="1004"/>
      <c r="HO189" s="1004"/>
      <c r="HP189" s="1004"/>
      <c r="HQ189" s="1004"/>
      <c r="HR189" s="1004"/>
      <c r="HS189" s="1004"/>
      <c r="HT189" s="1004"/>
      <c r="HU189" s="1004"/>
      <c r="HV189" s="1004"/>
      <c r="HW189" s="1004"/>
      <c r="HX189" s="1004"/>
      <c r="HY189" s="1004"/>
      <c r="HZ189" s="1004"/>
      <c r="IA189" s="1004"/>
      <c r="IB189" s="1004"/>
      <c r="IC189" s="1004"/>
      <c r="ID189" s="1004"/>
      <c r="IE189" s="1004"/>
      <c r="IF189" s="1004"/>
      <c r="IG189" s="1004"/>
      <c r="IH189" s="1004"/>
      <c r="II189" s="1004"/>
      <c r="IJ189" s="1004"/>
      <c r="IK189" s="1004"/>
      <c r="IL189" s="1004"/>
      <c r="IM189" s="1004"/>
      <c r="IN189" s="1004"/>
      <c r="IO189" s="1004"/>
      <c r="IP189" s="1004"/>
      <c r="IQ189" s="1004"/>
      <c r="IR189" s="1004"/>
      <c r="IS189" s="1004"/>
      <c r="IT189" s="1004"/>
      <c r="IU189" s="1004"/>
      <c r="IV189" s="1004"/>
      <c r="IW189" s="1004"/>
      <c r="IX189" s="1004"/>
      <c r="IY189" s="1004"/>
      <c r="IZ189" s="1004"/>
      <c r="JA189" s="1004"/>
      <c r="JB189" s="1004"/>
      <c r="JC189" s="1004"/>
      <c r="JD189" s="1004"/>
      <c r="JE189" s="1004"/>
      <c r="JF189" s="1004"/>
      <c r="JG189" s="1004"/>
      <c r="JH189" s="1004"/>
      <c r="JI189" s="1004"/>
      <c r="JJ189" s="1004"/>
      <c r="JK189" s="1004"/>
      <c r="JL189" s="1004"/>
      <c r="JM189" s="1004"/>
      <c r="JN189" s="1004"/>
      <c r="JO189" s="1004"/>
      <c r="JP189" s="1004"/>
      <c r="JQ189" s="1004"/>
      <c r="JR189" s="1004"/>
      <c r="JS189" s="1004"/>
      <c r="JT189" s="1004"/>
      <c r="JU189" s="1004"/>
      <c r="JV189" s="1004"/>
      <c r="JW189" s="1004"/>
      <c r="JX189" s="1004"/>
      <c r="JY189" s="1004"/>
      <c r="JZ189" s="1004"/>
      <c r="KA189" s="1004"/>
      <c r="KB189" s="1004"/>
      <c r="KC189" s="1004"/>
      <c r="KD189" s="1004"/>
      <c r="KE189" s="1004"/>
      <c r="KF189" s="1004"/>
      <c r="KG189" s="1004"/>
      <c r="KH189" s="1004"/>
      <c r="KI189" s="1004"/>
      <c r="KJ189" s="1004"/>
      <c r="KK189" s="1004"/>
      <c r="KL189" s="1004"/>
      <c r="KM189" s="1004"/>
      <c r="KN189" s="1004"/>
      <c r="KO189" s="1004"/>
      <c r="KP189" s="1004"/>
      <c r="KQ189" s="1004"/>
      <c r="KR189" s="1004"/>
      <c r="KS189" s="1004"/>
      <c r="KT189" s="1004"/>
      <c r="KU189" s="1004"/>
      <c r="KV189" s="1004"/>
      <c r="KW189" s="1004"/>
      <c r="KX189" s="1004"/>
      <c r="KY189" s="1004"/>
      <c r="KZ189" s="1004"/>
      <c r="LA189" s="1004"/>
      <c r="LB189" s="1004"/>
      <c r="LC189" s="1004"/>
      <c r="LD189" s="1004"/>
      <c r="LE189" s="1004"/>
      <c r="LF189" s="1004"/>
      <c r="LG189" s="1004"/>
      <c r="LH189" s="1004"/>
      <c r="LI189" s="1004"/>
      <c r="LJ189" s="1004"/>
      <c r="LK189" s="1004"/>
      <c r="LL189" s="1004"/>
      <c r="LM189" s="1004"/>
      <c r="LN189" s="1004"/>
      <c r="LO189" s="1004"/>
      <c r="LP189" s="1004"/>
      <c r="LQ189" s="1004"/>
      <c r="LR189" s="1004"/>
      <c r="LS189" s="1004"/>
      <c r="LT189" s="1004"/>
      <c r="LU189" s="1004"/>
      <c r="LV189" s="1004"/>
      <c r="LW189" s="1004"/>
      <c r="LX189" s="1004"/>
      <c r="LY189" s="1004"/>
      <c r="LZ189" s="1004"/>
      <c r="MA189" s="1004"/>
      <c r="MB189" s="1004"/>
      <c r="MC189" s="1004"/>
      <c r="MD189" s="1004"/>
      <c r="ME189" s="1004"/>
      <c r="MF189" s="1004"/>
      <c r="MG189" s="1004"/>
      <c r="MH189" s="1004"/>
      <c r="MI189" s="1004"/>
      <c r="MJ189" s="1004"/>
      <c r="MK189" s="1004"/>
      <c r="ML189" s="1004"/>
      <c r="MM189" s="1004"/>
      <c r="MN189" s="1004"/>
      <c r="MO189" s="1004"/>
      <c r="MP189" s="1004"/>
      <c r="MQ189" s="1004"/>
      <c r="MR189" s="1004"/>
      <c r="MS189" s="1004"/>
      <c r="MT189" s="1004"/>
      <c r="MU189" s="1004"/>
      <c r="MV189" s="1004"/>
      <c r="MW189" s="1004"/>
      <c r="MX189" s="1004"/>
      <c r="MY189" s="1004"/>
      <c r="MZ189" s="1004"/>
      <c r="NA189" s="1004"/>
      <c r="NB189" s="1004"/>
      <c r="NC189" s="1004"/>
      <c r="ND189" s="1004"/>
      <c r="NE189" s="1004"/>
      <c r="NF189" s="1004"/>
      <c r="NG189" s="1004"/>
      <c r="NH189" s="1004"/>
      <c r="NI189" s="1004"/>
      <c r="NJ189" s="1004"/>
      <c r="NK189" s="1004"/>
      <c r="NL189" s="1004"/>
      <c r="NM189" s="1004"/>
      <c r="NN189" s="1004"/>
      <c r="NO189" s="1004"/>
      <c r="NP189" s="1004"/>
      <c r="NQ189" s="1004"/>
      <c r="NR189" s="1004"/>
      <c r="NS189" s="1004"/>
      <c r="NT189" s="1004"/>
      <c r="NU189" s="1004"/>
      <c r="NV189" s="1004"/>
      <c r="NW189" s="1004"/>
      <c r="NX189" s="1004"/>
      <c r="NY189" s="1004"/>
      <c r="NZ189" s="1004"/>
      <c r="OA189" s="1004"/>
      <c r="OB189" s="1004"/>
      <c r="OC189" s="1004"/>
      <c r="OD189" s="1004"/>
      <c r="OE189" s="1004"/>
      <c r="OF189" s="1004"/>
      <c r="OG189" s="1004"/>
      <c r="OH189" s="1004"/>
      <c r="OI189" s="1004"/>
      <c r="OJ189" s="1004"/>
      <c r="OK189" s="1004"/>
      <c r="OL189" s="1004"/>
      <c r="OM189" s="1004"/>
      <c r="ON189" s="1004"/>
      <c r="OO189" s="1004"/>
      <c r="OP189" s="1004"/>
      <c r="OQ189" s="1004"/>
      <c r="OR189" s="1004"/>
      <c r="OS189" s="1004"/>
      <c r="OT189" s="1004"/>
      <c r="OU189" s="1004"/>
      <c r="OV189" s="1004"/>
      <c r="OW189" s="1004"/>
      <c r="OX189" s="1004"/>
      <c r="OY189" s="1004"/>
      <c r="OZ189" s="1004"/>
      <c r="PA189" s="1004"/>
      <c r="PB189" s="1004"/>
      <c r="PC189" s="1004"/>
      <c r="PD189" s="1004"/>
      <c r="PE189" s="1004"/>
      <c r="PF189" s="1004"/>
      <c r="PG189" s="1004"/>
      <c r="PH189" s="1004"/>
      <c r="PI189" s="1004"/>
      <c r="PJ189" s="1004"/>
      <c r="PK189" s="1004"/>
      <c r="PL189" s="1004"/>
      <c r="PM189" s="1004"/>
      <c r="PN189" s="1004"/>
      <c r="PO189" s="1004"/>
      <c r="PP189" s="1004"/>
      <c r="PQ189" s="1004"/>
      <c r="PR189" s="1004"/>
      <c r="PS189" s="1004"/>
      <c r="PT189" s="1004"/>
      <c r="PU189" s="1004"/>
      <c r="PV189" s="1004"/>
      <c r="PW189" s="1004"/>
      <c r="PX189" s="1004"/>
      <c r="PY189" s="1004"/>
      <c r="PZ189" s="1004"/>
      <c r="QA189" s="1004"/>
      <c r="QB189" s="1004"/>
      <c r="QC189" s="1004"/>
      <c r="QD189" s="1004"/>
      <c r="QE189" s="1004"/>
      <c r="QF189" s="1004"/>
      <c r="QG189" s="1004"/>
      <c r="QH189" s="1004"/>
      <c r="QI189" s="1004"/>
      <c r="QJ189" s="1004"/>
      <c r="QK189" s="1004"/>
      <c r="QL189" s="1004"/>
      <c r="QM189" s="1004"/>
      <c r="QN189" s="1004"/>
      <c r="QO189" s="1004"/>
      <c r="QP189" s="1004"/>
      <c r="QQ189" s="1004"/>
      <c r="QR189" s="1004"/>
      <c r="QS189" s="1004"/>
      <c r="QT189" s="1004"/>
      <c r="QU189" s="1004"/>
      <c r="QV189" s="1004"/>
      <c r="QW189" s="1004"/>
      <c r="QX189" s="1004"/>
      <c r="QY189" s="1004"/>
      <c r="QZ189" s="1004"/>
      <c r="RA189" s="1004"/>
      <c r="RB189" s="1004"/>
      <c r="RC189" s="1004"/>
      <c r="RD189" s="1004"/>
      <c r="RE189" s="1004"/>
      <c r="RF189" s="1004"/>
      <c r="RG189" s="1004"/>
      <c r="RH189" s="1004"/>
      <c r="RI189" s="1004"/>
      <c r="RJ189" s="1004"/>
      <c r="RK189" s="1004"/>
      <c r="RL189" s="1004"/>
      <c r="RM189" s="1004"/>
      <c r="RN189" s="1004"/>
      <c r="RO189" s="1004"/>
      <c r="RP189" s="1004"/>
      <c r="RQ189" s="1004"/>
      <c r="RR189" s="1004"/>
      <c r="RS189" s="1004"/>
      <c r="RT189" s="1004"/>
      <c r="RU189" s="1004"/>
      <c r="RV189" s="1004"/>
      <c r="RW189" s="1004"/>
      <c r="RX189" s="1004"/>
      <c r="RY189" s="1004"/>
      <c r="RZ189" s="1004"/>
      <c r="SA189" s="1004"/>
      <c r="SB189" s="1004"/>
      <c r="SC189" s="1004"/>
      <c r="SD189" s="1004"/>
      <c r="SE189" s="1004"/>
      <c r="SF189" s="1004"/>
      <c r="SG189" s="1004"/>
      <c r="SH189" s="1004"/>
      <c r="SI189" s="1004"/>
      <c r="SJ189" s="1004"/>
      <c r="SK189" s="1004"/>
      <c r="SL189" s="1004"/>
      <c r="SM189" s="1004"/>
      <c r="SN189" s="1004"/>
      <c r="SO189" s="1004"/>
      <c r="SP189" s="1004"/>
      <c r="SQ189" s="1004"/>
      <c r="SR189" s="1004"/>
      <c r="SS189" s="1004"/>
      <c r="ST189" s="1004"/>
      <c r="SU189" s="1004"/>
      <c r="SV189" s="1004"/>
      <c r="SW189" s="1004"/>
      <c r="SX189" s="1004"/>
      <c r="SY189" s="1004"/>
      <c r="SZ189" s="1004"/>
      <c r="TA189" s="1004"/>
      <c r="TB189" s="1004"/>
      <c r="TC189" s="1004"/>
      <c r="TD189" s="1004"/>
      <c r="TE189" s="1004"/>
      <c r="TF189" s="1004"/>
      <c r="TG189" s="1004"/>
      <c r="TH189" s="1004"/>
      <c r="TI189" s="1004"/>
      <c r="TJ189" s="1004"/>
      <c r="TK189" s="1004"/>
      <c r="TL189" s="1004"/>
      <c r="TM189" s="1004"/>
      <c r="TN189" s="1004"/>
      <c r="TO189" s="1004"/>
      <c r="TP189" s="1004"/>
      <c r="TQ189" s="1004"/>
      <c r="TR189" s="1004"/>
      <c r="TS189" s="1004"/>
      <c r="TT189" s="1004"/>
      <c r="TU189" s="1004"/>
      <c r="TV189" s="1004"/>
      <c r="TW189" s="1004"/>
      <c r="TX189" s="1004"/>
      <c r="TY189" s="1004"/>
      <c r="TZ189" s="1004"/>
      <c r="UA189" s="1004"/>
      <c r="UB189" s="1004"/>
      <c r="UC189" s="1004"/>
      <c r="UD189" s="1004"/>
      <c r="UE189" s="1004"/>
      <c r="UF189" s="1004"/>
      <c r="UG189" s="1004"/>
      <c r="UH189" s="1004"/>
      <c r="UI189" s="1004"/>
      <c r="UJ189" s="1004"/>
      <c r="UK189" s="1004"/>
      <c r="UL189" s="1004"/>
      <c r="UM189" s="1004"/>
      <c r="UN189" s="1004"/>
      <c r="UO189" s="1004"/>
      <c r="UP189" s="1004"/>
      <c r="UQ189" s="1004"/>
      <c r="UR189" s="1004"/>
      <c r="US189" s="1004"/>
      <c r="UT189" s="1004"/>
      <c r="UU189" s="1004"/>
      <c r="UV189" s="1004"/>
      <c r="UW189" s="1004"/>
      <c r="UX189" s="1004"/>
      <c r="UY189" s="1004"/>
      <c r="UZ189" s="1004"/>
      <c r="VA189" s="1004"/>
      <c r="VB189" s="1004"/>
      <c r="VC189" s="1004"/>
      <c r="VD189" s="1004"/>
      <c r="VE189" s="1004"/>
      <c r="VF189" s="1004"/>
      <c r="VG189" s="1004"/>
      <c r="VH189" s="1004"/>
      <c r="VI189" s="1004"/>
      <c r="VJ189" s="1004"/>
      <c r="VK189" s="1004"/>
      <c r="VL189" s="1004"/>
      <c r="VM189" s="1004"/>
      <c r="VN189" s="1004"/>
      <c r="VO189" s="1004"/>
      <c r="VP189" s="1004"/>
      <c r="VQ189" s="1004"/>
      <c r="VR189" s="1004"/>
      <c r="VS189" s="1004"/>
      <c r="VT189" s="1004"/>
      <c r="VU189" s="1004"/>
      <c r="VV189" s="1004"/>
      <c r="VW189" s="1004"/>
      <c r="VX189" s="1004"/>
      <c r="VY189" s="1004"/>
      <c r="VZ189" s="1004"/>
      <c r="WA189" s="1004"/>
      <c r="WB189" s="1004"/>
      <c r="WC189" s="1004"/>
      <c r="WD189" s="1004"/>
      <c r="WE189" s="1004"/>
      <c r="WF189" s="1004"/>
      <c r="WG189" s="1004"/>
      <c r="WH189" s="1004"/>
      <c r="WI189" s="1004"/>
      <c r="WJ189" s="1004"/>
      <c r="WK189" s="1004"/>
      <c r="WL189" s="1004"/>
      <c r="WM189" s="1004"/>
      <c r="WN189" s="1004"/>
      <c r="WO189" s="1004"/>
      <c r="WP189" s="1004"/>
      <c r="WQ189" s="1004"/>
      <c r="WR189" s="1004"/>
      <c r="WS189" s="1004"/>
      <c r="WT189" s="1004"/>
      <c r="WU189" s="1004"/>
      <c r="WV189" s="1004"/>
      <c r="WW189" s="1004"/>
      <c r="WX189" s="1004"/>
      <c r="WY189" s="1004"/>
      <c r="WZ189" s="1004"/>
      <c r="XA189" s="1004"/>
      <c r="XB189" s="1004"/>
      <c r="XC189" s="1004"/>
      <c r="XD189" s="1004"/>
      <c r="XE189" s="1004"/>
      <c r="XF189" s="1004"/>
      <c r="XG189" s="1004"/>
      <c r="XH189" s="1004"/>
      <c r="XI189" s="1004"/>
      <c r="XJ189" s="1004"/>
      <c r="XK189" s="1004"/>
      <c r="XL189" s="1004"/>
      <c r="XM189" s="1004"/>
      <c r="XN189" s="1004"/>
      <c r="XO189" s="1004"/>
      <c r="XP189" s="1004"/>
      <c r="XQ189" s="1004"/>
      <c r="XR189" s="1004"/>
      <c r="XS189" s="1004"/>
      <c r="XT189" s="1004"/>
      <c r="XU189" s="1004"/>
      <c r="XV189" s="1004"/>
      <c r="XW189" s="1004"/>
      <c r="XX189" s="1004"/>
      <c r="XY189" s="1004"/>
      <c r="XZ189" s="1004"/>
      <c r="YA189" s="1004"/>
      <c r="YB189" s="1004"/>
      <c r="YC189" s="1004"/>
      <c r="YD189" s="1004"/>
      <c r="YE189" s="1004"/>
      <c r="YF189" s="1004"/>
      <c r="YG189" s="1004"/>
      <c r="YH189" s="1004"/>
      <c r="YI189" s="1004"/>
      <c r="YJ189" s="1004"/>
      <c r="YK189" s="1004"/>
      <c r="YL189" s="1004"/>
      <c r="YM189" s="1004"/>
      <c r="YN189" s="1004"/>
      <c r="YO189" s="1004"/>
      <c r="YP189" s="1004"/>
      <c r="YQ189" s="1004"/>
      <c r="YR189" s="1004"/>
      <c r="YS189" s="1004"/>
      <c r="YT189" s="1004"/>
      <c r="YU189" s="1004"/>
      <c r="YV189" s="1004"/>
      <c r="YW189" s="1004"/>
      <c r="YX189" s="1004"/>
      <c r="YY189" s="1004"/>
      <c r="YZ189" s="1004"/>
      <c r="ZA189" s="1004"/>
      <c r="ZB189" s="1004"/>
      <c r="ZC189" s="1004"/>
      <c r="ZD189" s="1004"/>
      <c r="ZE189" s="1004"/>
      <c r="ZF189" s="1004"/>
      <c r="ZG189" s="1004"/>
      <c r="ZH189" s="1004"/>
      <c r="ZI189" s="1004"/>
      <c r="ZJ189" s="1004"/>
      <c r="ZK189" s="1004"/>
      <c r="ZL189" s="1004"/>
      <c r="ZM189" s="1004"/>
      <c r="ZN189" s="1004"/>
      <c r="ZO189" s="1004"/>
      <c r="ZP189" s="1004"/>
      <c r="ZQ189" s="1004"/>
      <c r="ZR189" s="1004"/>
      <c r="ZS189" s="1004"/>
      <c r="ZT189" s="1004"/>
      <c r="ZU189" s="1004"/>
      <c r="ZV189" s="1004"/>
      <c r="ZW189" s="1004"/>
      <c r="ZX189" s="1004"/>
      <c r="ZY189" s="1004"/>
      <c r="ZZ189" s="1004"/>
      <c r="AAA189" s="1004"/>
      <c r="AAB189" s="1004"/>
      <c r="AAC189" s="1004"/>
      <c r="AAD189" s="1004"/>
      <c r="AAE189" s="1004"/>
      <c r="AAF189" s="1004"/>
      <c r="AAG189" s="1004"/>
      <c r="AAH189" s="1004"/>
      <c r="AAI189" s="1004"/>
      <c r="AAJ189" s="1004"/>
      <c r="AAK189" s="1004"/>
      <c r="AAL189" s="1004"/>
      <c r="AAM189" s="1004"/>
      <c r="AAN189" s="1004"/>
      <c r="AAO189" s="1004"/>
      <c r="AAP189" s="1004"/>
      <c r="AAQ189" s="1004"/>
      <c r="AAR189" s="1004"/>
      <c r="AAS189" s="1004"/>
      <c r="AAT189" s="1004"/>
      <c r="AAU189" s="1004"/>
      <c r="AAV189" s="1004"/>
      <c r="AAW189" s="1004"/>
      <c r="AAX189" s="1004"/>
      <c r="AAY189" s="1004"/>
      <c r="AAZ189" s="1004"/>
      <c r="ABA189" s="1004"/>
      <c r="ABB189" s="1004"/>
      <c r="ABC189" s="1004"/>
      <c r="ABD189" s="1004"/>
      <c r="ABE189" s="1004"/>
      <c r="ABF189" s="1004"/>
      <c r="ABG189" s="1004"/>
      <c r="ABH189" s="1004"/>
      <c r="ABI189" s="1004"/>
      <c r="ABJ189" s="1004"/>
      <c r="ABK189" s="1004"/>
      <c r="ABL189" s="1004"/>
      <c r="ABM189" s="1004"/>
      <c r="ABN189" s="1004"/>
      <c r="ABO189" s="1004"/>
      <c r="ABP189" s="1004"/>
      <c r="ABQ189" s="1004"/>
      <c r="ABR189" s="1004"/>
    </row>
    <row r="190" spans="1:746" s="112" customFormat="1" ht="12" customHeight="1">
      <c r="A190" s="924"/>
      <c r="B190" s="822" t="s">
        <v>1399</v>
      </c>
      <c r="C190" s="823"/>
      <c r="D190" s="823"/>
      <c r="E190" s="823"/>
      <c r="F190" s="830"/>
      <c r="G190" s="830"/>
      <c r="H190" s="830"/>
      <c r="I190" s="2587" t="s">
        <v>1335</v>
      </c>
      <c r="J190" s="343"/>
      <c r="K190" s="343"/>
      <c r="L190" s="343"/>
      <c r="M190" s="343"/>
      <c r="N190" s="343"/>
      <c r="O190" s="343"/>
      <c r="P190" s="343"/>
      <c r="Q190" s="343"/>
      <c r="R190" s="343"/>
      <c r="S190" s="343"/>
      <c r="T190" s="986"/>
      <c r="U190" s="995"/>
      <c r="V190" s="343"/>
      <c r="W190" s="343"/>
      <c r="X190" s="343"/>
      <c r="Y190" s="343"/>
      <c r="Z190" s="343"/>
      <c r="AA190" s="343"/>
      <c r="AB190" s="343"/>
      <c r="AC190" s="343"/>
      <c r="AD190" s="343"/>
      <c r="AE190" s="343"/>
      <c r="AF190" s="344"/>
      <c r="AG190" s="337"/>
      <c r="AH190" s="336"/>
      <c r="AI190" s="336"/>
      <c r="AJ190" s="1004"/>
      <c r="AK190" s="1004"/>
      <c r="AL190" s="1004"/>
      <c r="AM190" s="1004"/>
      <c r="AN190" s="1031"/>
      <c r="AO190" s="1945"/>
      <c r="AP190" s="1935"/>
      <c r="AQ190" s="1936"/>
      <c r="AR190" s="1941"/>
      <c r="AS190" s="1941"/>
      <c r="AT190" s="1941"/>
      <c r="AU190" s="1941"/>
      <c r="AV190" s="1941"/>
      <c r="AW190" s="1941"/>
      <c r="AX190" s="1941"/>
      <c r="AY190" s="1941"/>
      <c r="AZ190" s="1941"/>
      <c r="BA190" s="1941"/>
      <c r="BB190" s="1941"/>
      <c r="BC190" s="1941"/>
      <c r="BD190" s="1941"/>
      <c r="BE190" s="1941"/>
      <c r="BF190" s="1941"/>
      <c r="BG190" s="1941"/>
      <c r="BH190" s="1941"/>
      <c r="BI190" s="1941"/>
      <c r="BJ190" s="1941"/>
      <c r="BK190" s="1941"/>
      <c r="BL190" s="1941"/>
      <c r="BM190" s="1941"/>
      <c r="BN190" s="1941"/>
      <c r="BO190" s="1941"/>
      <c r="BP190" s="1004"/>
      <c r="BQ190" s="1004"/>
      <c r="BR190" s="1004"/>
      <c r="BS190" s="1004"/>
      <c r="BT190" s="1004"/>
      <c r="BU190" s="1004"/>
      <c r="BV190" s="1004"/>
      <c r="BW190" s="1004"/>
      <c r="BX190" s="1004"/>
      <c r="BY190" s="1004"/>
      <c r="BZ190" s="1004"/>
      <c r="CA190" s="1004"/>
      <c r="CB190" s="1004"/>
      <c r="CC190" s="1004"/>
      <c r="CD190" s="1004"/>
      <c r="CE190" s="1004"/>
      <c r="CF190" s="1004"/>
      <c r="CG190" s="1004"/>
      <c r="CH190" s="1004"/>
      <c r="CI190" s="1004"/>
      <c r="CJ190" s="1004"/>
      <c r="CK190" s="1004"/>
      <c r="CL190" s="1004"/>
      <c r="CM190" s="1004"/>
      <c r="CN190" s="1004"/>
      <c r="CO190" s="1004"/>
      <c r="CP190" s="1004"/>
      <c r="CQ190" s="1004"/>
      <c r="CR190" s="1004"/>
      <c r="CS190" s="1004"/>
      <c r="CT190" s="1004"/>
      <c r="CU190" s="1004"/>
      <c r="CV190" s="1004"/>
      <c r="CW190" s="1004"/>
      <c r="CX190" s="1004"/>
      <c r="CY190" s="1004"/>
      <c r="CZ190" s="1004"/>
      <c r="DA190" s="1004"/>
      <c r="DB190" s="1004"/>
      <c r="DC190" s="1004"/>
      <c r="DD190" s="1004"/>
      <c r="DE190" s="1004"/>
      <c r="DF190" s="1004"/>
      <c r="DG190" s="1004"/>
      <c r="DH190" s="1004"/>
      <c r="DI190" s="1004"/>
      <c r="DJ190" s="1004"/>
      <c r="DK190" s="1004"/>
      <c r="DL190" s="1004"/>
      <c r="DM190" s="1004"/>
      <c r="DN190" s="1004"/>
      <c r="DO190" s="1004"/>
      <c r="DP190" s="1004"/>
      <c r="DQ190" s="1004"/>
      <c r="DR190" s="1004"/>
      <c r="DS190" s="1004"/>
      <c r="DT190" s="1004"/>
      <c r="DU190" s="1004"/>
      <c r="DV190" s="1004"/>
      <c r="DW190" s="1004"/>
      <c r="DX190" s="1004"/>
      <c r="DY190" s="1004"/>
      <c r="DZ190" s="1004"/>
      <c r="EA190" s="1004"/>
      <c r="EB190" s="1004"/>
      <c r="EC190" s="1004"/>
      <c r="ED190" s="1004"/>
      <c r="EE190" s="1004"/>
      <c r="EF190" s="1004"/>
      <c r="EG190" s="1004"/>
      <c r="EH190" s="1004"/>
      <c r="EI190" s="1004"/>
      <c r="EJ190" s="1004"/>
      <c r="EK190" s="1004"/>
      <c r="EL190" s="1004"/>
      <c r="EM190" s="1004"/>
      <c r="EN190" s="1004"/>
      <c r="EO190" s="1004"/>
      <c r="EP190" s="1004"/>
      <c r="EQ190" s="1004"/>
      <c r="ER190" s="1004"/>
      <c r="ES190" s="1004"/>
      <c r="ET190" s="1004"/>
      <c r="EU190" s="1004"/>
      <c r="EV190" s="1004"/>
      <c r="EW190" s="1004"/>
      <c r="EX190" s="1004"/>
      <c r="EY190" s="1004"/>
      <c r="EZ190" s="1004"/>
      <c r="FA190" s="1004"/>
      <c r="FB190" s="1004"/>
      <c r="FC190" s="1004"/>
      <c r="FD190" s="1004"/>
      <c r="FE190" s="1004"/>
      <c r="FF190" s="1004"/>
      <c r="FG190" s="1004"/>
      <c r="FH190" s="1004"/>
      <c r="FI190" s="1004"/>
      <c r="FJ190" s="1004"/>
      <c r="FK190" s="1004"/>
      <c r="FL190" s="1004"/>
      <c r="FM190" s="1004"/>
      <c r="FN190" s="1004"/>
      <c r="FO190" s="1004"/>
      <c r="FP190" s="1004"/>
      <c r="FQ190" s="1004"/>
      <c r="FR190" s="1004"/>
      <c r="FS190" s="1004"/>
      <c r="FT190" s="1004"/>
      <c r="FU190" s="1004"/>
      <c r="FV190" s="1004"/>
      <c r="FW190" s="1004"/>
      <c r="FX190" s="1004"/>
      <c r="FY190" s="1004"/>
      <c r="FZ190" s="1004"/>
      <c r="GA190" s="1004"/>
      <c r="GB190" s="1004"/>
      <c r="GC190" s="1004"/>
      <c r="GD190" s="1004"/>
      <c r="GE190" s="1004"/>
      <c r="GF190" s="1004"/>
      <c r="GG190" s="1004"/>
      <c r="GH190" s="1004"/>
      <c r="GI190" s="1004"/>
      <c r="GJ190" s="1004"/>
      <c r="GK190" s="1004"/>
      <c r="GL190" s="1004"/>
      <c r="GM190" s="1004"/>
      <c r="GN190" s="1004"/>
      <c r="GO190" s="1004"/>
      <c r="GP190" s="1004"/>
      <c r="GQ190" s="1004"/>
      <c r="GR190" s="1004"/>
      <c r="GS190" s="1004"/>
      <c r="GT190" s="1004"/>
      <c r="GU190" s="1004"/>
      <c r="GV190" s="1004"/>
      <c r="GW190" s="1004"/>
      <c r="GX190" s="1004"/>
      <c r="GY190" s="1004"/>
      <c r="GZ190" s="1004"/>
      <c r="HA190" s="1004"/>
      <c r="HB190" s="1004"/>
      <c r="HC190" s="1004"/>
      <c r="HD190" s="1004"/>
      <c r="HE190" s="1004"/>
      <c r="HF190" s="1004"/>
      <c r="HG190" s="1004"/>
      <c r="HH190" s="1004"/>
      <c r="HI190" s="1004"/>
      <c r="HJ190" s="1004"/>
      <c r="HK190" s="1004"/>
      <c r="HL190" s="1004"/>
      <c r="HM190" s="1004"/>
      <c r="HN190" s="1004"/>
      <c r="HO190" s="1004"/>
      <c r="HP190" s="1004"/>
      <c r="HQ190" s="1004"/>
      <c r="HR190" s="1004"/>
      <c r="HS190" s="1004"/>
      <c r="HT190" s="1004"/>
      <c r="HU190" s="1004"/>
      <c r="HV190" s="1004"/>
      <c r="HW190" s="1004"/>
      <c r="HX190" s="1004"/>
      <c r="HY190" s="1004"/>
      <c r="HZ190" s="1004"/>
      <c r="IA190" s="1004"/>
      <c r="IB190" s="1004"/>
      <c r="IC190" s="1004"/>
      <c r="ID190" s="1004"/>
      <c r="IE190" s="1004"/>
      <c r="IF190" s="1004"/>
      <c r="IG190" s="1004"/>
      <c r="IH190" s="1004"/>
      <c r="II190" s="1004"/>
      <c r="IJ190" s="1004"/>
      <c r="IK190" s="1004"/>
      <c r="IL190" s="1004"/>
      <c r="IM190" s="1004"/>
      <c r="IN190" s="1004"/>
      <c r="IO190" s="1004"/>
      <c r="IP190" s="1004"/>
      <c r="IQ190" s="1004"/>
      <c r="IR190" s="1004"/>
      <c r="IS190" s="1004"/>
      <c r="IT190" s="1004"/>
      <c r="IU190" s="1004"/>
      <c r="IV190" s="1004"/>
      <c r="IW190" s="1004"/>
      <c r="IX190" s="1004"/>
      <c r="IY190" s="1004"/>
      <c r="IZ190" s="1004"/>
      <c r="JA190" s="1004"/>
      <c r="JB190" s="1004"/>
      <c r="JC190" s="1004"/>
      <c r="JD190" s="1004"/>
      <c r="JE190" s="1004"/>
      <c r="JF190" s="1004"/>
      <c r="JG190" s="1004"/>
      <c r="JH190" s="1004"/>
      <c r="JI190" s="1004"/>
      <c r="JJ190" s="1004"/>
      <c r="JK190" s="1004"/>
      <c r="JL190" s="1004"/>
      <c r="JM190" s="1004"/>
      <c r="JN190" s="1004"/>
      <c r="JO190" s="1004"/>
      <c r="JP190" s="1004"/>
      <c r="JQ190" s="1004"/>
      <c r="JR190" s="1004"/>
      <c r="JS190" s="1004"/>
      <c r="JT190" s="1004"/>
      <c r="JU190" s="1004"/>
      <c r="JV190" s="1004"/>
      <c r="JW190" s="1004"/>
      <c r="JX190" s="1004"/>
      <c r="JY190" s="1004"/>
      <c r="JZ190" s="1004"/>
      <c r="KA190" s="1004"/>
      <c r="KB190" s="1004"/>
      <c r="KC190" s="1004"/>
      <c r="KD190" s="1004"/>
      <c r="KE190" s="1004"/>
      <c r="KF190" s="1004"/>
      <c r="KG190" s="1004"/>
      <c r="KH190" s="1004"/>
      <c r="KI190" s="1004"/>
      <c r="KJ190" s="1004"/>
      <c r="KK190" s="1004"/>
      <c r="KL190" s="1004"/>
      <c r="KM190" s="1004"/>
      <c r="KN190" s="1004"/>
      <c r="KO190" s="1004"/>
      <c r="KP190" s="1004"/>
      <c r="KQ190" s="1004"/>
      <c r="KR190" s="1004"/>
      <c r="KS190" s="1004"/>
      <c r="KT190" s="1004"/>
      <c r="KU190" s="1004"/>
      <c r="KV190" s="1004"/>
      <c r="KW190" s="1004"/>
      <c r="KX190" s="1004"/>
      <c r="KY190" s="1004"/>
      <c r="KZ190" s="1004"/>
      <c r="LA190" s="1004"/>
      <c r="LB190" s="1004"/>
      <c r="LC190" s="1004"/>
      <c r="LD190" s="1004"/>
      <c r="LE190" s="1004"/>
      <c r="LF190" s="1004"/>
      <c r="LG190" s="1004"/>
      <c r="LH190" s="1004"/>
      <c r="LI190" s="1004"/>
      <c r="LJ190" s="1004"/>
      <c r="LK190" s="1004"/>
      <c r="LL190" s="1004"/>
      <c r="LM190" s="1004"/>
      <c r="LN190" s="1004"/>
      <c r="LO190" s="1004"/>
      <c r="LP190" s="1004"/>
      <c r="LQ190" s="1004"/>
      <c r="LR190" s="1004"/>
      <c r="LS190" s="1004"/>
      <c r="LT190" s="1004"/>
      <c r="LU190" s="1004"/>
      <c r="LV190" s="1004"/>
      <c r="LW190" s="1004"/>
      <c r="LX190" s="1004"/>
      <c r="LY190" s="1004"/>
      <c r="LZ190" s="1004"/>
      <c r="MA190" s="1004"/>
      <c r="MB190" s="1004"/>
      <c r="MC190" s="1004"/>
      <c r="MD190" s="1004"/>
      <c r="ME190" s="1004"/>
      <c r="MF190" s="1004"/>
      <c r="MG190" s="1004"/>
      <c r="MH190" s="1004"/>
      <c r="MI190" s="1004"/>
      <c r="MJ190" s="1004"/>
      <c r="MK190" s="1004"/>
      <c r="ML190" s="1004"/>
      <c r="MM190" s="1004"/>
      <c r="MN190" s="1004"/>
      <c r="MO190" s="1004"/>
      <c r="MP190" s="1004"/>
      <c r="MQ190" s="1004"/>
      <c r="MR190" s="1004"/>
      <c r="MS190" s="1004"/>
      <c r="MT190" s="1004"/>
      <c r="MU190" s="1004"/>
      <c r="MV190" s="1004"/>
      <c r="MW190" s="1004"/>
      <c r="MX190" s="1004"/>
      <c r="MY190" s="1004"/>
      <c r="MZ190" s="1004"/>
      <c r="NA190" s="1004"/>
      <c r="NB190" s="1004"/>
      <c r="NC190" s="1004"/>
      <c r="ND190" s="1004"/>
      <c r="NE190" s="1004"/>
      <c r="NF190" s="1004"/>
      <c r="NG190" s="1004"/>
      <c r="NH190" s="1004"/>
      <c r="NI190" s="1004"/>
      <c r="NJ190" s="1004"/>
      <c r="NK190" s="1004"/>
      <c r="NL190" s="1004"/>
      <c r="NM190" s="1004"/>
      <c r="NN190" s="1004"/>
      <c r="NO190" s="1004"/>
      <c r="NP190" s="1004"/>
      <c r="NQ190" s="1004"/>
      <c r="NR190" s="1004"/>
      <c r="NS190" s="1004"/>
      <c r="NT190" s="1004"/>
      <c r="NU190" s="1004"/>
      <c r="NV190" s="1004"/>
      <c r="NW190" s="1004"/>
      <c r="NX190" s="1004"/>
      <c r="NY190" s="1004"/>
      <c r="NZ190" s="1004"/>
      <c r="OA190" s="1004"/>
      <c r="OB190" s="1004"/>
      <c r="OC190" s="1004"/>
      <c r="OD190" s="1004"/>
      <c r="OE190" s="1004"/>
      <c r="OF190" s="1004"/>
      <c r="OG190" s="1004"/>
      <c r="OH190" s="1004"/>
      <c r="OI190" s="1004"/>
      <c r="OJ190" s="1004"/>
      <c r="OK190" s="1004"/>
      <c r="OL190" s="1004"/>
      <c r="OM190" s="1004"/>
      <c r="ON190" s="1004"/>
      <c r="OO190" s="1004"/>
      <c r="OP190" s="1004"/>
      <c r="OQ190" s="1004"/>
      <c r="OR190" s="1004"/>
      <c r="OS190" s="1004"/>
      <c r="OT190" s="1004"/>
      <c r="OU190" s="1004"/>
      <c r="OV190" s="1004"/>
      <c r="OW190" s="1004"/>
      <c r="OX190" s="1004"/>
      <c r="OY190" s="1004"/>
      <c r="OZ190" s="1004"/>
      <c r="PA190" s="1004"/>
      <c r="PB190" s="1004"/>
      <c r="PC190" s="1004"/>
      <c r="PD190" s="1004"/>
      <c r="PE190" s="1004"/>
      <c r="PF190" s="1004"/>
      <c r="PG190" s="1004"/>
      <c r="PH190" s="1004"/>
      <c r="PI190" s="1004"/>
      <c r="PJ190" s="1004"/>
      <c r="PK190" s="1004"/>
      <c r="PL190" s="1004"/>
      <c r="PM190" s="1004"/>
      <c r="PN190" s="1004"/>
      <c r="PO190" s="1004"/>
      <c r="PP190" s="1004"/>
      <c r="PQ190" s="1004"/>
      <c r="PR190" s="1004"/>
      <c r="PS190" s="1004"/>
      <c r="PT190" s="1004"/>
      <c r="PU190" s="1004"/>
      <c r="PV190" s="1004"/>
      <c r="PW190" s="1004"/>
      <c r="PX190" s="1004"/>
      <c r="PY190" s="1004"/>
      <c r="PZ190" s="1004"/>
      <c r="QA190" s="1004"/>
      <c r="QB190" s="1004"/>
      <c r="QC190" s="1004"/>
      <c r="QD190" s="1004"/>
      <c r="QE190" s="1004"/>
      <c r="QF190" s="1004"/>
      <c r="QG190" s="1004"/>
      <c r="QH190" s="1004"/>
      <c r="QI190" s="1004"/>
      <c r="QJ190" s="1004"/>
      <c r="QK190" s="1004"/>
      <c r="QL190" s="1004"/>
      <c r="QM190" s="1004"/>
      <c r="QN190" s="1004"/>
      <c r="QO190" s="1004"/>
      <c r="QP190" s="1004"/>
      <c r="QQ190" s="1004"/>
      <c r="QR190" s="1004"/>
      <c r="QS190" s="1004"/>
      <c r="QT190" s="1004"/>
      <c r="QU190" s="1004"/>
      <c r="QV190" s="1004"/>
      <c r="QW190" s="1004"/>
      <c r="QX190" s="1004"/>
      <c r="QY190" s="1004"/>
      <c r="QZ190" s="1004"/>
      <c r="RA190" s="1004"/>
      <c r="RB190" s="1004"/>
      <c r="RC190" s="1004"/>
      <c r="RD190" s="1004"/>
      <c r="RE190" s="1004"/>
      <c r="RF190" s="1004"/>
      <c r="RG190" s="1004"/>
      <c r="RH190" s="1004"/>
      <c r="RI190" s="1004"/>
      <c r="RJ190" s="1004"/>
      <c r="RK190" s="1004"/>
      <c r="RL190" s="1004"/>
      <c r="RM190" s="1004"/>
      <c r="RN190" s="1004"/>
      <c r="RO190" s="1004"/>
      <c r="RP190" s="1004"/>
      <c r="RQ190" s="1004"/>
      <c r="RR190" s="1004"/>
      <c r="RS190" s="1004"/>
      <c r="RT190" s="1004"/>
      <c r="RU190" s="1004"/>
      <c r="RV190" s="1004"/>
      <c r="RW190" s="1004"/>
      <c r="RX190" s="1004"/>
      <c r="RY190" s="1004"/>
      <c r="RZ190" s="1004"/>
      <c r="SA190" s="1004"/>
      <c r="SB190" s="1004"/>
      <c r="SC190" s="1004"/>
      <c r="SD190" s="1004"/>
      <c r="SE190" s="1004"/>
      <c r="SF190" s="1004"/>
      <c r="SG190" s="1004"/>
      <c r="SH190" s="1004"/>
      <c r="SI190" s="1004"/>
      <c r="SJ190" s="1004"/>
      <c r="SK190" s="1004"/>
      <c r="SL190" s="1004"/>
      <c r="SM190" s="1004"/>
      <c r="SN190" s="1004"/>
      <c r="SO190" s="1004"/>
      <c r="SP190" s="1004"/>
      <c r="SQ190" s="1004"/>
      <c r="SR190" s="1004"/>
      <c r="SS190" s="1004"/>
      <c r="ST190" s="1004"/>
      <c r="SU190" s="1004"/>
      <c r="SV190" s="1004"/>
      <c r="SW190" s="1004"/>
      <c r="SX190" s="1004"/>
      <c r="SY190" s="1004"/>
      <c r="SZ190" s="1004"/>
      <c r="TA190" s="1004"/>
      <c r="TB190" s="1004"/>
      <c r="TC190" s="1004"/>
      <c r="TD190" s="1004"/>
      <c r="TE190" s="1004"/>
      <c r="TF190" s="1004"/>
      <c r="TG190" s="1004"/>
      <c r="TH190" s="1004"/>
      <c r="TI190" s="1004"/>
      <c r="TJ190" s="1004"/>
      <c r="TK190" s="1004"/>
      <c r="TL190" s="1004"/>
      <c r="TM190" s="1004"/>
      <c r="TN190" s="1004"/>
      <c r="TO190" s="1004"/>
      <c r="TP190" s="1004"/>
      <c r="TQ190" s="1004"/>
      <c r="TR190" s="1004"/>
      <c r="TS190" s="1004"/>
      <c r="TT190" s="1004"/>
      <c r="TU190" s="1004"/>
      <c r="TV190" s="1004"/>
      <c r="TW190" s="1004"/>
      <c r="TX190" s="1004"/>
      <c r="TY190" s="1004"/>
      <c r="TZ190" s="1004"/>
      <c r="UA190" s="1004"/>
      <c r="UB190" s="1004"/>
      <c r="UC190" s="1004"/>
      <c r="UD190" s="1004"/>
      <c r="UE190" s="1004"/>
      <c r="UF190" s="1004"/>
      <c r="UG190" s="1004"/>
      <c r="UH190" s="1004"/>
      <c r="UI190" s="1004"/>
      <c r="UJ190" s="1004"/>
      <c r="UK190" s="1004"/>
      <c r="UL190" s="1004"/>
      <c r="UM190" s="1004"/>
      <c r="UN190" s="1004"/>
      <c r="UO190" s="1004"/>
      <c r="UP190" s="1004"/>
      <c r="UQ190" s="1004"/>
      <c r="UR190" s="1004"/>
      <c r="US190" s="1004"/>
      <c r="UT190" s="1004"/>
      <c r="UU190" s="1004"/>
      <c r="UV190" s="1004"/>
      <c r="UW190" s="1004"/>
      <c r="UX190" s="1004"/>
      <c r="UY190" s="1004"/>
      <c r="UZ190" s="1004"/>
      <c r="VA190" s="1004"/>
      <c r="VB190" s="1004"/>
      <c r="VC190" s="1004"/>
      <c r="VD190" s="1004"/>
      <c r="VE190" s="1004"/>
      <c r="VF190" s="1004"/>
      <c r="VG190" s="1004"/>
      <c r="VH190" s="1004"/>
      <c r="VI190" s="1004"/>
      <c r="VJ190" s="1004"/>
      <c r="VK190" s="1004"/>
      <c r="VL190" s="1004"/>
      <c r="VM190" s="1004"/>
      <c r="VN190" s="1004"/>
      <c r="VO190" s="1004"/>
      <c r="VP190" s="1004"/>
      <c r="VQ190" s="1004"/>
      <c r="VR190" s="1004"/>
      <c r="VS190" s="1004"/>
      <c r="VT190" s="1004"/>
      <c r="VU190" s="1004"/>
      <c r="VV190" s="1004"/>
      <c r="VW190" s="1004"/>
      <c r="VX190" s="1004"/>
      <c r="VY190" s="1004"/>
      <c r="VZ190" s="1004"/>
      <c r="WA190" s="1004"/>
      <c r="WB190" s="1004"/>
      <c r="WC190" s="1004"/>
      <c r="WD190" s="1004"/>
      <c r="WE190" s="1004"/>
      <c r="WF190" s="1004"/>
      <c r="WG190" s="1004"/>
      <c r="WH190" s="1004"/>
      <c r="WI190" s="1004"/>
      <c r="WJ190" s="1004"/>
      <c r="WK190" s="1004"/>
      <c r="WL190" s="1004"/>
      <c r="WM190" s="1004"/>
      <c r="WN190" s="1004"/>
      <c r="WO190" s="1004"/>
      <c r="WP190" s="1004"/>
      <c r="WQ190" s="1004"/>
      <c r="WR190" s="1004"/>
      <c r="WS190" s="1004"/>
      <c r="WT190" s="1004"/>
      <c r="WU190" s="1004"/>
      <c r="WV190" s="1004"/>
      <c r="WW190" s="1004"/>
      <c r="WX190" s="1004"/>
      <c r="WY190" s="1004"/>
      <c r="WZ190" s="1004"/>
      <c r="XA190" s="1004"/>
      <c r="XB190" s="1004"/>
      <c r="XC190" s="1004"/>
      <c r="XD190" s="1004"/>
      <c r="XE190" s="1004"/>
      <c r="XF190" s="1004"/>
      <c r="XG190" s="1004"/>
      <c r="XH190" s="1004"/>
      <c r="XI190" s="1004"/>
      <c r="XJ190" s="1004"/>
      <c r="XK190" s="1004"/>
      <c r="XL190" s="1004"/>
      <c r="XM190" s="1004"/>
      <c r="XN190" s="1004"/>
      <c r="XO190" s="1004"/>
      <c r="XP190" s="1004"/>
      <c r="XQ190" s="1004"/>
      <c r="XR190" s="1004"/>
      <c r="XS190" s="1004"/>
      <c r="XT190" s="1004"/>
      <c r="XU190" s="1004"/>
      <c r="XV190" s="1004"/>
      <c r="XW190" s="1004"/>
      <c r="XX190" s="1004"/>
      <c r="XY190" s="1004"/>
      <c r="XZ190" s="1004"/>
      <c r="YA190" s="1004"/>
      <c r="YB190" s="1004"/>
      <c r="YC190" s="1004"/>
      <c r="YD190" s="1004"/>
      <c r="YE190" s="1004"/>
      <c r="YF190" s="1004"/>
      <c r="YG190" s="1004"/>
      <c r="YH190" s="1004"/>
      <c r="YI190" s="1004"/>
      <c r="YJ190" s="1004"/>
      <c r="YK190" s="1004"/>
      <c r="YL190" s="1004"/>
      <c r="YM190" s="1004"/>
      <c r="YN190" s="1004"/>
      <c r="YO190" s="1004"/>
      <c r="YP190" s="1004"/>
      <c r="YQ190" s="1004"/>
      <c r="YR190" s="1004"/>
      <c r="YS190" s="1004"/>
      <c r="YT190" s="1004"/>
      <c r="YU190" s="1004"/>
      <c r="YV190" s="1004"/>
      <c r="YW190" s="1004"/>
      <c r="YX190" s="1004"/>
      <c r="YY190" s="1004"/>
      <c r="YZ190" s="1004"/>
      <c r="ZA190" s="1004"/>
      <c r="ZB190" s="1004"/>
      <c r="ZC190" s="1004"/>
      <c r="ZD190" s="1004"/>
      <c r="ZE190" s="1004"/>
      <c r="ZF190" s="1004"/>
      <c r="ZG190" s="1004"/>
      <c r="ZH190" s="1004"/>
      <c r="ZI190" s="1004"/>
      <c r="ZJ190" s="1004"/>
      <c r="ZK190" s="1004"/>
      <c r="ZL190" s="1004"/>
      <c r="ZM190" s="1004"/>
      <c r="ZN190" s="1004"/>
      <c r="ZO190" s="1004"/>
      <c r="ZP190" s="1004"/>
      <c r="ZQ190" s="1004"/>
      <c r="ZR190" s="1004"/>
      <c r="ZS190" s="1004"/>
      <c r="ZT190" s="1004"/>
      <c r="ZU190" s="1004"/>
      <c r="ZV190" s="1004"/>
      <c r="ZW190" s="1004"/>
      <c r="ZX190" s="1004"/>
      <c r="ZY190" s="1004"/>
      <c r="ZZ190" s="1004"/>
      <c r="AAA190" s="1004"/>
      <c r="AAB190" s="1004"/>
      <c r="AAC190" s="1004"/>
      <c r="AAD190" s="1004"/>
      <c r="AAE190" s="1004"/>
      <c r="AAF190" s="1004"/>
      <c r="AAG190" s="1004"/>
      <c r="AAH190" s="1004"/>
      <c r="AAI190" s="1004"/>
      <c r="AAJ190" s="1004"/>
      <c r="AAK190" s="1004"/>
      <c r="AAL190" s="1004"/>
      <c r="AAM190" s="1004"/>
      <c r="AAN190" s="1004"/>
      <c r="AAO190" s="1004"/>
      <c r="AAP190" s="1004"/>
      <c r="AAQ190" s="1004"/>
      <c r="AAR190" s="1004"/>
      <c r="AAS190" s="1004"/>
      <c r="AAT190" s="1004"/>
      <c r="AAU190" s="1004"/>
      <c r="AAV190" s="1004"/>
      <c r="AAW190" s="1004"/>
      <c r="AAX190" s="1004"/>
      <c r="AAY190" s="1004"/>
      <c r="AAZ190" s="1004"/>
      <c r="ABA190" s="1004"/>
      <c r="ABB190" s="1004"/>
      <c r="ABC190" s="1004"/>
      <c r="ABD190" s="1004"/>
      <c r="ABE190" s="1004"/>
      <c r="ABF190" s="1004"/>
      <c r="ABG190" s="1004"/>
      <c r="ABH190" s="1004"/>
      <c r="ABI190" s="1004"/>
      <c r="ABJ190" s="1004"/>
      <c r="ABK190" s="1004"/>
      <c r="ABL190" s="1004"/>
      <c r="ABM190" s="1004"/>
      <c r="ABN190" s="1004"/>
      <c r="ABO190" s="1004"/>
      <c r="ABP190" s="1004"/>
      <c r="ABQ190" s="1004"/>
      <c r="ABR190" s="1004"/>
    </row>
    <row r="191" spans="1:746" s="112" customFormat="1" ht="12" customHeight="1">
      <c r="A191" s="924"/>
      <c r="B191" s="957" t="s">
        <v>828</v>
      </c>
      <c r="C191" s="958"/>
      <c r="D191" s="958"/>
      <c r="E191" s="958"/>
      <c r="F191" s="959"/>
      <c r="G191" s="959"/>
      <c r="H191" s="2184"/>
      <c r="I191" s="384">
        <f>fx!I341</f>
        <v>0</v>
      </c>
      <c r="J191" s="962">
        <f>fx!J341</f>
        <v>0</v>
      </c>
      <c r="K191" s="962">
        <f ca="1">fx!K341</f>
        <v>0</v>
      </c>
      <c r="L191" s="962">
        <f ca="1">fx!L341</f>
        <v>0</v>
      </c>
      <c r="M191" s="962">
        <f ca="1">fx!M341</f>
        <v>0</v>
      </c>
      <c r="N191" s="962">
        <f ca="1">fx!N341</f>
        <v>0</v>
      </c>
      <c r="O191" s="962">
        <f ca="1">fx!O341</f>
        <v>0</v>
      </c>
      <c r="P191" s="962">
        <f ca="1">fx!P341</f>
        <v>0</v>
      </c>
      <c r="Q191" s="962">
        <f ca="1">fx!Q341</f>
        <v>0</v>
      </c>
      <c r="R191" s="962">
        <f ca="1">fx!R341</f>
        <v>0</v>
      </c>
      <c r="S191" s="962">
        <f ca="1">fx!S341</f>
        <v>0</v>
      </c>
      <c r="T191" s="384">
        <f ca="1">fx!T341</f>
        <v>0</v>
      </c>
      <c r="U191" s="384">
        <f ca="1">fx!U341</f>
        <v>0</v>
      </c>
      <c r="V191" s="962">
        <f ca="1">fx!V341</f>
        <v>0</v>
      </c>
      <c r="W191" s="962">
        <f ca="1">fx!W341</f>
        <v>0</v>
      </c>
      <c r="X191" s="962">
        <f ca="1">fx!X341</f>
        <v>0</v>
      </c>
      <c r="Y191" s="962">
        <f ca="1">fx!Y341</f>
        <v>0</v>
      </c>
      <c r="Z191" s="962">
        <f ca="1">fx!Z341</f>
        <v>0</v>
      </c>
      <c r="AA191" s="962">
        <f ca="1">fx!AA341</f>
        <v>0</v>
      </c>
      <c r="AB191" s="962">
        <f ca="1">fx!AB341</f>
        <v>0</v>
      </c>
      <c r="AC191" s="962">
        <f ca="1">fx!AC341</f>
        <v>0</v>
      </c>
      <c r="AD191" s="962">
        <f ca="1">fx!AD341</f>
        <v>0</v>
      </c>
      <c r="AE191" s="962">
        <f ca="1">fx!AE341</f>
        <v>0</v>
      </c>
      <c r="AF191" s="962">
        <f ca="1">fx!AF341</f>
        <v>0</v>
      </c>
      <c r="AG191" s="376"/>
      <c r="AH191" s="336"/>
      <c r="AI191" s="336"/>
      <c r="AJ191" s="901">
        <f ca="1">IF(fx!$C$57=1,SUMIF(fx!I$57:T$57,1,I191:T191),IF(fx!$C$57=2,SUMIF(fx!O$57:AF$57,1,O191:AF191)))</f>
        <v>0</v>
      </c>
      <c r="AL191" s="902">
        <f ca="1">IF(fx!$C$57=1,SUM(U191:AF191),0)</f>
        <v>0</v>
      </c>
      <c r="AM191" s="1004"/>
      <c r="AN191" s="1031"/>
      <c r="AO191" s="1945"/>
      <c r="AP191" s="1935"/>
      <c r="AQ191" s="1936"/>
      <c r="AR191" s="1941"/>
      <c r="AS191" s="1941"/>
      <c r="AT191" s="1941"/>
      <c r="AU191" s="1941"/>
      <c r="AV191" s="1941"/>
      <c r="AW191" s="1941"/>
      <c r="AX191" s="1941"/>
      <c r="AY191" s="1941"/>
      <c r="AZ191" s="1941"/>
      <c r="BA191" s="1941"/>
      <c r="BB191" s="1941"/>
      <c r="BC191" s="1941"/>
      <c r="BD191" s="1941"/>
      <c r="BE191" s="1941"/>
      <c r="BF191" s="1941"/>
      <c r="BG191" s="1941"/>
      <c r="BH191" s="1941"/>
      <c r="BI191" s="1941"/>
      <c r="BJ191" s="1941"/>
      <c r="BK191" s="1941"/>
      <c r="BL191" s="1941"/>
      <c r="BM191" s="1941"/>
      <c r="BN191" s="1941"/>
      <c r="BO191" s="1941"/>
      <c r="BP191" s="1004"/>
      <c r="BQ191" s="1004"/>
      <c r="BR191" s="1004"/>
      <c r="BS191" s="1004"/>
      <c r="BT191" s="1004"/>
      <c r="BU191" s="1004"/>
      <c r="BV191" s="1004"/>
      <c r="BW191" s="1004"/>
      <c r="BX191" s="1004"/>
      <c r="BY191" s="1004"/>
      <c r="BZ191" s="1004"/>
      <c r="CA191" s="1004"/>
      <c r="CB191" s="1004"/>
      <c r="CC191" s="1004"/>
      <c r="CD191" s="1004"/>
      <c r="CE191" s="1004"/>
      <c r="CF191" s="1004"/>
      <c r="CG191" s="1004"/>
      <c r="CH191" s="1004"/>
      <c r="CI191" s="1004"/>
      <c r="CJ191" s="1004"/>
      <c r="CK191" s="1004"/>
      <c r="CL191" s="1004"/>
      <c r="CM191" s="1004"/>
      <c r="CN191" s="1004"/>
      <c r="CO191" s="1004"/>
      <c r="CP191" s="1004"/>
      <c r="CQ191" s="1004"/>
      <c r="CR191" s="1004"/>
      <c r="CS191" s="1004"/>
      <c r="CT191" s="1004"/>
      <c r="CU191" s="1004"/>
      <c r="CV191" s="1004"/>
      <c r="CW191" s="1004"/>
      <c r="CX191" s="1004"/>
      <c r="CY191" s="1004"/>
      <c r="CZ191" s="1004"/>
      <c r="DA191" s="1004"/>
      <c r="DB191" s="1004"/>
      <c r="DC191" s="1004"/>
      <c r="DD191" s="1004"/>
      <c r="DE191" s="1004"/>
      <c r="DF191" s="1004"/>
      <c r="DG191" s="1004"/>
      <c r="DH191" s="1004"/>
      <c r="DI191" s="1004"/>
      <c r="DJ191" s="1004"/>
      <c r="DK191" s="1004"/>
      <c r="DL191" s="1004"/>
      <c r="DM191" s="1004"/>
      <c r="DN191" s="1004"/>
      <c r="DO191" s="1004"/>
      <c r="DP191" s="1004"/>
      <c r="DQ191" s="1004"/>
      <c r="DR191" s="1004"/>
      <c r="DS191" s="1004"/>
      <c r="DT191" s="1004"/>
      <c r="DU191" s="1004"/>
      <c r="DV191" s="1004"/>
      <c r="DW191" s="1004"/>
      <c r="DX191" s="1004"/>
      <c r="DY191" s="1004"/>
      <c r="DZ191" s="1004"/>
      <c r="EA191" s="1004"/>
      <c r="EB191" s="1004"/>
      <c r="EC191" s="1004"/>
      <c r="ED191" s="1004"/>
      <c r="EE191" s="1004"/>
      <c r="EF191" s="1004"/>
      <c r="EG191" s="1004"/>
      <c r="EH191" s="1004"/>
      <c r="EI191" s="1004"/>
      <c r="EJ191" s="1004"/>
      <c r="EK191" s="1004"/>
      <c r="EL191" s="1004"/>
      <c r="EM191" s="1004"/>
      <c r="EN191" s="1004"/>
      <c r="EO191" s="1004"/>
      <c r="EP191" s="1004"/>
      <c r="EQ191" s="1004"/>
      <c r="ER191" s="1004"/>
      <c r="ES191" s="1004"/>
      <c r="ET191" s="1004"/>
      <c r="EU191" s="1004"/>
      <c r="EV191" s="1004"/>
      <c r="EW191" s="1004"/>
      <c r="EX191" s="1004"/>
      <c r="EY191" s="1004"/>
      <c r="EZ191" s="1004"/>
      <c r="FA191" s="1004"/>
      <c r="FB191" s="1004"/>
      <c r="FC191" s="1004"/>
      <c r="FD191" s="1004"/>
      <c r="FE191" s="1004"/>
      <c r="FF191" s="1004"/>
      <c r="FG191" s="1004"/>
      <c r="FH191" s="1004"/>
      <c r="FI191" s="1004"/>
      <c r="FJ191" s="1004"/>
      <c r="FK191" s="1004"/>
      <c r="FL191" s="1004"/>
      <c r="FM191" s="1004"/>
      <c r="FN191" s="1004"/>
      <c r="FO191" s="1004"/>
      <c r="FP191" s="1004"/>
      <c r="FQ191" s="1004"/>
      <c r="FR191" s="1004"/>
      <c r="FS191" s="1004"/>
      <c r="FT191" s="1004"/>
      <c r="FU191" s="1004"/>
      <c r="FV191" s="1004"/>
      <c r="FW191" s="1004"/>
      <c r="FX191" s="1004"/>
      <c r="FY191" s="1004"/>
      <c r="FZ191" s="1004"/>
      <c r="GA191" s="1004"/>
      <c r="GB191" s="1004"/>
      <c r="GC191" s="1004"/>
      <c r="GD191" s="1004"/>
      <c r="GE191" s="1004"/>
      <c r="GF191" s="1004"/>
      <c r="GG191" s="1004"/>
      <c r="GH191" s="1004"/>
      <c r="GI191" s="1004"/>
      <c r="GJ191" s="1004"/>
      <c r="GK191" s="1004"/>
      <c r="GL191" s="1004"/>
      <c r="GM191" s="1004"/>
      <c r="GN191" s="1004"/>
      <c r="GO191" s="1004"/>
      <c r="GP191" s="1004"/>
      <c r="GQ191" s="1004"/>
      <c r="GR191" s="1004"/>
      <c r="GS191" s="1004"/>
      <c r="GT191" s="1004"/>
      <c r="GU191" s="1004"/>
      <c r="GV191" s="1004"/>
      <c r="GW191" s="1004"/>
      <c r="GX191" s="1004"/>
      <c r="GY191" s="1004"/>
      <c r="GZ191" s="1004"/>
      <c r="HA191" s="1004"/>
      <c r="HB191" s="1004"/>
      <c r="HC191" s="1004"/>
      <c r="HD191" s="1004"/>
      <c r="HE191" s="1004"/>
      <c r="HF191" s="1004"/>
      <c r="HG191" s="1004"/>
      <c r="HH191" s="1004"/>
      <c r="HI191" s="1004"/>
      <c r="HJ191" s="1004"/>
      <c r="HK191" s="1004"/>
      <c r="HL191" s="1004"/>
      <c r="HM191" s="1004"/>
      <c r="HN191" s="1004"/>
      <c r="HO191" s="1004"/>
      <c r="HP191" s="1004"/>
      <c r="HQ191" s="1004"/>
      <c r="HR191" s="1004"/>
      <c r="HS191" s="1004"/>
      <c r="HT191" s="1004"/>
      <c r="HU191" s="1004"/>
      <c r="HV191" s="1004"/>
      <c r="HW191" s="1004"/>
      <c r="HX191" s="1004"/>
      <c r="HY191" s="1004"/>
      <c r="HZ191" s="1004"/>
      <c r="IA191" s="1004"/>
      <c r="IB191" s="1004"/>
      <c r="IC191" s="1004"/>
      <c r="ID191" s="1004"/>
      <c r="IE191" s="1004"/>
      <c r="IF191" s="1004"/>
      <c r="IG191" s="1004"/>
      <c r="IH191" s="1004"/>
      <c r="II191" s="1004"/>
      <c r="IJ191" s="1004"/>
      <c r="IK191" s="1004"/>
      <c r="IL191" s="1004"/>
      <c r="IM191" s="1004"/>
      <c r="IN191" s="1004"/>
      <c r="IO191" s="1004"/>
      <c r="IP191" s="1004"/>
      <c r="IQ191" s="1004"/>
      <c r="IR191" s="1004"/>
      <c r="IS191" s="1004"/>
      <c r="IT191" s="1004"/>
      <c r="IU191" s="1004"/>
      <c r="IV191" s="1004"/>
      <c r="IW191" s="1004"/>
      <c r="IX191" s="1004"/>
      <c r="IY191" s="1004"/>
      <c r="IZ191" s="1004"/>
      <c r="JA191" s="1004"/>
      <c r="JB191" s="1004"/>
      <c r="JC191" s="1004"/>
      <c r="JD191" s="1004"/>
      <c r="JE191" s="1004"/>
      <c r="JF191" s="1004"/>
      <c r="JG191" s="1004"/>
      <c r="JH191" s="1004"/>
      <c r="JI191" s="1004"/>
      <c r="JJ191" s="1004"/>
      <c r="JK191" s="1004"/>
      <c r="JL191" s="1004"/>
      <c r="JM191" s="1004"/>
      <c r="JN191" s="1004"/>
      <c r="JO191" s="1004"/>
      <c r="JP191" s="1004"/>
      <c r="JQ191" s="1004"/>
      <c r="JR191" s="1004"/>
      <c r="JS191" s="1004"/>
      <c r="JT191" s="1004"/>
      <c r="JU191" s="1004"/>
      <c r="JV191" s="1004"/>
      <c r="JW191" s="1004"/>
      <c r="JX191" s="1004"/>
      <c r="JY191" s="1004"/>
      <c r="JZ191" s="1004"/>
      <c r="KA191" s="1004"/>
      <c r="KB191" s="1004"/>
      <c r="KC191" s="1004"/>
      <c r="KD191" s="1004"/>
      <c r="KE191" s="1004"/>
      <c r="KF191" s="1004"/>
      <c r="KG191" s="1004"/>
      <c r="KH191" s="1004"/>
      <c r="KI191" s="1004"/>
      <c r="KJ191" s="1004"/>
      <c r="KK191" s="1004"/>
      <c r="KL191" s="1004"/>
      <c r="KM191" s="1004"/>
      <c r="KN191" s="1004"/>
      <c r="KO191" s="1004"/>
      <c r="KP191" s="1004"/>
      <c r="KQ191" s="1004"/>
      <c r="KR191" s="1004"/>
      <c r="KS191" s="1004"/>
      <c r="KT191" s="1004"/>
      <c r="KU191" s="1004"/>
      <c r="KV191" s="1004"/>
      <c r="KW191" s="1004"/>
      <c r="KX191" s="1004"/>
      <c r="KY191" s="1004"/>
      <c r="KZ191" s="1004"/>
      <c r="LA191" s="1004"/>
      <c r="LB191" s="1004"/>
      <c r="LC191" s="1004"/>
      <c r="LD191" s="1004"/>
      <c r="LE191" s="1004"/>
      <c r="LF191" s="1004"/>
      <c r="LG191" s="1004"/>
      <c r="LH191" s="1004"/>
      <c r="LI191" s="1004"/>
      <c r="LJ191" s="1004"/>
      <c r="LK191" s="1004"/>
      <c r="LL191" s="1004"/>
      <c r="LM191" s="1004"/>
      <c r="LN191" s="1004"/>
      <c r="LO191" s="1004"/>
      <c r="LP191" s="1004"/>
      <c r="LQ191" s="1004"/>
      <c r="LR191" s="1004"/>
      <c r="LS191" s="1004"/>
      <c r="LT191" s="1004"/>
      <c r="LU191" s="1004"/>
      <c r="LV191" s="1004"/>
      <c r="LW191" s="1004"/>
      <c r="LX191" s="1004"/>
      <c r="LY191" s="1004"/>
      <c r="LZ191" s="1004"/>
      <c r="MA191" s="1004"/>
      <c r="MB191" s="1004"/>
      <c r="MC191" s="1004"/>
      <c r="MD191" s="1004"/>
      <c r="ME191" s="1004"/>
      <c r="MF191" s="1004"/>
      <c r="MG191" s="1004"/>
      <c r="MH191" s="1004"/>
      <c r="MI191" s="1004"/>
      <c r="MJ191" s="1004"/>
      <c r="MK191" s="1004"/>
      <c r="ML191" s="1004"/>
      <c r="MM191" s="1004"/>
      <c r="MN191" s="1004"/>
      <c r="MO191" s="1004"/>
      <c r="MP191" s="1004"/>
      <c r="MQ191" s="1004"/>
      <c r="MR191" s="1004"/>
      <c r="MS191" s="1004"/>
      <c r="MT191" s="1004"/>
      <c r="MU191" s="1004"/>
      <c r="MV191" s="1004"/>
      <c r="MW191" s="1004"/>
      <c r="MX191" s="1004"/>
      <c r="MY191" s="1004"/>
      <c r="MZ191" s="1004"/>
      <c r="NA191" s="1004"/>
      <c r="NB191" s="1004"/>
      <c r="NC191" s="1004"/>
      <c r="ND191" s="1004"/>
      <c r="NE191" s="1004"/>
      <c r="NF191" s="1004"/>
      <c r="NG191" s="1004"/>
      <c r="NH191" s="1004"/>
      <c r="NI191" s="1004"/>
      <c r="NJ191" s="1004"/>
      <c r="NK191" s="1004"/>
      <c r="NL191" s="1004"/>
      <c r="NM191" s="1004"/>
      <c r="NN191" s="1004"/>
      <c r="NO191" s="1004"/>
      <c r="NP191" s="1004"/>
      <c r="NQ191" s="1004"/>
      <c r="NR191" s="1004"/>
      <c r="NS191" s="1004"/>
      <c r="NT191" s="1004"/>
      <c r="NU191" s="1004"/>
      <c r="NV191" s="1004"/>
      <c r="NW191" s="1004"/>
      <c r="NX191" s="1004"/>
      <c r="NY191" s="1004"/>
      <c r="NZ191" s="1004"/>
      <c r="OA191" s="1004"/>
      <c r="OB191" s="1004"/>
      <c r="OC191" s="1004"/>
      <c r="OD191" s="1004"/>
      <c r="OE191" s="1004"/>
      <c r="OF191" s="1004"/>
      <c r="OG191" s="1004"/>
      <c r="OH191" s="1004"/>
      <c r="OI191" s="1004"/>
      <c r="OJ191" s="1004"/>
      <c r="OK191" s="1004"/>
      <c r="OL191" s="1004"/>
      <c r="OM191" s="1004"/>
      <c r="ON191" s="1004"/>
      <c r="OO191" s="1004"/>
      <c r="OP191" s="1004"/>
      <c r="OQ191" s="1004"/>
      <c r="OR191" s="1004"/>
      <c r="OS191" s="1004"/>
      <c r="OT191" s="1004"/>
      <c r="OU191" s="1004"/>
      <c r="OV191" s="1004"/>
      <c r="OW191" s="1004"/>
      <c r="OX191" s="1004"/>
      <c r="OY191" s="1004"/>
      <c r="OZ191" s="1004"/>
      <c r="PA191" s="1004"/>
      <c r="PB191" s="1004"/>
      <c r="PC191" s="1004"/>
      <c r="PD191" s="1004"/>
      <c r="PE191" s="1004"/>
      <c r="PF191" s="1004"/>
      <c r="PG191" s="1004"/>
      <c r="PH191" s="1004"/>
      <c r="PI191" s="1004"/>
      <c r="PJ191" s="1004"/>
      <c r="PK191" s="1004"/>
      <c r="PL191" s="1004"/>
      <c r="PM191" s="1004"/>
      <c r="PN191" s="1004"/>
      <c r="PO191" s="1004"/>
      <c r="PP191" s="1004"/>
      <c r="PQ191" s="1004"/>
      <c r="PR191" s="1004"/>
      <c r="PS191" s="1004"/>
      <c r="PT191" s="1004"/>
      <c r="PU191" s="1004"/>
      <c r="PV191" s="1004"/>
      <c r="PW191" s="1004"/>
      <c r="PX191" s="1004"/>
      <c r="PY191" s="1004"/>
      <c r="PZ191" s="1004"/>
      <c r="QA191" s="1004"/>
      <c r="QB191" s="1004"/>
      <c r="QC191" s="1004"/>
      <c r="QD191" s="1004"/>
      <c r="QE191" s="1004"/>
      <c r="QF191" s="1004"/>
      <c r="QG191" s="1004"/>
      <c r="QH191" s="1004"/>
      <c r="QI191" s="1004"/>
      <c r="QJ191" s="1004"/>
      <c r="QK191" s="1004"/>
      <c r="QL191" s="1004"/>
      <c r="QM191" s="1004"/>
      <c r="QN191" s="1004"/>
      <c r="QO191" s="1004"/>
      <c r="QP191" s="1004"/>
      <c r="QQ191" s="1004"/>
      <c r="QR191" s="1004"/>
      <c r="QS191" s="1004"/>
      <c r="QT191" s="1004"/>
      <c r="QU191" s="1004"/>
      <c r="QV191" s="1004"/>
      <c r="QW191" s="1004"/>
      <c r="QX191" s="1004"/>
      <c r="QY191" s="1004"/>
      <c r="QZ191" s="1004"/>
      <c r="RA191" s="1004"/>
      <c r="RB191" s="1004"/>
      <c r="RC191" s="1004"/>
      <c r="RD191" s="1004"/>
      <c r="RE191" s="1004"/>
      <c r="RF191" s="1004"/>
      <c r="RG191" s="1004"/>
      <c r="RH191" s="1004"/>
      <c r="RI191" s="1004"/>
      <c r="RJ191" s="1004"/>
      <c r="RK191" s="1004"/>
      <c r="RL191" s="1004"/>
      <c r="RM191" s="1004"/>
      <c r="RN191" s="1004"/>
      <c r="RO191" s="1004"/>
      <c r="RP191" s="1004"/>
      <c r="RQ191" s="1004"/>
      <c r="RR191" s="1004"/>
      <c r="RS191" s="1004"/>
      <c r="RT191" s="1004"/>
      <c r="RU191" s="1004"/>
      <c r="RV191" s="1004"/>
      <c r="RW191" s="1004"/>
      <c r="RX191" s="1004"/>
      <c r="RY191" s="1004"/>
      <c r="RZ191" s="1004"/>
      <c r="SA191" s="1004"/>
      <c r="SB191" s="1004"/>
      <c r="SC191" s="1004"/>
      <c r="SD191" s="1004"/>
      <c r="SE191" s="1004"/>
      <c r="SF191" s="1004"/>
      <c r="SG191" s="1004"/>
      <c r="SH191" s="1004"/>
      <c r="SI191" s="1004"/>
      <c r="SJ191" s="1004"/>
      <c r="SK191" s="1004"/>
      <c r="SL191" s="1004"/>
      <c r="SM191" s="1004"/>
      <c r="SN191" s="1004"/>
      <c r="SO191" s="1004"/>
      <c r="SP191" s="1004"/>
      <c r="SQ191" s="1004"/>
      <c r="SR191" s="1004"/>
      <c r="SS191" s="1004"/>
      <c r="ST191" s="1004"/>
      <c r="SU191" s="1004"/>
      <c r="SV191" s="1004"/>
      <c r="SW191" s="1004"/>
      <c r="SX191" s="1004"/>
      <c r="SY191" s="1004"/>
      <c r="SZ191" s="1004"/>
      <c r="TA191" s="1004"/>
      <c r="TB191" s="1004"/>
      <c r="TC191" s="1004"/>
      <c r="TD191" s="1004"/>
      <c r="TE191" s="1004"/>
      <c r="TF191" s="1004"/>
      <c r="TG191" s="1004"/>
      <c r="TH191" s="1004"/>
      <c r="TI191" s="1004"/>
      <c r="TJ191" s="1004"/>
      <c r="TK191" s="1004"/>
      <c r="TL191" s="1004"/>
      <c r="TM191" s="1004"/>
      <c r="TN191" s="1004"/>
      <c r="TO191" s="1004"/>
      <c r="TP191" s="1004"/>
      <c r="TQ191" s="1004"/>
      <c r="TR191" s="1004"/>
      <c r="TS191" s="1004"/>
      <c r="TT191" s="1004"/>
      <c r="TU191" s="1004"/>
      <c r="TV191" s="1004"/>
      <c r="TW191" s="1004"/>
      <c r="TX191" s="1004"/>
      <c r="TY191" s="1004"/>
      <c r="TZ191" s="1004"/>
      <c r="UA191" s="1004"/>
      <c r="UB191" s="1004"/>
      <c r="UC191" s="1004"/>
      <c r="UD191" s="1004"/>
      <c r="UE191" s="1004"/>
      <c r="UF191" s="1004"/>
      <c r="UG191" s="1004"/>
      <c r="UH191" s="1004"/>
      <c r="UI191" s="1004"/>
      <c r="UJ191" s="1004"/>
      <c r="UK191" s="1004"/>
      <c r="UL191" s="1004"/>
      <c r="UM191" s="1004"/>
      <c r="UN191" s="1004"/>
      <c r="UO191" s="1004"/>
      <c r="UP191" s="1004"/>
      <c r="UQ191" s="1004"/>
      <c r="UR191" s="1004"/>
      <c r="US191" s="1004"/>
      <c r="UT191" s="1004"/>
      <c r="UU191" s="1004"/>
      <c r="UV191" s="1004"/>
      <c r="UW191" s="1004"/>
      <c r="UX191" s="1004"/>
      <c r="UY191" s="1004"/>
      <c r="UZ191" s="1004"/>
      <c r="VA191" s="1004"/>
      <c r="VB191" s="1004"/>
      <c r="VC191" s="1004"/>
      <c r="VD191" s="1004"/>
      <c r="VE191" s="1004"/>
      <c r="VF191" s="1004"/>
      <c r="VG191" s="1004"/>
      <c r="VH191" s="1004"/>
      <c r="VI191" s="1004"/>
      <c r="VJ191" s="1004"/>
      <c r="VK191" s="1004"/>
      <c r="VL191" s="1004"/>
      <c r="VM191" s="1004"/>
      <c r="VN191" s="1004"/>
      <c r="VO191" s="1004"/>
      <c r="VP191" s="1004"/>
      <c r="VQ191" s="1004"/>
      <c r="VR191" s="1004"/>
      <c r="VS191" s="1004"/>
      <c r="VT191" s="1004"/>
      <c r="VU191" s="1004"/>
      <c r="VV191" s="1004"/>
      <c r="VW191" s="1004"/>
      <c r="VX191" s="1004"/>
      <c r="VY191" s="1004"/>
      <c r="VZ191" s="1004"/>
      <c r="WA191" s="1004"/>
      <c r="WB191" s="1004"/>
      <c r="WC191" s="1004"/>
      <c r="WD191" s="1004"/>
      <c r="WE191" s="1004"/>
      <c r="WF191" s="1004"/>
      <c r="WG191" s="1004"/>
      <c r="WH191" s="1004"/>
      <c r="WI191" s="1004"/>
      <c r="WJ191" s="1004"/>
      <c r="WK191" s="1004"/>
      <c r="WL191" s="1004"/>
      <c r="WM191" s="1004"/>
      <c r="WN191" s="1004"/>
      <c r="WO191" s="1004"/>
      <c r="WP191" s="1004"/>
      <c r="WQ191" s="1004"/>
      <c r="WR191" s="1004"/>
      <c r="WS191" s="1004"/>
      <c r="WT191" s="1004"/>
      <c r="WU191" s="1004"/>
      <c r="WV191" s="1004"/>
      <c r="WW191" s="1004"/>
      <c r="WX191" s="1004"/>
      <c r="WY191" s="1004"/>
      <c r="WZ191" s="1004"/>
      <c r="XA191" s="1004"/>
      <c r="XB191" s="1004"/>
      <c r="XC191" s="1004"/>
      <c r="XD191" s="1004"/>
      <c r="XE191" s="1004"/>
      <c r="XF191" s="1004"/>
      <c r="XG191" s="1004"/>
      <c r="XH191" s="1004"/>
      <c r="XI191" s="1004"/>
      <c r="XJ191" s="1004"/>
      <c r="XK191" s="1004"/>
      <c r="XL191" s="1004"/>
      <c r="XM191" s="1004"/>
      <c r="XN191" s="1004"/>
      <c r="XO191" s="1004"/>
      <c r="XP191" s="1004"/>
      <c r="XQ191" s="1004"/>
      <c r="XR191" s="1004"/>
      <c r="XS191" s="1004"/>
      <c r="XT191" s="1004"/>
      <c r="XU191" s="1004"/>
      <c r="XV191" s="1004"/>
      <c r="XW191" s="1004"/>
      <c r="XX191" s="1004"/>
      <c r="XY191" s="1004"/>
      <c r="XZ191" s="1004"/>
      <c r="YA191" s="1004"/>
      <c r="YB191" s="1004"/>
      <c r="YC191" s="1004"/>
      <c r="YD191" s="1004"/>
      <c r="YE191" s="1004"/>
      <c r="YF191" s="1004"/>
      <c r="YG191" s="1004"/>
      <c r="YH191" s="1004"/>
      <c r="YI191" s="1004"/>
      <c r="YJ191" s="1004"/>
      <c r="YK191" s="1004"/>
      <c r="YL191" s="1004"/>
      <c r="YM191" s="1004"/>
      <c r="YN191" s="1004"/>
      <c r="YO191" s="1004"/>
      <c r="YP191" s="1004"/>
      <c r="YQ191" s="1004"/>
      <c r="YR191" s="1004"/>
      <c r="YS191" s="1004"/>
      <c r="YT191" s="1004"/>
      <c r="YU191" s="1004"/>
      <c r="YV191" s="1004"/>
      <c r="YW191" s="1004"/>
      <c r="YX191" s="1004"/>
      <c r="YY191" s="1004"/>
      <c r="YZ191" s="1004"/>
      <c r="ZA191" s="1004"/>
      <c r="ZB191" s="1004"/>
      <c r="ZC191" s="1004"/>
      <c r="ZD191" s="1004"/>
      <c r="ZE191" s="1004"/>
      <c r="ZF191" s="1004"/>
      <c r="ZG191" s="1004"/>
      <c r="ZH191" s="1004"/>
      <c r="ZI191" s="1004"/>
      <c r="ZJ191" s="1004"/>
      <c r="ZK191" s="1004"/>
      <c r="ZL191" s="1004"/>
      <c r="ZM191" s="1004"/>
      <c r="ZN191" s="1004"/>
      <c r="ZO191" s="1004"/>
      <c r="ZP191" s="1004"/>
      <c r="ZQ191" s="1004"/>
      <c r="ZR191" s="1004"/>
      <c r="ZS191" s="1004"/>
      <c r="ZT191" s="1004"/>
      <c r="ZU191" s="1004"/>
      <c r="ZV191" s="1004"/>
      <c r="ZW191" s="1004"/>
      <c r="ZX191" s="1004"/>
      <c r="ZY191" s="1004"/>
      <c r="ZZ191" s="1004"/>
      <c r="AAA191" s="1004"/>
      <c r="AAB191" s="1004"/>
      <c r="AAC191" s="1004"/>
      <c r="AAD191" s="1004"/>
      <c r="AAE191" s="1004"/>
      <c r="AAF191" s="1004"/>
      <c r="AAG191" s="1004"/>
      <c r="AAH191" s="1004"/>
      <c r="AAI191" s="1004"/>
      <c r="AAJ191" s="1004"/>
      <c r="AAK191" s="1004"/>
      <c r="AAL191" s="1004"/>
      <c r="AAM191" s="1004"/>
      <c r="AAN191" s="1004"/>
      <c r="AAO191" s="1004"/>
      <c r="AAP191" s="1004"/>
      <c r="AAQ191" s="1004"/>
      <c r="AAR191" s="1004"/>
      <c r="AAS191" s="1004"/>
      <c r="AAT191" s="1004"/>
      <c r="AAU191" s="1004"/>
      <c r="AAV191" s="1004"/>
      <c r="AAW191" s="1004"/>
      <c r="AAX191" s="1004"/>
      <c r="AAY191" s="1004"/>
      <c r="AAZ191" s="1004"/>
      <c r="ABA191" s="1004"/>
      <c r="ABB191" s="1004"/>
      <c r="ABC191" s="1004"/>
      <c r="ABD191" s="1004"/>
      <c r="ABE191" s="1004"/>
      <c r="ABF191" s="1004"/>
      <c r="ABG191" s="1004"/>
      <c r="ABH191" s="1004"/>
      <c r="ABI191" s="1004"/>
      <c r="ABJ191" s="1004"/>
      <c r="ABK191" s="1004"/>
      <c r="ABL191" s="1004"/>
      <c r="ABM191" s="1004"/>
      <c r="ABN191" s="1004"/>
      <c r="ABO191" s="1004"/>
      <c r="ABP191" s="1004"/>
      <c r="ABQ191" s="1004"/>
      <c r="ABR191" s="1004"/>
    </row>
    <row r="192" spans="1:746" s="112" customFormat="1" ht="12" customHeight="1">
      <c r="A192" s="924"/>
      <c r="B192" s="882" t="s">
        <v>354</v>
      </c>
      <c r="C192" s="958"/>
      <c r="D192" s="958"/>
      <c r="E192" s="958"/>
      <c r="F192" s="963"/>
      <c r="G192" s="964"/>
      <c r="H192" s="2185"/>
      <c r="I192" s="796"/>
      <c r="J192" s="2607"/>
      <c r="K192" s="2607"/>
      <c r="L192" s="2607"/>
      <c r="M192" s="2607"/>
      <c r="N192" s="2607"/>
      <c r="O192" s="2607"/>
      <c r="P192" s="2607"/>
      <c r="Q192" s="2607"/>
      <c r="R192" s="2607"/>
      <c r="S192" s="2607"/>
      <c r="T192" s="2607"/>
      <c r="U192" s="1966"/>
      <c r="V192" s="368"/>
      <c r="W192" s="1966"/>
      <c r="X192" s="1966"/>
      <c r="Y192" s="1966"/>
      <c r="Z192" s="1966"/>
      <c r="AA192" s="1966"/>
      <c r="AB192" s="1966"/>
      <c r="AC192" s="1966"/>
      <c r="AD192" s="1966"/>
      <c r="AE192" s="1966"/>
      <c r="AF192" s="1966"/>
      <c r="AG192" s="1042"/>
      <c r="AH192" s="336"/>
      <c r="AI192" s="336"/>
      <c r="AJ192" s="416">
        <f>IF(fx!$C$57=1,SUMIF(fx!I$57:T$57,1,I192:T192),IF(fx!$C$57=2,SUMIF(fx!O$57:AF$57,1,O192:AF192)))</f>
        <v>0</v>
      </c>
      <c r="AK192" s="328"/>
      <c r="AL192" s="422">
        <f>IF(fx!$C$57=1,SUM(U192:AF192),0)</f>
        <v>0</v>
      </c>
      <c r="AM192" s="1004"/>
      <c r="AN192" s="1031"/>
      <c r="AO192" s="1945"/>
      <c r="AP192" s="1935"/>
      <c r="AQ192" s="1936"/>
      <c r="AR192" s="1941"/>
      <c r="AS192" s="1941"/>
      <c r="AT192" s="1941"/>
      <c r="AU192" s="1941"/>
      <c r="AV192" s="1941"/>
      <c r="AW192" s="1941"/>
      <c r="AX192" s="1941"/>
      <c r="AY192" s="1941"/>
      <c r="AZ192" s="1941"/>
      <c r="BA192" s="1941"/>
      <c r="BB192" s="1941"/>
      <c r="BC192" s="1941"/>
      <c r="BD192" s="1941"/>
      <c r="BE192" s="1941"/>
      <c r="BF192" s="1941"/>
      <c r="BG192" s="1941"/>
      <c r="BH192" s="1941"/>
      <c r="BI192" s="1941"/>
      <c r="BJ192" s="1941"/>
      <c r="BK192" s="1941"/>
      <c r="BL192" s="1941"/>
      <c r="BM192" s="1941"/>
      <c r="BN192" s="1941"/>
      <c r="BO192" s="1941"/>
      <c r="BP192" s="1004"/>
      <c r="BQ192" s="1004"/>
      <c r="BR192" s="1004"/>
      <c r="BS192" s="1004"/>
      <c r="BT192" s="1004"/>
      <c r="BU192" s="1004"/>
      <c r="BV192" s="1004"/>
      <c r="BW192" s="1004"/>
      <c r="BX192" s="1004"/>
      <c r="BY192" s="1004"/>
      <c r="BZ192" s="1004"/>
      <c r="CA192" s="1004"/>
      <c r="CB192" s="1004"/>
      <c r="CC192" s="1004"/>
      <c r="CD192" s="1004"/>
      <c r="CE192" s="1004"/>
      <c r="CF192" s="1004"/>
      <c r="CG192" s="1004"/>
      <c r="CH192" s="1004"/>
      <c r="CI192" s="1004"/>
      <c r="CJ192" s="1004"/>
      <c r="CK192" s="1004"/>
      <c r="CL192" s="1004"/>
      <c r="CM192" s="1004"/>
      <c r="CN192" s="1004"/>
      <c r="CO192" s="1004"/>
      <c r="CP192" s="1004"/>
      <c r="CQ192" s="1004"/>
      <c r="CR192" s="1004"/>
      <c r="CS192" s="1004"/>
      <c r="CT192" s="1004"/>
      <c r="CU192" s="1004"/>
      <c r="CV192" s="1004"/>
      <c r="CW192" s="1004"/>
      <c r="CX192" s="1004"/>
      <c r="CY192" s="1004"/>
      <c r="CZ192" s="1004"/>
      <c r="DA192" s="1004"/>
      <c r="DB192" s="1004"/>
      <c r="DC192" s="1004"/>
      <c r="DD192" s="1004"/>
      <c r="DE192" s="1004"/>
      <c r="DF192" s="1004"/>
      <c r="DG192" s="1004"/>
      <c r="DH192" s="1004"/>
      <c r="DI192" s="1004"/>
      <c r="DJ192" s="1004"/>
      <c r="DK192" s="1004"/>
      <c r="DL192" s="1004"/>
      <c r="DM192" s="1004"/>
      <c r="DN192" s="1004"/>
      <c r="DO192" s="1004"/>
      <c r="DP192" s="1004"/>
      <c r="DQ192" s="1004"/>
      <c r="DR192" s="1004"/>
      <c r="DS192" s="1004"/>
      <c r="DT192" s="1004"/>
      <c r="DU192" s="1004"/>
      <c r="DV192" s="1004"/>
      <c r="DW192" s="1004"/>
      <c r="DX192" s="1004"/>
      <c r="DY192" s="1004"/>
      <c r="DZ192" s="1004"/>
      <c r="EA192" s="1004"/>
      <c r="EB192" s="1004"/>
      <c r="EC192" s="1004"/>
      <c r="ED192" s="1004"/>
      <c r="EE192" s="1004"/>
      <c r="EF192" s="1004"/>
      <c r="EG192" s="1004"/>
      <c r="EH192" s="1004"/>
      <c r="EI192" s="1004"/>
      <c r="EJ192" s="1004"/>
      <c r="EK192" s="1004"/>
      <c r="EL192" s="1004"/>
      <c r="EM192" s="1004"/>
      <c r="EN192" s="1004"/>
      <c r="EO192" s="1004"/>
      <c r="EP192" s="1004"/>
      <c r="EQ192" s="1004"/>
      <c r="ER192" s="1004"/>
      <c r="ES192" s="1004"/>
      <c r="ET192" s="1004"/>
      <c r="EU192" s="1004"/>
      <c r="EV192" s="1004"/>
      <c r="EW192" s="1004"/>
      <c r="EX192" s="1004"/>
      <c r="EY192" s="1004"/>
      <c r="EZ192" s="1004"/>
      <c r="FA192" s="1004"/>
      <c r="FB192" s="1004"/>
      <c r="FC192" s="1004"/>
      <c r="FD192" s="1004"/>
      <c r="FE192" s="1004"/>
      <c r="FF192" s="1004"/>
      <c r="FG192" s="1004"/>
      <c r="FH192" s="1004"/>
      <c r="FI192" s="1004"/>
      <c r="FJ192" s="1004"/>
      <c r="FK192" s="1004"/>
      <c r="FL192" s="1004"/>
      <c r="FM192" s="1004"/>
      <c r="FN192" s="1004"/>
      <c r="FO192" s="1004"/>
      <c r="FP192" s="1004"/>
      <c r="FQ192" s="1004"/>
      <c r="FR192" s="1004"/>
      <c r="FS192" s="1004"/>
      <c r="FT192" s="1004"/>
      <c r="FU192" s="1004"/>
      <c r="FV192" s="1004"/>
      <c r="FW192" s="1004"/>
      <c r="FX192" s="1004"/>
      <c r="FY192" s="1004"/>
      <c r="FZ192" s="1004"/>
      <c r="GA192" s="1004"/>
      <c r="GB192" s="1004"/>
      <c r="GC192" s="1004"/>
      <c r="GD192" s="1004"/>
      <c r="GE192" s="1004"/>
      <c r="GF192" s="1004"/>
      <c r="GG192" s="1004"/>
      <c r="GH192" s="1004"/>
      <c r="GI192" s="1004"/>
      <c r="GJ192" s="1004"/>
      <c r="GK192" s="1004"/>
      <c r="GL192" s="1004"/>
      <c r="GM192" s="1004"/>
      <c r="GN192" s="1004"/>
      <c r="GO192" s="1004"/>
      <c r="GP192" s="1004"/>
      <c r="GQ192" s="1004"/>
      <c r="GR192" s="1004"/>
      <c r="GS192" s="1004"/>
      <c r="GT192" s="1004"/>
      <c r="GU192" s="1004"/>
      <c r="GV192" s="1004"/>
      <c r="GW192" s="1004"/>
      <c r="GX192" s="1004"/>
      <c r="GY192" s="1004"/>
      <c r="GZ192" s="1004"/>
      <c r="HA192" s="1004"/>
      <c r="HB192" s="1004"/>
      <c r="HC192" s="1004"/>
      <c r="HD192" s="1004"/>
      <c r="HE192" s="1004"/>
      <c r="HF192" s="1004"/>
      <c r="HG192" s="1004"/>
      <c r="HH192" s="1004"/>
      <c r="HI192" s="1004"/>
      <c r="HJ192" s="1004"/>
      <c r="HK192" s="1004"/>
      <c r="HL192" s="1004"/>
      <c r="HM192" s="1004"/>
      <c r="HN192" s="1004"/>
      <c r="HO192" s="1004"/>
      <c r="HP192" s="1004"/>
      <c r="HQ192" s="1004"/>
      <c r="HR192" s="1004"/>
      <c r="HS192" s="1004"/>
      <c r="HT192" s="1004"/>
      <c r="HU192" s="1004"/>
      <c r="HV192" s="1004"/>
      <c r="HW192" s="1004"/>
      <c r="HX192" s="1004"/>
      <c r="HY192" s="1004"/>
      <c r="HZ192" s="1004"/>
      <c r="IA192" s="1004"/>
      <c r="IB192" s="1004"/>
      <c r="IC192" s="1004"/>
      <c r="ID192" s="1004"/>
      <c r="IE192" s="1004"/>
      <c r="IF192" s="1004"/>
      <c r="IG192" s="1004"/>
      <c r="IH192" s="1004"/>
      <c r="II192" s="1004"/>
      <c r="IJ192" s="1004"/>
      <c r="IK192" s="1004"/>
      <c r="IL192" s="1004"/>
      <c r="IM192" s="1004"/>
      <c r="IN192" s="1004"/>
      <c r="IO192" s="1004"/>
      <c r="IP192" s="1004"/>
      <c r="IQ192" s="1004"/>
      <c r="IR192" s="1004"/>
      <c r="IS192" s="1004"/>
      <c r="IT192" s="1004"/>
      <c r="IU192" s="1004"/>
      <c r="IV192" s="1004"/>
      <c r="IW192" s="1004"/>
      <c r="IX192" s="1004"/>
      <c r="IY192" s="1004"/>
      <c r="IZ192" s="1004"/>
      <c r="JA192" s="1004"/>
      <c r="JB192" s="1004"/>
      <c r="JC192" s="1004"/>
      <c r="JD192" s="1004"/>
      <c r="JE192" s="1004"/>
      <c r="JF192" s="1004"/>
      <c r="JG192" s="1004"/>
      <c r="JH192" s="1004"/>
      <c r="JI192" s="1004"/>
      <c r="JJ192" s="1004"/>
      <c r="JK192" s="1004"/>
      <c r="JL192" s="1004"/>
      <c r="JM192" s="1004"/>
      <c r="JN192" s="1004"/>
      <c r="JO192" s="1004"/>
      <c r="JP192" s="1004"/>
      <c r="JQ192" s="1004"/>
      <c r="JR192" s="1004"/>
      <c r="JS192" s="1004"/>
      <c r="JT192" s="1004"/>
      <c r="JU192" s="1004"/>
      <c r="JV192" s="1004"/>
      <c r="JW192" s="1004"/>
      <c r="JX192" s="1004"/>
      <c r="JY192" s="1004"/>
      <c r="JZ192" s="1004"/>
      <c r="KA192" s="1004"/>
      <c r="KB192" s="1004"/>
      <c r="KC192" s="1004"/>
      <c r="KD192" s="1004"/>
      <c r="KE192" s="1004"/>
      <c r="KF192" s="1004"/>
      <c r="KG192" s="1004"/>
      <c r="KH192" s="1004"/>
      <c r="KI192" s="1004"/>
      <c r="KJ192" s="1004"/>
      <c r="KK192" s="1004"/>
      <c r="KL192" s="1004"/>
      <c r="KM192" s="1004"/>
      <c r="KN192" s="1004"/>
      <c r="KO192" s="1004"/>
      <c r="KP192" s="1004"/>
      <c r="KQ192" s="1004"/>
      <c r="KR192" s="1004"/>
      <c r="KS192" s="1004"/>
      <c r="KT192" s="1004"/>
      <c r="KU192" s="1004"/>
      <c r="KV192" s="1004"/>
      <c r="KW192" s="1004"/>
      <c r="KX192" s="1004"/>
      <c r="KY192" s="1004"/>
      <c r="KZ192" s="1004"/>
      <c r="LA192" s="1004"/>
      <c r="LB192" s="1004"/>
      <c r="LC192" s="1004"/>
      <c r="LD192" s="1004"/>
      <c r="LE192" s="1004"/>
      <c r="LF192" s="1004"/>
      <c r="LG192" s="1004"/>
      <c r="LH192" s="1004"/>
      <c r="LI192" s="1004"/>
      <c r="LJ192" s="1004"/>
      <c r="LK192" s="1004"/>
      <c r="LL192" s="1004"/>
      <c r="LM192" s="1004"/>
      <c r="LN192" s="1004"/>
      <c r="LO192" s="1004"/>
      <c r="LP192" s="1004"/>
      <c r="LQ192" s="1004"/>
      <c r="LR192" s="1004"/>
      <c r="LS192" s="1004"/>
      <c r="LT192" s="1004"/>
      <c r="LU192" s="1004"/>
      <c r="LV192" s="1004"/>
      <c r="LW192" s="1004"/>
      <c r="LX192" s="1004"/>
      <c r="LY192" s="1004"/>
      <c r="LZ192" s="1004"/>
      <c r="MA192" s="1004"/>
      <c r="MB192" s="1004"/>
      <c r="MC192" s="1004"/>
      <c r="MD192" s="1004"/>
      <c r="ME192" s="1004"/>
      <c r="MF192" s="1004"/>
      <c r="MG192" s="1004"/>
      <c r="MH192" s="1004"/>
      <c r="MI192" s="1004"/>
      <c r="MJ192" s="1004"/>
      <c r="MK192" s="1004"/>
      <c r="ML192" s="1004"/>
      <c r="MM192" s="1004"/>
      <c r="MN192" s="1004"/>
      <c r="MO192" s="1004"/>
      <c r="MP192" s="1004"/>
      <c r="MQ192" s="1004"/>
      <c r="MR192" s="1004"/>
      <c r="MS192" s="1004"/>
      <c r="MT192" s="1004"/>
      <c r="MU192" s="1004"/>
      <c r="MV192" s="1004"/>
      <c r="MW192" s="1004"/>
      <c r="MX192" s="1004"/>
      <c r="MY192" s="1004"/>
      <c r="MZ192" s="1004"/>
      <c r="NA192" s="1004"/>
      <c r="NB192" s="1004"/>
      <c r="NC192" s="1004"/>
      <c r="ND192" s="1004"/>
      <c r="NE192" s="1004"/>
      <c r="NF192" s="1004"/>
      <c r="NG192" s="1004"/>
      <c r="NH192" s="1004"/>
      <c r="NI192" s="1004"/>
      <c r="NJ192" s="1004"/>
      <c r="NK192" s="1004"/>
      <c r="NL192" s="1004"/>
      <c r="NM192" s="1004"/>
      <c r="NN192" s="1004"/>
      <c r="NO192" s="1004"/>
      <c r="NP192" s="1004"/>
      <c r="NQ192" s="1004"/>
      <c r="NR192" s="1004"/>
      <c r="NS192" s="1004"/>
      <c r="NT192" s="1004"/>
      <c r="NU192" s="1004"/>
      <c r="NV192" s="1004"/>
      <c r="NW192" s="1004"/>
      <c r="NX192" s="1004"/>
      <c r="NY192" s="1004"/>
      <c r="NZ192" s="1004"/>
      <c r="OA192" s="1004"/>
      <c r="OB192" s="1004"/>
      <c r="OC192" s="1004"/>
      <c r="OD192" s="1004"/>
      <c r="OE192" s="1004"/>
      <c r="OF192" s="1004"/>
      <c r="OG192" s="1004"/>
      <c r="OH192" s="1004"/>
      <c r="OI192" s="1004"/>
      <c r="OJ192" s="1004"/>
      <c r="OK192" s="1004"/>
      <c r="OL192" s="1004"/>
      <c r="OM192" s="1004"/>
      <c r="ON192" s="1004"/>
      <c r="OO192" s="1004"/>
      <c r="OP192" s="1004"/>
      <c r="OQ192" s="1004"/>
      <c r="OR192" s="1004"/>
      <c r="OS192" s="1004"/>
      <c r="OT192" s="1004"/>
      <c r="OU192" s="1004"/>
      <c r="OV192" s="1004"/>
      <c r="OW192" s="1004"/>
      <c r="OX192" s="1004"/>
      <c r="OY192" s="1004"/>
      <c r="OZ192" s="1004"/>
      <c r="PA192" s="1004"/>
      <c r="PB192" s="1004"/>
      <c r="PC192" s="1004"/>
      <c r="PD192" s="1004"/>
      <c r="PE192" s="1004"/>
      <c r="PF192" s="1004"/>
      <c r="PG192" s="1004"/>
      <c r="PH192" s="1004"/>
      <c r="PI192" s="1004"/>
      <c r="PJ192" s="1004"/>
      <c r="PK192" s="1004"/>
      <c r="PL192" s="1004"/>
      <c r="PM192" s="1004"/>
      <c r="PN192" s="1004"/>
      <c r="PO192" s="1004"/>
      <c r="PP192" s="1004"/>
      <c r="PQ192" s="1004"/>
      <c r="PR192" s="1004"/>
      <c r="PS192" s="1004"/>
      <c r="PT192" s="1004"/>
      <c r="PU192" s="1004"/>
      <c r="PV192" s="1004"/>
      <c r="PW192" s="1004"/>
      <c r="PX192" s="1004"/>
      <c r="PY192" s="1004"/>
      <c r="PZ192" s="1004"/>
      <c r="QA192" s="1004"/>
      <c r="QB192" s="1004"/>
      <c r="QC192" s="1004"/>
      <c r="QD192" s="1004"/>
      <c r="QE192" s="1004"/>
      <c r="QF192" s="1004"/>
      <c r="QG192" s="1004"/>
      <c r="QH192" s="1004"/>
      <c r="QI192" s="1004"/>
      <c r="QJ192" s="1004"/>
      <c r="QK192" s="1004"/>
      <c r="QL192" s="1004"/>
      <c r="QM192" s="1004"/>
      <c r="QN192" s="1004"/>
      <c r="QO192" s="1004"/>
      <c r="QP192" s="1004"/>
      <c r="QQ192" s="1004"/>
      <c r="QR192" s="1004"/>
      <c r="QS192" s="1004"/>
      <c r="QT192" s="1004"/>
      <c r="QU192" s="1004"/>
      <c r="QV192" s="1004"/>
      <c r="QW192" s="1004"/>
      <c r="QX192" s="1004"/>
      <c r="QY192" s="1004"/>
      <c r="QZ192" s="1004"/>
      <c r="RA192" s="1004"/>
      <c r="RB192" s="1004"/>
      <c r="RC192" s="1004"/>
      <c r="RD192" s="1004"/>
      <c r="RE192" s="1004"/>
      <c r="RF192" s="1004"/>
      <c r="RG192" s="1004"/>
      <c r="RH192" s="1004"/>
      <c r="RI192" s="1004"/>
      <c r="RJ192" s="1004"/>
      <c r="RK192" s="1004"/>
      <c r="RL192" s="1004"/>
      <c r="RM192" s="1004"/>
      <c r="RN192" s="1004"/>
      <c r="RO192" s="1004"/>
      <c r="RP192" s="1004"/>
      <c r="RQ192" s="1004"/>
      <c r="RR192" s="1004"/>
      <c r="RS192" s="1004"/>
      <c r="RT192" s="1004"/>
      <c r="RU192" s="1004"/>
      <c r="RV192" s="1004"/>
      <c r="RW192" s="1004"/>
      <c r="RX192" s="1004"/>
      <c r="RY192" s="1004"/>
      <c r="RZ192" s="1004"/>
      <c r="SA192" s="1004"/>
      <c r="SB192" s="1004"/>
      <c r="SC192" s="1004"/>
      <c r="SD192" s="1004"/>
      <c r="SE192" s="1004"/>
      <c r="SF192" s="1004"/>
      <c r="SG192" s="1004"/>
      <c r="SH192" s="1004"/>
      <c r="SI192" s="1004"/>
      <c r="SJ192" s="1004"/>
      <c r="SK192" s="1004"/>
      <c r="SL192" s="1004"/>
      <c r="SM192" s="1004"/>
      <c r="SN192" s="1004"/>
      <c r="SO192" s="1004"/>
      <c r="SP192" s="1004"/>
      <c r="SQ192" s="1004"/>
      <c r="SR192" s="1004"/>
      <c r="SS192" s="1004"/>
      <c r="ST192" s="1004"/>
      <c r="SU192" s="1004"/>
      <c r="SV192" s="1004"/>
      <c r="SW192" s="1004"/>
      <c r="SX192" s="1004"/>
      <c r="SY192" s="1004"/>
      <c r="SZ192" s="1004"/>
      <c r="TA192" s="1004"/>
      <c r="TB192" s="1004"/>
      <c r="TC192" s="1004"/>
      <c r="TD192" s="1004"/>
      <c r="TE192" s="1004"/>
      <c r="TF192" s="1004"/>
      <c r="TG192" s="1004"/>
      <c r="TH192" s="1004"/>
      <c r="TI192" s="1004"/>
      <c r="TJ192" s="1004"/>
      <c r="TK192" s="1004"/>
      <c r="TL192" s="1004"/>
      <c r="TM192" s="1004"/>
      <c r="TN192" s="1004"/>
      <c r="TO192" s="1004"/>
      <c r="TP192" s="1004"/>
      <c r="TQ192" s="1004"/>
      <c r="TR192" s="1004"/>
      <c r="TS192" s="1004"/>
      <c r="TT192" s="1004"/>
      <c r="TU192" s="1004"/>
      <c r="TV192" s="1004"/>
      <c r="TW192" s="1004"/>
      <c r="TX192" s="1004"/>
      <c r="TY192" s="1004"/>
      <c r="TZ192" s="1004"/>
      <c r="UA192" s="1004"/>
      <c r="UB192" s="1004"/>
      <c r="UC192" s="1004"/>
      <c r="UD192" s="1004"/>
      <c r="UE192" s="1004"/>
      <c r="UF192" s="1004"/>
      <c r="UG192" s="1004"/>
      <c r="UH192" s="1004"/>
      <c r="UI192" s="1004"/>
      <c r="UJ192" s="1004"/>
      <c r="UK192" s="1004"/>
      <c r="UL192" s="1004"/>
      <c r="UM192" s="1004"/>
      <c r="UN192" s="1004"/>
      <c r="UO192" s="1004"/>
      <c r="UP192" s="1004"/>
      <c r="UQ192" s="1004"/>
      <c r="UR192" s="1004"/>
      <c r="US192" s="1004"/>
      <c r="UT192" s="1004"/>
      <c r="UU192" s="1004"/>
      <c r="UV192" s="1004"/>
      <c r="UW192" s="1004"/>
      <c r="UX192" s="1004"/>
      <c r="UY192" s="1004"/>
      <c r="UZ192" s="1004"/>
      <c r="VA192" s="1004"/>
      <c r="VB192" s="1004"/>
      <c r="VC192" s="1004"/>
      <c r="VD192" s="1004"/>
      <c r="VE192" s="1004"/>
      <c r="VF192" s="1004"/>
      <c r="VG192" s="1004"/>
      <c r="VH192" s="1004"/>
      <c r="VI192" s="1004"/>
      <c r="VJ192" s="1004"/>
      <c r="VK192" s="1004"/>
      <c r="VL192" s="1004"/>
      <c r="VM192" s="1004"/>
      <c r="VN192" s="1004"/>
      <c r="VO192" s="1004"/>
      <c r="VP192" s="1004"/>
      <c r="VQ192" s="1004"/>
      <c r="VR192" s="1004"/>
      <c r="VS192" s="1004"/>
      <c r="VT192" s="1004"/>
      <c r="VU192" s="1004"/>
      <c r="VV192" s="1004"/>
      <c r="VW192" s="1004"/>
      <c r="VX192" s="1004"/>
      <c r="VY192" s="1004"/>
      <c r="VZ192" s="1004"/>
      <c r="WA192" s="1004"/>
      <c r="WB192" s="1004"/>
      <c r="WC192" s="1004"/>
      <c r="WD192" s="1004"/>
      <c r="WE192" s="1004"/>
      <c r="WF192" s="1004"/>
      <c r="WG192" s="1004"/>
      <c r="WH192" s="1004"/>
      <c r="WI192" s="1004"/>
      <c r="WJ192" s="1004"/>
      <c r="WK192" s="1004"/>
      <c r="WL192" s="1004"/>
      <c r="WM192" s="1004"/>
      <c r="WN192" s="1004"/>
      <c r="WO192" s="1004"/>
      <c r="WP192" s="1004"/>
      <c r="WQ192" s="1004"/>
      <c r="WR192" s="1004"/>
      <c r="WS192" s="1004"/>
      <c r="WT192" s="1004"/>
      <c r="WU192" s="1004"/>
      <c r="WV192" s="1004"/>
      <c r="WW192" s="1004"/>
      <c r="WX192" s="1004"/>
      <c r="WY192" s="1004"/>
      <c r="WZ192" s="1004"/>
      <c r="XA192" s="1004"/>
      <c r="XB192" s="1004"/>
      <c r="XC192" s="1004"/>
      <c r="XD192" s="1004"/>
      <c r="XE192" s="1004"/>
      <c r="XF192" s="1004"/>
      <c r="XG192" s="1004"/>
      <c r="XH192" s="1004"/>
      <c r="XI192" s="1004"/>
      <c r="XJ192" s="1004"/>
      <c r="XK192" s="1004"/>
      <c r="XL192" s="1004"/>
      <c r="XM192" s="1004"/>
      <c r="XN192" s="1004"/>
      <c r="XO192" s="1004"/>
      <c r="XP192" s="1004"/>
      <c r="XQ192" s="1004"/>
      <c r="XR192" s="1004"/>
      <c r="XS192" s="1004"/>
      <c r="XT192" s="1004"/>
      <c r="XU192" s="1004"/>
      <c r="XV192" s="1004"/>
      <c r="XW192" s="1004"/>
      <c r="XX192" s="1004"/>
      <c r="XY192" s="1004"/>
      <c r="XZ192" s="1004"/>
      <c r="YA192" s="1004"/>
      <c r="YB192" s="1004"/>
      <c r="YC192" s="1004"/>
      <c r="YD192" s="1004"/>
      <c r="YE192" s="1004"/>
      <c r="YF192" s="1004"/>
      <c r="YG192" s="1004"/>
      <c r="YH192" s="1004"/>
      <c r="YI192" s="1004"/>
      <c r="YJ192" s="1004"/>
      <c r="YK192" s="1004"/>
      <c r="YL192" s="1004"/>
      <c r="YM192" s="1004"/>
      <c r="YN192" s="1004"/>
      <c r="YO192" s="1004"/>
      <c r="YP192" s="1004"/>
      <c r="YQ192" s="1004"/>
      <c r="YR192" s="1004"/>
      <c r="YS192" s="1004"/>
      <c r="YT192" s="1004"/>
      <c r="YU192" s="1004"/>
      <c r="YV192" s="1004"/>
      <c r="YW192" s="1004"/>
      <c r="YX192" s="1004"/>
      <c r="YY192" s="1004"/>
      <c r="YZ192" s="1004"/>
      <c r="ZA192" s="1004"/>
      <c r="ZB192" s="1004"/>
      <c r="ZC192" s="1004"/>
      <c r="ZD192" s="1004"/>
      <c r="ZE192" s="1004"/>
      <c r="ZF192" s="1004"/>
      <c r="ZG192" s="1004"/>
      <c r="ZH192" s="1004"/>
      <c r="ZI192" s="1004"/>
      <c r="ZJ192" s="1004"/>
      <c r="ZK192" s="1004"/>
      <c r="ZL192" s="1004"/>
      <c r="ZM192" s="1004"/>
      <c r="ZN192" s="1004"/>
      <c r="ZO192" s="1004"/>
      <c r="ZP192" s="1004"/>
      <c r="ZQ192" s="1004"/>
      <c r="ZR192" s="1004"/>
      <c r="ZS192" s="1004"/>
      <c r="ZT192" s="1004"/>
      <c r="ZU192" s="1004"/>
      <c r="ZV192" s="1004"/>
      <c r="ZW192" s="1004"/>
      <c r="ZX192" s="1004"/>
      <c r="ZY192" s="1004"/>
      <c r="ZZ192" s="1004"/>
      <c r="AAA192" s="1004"/>
      <c r="AAB192" s="1004"/>
      <c r="AAC192" s="1004"/>
      <c r="AAD192" s="1004"/>
      <c r="AAE192" s="1004"/>
      <c r="AAF192" s="1004"/>
      <c r="AAG192" s="1004"/>
      <c r="AAH192" s="1004"/>
      <c r="AAI192" s="1004"/>
      <c r="AAJ192" s="1004"/>
      <c r="AAK192" s="1004"/>
      <c r="AAL192" s="1004"/>
      <c r="AAM192" s="1004"/>
      <c r="AAN192" s="1004"/>
      <c r="AAO192" s="1004"/>
      <c r="AAP192" s="1004"/>
      <c r="AAQ192" s="1004"/>
      <c r="AAR192" s="1004"/>
      <c r="AAS192" s="1004"/>
      <c r="AAT192" s="1004"/>
      <c r="AAU192" s="1004"/>
      <c r="AAV192" s="1004"/>
      <c r="AAW192" s="1004"/>
      <c r="AAX192" s="1004"/>
      <c r="AAY192" s="1004"/>
      <c r="AAZ192" s="1004"/>
      <c r="ABA192" s="1004"/>
      <c r="ABB192" s="1004"/>
      <c r="ABC192" s="1004"/>
      <c r="ABD192" s="1004"/>
      <c r="ABE192" s="1004"/>
      <c r="ABF192" s="1004"/>
      <c r="ABG192" s="1004"/>
      <c r="ABH192" s="1004"/>
      <c r="ABI192" s="1004"/>
      <c r="ABJ192" s="1004"/>
      <c r="ABK192" s="1004"/>
      <c r="ABL192" s="1004"/>
      <c r="ABM192" s="1004"/>
      <c r="ABN192" s="1004"/>
      <c r="ABO192" s="1004"/>
      <c r="ABP192" s="1004"/>
      <c r="ABQ192" s="1004"/>
      <c r="ABR192" s="1004"/>
    </row>
    <row r="193" spans="1:746" s="111" customFormat="1" ht="12" customHeight="1">
      <c r="A193" s="924"/>
      <c r="B193" s="960" t="s">
        <v>297</v>
      </c>
      <c r="C193" s="961"/>
      <c r="D193" s="961" t="s">
        <v>752</v>
      </c>
      <c r="E193" s="2934">
        <f>fx!C441</f>
        <v>0</v>
      </c>
      <c r="F193" s="2935"/>
      <c r="G193" s="2936"/>
      <c r="H193" s="2470"/>
      <c r="I193" s="334">
        <f>SUMIF(fx!$I$57:I57,1,fx!$I$341:I341)+fx!$C$441*fx!I57-SUMIF(fx!$I$57:I57,1,$I$192:I192)</f>
        <v>0</v>
      </c>
      <c r="J193" s="335">
        <f>SUMIF(fx!$I$57:J57,1,fx!$I$341:J341)+fx!$C$441*fx!J57-SUMIF(fx!$I$57:J57,1,$I$192:J192)</f>
        <v>0</v>
      </c>
      <c r="K193" s="335">
        <f ca="1">SUMIF(fx!$I$57:K57,1,fx!$I$341:K341)+fx!$C$441*fx!K57-SUMIF(fx!$I$57:K57,1,$I$192:K192)</f>
        <v>0</v>
      </c>
      <c r="L193" s="335">
        <f ca="1">SUMIF(fx!$I$57:L57,1,fx!$I$341:L341)+fx!$C$441*fx!L57-SUMIF(fx!$I$57:L57,1,$I$192:L192)</f>
        <v>0</v>
      </c>
      <c r="M193" s="335">
        <f ca="1">SUMIF(fx!$I$57:M57,1,fx!$I$341:M341)+fx!$C$441*fx!M57-SUMIF(fx!$I$57:M57,1,$I$192:M192)</f>
        <v>0</v>
      </c>
      <c r="N193" s="335">
        <f ca="1">SUMIF(fx!$I$57:N57,1,fx!$I$341:N341)+fx!$C$441*fx!N57-SUMIF(fx!$I$57:N57,1,$I$192:N192)</f>
        <v>0</v>
      </c>
      <c r="O193" s="335">
        <f ca="1">SUMIF(fx!$I$57:O57,1,fx!$I$341:O341)+fx!$C$441*fx!O57-SUMIF(fx!$I$57:O57,1,$I$192:O192)</f>
        <v>0</v>
      </c>
      <c r="P193" s="335">
        <f ca="1">SUMIF(fx!$I$57:P57,1,fx!$I$341:P341)+fx!$C$441*fx!P57-SUMIF(fx!$I$57:P57,1,$I$192:P192)</f>
        <v>0</v>
      </c>
      <c r="Q193" s="335">
        <f ca="1">SUMIF(fx!$I$57:Q57,1,fx!$I$341:Q341)+fx!$C$441*fx!Q57-SUMIF(fx!$I$57:Q57,1,$I$192:Q192)</f>
        <v>0</v>
      </c>
      <c r="R193" s="335">
        <f ca="1">SUMIF(fx!$I$57:R57,1,fx!$I$341:R341)+fx!$C$441*fx!R57-SUMIF(fx!$I$57:R57,1,$I$192:R192)</f>
        <v>0</v>
      </c>
      <c r="S193" s="335">
        <f ca="1">SUMIF(fx!$I$57:S57,1,fx!$I$341:S341)+fx!$C$441*fx!S57-SUMIF(fx!$I$57:S57,1,$I$192:S192)</f>
        <v>0</v>
      </c>
      <c r="T193" s="334">
        <f ca="1">SUMIF(fx!$I$57:T57,1,fx!$I$341:T341)+fx!$C$441*fx!T57-SUMIF(fx!$I$57:T57,1,$I$192:T192)</f>
        <v>0</v>
      </c>
      <c r="U193" s="334">
        <f ca="1">SUMIF(fx!$I$57:U57,1,fx!$I$341:U341)+fx!$C$441*fx!U57-SUMIF(fx!$I$57:U57,1,$I$192:U192)</f>
        <v>0</v>
      </c>
      <c r="V193" s="335">
        <f ca="1">SUMIF(fx!$I$57:V57,1,fx!$I$341:V341)+fx!$C$441*fx!V57-SUMIF(fx!$I$57:V57,1,$I$192:V192)</f>
        <v>0</v>
      </c>
      <c r="W193" s="335">
        <f ca="1">SUMIF(fx!$I$57:W57,1,fx!$I$341:W341)+fx!$C$441*fx!W57-SUMIF(fx!$I$57:W57,1,$I$192:W192)</f>
        <v>0</v>
      </c>
      <c r="X193" s="335">
        <f ca="1">SUMIF(fx!$I$57:X57,1,fx!$I$341:X341)+fx!$C$441*fx!X57-SUMIF(fx!$I$57:X57,1,$I$192:X192)</f>
        <v>0</v>
      </c>
      <c r="Y193" s="335">
        <f ca="1">SUMIF(fx!$I$57:Y57,1,fx!$I$341:Y341)+fx!$C$441*fx!Y57-SUMIF(fx!$I$57:Y57,1,$I$192:Y192)</f>
        <v>0</v>
      </c>
      <c r="Z193" s="335">
        <f ca="1">SUMIF(fx!$I$57:Z57,1,fx!$I$341:Z341)+fx!$C$441*fx!Z57-SUMIF(fx!$I$57:Z57,1,$I$192:Z192)</f>
        <v>0</v>
      </c>
      <c r="AA193" s="335">
        <f ca="1">SUMIF(fx!$I$57:AA57,1,fx!$I$341:AA341)+fx!$C$441*fx!AA57-SUMIF(fx!$I$57:AA57,1,$I$192:AA192)</f>
        <v>0</v>
      </c>
      <c r="AB193" s="335">
        <f ca="1">SUMIF(fx!$I$57:AB57,1,fx!$I$341:AB341)+fx!$C$441*fx!AB57-SUMIF(fx!$I$57:AB57,1,$I$192:AB192)</f>
        <v>0</v>
      </c>
      <c r="AC193" s="335">
        <f ca="1">SUMIF(fx!$I$57:AC57,1,fx!$I$341:AC341)+fx!$C$441*fx!AC57-SUMIF(fx!$I$57:AC57,1,$I$192:AC192)</f>
        <v>0</v>
      </c>
      <c r="AD193" s="335">
        <f ca="1">SUMIF(fx!$I$57:AD57,1,fx!$I$341:AD341)+fx!$C$441*fx!AD57-SUMIF(fx!$I$57:AD57,1,$I$192:AD192)</f>
        <v>0</v>
      </c>
      <c r="AE193" s="335">
        <f ca="1">SUMIF(fx!$I$57:AE57,1,fx!$I$341:AE341)+fx!$C$441*fx!AE57-SUMIF(fx!$I$57:AE57,1,$I$192:AE192)</f>
        <v>0</v>
      </c>
      <c r="AF193" s="335">
        <f ca="1">SUMIF(fx!$I$57:AF57,1,fx!$I$341:AF341)+fx!$C$441*fx!AF57-SUMIF(fx!$I$57:AF57,1,$I$192:AF192)</f>
        <v>0</v>
      </c>
      <c r="AG193" s="376"/>
      <c r="AH193" s="336"/>
      <c r="AI193" s="336"/>
      <c r="AJ193" s="901">
        <f ca="1">IF(fx!$C$57=1,T193,IF(fx!$C$57=2,AF193))</f>
        <v>0</v>
      </c>
      <c r="AK193" s="328"/>
      <c r="AL193" s="902">
        <f ca="1">IF(fx!$C$57=1,AF193,0)</f>
        <v>0</v>
      </c>
      <c r="AM193" s="1004"/>
      <c r="AN193" s="1031"/>
      <c r="AO193" s="1945"/>
      <c r="AP193" s="1935"/>
      <c r="AQ193" s="1936"/>
      <c r="AR193" s="1941"/>
      <c r="AS193" s="1941"/>
      <c r="AT193" s="1941"/>
      <c r="AU193" s="1941"/>
      <c r="AV193" s="1941"/>
      <c r="AW193" s="1941"/>
      <c r="AX193" s="1941"/>
      <c r="AY193" s="1941"/>
      <c r="AZ193" s="1941"/>
      <c r="BA193" s="1941"/>
      <c r="BB193" s="1941"/>
      <c r="BC193" s="1941"/>
      <c r="BD193" s="1941"/>
      <c r="BE193" s="1941"/>
      <c r="BF193" s="1941"/>
      <c r="BG193" s="1941"/>
      <c r="BH193" s="1941"/>
      <c r="BI193" s="1941"/>
      <c r="BJ193" s="1941"/>
      <c r="BK193" s="1941"/>
      <c r="BL193" s="1941"/>
      <c r="BM193" s="1941"/>
      <c r="BN193" s="1941"/>
      <c r="BO193" s="1941"/>
      <c r="BP193" s="1009"/>
      <c r="BQ193" s="1009"/>
      <c r="BR193" s="1009"/>
      <c r="BS193" s="1009"/>
      <c r="BT193" s="1009"/>
      <c r="BU193" s="1009"/>
      <c r="BV193" s="1009"/>
      <c r="BW193" s="1009"/>
      <c r="BX193" s="1009"/>
      <c r="BY193" s="1009"/>
      <c r="BZ193" s="1009"/>
      <c r="CA193" s="1009"/>
      <c r="CB193" s="1009"/>
      <c r="CC193" s="1009"/>
      <c r="CD193" s="1009"/>
      <c r="CE193" s="1009"/>
      <c r="CF193" s="1009"/>
      <c r="CG193" s="1009"/>
      <c r="CH193" s="1009"/>
      <c r="CI193" s="1009"/>
      <c r="CJ193" s="1009"/>
      <c r="CK193" s="1009"/>
      <c r="CL193" s="1009"/>
      <c r="CM193" s="1009"/>
      <c r="CN193" s="1009"/>
      <c r="CO193" s="1009"/>
      <c r="CP193" s="1009"/>
      <c r="CQ193" s="1009"/>
      <c r="CR193" s="1009"/>
      <c r="CS193" s="1009"/>
      <c r="CT193" s="1009"/>
      <c r="CU193" s="1009"/>
      <c r="CV193" s="1009"/>
      <c r="CW193" s="1009"/>
      <c r="CX193" s="1009"/>
      <c r="CY193" s="1009"/>
      <c r="CZ193" s="1009"/>
      <c r="DA193" s="1009"/>
      <c r="DB193" s="1009"/>
      <c r="DC193" s="1009"/>
      <c r="DD193" s="1009"/>
      <c r="DE193" s="1009"/>
      <c r="DF193" s="1009"/>
      <c r="DG193" s="1009"/>
      <c r="DH193" s="1009"/>
      <c r="DI193" s="1009"/>
      <c r="DJ193" s="1009"/>
      <c r="DK193" s="1009"/>
      <c r="DL193" s="1009"/>
      <c r="DM193" s="1009"/>
      <c r="DN193" s="1009"/>
      <c r="DO193" s="1009"/>
      <c r="DP193" s="1009"/>
      <c r="DQ193" s="1009"/>
      <c r="DR193" s="1009"/>
      <c r="DS193" s="1009"/>
      <c r="DT193" s="1009"/>
      <c r="DU193" s="1009"/>
      <c r="DV193" s="1009"/>
      <c r="DW193" s="1009"/>
      <c r="DX193" s="1009"/>
      <c r="DY193" s="1009"/>
      <c r="DZ193" s="1009"/>
      <c r="EA193" s="1009"/>
      <c r="EB193" s="1009"/>
      <c r="EC193" s="1009"/>
      <c r="ED193" s="1009"/>
      <c r="EE193" s="1009"/>
      <c r="EF193" s="1009"/>
      <c r="EG193" s="1009"/>
      <c r="EH193" s="1009"/>
      <c r="EI193" s="1009"/>
      <c r="EJ193" s="1009"/>
      <c r="EK193" s="1009"/>
      <c r="EL193" s="1009"/>
      <c r="EM193" s="1009"/>
      <c r="EN193" s="1009"/>
      <c r="EO193" s="1009"/>
      <c r="EP193" s="1009"/>
      <c r="EQ193" s="1009"/>
      <c r="ER193" s="1009"/>
      <c r="ES193" s="1009"/>
      <c r="ET193" s="1009"/>
      <c r="EU193" s="1009"/>
      <c r="EV193" s="1009"/>
      <c r="EW193" s="1009"/>
      <c r="EX193" s="1009"/>
      <c r="EY193" s="1009"/>
      <c r="EZ193" s="1009"/>
      <c r="FA193" s="1009"/>
      <c r="FB193" s="1009"/>
      <c r="FC193" s="1009"/>
      <c r="FD193" s="1009"/>
      <c r="FE193" s="1009"/>
      <c r="FF193" s="1009"/>
      <c r="FG193" s="1009"/>
      <c r="FH193" s="1009"/>
      <c r="FI193" s="1009"/>
      <c r="FJ193" s="1009"/>
      <c r="FK193" s="1009"/>
      <c r="FL193" s="1009"/>
      <c r="FM193" s="1009"/>
      <c r="FN193" s="1009"/>
      <c r="FO193" s="1009"/>
      <c r="FP193" s="1009"/>
      <c r="FQ193" s="1009"/>
      <c r="FR193" s="1009"/>
      <c r="FS193" s="1009"/>
      <c r="FT193" s="1009"/>
      <c r="FU193" s="1009"/>
      <c r="FV193" s="1009"/>
      <c r="FW193" s="1009"/>
      <c r="FX193" s="1009"/>
      <c r="FY193" s="1009"/>
      <c r="FZ193" s="1009"/>
      <c r="GA193" s="1009"/>
      <c r="GB193" s="1009"/>
      <c r="GC193" s="1009"/>
      <c r="GD193" s="1009"/>
      <c r="GE193" s="1009"/>
      <c r="GF193" s="1009"/>
      <c r="GG193" s="1009"/>
      <c r="GH193" s="1009"/>
      <c r="GI193" s="1009"/>
      <c r="GJ193" s="1009"/>
      <c r="GK193" s="1009"/>
      <c r="GL193" s="1009"/>
      <c r="GM193" s="1009"/>
      <c r="GN193" s="1009"/>
      <c r="GO193" s="1009"/>
      <c r="GP193" s="1009"/>
      <c r="GQ193" s="1009"/>
      <c r="GR193" s="1009"/>
      <c r="GS193" s="1009"/>
      <c r="GT193" s="1009"/>
      <c r="GU193" s="1009"/>
      <c r="GV193" s="1009"/>
      <c r="GW193" s="1009"/>
      <c r="GX193" s="1009"/>
      <c r="GY193" s="1009"/>
      <c r="GZ193" s="1009"/>
      <c r="HA193" s="1009"/>
      <c r="HB193" s="1009"/>
      <c r="HC193" s="1009"/>
      <c r="HD193" s="1009"/>
      <c r="HE193" s="1009"/>
      <c r="HF193" s="1009"/>
      <c r="HG193" s="1009"/>
      <c r="HH193" s="1009"/>
      <c r="HI193" s="1009"/>
      <c r="HJ193" s="1009"/>
      <c r="HK193" s="1009"/>
      <c r="HL193" s="1009"/>
      <c r="HM193" s="1009"/>
      <c r="HN193" s="1009"/>
      <c r="HO193" s="1009"/>
      <c r="HP193" s="1009"/>
      <c r="HQ193" s="1009"/>
      <c r="HR193" s="1009"/>
      <c r="HS193" s="1009"/>
      <c r="HT193" s="1009"/>
      <c r="HU193" s="1009"/>
      <c r="HV193" s="1009"/>
      <c r="HW193" s="1009"/>
      <c r="HX193" s="1009"/>
      <c r="HY193" s="1009"/>
      <c r="HZ193" s="1009"/>
      <c r="IA193" s="1009"/>
      <c r="IB193" s="1009"/>
      <c r="IC193" s="1009"/>
      <c r="ID193" s="1009"/>
      <c r="IE193" s="1009"/>
      <c r="IF193" s="1009"/>
      <c r="IG193" s="1009"/>
      <c r="IH193" s="1009"/>
      <c r="II193" s="1009"/>
      <c r="IJ193" s="1009"/>
      <c r="IK193" s="1009"/>
      <c r="IL193" s="1009"/>
      <c r="IM193" s="1009"/>
      <c r="IN193" s="1009"/>
      <c r="IO193" s="1009"/>
      <c r="IP193" s="1009"/>
      <c r="IQ193" s="1009"/>
      <c r="IR193" s="1009"/>
      <c r="IS193" s="1009"/>
      <c r="IT193" s="1009"/>
      <c r="IU193" s="1009"/>
      <c r="IV193" s="1009"/>
      <c r="IW193" s="1009"/>
      <c r="IX193" s="1009"/>
      <c r="IY193" s="1009"/>
      <c r="IZ193" s="1009"/>
      <c r="JA193" s="1009"/>
      <c r="JB193" s="1009"/>
      <c r="JC193" s="1009"/>
      <c r="JD193" s="1009"/>
      <c r="JE193" s="1009"/>
      <c r="JF193" s="1009"/>
      <c r="JG193" s="1009"/>
      <c r="JH193" s="1009"/>
      <c r="JI193" s="1009"/>
      <c r="JJ193" s="1009"/>
      <c r="JK193" s="1009"/>
      <c r="JL193" s="1009"/>
      <c r="JM193" s="1009"/>
      <c r="JN193" s="1009"/>
      <c r="JO193" s="1009"/>
      <c r="JP193" s="1009"/>
      <c r="JQ193" s="1009"/>
      <c r="JR193" s="1009"/>
      <c r="JS193" s="1009"/>
      <c r="JT193" s="1009"/>
      <c r="JU193" s="1009"/>
      <c r="JV193" s="1009"/>
      <c r="JW193" s="1009"/>
      <c r="JX193" s="1009"/>
      <c r="JY193" s="1009"/>
      <c r="JZ193" s="1009"/>
      <c r="KA193" s="1009"/>
      <c r="KB193" s="1009"/>
      <c r="KC193" s="1009"/>
      <c r="KD193" s="1009"/>
      <c r="KE193" s="1009"/>
      <c r="KF193" s="1009"/>
      <c r="KG193" s="1009"/>
      <c r="KH193" s="1009"/>
      <c r="KI193" s="1009"/>
      <c r="KJ193" s="1009"/>
      <c r="KK193" s="1009"/>
      <c r="KL193" s="1009"/>
      <c r="KM193" s="1009"/>
      <c r="KN193" s="1009"/>
      <c r="KO193" s="1009"/>
      <c r="KP193" s="1009"/>
      <c r="KQ193" s="1009"/>
      <c r="KR193" s="1009"/>
      <c r="KS193" s="1009"/>
      <c r="KT193" s="1009"/>
      <c r="KU193" s="1009"/>
      <c r="KV193" s="1009"/>
      <c r="KW193" s="1009"/>
      <c r="KX193" s="1009"/>
      <c r="KY193" s="1009"/>
      <c r="KZ193" s="1009"/>
      <c r="LA193" s="1009"/>
      <c r="LB193" s="1009"/>
      <c r="LC193" s="1009"/>
      <c r="LD193" s="1009"/>
      <c r="LE193" s="1009"/>
      <c r="LF193" s="1009"/>
      <c r="LG193" s="1009"/>
      <c r="LH193" s="1009"/>
      <c r="LI193" s="1009"/>
      <c r="LJ193" s="1009"/>
      <c r="LK193" s="1009"/>
      <c r="LL193" s="1009"/>
      <c r="LM193" s="1009"/>
      <c r="LN193" s="1009"/>
      <c r="LO193" s="1009"/>
      <c r="LP193" s="1009"/>
      <c r="LQ193" s="1009"/>
      <c r="LR193" s="1009"/>
      <c r="LS193" s="1009"/>
      <c r="LT193" s="1009"/>
      <c r="LU193" s="1009"/>
      <c r="LV193" s="1009"/>
      <c r="LW193" s="1009"/>
      <c r="LX193" s="1009"/>
      <c r="LY193" s="1009"/>
      <c r="LZ193" s="1009"/>
      <c r="MA193" s="1009"/>
      <c r="MB193" s="1009"/>
      <c r="MC193" s="1009"/>
      <c r="MD193" s="1009"/>
      <c r="ME193" s="1009"/>
      <c r="MF193" s="1009"/>
      <c r="MG193" s="1009"/>
      <c r="MH193" s="1009"/>
      <c r="MI193" s="1009"/>
      <c r="MJ193" s="1009"/>
      <c r="MK193" s="1009"/>
      <c r="ML193" s="1009"/>
      <c r="MM193" s="1009"/>
      <c r="MN193" s="1009"/>
      <c r="MO193" s="1009"/>
      <c r="MP193" s="1009"/>
      <c r="MQ193" s="1009"/>
      <c r="MR193" s="1009"/>
      <c r="MS193" s="1009"/>
      <c r="MT193" s="1009"/>
      <c r="MU193" s="1009"/>
      <c r="MV193" s="1009"/>
      <c r="MW193" s="1009"/>
      <c r="MX193" s="1009"/>
      <c r="MY193" s="1009"/>
      <c r="MZ193" s="1009"/>
      <c r="NA193" s="1009"/>
      <c r="NB193" s="1009"/>
      <c r="NC193" s="1009"/>
      <c r="ND193" s="1009"/>
      <c r="NE193" s="1009"/>
      <c r="NF193" s="1009"/>
      <c r="NG193" s="1009"/>
      <c r="NH193" s="1009"/>
      <c r="NI193" s="1009"/>
      <c r="NJ193" s="1009"/>
      <c r="NK193" s="1009"/>
      <c r="NL193" s="1009"/>
      <c r="NM193" s="1009"/>
      <c r="NN193" s="1009"/>
      <c r="NO193" s="1009"/>
      <c r="NP193" s="1009"/>
      <c r="NQ193" s="1009"/>
      <c r="NR193" s="1009"/>
      <c r="NS193" s="1009"/>
      <c r="NT193" s="1009"/>
      <c r="NU193" s="1009"/>
      <c r="NV193" s="1009"/>
      <c r="NW193" s="1009"/>
      <c r="NX193" s="1009"/>
      <c r="NY193" s="1009"/>
      <c r="NZ193" s="1009"/>
      <c r="OA193" s="1009"/>
      <c r="OB193" s="1009"/>
      <c r="OC193" s="1009"/>
      <c r="OD193" s="1009"/>
      <c r="OE193" s="1009"/>
      <c r="OF193" s="1009"/>
      <c r="OG193" s="1009"/>
      <c r="OH193" s="1009"/>
      <c r="OI193" s="1009"/>
      <c r="OJ193" s="1009"/>
      <c r="OK193" s="1009"/>
      <c r="OL193" s="1009"/>
      <c r="OM193" s="1009"/>
      <c r="ON193" s="1009"/>
      <c r="OO193" s="1009"/>
      <c r="OP193" s="1009"/>
      <c r="OQ193" s="1009"/>
      <c r="OR193" s="1009"/>
      <c r="OS193" s="1009"/>
      <c r="OT193" s="1009"/>
      <c r="OU193" s="1009"/>
      <c r="OV193" s="1009"/>
      <c r="OW193" s="1009"/>
      <c r="OX193" s="1009"/>
      <c r="OY193" s="1009"/>
      <c r="OZ193" s="1009"/>
      <c r="PA193" s="1009"/>
      <c r="PB193" s="1009"/>
      <c r="PC193" s="1009"/>
      <c r="PD193" s="1009"/>
      <c r="PE193" s="1009"/>
      <c r="PF193" s="1009"/>
      <c r="PG193" s="1009"/>
      <c r="PH193" s="1009"/>
      <c r="PI193" s="1009"/>
      <c r="PJ193" s="1009"/>
      <c r="PK193" s="1009"/>
      <c r="PL193" s="1009"/>
      <c r="PM193" s="1009"/>
      <c r="PN193" s="1009"/>
      <c r="PO193" s="1009"/>
      <c r="PP193" s="1009"/>
      <c r="PQ193" s="1009"/>
      <c r="PR193" s="1009"/>
      <c r="PS193" s="1009"/>
      <c r="PT193" s="1009"/>
      <c r="PU193" s="1009"/>
      <c r="PV193" s="1009"/>
      <c r="PW193" s="1009"/>
      <c r="PX193" s="1009"/>
      <c r="PY193" s="1009"/>
      <c r="PZ193" s="1009"/>
      <c r="QA193" s="1009"/>
      <c r="QB193" s="1009"/>
      <c r="QC193" s="1009"/>
      <c r="QD193" s="1009"/>
      <c r="QE193" s="1009"/>
      <c r="QF193" s="1009"/>
      <c r="QG193" s="1009"/>
      <c r="QH193" s="1009"/>
      <c r="QI193" s="1009"/>
      <c r="QJ193" s="1009"/>
      <c r="QK193" s="1009"/>
      <c r="QL193" s="1009"/>
      <c r="QM193" s="1009"/>
      <c r="QN193" s="1009"/>
      <c r="QO193" s="1009"/>
      <c r="QP193" s="1009"/>
      <c r="QQ193" s="1009"/>
      <c r="QR193" s="1009"/>
      <c r="QS193" s="1009"/>
      <c r="QT193" s="1009"/>
      <c r="QU193" s="1009"/>
      <c r="QV193" s="1009"/>
      <c r="QW193" s="1009"/>
      <c r="QX193" s="1009"/>
      <c r="QY193" s="1009"/>
      <c r="QZ193" s="1009"/>
      <c r="RA193" s="1009"/>
      <c r="RB193" s="1009"/>
      <c r="RC193" s="1009"/>
      <c r="RD193" s="1009"/>
      <c r="RE193" s="1009"/>
      <c r="RF193" s="1009"/>
      <c r="RG193" s="1009"/>
      <c r="RH193" s="1009"/>
      <c r="RI193" s="1009"/>
      <c r="RJ193" s="1009"/>
      <c r="RK193" s="1009"/>
      <c r="RL193" s="1009"/>
      <c r="RM193" s="1009"/>
      <c r="RN193" s="1009"/>
      <c r="RO193" s="1009"/>
      <c r="RP193" s="1009"/>
      <c r="RQ193" s="1009"/>
      <c r="RR193" s="1009"/>
      <c r="RS193" s="1009"/>
      <c r="RT193" s="1009"/>
      <c r="RU193" s="1009"/>
      <c r="RV193" s="1009"/>
      <c r="RW193" s="1009"/>
      <c r="RX193" s="1009"/>
      <c r="RY193" s="1009"/>
      <c r="RZ193" s="1009"/>
      <c r="SA193" s="1009"/>
      <c r="SB193" s="1009"/>
      <c r="SC193" s="1009"/>
      <c r="SD193" s="1009"/>
      <c r="SE193" s="1009"/>
      <c r="SF193" s="1009"/>
      <c r="SG193" s="1009"/>
      <c r="SH193" s="1009"/>
      <c r="SI193" s="1009"/>
      <c r="SJ193" s="1009"/>
      <c r="SK193" s="1009"/>
      <c r="SL193" s="1009"/>
      <c r="SM193" s="1009"/>
      <c r="SN193" s="1009"/>
      <c r="SO193" s="1009"/>
      <c r="SP193" s="1009"/>
      <c r="SQ193" s="1009"/>
      <c r="SR193" s="1009"/>
      <c r="SS193" s="1009"/>
      <c r="ST193" s="1009"/>
      <c r="SU193" s="1009"/>
      <c r="SV193" s="1009"/>
      <c r="SW193" s="1009"/>
      <c r="SX193" s="1009"/>
      <c r="SY193" s="1009"/>
      <c r="SZ193" s="1009"/>
      <c r="TA193" s="1009"/>
      <c r="TB193" s="1009"/>
      <c r="TC193" s="1009"/>
      <c r="TD193" s="1009"/>
      <c r="TE193" s="1009"/>
      <c r="TF193" s="1009"/>
      <c r="TG193" s="1009"/>
      <c r="TH193" s="1009"/>
      <c r="TI193" s="1009"/>
      <c r="TJ193" s="1009"/>
      <c r="TK193" s="1009"/>
      <c r="TL193" s="1009"/>
      <c r="TM193" s="1009"/>
      <c r="TN193" s="1009"/>
      <c r="TO193" s="1009"/>
      <c r="TP193" s="1009"/>
      <c r="TQ193" s="1009"/>
      <c r="TR193" s="1009"/>
      <c r="TS193" s="1009"/>
      <c r="TT193" s="1009"/>
      <c r="TU193" s="1009"/>
      <c r="TV193" s="1009"/>
      <c r="TW193" s="1009"/>
      <c r="TX193" s="1009"/>
      <c r="TY193" s="1009"/>
      <c r="TZ193" s="1009"/>
      <c r="UA193" s="1009"/>
      <c r="UB193" s="1009"/>
      <c r="UC193" s="1009"/>
      <c r="UD193" s="1009"/>
      <c r="UE193" s="1009"/>
      <c r="UF193" s="1009"/>
      <c r="UG193" s="1009"/>
      <c r="UH193" s="1009"/>
      <c r="UI193" s="1009"/>
      <c r="UJ193" s="1009"/>
      <c r="UK193" s="1009"/>
      <c r="UL193" s="1009"/>
      <c r="UM193" s="1009"/>
      <c r="UN193" s="1009"/>
      <c r="UO193" s="1009"/>
      <c r="UP193" s="1009"/>
      <c r="UQ193" s="1009"/>
      <c r="UR193" s="1009"/>
      <c r="US193" s="1009"/>
      <c r="UT193" s="1009"/>
      <c r="UU193" s="1009"/>
      <c r="UV193" s="1009"/>
      <c r="UW193" s="1009"/>
      <c r="UX193" s="1009"/>
      <c r="UY193" s="1009"/>
      <c r="UZ193" s="1009"/>
      <c r="VA193" s="1009"/>
      <c r="VB193" s="1009"/>
      <c r="VC193" s="1009"/>
      <c r="VD193" s="1009"/>
      <c r="VE193" s="1009"/>
      <c r="VF193" s="1009"/>
      <c r="VG193" s="1009"/>
      <c r="VH193" s="1009"/>
      <c r="VI193" s="1009"/>
      <c r="VJ193" s="1009"/>
      <c r="VK193" s="1009"/>
      <c r="VL193" s="1009"/>
      <c r="VM193" s="1009"/>
      <c r="VN193" s="1009"/>
      <c r="VO193" s="1009"/>
      <c r="VP193" s="1009"/>
      <c r="VQ193" s="1009"/>
      <c r="VR193" s="1009"/>
      <c r="VS193" s="1009"/>
      <c r="VT193" s="1009"/>
      <c r="VU193" s="1009"/>
      <c r="VV193" s="1009"/>
      <c r="VW193" s="1009"/>
      <c r="VX193" s="1009"/>
      <c r="VY193" s="1009"/>
      <c r="VZ193" s="1009"/>
      <c r="WA193" s="1009"/>
      <c r="WB193" s="1009"/>
      <c r="WC193" s="1009"/>
      <c r="WD193" s="1009"/>
      <c r="WE193" s="1009"/>
      <c r="WF193" s="1009"/>
      <c r="WG193" s="1009"/>
      <c r="WH193" s="1009"/>
      <c r="WI193" s="1009"/>
      <c r="WJ193" s="1009"/>
      <c r="WK193" s="1009"/>
      <c r="WL193" s="1009"/>
      <c r="WM193" s="1009"/>
      <c r="WN193" s="1009"/>
      <c r="WO193" s="1009"/>
      <c r="WP193" s="1009"/>
      <c r="WQ193" s="1009"/>
      <c r="WR193" s="1009"/>
      <c r="WS193" s="1009"/>
      <c r="WT193" s="1009"/>
      <c r="WU193" s="1009"/>
      <c r="WV193" s="1009"/>
      <c r="WW193" s="1009"/>
      <c r="WX193" s="1009"/>
      <c r="WY193" s="1009"/>
      <c r="WZ193" s="1009"/>
      <c r="XA193" s="1009"/>
      <c r="XB193" s="1009"/>
      <c r="XC193" s="1009"/>
      <c r="XD193" s="1009"/>
      <c r="XE193" s="1009"/>
      <c r="XF193" s="1009"/>
      <c r="XG193" s="1009"/>
      <c r="XH193" s="1009"/>
      <c r="XI193" s="1009"/>
      <c r="XJ193" s="1009"/>
      <c r="XK193" s="1009"/>
      <c r="XL193" s="1009"/>
      <c r="XM193" s="1009"/>
      <c r="XN193" s="1009"/>
      <c r="XO193" s="1009"/>
      <c r="XP193" s="1009"/>
      <c r="XQ193" s="1009"/>
      <c r="XR193" s="1009"/>
      <c r="XS193" s="1009"/>
      <c r="XT193" s="1009"/>
      <c r="XU193" s="1009"/>
      <c r="XV193" s="1009"/>
      <c r="XW193" s="1009"/>
      <c r="XX193" s="1009"/>
      <c r="XY193" s="1009"/>
      <c r="XZ193" s="1009"/>
      <c r="YA193" s="1009"/>
      <c r="YB193" s="1009"/>
      <c r="YC193" s="1009"/>
      <c r="YD193" s="1009"/>
      <c r="YE193" s="1009"/>
      <c r="YF193" s="1009"/>
      <c r="YG193" s="1009"/>
      <c r="YH193" s="1009"/>
      <c r="YI193" s="1009"/>
      <c r="YJ193" s="1009"/>
      <c r="YK193" s="1009"/>
      <c r="YL193" s="1009"/>
      <c r="YM193" s="1009"/>
      <c r="YN193" s="1009"/>
      <c r="YO193" s="1009"/>
      <c r="YP193" s="1009"/>
      <c r="YQ193" s="1009"/>
      <c r="YR193" s="1009"/>
      <c r="YS193" s="1009"/>
      <c r="YT193" s="1009"/>
      <c r="YU193" s="1009"/>
      <c r="YV193" s="1009"/>
      <c r="YW193" s="1009"/>
      <c r="YX193" s="1009"/>
      <c r="YY193" s="1009"/>
      <c r="YZ193" s="1009"/>
      <c r="ZA193" s="1009"/>
      <c r="ZB193" s="1009"/>
      <c r="ZC193" s="1009"/>
      <c r="ZD193" s="1009"/>
      <c r="ZE193" s="1009"/>
      <c r="ZF193" s="1009"/>
      <c r="ZG193" s="1009"/>
      <c r="ZH193" s="1009"/>
      <c r="ZI193" s="1009"/>
      <c r="ZJ193" s="1009"/>
      <c r="ZK193" s="1009"/>
      <c r="ZL193" s="1009"/>
      <c r="ZM193" s="1009"/>
      <c r="ZN193" s="1009"/>
      <c r="ZO193" s="1009"/>
      <c r="ZP193" s="1009"/>
      <c r="ZQ193" s="1009"/>
      <c r="ZR193" s="1009"/>
      <c r="ZS193" s="1009"/>
      <c r="ZT193" s="1009"/>
      <c r="ZU193" s="1009"/>
      <c r="ZV193" s="1009"/>
      <c r="ZW193" s="1009"/>
      <c r="ZX193" s="1009"/>
      <c r="ZY193" s="1009"/>
      <c r="ZZ193" s="1009"/>
      <c r="AAA193" s="1009"/>
      <c r="AAB193" s="1009"/>
      <c r="AAC193" s="1009"/>
      <c r="AAD193" s="1009"/>
      <c r="AAE193" s="1009"/>
      <c r="AAF193" s="1009"/>
      <c r="AAG193" s="1009"/>
      <c r="AAH193" s="1009"/>
      <c r="AAI193" s="1009"/>
      <c r="AAJ193" s="1009"/>
      <c r="AAK193" s="1009"/>
      <c r="AAL193" s="1009"/>
      <c r="AAM193" s="1009"/>
      <c r="AAN193" s="1009"/>
      <c r="AAO193" s="1009"/>
      <c r="AAP193" s="1009"/>
      <c r="AAQ193" s="1009"/>
      <c r="AAR193" s="1009"/>
      <c r="AAS193" s="1009"/>
      <c r="AAT193" s="1009"/>
      <c r="AAU193" s="1009"/>
      <c r="AAV193" s="1009"/>
      <c r="AAW193" s="1009"/>
      <c r="AAX193" s="1009"/>
      <c r="AAY193" s="1009"/>
      <c r="AAZ193" s="1009"/>
      <c r="ABA193" s="1009"/>
      <c r="ABB193" s="1009"/>
      <c r="ABC193" s="1009"/>
      <c r="ABD193" s="1009"/>
      <c r="ABE193" s="1009"/>
      <c r="ABF193" s="1009"/>
      <c r="ABG193" s="1009"/>
      <c r="ABH193" s="1009"/>
      <c r="ABI193" s="1009"/>
      <c r="ABJ193" s="1009"/>
      <c r="ABK193" s="1009"/>
      <c r="ABL193" s="1009"/>
      <c r="ABM193" s="1009"/>
      <c r="ABN193" s="1009"/>
      <c r="ABO193" s="1009"/>
      <c r="ABP193" s="1009"/>
      <c r="ABQ193" s="1009"/>
      <c r="ABR193" s="1009"/>
    </row>
    <row r="194" spans="1:746" s="112" customFormat="1" ht="12" customHeight="1">
      <c r="A194" s="924"/>
      <c r="B194" s="1800"/>
      <c r="C194" s="1801"/>
      <c r="D194" s="1801"/>
      <c r="E194" s="1801"/>
      <c r="F194" s="1802"/>
      <c r="G194" s="1803"/>
      <c r="H194" s="1844"/>
      <c r="I194" s="2570" t="str">
        <f>IF(fx!I$57=0,"&gt;&gt;",IF($L$4=I$6,"","Välj 1-12 i P4"))</f>
        <v/>
      </c>
      <c r="J194" s="1843" t="str">
        <f>IF(fx!J$57=0,"&gt;&gt;",IF($L$4=J$6,"Startmånad",""))</f>
        <v/>
      </c>
      <c r="K194" s="1843" t="str">
        <f>IF(fx!K$57=0,"&gt;&gt;",IF($L$4=K$6,"Startmånad",""))</f>
        <v/>
      </c>
      <c r="L194" s="1843" t="str">
        <f>IF(fx!L$57=0,"&gt;&gt;",IF($L$4=L$6,"Startmånad",""))</f>
        <v/>
      </c>
      <c r="M194" s="1843" t="str">
        <f>IF(fx!M$57=0,"&gt;&gt;",IF($L$4=M$6,"Startmånad",""))</f>
        <v/>
      </c>
      <c r="N194" s="1843" t="str">
        <f>IF(fx!N$57=0,"&gt;&gt;",IF($L$4=N$6,"Startmånad",""))</f>
        <v/>
      </c>
      <c r="O194" s="1843" t="str">
        <f>IF(AND(fx!$C$57=1,fx!O$57=0),"&gt;&gt;",IF(AND(fx!$C$57=1,$L$4=$O$6),"Startmånad",IF(AND(fx!$C$57=2,$L$4&lt;7),"Välj 7-12 i P4",IF(AND(fx!$C$57=2,$L$4=$O$6),"Startmånad",IF(AND(fx!$C$57=2,$L$4&gt;$O$6),"&gt;&gt;","")))))</f>
        <v/>
      </c>
      <c r="P194" s="1843" t="str">
        <f>IF(fx!P$57=0,"&gt;&gt;",IF($L$4=P$6,"Startmånad",""))</f>
        <v/>
      </c>
      <c r="Q194" s="1843" t="str">
        <f>IF(fx!Q$57=0,"&gt;&gt;",IF($L$4=Q$6,"Startmånad",""))</f>
        <v/>
      </c>
      <c r="R194" s="1843" t="str">
        <f>IF(fx!R$57=0,"&gt;&gt;",IF($L$4=R$6,"Startmånad",""))</f>
        <v/>
      </c>
      <c r="S194" s="1843" t="str">
        <f>IF(fx!S$57=0,"&gt;&gt;",IF($L$4=S$6,"Startmånad",""))</f>
        <v/>
      </c>
      <c r="T194" s="2717" t="str">
        <f>IF(fx!T$57=0,"&gt;&gt;",IF($L$4=T$6,"Startmånad",""))</f>
        <v/>
      </c>
      <c r="U194" s="2718"/>
      <c r="V194" s="376"/>
      <c r="W194" s="376"/>
      <c r="X194" s="376"/>
      <c r="Y194" s="376"/>
      <c r="Z194" s="376"/>
      <c r="AA194" s="376"/>
      <c r="AB194" s="376"/>
      <c r="AC194" s="376"/>
      <c r="AD194" s="376"/>
      <c r="AE194" s="376"/>
      <c r="AF194" s="1784"/>
      <c r="AG194" s="376"/>
      <c r="AH194" s="769"/>
      <c r="AI194" s="769"/>
      <c r="AJ194" s="1289"/>
      <c r="AK194" s="1289"/>
      <c r="AL194" s="1289"/>
      <c r="AM194" s="1009"/>
      <c r="AN194" s="1031"/>
      <c r="AO194" s="1945"/>
      <c r="AP194" s="1935"/>
      <c r="AQ194" s="1936"/>
      <c r="AR194" s="1941"/>
      <c r="AS194" s="1941"/>
      <c r="AT194" s="1941"/>
      <c r="AU194" s="1941"/>
      <c r="AV194" s="1941"/>
      <c r="AW194" s="1941"/>
      <c r="AX194" s="1941"/>
      <c r="AY194" s="1941"/>
      <c r="AZ194" s="1941"/>
      <c r="BA194" s="1941"/>
      <c r="BB194" s="1941"/>
      <c r="BC194" s="1941"/>
      <c r="BD194" s="1941"/>
      <c r="BE194" s="1941"/>
      <c r="BF194" s="1941"/>
      <c r="BG194" s="1941"/>
      <c r="BH194" s="1941"/>
      <c r="BI194" s="1941"/>
      <c r="BJ194" s="1941"/>
      <c r="BK194" s="1941"/>
      <c r="BL194" s="1941"/>
      <c r="BM194" s="1941"/>
      <c r="BN194" s="1941"/>
      <c r="BO194" s="1941"/>
      <c r="BP194" s="1004"/>
      <c r="BQ194" s="1004"/>
      <c r="BR194" s="1004"/>
      <c r="BS194" s="1004"/>
      <c r="BT194" s="1004"/>
      <c r="BU194" s="1004"/>
      <c r="BV194" s="1004"/>
      <c r="BW194" s="1004"/>
      <c r="BX194" s="1004"/>
      <c r="BY194" s="1004"/>
      <c r="BZ194" s="1004"/>
      <c r="CA194" s="1004"/>
      <c r="CB194" s="1004"/>
      <c r="CC194" s="1004"/>
      <c r="CD194" s="1004"/>
      <c r="CE194" s="1004"/>
      <c r="CF194" s="1004"/>
      <c r="CG194" s="1004"/>
      <c r="CH194" s="1004"/>
      <c r="CI194" s="1004"/>
      <c r="CJ194" s="1004"/>
      <c r="CK194" s="1004"/>
      <c r="CL194" s="1004"/>
      <c r="CM194" s="1004"/>
      <c r="CN194" s="1004"/>
      <c r="CO194" s="1004"/>
      <c r="CP194" s="1004"/>
      <c r="CQ194" s="1004"/>
      <c r="CR194" s="1004"/>
      <c r="CS194" s="1004"/>
      <c r="CT194" s="1004"/>
      <c r="CU194" s="1004"/>
      <c r="CV194" s="1004"/>
      <c r="CW194" s="1004"/>
      <c r="CX194" s="1004"/>
      <c r="CY194" s="1004"/>
      <c r="CZ194" s="1004"/>
      <c r="DA194" s="1004"/>
      <c r="DB194" s="1004"/>
      <c r="DC194" s="1004"/>
      <c r="DD194" s="1004"/>
      <c r="DE194" s="1004"/>
      <c r="DF194" s="1004"/>
      <c r="DG194" s="1004"/>
      <c r="DH194" s="1004"/>
      <c r="DI194" s="1004"/>
      <c r="DJ194" s="1004"/>
      <c r="DK194" s="1004"/>
      <c r="DL194" s="1004"/>
      <c r="DM194" s="1004"/>
      <c r="DN194" s="1004"/>
      <c r="DO194" s="1004"/>
      <c r="DP194" s="1004"/>
      <c r="DQ194" s="1004"/>
      <c r="DR194" s="1004"/>
      <c r="DS194" s="1004"/>
      <c r="DT194" s="1004"/>
      <c r="DU194" s="1004"/>
      <c r="DV194" s="1004"/>
      <c r="DW194" s="1004"/>
      <c r="DX194" s="1004"/>
      <c r="DY194" s="1004"/>
      <c r="DZ194" s="1004"/>
      <c r="EA194" s="1004"/>
      <c r="EB194" s="1004"/>
      <c r="EC194" s="1004"/>
      <c r="ED194" s="1004"/>
      <c r="EE194" s="1004"/>
      <c r="EF194" s="1004"/>
      <c r="EG194" s="1004"/>
      <c r="EH194" s="1004"/>
      <c r="EI194" s="1004"/>
      <c r="EJ194" s="1004"/>
      <c r="EK194" s="1004"/>
      <c r="EL194" s="1004"/>
      <c r="EM194" s="1004"/>
      <c r="EN194" s="1004"/>
      <c r="EO194" s="1004"/>
      <c r="EP194" s="1004"/>
      <c r="EQ194" s="1004"/>
      <c r="ER194" s="1004"/>
      <c r="ES194" s="1004"/>
      <c r="ET194" s="1004"/>
      <c r="EU194" s="1004"/>
      <c r="EV194" s="1004"/>
      <c r="EW194" s="1004"/>
      <c r="EX194" s="1004"/>
      <c r="EY194" s="1004"/>
      <c r="EZ194" s="1004"/>
      <c r="FA194" s="1004"/>
      <c r="FB194" s="1004"/>
      <c r="FC194" s="1004"/>
      <c r="FD194" s="1004"/>
      <c r="FE194" s="1004"/>
      <c r="FF194" s="1004"/>
      <c r="FG194" s="1004"/>
      <c r="FH194" s="1004"/>
      <c r="FI194" s="1004"/>
      <c r="FJ194" s="1004"/>
      <c r="FK194" s="1004"/>
      <c r="FL194" s="1004"/>
      <c r="FM194" s="1004"/>
      <c r="FN194" s="1004"/>
      <c r="FO194" s="1004"/>
      <c r="FP194" s="1004"/>
      <c r="FQ194" s="1004"/>
      <c r="FR194" s="1004"/>
      <c r="FS194" s="1004"/>
      <c r="FT194" s="1004"/>
      <c r="FU194" s="1004"/>
      <c r="FV194" s="1004"/>
      <c r="FW194" s="1004"/>
      <c r="FX194" s="1004"/>
      <c r="FY194" s="1004"/>
      <c r="FZ194" s="1004"/>
      <c r="GA194" s="1004"/>
      <c r="GB194" s="1004"/>
      <c r="GC194" s="1004"/>
      <c r="GD194" s="1004"/>
      <c r="GE194" s="1004"/>
      <c r="GF194" s="1004"/>
      <c r="GG194" s="1004"/>
      <c r="GH194" s="1004"/>
      <c r="GI194" s="1004"/>
      <c r="GJ194" s="1004"/>
      <c r="GK194" s="1004"/>
      <c r="GL194" s="1004"/>
      <c r="GM194" s="1004"/>
      <c r="GN194" s="1004"/>
      <c r="GO194" s="1004"/>
      <c r="GP194" s="1004"/>
      <c r="GQ194" s="1004"/>
      <c r="GR194" s="1004"/>
      <c r="GS194" s="1004"/>
      <c r="GT194" s="1004"/>
      <c r="GU194" s="1004"/>
      <c r="GV194" s="1004"/>
      <c r="GW194" s="1004"/>
      <c r="GX194" s="1004"/>
      <c r="GY194" s="1004"/>
      <c r="GZ194" s="1004"/>
      <c r="HA194" s="1004"/>
      <c r="HB194" s="1004"/>
      <c r="HC194" s="1004"/>
      <c r="HD194" s="1004"/>
      <c r="HE194" s="1004"/>
      <c r="HF194" s="1004"/>
      <c r="HG194" s="1004"/>
      <c r="HH194" s="1004"/>
      <c r="HI194" s="1004"/>
      <c r="HJ194" s="1004"/>
      <c r="HK194" s="1004"/>
      <c r="HL194" s="1004"/>
      <c r="HM194" s="1004"/>
      <c r="HN194" s="1004"/>
      <c r="HO194" s="1004"/>
      <c r="HP194" s="1004"/>
      <c r="HQ194" s="1004"/>
      <c r="HR194" s="1004"/>
      <c r="HS194" s="1004"/>
      <c r="HT194" s="1004"/>
      <c r="HU194" s="1004"/>
      <c r="HV194" s="1004"/>
      <c r="HW194" s="1004"/>
      <c r="HX194" s="1004"/>
      <c r="HY194" s="1004"/>
      <c r="HZ194" s="1004"/>
      <c r="IA194" s="1004"/>
      <c r="IB194" s="1004"/>
      <c r="IC194" s="1004"/>
      <c r="ID194" s="1004"/>
      <c r="IE194" s="1004"/>
      <c r="IF194" s="1004"/>
      <c r="IG194" s="1004"/>
      <c r="IH194" s="1004"/>
      <c r="II194" s="1004"/>
      <c r="IJ194" s="1004"/>
      <c r="IK194" s="1004"/>
      <c r="IL194" s="1004"/>
      <c r="IM194" s="1004"/>
      <c r="IN194" s="1004"/>
      <c r="IO194" s="1004"/>
      <c r="IP194" s="1004"/>
      <c r="IQ194" s="1004"/>
      <c r="IR194" s="1004"/>
      <c r="IS194" s="1004"/>
      <c r="IT194" s="1004"/>
      <c r="IU194" s="1004"/>
      <c r="IV194" s="1004"/>
      <c r="IW194" s="1004"/>
      <c r="IX194" s="1004"/>
      <c r="IY194" s="1004"/>
      <c r="IZ194" s="1004"/>
      <c r="JA194" s="1004"/>
      <c r="JB194" s="1004"/>
      <c r="JC194" s="1004"/>
      <c r="JD194" s="1004"/>
      <c r="JE194" s="1004"/>
      <c r="JF194" s="1004"/>
      <c r="JG194" s="1004"/>
      <c r="JH194" s="1004"/>
      <c r="JI194" s="1004"/>
      <c r="JJ194" s="1004"/>
      <c r="JK194" s="1004"/>
      <c r="JL194" s="1004"/>
      <c r="JM194" s="1004"/>
      <c r="JN194" s="1004"/>
      <c r="JO194" s="1004"/>
      <c r="JP194" s="1004"/>
      <c r="JQ194" s="1004"/>
      <c r="JR194" s="1004"/>
      <c r="JS194" s="1004"/>
      <c r="JT194" s="1004"/>
      <c r="JU194" s="1004"/>
      <c r="JV194" s="1004"/>
      <c r="JW194" s="1004"/>
      <c r="JX194" s="1004"/>
      <c r="JY194" s="1004"/>
      <c r="JZ194" s="1004"/>
      <c r="KA194" s="1004"/>
      <c r="KB194" s="1004"/>
      <c r="KC194" s="1004"/>
      <c r="KD194" s="1004"/>
      <c r="KE194" s="1004"/>
      <c r="KF194" s="1004"/>
      <c r="KG194" s="1004"/>
      <c r="KH194" s="1004"/>
      <c r="KI194" s="1004"/>
      <c r="KJ194" s="1004"/>
      <c r="KK194" s="1004"/>
      <c r="KL194" s="1004"/>
      <c r="KM194" s="1004"/>
      <c r="KN194" s="1004"/>
      <c r="KO194" s="1004"/>
      <c r="KP194" s="1004"/>
      <c r="KQ194" s="1004"/>
      <c r="KR194" s="1004"/>
      <c r="KS194" s="1004"/>
      <c r="KT194" s="1004"/>
      <c r="KU194" s="1004"/>
      <c r="KV194" s="1004"/>
      <c r="KW194" s="1004"/>
      <c r="KX194" s="1004"/>
      <c r="KY194" s="1004"/>
      <c r="KZ194" s="1004"/>
      <c r="LA194" s="1004"/>
      <c r="LB194" s="1004"/>
      <c r="LC194" s="1004"/>
      <c r="LD194" s="1004"/>
      <c r="LE194" s="1004"/>
      <c r="LF194" s="1004"/>
      <c r="LG194" s="1004"/>
      <c r="LH194" s="1004"/>
      <c r="LI194" s="1004"/>
      <c r="LJ194" s="1004"/>
      <c r="LK194" s="1004"/>
      <c r="LL194" s="1004"/>
      <c r="LM194" s="1004"/>
      <c r="LN194" s="1004"/>
      <c r="LO194" s="1004"/>
      <c r="LP194" s="1004"/>
      <c r="LQ194" s="1004"/>
      <c r="LR194" s="1004"/>
      <c r="LS194" s="1004"/>
      <c r="LT194" s="1004"/>
      <c r="LU194" s="1004"/>
      <c r="LV194" s="1004"/>
      <c r="LW194" s="1004"/>
      <c r="LX194" s="1004"/>
      <c r="LY194" s="1004"/>
      <c r="LZ194" s="1004"/>
      <c r="MA194" s="1004"/>
      <c r="MB194" s="1004"/>
      <c r="MC194" s="1004"/>
      <c r="MD194" s="1004"/>
      <c r="ME194" s="1004"/>
      <c r="MF194" s="1004"/>
      <c r="MG194" s="1004"/>
      <c r="MH194" s="1004"/>
      <c r="MI194" s="1004"/>
      <c r="MJ194" s="1004"/>
      <c r="MK194" s="1004"/>
      <c r="ML194" s="1004"/>
      <c r="MM194" s="1004"/>
      <c r="MN194" s="1004"/>
      <c r="MO194" s="1004"/>
      <c r="MP194" s="1004"/>
      <c r="MQ194" s="1004"/>
      <c r="MR194" s="1004"/>
      <c r="MS194" s="1004"/>
      <c r="MT194" s="1004"/>
      <c r="MU194" s="1004"/>
      <c r="MV194" s="1004"/>
      <c r="MW194" s="1004"/>
      <c r="MX194" s="1004"/>
      <c r="MY194" s="1004"/>
      <c r="MZ194" s="1004"/>
      <c r="NA194" s="1004"/>
      <c r="NB194" s="1004"/>
      <c r="NC194" s="1004"/>
      <c r="ND194" s="1004"/>
      <c r="NE194" s="1004"/>
      <c r="NF194" s="1004"/>
      <c r="NG194" s="1004"/>
      <c r="NH194" s="1004"/>
      <c r="NI194" s="1004"/>
      <c r="NJ194" s="1004"/>
      <c r="NK194" s="1004"/>
      <c r="NL194" s="1004"/>
      <c r="NM194" s="1004"/>
      <c r="NN194" s="1004"/>
      <c r="NO194" s="1004"/>
      <c r="NP194" s="1004"/>
      <c r="NQ194" s="1004"/>
      <c r="NR194" s="1004"/>
      <c r="NS194" s="1004"/>
      <c r="NT194" s="1004"/>
      <c r="NU194" s="1004"/>
      <c r="NV194" s="1004"/>
      <c r="NW194" s="1004"/>
      <c r="NX194" s="1004"/>
      <c r="NY194" s="1004"/>
      <c r="NZ194" s="1004"/>
      <c r="OA194" s="1004"/>
      <c r="OB194" s="1004"/>
      <c r="OC194" s="1004"/>
      <c r="OD194" s="1004"/>
      <c r="OE194" s="1004"/>
      <c r="OF194" s="1004"/>
      <c r="OG194" s="1004"/>
      <c r="OH194" s="1004"/>
      <c r="OI194" s="1004"/>
      <c r="OJ194" s="1004"/>
      <c r="OK194" s="1004"/>
      <c r="OL194" s="1004"/>
      <c r="OM194" s="1004"/>
      <c r="ON194" s="1004"/>
      <c r="OO194" s="1004"/>
      <c r="OP194" s="1004"/>
      <c r="OQ194" s="1004"/>
      <c r="OR194" s="1004"/>
      <c r="OS194" s="1004"/>
      <c r="OT194" s="1004"/>
      <c r="OU194" s="1004"/>
      <c r="OV194" s="1004"/>
      <c r="OW194" s="1004"/>
      <c r="OX194" s="1004"/>
      <c r="OY194" s="1004"/>
      <c r="OZ194" s="1004"/>
      <c r="PA194" s="1004"/>
      <c r="PB194" s="1004"/>
      <c r="PC194" s="1004"/>
      <c r="PD194" s="1004"/>
      <c r="PE194" s="1004"/>
      <c r="PF194" s="1004"/>
      <c r="PG194" s="1004"/>
      <c r="PH194" s="1004"/>
      <c r="PI194" s="1004"/>
      <c r="PJ194" s="1004"/>
      <c r="PK194" s="1004"/>
      <c r="PL194" s="1004"/>
      <c r="PM194" s="1004"/>
      <c r="PN194" s="1004"/>
      <c r="PO194" s="1004"/>
      <c r="PP194" s="1004"/>
      <c r="PQ194" s="1004"/>
      <c r="PR194" s="1004"/>
      <c r="PS194" s="1004"/>
      <c r="PT194" s="1004"/>
      <c r="PU194" s="1004"/>
      <c r="PV194" s="1004"/>
      <c r="PW194" s="1004"/>
      <c r="PX194" s="1004"/>
      <c r="PY194" s="1004"/>
      <c r="PZ194" s="1004"/>
      <c r="QA194" s="1004"/>
      <c r="QB194" s="1004"/>
      <c r="QC194" s="1004"/>
      <c r="QD194" s="1004"/>
      <c r="QE194" s="1004"/>
      <c r="QF194" s="1004"/>
      <c r="QG194" s="1004"/>
      <c r="QH194" s="1004"/>
      <c r="QI194" s="1004"/>
      <c r="QJ194" s="1004"/>
      <c r="QK194" s="1004"/>
      <c r="QL194" s="1004"/>
      <c r="QM194" s="1004"/>
      <c r="QN194" s="1004"/>
      <c r="QO194" s="1004"/>
      <c r="QP194" s="1004"/>
      <c r="QQ194" s="1004"/>
      <c r="QR194" s="1004"/>
      <c r="QS194" s="1004"/>
      <c r="QT194" s="1004"/>
      <c r="QU194" s="1004"/>
      <c r="QV194" s="1004"/>
      <c r="QW194" s="1004"/>
      <c r="QX194" s="1004"/>
      <c r="QY194" s="1004"/>
      <c r="QZ194" s="1004"/>
      <c r="RA194" s="1004"/>
      <c r="RB194" s="1004"/>
      <c r="RC194" s="1004"/>
      <c r="RD194" s="1004"/>
      <c r="RE194" s="1004"/>
      <c r="RF194" s="1004"/>
      <c r="RG194" s="1004"/>
      <c r="RH194" s="1004"/>
      <c r="RI194" s="1004"/>
      <c r="RJ194" s="1004"/>
      <c r="RK194" s="1004"/>
      <c r="RL194" s="1004"/>
      <c r="RM194" s="1004"/>
      <c r="RN194" s="1004"/>
      <c r="RO194" s="1004"/>
      <c r="RP194" s="1004"/>
      <c r="RQ194" s="1004"/>
      <c r="RR194" s="1004"/>
      <c r="RS194" s="1004"/>
      <c r="RT194" s="1004"/>
      <c r="RU194" s="1004"/>
      <c r="RV194" s="1004"/>
      <c r="RW194" s="1004"/>
      <c r="RX194" s="1004"/>
      <c r="RY194" s="1004"/>
      <c r="RZ194" s="1004"/>
      <c r="SA194" s="1004"/>
      <c r="SB194" s="1004"/>
      <c r="SC194" s="1004"/>
      <c r="SD194" s="1004"/>
      <c r="SE194" s="1004"/>
      <c r="SF194" s="1004"/>
      <c r="SG194" s="1004"/>
      <c r="SH194" s="1004"/>
      <c r="SI194" s="1004"/>
      <c r="SJ194" s="1004"/>
      <c r="SK194" s="1004"/>
      <c r="SL194" s="1004"/>
      <c r="SM194" s="1004"/>
      <c r="SN194" s="1004"/>
      <c r="SO194" s="1004"/>
      <c r="SP194" s="1004"/>
      <c r="SQ194" s="1004"/>
      <c r="SR194" s="1004"/>
      <c r="SS194" s="1004"/>
      <c r="ST194" s="1004"/>
      <c r="SU194" s="1004"/>
      <c r="SV194" s="1004"/>
      <c r="SW194" s="1004"/>
      <c r="SX194" s="1004"/>
      <c r="SY194" s="1004"/>
      <c r="SZ194" s="1004"/>
      <c r="TA194" s="1004"/>
      <c r="TB194" s="1004"/>
      <c r="TC194" s="1004"/>
      <c r="TD194" s="1004"/>
      <c r="TE194" s="1004"/>
      <c r="TF194" s="1004"/>
      <c r="TG194" s="1004"/>
      <c r="TH194" s="1004"/>
      <c r="TI194" s="1004"/>
      <c r="TJ194" s="1004"/>
      <c r="TK194" s="1004"/>
      <c r="TL194" s="1004"/>
      <c r="TM194" s="1004"/>
      <c r="TN194" s="1004"/>
      <c r="TO194" s="1004"/>
      <c r="TP194" s="1004"/>
      <c r="TQ194" s="1004"/>
      <c r="TR194" s="1004"/>
      <c r="TS194" s="1004"/>
      <c r="TT194" s="1004"/>
      <c r="TU194" s="1004"/>
      <c r="TV194" s="1004"/>
      <c r="TW194" s="1004"/>
      <c r="TX194" s="1004"/>
      <c r="TY194" s="1004"/>
      <c r="TZ194" s="1004"/>
      <c r="UA194" s="1004"/>
      <c r="UB194" s="1004"/>
      <c r="UC194" s="1004"/>
      <c r="UD194" s="1004"/>
      <c r="UE194" s="1004"/>
      <c r="UF194" s="1004"/>
      <c r="UG194" s="1004"/>
      <c r="UH194" s="1004"/>
      <c r="UI194" s="1004"/>
      <c r="UJ194" s="1004"/>
      <c r="UK194" s="1004"/>
      <c r="UL194" s="1004"/>
      <c r="UM194" s="1004"/>
      <c r="UN194" s="1004"/>
      <c r="UO194" s="1004"/>
      <c r="UP194" s="1004"/>
      <c r="UQ194" s="1004"/>
      <c r="UR194" s="1004"/>
      <c r="US194" s="1004"/>
      <c r="UT194" s="1004"/>
      <c r="UU194" s="1004"/>
      <c r="UV194" s="1004"/>
      <c r="UW194" s="1004"/>
      <c r="UX194" s="1004"/>
      <c r="UY194" s="1004"/>
      <c r="UZ194" s="1004"/>
      <c r="VA194" s="1004"/>
      <c r="VB194" s="1004"/>
      <c r="VC194" s="1004"/>
      <c r="VD194" s="1004"/>
      <c r="VE194" s="1004"/>
      <c r="VF194" s="1004"/>
      <c r="VG194" s="1004"/>
      <c r="VH194" s="1004"/>
      <c r="VI194" s="1004"/>
      <c r="VJ194" s="1004"/>
      <c r="VK194" s="1004"/>
      <c r="VL194" s="1004"/>
      <c r="VM194" s="1004"/>
      <c r="VN194" s="1004"/>
      <c r="VO194" s="1004"/>
      <c r="VP194" s="1004"/>
      <c r="VQ194" s="1004"/>
      <c r="VR194" s="1004"/>
      <c r="VS194" s="1004"/>
      <c r="VT194" s="1004"/>
      <c r="VU194" s="1004"/>
      <c r="VV194" s="1004"/>
      <c r="VW194" s="1004"/>
      <c r="VX194" s="1004"/>
      <c r="VY194" s="1004"/>
      <c r="VZ194" s="1004"/>
      <c r="WA194" s="1004"/>
      <c r="WB194" s="1004"/>
      <c r="WC194" s="1004"/>
      <c r="WD194" s="1004"/>
      <c r="WE194" s="1004"/>
      <c r="WF194" s="1004"/>
      <c r="WG194" s="1004"/>
      <c r="WH194" s="1004"/>
      <c r="WI194" s="1004"/>
      <c r="WJ194" s="1004"/>
      <c r="WK194" s="1004"/>
      <c r="WL194" s="1004"/>
      <c r="WM194" s="1004"/>
      <c r="WN194" s="1004"/>
      <c r="WO194" s="1004"/>
      <c r="WP194" s="1004"/>
      <c r="WQ194" s="1004"/>
      <c r="WR194" s="1004"/>
      <c r="WS194" s="1004"/>
      <c r="WT194" s="1004"/>
      <c r="WU194" s="1004"/>
      <c r="WV194" s="1004"/>
      <c r="WW194" s="1004"/>
      <c r="WX194" s="1004"/>
      <c r="WY194" s="1004"/>
      <c r="WZ194" s="1004"/>
      <c r="XA194" s="1004"/>
      <c r="XB194" s="1004"/>
      <c r="XC194" s="1004"/>
      <c r="XD194" s="1004"/>
      <c r="XE194" s="1004"/>
      <c r="XF194" s="1004"/>
      <c r="XG194" s="1004"/>
      <c r="XH194" s="1004"/>
      <c r="XI194" s="1004"/>
      <c r="XJ194" s="1004"/>
      <c r="XK194" s="1004"/>
      <c r="XL194" s="1004"/>
      <c r="XM194" s="1004"/>
      <c r="XN194" s="1004"/>
      <c r="XO194" s="1004"/>
      <c r="XP194" s="1004"/>
      <c r="XQ194" s="1004"/>
      <c r="XR194" s="1004"/>
      <c r="XS194" s="1004"/>
      <c r="XT194" s="1004"/>
      <c r="XU194" s="1004"/>
      <c r="XV194" s="1004"/>
      <c r="XW194" s="1004"/>
      <c r="XX194" s="1004"/>
      <c r="XY194" s="1004"/>
      <c r="XZ194" s="1004"/>
      <c r="YA194" s="1004"/>
      <c r="YB194" s="1004"/>
      <c r="YC194" s="1004"/>
      <c r="YD194" s="1004"/>
      <c r="YE194" s="1004"/>
      <c r="YF194" s="1004"/>
      <c r="YG194" s="1004"/>
      <c r="YH194" s="1004"/>
      <c r="YI194" s="1004"/>
      <c r="YJ194" s="1004"/>
      <c r="YK194" s="1004"/>
      <c r="YL194" s="1004"/>
      <c r="YM194" s="1004"/>
      <c r="YN194" s="1004"/>
      <c r="YO194" s="1004"/>
      <c r="YP194" s="1004"/>
      <c r="YQ194" s="1004"/>
      <c r="YR194" s="1004"/>
      <c r="YS194" s="1004"/>
      <c r="YT194" s="1004"/>
      <c r="YU194" s="1004"/>
      <c r="YV194" s="1004"/>
      <c r="YW194" s="1004"/>
      <c r="YX194" s="1004"/>
      <c r="YY194" s="1004"/>
      <c r="YZ194" s="1004"/>
      <c r="ZA194" s="1004"/>
      <c r="ZB194" s="1004"/>
      <c r="ZC194" s="1004"/>
      <c r="ZD194" s="1004"/>
      <c r="ZE194" s="1004"/>
      <c r="ZF194" s="1004"/>
      <c r="ZG194" s="1004"/>
      <c r="ZH194" s="1004"/>
      <c r="ZI194" s="1004"/>
      <c r="ZJ194" s="1004"/>
      <c r="ZK194" s="1004"/>
      <c r="ZL194" s="1004"/>
      <c r="ZM194" s="1004"/>
      <c r="ZN194" s="1004"/>
      <c r="ZO194" s="1004"/>
      <c r="ZP194" s="1004"/>
      <c r="ZQ194" s="1004"/>
      <c r="ZR194" s="1004"/>
      <c r="ZS194" s="1004"/>
      <c r="ZT194" s="1004"/>
      <c r="ZU194" s="1004"/>
      <c r="ZV194" s="1004"/>
      <c r="ZW194" s="1004"/>
      <c r="ZX194" s="1004"/>
      <c r="ZY194" s="1004"/>
      <c r="ZZ194" s="1004"/>
      <c r="AAA194" s="1004"/>
      <c r="AAB194" s="1004"/>
      <c r="AAC194" s="1004"/>
      <c r="AAD194" s="1004"/>
      <c r="AAE194" s="1004"/>
      <c r="AAF194" s="1004"/>
      <c r="AAG194" s="1004"/>
      <c r="AAH194" s="1004"/>
      <c r="AAI194" s="1004"/>
      <c r="AAJ194" s="1004"/>
      <c r="AAK194" s="1004"/>
      <c r="AAL194" s="1004"/>
      <c r="AAM194" s="1004"/>
      <c r="AAN194" s="1004"/>
      <c r="AAO194" s="1004"/>
      <c r="AAP194" s="1004"/>
      <c r="AAQ194" s="1004"/>
      <c r="AAR194" s="1004"/>
      <c r="AAS194" s="1004"/>
      <c r="AAT194" s="1004"/>
      <c r="AAU194" s="1004"/>
      <c r="AAV194" s="1004"/>
      <c r="AAW194" s="1004"/>
      <c r="AAX194" s="1004"/>
      <c r="AAY194" s="1004"/>
      <c r="AAZ194" s="1004"/>
      <c r="ABA194" s="1004"/>
      <c r="ABB194" s="1004"/>
      <c r="ABC194" s="1004"/>
      <c r="ABD194" s="1004"/>
      <c r="ABE194" s="1004"/>
      <c r="ABF194" s="1004"/>
      <c r="ABG194" s="1004"/>
      <c r="ABH194" s="1004"/>
      <c r="ABI194" s="1004"/>
      <c r="ABJ194" s="1004"/>
      <c r="ABK194" s="1004"/>
      <c r="ABL194" s="1004"/>
      <c r="ABM194" s="1004"/>
      <c r="ABN194" s="1004"/>
      <c r="ABO194" s="1004"/>
      <c r="ABP194" s="1004"/>
      <c r="ABQ194" s="1004"/>
      <c r="ABR194" s="1004"/>
    </row>
    <row r="195" spans="1:746" s="80" customFormat="1" ht="12" customHeight="1">
      <c r="A195" s="924"/>
      <c r="B195" s="606" t="s">
        <v>231</v>
      </c>
      <c r="C195" s="593"/>
      <c r="D195" s="557"/>
      <c r="E195" s="558"/>
      <c r="F195" s="559"/>
      <c r="G195" s="558"/>
      <c r="H195" s="2164"/>
      <c r="I195" s="2588" t="s">
        <v>1165</v>
      </c>
      <c r="J195" s="1149"/>
      <c r="K195" s="378"/>
      <c r="L195" s="378"/>
      <c r="M195" s="378"/>
      <c r="N195" s="378"/>
      <c r="O195" s="378"/>
      <c r="P195" s="378"/>
      <c r="Q195" s="378"/>
      <c r="R195" s="378"/>
      <c r="S195" s="378"/>
      <c r="T195" s="378"/>
      <c r="U195" s="1148"/>
      <c r="V195" s="1149"/>
      <c r="W195" s="378"/>
      <c r="X195" s="378"/>
      <c r="Y195" s="378"/>
      <c r="Z195" s="378"/>
      <c r="AA195" s="378"/>
      <c r="AB195" s="378"/>
      <c r="AC195" s="378"/>
      <c r="AD195" s="378"/>
      <c r="AE195" s="378"/>
      <c r="AF195" s="371"/>
      <c r="AG195" s="376"/>
      <c r="AH195" s="336"/>
      <c r="AI195" s="336"/>
      <c r="AJ195" s="1905" t="s">
        <v>883</v>
      </c>
      <c r="AK195" s="1905"/>
      <c r="AL195" s="1905"/>
      <c r="AM195" s="1004"/>
      <c r="AN195" s="1"/>
      <c r="AO195" s="1945"/>
      <c r="AP195" s="1935"/>
      <c r="AQ195" s="1936"/>
      <c r="AR195" s="1941"/>
      <c r="AS195" s="1941"/>
      <c r="AT195" s="1941"/>
      <c r="AU195" s="1941"/>
      <c r="AV195" s="1941"/>
      <c r="AW195" s="1941"/>
      <c r="AX195" s="1941"/>
      <c r="AY195" s="1941"/>
      <c r="AZ195" s="1941"/>
      <c r="BA195" s="1941"/>
      <c r="BB195" s="1941"/>
      <c r="BC195" s="1941"/>
      <c r="BD195" s="1941"/>
      <c r="BE195" s="1941"/>
      <c r="BF195" s="1941"/>
      <c r="BG195" s="1941"/>
      <c r="BH195" s="1941"/>
      <c r="BI195" s="1941"/>
      <c r="BJ195" s="1941"/>
      <c r="BK195" s="1941"/>
      <c r="BL195" s="1941"/>
      <c r="BM195" s="1941"/>
      <c r="BN195" s="1941"/>
      <c r="BO195" s="1941"/>
      <c r="BP195" s="1009"/>
      <c r="BQ195" s="1009"/>
      <c r="BR195" s="1009"/>
      <c r="BS195" s="1009"/>
      <c r="BT195" s="1009"/>
      <c r="BU195" s="1009"/>
      <c r="BV195" s="1009"/>
      <c r="BW195" s="1009"/>
      <c r="BX195" s="1009"/>
      <c r="BY195" s="1009"/>
      <c r="BZ195" s="1009"/>
      <c r="CA195" s="1009"/>
      <c r="CB195" s="1009"/>
      <c r="CC195" s="1009"/>
      <c r="CD195" s="1009"/>
      <c r="CE195" s="1009"/>
      <c r="CF195" s="1009"/>
      <c r="CG195" s="1009"/>
      <c r="CH195" s="1009"/>
      <c r="CI195" s="1009"/>
      <c r="CJ195" s="1009"/>
      <c r="CK195" s="1009"/>
      <c r="CL195" s="1009"/>
      <c r="CM195" s="1009"/>
      <c r="CN195" s="1009"/>
      <c r="CO195" s="1009"/>
      <c r="CP195" s="1009"/>
      <c r="CQ195" s="1009"/>
      <c r="CR195" s="1009"/>
      <c r="CS195" s="1009"/>
      <c r="CT195" s="1009"/>
      <c r="CU195" s="1009"/>
      <c r="CV195" s="1009"/>
      <c r="CW195" s="1009"/>
      <c r="CX195" s="1009"/>
      <c r="CY195" s="1009"/>
      <c r="CZ195" s="1009"/>
      <c r="DA195" s="1009"/>
      <c r="DB195" s="1009"/>
      <c r="DC195" s="1009"/>
      <c r="DD195" s="1009"/>
      <c r="DE195" s="1009"/>
      <c r="DF195" s="1009"/>
      <c r="DG195" s="1009"/>
      <c r="DH195" s="1009"/>
      <c r="DI195" s="1009"/>
      <c r="DJ195" s="1009"/>
      <c r="DK195" s="1009"/>
      <c r="DL195" s="1009"/>
      <c r="DM195" s="1009"/>
      <c r="DN195" s="1009"/>
      <c r="DO195" s="1009"/>
      <c r="DP195" s="1009"/>
      <c r="DQ195" s="1009"/>
      <c r="DR195" s="1009"/>
      <c r="DS195" s="1009"/>
      <c r="DT195" s="1009"/>
      <c r="DU195" s="1009"/>
      <c r="DV195" s="1009"/>
      <c r="DW195" s="1009"/>
      <c r="DX195" s="1009"/>
      <c r="DY195" s="1009"/>
      <c r="DZ195" s="1009"/>
      <c r="EA195" s="1009"/>
      <c r="EB195" s="1009"/>
      <c r="EC195" s="1009"/>
      <c r="ED195" s="1009"/>
      <c r="EE195" s="1009"/>
      <c r="EF195" s="1009"/>
      <c r="EG195" s="1009"/>
      <c r="EH195" s="1009"/>
      <c r="EI195" s="1009"/>
      <c r="EJ195" s="1009"/>
      <c r="EK195" s="1009"/>
      <c r="EL195" s="1009"/>
      <c r="EM195" s="1009"/>
      <c r="EN195" s="1009"/>
      <c r="EO195" s="1009"/>
      <c r="EP195" s="1009"/>
      <c r="EQ195" s="1009"/>
      <c r="ER195" s="1009"/>
      <c r="ES195" s="1009"/>
      <c r="ET195" s="1009"/>
      <c r="EU195" s="1009"/>
      <c r="EV195" s="1009"/>
      <c r="EW195" s="1009"/>
      <c r="EX195" s="1009"/>
      <c r="EY195" s="1009"/>
      <c r="EZ195" s="1009"/>
      <c r="FA195" s="1009"/>
      <c r="FB195" s="1009"/>
      <c r="FC195" s="1009"/>
      <c r="FD195" s="1009"/>
      <c r="FE195" s="1009"/>
      <c r="FF195" s="1009"/>
      <c r="FG195" s="1009"/>
      <c r="FH195" s="1009"/>
      <c r="FI195" s="1009"/>
      <c r="FJ195" s="1009"/>
      <c r="FK195" s="1009"/>
      <c r="FL195" s="1009"/>
      <c r="FM195" s="1009"/>
      <c r="FN195" s="1009"/>
      <c r="FO195" s="1009"/>
      <c r="FP195" s="1009"/>
      <c r="FQ195" s="1009"/>
      <c r="FR195" s="1009"/>
      <c r="FS195" s="1009"/>
      <c r="FT195" s="1009"/>
      <c r="FU195" s="1009"/>
      <c r="FV195" s="1009"/>
      <c r="FW195" s="1009"/>
      <c r="FX195" s="1009"/>
      <c r="FY195" s="1009"/>
      <c r="FZ195" s="1009"/>
      <c r="GA195" s="1009"/>
      <c r="GB195" s="1009"/>
      <c r="GC195" s="1009"/>
      <c r="GD195" s="1009"/>
      <c r="GE195" s="1009"/>
      <c r="GF195" s="1009"/>
      <c r="GG195" s="1009"/>
      <c r="GH195" s="1009"/>
      <c r="GI195" s="1009"/>
      <c r="GJ195" s="1009"/>
      <c r="GK195" s="1009"/>
      <c r="GL195" s="1009"/>
      <c r="GM195" s="1009"/>
      <c r="GN195" s="1009"/>
      <c r="GO195" s="1009"/>
      <c r="GP195" s="1009"/>
      <c r="GQ195" s="1009"/>
      <c r="GR195" s="1009"/>
      <c r="GS195" s="1009"/>
      <c r="GT195" s="1009"/>
      <c r="GU195" s="1009"/>
      <c r="GV195" s="1009"/>
      <c r="GW195" s="1009"/>
      <c r="GX195" s="1009"/>
      <c r="GY195" s="1009"/>
      <c r="GZ195" s="1009"/>
      <c r="HA195" s="1009"/>
      <c r="HB195" s="1009"/>
      <c r="HC195" s="1009"/>
      <c r="HD195" s="1009"/>
      <c r="HE195" s="1009"/>
      <c r="HF195" s="1009"/>
      <c r="HG195" s="1009"/>
      <c r="HH195" s="1009"/>
      <c r="HI195" s="1009"/>
      <c r="HJ195" s="1009"/>
      <c r="HK195" s="1009"/>
      <c r="HL195" s="1009"/>
      <c r="HM195" s="1009"/>
      <c r="HN195" s="1009"/>
      <c r="HO195" s="1009"/>
      <c r="HP195" s="1009"/>
      <c r="HQ195" s="1009"/>
      <c r="HR195" s="1009"/>
      <c r="HS195" s="1009"/>
      <c r="HT195" s="1009"/>
      <c r="HU195" s="1009"/>
      <c r="HV195" s="1009"/>
      <c r="HW195" s="1009"/>
      <c r="HX195" s="1009"/>
      <c r="HY195" s="1009"/>
      <c r="HZ195" s="1009"/>
      <c r="IA195" s="1009"/>
      <c r="IB195" s="1009"/>
      <c r="IC195" s="1009"/>
      <c r="ID195" s="1009"/>
      <c r="IE195" s="1009"/>
      <c r="IF195" s="1009"/>
      <c r="IG195" s="1009"/>
      <c r="IH195" s="1009"/>
      <c r="II195" s="1009"/>
      <c r="IJ195" s="1009"/>
      <c r="IK195" s="1009"/>
      <c r="IL195" s="1009"/>
      <c r="IM195" s="1009"/>
      <c r="IN195" s="1009"/>
      <c r="IO195" s="1009"/>
      <c r="IP195" s="1009"/>
      <c r="IQ195" s="1009"/>
      <c r="IR195" s="1009"/>
      <c r="IS195" s="1009"/>
      <c r="IT195" s="1009"/>
      <c r="IU195" s="1009"/>
      <c r="IV195" s="1009"/>
      <c r="IW195" s="1009"/>
      <c r="IX195" s="1009"/>
      <c r="IY195" s="1009"/>
      <c r="IZ195" s="1009"/>
      <c r="JA195" s="1009"/>
      <c r="JB195" s="1009"/>
      <c r="JC195" s="1009"/>
      <c r="JD195" s="1009"/>
      <c r="JE195" s="1009"/>
      <c r="JF195" s="1009"/>
      <c r="JG195" s="1009"/>
      <c r="JH195" s="1009"/>
      <c r="JI195" s="1009"/>
      <c r="JJ195" s="1009"/>
      <c r="JK195" s="1009"/>
      <c r="JL195" s="1009"/>
      <c r="JM195" s="1009"/>
      <c r="JN195" s="1009"/>
      <c r="JO195" s="1009"/>
      <c r="JP195" s="1009"/>
      <c r="JQ195" s="1009"/>
      <c r="JR195" s="1009"/>
      <c r="JS195" s="1009"/>
      <c r="JT195" s="1009"/>
      <c r="JU195" s="1009"/>
      <c r="JV195" s="1009"/>
      <c r="JW195" s="1009"/>
      <c r="JX195" s="1009"/>
      <c r="JY195" s="1009"/>
      <c r="JZ195" s="1009"/>
      <c r="KA195" s="1009"/>
      <c r="KB195" s="1009"/>
      <c r="KC195" s="1009"/>
      <c r="KD195" s="1009"/>
      <c r="KE195" s="1009"/>
      <c r="KF195" s="1009"/>
      <c r="KG195" s="1009"/>
      <c r="KH195" s="1009"/>
      <c r="KI195" s="1009"/>
      <c r="KJ195" s="1009"/>
      <c r="KK195" s="1009"/>
      <c r="KL195" s="1009"/>
      <c r="KM195" s="1009"/>
      <c r="KN195" s="1009"/>
      <c r="KO195" s="1009"/>
      <c r="KP195" s="1009"/>
      <c r="KQ195" s="1009"/>
      <c r="KR195" s="1009"/>
      <c r="KS195" s="1009"/>
      <c r="KT195" s="1009"/>
      <c r="KU195" s="1009"/>
      <c r="KV195" s="1009"/>
      <c r="KW195" s="1009"/>
      <c r="KX195" s="1009"/>
      <c r="KY195" s="1009"/>
      <c r="KZ195" s="1009"/>
      <c r="LA195" s="1009"/>
      <c r="LB195" s="1009"/>
      <c r="LC195" s="1009"/>
      <c r="LD195" s="1009"/>
      <c r="LE195" s="1009"/>
      <c r="LF195" s="1009"/>
      <c r="LG195" s="1009"/>
      <c r="LH195" s="1009"/>
      <c r="LI195" s="1009"/>
      <c r="LJ195" s="1009"/>
      <c r="LK195" s="1009"/>
      <c r="LL195" s="1009"/>
      <c r="LM195" s="1009"/>
      <c r="LN195" s="1009"/>
      <c r="LO195" s="1009"/>
      <c r="LP195" s="1009"/>
      <c r="LQ195" s="1009"/>
      <c r="LR195" s="1009"/>
      <c r="LS195" s="1009"/>
      <c r="LT195" s="1009"/>
      <c r="LU195" s="1009"/>
      <c r="LV195" s="1009"/>
      <c r="LW195" s="1009"/>
      <c r="LX195" s="1009"/>
      <c r="LY195" s="1009"/>
      <c r="LZ195" s="1009"/>
      <c r="MA195" s="1009"/>
      <c r="MB195" s="1009"/>
      <c r="MC195" s="1009"/>
      <c r="MD195" s="1009"/>
      <c r="ME195" s="1009"/>
      <c r="MF195" s="1009"/>
      <c r="MG195" s="1009"/>
      <c r="MH195" s="1009"/>
      <c r="MI195" s="1009"/>
      <c r="MJ195" s="1009"/>
      <c r="MK195" s="1009"/>
      <c r="ML195" s="1009"/>
      <c r="MM195" s="1009"/>
      <c r="MN195" s="1009"/>
      <c r="MO195" s="1009"/>
      <c r="MP195" s="1009"/>
      <c r="MQ195" s="1009"/>
      <c r="MR195" s="1009"/>
      <c r="MS195" s="1009"/>
      <c r="MT195" s="1009"/>
      <c r="MU195" s="1009"/>
      <c r="MV195" s="1009"/>
      <c r="MW195" s="1009"/>
      <c r="MX195" s="1009"/>
      <c r="MY195" s="1009"/>
      <c r="MZ195" s="1009"/>
      <c r="NA195" s="1009"/>
      <c r="NB195" s="1009"/>
      <c r="NC195" s="1009"/>
      <c r="ND195" s="1009"/>
      <c r="NE195" s="1009"/>
      <c r="NF195" s="1009"/>
      <c r="NG195" s="1009"/>
      <c r="NH195" s="1009"/>
      <c r="NI195" s="1009"/>
      <c r="NJ195" s="1009"/>
      <c r="NK195" s="1009"/>
      <c r="NL195" s="1009"/>
      <c r="NM195" s="1009"/>
      <c r="NN195" s="1009"/>
      <c r="NO195" s="1009"/>
      <c r="NP195" s="1009"/>
      <c r="NQ195" s="1009"/>
      <c r="NR195" s="1009"/>
      <c r="NS195" s="1009"/>
      <c r="NT195" s="1009"/>
      <c r="NU195" s="1009"/>
      <c r="NV195" s="1009"/>
      <c r="NW195" s="1009"/>
      <c r="NX195" s="1009"/>
      <c r="NY195" s="1009"/>
      <c r="NZ195" s="1009"/>
      <c r="OA195" s="1009"/>
      <c r="OB195" s="1009"/>
      <c r="OC195" s="1009"/>
      <c r="OD195" s="1009"/>
      <c r="OE195" s="1009"/>
      <c r="OF195" s="1009"/>
      <c r="OG195" s="1009"/>
      <c r="OH195" s="1009"/>
      <c r="OI195" s="1009"/>
      <c r="OJ195" s="1009"/>
      <c r="OK195" s="1009"/>
      <c r="OL195" s="1009"/>
      <c r="OM195" s="1009"/>
      <c r="ON195" s="1009"/>
      <c r="OO195" s="1009"/>
      <c r="OP195" s="1009"/>
      <c r="OQ195" s="1009"/>
      <c r="OR195" s="1009"/>
      <c r="OS195" s="1009"/>
      <c r="OT195" s="1009"/>
      <c r="OU195" s="1009"/>
      <c r="OV195" s="1009"/>
      <c r="OW195" s="1009"/>
      <c r="OX195" s="1009"/>
      <c r="OY195" s="1009"/>
      <c r="OZ195" s="1009"/>
      <c r="PA195" s="1009"/>
      <c r="PB195" s="1009"/>
      <c r="PC195" s="1009"/>
      <c r="PD195" s="1009"/>
      <c r="PE195" s="1009"/>
      <c r="PF195" s="1009"/>
      <c r="PG195" s="1009"/>
      <c r="PH195" s="1009"/>
      <c r="PI195" s="1009"/>
      <c r="PJ195" s="1009"/>
      <c r="PK195" s="1009"/>
      <c r="PL195" s="1009"/>
      <c r="PM195" s="1009"/>
      <c r="PN195" s="1009"/>
      <c r="PO195" s="1009"/>
      <c r="PP195" s="1009"/>
      <c r="PQ195" s="1009"/>
      <c r="PR195" s="1009"/>
      <c r="PS195" s="1009"/>
      <c r="PT195" s="1009"/>
      <c r="PU195" s="1009"/>
      <c r="PV195" s="1009"/>
      <c r="PW195" s="1009"/>
      <c r="PX195" s="1009"/>
      <c r="PY195" s="1009"/>
      <c r="PZ195" s="1009"/>
      <c r="QA195" s="1009"/>
      <c r="QB195" s="1009"/>
      <c r="QC195" s="1009"/>
      <c r="QD195" s="1009"/>
      <c r="QE195" s="1009"/>
      <c r="QF195" s="1009"/>
      <c r="QG195" s="1009"/>
      <c r="QH195" s="1009"/>
      <c r="QI195" s="1009"/>
      <c r="QJ195" s="1009"/>
      <c r="QK195" s="1009"/>
      <c r="QL195" s="1009"/>
      <c r="QM195" s="1009"/>
      <c r="QN195" s="1009"/>
      <c r="QO195" s="1009"/>
      <c r="QP195" s="1009"/>
      <c r="QQ195" s="1009"/>
      <c r="QR195" s="1009"/>
      <c r="QS195" s="1009"/>
      <c r="QT195" s="1009"/>
      <c r="QU195" s="1009"/>
      <c r="QV195" s="1009"/>
      <c r="QW195" s="1009"/>
      <c r="QX195" s="1009"/>
      <c r="QY195" s="1009"/>
      <c r="QZ195" s="1009"/>
      <c r="RA195" s="1009"/>
      <c r="RB195" s="1009"/>
      <c r="RC195" s="1009"/>
      <c r="RD195" s="1009"/>
      <c r="RE195" s="1009"/>
      <c r="RF195" s="1009"/>
      <c r="RG195" s="1009"/>
      <c r="RH195" s="1009"/>
      <c r="RI195" s="1009"/>
      <c r="RJ195" s="1009"/>
      <c r="RK195" s="1009"/>
      <c r="RL195" s="1009"/>
      <c r="RM195" s="1009"/>
      <c r="RN195" s="1009"/>
      <c r="RO195" s="1009"/>
      <c r="RP195" s="1009"/>
      <c r="RQ195" s="1009"/>
      <c r="RR195" s="1009"/>
      <c r="RS195" s="1009"/>
      <c r="RT195" s="1009"/>
      <c r="RU195" s="1009"/>
      <c r="RV195" s="1009"/>
      <c r="RW195" s="1009"/>
      <c r="RX195" s="1009"/>
      <c r="RY195" s="1009"/>
      <c r="RZ195" s="1009"/>
      <c r="SA195" s="1009"/>
      <c r="SB195" s="1009"/>
      <c r="SC195" s="1009"/>
      <c r="SD195" s="1009"/>
      <c r="SE195" s="1009"/>
      <c r="SF195" s="1009"/>
      <c r="SG195" s="1009"/>
      <c r="SH195" s="1009"/>
      <c r="SI195" s="1009"/>
      <c r="SJ195" s="1009"/>
      <c r="SK195" s="1009"/>
      <c r="SL195" s="1009"/>
      <c r="SM195" s="1009"/>
      <c r="SN195" s="1009"/>
      <c r="SO195" s="1009"/>
      <c r="SP195" s="1009"/>
      <c r="SQ195" s="1009"/>
      <c r="SR195" s="1009"/>
      <c r="SS195" s="1009"/>
      <c r="ST195" s="1009"/>
      <c r="SU195" s="1009"/>
      <c r="SV195" s="1009"/>
      <c r="SW195" s="1009"/>
      <c r="SX195" s="1009"/>
      <c r="SY195" s="1009"/>
      <c r="SZ195" s="1009"/>
      <c r="TA195" s="1009"/>
      <c r="TB195" s="1009"/>
      <c r="TC195" s="1009"/>
      <c r="TD195" s="1009"/>
      <c r="TE195" s="1009"/>
      <c r="TF195" s="1009"/>
      <c r="TG195" s="1009"/>
      <c r="TH195" s="1009"/>
      <c r="TI195" s="1009"/>
      <c r="TJ195" s="1009"/>
      <c r="TK195" s="1009"/>
      <c r="TL195" s="1009"/>
      <c r="TM195" s="1009"/>
      <c r="TN195" s="1009"/>
      <c r="TO195" s="1009"/>
      <c r="TP195" s="1009"/>
      <c r="TQ195" s="1009"/>
      <c r="TR195" s="1009"/>
      <c r="TS195" s="1009"/>
      <c r="TT195" s="1009"/>
      <c r="TU195" s="1009"/>
      <c r="TV195" s="1009"/>
      <c r="TW195" s="1009"/>
      <c r="TX195" s="1009"/>
      <c r="TY195" s="1009"/>
      <c r="TZ195" s="1009"/>
      <c r="UA195" s="1009"/>
      <c r="UB195" s="1009"/>
      <c r="UC195" s="1009"/>
      <c r="UD195" s="1009"/>
      <c r="UE195" s="1009"/>
      <c r="UF195" s="1009"/>
      <c r="UG195" s="1009"/>
      <c r="UH195" s="1009"/>
      <c r="UI195" s="1009"/>
      <c r="UJ195" s="1009"/>
      <c r="UK195" s="1009"/>
      <c r="UL195" s="1009"/>
      <c r="UM195" s="1009"/>
      <c r="UN195" s="1009"/>
      <c r="UO195" s="1009"/>
      <c r="UP195" s="1009"/>
      <c r="UQ195" s="1009"/>
      <c r="UR195" s="1009"/>
      <c r="US195" s="1009"/>
      <c r="UT195" s="1009"/>
      <c r="UU195" s="1009"/>
      <c r="UV195" s="1009"/>
      <c r="UW195" s="1009"/>
      <c r="UX195" s="1009"/>
      <c r="UY195" s="1009"/>
      <c r="UZ195" s="1009"/>
      <c r="VA195" s="1009"/>
      <c r="VB195" s="1009"/>
      <c r="VC195" s="1009"/>
      <c r="VD195" s="1009"/>
      <c r="VE195" s="1009"/>
      <c r="VF195" s="1009"/>
      <c r="VG195" s="1009"/>
      <c r="VH195" s="1009"/>
      <c r="VI195" s="1009"/>
      <c r="VJ195" s="1009"/>
      <c r="VK195" s="1009"/>
      <c r="VL195" s="1009"/>
      <c r="VM195" s="1009"/>
      <c r="VN195" s="1009"/>
      <c r="VO195" s="1009"/>
      <c r="VP195" s="1009"/>
      <c r="VQ195" s="1009"/>
      <c r="VR195" s="1009"/>
      <c r="VS195" s="1009"/>
      <c r="VT195" s="1009"/>
      <c r="VU195" s="1009"/>
      <c r="VV195" s="1009"/>
      <c r="VW195" s="1009"/>
      <c r="VX195" s="1009"/>
      <c r="VY195" s="1009"/>
      <c r="VZ195" s="1009"/>
      <c r="WA195" s="1009"/>
      <c r="WB195" s="1009"/>
      <c r="WC195" s="1009"/>
      <c r="WD195" s="1009"/>
      <c r="WE195" s="1009"/>
      <c r="WF195" s="1009"/>
      <c r="WG195" s="1009"/>
      <c r="WH195" s="1009"/>
      <c r="WI195" s="1009"/>
      <c r="WJ195" s="1009"/>
      <c r="WK195" s="1009"/>
      <c r="WL195" s="1009"/>
      <c r="WM195" s="1009"/>
      <c r="WN195" s="1009"/>
      <c r="WO195" s="1009"/>
      <c r="WP195" s="1009"/>
      <c r="WQ195" s="1009"/>
      <c r="WR195" s="1009"/>
      <c r="WS195" s="1009"/>
      <c r="WT195" s="1009"/>
      <c r="WU195" s="1009"/>
      <c r="WV195" s="1009"/>
      <c r="WW195" s="1009"/>
      <c r="WX195" s="1009"/>
      <c r="WY195" s="1009"/>
      <c r="WZ195" s="1009"/>
      <c r="XA195" s="1009"/>
      <c r="XB195" s="1009"/>
      <c r="XC195" s="1009"/>
      <c r="XD195" s="1009"/>
      <c r="XE195" s="1009"/>
      <c r="XF195" s="1009"/>
      <c r="XG195" s="1009"/>
      <c r="XH195" s="1009"/>
      <c r="XI195" s="1009"/>
      <c r="XJ195" s="1009"/>
      <c r="XK195" s="1009"/>
      <c r="XL195" s="1009"/>
      <c r="XM195" s="1009"/>
      <c r="XN195" s="1009"/>
      <c r="XO195" s="1009"/>
      <c r="XP195" s="1009"/>
      <c r="XQ195" s="1009"/>
      <c r="XR195" s="1009"/>
      <c r="XS195" s="1009"/>
      <c r="XT195" s="1009"/>
      <c r="XU195" s="1009"/>
      <c r="XV195" s="1009"/>
      <c r="XW195" s="1009"/>
      <c r="XX195" s="1009"/>
      <c r="XY195" s="1009"/>
      <c r="XZ195" s="1009"/>
      <c r="YA195" s="1009"/>
      <c r="YB195" s="1009"/>
      <c r="YC195" s="1009"/>
      <c r="YD195" s="1009"/>
      <c r="YE195" s="1009"/>
      <c r="YF195" s="1009"/>
      <c r="YG195" s="1009"/>
      <c r="YH195" s="1009"/>
      <c r="YI195" s="1009"/>
      <c r="YJ195" s="1009"/>
      <c r="YK195" s="1009"/>
      <c r="YL195" s="1009"/>
      <c r="YM195" s="1009"/>
      <c r="YN195" s="1009"/>
      <c r="YO195" s="1009"/>
      <c r="YP195" s="1009"/>
      <c r="YQ195" s="1009"/>
      <c r="YR195" s="1009"/>
      <c r="YS195" s="1009"/>
      <c r="YT195" s="1009"/>
      <c r="YU195" s="1009"/>
      <c r="YV195" s="1009"/>
      <c r="YW195" s="1009"/>
      <c r="YX195" s="1009"/>
      <c r="YY195" s="1009"/>
      <c r="YZ195" s="1009"/>
      <c r="ZA195" s="1009"/>
      <c r="ZB195" s="1009"/>
      <c r="ZC195" s="1009"/>
      <c r="ZD195" s="1009"/>
      <c r="ZE195" s="1009"/>
      <c r="ZF195" s="1009"/>
      <c r="ZG195" s="1009"/>
      <c r="ZH195" s="1009"/>
      <c r="ZI195" s="1009"/>
      <c r="ZJ195" s="1009"/>
      <c r="ZK195" s="1009"/>
      <c r="ZL195" s="1009"/>
      <c r="ZM195" s="1009"/>
      <c r="ZN195" s="1009"/>
      <c r="ZO195" s="1009"/>
      <c r="ZP195" s="1009"/>
      <c r="ZQ195" s="1009"/>
      <c r="ZR195" s="1009"/>
      <c r="ZS195" s="1009"/>
      <c r="ZT195" s="1009"/>
      <c r="ZU195" s="1009"/>
      <c r="ZV195" s="1009"/>
      <c r="ZW195" s="1009"/>
      <c r="ZX195" s="1009"/>
      <c r="ZY195" s="1009"/>
      <c r="ZZ195" s="1009"/>
      <c r="AAA195" s="1009"/>
      <c r="AAB195" s="1009"/>
      <c r="AAC195" s="1009"/>
      <c r="AAD195" s="1009"/>
      <c r="AAE195" s="1009"/>
      <c r="AAF195" s="1009"/>
      <c r="AAG195" s="1009"/>
      <c r="AAH195" s="1009"/>
      <c r="AAI195" s="1009"/>
      <c r="AAJ195" s="1009"/>
      <c r="AAK195" s="1009"/>
      <c r="AAL195" s="1009"/>
      <c r="AAM195" s="1009"/>
      <c r="AAN195" s="1009"/>
      <c r="AAO195" s="1009"/>
      <c r="AAP195" s="1009"/>
      <c r="AAQ195" s="1009"/>
      <c r="AAR195" s="1009"/>
      <c r="AAS195" s="1009"/>
      <c r="AAT195" s="1009"/>
      <c r="AAU195" s="1009"/>
      <c r="AAV195" s="1009"/>
      <c r="AAW195" s="1009"/>
      <c r="AAX195" s="1009"/>
      <c r="AAY195" s="1009"/>
      <c r="AAZ195" s="1009"/>
      <c r="ABA195" s="1009"/>
      <c r="ABB195" s="1009"/>
      <c r="ABC195" s="1009"/>
      <c r="ABD195" s="1009"/>
      <c r="ABE195" s="1009"/>
      <c r="ABF195" s="1009"/>
      <c r="ABG195" s="1009"/>
      <c r="ABH195" s="1009"/>
      <c r="ABI195" s="1009"/>
      <c r="ABJ195" s="1009"/>
      <c r="ABK195" s="1009"/>
      <c r="ABL195" s="1009"/>
      <c r="ABM195" s="1009"/>
      <c r="ABN195" s="1009"/>
      <c r="ABO195" s="1009"/>
      <c r="ABP195" s="1009"/>
      <c r="ABQ195" s="1009"/>
      <c r="ABR195" s="1009"/>
    </row>
    <row r="196" spans="1:746" s="80" customFormat="1" ht="12" customHeight="1">
      <c r="A196" s="924"/>
      <c r="B196" s="880" t="s">
        <v>232</v>
      </c>
      <c r="C196" s="883"/>
      <c r="D196" s="884"/>
      <c r="E196" s="1203"/>
      <c r="F196" s="551"/>
      <c r="G196" s="1203"/>
      <c r="H196" s="598"/>
      <c r="I196" s="1966"/>
      <c r="J196" s="368"/>
      <c r="K196" s="368"/>
      <c r="L196" s="368"/>
      <c r="M196" s="368"/>
      <c r="N196" s="368"/>
      <c r="O196" s="368"/>
      <c r="P196" s="368"/>
      <c r="Q196" s="368"/>
      <c r="R196" s="368"/>
      <c r="S196" s="368"/>
      <c r="T196" s="368"/>
      <c r="U196" s="875"/>
      <c r="V196" s="875"/>
      <c r="W196" s="875"/>
      <c r="X196" s="875"/>
      <c r="Y196" s="875"/>
      <c r="Z196" s="875"/>
      <c r="AA196" s="875"/>
      <c r="AB196" s="875"/>
      <c r="AC196" s="875"/>
      <c r="AD196" s="875"/>
      <c r="AE196" s="875"/>
      <c r="AF196" s="875"/>
      <c r="AG196" s="1042"/>
      <c r="AH196" s="336"/>
      <c r="AI196" s="336"/>
      <c r="AJ196" s="1142">
        <f>IF((fx!$AH$470)&lt;0,0,Resultatbudget_Helår!F75)</f>
        <v>0</v>
      </c>
      <c r="AK196" s="328"/>
      <c r="AL196" s="1142">
        <f>IF(fx!$AJ$470&lt;0,0,Resultatbudget_Helår!J75)</f>
        <v>0</v>
      </c>
      <c r="AM196" s="1004"/>
      <c r="AN196" s="1"/>
      <c r="AO196" s="1945"/>
      <c r="AP196" s="1935"/>
      <c r="AQ196" s="1936"/>
      <c r="AR196" s="1941"/>
      <c r="AS196" s="1941"/>
      <c r="AT196" s="1941"/>
      <c r="AU196" s="1941"/>
      <c r="AV196" s="1941"/>
      <c r="AW196" s="1941"/>
      <c r="AX196" s="1941"/>
      <c r="AY196" s="1941"/>
      <c r="AZ196" s="1941"/>
      <c r="BA196" s="1941"/>
      <c r="BB196" s="1941"/>
      <c r="BC196" s="1941"/>
      <c r="BD196" s="1941"/>
      <c r="BE196" s="1941"/>
      <c r="BF196" s="1941"/>
      <c r="BG196" s="1941"/>
      <c r="BH196" s="1941"/>
      <c r="BI196" s="1941"/>
      <c r="BJ196" s="1941"/>
      <c r="BK196" s="1941"/>
      <c r="BL196" s="1941"/>
      <c r="BM196" s="1941"/>
      <c r="BN196" s="1941"/>
      <c r="BO196" s="1941"/>
      <c r="BP196" s="1009"/>
      <c r="BQ196" s="1009"/>
      <c r="BR196" s="1009"/>
      <c r="BS196" s="1009"/>
      <c r="BT196" s="1009"/>
      <c r="BU196" s="1009"/>
      <c r="BV196" s="1009"/>
      <c r="BW196" s="1009"/>
      <c r="BX196" s="1009"/>
      <c r="BY196" s="1009"/>
      <c r="BZ196" s="1009"/>
      <c r="CA196" s="1009"/>
      <c r="CB196" s="1009"/>
      <c r="CC196" s="1009"/>
      <c r="CD196" s="1009"/>
      <c r="CE196" s="1009"/>
      <c r="CF196" s="1009"/>
      <c r="CG196" s="1009"/>
      <c r="CH196" s="1009"/>
      <c r="CI196" s="1009"/>
      <c r="CJ196" s="1009"/>
      <c r="CK196" s="1009"/>
      <c r="CL196" s="1009"/>
      <c r="CM196" s="1009"/>
      <c r="CN196" s="1009"/>
      <c r="CO196" s="1009"/>
      <c r="CP196" s="1009"/>
      <c r="CQ196" s="1009"/>
      <c r="CR196" s="1009"/>
      <c r="CS196" s="1009"/>
      <c r="CT196" s="1009"/>
      <c r="CU196" s="1009"/>
      <c r="CV196" s="1009"/>
      <c r="CW196" s="1009"/>
      <c r="CX196" s="1009"/>
      <c r="CY196" s="1009"/>
      <c r="CZ196" s="1009"/>
      <c r="DA196" s="1009"/>
      <c r="DB196" s="1009"/>
      <c r="DC196" s="1009"/>
      <c r="DD196" s="1009"/>
      <c r="DE196" s="1009"/>
      <c r="DF196" s="1009"/>
      <c r="DG196" s="1009"/>
      <c r="DH196" s="1009"/>
      <c r="DI196" s="1009"/>
      <c r="DJ196" s="1009"/>
      <c r="DK196" s="1009"/>
      <c r="DL196" s="1009"/>
      <c r="DM196" s="1009"/>
      <c r="DN196" s="1009"/>
      <c r="DO196" s="1009"/>
      <c r="DP196" s="1009"/>
      <c r="DQ196" s="1009"/>
      <c r="DR196" s="1009"/>
      <c r="DS196" s="1009"/>
      <c r="DT196" s="1009"/>
      <c r="DU196" s="1009"/>
      <c r="DV196" s="1009"/>
      <c r="DW196" s="1009"/>
      <c r="DX196" s="1009"/>
      <c r="DY196" s="1009"/>
      <c r="DZ196" s="1009"/>
      <c r="EA196" s="1009"/>
      <c r="EB196" s="1009"/>
      <c r="EC196" s="1009"/>
      <c r="ED196" s="1009"/>
      <c r="EE196" s="1009"/>
      <c r="EF196" s="1009"/>
      <c r="EG196" s="1009"/>
      <c r="EH196" s="1009"/>
      <c r="EI196" s="1009"/>
      <c r="EJ196" s="1009"/>
      <c r="EK196" s="1009"/>
      <c r="EL196" s="1009"/>
      <c r="EM196" s="1009"/>
      <c r="EN196" s="1009"/>
      <c r="EO196" s="1009"/>
      <c r="EP196" s="1009"/>
      <c r="EQ196" s="1009"/>
      <c r="ER196" s="1009"/>
      <c r="ES196" s="1009"/>
      <c r="ET196" s="1009"/>
      <c r="EU196" s="1009"/>
      <c r="EV196" s="1009"/>
      <c r="EW196" s="1009"/>
      <c r="EX196" s="1009"/>
      <c r="EY196" s="1009"/>
      <c r="EZ196" s="1009"/>
      <c r="FA196" s="1009"/>
      <c r="FB196" s="1009"/>
      <c r="FC196" s="1009"/>
      <c r="FD196" s="1009"/>
      <c r="FE196" s="1009"/>
      <c r="FF196" s="1009"/>
      <c r="FG196" s="1009"/>
      <c r="FH196" s="1009"/>
      <c r="FI196" s="1009"/>
      <c r="FJ196" s="1009"/>
      <c r="FK196" s="1009"/>
      <c r="FL196" s="1009"/>
      <c r="FM196" s="1009"/>
      <c r="FN196" s="1009"/>
      <c r="FO196" s="1009"/>
      <c r="FP196" s="1009"/>
      <c r="FQ196" s="1009"/>
      <c r="FR196" s="1009"/>
      <c r="FS196" s="1009"/>
      <c r="FT196" s="1009"/>
      <c r="FU196" s="1009"/>
      <c r="FV196" s="1009"/>
      <c r="FW196" s="1009"/>
      <c r="FX196" s="1009"/>
      <c r="FY196" s="1009"/>
      <c r="FZ196" s="1009"/>
      <c r="GA196" s="1009"/>
      <c r="GB196" s="1009"/>
      <c r="GC196" s="1009"/>
      <c r="GD196" s="1009"/>
      <c r="GE196" s="1009"/>
      <c r="GF196" s="1009"/>
      <c r="GG196" s="1009"/>
      <c r="GH196" s="1009"/>
      <c r="GI196" s="1009"/>
      <c r="GJ196" s="1009"/>
      <c r="GK196" s="1009"/>
      <c r="GL196" s="1009"/>
      <c r="GM196" s="1009"/>
      <c r="GN196" s="1009"/>
      <c r="GO196" s="1009"/>
      <c r="GP196" s="1009"/>
      <c r="GQ196" s="1009"/>
      <c r="GR196" s="1009"/>
      <c r="GS196" s="1009"/>
      <c r="GT196" s="1009"/>
      <c r="GU196" s="1009"/>
      <c r="GV196" s="1009"/>
      <c r="GW196" s="1009"/>
      <c r="GX196" s="1009"/>
      <c r="GY196" s="1009"/>
      <c r="GZ196" s="1009"/>
      <c r="HA196" s="1009"/>
      <c r="HB196" s="1009"/>
      <c r="HC196" s="1009"/>
      <c r="HD196" s="1009"/>
      <c r="HE196" s="1009"/>
      <c r="HF196" s="1009"/>
      <c r="HG196" s="1009"/>
      <c r="HH196" s="1009"/>
      <c r="HI196" s="1009"/>
      <c r="HJ196" s="1009"/>
      <c r="HK196" s="1009"/>
      <c r="HL196" s="1009"/>
      <c r="HM196" s="1009"/>
      <c r="HN196" s="1009"/>
      <c r="HO196" s="1009"/>
      <c r="HP196" s="1009"/>
      <c r="HQ196" s="1009"/>
      <c r="HR196" s="1009"/>
      <c r="HS196" s="1009"/>
      <c r="HT196" s="1009"/>
      <c r="HU196" s="1009"/>
      <c r="HV196" s="1009"/>
      <c r="HW196" s="1009"/>
      <c r="HX196" s="1009"/>
      <c r="HY196" s="1009"/>
      <c r="HZ196" s="1009"/>
      <c r="IA196" s="1009"/>
      <c r="IB196" s="1009"/>
      <c r="IC196" s="1009"/>
      <c r="ID196" s="1009"/>
      <c r="IE196" s="1009"/>
      <c r="IF196" s="1009"/>
      <c r="IG196" s="1009"/>
      <c r="IH196" s="1009"/>
      <c r="II196" s="1009"/>
      <c r="IJ196" s="1009"/>
      <c r="IK196" s="1009"/>
      <c r="IL196" s="1009"/>
      <c r="IM196" s="1009"/>
      <c r="IN196" s="1009"/>
      <c r="IO196" s="1009"/>
      <c r="IP196" s="1009"/>
      <c r="IQ196" s="1009"/>
      <c r="IR196" s="1009"/>
      <c r="IS196" s="1009"/>
      <c r="IT196" s="1009"/>
      <c r="IU196" s="1009"/>
      <c r="IV196" s="1009"/>
      <c r="IW196" s="1009"/>
      <c r="IX196" s="1009"/>
      <c r="IY196" s="1009"/>
      <c r="IZ196" s="1009"/>
      <c r="JA196" s="1009"/>
      <c r="JB196" s="1009"/>
      <c r="JC196" s="1009"/>
      <c r="JD196" s="1009"/>
      <c r="JE196" s="1009"/>
      <c r="JF196" s="1009"/>
      <c r="JG196" s="1009"/>
      <c r="JH196" s="1009"/>
      <c r="JI196" s="1009"/>
      <c r="JJ196" s="1009"/>
      <c r="JK196" s="1009"/>
      <c r="JL196" s="1009"/>
      <c r="JM196" s="1009"/>
      <c r="JN196" s="1009"/>
      <c r="JO196" s="1009"/>
      <c r="JP196" s="1009"/>
      <c r="JQ196" s="1009"/>
      <c r="JR196" s="1009"/>
      <c r="JS196" s="1009"/>
      <c r="JT196" s="1009"/>
      <c r="JU196" s="1009"/>
      <c r="JV196" s="1009"/>
      <c r="JW196" s="1009"/>
      <c r="JX196" s="1009"/>
      <c r="JY196" s="1009"/>
      <c r="JZ196" s="1009"/>
      <c r="KA196" s="1009"/>
      <c r="KB196" s="1009"/>
      <c r="KC196" s="1009"/>
      <c r="KD196" s="1009"/>
      <c r="KE196" s="1009"/>
      <c r="KF196" s="1009"/>
      <c r="KG196" s="1009"/>
      <c r="KH196" s="1009"/>
      <c r="KI196" s="1009"/>
      <c r="KJ196" s="1009"/>
      <c r="KK196" s="1009"/>
      <c r="KL196" s="1009"/>
      <c r="KM196" s="1009"/>
      <c r="KN196" s="1009"/>
      <c r="KO196" s="1009"/>
      <c r="KP196" s="1009"/>
      <c r="KQ196" s="1009"/>
      <c r="KR196" s="1009"/>
      <c r="KS196" s="1009"/>
      <c r="KT196" s="1009"/>
      <c r="KU196" s="1009"/>
      <c r="KV196" s="1009"/>
      <c r="KW196" s="1009"/>
      <c r="KX196" s="1009"/>
      <c r="KY196" s="1009"/>
      <c r="KZ196" s="1009"/>
      <c r="LA196" s="1009"/>
      <c r="LB196" s="1009"/>
      <c r="LC196" s="1009"/>
      <c r="LD196" s="1009"/>
      <c r="LE196" s="1009"/>
      <c r="LF196" s="1009"/>
      <c r="LG196" s="1009"/>
      <c r="LH196" s="1009"/>
      <c r="LI196" s="1009"/>
      <c r="LJ196" s="1009"/>
      <c r="LK196" s="1009"/>
      <c r="LL196" s="1009"/>
      <c r="LM196" s="1009"/>
      <c r="LN196" s="1009"/>
      <c r="LO196" s="1009"/>
      <c r="LP196" s="1009"/>
      <c r="LQ196" s="1009"/>
      <c r="LR196" s="1009"/>
      <c r="LS196" s="1009"/>
      <c r="LT196" s="1009"/>
      <c r="LU196" s="1009"/>
      <c r="LV196" s="1009"/>
      <c r="LW196" s="1009"/>
      <c r="LX196" s="1009"/>
      <c r="LY196" s="1009"/>
      <c r="LZ196" s="1009"/>
      <c r="MA196" s="1009"/>
      <c r="MB196" s="1009"/>
      <c r="MC196" s="1009"/>
      <c r="MD196" s="1009"/>
      <c r="ME196" s="1009"/>
      <c r="MF196" s="1009"/>
      <c r="MG196" s="1009"/>
      <c r="MH196" s="1009"/>
      <c r="MI196" s="1009"/>
      <c r="MJ196" s="1009"/>
      <c r="MK196" s="1009"/>
      <c r="ML196" s="1009"/>
      <c r="MM196" s="1009"/>
      <c r="MN196" s="1009"/>
      <c r="MO196" s="1009"/>
      <c r="MP196" s="1009"/>
      <c r="MQ196" s="1009"/>
      <c r="MR196" s="1009"/>
      <c r="MS196" s="1009"/>
      <c r="MT196" s="1009"/>
      <c r="MU196" s="1009"/>
      <c r="MV196" s="1009"/>
      <c r="MW196" s="1009"/>
      <c r="MX196" s="1009"/>
      <c r="MY196" s="1009"/>
      <c r="MZ196" s="1009"/>
      <c r="NA196" s="1009"/>
      <c r="NB196" s="1009"/>
      <c r="NC196" s="1009"/>
      <c r="ND196" s="1009"/>
      <c r="NE196" s="1009"/>
      <c r="NF196" s="1009"/>
      <c r="NG196" s="1009"/>
      <c r="NH196" s="1009"/>
      <c r="NI196" s="1009"/>
      <c r="NJ196" s="1009"/>
      <c r="NK196" s="1009"/>
      <c r="NL196" s="1009"/>
      <c r="NM196" s="1009"/>
      <c r="NN196" s="1009"/>
      <c r="NO196" s="1009"/>
      <c r="NP196" s="1009"/>
      <c r="NQ196" s="1009"/>
      <c r="NR196" s="1009"/>
      <c r="NS196" s="1009"/>
      <c r="NT196" s="1009"/>
      <c r="NU196" s="1009"/>
      <c r="NV196" s="1009"/>
      <c r="NW196" s="1009"/>
      <c r="NX196" s="1009"/>
      <c r="NY196" s="1009"/>
      <c r="NZ196" s="1009"/>
      <c r="OA196" s="1009"/>
      <c r="OB196" s="1009"/>
      <c r="OC196" s="1009"/>
      <c r="OD196" s="1009"/>
      <c r="OE196" s="1009"/>
      <c r="OF196" s="1009"/>
      <c r="OG196" s="1009"/>
      <c r="OH196" s="1009"/>
      <c r="OI196" s="1009"/>
      <c r="OJ196" s="1009"/>
      <c r="OK196" s="1009"/>
      <c r="OL196" s="1009"/>
      <c r="OM196" s="1009"/>
      <c r="ON196" s="1009"/>
      <c r="OO196" s="1009"/>
      <c r="OP196" s="1009"/>
      <c r="OQ196" s="1009"/>
      <c r="OR196" s="1009"/>
      <c r="OS196" s="1009"/>
      <c r="OT196" s="1009"/>
      <c r="OU196" s="1009"/>
      <c r="OV196" s="1009"/>
      <c r="OW196" s="1009"/>
      <c r="OX196" s="1009"/>
      <c r="OY196" s="1009"/>
      <c r="OZ196" s="1009"/>
      <c r="PA196" s="1009"/>
      <c r="PB196" s="1009"/>
      <c r="PC196" s="1009"/>
      <c r="PD196" s="1009"/>
      <c r="PE196" s="1009"/>
      <c r="PF196" s="1009"/>
      <c r="PG196" s="1009"/>
      <c r="PH196" s="1009"/>
      <c r="PI196" s="1009"/>
      <c r="PJ196" s="1009"/>
      <c r="PK196" s="1009"/>
      <c r="PL196" s="1009"/>
      <c r="PM196" s="1009"/>
      <c r="PN196" s="1009"/>
      <c r="PO196" s="1009"/>
      <c r="PP196" s="1009"/>
      <c r="PQ196" s="1009"/>
      <c r="PR196" s="1009"/>
      <c r="PS196" s="1009"/>
      <c r="PT196" s="1009"/>
      <c r="PU196" s="1009"/>
      <c r="PV196" s="1009"/>
      <c r="PW196" s="1009"/>
      <c r="PX196" s="1009"/>
      <c r="PY196" s="1009"/>
      <c r="PZ196" s="1009"/>
      <c r="QA196" s="1009"/>
      <c r="QB196" s="1009"/>
      <c r="QC196" s="1009"/>
      <c r="QD196" s="1009"/>
      <c r="QE196" s="1009"/>
      <c r="QF196" s="1009"/>
      <c r="QG196" s="1009"/>
      <c r="QH196" s="1009"/>
      <c r="QI196" s="1009"/>
      <c r="QJ196" s="1009"/>
      <c r="QK196" s="1009"/>
      <c r="QL196" s="1009"/>
      <c r="QM196" s="1009"/>
      <c r="QN196" s="1009"/>
      <c r="QO196" s="1009"/>
      <c r="QP196" s="1009"/>
      <c r="QQ196" s="1009"/>
      <c r="QR196" s="1009"/>
      <c r="QS196" s="1009"/>
      <c r="QT196" s="1009"/>
      <c r="QU196" s="1009"/>
      <c r="QV196" s="1009"/>
      <c r="QW196" s="1009"/>
      <c r="QX196" s="1009"/>
      <c r="QY196" s="1009"/>
      <c r="QZ196" s="1009"/>
      <c r="RA196" s="1009"/>
      <c r="RB196" s="1009"/>
      <c r="RC196" s="1009"/>
      <c r="RD196" s="1009"/>
      <c r="RE196" s="1009"/>
      <c r="RF196" s="1009"/>
      <c r="RG196" s="1009"/>
      <c r="RH196" s="1009"/>
      <c r="RI196" s="1009"/>
      <c r="RJ196" s="1009"/>
      <c r="RK196" s="1009"/>
      <c r="RL196" s="1009"/>
      <c r="RM196" s="1009"/>
      <c r="RN196" s="1009"/>
      <c r="RO196" s="1009"/>
      <c r="RP196" s="1009"/>
      <c r="RQ196" s="1009"/>
      <c r="RR196" s="1009"/>
      <c r="RS196" s="1009"/>
      <c r="RT196" s="1009"/>
      <c r="RU196" s="1009"/>
      <c r="RV196" s="1009"/>
      <c r="RW196" s="1009"/>
      <c r="RX196" s="1009"/>
      <c r="RY196" s="1009"/>
      <c r="RZ196" s="1009"/>
      <c r="SA196" s="1009"/>
      <c r="SB196" s="1009"/>
      <c r="SC196" s="1009"/>
      <c r="SD196" s="1009"/>
      <c r="SE196" s="1009"/>
      <c r="SF196" s="1009"/>
      <c r="SG196" s="1009"/>
      <c r="SH196" s="1009"/>
      <c r="SI196" s="1009"/>
      <c r="SJ196" s="1009"/>
      <c r="SK196" s="1009"/>
      <c r="SL196" s="1009"/>
      <c r="SM196" s="1009"/>
      <c r="SN196" s="1009"/>
      <c r="SO196" s="1009"/>
      <c r="SP196" s="1009"/>
      <c r="SQ196" s="1009"/>
      <c r="SR196" s="1009"/>
      <c r="SS196" s="1009"/>
      <c r="ST196" s="1009"/>
      <c r="SU196" s="1009"/>
      <c r="SV196" s="1009"/>
      <c r="SW196" s="1009"/>
      <c r="SX196" s="1009"/>
      <c r="SY196" s="1009"/>
      <c r="SZ196" s="1009"/>
      <c r="TA196" s="1009"/>
      <c r="TB196" s="1009"/>
      <c r="TC196" s="1009"/>
      <c r="TD196" s="1009"/>
      <c r="TE196" s="1009"/>
      <c r="TF196" s="1009"/>
      <c r="TG196" s="1009"/>
      <c r="TH196" s="1009"/>
      <c r="TI196" s="1009"/>
      <c r="TJ196" s="1009"/>
      <c r="TK196" s="1009"/>
      <c r="TL196" s="1009"/>
      <c r="TM196" s="1009"/>
      <c r="TN196" s="1009"/>
      <c r="TO196" s="1009"/>
      <c r="TP196" s="1009"/>
      <c r="TQ196" s="1009"/>
      <c r="TR196" s="1009"/>
      <c r="TS196" s="1009"/>
      <c r="TT196" s="1009"/>
      <c r="TU196" s="1009"/>
      <c r="TV196" s="1009"/>
      <c r="TW196" s="1009"/>
      <c r="TX196" s="1009"/>
      <c r="TY196" s="1009"/>
      <c r="TZ196" s="1009"/>
      <c r="UA196" s="1009"/>
      <c r="UB196" s="1009"/>
      <c r="UC196" s="1009"/>
      <c r="UD196" s="1009"/>
      <c r="UE196" s="1009"/>
      <c r="UF196" s="1009"/>
      <c r="UG196" s="1009"/>
      <c r="UH196" s="1009"/>
      <c r="UI196" s="1009"/>
      <c r="UJ196" s="1009"/>
      <c r="UK196" s="1009"/>
      <c r="UL196" s="1009"/>
      <c r="UM196" s="1009"/>
      <c r="UN196" s="1009"/>
      <c r="UO196" s="1009"/>
      <c r="UP196" s="1009"/>
      <c r="UQ196" s="1009"/>
      <c r="UR196" s="1009"/>
      <c r="US196" s="1009"/>
      <c r="UT196" s="1009"/>
      <c r="UU196" s="1009"/>
      <c r="UV196" s="1009"/>
      <c r="UW196" s="1009"/>
      <c r="UX196" s="1009"/>
      <c r="UY196" s="1009"/>
      <c r="UZ196" s="1009"/>
      <c r="VA196" s="1009"/>
      <c r="VB196" s="1009"/>
      <c r="VC196" s="1009"/>
      <c r="VD196" s="1009"/>
      <c r="VE196" s="1009"/>
      <c r="VF196" s="1009"/>
      <c r="VG196" s="1009"/>
      <c r="VH196" s="1009"/>
      <c r="VI196" s="1009"/>
      <c r="VJ196" s="1009"/>
      <c r="VK196" s="1009"/>
      <c r="VL196" s="1009"/>
      <c r="VM196" s="1009"/>
      <c r="VN196" s="1009"/>
      <c r="VO196" s="1009"/>
      <c r="VP196" s="1009"/>
      <c r="VQ196" s="1009"/>
      <c r="VR196" s="1009"/>
      <c r="VS196" s="1009"/>
      <c r="VT196" s="1009"/>
      <c r="VU196" s="1009"/>
      <c r="VV196" s="1009"/>
      <c r="VW196" s="1009"/>
      <c r="VX196" s="1009"/>
      <c r="VY196" s="1009"/>
      <c r="VZ196" s="1009"/>
      <c r="WA196" s="1009"/>
      <c r="WB196" s="1009"/>
      <c r="WC196" s="1009"/>
      <c r="WD196" s="1009"/>
      <c r="WE196" s="1009"/>
      <c r="WF196" s="1009"/>
      <c r="WG196" s="1009"/>
      <c r="WH196" s="1009"/>
      <c r="WI196" s="1009"/>
      <c r="WJ196" s="1009"/>
      <c r="WK196" s="1009"/>
      <c r="WL196" s="1009"/>
      <c r="WM196" s="1009"/>
      <c r="WN196" s="1009"/>
      <c r="WO196" s="1009"/>
      <c r="WP196" s="1009"/>
      <c r="WQ196" s="1009"/>
      <c r="WR196" s="1009"/>
      <c r="WS196" s="1009"/>
      <c r="WT196" s="1009"/>
      <c r="WU196" s="1009"/>
      <c r="WV196" s="1009"/>
      <c r="WW196" s="1009"/>
      <c r="WX196" s="1009"/>
      <c r="WY196" s="1009"/>
      <c r="WZ196" s="1009"/>
      <c r="XA196" s="1009"/>
      <c r="XB196" s="1009"/>
      <c r="XC196" s="1009"/>
      <c r="XD196" s="1009"/>
      <c r="XE196" s="1009"/>
      <c r="XF196" s="1009"/>
      <c r="XG196" s="1009"/>
      <c r="XH196" s="1009"/>
      <c r="XI196" s="1009"/>
      <c r="XJ196" s="1009"/>
      <c r="XK196" s="1009"/>
      <c r="XL196" s="1009"/>
      <c r="XM196" s="1009"/>
      <c r="XN196" s="1009"/>
      <c r="XO196" s="1009"/>
      <c r="XP196" s="1009"/>
      <c r="XQ196" s="1009"/>
      <c r="XR196" s="1009"/>
      <c r="XS196" s="1009"/>
      <c r="XT196" s="1009"/>
      <c r="XU196" s="1009"/>
      <c r="XV196" s="1009"/>
      <c r="XW196" s="1009"/>
      <c r="XX196" s="1009"/>
      <c r="XY196" s="1009"/>
      <c r="XZ196" s="1009"/>
      <c r="YA196" s="1009"/>
      <c r="YB196" s="1009"/>
      <c r="YC196" s="1009"/>
      <c r="YD196" s="1009"/>
      <c r="YE196" s="1009"/>
      <c r="YF196" s="1009"/>
      <c r="YG196" s="1009"/>
      <c r="YH196" s="1009"/>
      <c r="YI196" s="1009"/>
      <c r="YJ196" s="1009"/>
      <c r="YK196" s="1009"/>
      <c r="YL196" s="1009"/>
      <c r="YM196" s="1009"/>
      <c r="YN196" s="1009"/>
      <c r="YO196" s="1009"/>
      <c r="YP196" s="1009"/>
      <c r="YQ196" s="1009"/>
      <c r="YR196" s="1009"/>
      <c r="YS196" s="1009"/>
      <c r="YT196" s="1009"/>
      <c r="YU196" s="1009"/>
      <c r="YV196" s="1009"/>
      <c r="YW196" s="1009"/>
      <c r="YX196" s="1009"/>
      <c r="YY196" s="1009"/>
      <c r="YZ196" s="1009"/>
      <c r="ZA196" s="1009"/>
      <c r="ZB196" s="1009"/>
      <c r="ZC196" s="1009"/>
      <c r="ZD196" s="1009"/>
      <c r="ZE196" s="1009"/>
      <c r="ZF196" s="1009"/>
      <c r="ZG196" s="1009"/>
      <c r="ZH196" s="1009"/>
      <c r="ZI196" s="1009"/>
      <c r="ZJ196" s="1009"/>
      <c r="ZK196" s="1009"/>
      <c r="ZL196" s="1009"/>
      <c r="ZM196" s="1009"/>
      <c r="ZN196" s="1009"/>
      <c r="ZO196" s="1009"/>
      <c r="ZP196" s="1009"/>
      <c r="ZQ196" s="1009"/>
      <c r="ZR196" s="1009"/>
      <c r="ZS196" s="1009"/>
      <c r="ZT196" s="1009"/>
      <c r="ZU196" s="1009"/>
      <c r="ZV196" s="1009"/>
      <c r="ZW196" s="1009"/>
      <c r="ZX196" s="1009"/>
      <c r="ZY196" s="1009"/>
      <c r="ZZ196" s="1009"/>
      <c r="AAA196" s="1009"/>
      <c r="AAB196" s="1009"/>
      <c r="AAC196" s="1009"/>
      <c r="AAD196" s="1009"/>
      <c r="AAE196" s="1009"/>
      <c r="AAF196" s="1009"/>
      <c r="AAG196" s="1009"/>
      <c r="AAH196" s="1009"/>
      <c r="AAI196" s="1009"/>
      <c r="AAJ196" s="1009"/>
      <c r="AAK196" s="1009"/>
      <c r="AAL196" s="1009"/>
      <c r="AAM196" s="1009"/>
      <c r="AAN196" s="1009"/>
      <c r="AAO196" s="1009"/>
      <c r="AAP196" s="1009"/>
      <c r="AAQ196" s="1009"/>
      <c r="AAR196" s="1009"/>
      <c r="AAS196" s="1009"/>
      <c r="AAT196" s="1009"/>
      <c r="AAU196" s="1009"/>
      <c r="AAV196" s="1009"/>
      <c r="AAW196" s="1009"/>
      <c r="AAX196" s="1009"/>
      <c r="AAY196" s="1009"/>
      <c r="AAZ196" s="1009"/>
      <c r="ABA196" s="1009"/>
      <c r="ABB196" s="1009"/>
      <c r="ABC196" s="1009"/>
      <c r="ABD196" s="1009"/>
      <c r="ABE196" s="1009"/>
      <c r="ABF196" s="1009"/>
      <c r="ABG196" s="1009"/>
      <c r="ABH196" s="1009"/>
      <c r="ABI196" s="1009"/>
      <c r="ABJ196" s="1009"/>
      <c r="ABK196" s="1009"/>
      <c r="ABL196" s="1009"/>
      <c r="ABM196" s="1009"/>
      <c r="ABN196" s="1009"/>
      <c r="ABO196" s="1009"/>
      <c r="ABP196" s="1009"/>
      <c r="ABQ196" s="1009"/>
      <c r="ABR196" s="1009"/>
    </row>
    <row r="197" spans="1:746" s="111" customFormat="1" ht="12.75" customHeight="1">
      <c r="A197" s="924"/>
      <c r="B197" s="549" t="s">
        <v>305</v>
      </c>
      <c r="C197" s="609"/>
      <c r="D197" s="609"/>
      <c r="E197" s="609"/>
      <c r="F197" s="609"/>
      <c r="G197" s="609"/>
      <c r="H197" s="598"/>
      <c r="I197" s="1966"/>
      <c r="J197" s="368"/>
      <c r="K197" s="368"/>
      <c r="L197" s="368"/>
      <c r="M197" s="368"/>
      <c r="N197" s="368"/>
      <c r="O197" s="368"/>
      <c r="P197" s="368"/>
      <c r="Q197" s="368"/>
      <c r="R197" s="368"/>
      <c r="S197" s="368"/>
      <c r="T197" s="368"/>
      <c r="U197" s="1966"/>
      <c r="V197" s="368"/>
      <c r="W197" s="1966"/>
      <c r="X197" s="1966"/>
      <c r="Y197" s="1966"/>
      <c r="Z197" s="1966"/>
      <c r="AA197" s="1966"/>
      <c r="AB197" s="1966"/>
      <c r="AC197" s="1966"/>
      <c r="AD197" s="1966"/>
      <c r="AE197" s="1966"/>
      <c r="AF197" s="1966"/>
      <c r="AG197" s="1042"/>
      <c r="AH197" s="336"/>
      <c r="AI197" s="336"/>
      <c r="AJ197" s="1142">
        <f>IF(fx!AH471&lt;0,0,Resultatbudget_Helår!F102)</f>
        <v>0</v>
      </c>
      <c r="AK197" s="328"/>
      <c r="AL197" s="1142">
        <f>IF(fx!AJ471&lt;0,0,Resultatbudget_Helår!J102)</f>
        <v>0</v>
      </c>
      <c r="AM197" s="1004"/>
      <c r="AN197" s="1"/>
      <c r="AO197" s="1945"/>
      <c r="AP197" s="1935"/>
      <c r="AQ197" s="1936"/>
      <c r="AR197" s="1941"/>
      <c r="AS197" s="1941"/>
      <c r="AT197" s="1941"/>
      <c r="AU197" s="1941"/>
      <c r="AV197" s="1941"/>
      <c r="AW197" s="1941"/>
      <c r="AX197" s="1941"/>
      <c r="AY197" s="1941"/>
      <c r="AZ197" s="1941"/>
      <c r="BA197" s="1941"/>
      <c r="BB197" s="1941"/>
      <c r="BC197" s="1941"/>
      <c r="BD197" s="1941"/>
      <c r="BE197" s="1941"/>
      <c r="BF197" s="1941"/>
      <c r="BG197" s="1941"/>
      <c r="BH197" s="1941"/>
      <c r="BI197" s="1941"/>
      <c r="BJ197" s="1941"/>
      <c r="BK197" s="1941"/>
      <c r="BL197" s="1941"/>
      <c r="BM197" s="1941"/>
      <c r="BN197" s="1941"/>
      <c r="BO197" s="1941"/>
      <c r="BP197" s="1009"/>
      <c r="BQ197" s="1009"/>
      <c r="BR197" s="1009"/>
      <c r="BS197" s="1009"/>
      <c r="BT197" s="1009"/>
      <c r="BU197" s="1009"/>
      <c r="BV197" s="1009"/>
      <c r="BW197" s="1009"/>
      <c r="BX197" s="1009"/>
      <c r="BY197" s="1009"/>
      <c r="BZ197" s="1009"/>
      <c r="CA197" s="1009"/>
      <c r="CB197" s="1009"/>
      <c r="CC197" s="1009"/>
      <c r="CD197" s="1009"/>
      <c r="CE197" s="1009"/>
      <c r="CF197" s="1009"/>
      <c r="CG197" s="1009"/>
      <c r="CH197" s="1009"/>
      <c r="CI197" s="1009"/>
      <c r="CJ197" s="1009"/>
      <c r="CK197" s="1009"/>
      <c r="CL197" s="1009"/>
      <c r="CM197" s="1009"/>
      <c r="CN197" s="1009"/>
      <c r="CO197" s="1009"/>
      <c r="CP197" s="1009"/>
      <c r="CQ197" s="1009"/>
      <c r="CR197" s="1009"/>
      <c r="CS197" s="1009"/>
      <c r="CT197" s="1009"/>
      <c r="CU197" s="1009"/>
      <c r="CV197" s="1009"/>
      <c r="CW197" s="1009"/>
      <c r="CX197" s="1009"/>
      <c r="CY197" s="1009"/>
      <c r="CZ197" s="1009"/>
      <c r="DA197" s="1009"/>
      <c r="DB197" s="1009"/>
      <c r="DC197" s="1009"/>
      <c r="DD197" s="1009"/>
      <c r="DE197" s="1009"/>
      <c r="DF197" s="1009"/>
      <c r="DG197" s="1009"/>
      <c r="DH197" s="1009"/>
      <c r="DI197" s="1009"/>
      <c r="DJ197" s="1009"/>
      <c r="DK197" s="1009"/>
      <c r="DL197" s="1009"/>
      <c r="DM197" s="1009"/>
      <c r="DN197" s="1009"/>
      <c r="DO197" s="1009"/>
      <c r="DP197" s="1009"/>
      <c r="DQ197" s="1009"/>
      <c r="DR197" s="1009"/>
      <c r="DS197" s="1009"/>
      <c r="DT197" s="1009"/>
      <c r="DU197" s="1009"/>
      <c r="DV197" s="1009"/>
      <c r="DW197" s="1009"/>
      <c r="DX197" s="1009"/>
      <c r="DY197" s="1009"/>
      <c r="DZ197" s="1009"/>
      <c r="EA197" s="1009"/>
      <c r="EB197" s="1009"/>
      <c r="EC197" s="1009"/>
      <c r="ED197" s="1009"/>
      <c r="EE197" s="1009"/>
      <c r="EF197" s="1009"/>
      <c r="EG197" s="1009"/>
      <c r="EH197" s="1009"/>
      <c r="EI197" s="1009"/>
      <c r="EJ197" s="1009"/>
      <c r="EK197" s="1009"/>
      <c r="EL197" s="1009"/>
      <c r="EM197" s="1009"/>
      <c r="EN197" s="1009"/>
      <c r="EO197" s="1009"/>
      <c r="EP197" s="1009"/>
      <c r="EQ197" s="1009"/>
      <c r="ER197" s="1009"/>
      <c r="ES197" s="1009"/>
      <c r="ET197" s="1009"/>
      <c r="EU197" s="1009"/>
      <c r="EV197" s="1009"/>
      <c r="EW197" s="1009"/>
      <c r="EX197" s="1009"/>
      <c r="EY197" s="1009"/>
      <c r="EZ197" s="1009"/>
      <c r="FA197" s="1009"/>
      <c r="FB197" s="1009"/>
      <c r="FC197" s="1009"/>
      <c r="FD197" s="1009"/>
      <c r="FE197" s="1009"/>
      <c r="FF197" s="1009"/>
      <c r="FG197" s="1009"/>
      <c r="FH197" s="1009"/>
      <c r="FI197" s="1009"/>
      <c r="FJ197" s="1009"/>
      <c r="FK197" s="1009"/>
      <c r="FL197" s="1009"/>
      <c r="FM197" s="1009"/>
      <c r="FN197" s="1009"/>
      <c r="FO197" s="1009"/>
      <c r="FP197" s="1009"/>
      <c r="FQ197" s="1009"/>
      <c r="FR197" s="1009"/>
      <c r="FS197" s="1009"/>
      <c r="FT197" s="1009"/>
      <c r="FU197" s="1009"/>
      <c r="FV197" s="1009"/>
      <c r="FW197" s="1009"/>
      <c r="FX197" s="1009"/>
      <c r="FY197" s="1009"/>
      <c r="FZ197" s="1009"/>
      <c r="GA197" s="1009"/>
      <c r="GB197" s="1009"/>
      <c r="GC197" s="1009"/>
      <c r="GD197" s="1009"/>
      <c r="GE197" s="1009"/>
      <c r="GF197" s="1009"/>
      <c r="GG197" s="1009"/>
      <c r="GH197" s="1009"/>
      <c r="GI197" s="1009"/>
      <c r="GJ197" s="1009"/>
      <c r="GK197" s="1009"/>
      <c r="GL197" s="1009"/>
      <c r="GM197" s="1009"/>
      <c r="GN197" s="1009"/>
      <c r="GO197" s="1009"/>
      <c r="GP197" s="1009"/>
      <c r="GQ197" s="1009"/>
      <c r="GR197" s="1009"/>
      <c r="GS197" s="1009"/>
      <c r="GT197" s="1009"/>
      <c r="GU197" s="1009"/>
      <c r="GV197" s="1009"/>
      <c r="GW197" s="1009"/>
      <c r="GX197" s="1009"/>
      <c r="GY197" s="1009"/>
      <c r="GZ197" s="1009"/>
      <c r="HA197" s="1009"/>
      <c r="HB197" s="1009"/>
      <c r="HC197" s="1009"/>
      <c r="HD197" s="1009"/>
      <c r="HE197" s="1009"/>
      <c r="HF197" s="1009"/>
      <c r="HG197" s="1009"/>
      <c r="HH197" s="1009"/>
      <c r="HI197" s="1009"/>
      <c r="HJ197" s="1009"/>
      <c r="HK197" s="1009"/>
      <c r="HL197" s="1009"/>
      <c r="HM197" s="1009"/>
      <c r="HN197" s="1009"/>
      <c r="HO197" s="1009"/>
      <c r="HP197" s="1009"/>
      <c r="HQ197" s="1009"/>
      <c r="HR197" s="1009"/>
      <c r="HS197" s="1009"/>
      <c r="HT197" s="1009"/>
      <c r="HU197" s="1009"/>
      <c r="HV197" s="1009"/>
      <c r="HW197" s="1009"/>
      <c r="HX197" s="1009"/>
      <c r="HY197" s="1009"/>
      <c r="HZ197" s="1009"/>
      <c r="IA197" s="1009"/>
      <c r="IB197" s="1009"/>
      <c r="IC197" s="1009"/>
      <c r="ID197" s="1009"/>
      <c r="IE197" s="1009"/>
      <c r="IF197" s="1009"/>
      <c r="IG197" s="1009"/>
      <c r="IH197" s="1009"/>
      <c r="II197" s="1009"/>
      <c r="IJ197" s="1009"/>
      <c r="IK197" s="1009"/>
      <c r="IL197" s="1009"/>
      <c r="IM197" s="1009"/>
      <c r="IN197" s="1009"/>
      <c r="IO197" s="1009"/>
      <c r="IP197" s="1009"/>
      <c r="IQ197" s="1009"/>
      <c r="IR197" s="1009"/>
      <c r="IS197" s="1009"/>
      <c r="IT197" s="1009"/>
      <c r="IU197" s="1009"/>
      <c r="IV197" s="1009"/>
      <c r="IW197" s="1009"/>
      <c r="IX197" s="1009"/>
      <c r="IY197" s="1009"/>
      <c r="IZ197" s="1009"/>
      <c r="JA197" s="1009"/>
      <c r="JB197" s="1009"/>
      <c r="JC197" s="1009"/>
      <c r="JD197" s="1009"/>
      <c r="JE197" s="1009"/>
      <c r="JF197" s="1009"/>
      <c r="JG197" s="1009"/>
      <c r="JH197" s="1009"/>
      <c r="JI197" s="1009"/>
      <c r="JJ197" s="1009"/>
      <c r="JK197" s="1009"/>
      <c r="JL197" s="1009"/>
      <c r="JM197" s="1009"/>
      <c r="JN197" s="1009"/>
      <c r="JO197" s="1009"/>
      <c r="JP197" s="1009"/>
      <c r="JQ197" s="1009"/>
      <c r="JR197" s="1009"/>
      <c r="JS197" s="1009"/>
      <c r="JT197" s="1009"/>
      <c r="JU197" s="1009"/>
      <c r="JV197" s="1009"/>
      <c r="JW197" s="1009"/>
      <c r="JX197" s="1009"/>
      <c r="JY197" s="1009"/>
      <c r="JZ197" s="1009"/>
      <c r="KA197" s="1009"/>
      <c r="KB197" s="1009"/>
      <c r="KC197" s="1009"/>
      <c r="KD197" s="1009"/>
      <c r="KE197" s="1009"/>
      <c r="KF197" s="1009"/>
      <c r="KG197" s="1009"/>
      <c r="KH197" s="1009"/>
      <c r="KI197" s="1009"/>
      <c r="KJ197" s="1009"/>
      <c r="KK197" s="1009"/>
      <c r="KL197" s="1009"/>
      <c r="KM197" s="1009"/>
      <c r="KN197" s="1009"/>
      <c r="KO197" s="1009"/>
      <c r="KP197" s="1009"/>
      <c r="KQ197" s="1009"/>
      <c r="KR197" s="1009"/>
      <c r="KS197" s="1009"/>
      <c r="KT197" s="1009"/>
      <c r="KU197" s="1009"/>
      <c r="KV197" s="1009"/>
      <c r="KW197" s="1009"/>
      <c r="KX197" s="1009"/>
      <c r="KY197" s="1009"/>
      <c r="KZ197" s="1009"/>
      <c r="LA197" s="1009"/>
      <c r="LB197" s="1009"/>
      <c r="LC197" s="1009"/>
      <c r="LD197" s="1009"/>
      <c r="LE197" s="1009"/>
      <c r="LF197" s="1009"/>
      <c r="LG197" s="1009"/>
      <c r="LH197" s="1009"/>
      <c r="LI197" s="1009"/>
      <c r="LJ197" s="1009"/>
      <c r="LK197" s="1009"/>
      <c r="LL197" s="1009"/>
      <c r="LM197" s="1009"/>
      <c r="LN197" s="1009"/>
      <c r="LO197" s="1009"/>
      <c r="LP197" s="1009"/>
      <c r="LQ197" s="1009"/>
      <c r="LR197" s="1009"/>
      <c r="LS197" s="1009"/>
      <c r="LT197" s="1009"/>
      <c r="LU197" s="1009"/>
      <c r="LV197" s="1009"/>
      <c r="LW197" s="1009"/>
      <c r="LX197" s="1009"/>
      <c r="LY197" s="1009"/>
      <c r="LZ197" s="1009"/>
      <c r="MA197" s="1009"/>
      <c r="MB197" s="1009"/>
      <c r="MC197" s="1009"/>
      <c r="MD197" s="1009"/>
      <c r="ME197" s="1009"/>
      <c r="MF197" s="1009"/>
      <c r="MG197" s="1009"/>
      <c r="MH197" s="1009"/>
      <c r="MI197" s="1009"/>
      <c r="MJ197" s="1009"/>
      <c r="MK197" s="1009"/>
      <c r="ML197" s="1009"/>
      <c r="MM197" s="1009"/>
      <c r="MN197" s="1009"/>
      <c r="MO197" s="1009"/>
      <c r="MP197" s="1009"/>
      <c r="MQ197" s="1009"/>
      <c r="MR197" s="1009"/>
      <c r="MS197" s="1009"/>
      <c r="MT197" s="1009"/>
      <c r="MU197" s="1009"/>
      <c r="MV197" s="1009"/>
      <c r="MW197" s="1009"/>
      <c r="MX197" s="1009"/>
      <c r="MY197" s="1009"/>
      <c r="MZ197" s="1009"/>
      <c r="NA197" s="1009"/>
      <c r="NB197" s="1009"/>
      <c r="NC197" s="1009"/>
      <c r="ND197" s="1009"/>
      <c r="NE197" s="1009"/>
      <c r="NF197" s="1009"/>
      <c r="NG197" s="1009"/>
      <c r="NH197" s="1009"/>
      <c r="NI197" s="1009"/>
      <c r="NJ197" s="1009"/>
      <c r="NK197" s="1009"/>
      <c r="NL197" s="1009"/>
      <c r="NM197" s="1009"/>
      <c r="NN197" s="1009"/>
      <c r="NO197" s="1009"/>
      <c r="NP197" s="1009"/>
      <c r="NQ197" s="1009"/>
      <c r="NR197" s="1009"/>
      <c r="NS197" s="1009"/>
      <c r="NT197" s="1009"/>
      <c r="NU197" s="1009"/>
      <c r="NV197" s="1009"/>
      <c r="NW197" s="1009"/>
      <c r="NX197" s="1009"/>
      <c r="NY197" s="1009"/>
      <c r="NZ197" s="1009"/>
      <c r="OA197" s="1009"/>
      <c r="OB197" s="1009"/>
      <c r="OC197" s="1009"/>
      <c r="OD197" s="1009"/>
      <c r="OE197" s="1009"/>
      <c r="OF197" s="1009"/>
      <c r="OG197" s="1009"/>
      <c r="OH197" s="1009"/>
      <c r="OI197" s="1009"/>
      <c r="OJ197" s="1009"/>
      <c r="OK197" s="1009"/>
      <c r="OL197" s="1009"/>
      <c r="OM197" s="1009"/>
      <c r="ON197" s="1009"/>
      <c r="OO197" s="1009"/>
      <c r="OP197" s="1009"/>
      <c r="OQ197" s="1009"/>
      <c r="OR197" s="1009"/>
      <c r="OS197" s="1009"/>
      <c r="OT197" s="1009"/>
      <c r="OU197" s="1009"/>
      <c r="OV197" s="1009"/>
      <c r="OW197" s="1009"/>
      <c r="OX197" s="1009"/>
      <c r="OY197" s="1009"/>
      <c r="OZ197" s="1009"/>
      <c r="PA197" s="1009"/>
      <c r="PB197" s="1009"/>
      <c r="PC197" s="1009"/>
      <c r="PD197" s="1009"/>
      <c r="PE197" s="1009"/>
      <c r="PF197" s="1009"/>
      <c r="PG197" s="1009"/>
      <c r="PH197" s="1009"/>
      <c r="PI197" s="1009"/>
      <c r="PJ197" s="1009"/>
      <c r="PK197" s="1009"/>
      <c r="PL197" s="1009"/>
      <c r="PM197" s="1009"/>
      <c r="PN197" s="1009"/>
      <c r="PO197" s="1009"/>
      <c r="PP197" s="1009"/>
      <c r="PQ197" s="1009"/>
      <c r="PR197" s="1009"/>
      <c r="PS197" s="1009"/>
      <c r="PT197" s="1009"/>
      <c r="PU197" s="1009"/>
      <c r="PV197" s="1009"/>
      <c r="PW197" s="1009"/>
      <c r="PX197" s="1009"/>
      <c r="PY197" s="1009"/>
      <c r="PZ197" s="1009"/>
      <c r="QA197" s="1009"/>
      <c r="QB197" s="1009"/>
      <c r="QC197" s="1009"/>
      <c r="QD197" s="1009"/>
      <c r="QE197" s="1009"/>
      <c r="QF197" s="1009"/>
      <c r="QG197" s="1009"/>
      <c r="QH197" s="1009"/>
      <c r="QI197" s="1009"/>
      <c r="QJ197" s="1009"/>
      <c r="QK197" s="1009"/>
      <c r="QL197" s="1009"/>
      <c r="QM197" s="1009"/>
      <c r="QN197" s="1009"/>
      <c r="QO197" s="1009"/>
      <c r="QP197" s="1009"/>
      <c r="QQ197" s="1009"/>
      <c r="QR197" s="1009"/>
      <c r="QS197" s="1009"/>
      <c r="QT197" s="1009"/>
      <c r="QU197" s="1009"/>
      <c r="QV197" s="1009"/>
      <c r="QW197" s="1009"/>
      <c r="QX197" s="1009"/>
      <c r="QY197" s="1009"/>
      <c r="QZ197" s="1009"/>
      <c r="RA197" s="1009"/>
      <c r="RB197" s="1009"/>
      <c r="RC197" s="1009"/>
      <c r="RD197" s="1009"/>
      <c r="RE197" s="1009"/>
      <c r="RF197" s="1009"/>
      <c r="RG197" s="1009"/>
      <c r="RH197" s="1009"/>
      <c r="RI197" s="1009"/>
      <c r="RJ197" s="1009"/>
      <c r="RK197" s="1009"/>
      <c r="RL197" s="1009"/>
      <c r="RM197" s="1009"/>
      <c r="RN197" s="1009"/>
      <c r="RO197" s="1009"/>
      <c r="RP197" s="1009"/>
      <c r="RQ197" s="1009"/>
      <c r="RR197" s="1009"/>
      <c r="RS197" s="1009"/>
      <c r="RT197" s="1009"/>
      <c r="RU197" s="1009"/>
      <c r="RV197" s="1009"/>
      <c r="RW197" s="1009"/>
      <c r="RX197" s="1009"/>
      <c r="RY197" s="1009"/>
      <c r="RZ197" s="1009"/>
      <c r="SA197" s="1009"/>
      <c r="SB197" s="1009"/>
      <c r="SC197" s="1009"/>
      <c r="SD197" s="1009"/>
      <c r="SE197" s="1009"/>
      <c r="SF197" s="1009"/>
      <c r="SG197" s="1009"/>
      <c r="SH197" s="1009"/>
      <c r="SI197" s="1009"/>
      <c r="SJ197" s="1009"/>
      <c r="SK197" s="1009"/>
      <c r="SL197" s="1009"/>
      <c r="SM197" s="1009"/>
      <c r="SN197" s="1009"/>
      <c r="SO197" s="1009"/>
      <c r="SP197" s="1009"/>
      <c r="SQ197" s="1009"/>
      <c r="SR197" s="1009"/>
      <c r="SS197" s="1009"/>
      <c r="ST197" s="1009"/>
      <c r="SU197" s="1009"/>
      <c r="SV197" s="1009"/>
      <c r="SW197" s="1009"/>
      <c r="SX197" s="1009"/>
      <c r="SY197" s="1009"/>
      <c r="SZ197" s="1009"/>
      <c r="TA197" s="1009"/>
      <c r="TB197" s="1009"/>
      <c r="TC197" s="1009"/>
      <c r="TD197" s="1009"/>
      <c r="TE197" s="1009"/>
      <c r="TF197" s="1009"/>
      <c r="TG197" s="1009"/>
      <c r="TH197" s="1009"/>
      <c r="TI197" s="1009"/>
      <c r="TJ197" s="1009"/>
      <c r="TK197" s="1009"/>
      <c r="TL197" s="1009"/>
      <c r="TM197" s="1009"/>
      <c r="TN197" s="1009"/>
      <c r="TO197" s="1009"/>
      <c r="TP197" s="1009"/>
      <c r="TQ197" s="1009"/>
      <c r="TR197" s="1009"/>
      <c r="TS197" s="1009"/>
      <c r="TT197" s="1009"/>
      <c r="TU197" s="1009"/>
      <c r="TV197" s="1009"/>
      <c r="TW197" s="1009"/>
      <c r="TX197" s="1009"/>
      <c r="TY197" s="1009"/>
      <c r="TZ197" s="1009"/>
      <c r="UA197" s="1009"/>
      <c r="UB197" s="1009"/>
      <c r="UC197" s="1009"/>
      <c r="UD197" s="1009"/>
      <c r="UE197" s="1009"/>
      <c r="UF197" s="1009"/>
      <c r="UG197" s="1009"/>
      <c r="UH197" s="1009"/>
      <c r="UI197" s="1009"/>
      <c r="UJ197" s="1009"/>
      <c r="UK197" s="1009"/>
      <c r="UL197" s="1009"/>
      <c r="UM197" s="1009"/>
      <c r="UN197" s="1009"/>
      <c r="UO197" s="1009"/>
      <c r="UP197" s="1009"/>
      <c r="UQ197" s="1009"/>
      <c r="UR197" s="1009"/>
      <c r="US197" s="1009"/>
      <c r="UT197" s="1009"/>
      <c r="UU197" s="1009"/>
      <c r="UV197" s="1009"/>
      <c r="UW197" s="1009"/>
      <c r="UX197" s="1009"/>
      <c r="UY197" s="1009"/>
      <c r="UZ197" s="1009"/>
      <c r="VA197" s="1009"/>
      <c r="VB197" s="1009"/>
      <c r="VC197" s="1009"/>
      <c r="VD197" s="1009"/>
      <c r="VE197" s="1009"/>
      <c r="VF197" s="1009"/>
      <c r="VG197" s="1009"/>
      <c r="VH197" s="1009"/>
      <c r="VI197" s="1009"/>
      <c r="VJ197" s="1009"/>
      <c r="VK197" s="1009"/>
      <c r="VL197" s="1009"/>
      <c r="VM197" s="1009"/>
      <c r="VN197" s="1009"/>
      <c r="VO197" s="1009"/>
      <c r="VP197" s="1009"/>
      <c r="VQ197" s="1009"/>
      <c r="VR197" s="1009"/>
      <c r="VS197" s="1009"/>
      <c r="VT197" s="1009"/>
      <c r="VU197" s="1009"/>
      <c r="VV197" s="1009"/>
      <c r="VW197" s="1009"/>
      <c r="VX197" s="1009"/>
      <c r="VY197" s="1009"/>
      <c r="VZ197" s="1009"/>
      <c r="WA197" s="1009"/>
      <c r="WB197" s="1009"/>
      <c r="WC197" s="1009"/>
      <c r="WD197" s="1009"/>
      <c r="WE197" s="1009"/>
      <c r="WF197" s="1009"/>
      <c r="WG197" s="1009"/>
      <c r="WH197" s="1009"/>
      <c r="WI197" s="1009"/>
      <c r="WJ197" s="1009"/>
      <c r="WK197" s="1009"/>
      <c r="WL197" s="1009"/>
      <c r="WM197" s="1009"/>
      <c r="WN197" s="1009"/>
      <c r="WO197" s="1009"/>
      <c r="WP197" s="1009"/>
      <c r="WQ197" s="1009"/>
      <c r="WR197" s="1009"/>
      <c r="WS197" s="1009"/>
      <c r="WT197" s="1009"/>
      <c r="WU197" s="1009"/>
      <c r="WV197" s="1009"/>
      <c r="WW197" s="1009"/>
      <c r="WX197" s="1009"/>
      <c r="WY197" s="1009"/>
      <c r="WZ197" s="1009"/>
      <c r="XA197" s="1009"/>
      <c r="XB197" s="1009"/>
      <c r="XC197" s="1009"/>
      <c r="XD197" s="1009"/>
      <c r="XE197" s="1009"/>
      <c r="XF197" s="1009"/>
      <c r="XG197" s="1009"/>
      <c r="XH197" s="1009"/>
      <c r="XI197" s="1009"/>
      <c r="XJ197" s="1009"/>
      <c r="XK197" s="1009"/>
      <c r="XL197" s="1009"/>
      <c r="XM197" s="1009"/>
      <c r="XN197" s="1009"/>
      <c r="XO197" s="1009"/>
      <c r="XP197" s="1009"/>
      <c r="XQ197" s="1009"/>
      <c r="XR197" s="1009"/>
      <c r="XS197" s="1009"/>
      <c r="XT197" s="1009"/>
      <c r="XU197" s="1009"/>
      <c r="XV197" s="1009"/>
      <c r="XW197" s="1009"/>
      <c r="XX197" s="1009"/>
      <c r="XY197" s="1009"/>
      <c r="XZ197" s="1009"/>
      <c r="YA197" s="1009"/>
      <c r="YB197" s="1009"/>
      <c r="YC197" s="1009"/>
      <c r="YD197" s="1009"/>
      <c r="YE197" s="1009"/>
      <c r="YF197" s="1009"/>
      <c r="YG197" s="1009"/>
      <c r="YH197" s="1009"/>
      <c r="YI197" s="1009"/>
      <c r="YJ197" s="1009"/>
      <c r="YK197" s="1009"/>
      <c r="YL197" s="1009"/>
      <c r="YM197" s="1009"/>
      <c r="YN197" s="1009"/>
      <c r="YO197" s="1009"/>
      <c r="YP197" s="1009"/>
      <c r="YQ197" s="1009"/>
      <c r="YR197" s="1009"/>
      <c r="YS197" s="1009"/>
      <c r="YT197" s="1009"/>
      <c r="YU197" s="1009"/>
      <c r="YV197" s="1009"/>
      <c r="YW197" s="1009"/>
      <c r="YX197" s="1009"/>
      <c r="YY197" s="1009"/>
      <c r="YZ197" s="1009"/>
      <c r="ZA197" s="1009"/>
      <c r="ZB197" s="1009"/>
      <c r="ZC197" s="1009"/>
      <c r="ZD197" s="1009"/>
      <c r="ZE197" s="1009"/>
      <c r="ZF197" s="1009"/>
      <c r="ZG197" s="1009"/>
      <c r="ZH197" s="1009"/>
      <c r="ZI197" s="1009"/>
      <c r="ZJ197" s="1009"/>
      <c r="ZK197" s="1009"/>
      <c r="ZL197" s="1009"/>
      <c r="ZM197" s="1009"/>
      <c r="ZN197" s="1009"/>
      <c r="ZO197" s="1009"/>
      <c r="ZP197" s="1009"/>
      <c r="ZQ197" s="1009"/>
      <c r="ZR197" s="1009"/>
      <c r="ZS197" s="1009"/>
      <c r="ZT197" s="1009"/>
      <c r="ZU197" s="1009"/>
      <c r="ZV197" s="1009"/>
      <c r="ZW197" s="1009"/>
      <c r="ZX197" s="1009"/>
      <c r="ZY197" s="1009"/>
      <c r="ZZ197" s="1009"/>
      <c r="AAA197" s="1009"/>
      <c r="AAB197" s="1009"/>
      <c r="AAC197" s="1009"/>
      <c r="AAD197" s="1009"/>
      <c r="AAE197" s="1009"/>
      <c r="AAF197" s="1009"/>
      <c r="AAG197" s="1009"/>
      <c r="AAH197" s="1009"/>
      <c r="AAI197" s="1009"/>
      <c r="AAJ197" s="1009"/>
      <c r="AAK197" s="1009"/>
      <c r="AAL197" s="1009"/>
      <c r="AAM197" s="1009"/>
      <c r="AAN197" s="1009"/>
      <c r="AAO197" s="1009"/>
      <c r="AAP197" s="1009"/>
      <c r="AAQ197" s="1009"/>
      <c r="AAR197" s="1009"/>
      <c r="AAS197" s="1009"/>
      <c r="AAT197" s="1009"/>
      <c r="AAU197" s="1009"/>
      <c r="AAV197" s="1009"/>
      <c r="AAW197" s="1009"/>
      <c r="AAX197" s="1009"/>
      <c r="AAY197" s="1009"/>
      <c r="AAZ197" s="1009"/>
      <c r="ABA197" s="1009"/>
      <c r="ABB197" s="1009"/>
      <c r="ABC197" s="1009"/>
      <c r="ABD197" s="1009"/>
      <c r="ABE197" s="1009"/>
      <c r="ABF197" s="1009"/>
      <c r="ABG197" s="1009"/>
      <c r="ABH197" s="1009"/>
      <c r="ABI197" s="1009"/>
      <c r="ABJ197" s="1009"/>
      <c r="ABK197" s="1009"/>
      <c r="ABL197" s="1009"/>
      <c r="ABM197" s="1009"/>
      <c r="ABN197" s="1009"/>
      <c r="ABO197" s="1009"/>
      <c r="ABP197" s="1009"/>
      <c r="ABQ197" s="1009"/>
      <c r="ABR197" s="1009"/>
    </row>
    <row r="198" spans="1:746" s="111" customFormat="1" ht="12.75" customHeight="1">
      <c r="A198" s="924"/>
      <c r="B198" s="960" t="s">
        <v>865</v>
      </c>
      <c r="C198" s="563"/>
      <c r="D198" s="563"/>
      <c r="E198" s="607"/>
      <c r="F198" s="608"/>
      <c r="G198" s="607"/>
      <c r="H198" s="2546"/>
      <c r="I198" s="334">
        <f>(I196+I197)*fx!I57</f>
        <v>0</v>
      </c>
      <c r="J198" s="334">
        <f>(J196+J197)*fx!J57</f>
        <v>0</v>
      </c>
      <c r="K198" s="334">
        <f>(K196+K197)*fx!K57</f>
        <v>0</v>
      </c>
      <c r="L198" s="334">
        <f>(L196+L197)*fx!L57</f>
        <v>0</v>
      </c>
      <c r="M198" s="334">
        <f>(M196+M197)*fx!M57</f>
        <v>0</v>
      </c>
      <c r="N198" s="334">
        <f>(N196+N197)*fx!N57</f>
        <v>0</v>
      </c>
      <c r="O198" s="334">
        <f>(O196+O197)*fx!O57</f>
        <v>0</v>
      </c>
      <c r="P198" s="334">
        <f>(P196+P197)*fx!P57</f>
        <v>0</v>
      </c>
      <c r="Q198" s="334">
        <f>(Q196+Q197)*fx!Q57</f>
        <v>0</v>
      </c>
      <c r="R198" s="334">
        <f>(R196+R197)*fx!R57</f>
        <v>0</v>
      </c>
      <c r="S198" s="334">
        <f>(S196+S197)*fx!S57</f>
        <v>0</v>
      </c>
      <c r="T198" s="1202">
        <f>(T196+T197)*fx!T57</f>
        <v>0</v>
      </c>
      <c r="U198" s="334">
        <f>(U196+U197)*fx!U57</f>
        <v>0</v>
      </c>
      <c r="V198" s="335">
        <f>(V196+V197)*fx!V57</f>
        <v>0</v>
      </c>
      <c r="W198" s="334">
        <f>(W196+W197)*fx!W57</f>
        <v>0</v>
      </c>
      <c r="X198" s="334">
        <f>(X196+X197)*fx!X57</f>
        <v>0</v>
      </c>
      <c r="Y198" s="334">
        <f>(Y196+Y197)*fx!Y57</f>
        <v>0</v>
      </c>
      <c r="Z198" s="334">
        <f>(Z196+Z197)*fx!Z57</f>
        <v>0</v>
      </c>
      <c r="AA198" s="334">
        <f>(AA196+AA197)*fx!AA57</f>
        <v>0</v>
      </c>
      <c r="AB198" s="334">
        <f>(AB196+AB197)*fx!AB57</f>
        <v>0</v>
      </c>
      <c r="AC198" s="334">
        <f>(AC196+AC197)*fx!AC57</f>
        <v>0</v>
      </c>
      <c r="AD198" s="334">
        <f>(AD196+AD197)*fx!AD57</f>
        <v>0</v>
      </c>
      <c r="AE198" s="334">
        <f>(AE196+AE197)*fx!AE57</f>
        <v>0</v>
      </c>
      <c r="AF198" s="334">
        <f>(AF196+AF197)*fx!AF57</f>
        <v>0</v>
      </c>
      <c r="AG198" s="376"/>
      <c r="AH198" s="336"/>
      <c r="AI198" s="336"/>
      <c r="AJ198" s="901">
        <f>IF(fx!$C$57=1,SUMIF(fx!I$57:T$57,1,I198:T198),IF(fx!$C$57=2,SUMIF(fx!O$57:AF$57,1,O198:AF198)))</f>
        <v>0</v>
      </c>
      <c r="AK198" s="420"/>
      <c r="AL198" s="902">
        <f>IF(fx!$C$57=1,SUM(U198:AF198),0)</f>
        <v>0</v>
      </c>
      <c r="AM198" s="1004"/>
      <c r="AN198" s="1026"/>
      <c r="AO198" s="1945"/>
      <c r="AP198" s="1935"/>
      <c r="AQ198" s="1936"/>
      <c r="AR198" s="1941"/>
      <c r="AS198" s="1941"/>
      <c r="AT198" s="1941"/>
      <c r="AU198" s="1941"/>
      <c r="AV198" s="1941"/>
      <c r="AW198" s="1941"/>
      <c r="AX198" s="1941"/>
      <c r="AY198" s="1941"/>
      <c r="AZ198" s="1941"/>
      <c r="BA198" s="1941"/>
      <c r="BB198" s="1941"/>
      <c r="BC198" s="1941"/>
      <c r="BD198" s="1941"/>
      <c r="BE198" s="1941"/>
      <c r="BF198" s="1941"/>
      <c r="BG198" s="1941"/>
      <c r="BH198" s="1941"/>
      <c r="BI198" s="1941"/>
      <c r="BJ198" s="1941"/>
      <c r="BK198" s="1941"/>
      <c r="BL198" s="1941"/>
      <c r="BM198" s="1941"/>
      <c r="BN198" s="1941"/>
      <c r="BO198" s="1941"/>
      <c r="BP198" s="1009"/>
      <c r="BQ198" s="1009"/>
      <c r="BR198" s="1009"/>
      <c r="BS198" s="1009"/>
      <c r="BT198" s="1009"/>
      <c r="BU198" s="1009"/>
      <c r="BV198" s="1009"/>
      <c r="BW198" s="1009"/>
      <c r="BX198" s="1009"/>
      <c r="BY198" s="1009"/>
      <c r="BZ198" s="1009"/>
      <c r="CA198" s="1009"/>
      <c r="CB198" s="1009"/>
      <c r="CC198" s="1009"/>
      <c r="CD198" s="1009"/>
      <c r="CE198" s="1009"/>
      <c r="CF198" s="1009"/>
      <c r="CG198" s="1009"/>
      <c r="CH198" s="1009"/>
      <c r="CI198" s="1009"/>
      <c r="CJ198" s="1009"/>
      <c r="CK198" s="1009"/>
      <c r="CL198" s="1009"/>
      <c r="CM198" s="1009"/>
      <c r="CN198" s="1009"/>
      <c r="CO198" s="1009"/>
      <c r="CP198" s="1009"/>
      <c r="CQ198" s="1009"/>
      <c r="CR198" s="1009"/>
      <c r="CS198" s="1009"/>
      <c r="CT198" s="1009"/>
      <c r="CU198" s="1009"/>
      <c r="CV198" s="1009"/>
      <c r="CW198" s="1009"/>
      <c r="CX198" s="1009"/>
      <c r="CY198" s="1009"/>
      <c r="CZ198" s="1009"/>
      <c r="DA198" s="1009"/>
      <c r="DB198" s="1009"/>
      <c r="DC198" s="1009"/>
      <c r="DD198" s="1009"/>
      <c r="DE198" s="1009"/>
      <c r="DF198" s="1009"/>
      <c r="DG198" s="1009"/>
      <c r="DH198" s="1009"/>
      <c r="DI198" s="1009"/>
      <c r="DJ198" s="1009"/>
      <c r="DK198" s="1009"/>
      <c r="DL198" s="1009"/>
      <c r="DM198" s="1009"/>
      <c r="DN198" s="1009"/>
      <c r="DO198" s="1009"/>
      <c r="DP198" s="1009"/>
      <c r="DQ198" s="1009"/>
      <c r="DR198" s="1009"/>
      <c r="DS198" s="1009"/>
      <c r="DT198" s="1009"/>
      <c r="DU198" s="1009"/>
      <c r="DV198" s="1009"/>
      <c r="DW198" s="1009"/>
      <c r="DX198" s="1009"/>
      <c r="DY198" s="1009"/>
      <c r="DZ198" s="1009"/>
      <c r="EA198" s="1009"/>
      <c r="EB198" s="1009"/>
      <c r="EC198" s="1009"/>
      <c r="ED198" s="1009"/>
      <c r="EE198" s="1009"/>
      <c r="EF198" s="1009"/>
      <c r="EG198" s="1009"/>
      <c r="EH198" s="1009"/>
      <c r="EI198" s="1009"/>
      <c r="EJ198" s="1009"/>
      <c r="EK198" s="1009"/>
      <c r="EL198" s="1009"/>
      <c r="EM198" s="1009"/>
      <c r="EN198" s="1009"/>
      <c r="EO198" s="1009"/>
      <c r="EP198" s="1009"/>
      <c r="EQ198" s="1009"/>
      <c r="ER198" s="1009"/>
      <c r="ES198" s="1009"/>
      <c r="ET198" s="1009"/>
      <c r="EU198" s="1009"/>
      <c r="EV198" s="1009"/>
      <c r="EW198" s="1009"/>
      <c r="EX198" s="1009"/>
      <c r="EY198" s="1009"/>
      <c r="EZ198" s="1009"/>
      <c r="FA198" s="1009"/>
      <c r="FB198" s="1009"/>
      <c r="FC198" s="1009"/>
      <c r="FD198" s="1009"/>
      <c r="FE198" s="1009"/>
      <c r="FF198" s="1009"/>
      <c r="FG198" s="1009"/>
      <c r="FH198" s="1009"/>
      <c r="FI198" s="1009"/>
      <c r="FJ198" s="1009"/>
      <c r="FK198" s="1009"/>
      <c r="FL198" s="1009"/>
      <c r="FM198" s="1009"/>
      <c r="FN198" s="1009"/>
      <c r="FO198" s="1009"/>
      <c r="FP198" s="1009"/>
      <c r="FQ198" s="1009"/>
      <c r="FR198" s="1009"/>
      <c r="FS198" s="1009"/>
      <c r="FT198" s="1009"/>
      <c r="FU198" s="1009"/>
      <c r="FV198" s="1009"/>
      <c r="FW198" s="1009"/>
      <c r="FX198" s="1009"/>
      <c r="FY198" s="1009"/>
      <c r="FZ198" s="1009"/>
      <c r="GA198" s="1009"/>
      <c r="GB198" s="1009"/>
      <c r="GC198" s="1009"/>
      <c r="GD198" s="1009"/>
      <c r="GE198" s="1009"/>
      <c r="GF198" s="1009"/>
      <c r="GG198" s="1009"/>
      <c r="GH198" s="1009"/>
      <c r="GI198" s="1009"/>
      <c r="GJ198" s="1009"/>
      <c r="GK198" s="1009"/>
      <c r="GL198" s="1009"/>
      <c r="GM198" s="1009"/>
      <c r="GN198" s="1009"/>
      <c r="GO198" s="1009"/>
      <c r="GP198" s="1009"/>
      <c r="GQ198" s="1009"/>
      <c r="GR198" s="1009"/>
      <c r="GS198" s="1009"/>
      <c r="GT198" s="1009"/>
      <c r="GU198" s="1009"/>
      <c r="GV198" s="1009"/>
      <c r="GW198" s="1009"/>
      <c r="GX198" s="1009"/>
      <c r="GY198" s="1009"/>
      <c r="GZ198" s="1009"/>
      <c r="HA198" s="1009"/>
      <c r="HB198" s="1009"/>
      <c r="HC198" s="1009"/>
      <c r="HD198" s="1009"/>
      <c r="HE198" s="1009"/>
      <c r="HF198" s="1009"/>
      <c r="HG198" s="1009"/>
      <c r="HH198" s="1009"/>
      <c r="HI198" s="1009"/>
      <c r="HJ198" s="1009"/>
      <c r="HK198" s="1009"/>
      <c r="HL198" s="1009"/>
      <c r="HM198" s="1009"/>
      <c r="HN198" s="1009"/>
      <c r="HO198" s="1009"/>
      <c r="HP198" s="1009"/>
      <c r="HQ198" s="1009"/>
      <c r="HR198" s="1009"/>
      <c r="HS198" s="1009"/>
      <c r="HT198" s="1009"/>
      <c r="HU198" s="1009"/>
      <c r="HV198" s="1009"/>
      <c r="HW198" s="1009"/>
      <c r="HX198" s="1009"/>
      <c r="HY198" s="1009"/>
      <c r="HZ198" s="1009"/>
      <c r="IA198" s="1009"/>
      <c r="IB198" s="1009"/>
      <c r="IC198" s="1009"/>
      <c r="ID198" s="1009"/>
      <c r="IE198" s="1009"/>
      <c r="IF198" s="1009"/>
      <c r="IG198" s="1009"/>
      <c r="IH198" s="1009"/>
      <c r="II198" s="1009"/>
      <c r="IJ198" s="1009"/>
      <c r="IK198" s="1009"/>
      <c r="IL198" s="1009"/>
      <c r="IM198" s="1009"/>
      <c r="IN198" s="1009"/>
      <c r="IO198" s="1009"/>
      <c r="IP198" s="1009"/>
      <c r="IQ198" s="1009"/>
      <c r="IR198" s="1009"/>
      <c r="IS198" s="1009"/>
      <c r="IT198" s="1009"/>
      <c r="IU198" s="1009"/>
      <c r="IV198" s="1009"/>
      <c r="IW198" s="1009"/>
      <c r="IX198" s="1009"/>
      <c r="IY198" s="1009"/>
      <c r="IZ198" s="1009"/>
      <c r="JA198" s="1009"/>
      <c r="JB198" s="1009"/>
      <c r="JC198" s="1009"/>
      <c r="JD198" s="1009"/>
      <c r="JE198" s="1009"/>
      <c r="JF198" s="1009"/>
      <c r="JG198" s="1009"/>
      <c r="JH198" s="1009"/>
      <c r="JI198" s="1009"/>
      <c r="JJ198" s="1009"/>
      <c r="JK198" s="1009"/>
      <c r="JL198" s="1009"/>
      <c r="JM198" s="1009"/>
      <c r="JN198" s="1009"/>
      <c r="JO198" s="1009"/>
      <c r="JP198" s="1009"/>
      <c r="JQ198" s="1009"/>
      <c r="JR198" s="1009"/>
      <c r="JS198" s="1009"/>
      <c r="JT198" s="1009"/>
      <c r="JU198" s="1009"/>
      <c r="JV198" s="1009"/>
      <c r="JW198" s="1009"/>
      <c r="JX198" s="1009"/>
      <c r="JY198" s="1009"/>
      <c r="JZ198" s="1009"/>
      <c r="KA198" s="1009"/>
      <c r="KB198" s="1009"/>
      <c r="KC198" s="1009"/>
      <c r="KD198" s="1009"/>
      <c r="KE198" s="1009"/>
      <c r="KF198" s="1009"/>
      <c r="KG198" s="1009"/>
      <c r="KH198" s="1009"/>
      <c r="KI198" s="1009"/>
      <c r="KJ198" s="1009"/>
      <c r="KK198" s="1009"/>
      <c r="KL198" s="1009"/>
      <c r="KM198" s="1009"/>
      <c r="KN198" s="1009"/>
      <c r="KO198" s="1009"/>
      <c r="KP198" s="1009"/>
      <c r="KQ198" s="1009"/>
      <c r="KR198" s="1009"/>
      <c r="KS198" s="1009"/>
      <c r="KT198" s="1009"/>
      <c r="KU198" s="1009"/>
      <c r="KV198" s="1009"/>
      <c r="KW198" s="1009"/>
      <c r="KX198" s="1009"/>
      <c r="KY198" s="1009"/>
      <c r="KZ198" s="1009"/>
      <c r="LA198" s="1009"/>
      <c r="LB198" s="1009"/>
      <c r="LC198" s="1009"/>
      <c r="LD198" s="1009"/>
      <c r="LE198" s="1009"/>
      <c r="LF198" s="1009"/>
      <c r="LG198" s="1009"/>
      <c r="LH198" s="1009"/>
      <c r="LI198" s="1009"/>
      <c r="LJ198" s="1009"/>
      <c r="LK198" s="1009"/>
      <c r="LL198" s="1009"/>
      <c r="LM198" s="1009"/>
      <c r="LN198" s="1009"/>
      <c r="LO198" s="1009"/>
      <c r="LP198" s="1009"/>
      <c r="LQ198" s="1009"/>
      <c r="LR198" s="1009"/>
      <c r="LS198" s="1009"/>
      <c r="LT198" s="1009"/>
      <c r="LU198" s="1009"/>
      <c r="LV198" s="1009"/>
      <c r="LW198" s="1009"/>
      <c r="LX198" s="1009"/>
      <c r="LY198" s="1009"/>
      <c r="LZ198" s="1009"/>
      <c r="MA198" s="1009"/>
      <c r="MB198" s="1009"/>
      <c r="MC198" s="1009"/>
      <c r="MD198" s="1009"/>
      <c r="ME198" s="1009"/>
      <c r="MF198" s="1009"/>
      <c r="MG198" s="1009"/>
      <c r="MH198" s="1009"/>
      <c r="MI198" s="1009"/>
      <c r="MJ198" s="1009"/>
      <c r="MK198" s="1009"/>
      <c r="ML198" s="1009"/>
      <c r="MM198" s="1009"/>
      <c r="MN198" s="1009"/>
      <c r="MO198" s="1009"/>
      <c r="MP198" s="1009"/>
      <c r="MQ198" s="1009"/>
      <c r="MR198" s="1009"/>
      <c r="MS198" s="1009"/>
      <c r="MT198" s="1009"/>
      <c r="MU198" s="1009"/>
      <c r="MV198" s="1009"/>
      <c r="MW198" s="1009"/>
      <c r="MX198" s="1009"/>
      <c r="MY198" s="1009"/>
      <c r="MZ198" s="1009"/>
      <c r="NA198" s="1009"/>
      <c r="NB198" s="1009"/>
      <c r="NC198" s="1009"/>
      <c r="ND198" s="1009"/>
      <c r="NE198" s="1009"/>
      <c r="NF198" s="1009"/>
      <c r="NG198" s="1009"/>
      <c r="NH198" s="1009"/>
      <c r="NI198" s="1009"/>
      <c r="NJ198" s="1009"/>
      <c r="NK198" s="1009"/>
      <c r="NL198" s="1009"/>
      <c r="NM198" s="1009"/>
      <c r="NN198" s="1009"/>
      <c r="NO198" s="1009"/>
      <c r="NP198" s="1009"/>
      <c r="NQ198" s="1009"/>
      <c r="NR198" s="1009"/>
      <c r="NS198" s="1009"/>
      <c r="NT198" s="1009"/>
      <c r="NU198" s="1009"/>
      <c r="NV198" s="1009"/>
      <c r="NW198" s="1009"/>
      <c r="NX198" s="1009"/>
      <c r="NY198" s="1009"/>
      <c r="NZ198" s="1009"/>
      <c r="OA198" s="1009"/>
      <c r="OB198" s="1009"/>
      <c r="OC198" s="1009"/>
      <c r="OD198" s="1009"/>
      <c r="OE198" s="1009"/>
      <c r="OF198" s="1009"/>
      <c r="OG198" s="1009"/>
      <c r="OH198" s="1009"/>
      <c r="OI198" s="1009"/>
      <c r="OJ198" s="1009"/>
      <c r="OK198" s="1009"/>
      <c r="OL198" s="1009"/>
      <c r="OM198" s="1009"/>
      <c r="ON198" s="1009"/>
      <c r="OO198" s="1009"/>
      <c r="OP198" s="1009"/>
      <c r="OQ198" s="1009"/>
      <c r="OR198" s="1009"/>
      <c r="OS198" s="1009"/>
      <c r="OT198" s="1009"/>
      <c r="OU198" s="1009"/>
      <c r="OV198" s="1009"/>
      <c r="OW198" s="1009"/>
      <c r="OX198" s="1009"/>
      <c r="OY198" s="1009"/>
      <c r="OZ198" s="1009"/>
      <c r="PA198" s="1009"/>
      <c r="PB198" s="1009"/>
      <c r="PC198" s="1009"/>
      <c r="PD198" s="1009"/>
      <c r="PE198" s="1009"/>
      <c r="PF198" s="1009"/>
      <c r="PG198" s="1009"/>
      <c r="PH198" s="1009"/>
      <c r="PI198" s="1009"/>
      <c r="PJ198" s="1009"/>
      <c r="PK198" s="1009"/>
      <c r="PL198" s="1009"/>
      <c r="PM198" s="1009"/>
      <c r="PN198" s="1009"/>
      <c r="PO198" s="1009"/>
      <c r="PP198" s="1009"/>
      <c r="PQ198" s="1009"/>
      <c r="PR198" s="1009"/>
      <c r="PS198" s="1009"/>
      <c r="PT198" s="1009"/>
      <c r="PU198" s="1009"/>
      <c r="PV198" s="1009"/>
      <c r="PW198" s="1009"/>
      <c r="PX198" s="1009"/>
      <c r="PY198" s="1009"/>
      <c r="PZ198" s="1009"/>
      <c r="QA198" s="1009"/>
      <c r="QB198" s="1009"/>
      <c r="QC198" s="1009"/>
      <c r="QD198" s="1009"/>
      <c r="QE198" s="1009"/>
      <c r="QF198" s="1009"/>
      <c r="QG198" s="1009"/>
      <c r="QH198" s="1009"/>
      <c r="QI198" s="1009"/>
      <c r="QJ198" s="1009"/>
      <c r="QK198" s="1009"/>
      <c r="QL198" s="1009"/>
      <c r="QM198" s="1009"/>
      <c r="QN198" s="1009"/>
      <c r="QO198" s="1009"/>
      <c r="QP198" s="1009"/>
      <c r="QQ198" s="1009"/>
      <c r="QR198" s="1009"/>
      <c r="QS198" s="1009"/>
      <c r="QT198" s="1009"/>
      <c r="QU198" s="1009"/>
      <c r="QV198" s="1009"/>
      <c r="QW198" s="1009"/>
      <c r="QX198" s="1009"/>
      <c r="QY198" s="1009"/>
      <c r="QZ198" s="1009"/>
      <c r="RA198" s="1009"/>
      <c r="RB198" s="1009"/>
      <c r="RC198" s="1009"/>
      <c r="RD198" s="1009"/>
      <c r="RE198" s="1009"/>
      <c r="RF198" s="1009"/>
      <c r="RG198" s="1009"/>
      <c r="RH198" s="1009"/>
      <c r="RI198" s="1009"/>
      <c r="RJ198" s="1009"/>
      <c r="RK198" s="1009"/>
      <c r="RL198" s="1009"/>
      <c r="RM198" s="1009"/>
      <c r="RN198" s="1009"/>
      <c r="RO198" s="1009"/>
      <c r="RP198" s="1009"/>
      <c r="RQ198" s="1009"/>
      <c r="RR198" s="1009"/>
      <c r="RS198" s="1009"/>
      <c r="RT198" s="1009"/>
      <c r="RU198" s="1009"/>
      <c r="RV198" s="1009"/>
      <c r="RW198" s="1009"/>
      <c r="RX198" s="1009"/>
      <c r="RY198" s="1009"/>
      <c r="RZ198" s="1009"/>
      <c r="SA198" s="1009"/>
      <c r="SB198" s="1009"/>
      <c r="SC198" s="1009"/>
      <c r="SD198" s="1009"/>
      <c r="SE198" s="1009"/>
      <c r="SF198" s="1009"/>
      <c r="SG198" s="1009"/>
      <c r="SH198" s="1009"/>
      <c r="SI198" s="1009"/>
      <c r="SJ198" s="1009"/>
      <c r="SK198" s="1009"/>
      <c r="SL198" s="1009"/>
      <c r="SM198" s="1009"/>
      <c r="SN198" s="1009"/>
      <c r="SO198" s="1009"/>
      <c r="SP198" s="1009"/>
      <c r="SQ198" s="1009"/>
      <c r="SR198" s="1009"/>
      <c r="SS198" s="1009"/>
      <c r="ST198" s="1009"/>
      <c r="SU198" s="1009"/>
      <c r="SV198" s="1009"/>
      <c r="SW198" s="1009"/>
      <c r="SX198" s="1009"/>
      <c r="SY198" s="1009"/>
      <c r="SZ198" s="1009"/>
      <c r="TA198" s="1009"/>
      <c r="TB198" s="1009"/>
      <c r="TC198" s="1009"/>
      <c r="TD198" s="1009"/>
      <c r="TE198" s="1009"/>
      <c r="TF198" s="1009"/>
      <c r="TG198" s="1009"/>
      <c r="TH198" s="1009"/>
      <c r="TI198" s="1009"/>
      <c r="TJ198" s="1009"/>
      <c r="TK198" s="1009"/>
      <c r="TL198" s="1009"/>
      <c r="TM198" s="1009"/>
      <c r="TN198" s="1009"/>
      <c r="TO198" s="1009"/>
      <c r="TP198" s="1009"/>
      <c r="TQ198" s="1009"/>
      <c r="TR198" s="1009"/>
      <c r="TS198" s="1009"/>
      <c r="TT198" s="1009"/>
      <c r="TU198" s="1009"/>
      <c r="TV198" s="1009"/>
      <c r="TW198" s="1009"/>
      <c r="TX198" s="1009"/>
      <c r="TY198" s="1009"/>
      <c r="TZ198" s="1009"/>
      <c r="UA198" s="1009"/>
      <c r="UB198" s="1009"/>
      <c r="UC198" s="1009"/>
      <c r="UD198" s="1009"/>
      <c r="UE198" s="1009"/>
      <c r="UF198" s="1009"/>
      <c r="UG198" s="1009"/>
      <c r="UH198" s="1009"/>
      <c r="UI198" s="1009"/>
      <c r="UJ198" s="1009"/>
      <c r="UK198" s="1009"/>
      <c r="UL198" s="1009"/>
      <c r="UM198" s="1009"/>
      <c r="UN198" s="1009"/>
      <c r="UO198" s="1009"/>
      <c r="UP198" s="1009"/>
      <c r="UQ198" s="1009"/>
      <c r="UR198" s="1009"/>
      <c r="US198" s="1009"/>
      <c r="UT198" s="1009"/>
      <c r="UU198" s="1009"/>
      <c r="UV198" s="1009"/>
      <c r="UW198" s="1009"/>
      <c r="UX198" s="1009"/>
      <c r="UY198" s="1009"/>
      <c r="UZ198" s="1009"/>
      <c r="VA198" s="1009"/>
      <c r="VB198" s="1009"/>
      <c r="VC198" s="1009"/>
      <c r="VD198" s="1009"/>
      <c r="VE198" s="1009"/>
      <c r="VF198" s="1009"/>
      <c r="VG198" s="1009"/>
      <c r="VH198" s="1009"/>
      <c r="VI198" s="1009"/>
      <c r="VJ198" s="1009"/>
      <c r="VK198" s="1009"/>
      <c r="VL198" s="1009"/>
      <c r="VM198" s="1009"/>
      <c r="VN198" s="1009"/>
      <c r="VO198" s="1009"/>
      <c r="VP198" s="1009"/>
      <c r="VQ198" s="1009"/>
      <c r="VR198" s="1009"/>
      <c r="VS198" s="1009"/>
      <c r="VT198" s="1009"/>
      <c r="VU198" s="1009"/>
      <c r="VV198" s="1009"/>
      <c r="VW198" s="1009"/>
      <c r="VX198" s="1009"/>
      <c r="VY198" s="1009"/>
      <c r="VZ198" s="1009"/>
      <c r="WA198" s="1009"/>
      <c r="WB198" s="1009"/>
      <c r="WC198" s="1009"/>
      <c r="WD198" s="1009"/>
      <c r="WE198" s="1009"/>
      <c r="WF198" s="1009"/>
      <c r="WG198" s="1009"/>
      <c r="WH198" s="1009"/>
      <c r="WI198" s="1009"/>
      <c r="WJ198" s="1009"/>
      <c r="WK198" s="1009"/>
      <c r="WL198" s="1009"/>
      <c r="WM198" s="1009"/>
      <c r="WN198" s="1009"/>
      <c r="WO198" s="1009"/>
      <c r="WP198" s="1009"/>
      <c r="WQ198" s="1009"/>
      <c r="WR198" s="1009"/>
      <c r="WS198" s="1009"/>
      <c r="WT198" s="1009"/>
      <c r="WU198" s="1009"/>
      <c r="WV198" s="1009"/>
      <c r="WW198" s="1009"/>
      <c r="WX198" s="1009"/>
      <c r="WY198" s="1009"/>
      <c r="WZ198" s="1009"/>
      <c r="XA198" s="1009"/>
      <c r="XB198" s="1009"/>
      <c r="XC198" s="1009"/>
      <c r="XD198" s="1009"/>
      <c r="XE198" s="1009"/>
      <c r="XF198" s="1009"/>
      <c r="XG198" s="1009"/>
      <c r="XH198" s="1009"/>
      <c r="XI198" s="1009"/>
      <c r="XJ198" s="1009"/>
      <c r="XK198" s="1009"/>
      <c r="XL198" s="1009"/>
      <c r="XM198" s="1009"/>
      <c r="XN198" s="1009"/>
      <c r="XO198" s="1009"/>
      <c r="XP198" s="1009"/>
      <c r="XQ198" s="1009"/>
      <c r="XR198" s="1009"/>
      <c r="XS198" s="1009"/>
      <c r="XT198" s="1009"/>
      <c r="XU198" s="1009"/>
      <c r="XV198" s="1009"/>
      <c r="XW198" s="1009"/>
      <c r="XX198" s="1009"/>
      <c r="XY198" s="1009"/>
      <c r="XZ198" s="1009"/>
      <c r="YA198" s="1009"/>
      <c r="YB198" s="1009"/>
      <c r="YC198" s="1009"/>
      <c r="YD198" s="1009"/>
      <c r="YE198" s="1009"/>
      <c r="YF198" s="1009"/>
      <c r="YG198" s="1009"/>
      <c r="YH198" s="1009"/>
      <c r="YI198" s="1009"/>
      <c r="YJ198" s="1009"/>
      <c r="YK198" s="1009"/>
      <c r="YL198" s="1009"/>
      <c r="YM198" s="1009"/>
      <c r="YN198" s="1009"/>
      <c r="YO198" s="1009"/>
      <c r="YP198" s="1009"/>
      <c r="YQ198" s="1009"/>
      <c r="YR198" s="1009"/>
      <c r="YS198" s="1009"/>
      <c r="YT198" s="1009"/>
      <c r="YU198" s="1009"/>
      <c r="YV198" s="1009"/>
      <c r="YW198" s="1009"/>
      <c r="YX198" s="1009"/>
      <c r="YY198" s="1009"/>
      <c r="YZ198" s="1009"/>
      <c r="ZA198" s="1009"/>
      <c r="ZB198" s="1009"/>
      <c r="ZC198" s="1009"/>
      <c r="ZD198" s="1009"/>
      <c r="ZE198" s="1009"/>
      <c r="ZF198" s="1009"/>
      <c r="ZG198" s="1009"/>
      <c r="ZH198" s="1009"/>
      <c r="ZI198" s="1009"/>
      <c r="ZJ198" s="1009"/>
      <c r="ZK198" s="1009"/>
      <c r="ZL198" s="1009"/>
      <c r="ZM198" s="1009"/>
      <c r="ZN198" s="1009"/>
      <c r="ZO198" s="1009"/>
      <c r="ZP198" s="1009"/>
      <c r="ZQ198" s="1009"/>
      <c r="ZR198" s="1009"/>
      <c r="ZS198" s="1009"/>
      <c r="ZT198" s="1009"/>
      <c r="ZU198" s="1009"/>
      <c r="ZV198" s="1009"/>
      <c r="ZW198" s="1009"/>
      <c r="ZX198" s="1009"/>
      <c r="ZY198" s="1009"/>
      <c r="ZZ198" s="1009"/>
      <c r="AAA198" s="1009"/>
      <c r="AAB198" s="1009"/>
      <c r="AAC198" s="1009"/>
      <c r="AAD198" s="1009"/>
      <c r="AAE198" s="1009"/>
      <c r="AAF198" s="1009"/>
      <c r="AAG198" s="1009"/>
      <c r="AAH198" s="1009"/>
      <c r="AAI198" s="1009"/>
      <c r="AAJ198" s="1009"/>
      <c r="AAK198" s="1009"/>
      <c r="AAL198" s="1009"/>
      <c r="AAM198" s="1009"/>
      <c r="AAN198" s="1009"/>
      <c r="AAO198" s="1009"/>
      <c r="AAP198" s="1009"/>
      <c r="AAQ198" s="1009"/>
      <c r="AAR198" s="1009"/>
      <c r="AAS198" s="1009"/>
      <c r="AAT198" s="1009"/>
      <c r="AAU198" s="1009"/>
      <c r="AAV198" s="1009"/>
      <c r="AAW198" s="1009"/>
      <c r="AAX198" s="1009"/>
      <c r="AAY198" s="1009"/>
      <c r="AAZ198" s="1009"/>
      <c r="ABA198" s="1009"/>
      <c r="ABB198" s="1009"/>
      <c r="ABC198" s="1009"/>
      <c r="ABD198" s="1009"/>
      <c r="ABE198" s="1009"/>
      <c r="ABF198" s="1009"/>
      <c r="ABG198" s="1009"/>
      <c r="ABH198" s="1009"/>
      <c r="ABI198" s="1009"/>
      <c r="ABJ198" s="1009"/>
      <c r="ABK198" s="1009"/>
      <c r="ABL198" s="1009"/>
      <c r="ABM198" s="1009"/>
      <c r="ABN198" s="1009"/>
      <c r="ABO198" s="1009"/>
      <c r="ABP198" s="1009"/>
      <c r="ABQ198" s="1009"/>
      <c r="ABR198" s="1009"/>
    </row>
    <row r="199" spans="1:746" s="111" customFormat="1" ht="19.5" customHeight="1">
      <c r="A199" s="1696"/>
      <c r="B199" s="1950" t="str">
        <f>IF(E220&lt;&gt;0,"Ing balans: Tillgångar ska vara = Eget kapital+Skulder ", "")</f>
        <v/>
      </c>
      <c r="C199" s="1315"/>
      <c r="D199" s="1315"/>
      <c r="E199" s="1273"/>
      <c r="F199" s="1651"/>
      <c r="G199" s="1273"/>
      <c r="H199" s="1273"/>
      <c r="I199" s="2589" t="s">
        <v>1321</v>
      </c>
      <c r="J199" s="1951"/>
      <c r="K199" s="1952"/>
      <c r="L199" s="1952"/>
      <c r="M199" s="1952"/>
      <c r="O199" s="1953" t="str">
        <f>IF(E220&lt;&gt;0,"Om det är differens i cell E212 förs inte ingående belopp ut till sina platser i mallen","")</f>
        <v/>
      </c>
      <c r="P199" s="1954"/>
      <c r="Q199" s="1953"/>
      <c r="R199" s="1952"/>
      <c r="S199" s="1952"/>
      <c r="T199" s="2724"/>
      <c r="U199" s="2725"/>
      <c r="V199" s="1952"/>
      <c r="W199" s="1952"/>
      <c r="X199" s="1952"/>
      <c r="Y199" s="1952"/>
      <c r="Z199" s="1952"/>
      <c r="AA199" s="1952"/>
      <c r="AB199" s="1952"/>
      <c r="AC199" s="1952"/>
      <c r="AD199" s="1952"/>
      <c r="AE199" s="1952"/>
      <c r="AF199" s="1955"/>
      <c r="AG199" s="1952"/>
      <c r="AH199" s="359"/>
      <c r="AI199" s="359"/>
      <c r="AJ199" s="1044"/>
      <c r="AK199" s="1048"/>
      <c r="AL199" s="1048"/>
      <c r="AM199" s="1009"/>
      <c r="AN199" s="1026"/>
      <c r="AO199" s="1945"/>
      <c r="AP199" s="1935"/>
      <c r="AQ199" s="1936"/>
      <c r="AR199" s="1941"/>
      <c r="AS199" s="1941"/>
      <c r="AT199" s="1941"/>
      <c r="AU199" s="1941"/>
      <c r="AV199" s="1941"/>
      <c r="AW199" s="1941"/>
      <c r="AX199" s="1941"/>
      <c r="AY199" s="1941"/>
      <c r="AZ199" s="1941"/>
      <c r="BA199" s="1941"/>
      <c r="BB199" s="1941"/>
      <c r="BC199" s="1941"/>
      <c r="BD199" s="1941"/>
      <c r="BE199" s="1941"/>
      <c r="BF199" s="1941"/>
      <c r="BG199" s="1941"/>
      <c r="BH199" s="1941"/>
      <c r="BI199" s="1941"/>
      <c r="BJ199" s="1941"/>
      <c r="BK199" s="1941"/>
      <c r="BL199" s="1941"/>
      <c r="BM199" s="1941"/>
      <c r="BN199" s="1941"/>
      <c r="BO199" s="1941"/>
      <c r="BP199" s="1009"/>
      <c r="BQ199" s="1009"/>
      <c r="BR199" s="1009"/>
      <c r="BS199" s="1009"/>
      <c r="BT199" s="1009"/>
      <c r="BU199" s="1009"/>
      <c r="BV199" s="1009"/>
      <c r="BW199" s="1009"/>
      <c r="BX199" s="1009"/>
      <c r="BY199" s="1009"/>
      <c r="BZ199" s="1009"/>
      <c r="CA199" s="1009"/>
      <c r="CB199" s="1009"/>
      <c r="CC199" s="1009"/>
      <c r="CD199" s="1009"/>
      <c r="CE199" s="1009"/>
      <c r="CF199" s="1009"/>
      <c r="CG199" s="1009"/>
      <c r="CH199" s="1009"/>
      <c r="CI199" s="1009"/>
      <c r="CJ199" s="1009"/>
      <c r="CK199" s="1009"/>
      <c r="CL199" s="1009"/>
      <c r="CM199" s="1009"/>
      <c r="CN199" s="1009"/>
      <c r="CO199" s="1009"/>
      <c r="CP199" s="1009"/>
      <c r="CQ199" s="1009"/>
      <c r="CR199" s="1009"/>
      <c r="CS199" s="1009"/>
      <c r="CT199" s="1009"/>
      <c r="CU199" s="1009"/>
      <c r="CV199" s="1009"/>
      <c r="CW199" s="1009"/>
      <c r="CX199" s="1009"/>
      <c r="CY199" s="1009"/>
      <c r="CZ199" s="1009"/>
      <c r="DA199" s="1009"/>
      <c r="DB199" s="1009"/>
      <c r="DC199" s="1009"/>
      <c r="DD199" s="1009"/>
      <c r="DE199" s="1009"/>
      <c r="DF199" s="1009"/>
      <c r="DG199" s="1009"/>
      <c r="DH199" s="1009"/>
      <c r="DI199" s="1009"/>
      <c r="DJ199" s="1009"/>
      <c r="DK199" s="1009"/>
      <c r="DL199" s="1009"/>
      <c r="DM199" s="1009"/>
      <c r="DN199" s="1009"/>
      <c r="DO199" s="1009"/>
      <c r="DP199" s="1009"/>
      <c r="DQ199" s="1009"/>
      <c r="DR199" s="1009"/>
      <c r="DS199" s="1009"/>
      <c r="DT199" s="1009"/>
      <c r="DU199" s="1009"/>
      <c r="DV199" s="1009"/>
      <c r="DW199" s="1009"/>
      <c r="DX199" s="1009"/>
      <c r="DY199" s="1009"/>
      <c r="DZ199" s="1009"/>
      <c r="EA199" s="1009"/>
      <c r="EB199" s="1009"/>
      <c r="EC199" s="1009"/>
      <c r="ED199" s="1009"/>
      <c r="EE199" s="1009"/>
      <c r="EF199" s="1009"/>
      <c r="EG199" s="1009"/>
      <c r="EH199" s="1009"/>
      <c r="EI199" s="1009"/>
      <c r="EJ199" s="1009"/>
      <c r="EK199" s="1009"/>
      <c r="EL199" s="1009"/>
      <c r="EM199" s="1009"/>
      <c r="EN199" s="1009"/>
      <c r="EO199" s="1009"/>
      <c r="EP199" s="1009"/>
      <c r="EQ199" s="1009"/>
      <c r="ER199" s="1009"/>
      <c r="ES199" s="1009"/>
      <c r="ET199" s="1009"/>
      <c r="EU199" s="1009"/>
      <c r="EV199" s="1009"/>
      <c r="EW199" s="1009"/>
      <c r="EX199" s="1009"/>
      <c r="EY199" s="1009"/>
      <c r="EZ199" s="1009"/>
      <c r="FA199" s="1009"/>
      <c r="FB199" s="1009"/>
      <c r="FC199" s="1009"/>
      <c r="FD199" s="1009"/>
      <c r="FE199" s="1009"/>
      <c r="FF199" s="1009"/>
      <c r="FG199" s="1009"/>
      <c r="FH199" s="1009"/>
      <c r="FI199" s="1009"/>
      <c r="FJ199" s="1009"/>
      <c r="FK199" s="1009"/>
      <c r="FL199" s="1009"/>
      <c r="FM199" s="1009"/>
      <c r="FN199" s="1009"/>
      <c r="FO199" s="1009"/>
      <c r="FP199" s="1009"/>
      <c r="FQ199" s="1009"/>
      <c r="FR199" s="1009"/>
      <c r="FS199" s="1009"/>
      <c r="FT199" s="1009"/>
      <c r="FU199" s="1009"/>
      <c r="FV199" s="1009"/>
      <c r="FW199" s="1009"/>
      <c r="FX199" s="1009"/>
      <c r="FY199" s="1009"/>
      <c r="FZ199" s="1009"/>
      <c r="GA199" s="1009"/>
      <c r="GB199" s="1009"/>
      <c r="GC199" s="1009"/>
      <c r="GD199" s="1009"/>
      <c r="GE199" s="1009"/>
      <c r="GF199" s="1009"/>
      <c r="GG199" s="1009"/>
      <c r="GH199" s="1009"/>
      <c r="GI199" s="1009"/>
      <c r="GJ199" s="1009"/>
      <c r="GK199" s="1009"/>
      <c r="GL199" s="1009"/>
      <c r="GM199" s="1009"/>
      <c r="GN199" s="1009"/>
      <c r="GO199" s="1009"/>
      <c r="GP199" s="1009"/>
      <c r="GQ199" s="1009"/>
      <c r="GR199" s="1009"/>
      <c r="GS199" s="1009"/>
      <c r="GT199" s="1009"/>
      <c r="GU199" s="1009"/>
      <c r="GV199" s="1009"/>
      <c r="GW199" s="1009"/>
      <c r="GX199" s="1009"/>
      <c r="GY199" s="1009"/>
      <c r="GZ199" s="1009"/>
      <c r="HA199" s="1009"/>
      <c r="HB199" s="1009"/>
      <c r="HC199" s="1009"/>
      <c r="HD199" s="1009"/>
      <c r="HE199" s="1009"/>
      <c r="HF199" s="1009"/>
      <c r="HG199" s="1009"/>
      <c r="HH199" s="1009"/>
      <c r="HI199" s="1009"/>
      <c r="HJ199" s="1009"/>
      <c r="HK199" s="1009"/>
      <c r="HL199" s="1009"/>
      <c r="HM199" s="1009"/>
      <c r="HN199" s="1009"/>
      <c r="HO199" s="1009"/>
      <c r="HP199" s="1009"/>
      <c r="HQ199" s="1009"/>
      <c r="HR199" s="1009"/>
      <c r="HS199" s="1009"/>
      <c r="HT199" s="1009"/>
      <c r="HU199" s="1009"/>
      <c r="HV199" s="1009"/>
      <c r="HW199" s="1009"/>
      <c r="HX199" s="1009"/>
      <c r="HY199" s="1009"/>
      <c r="HZ199" s="1009"/>
      <c r="IA199" s="1009"/>
      <c r="IB199" s="1009"/>
      <c r="IC199" s="1009"/>
      <c r="ID199" s="1009"/>
      <c r="IE199" s="1009"/>
      <c r="IF199" s="1009"/>
      <c r="IG199" s="1009"/>
      <c r="IH199" s="1009"/>
      <c r="II199" s="1009"/>
      <c r="IJ199" s="1009"/>
      <c r="IK199" s="1009"/>
      <c r="IL199" s="1009"/>
      <c r="IM199" s="1009"/>
      <c r="IN199" s="1009"/>
      <c r="IO199" s="1009"/>
      <c r="IP199" s="1009"/>
      <c r="IQ199" s="1009"/>
      <c r="IR199" s="1009"/>
      <c r="IS199" s="1009"/>
      <c r="IT199" s="1009"/>
      <c r="IU199" s="1009"/>
      <c r="IV199" s="1009"/>
      <c r="IW199" s="1009"/>
      <c r="IX199" s="1009"/>
      <c r="IY199" s="1009"/>
      <c r="IZ199" s="1009"/>
      <c r="JA199" s="1009"/>
      <c r="JB199" s="1009"/>
      <c r="JC199" s="1009"/>
      <c r="JD199" s="1009"/>
      <c r="JE199" s="1009"/>
      <c r="JF199" s="1009"/>
      <c r="JG199" s="1009"/>
      <c r="JH199" s="1009"/>
      <c r="JI199" s="1009"/>
      <c r="JJ199" s="1009"/>
      <c r="JK199" s="1009"/>
      <c r="JL199" s="1009"/>
      <c r="JM199" s="1009"/>
      <c r="JN199" s="1009"/>
      <c r="JO199" s="1009"/>
      <c r="JP199" s="1009"/>
      <c r="JQ199" s="1009"/>
      <c r="JR199" s="1009"/>
      <c r="JS199" s="1009"/>
      <c r="JT199" s="1009"/>
      <c r="JU199" s="1009"/>
      <c r="JV199" s="1009"/>
      <c r="JW199" s="1009"/>
      <c r="JX199" s="1009"/>
      <c r="JY199" s="1009"/>
      <c r="JZ199" s="1009"/>
      <c r="KA199" s="1009"/>
      <c r="KB199" s="1009"/>
      <c r="KC199" s="1009"/>
      <c r="KD199" s="1009"/>
      <c r="KE199" s="1009"/>
      <c r="KF199" s="1009"/>
      <c r="KG199" s="1009"/>
      <c r="KH199" s="1009"/>
      <c r="KI199" s="1009"/>
      <c r="KJ199" s="1009"/>
      <c r="KK199" s="1009"/>
      <c r="KL199" s="1009"/>
      <c r="KM199" s="1009"/>
      <c r="KN199" s="1009"/>
      <c r="KO199" s="1009"/>
      <c r="KP199" s="1009"/>
      <c r="KQ199" s="1009"/>
      <c r="KR199" s="1009"/>
      <c r="KS199" s="1009"/>
      <c r="KT199" s="1009"/>
      <c r="KU199" s="1009"/>
      <c r="KV199" s="1009"/>
      <c r="KW199" s="1009"/>
      <c r="KX199" s="1009"/>
      <c r="KY199" s="1009"/>
      <c r="KZ199" s="1009"/>
      <c r="LA199" s="1009"/>
      <c r="LB199" s="1009"/>
      <c r="LC199" s="1009"/>
      <c r="LD199" s="1009"/>
      <c r="LE199" s="1009"/>
      <c r="LF199" s="1009"/>
      <c r="LG199" s="1009"/>
      <c r="LH199" s="1009"/>
      <c r="LI199" s="1009"/>
      <c r="LJ199" s="1009"/>
      <c r="LK199" s="1009"/>
      <c r="LL199" s="1009"/>
      <c r="LM199" s="1009"/>
      <c r="LN199" s="1009"/>
      <c r="LO199" s="1009"/>
      <c r="LP199" s="1009"/>
      <c r="LQ199" s="1009"/>
      <c r="LR199" s="1009"/>
      <c r="LS199" s="1009"/>
      <c r="LT199" s="1009"/>
      <c r="LU199" s="1009"/>
      <c r="LV199" s="1009"/>
      <c r="LW199" s="1009"/>
      <c r="LX199" s="1009"/>
      <c r="LY199" s="1009"/>
      <c r="LZ199" s="1009"/>
      <c r="MA199" s="1009"/>
      <c r="MB199" s="1009"/>
      <c r="MC199" s="1009"/>
      <c r="MD199" s="1009"/>
      <c r="ME199" s="1009"/>
      <c r="MF199" s="1009"/>
      <c r="MG199" s="1009"/>
      <c r="MH199" s="1009"/>
      <c r="MI199" s="1009"/>
      <c r="MJ199" s="1009"/>
      <c r="MK199" s="1009"/>
      <c r="ML199" s="1009"/>
      <c r="MM199" s="1009"/>
      <c r="MN199" s="1009"/>
      <c r="MO199" s="1009"/>
      <c r="MP199" s="1009"/>
      <c r="MQ199" s="1009"/>
      <c r="MR199" s="1009"/>
      <c r="MS199" s="1009"/>
      <c r="MT199" s="1009"/>
      <c r="MU199" s="1009"/>
      <c r="MV199" s="1009"/>
      <c r="MW199" s="1009"/>
      <c r="MX199" s="1009"/>
      <c r="MY199" s="1009"/>
      <c r="MZ199" s="1009"/>
      <c r="NA199" s="1009"/>
      <c r="NB199" s="1009"/>
      <c r="NC199" s="1009"/>
      <c r="ND199" s="1009"/>
      <c r="NE199" s="1009"/>
      <c r="NF199" s="1009"/>
      <c r="NG199" s="1009"/>
      <c r="NH199" s="1009"/>
      <c r="NI199" s="1009"/>
      <c r="NJ199" s="1009"/>
      <c r="NK199" s="1009"/>
      <c r="NL199" s="1009"/>
      <c r="NM199" s="1009"/>
      <c r="NN199" s="1009"/>
      <c r="NO199" s="1009"/>
      <c r="NP199" s="1009"/>
      <c r="NQ199" s="1009"/>
      <c r="NR199" s="1009"/>
      <c r="NS199" s="1009"/>
      <c r="NT199" s="1009"/>
      <c r="NU199" s="1009"/>
      <c r="NV199" s="1009"/>
      <c r="NW199" s="1009"/>
      <c r="NX199" s="1009"/>
      <c r="NY199" s="1009"/>
      <c r="NZ199" s="1009"/>
      <c r="OA199" s="1009"/>
      <c r="OB199" s="1009"/>
      <c r="OC199" s="1009"/>
      <c r="OD199" s="1009"/>
      <c r="OE199" s="1009"/>
      <c r="OF199" s="1009"/>
      <c r="OG199" s="1009"/>
      <c r="OH199" s="1009"/>
      <c r="OI199" s="1009"/>
      <c r="OJ199" s="1009"/>
      <c r="OK199" s="1009"/>
      <c r="OL199" s="1009"/>
      <c r="OM199" s="1009"/>
      <c r="ON199" s="1009"/>
      <c r="OO199" s="1009"/>
      <c r="OP199" s="1009"/>
      <c r="OQ199" s="1009"/>
      <c r="OR199" s="1009"/>
      <c r="OS199" s="1009"/>
      <c r="OT199" s="1009"/>
      <c r="OU199" s="1009"/>
      <c r="OV199" s="1009"/>
      <c r="OW199" s="1009"/>
      <c r="OX199" s="1009"/>
      <c r="OY199" s="1009"/>
      <c r="OZ199" s="1009"/>
      <c r="PA199" s="1009"/>
      <c r="PB199" s="1009"/>
      <c r="PC199" s="1009"/>
      <c r="PD199" s="1009"/>
      <c r="PE199" s="1009"/>
      <c r="PF199" s="1009"/>
      <c r="PG199" s="1009"/>
      <c r="PH199" s="1009"/>
      <c r="PI199" s="1009"/>
      <c r="PJ199" s="1009"/>
      <c r="PK199" s="1009"/>
      <c r="PL199" s="1009"/>
      <c r="PM199" s="1009"/>
      <c r="PN199" s="1009"/>
      <c r="PO199" s="1009"/>
      <c r="PP199" s="1009"/>
      <c r="PQ199" s="1009"/>
      <c r="PR199" s="1009"/>
      <c r="PS199" s="1009"/>
      <c r="PT199" s="1009"/>
      <c r="PU199" s="1009"/>
      <c r="PV199" s="1009"/>
      <c r="PW199" s="1009"/>
      <c r="PX199" s="1009"/>
      <c r="PY199" s="1009"/>
      <c r="PZ199" s="1009"/>
      <c r="QA199" s="1009"/>
      <c r="QB199" s="1009"/>
      <c r="QC199" s="1009"/>
      <c r="QD199" s="1009"/>
      <c r="QE199" s="1009"/>
      <c r="QF199" s="1009"/>
      <c r="QG199" s="1009"/>
      <c r="QH199" s="1009"/>
      <c r="QI199" s="1009"/>
      <c r="QJ199" s="1009"/>
      <c r="QK199" s="1009"/>
      <c r="QL199" s="1009"/>
      <c r="QM199" s="1009"/>
      <c r="QN199" s="1009"/>
      <c r="QO199" s="1009"/>
      <c r="QP199" s="1009"/>
      <c r="QQ199" s="1009"/>
      <c r="QR199" s="1009"/>
      <c r="QS199" s="1009"/>
      <c r="QT199" s="1009"/>
      <c r="QU199" s="1009"/>
      <c r="QV199" s="1009"/>
      <c r="QW199" s="1009"/>
      <c r="QX199" s="1009"/>
      <c r="QY199" s="1009"/>
      <c r="QZ199" s="1009"/>
      <c r="RA199" s="1009"/>
      <c r="RB199" s="1009"/>
      <c r="RC199" s="1009"/>
      <c r="RD199" s="1009"/>
      <c r="RE199" s="1009"/>
      <c r="RF199" s="1009"/>
      <c r="RG199" s="1009"/>
      <c r="RH199" s="1009"/>
      <c r="RI199" s="1009"/>
      <c r="RJ199" s="1009"/>
      <c r="RK199" s="1009"/>
      <c r="RL199" s="1009"/>
      <c r="RM199" s="1009"/>
      <c r="RN199" s="1009"/>
      <c r="RO199" s="1009"/>
      <c r="RP199" s="1009"/>
      <c r="RQ199" s="1009"/>
      <c r="RR199" s="1009"/>
      <c r="RS199" s="1009"/>
      <c r="RT199" s="1009"/>
      <c r="RU199" s="1009"/>
      <c r="RV199" s="1009"/>
      <c r="RW199" s="1009"/>
      <c r="RX199" s="1009"/>
      <c r="RY199" s="1009"/>
      <c r="RZ199" s="1009"/>
      <c r="SA199" s="1009"/>
      <c r="SB199" s="1009"/>
      <c r="SC199" s="1009"/>
      <c r="SD199" s="1009"/>
      <c r="SE199" s="1009"/>
      <c r="SF199" s="1009"/>
      <c r="SG199" s="1009"/>
      <c r="SH199" s="1009"/>
      <c r="SI199" s="1009"/>
      <c r="SJ199" s="1009"/>
      <c r="SK199" s="1009"/>
      <c r="SL199" s="1009"/>
      <c r="SM199" s="1009"/>
      <c r="SN199" s="1009"/>
      <c r="SO199" s="1009"/>
      <c r="SP199" s="1009"/>
      <c r="SQ199" s="1009"/>
      <c r="SR199" s="1009"/>
      <c r="SS199" s="1009"/>
      <c r="ST199" s="1009"/>
      <c r="SU199" s="1009"/>
      <c r="SV199" s="1009"/>
      <c r="SW199" s="1009"/>
      <c r="SX199" s="1009"/>
      <c r="SY199" s="1009"/>
      <c r="SZ199" s="1009"/>
      <c r="TA199" s="1009"/>
      <c r="TB199" s="1009"/>
      <c r="TC199" s="1009"/>
      <c r="TD199" s="1009"/>
      <c r="TE199" s="1009"/>
      <c r="TF199" s="1009"/>
      <c r="TG199" s="1009"/>
      <c r="TH199" s="1009"/>
      <c r="TI199" s="1009"/>
      <c r="TJ199" s="1009"/>
      <c r="TK199" s="1009"/>
      <c r="TL199" s="1009"/>
      <c r="TM199" s="1009"/>
      <c r="TN199" s="1009"/>
      <c r="TO199" s="1009"/>
      <c r="TP199" s="1009"/>
      <c r="TQ199" s="1009"/>
      <c r="TR199" s="1009"/>
      <c r="TS199" s="1009"/>
      <c r="TT199" s="1009"/>
      <c r="TU199" s="1009"/>
      <c r="TV199" s="1009"/>
      <c r="TW199" s="1009"/>
      <c r="TX199" s="1009"/>
      <c r="TY199" s="1009"/>
      <c r="TZ199" s="1009"/>
      <c r="UA199" s="1009"/>
      <c r="UB199" s="1009"/>
      <c r="UC199" s="1009"/>
      <c r="UD199" s="1009"/>
      <c r="UE199" s="1009"/>
      <c r="UF199" s="1009"/>
      <c r="UG199" s="1009"/>
      <c r="UH199" s="1009"/>
      <c r="UI199" s="1009"/>
      <c r="UJ199" s="1009"/>
      <c r="UK199" s="1009"/>
      <c r="UL199" s="1009"/>
      <c r="UM199" s="1009"/>
      <c r="UN199" s="1009"/>
      <c r="UO199" s="1009"/>
      <c r="UP199" s="1009"/>
      <c r="UQ199" s="1009"/>
      <c r="UR199" s="1009"/>
      <c r="US199" s="1009"/>
      <c r="UT199" s="1009"/>
      <c r="UU199" s="1009"/>
      <c r="UV199" s="1009"/>
      <c r="UW199" s="1009"/>
      <c r="UX199" s="1009"/>
      <c r="UY199" s="1009"/>
      <c r="UZ199" s="1009"/>
      <c r="VA199" s="1009"/>
      <c r="VB199" s="1009"/>
      <c r="VC199" s="1009"/>
      <c r="VD199" s="1009"/>
      <c r="VE199" s="1009"/>
      <c r="VF199" s="1009"/>
      <c r="VG199" s="1009"/>
      <c r="VH199" s="1009"/>
      <c r="VI199" s="1009"/>
      <c r="VJ199" s="1009"/>
      <c r="VK199" s="1009"/>
      <c r="VL199" s="1009"/>
      <c r="VM199" s="1009"/>
      <c r="VN199" s="1009"/>
      <c r="VO199" s="1009"/>
      <c r="VP199" s="1009"/>
      <c r="VQ199" s="1009"/>
      <c r="VR199" s="1009"/>
      <c r="VS199" s="1009"/>
      <c r="VT199" s="1009"/>
      <c r="VU199" s="1009"/>
      <c r="VV199" s="1009"/>
      <c r="VW199" s="1009"/>
      <c r="VX199" s="1009"/>
      <c r="VY199" s="1009"/>
      <c r="VZ199" s="1009"/>
      <c r="WA199" s="1009"/>
      <c r="WB199" s="1009"/>
      <c r="WC199" s="1009"/>
      <c r="WD199" s="1009"/>
      <c r="WE199" s="1009"/>
      <c r="WF199" s="1009"/>
      <c r="WG199" s="1009"/>
      <c r="WH199" s="1009"/>
      <c r="WI199" s="1009"/>
      <c r="WJ199" s="1009"/>
      <c r="WK199" s="1009"/>
      <c r="WL199" s="1009"/>
      <c r="WM199" s="1009"/>
      <c r="WN199" s="1009"/>
      <c r="WO199" s="1009"/>
      <c r="WP199" s="1009"/>
      <c r="WQ199" s="1009"/>
      <c r="WR199" s="1009"/>
      <c r="WS199" s="1009"/>
      <c r="WT199" s="1009"/>
      <c r="WU199" s="1009"/>
      <c r="WV199" s="1009"/>
      <c r="WW199" s="1009"/>
      <c r="WX199" s="1009"/>
      <c r="WY199" s="1009"/>
      <c r="WZ199" s="1009"/>
      <c r="XA199" s="1009"/>
      <c r="XB199" s="1009"/>
      <c r="XC199" s="1009"/>
      <c r="XD199" s="1009"/>
      <c r="XE199" s="1009"/>
      <c r="XF199" s="1009"/>
      <c r="XG199" s="1009"/>
      <c r="XH199" s="1009"/>
      <c r="XI199" s="1009"/>
      <c r="XJ199" s="1009"/>
      <c r="XK199" s="1009"/>
      <c r="XL199" s="1009"/>
      <c r="XM199" s="1009"/>
      <c r="XN199" s="1009"/>
      <c r="XO199" s="1009"/>
      <c r="XP199" s="1009"/>
      <c r="XQ199" s="1009"/>
      <c r="XR199" s="1009"/>
      <c r="XS199" s="1009"/>
      <c r="XT199" s="1009"/>
      <c r="XU199" s="1009"/>
      <c r="XV199" s="1009"/>
      <c r="XW199" s="1009"/>
      <c r="XX199" s="1009"/>
      <c r="XY199" s="1009"/>
      <c r="XZ199" s="1009"/>
      <c r="YA199" s="1009"/>
      <c r="YB199" s="1009"/>
      <c r="YC199" s="1009"/>
      <c r="YD199" s="1009"/>
      <c r="YE199" s="1009"/>
      <c r="YF199" s="1009"/>
      <c r="YG199" s="1009"/>
      <c r="YH199" s="1009"/>
      <c r="YI199" s="1009"/>
      <c r="YJ199" s="1009"/>
      <c r="YK199" s="1009"/>
      <c r="YL199" s="1009"/>
      <c r="YM199" s="1009"/>
      <c r="YN199" s="1009"/>
      <c r="YO199" s="1009"/>
      <c r="YP199" s="1009"/>
      <c r="YQ199" s="1009"/>
      <c r="YR199" s="1009"/>
      <c r="YS199" s="1009"/>
      <c r="YT199" s="1009"/>
      <c r="YU199" s="1009"/>
      <c r="YV199" s="1009"/>
      <c r="YW199" s="1009"/>
      <c r="YX199" s="1009"/>
      <c r="YY199" s="1009"/>
      <c r="YZ199" s="1009"/>
      <c r="ZA199" s="1009"/>
      <c r="ZB199" s="1009"/>
      <c r="ZC199" s="1009"/>
      <c r="ZD199" s="1009"/>
      <c r="ZE199" s="1009"/>
      <c r="ZF199" s="1009"/>
      <c r="ZG199" s="1009"/>
      <c r="ZH199" s="1009"/>
      <c r="ZI199" s="1009"/>
      <c r="ZJ199" s="1009"/>
      <c r="ZK199" s="1009"/>
      <c r="ZL199" s="1009"/>
      <c r="ZM199" s="1009"/>
      <c r="ZN199" s="1009"/>
      <c r="ZO199" s="1009"/>
      <c r="ZP199" s="1009"/>
      <c r="ZQ199" s="1009"/>
      <c r="ZR199" s="1009"/>
      <c r="ZS199" s="1009"/>
      <c r="ZT199" s="1009"/>
      <c r="ZU199" s="1009"/>
      <c r="ZV199" s="1009"/>
      <c r="ZW199" s="1009"/>
      <c r="ZX199" s="1009"/>
      <c r="ZY199" s="1009"/>
      <c r="ZZ199" s="1009"/>
      <c r="AAA199" s="1009"/>
      <c r="AAB199" s="1009"/>
      <c r="AAC199" s="1009"/>
      <c r="AAD199" s="1009"/>
      <c r="AAE199" s="1009"/>
      <c r="AAF199" s="1009"/>
      <c r="AAG199" s="1009"/>
      <c r="AAH199" s="1009"/>
      <c r="AAI199" s="1009"/>
      <c r="AAJ199" s="1009"/>
      <c r="AAK199" s="1009"/>
      <c r="AAL199" s="1009"/>
      <c r="AAM199" s="1009"/>
      <c r="AAN199" s="1009"/>
      <c r="AAO199" s="1009"/>
      <c r="AAP199" s="1009"/>
      <c r="AAQ199" s="1009"/>
      <c r="AAR199" s="1009"/>
      <c r="AAS199" s="1009"/>
      <c r="AAT199" s="1009"/>
      <c r="AAU199" s="1009"/>
      <c r="AAV199" s="1009"/>
      <c r="AAW199" s="1009"/>
      <c r="AAX199" s="1009"/>
      <c r="AAY199" s="1009"/>
      <c r="AAZ199" s="1009"/>
      <c r="ABA199" s="1009"/>
      <c r="ABB199" s="1009"/>
      <c r="ABC199" s="1009"/>
      <c r="ABD199" s="1009"/>
      <c r="ABE199" s="1009"/>
      <c r="ABF199" s="1009"/>
      <c r="ABG199" s="1009"/>
      <c r="ABH199" s="1009"/>
      <c r="ABI199" s="1009"/>
      <c r="ABJ199" s="1009"/>
      <c r="ABK199" s="1009"/>
      <c r="ABL199" s="1009"/>
      <c r="ABM199" s="1009"/>
      <c r="ABN199" s="1009"/>
      <c r="ABO199" s="1009"/>
      <c r="ABP199" s="1009"/>
      <c r="ABQ199" s="1009"/>
      <c r="ABR199" s="1009"/>
    </row>
    <row r="200" spans="1:746" s="111" customFormat="1" ht="12.75" customHeight="1">
      <c r="A200" s="924"/>
      <c r="B200" s="137" t="s">
        <v>331</v>
      </c>
      <c r="C200" s="132"/>
      <c r="D200" s="132"/>
      <c r="E200" s="3020" t="s">
        <v>752</v>
      </c>
      <c r="F200" s="3020"/>
      <c r="G200" s="3020"/>
      <c r="H200" s="2523"/>
      <c r="I200" s="2590" t="s">
        <v>968</v>
      </c>
      <c r="J200" s="944"/>
      <c r="K200" s="945"/>
      <c r="L200" s="945"/>
      <c r="M200" s="945"/>
      <c r="N200" s="945"/>
      <c r="O200" s="945"/>
      <c r="P200" s="945"/>
      <c r="Q200" s="945"/>
      <c r="R200" s="772"/>
      <c r="S200" s="377"/>
      <c r="T200" s="988"/>
      <c r="U200" s="998"/>
      <c r="V200" s="378"/>
      <c r="W200" s="377"/>
      <c r="X200" s="377"/>
      <c r="Y200" s="377"/>
      <c r="Z200" s="377"/>
      <c r="AA200" s="377"/>
      <c r="AB200" s="377"/>
      <c r="AC200" s="377"/>
      <c r="AD200" s="377"/>
      <c r="AE200" s="377"/>
      <c r="AF200" s="379"/>
      <c r="AG200" s="376"/>
      <c r="AH200" s="359"/>
      <c r="AI200" s="766"/>
      <c r="AJ200" s="1044"/>
      <c r="AK200" s="1048"/>
      <c r="AL200" s="1048"/>
      <c r="AM200" s="1009"/>
      <c r="AN200" s="1032"/>
      <c r="AO200" s="1945"/>
      <c r="AP200" s="1935"/>
      <c r="AQ200" s="1936"/>
      <c r="AR200" s="1941"/>
      <c r="AS200" s="1941"/>
      <c r="AT200" s="1941"/>
      <c r="AU200" s="1941"/>
      <c r="AV200" s="1941"/>
      <c r="AW200" s="1941"/>
      <c r="AX200" s="1941"/>
      <c r="AY200" s="1941"/>
      <c r="AZ200" s="1941"/>
      <c r="BA200" s="1941"/>
      <c r="BB200" s="1941"/>
      <c r="BC200" s="1941"/>
      <c r="BD200" s="1941"/>
      <c r="BE200" s="1941"/>
      <c r="BF200" s="1941"/>
      <c r="BG200" s="1941"/>
      <c r="BH200" s="1941"/>
      <c r="BI200" s="1941"/>
      <c r="BJ200" s="1941"/>
      <c r="BK200" s="1941"/>
      <c r="BL200" s="1941"/>
      <c r="BM200" s="1941"/>
      <c r="BN200" s="1941"/>
      <c r="BO200" s="1941"/>
      <c r="BP200" s="1009"/>
      <c r="BQ200" s="1009"/>
      <c r="BR200" s="1009"/>
      <c r="BS200" s="1009"/>
      <c r="BT200" s="1009"/>
      <c r="BU200" s="1009"/>
      <c r="BV200" s="1009"/>
      <c r="BW200" s="1009"/>
      <c r="BX200" s="1009"/>
      <c r="BY200" s="1009"/>
      <c r="BZ200" s="1009"/>
      <c r="CA200" s="1009"/>
      <c r="CB200" s="1009"/>
      <c r="CC200" s="1009"/>
      <c r="CD200" s="1009"/>
      <c r="CE200" s="1009"/>
      <c r="CF200" s="1009"/>
      <c r="CG200" s="1009"/>
      <c r="CH200" s="1009"/>
      <c r="CI200" s="1009"/>
      <c r="CJ200" s="1009"/>
      <c r="CK200" s="1009"/>
      <c r="CL200" s="1009"/>
      <c r="CM200" s="1009"/>
      <c r="CN200" s="1009"/>
      <c r="CO200" s="1009"/>
      <c r="CP200" s="1009"/>
      <c r="CQ200" s="1009"/>
      <c r="CR200" s="1009"/>
      <c r="CS200" s="1009"/>
      <c r="CT200" s="1009"/>
      <c r="CU200" s="1009"/>
      <c r="CV200" s="1009"/>
      <c r="CW200" s="1009"/>
      <c r="CX200" s="1009"/>
      <c r="CY200" s="1009"/>
      <c r="CZ200" s="1009"/>
      <c r="DA200" s="1009"/>
      <c r="DB200" s="1009"/>
      <c r="DC200" s="1009"/>
      <c r="DD200" s="1009"/>
      <c r="DE200" s="1009"/>
      <c r="DF200" s="1009"/>
      <c r="DG200" s="1009"/>
      <c r="DH200" s="1009"/>
      <c r="DI200" s="1009"/>
      <c r="DJ200" s="1009"/>
      <c r="DK200" s="1009"/>
      <c r="DL200" s="1009"/>
      <c r="DM200" s="1009"/>
      <c r="DN200" s="1009"/>
      <c r="DO200" s="1009"/>
      <c r="DP200" s="1009"/>
      <c r="DQ200" s="1009"/>
      <c r="DR200" s="1009"/>
      <c r="DS200" s="1009"/>
      <c r="DT200" s="1009"/>
      <c r="DU200" s="1009"/>
      <c r="DV200" s="1009"/>
      <c r="DW200" s="1009"/>
      <c r="DX200" s="1009"/>
      <c r="DY200" s="1009"/>
      <c r="DZ200" s="1009"/>
      <c r="EA200" s="1009"/>
      <c r="EB200" s="1009"/>
      <c r="EC200" s="1009"/>
      <c r="ED200" s="1009"/>
      <c r="EE200" s="1009"/>
      <c r="EF200" s="1009"/>
      <c r="EG200" s="1009"/>
      <c r="EH200" s="1009"/>
      <c r="EI200" s="1009"/>
      <c r="EJ200" s="1009"/>
      <c r="EK200" s="1009"/>
      <c r="EL200" s="1009"/>
      <c r="EM200" s="1009"/>
      <c r="EN200" s="1009"/>
      <c r="EO200" s="1009"/>
      <c r="EP200" s="1009"/>
      <c r="EQ200" s="1009"/>
      <c r="ER200" s="1009"/>
      <c r="ES200" s="1009"/>
      <c r="ET200" s="1009"/>
      <c r="EU200" s="1009"/>
      <c r="EV200" s="1009"/>
      <c r="EW200" s="1009"/>
      <c r="EX200" s="1009"/>
      <c r="EY200" s="1009"/>
      <c r="EZ200" s="1009"/>
      <c r="FA200" s="1009"/>
      <c r="FB200" s="1009"/>
      <c r="FC200" s="1009"/>
      <c r="FD200" s="1009"/>
      <c r="FE200" s="1009"/>
      <c r="FF200" s="1009"/>
      <c r="FG200" s="1009"/>
      <c r="FH200" s="1009"/>
      <c r="FI200" s="1009"/>
      <c r="FJ200" s="1009"/>
      <c r="FK200" s="1009"/>
      <c r="FL200" s="1009"/>
      <c r="FM200" s="1009"/>
      <c r="FN200" s="1009"/>
      <c r="FO200" s="1009"/>
      <c r="FP200" s="1009"/>
      <c r="FQ200" s="1009"/>
      <c r="FR200" s="1009"/>
      <c r="FS200" s="1009"/>
      <c r="FT200" s="1009"/>
      <c r="FU200" s="1009"/>
      <c r="FV200" s="1009"/>
      <c r="FW200" s="1009"/>
      <c r="FX200" s="1009"/>
      <c r="FY200" s="1009"/>
      <c r="FZ200" s="1009"/>
      <c r="GA200" s="1009"/>
      <c r="GB200" s="1009"/>
      <c r="GC200" s="1009"/>
      <c r="GD200" s="1009"/>
      <c r="GE200" s="1009"/>
      <c r="GF200" s="1009"/>
      <c r="GG200" s="1009"/>
      <c r="GH200" s="1009"/>
      <c r="GI200" s="1009"/>
      <c r="GJ200" s="1009"/>
      <c r="GK200" s="1009"/>
      <c r="GL200" s="1009"/>
      <c r="GM200" s="1009"/>
      <c r="GN200" s="1009"/>
      <c r="GO200" s="1009"/>
      <c r="GP200" s="1009"/>
      <c r="GQ200" s="1009"/>
      <c r="GR200" s="1009"/>
      <c r="GS200" s="1009"/>
      <c r="GT200" s="1009"/>
      <c r="GU200" s="1009"/>
      <c r="GV200" s="1009"/>
      <c r="GW200" s="1009"/>
      <c r="GX200" s="1009"/>
      <c r="GY200" s="1009"/>
      <c r="GZ200" s="1009"/>
      <c r="HA200" s="1009"/>
      <c r="HB200" s="1009"/>
      <c r="HC200" s="1009"/>
      <c r="HD200" s="1009"/>
      <c r="HE200" s="1009"/>
      <c r="HF200" s="1009"/>
      <c r="HG200" s="1009"/>
      <c r="HH200" s="1009"/>
      <c r="HI200" s="1009"/>
      <c r="HJ200" s="1009"/>
      <c r="HK200" s="1009"/>
      <c r="HL200" s="1009"/>
      <c r="HM200" s="1009"/>
      <c r="HN200" s="1009"/>
      <c r="HO200" s="1009"/>
      <c r="HP200" s="1009"/>
      <c r="HQ200" s="1009"/>
      <c r="HR200" s="1009"/>
      <c r="HS200" s="1009"/>
      <c r="HT200" s="1009"/>
      <c r="HU200" s="1009"/>
      <c r="HV200" s="1009"/>
      <c r="HW200" s="1009"/>
      <c r="HX200" s="1009"/>
      <c r="HY200" s="1009"/>
      <c r="HZ200" s="1009"/>
      <c r="IA200" s="1009"/>
      <c r="IB200" s="1009"/>
      <c r="IC200" s="1009"/>
      <c r="ID200" s="1009"/>
      <c r="IE200" s="1009"/>
      <c r="IF200" s="1009"/>
      <c r="IG200" s="1009"/>
      <c r="IH200" s="1009"/>
      <c r="II200" s="1009"/>
      <c r="IJ200" s="1009"/>
      <c r="IK200" s="1009"/>
      <c r="IL200" s="1009"/>
      <c r="IM200" s="1009"/>
      <c r="IN200" s="1009"/>
      <c r="IO200" s="1009"/>
      <c r="IP200" s="1009"/>
      <c r="IQ200" s="1009"/>
      <c r="IR200" s="1009"/>
      <c r="IS200" s="1009"/>
      <c r="IT200" s="1009"/>
      <c r="IU200" s="1009"/>
      <c r="IV200" s="1009"/>
      <c r="IW200" s="1009"/>
      <c r="IX200" s="1009"/>
      <c r="IY200" s="1009"/>
      <c r="IZ200" s="1009"/>
      <c r="JA200" s="1009"/>
      <c r="JB200" s="1009"/>
      <c r="JC200" s="1009"/>
      <c r="JD200" s="1009"/>
      <c r="JE200" s="1009"/>
      <c r="JF200" s="1009"/>
      <c r="JG200" s="1009"/>
      <c r="JH200" s="1009"/>
      <c r="JI200" s="1009"/>
      <c r="JJ200" s="1009"/>
      <c r="JK200" s="1009"/>
      <c r="JL200" s="1009"/>
      <c r="JM200" s="1009"/>
      <c r="JN200" s="1009"/>
      <c r="JO200" s="1009"/>
      <c r="JP200" s="1009"/>
      <c r="JQ200" s="1009"/>
      <c r="JR200" s="1009"/>
      <c r="JS200" s="1009"/>
      <c r="JT200" s="1009"/>
      <c r="JU200" s="1009"/>
      <c r="JV200" s="1009"/>
      <c r="JW200" s="1009"/>
      <c r="JX200" s="1009"/>
      <c r="JY200" s="1009"/>
      <c r="JZ200" s="1009"/>
      <c r="KA200" s="1009"/>
      <c r="KB200" s="1009"/>
      <c r="KC200" s="1009"/>
      <c r="KD200" s="1009"/>
      <c r="KE200" s="1009"/>
      <c r="KF200" s="1009"/>
      <c r="KG200" s="1009"/>
      <c r="KH200" s="1009"/>
      <c r="KI200" s="1009"/>
      <c r="KJ200" s="1009"/>
      <c r="KK200" s="1009"/>
      <c r="KL200" s="1009"/>
      <c r="KM200" s="1009"/>
      <c r="KN200" s="1009"/>
      <c r="KO200" s="1009"/>
      <c r="KP200" s="1009"/>
      <c r="KQ200" s="1009"/>
      <c r="KR200" s="1009"/>
      <c r="KS200" s="1009"/>
      <c r="KT200" s="1009"/>
      <c r="KU200" s="1009"/>
      <c r="KV200" s="1009"/>
      <c r="KW200" s="1009"/>
      <c r="KX200" s="1009"/>
      <c r="KY200" s="1009"/>
      <c r="KZ200" s="1009"/>
      <c r="LA200" s="1009"/>
      <c r="LB200" s="1009"/>
      <c r="LC200" s="1009"/>
      <c r="LD200" s="1009"/>
      <c r="LE200" s="1009"/>
      <c r="LF200" s="1009"/>
      <c r="LG200" s="1009"/>
      <c r="LH200" s="1009"/>
      <c r="LI200" s="1009"/>
      <c r="LJ200" s="1009"/>
      <c r="LK200" s="1009"/>
      <c r="LL200" s="1009"/>
      <c r="LM200" s="1009"/>
      <c r="LN200" s="1009"/>
      <c r="LO200" s="1009"/>
      <c r="LP200" s="1009"/>
      <c r="LQ200" s="1009"/>
      <c r="LR200" s="1009"/>
      <c r="LS200" s="1009"/>
      <c r="LT200" s="1009"/>
      <c r="LU200" s="1009"/>
      <c r="LV200" s="1009"/>
      <c r="LW200" s="1009"/>
      <c r="LX200" s="1009"/>
      <c r="LY200" s="1009"/>
      <c r="LZ200" s="1009"/>
      <c r="MA200" s="1009"/>
      <c r="MB200" s="1009"/>
      <c r="MC200" s="1009"/>
      <c r="MD200" s="1009"/>
      <c r="ME200" s="1009"/>
      <c r="MF200" s="1009"/>
      <c r="MG200" s="1009"/>
      <c r="MH200" s="1009"/>
      <c r="MI200" s="1009"/>
      <c r="MJ200" s="1009"/>
      <c r="MK200" s="1009"/>
      <c r="ML200" s="1009"/>
      <c r="MM200" s="1009"/>
      <c r="MN200" s="1009"/>
      <c r="MO200" s="1009"/>
      <c r="MP200" s="1009"/>
      <c r="MQ200" s="1009"/>
      <c r="MR200" s="1009"/>
      <c r="MS200" s="1009"/>
      <c r="MT200" s="1009"/>
      <c r="MU200" s="1009"/>
      <c r="MV200" s="1009"/>
      <c r="MW200" s="1009"/>
      <c r="MX200" s="1009"/>
      <c r="MY200" s="1009"/>
      <c r="MZ200" s="1009"/>
      <c r="NA200" s="1009"/>
      <c r="NB200" s="1009"/>
      <c r="NC200" s="1009"/>
      <c r="ND200" s="1009"/>
      <c r="NE200" s="1009"/>
      <c r="NF200" s="1009"/>
      <c r="NG200" s="1009"/>
      <c r="NH200" s="1009"/>
      <c r="NI200" s="1009"/>
      <c r="NJ200" s="1009"/>
      <c r="NK200" s="1009"/>
      <c r="NL200" s="1009"/>
      <c r="NM200" s="1009"/>
      <c r="NN200" s="1009"/>
      <c r="NO200" s="1009"/>
      <c r="NP200" s="1009"/>
      <c r="NQ200" s="1009"/>
      <c r="NR200" s="1009"/>
      <c r="NS200" s="1009"/>
      <c r="NT200" s="1009"/>
      <c r="NU200" s="1009"/>
      <c r="NV200" s="1009"/>
      <c r="NW200" s="1009"/>
      <c r="NX200" s="1009"/>
      <c r="NY200" s="1009"/>
      <c r="NZ200" s="1009"/>
      <c r="OA200" s="1009"/>
      <c r="OB200" s="1009"/>
      <c r="OC200" s="1009"/>
      <c r="OD200" s="1009"/>
      <c r="OE200" s="1009"/>
      <c r="OF200" s="1009"/>
      <c r="OG200" s="1009"/>
      <c r="OH200" s="1009"/>
      <c r="OI200" s="1009"/>
      <c r="OJ200" s="1009"/>
      <c r="OK200" s="1009"/>
      <c r="OL200" s="1009"/>
      <c r="OM200" s="1009"/>
      <c r="ON200" s="1009"/>
      <c r="OO200" s="1009"/>
      <c r="OP200" s="1009"/>
      <c r="OQ200" s="1009"/>
      <c r="OR200" s="1009"/>
      <c r="OS200" s="1009"/>
      <c r="OT200" s="1009"/>
      <c r="OU200" s="1009"/>
      <c r="OV200" s="1009"/>
      <c r="OW200" s="1009"/>
      <c r="OX200" s="1009"/>
      <c r="OY200" s="1009"/>
      <c r="OZ200" s="1009"/>
      <c r="PA200" s="1009"/>
      <c r="PB200" s="1009"/>
      <c r="PC200" s="1009"/>
      <c r="PD200" s="1009"/>
      <c r="PE200" s="1009"/>
      <c r="PF200" s="1009"/>
      <c r="PG200" s="1009"/>
      <c r="PH200" s="1009"/>
      <c r="PI200" s="1009"/>
      <c r="PJ200" s="1009"/>
      <c r="PK200" s="1009"/>
      <c r="PL200" s="1009"/>
      <c r="PM200" s="1009"/>
      <c r="PN200" s="1009"/>
      <c r="PO200" s="1009"/>
      <c r="PP200" s="1009"/>
      <c r="PQ200" s="1009"/>
      <c r="PR200" s="1009"/>
      <c r="PS200" s="1009"/>
      <c r="PT200" s="1009"/>
      <c r="PU200" s="1009"/>
      <c r="PV200" s="1009"/>
      <c r="PW200" s="1009"/>
      <c r="PX200" s="1009"/>
      <c r="PY200" s="1009"/>
      <c r="PZ200" s="1009"/>
      <c r="QA200" s="1009"/>
      <c r="QB200" s="1009"/>
      <c r="QC200" s="1009"/>
      <c r="QD200" s="1009"/>
      <c r="QE200" s="1009"/>
      <c r="QF200" s="1009"/>
      <c r="QG200" s="1009"/>
      <c r="QH200" s="1009"/>
      <c r="QI200" s="1009"/>
      <c r="QJ200" s="1009"/>
      <c r="QK200" s="1009"/>
      <c r="QL200" s="1009"/>
      <c r="QM200" s="1009"/>
      <c r="QN200" s="1009"/>
      <c r="QO200" s="1009"/>
      <c r="QP200" s="1009"/>
      <c r="QQ200" s="1009"/>
      <c r="QR200" s="1009"/>
      <c r="QS200" s="1009"/>
      <c r="QT200" s="1009"/>
      <c r="QU200" s="1009"/>
      <c r="QV200" s="1009"/>
      <c r="QW200" s="1009"/>
      <c r="QX200" s="1009"/>
      <c r="QY200" s="1009"/>
      <c r="QZ200" s="1009"/>
      <c r="RA200" s="1009"/>
      <c r="RB200" s="1009"/>
      <c r="RC200" s="1009"/>
      <c r="RD200" s="1009"/>
      <c r="RE200" s="1009"/>
      <c r="RF200" s="1009"/>
      <c r="RG200" s="1009"/>
      <c r="RH200" s="1009"/>
      <c r="RI200" s="1009"/>
      <c r="RJ200" s="1009"/>
      <c r="RK200" s="1009"/>
      <c r="RL200" s="1009"/>
      <c r="RM200" s="1009"/>
      <c r="RN200" s="1009"/>
      <c r="RO200" s="1009"/>
      <c r="RP200" s="1009"/>
      <c r="RQ200" s="1009"/>
      <c r="RR200" s="1009"/>
      <c r="RS200" s="1009"/>
      <c r="RT200" s="1009"/>
      <c r="RU200" s="1009"/>
      <c r="RV200" s="1009"/>
      <c r="RW200" s="1009"/>
      <c r="RX200" s="1009"/>
      <c r="RY200" s="1009"/>
      <c r="RZ200" s="1009"/>
      <c r="SA200" s="1009"/>
      <c r="SB200" s="1009"/>
      <c r="SC200" s="1009"/>
      <c r="SD200" s="1009"/>
      <c r="SE200" s="1009"/>
      <c r="SF200" s="1009"/>
      <c r="SG200" s="1009"/>
      <c r="SH200" s="1009"/>
      <c r="SI200" s="1009"/>
      <c r="SJ200" s="1009"/>
      <c r="SK200" s="1009"/>
      <c r="SL200" s="1009"/>
      <c r="SM200" s="1009"/>
      <c r="SN200" s="1009"/>
      <c r="SO200" s="1009"/>
      <c r="SP200" s="1009"/>
      <c r="SQ200" s="1009"/>
      <c r="SR200" s="1009"/>
      <c r="SS200" s="1009"/>
      <c r="ST200" s="1009"/>
      <c r="SU200" s="1009"/>
      <c r="SV200" s="1009"/>
      <c r="SW200" s="1009"/>
      <c r="SX200" s="1009"/>
      <c r="SY200" s="1009"/>
      <c r="SZ200" s="1009"/>
      <c r="TA200" s="1009"/>
      <c r="TB200" s="1009"/>
      <c r="TC200" s="1009"/>
      <c r="TD200" s="1009"/>
      <c r="TE200" s="1009"/>
      <c r="TF200" s="1009"/>
      <c r="TG200" s="1009"/>
      <c r="TH200" s="1009"/>
      <c r="TI200" s="1009"/>
      <c r="TJ200" s="1009"/>
      <c r="TK200" s="1009"/>
      <c r="TL200" s="1009"/>
      <c r="TM200" s="1009"/>
      <c r="TN200" s="1009"/>
      <c r="TO200" s="1009"/>
      <c r="TP200" s="1009"/>
      <c r="TQ200" s="1009"/>
      <c r="TR200" s="1009"/>
      <c r="TS200" s="1009"/>
      <c r="TT200" s="1009"/>
      <c r="TU200" s="1009"/>
      <c r="TV200" s="1009"/>
      <c r="TW200" s="1009"/>
      <c r="TX200" s="1009"/>
      <c r="TY200" s="1009"/>
      <c r="TZ200" s="1009"/>
      <c r="UA200" s="1009"/>
      <c r="UB200" s="1009"/>
      <c r="UC200" s="1009"/>
      <c r="UD200" s="1009"/>
      <c r="UE200" s="1009"/>
      <c r="UF200" s="1009"/>
      <c r="UG200" s="1009"/>
      <c r="UH200" s="1009"/>
      <c r="UI200" s="1009"/>
      <c r="UJ200" s="1009"/>
      <c r="UK200" s="1009"/>
      <c r="UL200" s="1009"/>
      <c r="UM200" s="1009"/>
      <c r="UN200" s="1009"/>
      <c r="UO200" s="1009"/>
      <c r="UP200" s="1009"/>
      <c r="UQ200" s="1009"/>
      <c r="UR200" s="1009"/>
      <c r="US200" s="1009"/>
      <c r="UT200" s="1009"/>
      <c r="UU200" s="1009"/>
      <c r="UV200" s="1009"/>
      <c r="UW200" s="1009"/>
      <c r="UX200" s="1009"/>
      <c r="UY200" s="1009"/>
      <c r="UZ200" s="1009"/>
      <c r="VA200" s="1009"/>
      <c r="VB200" s="1009"/>
      <c r="VC200" s="1009"/>
      <c r="VD200" s="1009"/>
      <c r="VE200" s="1009"/>
      <c r="VF200" s="1009"/>
      <c r="VG200" s="1009"/>
      <c r="VH200" s="1009"/>
      <c r="VI200" s="1009"/>
      <c r="VJ200" s="1009"/>
      <c r="VK200" s="1009"/>
      <c r="VL200" s="1009"/>
      <c r="VM200" s="1009"/>
      <c r="VN200" s="1009"/>
      <c r="VO200" s="1009"/>
      <c r="VP200" s="1009"/>
      <c r="VQ200" s="1009"/>
      <c r="VR200" s="1009"/>
      <c r="VS200" s="1009"/>
      <c r="VT200" s="1009"/>
      <c r="VU200" s="1009"/>
      <c r="VV200" s="1009"/>
      <c r="VW200" s="1009"/>
      <c r="VX200" s="1009"/>
      <c r="VY200" s="1009"/>
      <c r="VZ200" s="1009"/>
      <c r="WA200" s="1009"/>
      <c r="WB200" s="1009"/>
      <c r="WC200" s="1009"/>
      <c r="WD200" s="1009"/>
      <c r="WE200" s="1009"/>
      <c r="WF200" s="1009"/>
      <c r="WG200" s="1009"/>
      <c r="WH200" s="1009"/>
      <c r="WI200" s="1009"/>
      <c r="WJ200" s="1009"/>
      <c r="WK200" s="1009"/>
      <c r="WL200" s="1009"/>
      <c r="WM200" s="1009"/>
      <c r="WN200" s="1009"/>
      <c r="WO200" s="1009"/>
      <c r="WP200" s="1009"/>
      <c r="WQ200" s="1009"/>
      <c r="WR200" s="1009"/>
      <c r="WS200" s="1009"/>
      <c r="WT200" s="1009"/>
      <c r="WU200" s="1009"/>
      <c r="WV200" s="1009"/>
      <c r="WW200" s="1009"/>
      <c r="WX200" s="1009"/>
      <c r="WY200" s="1009"/>
      <c r="WZ200" s="1009"/>
      <c r="XA200" s="1009"/>
      <c r="XB200" s="1009"/>
      <c r="XC200" s="1009"/>
      <c r="XD200" s="1009"/>
      <c r="XE200" s="1009"/>
      <c r="XF200" s="1009"/>
      <c r="XG200" s="1009"/>
      <c r="XH200" s="1009"/>
      <c r="XI200" s="1009"/>
      <c r="XJ200" s="1009"/>
      <c r="XK200" s="1009"/>
      <c r="XL200" s="1009"/>
      <c r="XM200" s="1009"/>
      <c r="XN200" s="1009"/>
      <c r="XO200" s="1009"/>
      <c r="XP200" s="1009"/>
      <c r="XQ200" s="1009"/>
      <c r="XR200" s="1009"/>
      <c r="XS200" s="1009"/>
      <c r="XT200" s="1009"/>
      <c r="XU200" s="1009"/>
      <c r="XV200" s="1009"/>
      <c r="XW200" s="1009"/>
      <c r="XX200" s="1009"/>
      <c r="XY200" s="1009"/>
      <c r="XZ200" s="1009"/>
      <c r="YA200" s="1009"/>
      <c r="YB200" s="1009"/>
      <c r="YC200" s="1009"/>
      <c r="YD200" s="1009"/>
      <c r="YE200" s="1009"/>
      <c r="YF200" s="1009"/>
      <c r="YG200" s="1009"/>
      <c r="YH200" s="1009"/>
      <c r="YI200" s="1009"/>
      <c r="YJ200" s="1009"/>
      <c r="YK200" s="1009"/>
      <c r="YL200" s="1009"/>
      <c r="YM200" s="1009"/>
      <c r="YN200" s="1009"/>
      <c r="YO200" s="1009"/>
      <c r="YP200" s="1009"/>
      <c r="YQ200" s="1009"/>
      <c r="YR200" s="1009"/>
      <c r="YS200" s="1009"/>
      <c r="YT200" s="1009"/>
      <c r="YU200" s="1009"/>
      <c r="YV200" s="1009"/>
      <c r="YW200" s="1009"/>
      <c r="YX200" s="1009"/>
      <c r="YY200" s="1009"/>
      <c r="YZ200" s="1009"/>
      <c r="ZA200" s="1009"/>
      <c r="ZB200" s="1009"/>
      <c r="ZC200" s="1009"/>
      <c r="ZD200" s="1009"/>
      <c r="ZE200" s="1009"/>
      <c r="ZF200" s="1009"/>
      <c r="ZG200" s="1009"/>
      <c r="ZH200" s="1009"/>
      <c r="ZI200" s="1009"/>
      <c r="ZJ200" s="1009"/>
      <c r="ZK200" s="1009"/>
      <c r="ZL200" s="1009"/>
      <c r="ZM200" s="1009"/>
      <c r="ZN200" s="1009"/>
      <c r="ZO200" s="1009"/>
      <c r="ZP200" s="1009"/>
      <c r="ZQ200" s="1009"/>
      <c r="ZR200" s="1009"/>
      <c r="ZS200" s="1009"/>
      <c r="ZT200" s="1009"/>
      <c r="ZU200" s="1009"/>
      <c r="ZV200" s="1009"/>
      <c r="ZW200" s="1009"/>
      <c r="ZX200" s="1009"/>
      <c r="ZY200" s="1009"/>
      <c r="ZZ200" s="1009"/>
      <c r="AAA200" s="1009"/>
      <c r="AAB200" s="1009"/>
      <c r="AAC200" s="1009"/>
      <c r="AAD200" s="1009"/>
      <c r="AAE200" s="1009"/>
      <c r="AAF200" s="1009"/>
      <c r="AAG200" s="1009"/>
      <c r="AAH200" s="1009"/>
      <c r="AAI200" s="1009"/>
      <c r="AAJ200" s="1009"/>
      <c r="AAK200" s="1009"/>
      <c r="AAL200" s="1009"/>
      <c r="AAM200" s="1009"/>
      <c r="AAN200" s="1009"/>
      <c r="AAO200" s="1009"/>
      <c r="AAP200" s="1009"/>
      <c r="AAQ200" s="1009"/>
      <c r="AAR200" s="1009"/>
      <c r="AAS200" s="1009"/>
      <c r="AAT200" s="1009"/>
      <c r="AAU200" s="1009"/>
      <c r="AAV200" s="1009"/>
      <c r="AAW200" s="1009"/>
      <c r="AAX200" s="1009"/>
      <c r="AAY200" s="1009"/>
      <c r="AAZ200" s="1009"/>
      <c r="ABA200" s="1009"/>
      <c r="ABB200" s="1009"/>
      <c r="ABC200" s="1009"/>
      <c r="ABD200" s="1009"/>
      <c r="ABE200" s="1009"/>
      <c r="ABF200" s="1009"/>
      <c r="ABG200" s="1009"/>
      <c r="ABH200" s="1009"/>
      <c r="ABI200" s="1009"/>
      <c r="ABJ200" s="1009"/>
      <c r="ABK200" s="1009"/>
      <c r="ABL200" s="1009"/>
      <c r="ABM200" s="1009"/>
      <c r="ABN200" s="1009"/>
      <c r="ABO200" s="1009"/>
      <c r="ABP200" s="1009"/>
      <c r="ABQ200" s="1009"/>
      <c r="ABR200" s="1009"/>
    </row>
    <row r="201" spans="1:746" s="111" customFormat="1" ht="12.75" customHeight="1">
      <c r="A201" s="924"/>
      <c r="B201" s="356" t="s">
        <v>780</v>
      </c>
      <c r="C201" s="2474"/>
      <c r="D201" s="136"/>
      <c r="E201" s="3028"/>
      <c r="F201" s="3029"/>
      <c r="G201" s="3030"/>
      <c r="H201" s="2548" t="s">
        <v>1334</v>
      </c>
      <c r="I201" s="374">
        <f>fx!I353</f>
        <v>0</v>
      </c>
      <c r="J201" s="374">
        <f>fx!J353</f>
        <v>0</v>
      </c>
      <c r="K201" s="374">
        <f>fx!K353</f>
        <v>0</v>
      </c>
      <c r="L201" s="374">
        <f>fx!L353</f>
        <v>0</v>
      </c>
      <c r="M201" s="374">
        <f>fx!M353</f>
        <v>0</v>
      </c>
      <c r="N201" s="374">
        <f>fx!N353</f>
        <v>0</v>
      </c>
      <c r="O201" s="374">
        <f>fx!O353</f>
        <v>0</v>
      </c>
      <c r="P201" s="374">
        <f>fx!P353</f>
        <v>0</v>
      </c>
      <c r="Q201" s="374">
        <f>fx!Q353</f>
        <v>0</v>
      </c>
      <c r="R201" s="374">
        <f>fx!R353</f>
        <v>0</v>
      </c>
      <c r="S201" s="374">
        <f>fx!S353</f>
        <v>0</v>
      </c>
      <c r="T201" s="374">
        <f>fx!T353</f>
        <v>0</v>
      </c>
      <c r="U201" s="374">
        <f>fx!U353</f>
        <v>0</v>
      </c>
      <c r="V201" s="374">
        <f>fx!V353</f>
        <v>0</v>
      </c>
      <c r="W201" s="374">
        <f>fx!W353</f>
        <v>0</v>
      </c>
      <c r="X201" s="374">
        <f>fx!X353</f>
        <v>0</v>
      </c>
      <c r="Y201" s="374">
        <f>fx!Y353</f>
        <v>0</v>
      </c>
      <c r="Z201" s="374">
        <f>fx!Z353</f>
        <v>0</v>
      </c>
      <c r="AA201" s="374">
        <f>fx!AA353</f>
        <v>0</v>
      </c>
      <c r="AB201" s="374">
        <f>fx!AB353</f>
        <v>0</v>
      </c>
      <c r="AC201" s="374">
        <f>fx!AC353</f>
        <v>0</v>
      </c>
      <c r="AD201" s="374">
        <f>fx!AD353</f>
        <v>0</v>
      </c>
      <c r="AE201" s="374">
        <f>fx!AE353</f>
        <v>0</v>
      </c>
      <c r="AF201" s="374">
        <f>fx!AF353</f>
        <v>0</v>
      </c>
      <c r="AG201" s="376"/>
      <c r="AH201" s="359"/>
      <c r="AI201" s="769"/>
      <c r="AJ201" s="770">
        <f>IF(fx!$C$57=1,T201,IF(fx!$C$57=2,AF201))</f>
        <v>0</v>
      </c>
      <c r="AK201" s="774"/>
      <c r="AL201" s="771">
        <f>IF(fx!$C$57=1,AF201,0)</f>
        <v>0</v>
      </c>
      <c r="AM201" s="1009"/>
      <c r="AN201" s="1009"/>
      <c r="AO201" s="1945"/>
      <c r="AP201" s="1935"/>
      <c r="AQ201" s="1936"/>
      <c r="AR201" s="1941"/>
      <c r="AS201" s="1941"/>
      <c r="AT201" s="1941"/>
      <c r="AU201" s="1941"/>
      <c r="AV201" s="1941"/>
      <c r="AW201" s="1941"/>
      <c r="AX201" s="1941"/>
      <c r="AY201" s="1941"/>
      <c r="AZ201" s="1941"/>
      <c r="BA201" s="1941"/>
      <c r="BB201" s="1941"/>
      <c r="BC201" s="1941"/>
      <c r="BD201" s="1941"/>
      <c r="BE201" s="1941"/>
      <c r="BF201" s="1941"/>
      <c r="BG201" s="1941"/>
      <c r="BH201" s="1941"/>
      <c r="BI201" s="1941"/>
      <c r="BJ201" s="1941"/>
      <c r="BK201" s="1941"/>
      <c r="BL201" s="1941"/>
      <c r="BM201" s="1941"/>
      <c r="BN201" s="1941"/>
      <c r="BO201" s="1941"/>
      <c r="BP201" s="1009"/>
      <c r="BQ201" s="1009"/>
      <c r="BR201" s="1009"/>
      <c r="BS201" s="1009"/>
      <c r="BT201" s="1009"/>
      <c r="BU201" s="1009"/>
      <c r="BV201" s="1009"/>
      <c r="BW201" s="1009"/>
      <c r="BX201" s="1009"/>
      <c r="BY201" s="1009"/>
      <c r="BZ201" s="1009"/>
      <c r="CA201" s="1009"/>
      <c r="CB201" s="1009"/>
      <c r="CC201" s="1009"/>
      <c r="CD201" s="1009"/>
      <c r="CE201" s="1009"/>
      <c r="CF201" s="1009"/>
      <c r="CG201" s="1009"/>
      <c r="CH201" s="1009"/>
      <c r="CI201" s="1009"/>
      <c r="CJ201" s="1009"/>
      <c r="CK201" s="1009"/>
      <c r="CL201" s="1009"/>
      <c r="CM201" s="1009"/>
      <c r="CN201" s="1009"/>
      <c r="CO201" s="1009"/>
      <c r="CP201" s="1009"/>
      <c r="CQ201" s="1009"/>
      <c r="CR201" s="1009"/>
      <c r="CS201" s="1009"/>
      <c r="CT201" s="1009"/>
      <c r="CU201" s="1009"/>
      <c r="CV201" s="1009"/>
      <c r="CW201" s="1009"/>
      <c r="CX201" s="1009"/>
      <c r="CY201" s="1009"/>
      <c r="CZ201" s="1009"/>
      <c r="DA201" s="1009"/>
      <c r="DB201" s="1009"/>
      <c r="DC201" s="1009"/>
      <c r="DD201" s="1009"/>
      <c r="DE201" s="1009"/>
      <c r="DF201" s="1009"/>
      <c r="DG201" s="1009"/>
      <c r="DH201" s="1009"/>
      <c r="DI201" s="1009"/>
      <c r="DJ201" s="1009"/>
      <c r="DK201" s="1009"/>
      <c r="DL201" s="1009"/>
      <c r="DM201" s="1009"/>
      <c r="DN201" s="1009"/>
      <c r="DO201" s="1009"/>
      <c r="DP201" s="1009"/>
      <c r="DQ201" s="1009"/>
      <c r="DR201" s="1009"/>
      <c r="DS201" s="1009"/>
      <c r="DT201" s="1009"/>
      <c r="DU201" s="1009"/>
      <c r="DV201" s="1009"/>
      <c r="DW201" s="1009"/>
      <c r="DX201" s="1009"/>
      <c r="DY201" s="1009"/>
      <c r="DZ201" s="1009"/>
      <c r="EA201" s="1009"/>
      <c r="EB201" s="1009"/>
      <c r="EC201" s="1009"/>
      <c r="ED201" s="1009"/>
      <c r="EE201" s="1009"/>
      <c r="EF201" s="1009"/>
      <c r="EG201" s="1009"/>
      <c r="EH201" s="1009"/>
      <c r="EI201" s="1009"/>
      <c r="EJ201" s="1009"/>
      <c r="EK201" s="1009"/>
      <c r="EL201" s="1009"/>
      <c r="EM201" s="1009"/>
      <c r="EN201" s="1009"/>
      <c r="EO201" s="1009"/>
      <c r="EP201" s="1009"/>
      <c r="EQ201" s="1009"/>
      <c r="ER201" s="1009"/>
      <c r="ES201" s="1009"/>
      <c r="ET201" s="1009"/>
      <c r="EU201" s="1009"/>
      <c r="EV201" s="1009"/>
      <c r="EW201" s="1009"/>
      <c r="EX201" s="1009"/>
      <c r="EY201" s="1009"/>
      <c r="EZ201" s="1009"/>
      <c r="FA201" s="1009"/>
      <c r="FB201" s="1009"/>
      <c r="FC201" s="1009"/>
      <c r="FD201" s="1009"/>
      <c r="FE201" s="1009"/>
      <c r="FF201" s="1009"/>
      <c r="FG201" s="1009"/>
      <c r="FH201" s="1009"/>
      <c r="FI201" s="1009"/>
      <c r="FJ201" s="1009"/>
      <c r="FK201" s="1009"/>
      <c r="FL201" s="1009"/>
      <c r="FM201" s="1009"/>
      <c r="FN201" s="1009"/>
      <c r="FO201" s="1009"/>
      <c r="FP201" s="1009"/>
      <c r="FQ201" s="1009"/>
      <c r="FR201" s="1009"/>
      <c r="FS201" s="1009"/>
      <c r="FT201" s="1009"/>
      <c r="FU201" s="1009"/>
      <c r="FV201" s="1009"/>
      <c r="FW201" s="1009"/>
      <c r="FX201" s="1009"/>
      <c r="FY201" s="1009"/>
      <c r="FZ201" s="1009"/>
      <c r="GA201" s="1009"/>
      <c r="GB201" s="1009"/>
      <c r="GC201" s="1009"/>
      <c r="GD201" s="1009"/>
      <c r="GE201" s="1009"/>
      <c r="GF201" s="1009"/>
      <c r="GG201" s="1009"/>
      <c r="GH201" s="1009"/>
      <c r="GI201" s="1009"/>
      <c r="GJ201" s="1009"/>
      <c r="GK201" s="1009"/>
      <c r="GL201" s="1009"/>
      <c r="GM201" s="1009"/>
      <c r="GN201" s="1009"/>
      <c r="GO201" s="1009"/>
      <c r="GP201" s="1009"/>
      <c r="GQ201" s="1009"/>
      <c r="GR201" s="1009"/>
      <c r="GS201" s="1009"/>
      <c r="GT201" s="1009"/>
      <c r="GU201" s="1009"/>
      <c r="GV201" s="1009"/>
      <c r="GW201" s="1009"/>
      <c r="GX201" s="1009"/>
      <c r="GY201" s="1009"/>
      <c r="GZ201" s="1009"/>
      <c r="HA201" s="1009"/>
      <c r="HB201" s="1009"/>
      <c r="HC201" s="1009"/>
      <c r="HD201" s="1009"/>
      <c r="HE201" s="1009"/>
      <c r="HF201" s="1009"/>
      <c r="HG201" s="1009"/>
      <c r="HH201" s="1009"/>
      <c r="HI201" s="1009"/>
      <c r="HJ201" s="1009"/>
      <c r="HK201" s="1009"/>
      <c r="HL201" s="1009"/>
      <c r="HM201" s="1009"/>
      <c r="HN201" s="1009"/>
      <c r="HO201" s="1009"/>
      <c r="HP201" s="1009"/>
      <c r="HQ201" s="1009"/>
      <c r="HR201" s="1009"/>
      <c r="HS201" s="1009"/>
      <c r="HT201" s="1009"/>
      <c r="HU201" s="1009"/>
      <c r="HV201" s="1009"/>
      <c r="HW201" s="1009"/>
      <c r="HX201" s="1009"/>
      <c r="HY201" s="1009"/>
      <c r="HZ201" s="1009"/>
      <c r="IA201" s="1009"/>
      <c r="IB201" s="1009"/>
      <c r="IC201" s="1009"/>
      <c r="ID201" s="1009"/>
      <c r="IE201" s="1009"/>
      <c r="IF201" s="1009"/>
      <c r="IG201" s="1009"/>
      <c r="IH201" s="1009"/>
      <c r="II201" s="1009"/>
      <c r="IJ201" s="1009"/>
      <c r="IK201" s="1009"/>
      <c r="IL201" s="1009"/>
      <c r="IM201" s="1009"/>
      <c r="IN201" s="1009"/>
      <c r="IO201" s="1009"/>
      <c r="IP201" s="1009"/>
      <c r="IQ201" s="1009"/>
      <c r="IR201" s="1009"/>
      <c r="IS201" s="1009"/>
      <c r="IT201" s="1009"/>
      <c r="IU201" s="1009"/>
      <c r="IV201" s="1009"/>
      <c r="IW201" s="1009"/>
      <c r="IX201" s="1009"/>
      <c r="IY201" s="1009"/>
      <c r="IZ201" s="1009"/>
      <c r="JA201" s="1009"/>
      <c r="JB201" s="1009"/>
      <c r="JC201" s="1009"/>
      <c r="JD201" s="1009"/>
      <c r="JE201" s="1009"/>
      <c r="JF201" s="1009"/>
      <c r="JG201" s="1009"/>
      <c r="JH201" s="1009"/>
      <c r="JI201" s="1009"/>
      <c r="JJ201" s="1009"/>
      <c r="JK201" s="1009"/>
      <c r="JL201" s="1009"/>
      <c r="JM201" s="1009"/>
      <c r="JN201" s="1009"/>
      <c r="JO201" s="1009"/>
      <c r="JP201" s="1009"/>
      <c r="JQ201" s="1009"/>
      <c r="JR201" s="1009"/>
      <c r="JS201" s="1009"/>
      <c r="JT201" s="1009"/>
      <c r="JU201" s="1009"/>
      <c r="JV201" s="1009"/>
      <c r="JW201" s="1009"/>
      <c r="JX201" s="1009"/>
      <c r="JY201" s="1009"/>
      <c r="JZ201" s="1009"/>
      <c r="KA201" s="1009"/>
      <c r="KB201" s="1009"/>
      <c r="KC201" s="1009"/>
      <c r="KD201" s="1009"/>
      <c r="KE201" s="1009"/>
      <c r="KF201" s="1009"/>
      <c r="KG201" s="1009"/>
      <c r="KH201" s="1009"/>
      <c r="KI201" s="1009"/>
      <c r="KJ201" s="1009"/>
      <c r="KK201" s="1009"/>
      <c r="KL201" s="1009"/>
      <c r="KM201" s="1009"/>
      <c r="KN201" s="1009"/>
      <c r="KO201" s="1009"/>
      <c r="KP201" s="1009"/>
      <c r="KQ201" s="1009"/>
      <c r="KR201" s="1009"/>
      <c r="KS201" s="1009"/>
      <c r="KT201" s="1009"/>
      <c r="KU201" s="1009"/>
      <c r="KV201" s="1009"/>
      <c r="KW201" s="1009"/>
      <c r="KX201" s="1009"/>
      <c r="KY201" s="1009"/>
      <c r="KZ201" s="1009"/>
      <c r="LA201" s="1009"/>
      <c r="LB201" s="1009"/>
      <c r="LC201" s="1009"/>
      <c r="LD201" s="1009"/>
      <c r="LE201" s="1009"/>
      <c r="LF201" s="1009"/>
      <c r="LG201" s="1009"/>
      <c r="LH201" s="1009"/>
      <c r="LI201" s="1009"/>
      <c r="LJ201" s="1009"/>
      <c r="LK201" s="1009"/>
      <c r="LL201" s="1009"/>
      <c r="LM201" s="1009"/>
      <c r="LN201" s="1009"/>
      <c r="LO201" s="1009"/>
      <c r="LP201" s="1009"/>
      <c r="LQ201" s="1009"/>
      <c r="LR201" s="1009"/>
      <c r="LS201" s="1009"/>
      <c r="LT201" s="1009"/>
      <c r="LU201" s="1009"/>
      <c r="LV201" s="1009"/>
      <c r="LW201" s="1009"/>
      <c r="LX201" s="1009"/>
      <c r="LY201" s="1009"/>
      <c r="LZ201" s="1009"/>
      <c r="MA201" s="1009"/>
      <c r="MB201" s="1009"/>
      <c r="MC201" s="1009"/>
      <c r="MD201" s="1009"/>
      <c r="ME201" s="1009"/>
      <c r="MF201" s="1009"/>
      <c r="MG201" s="1009"/>
      <c r="MH201" s="1009"/>
      <c r="MI201" s="1009"/>
      <c r="MJ201" s="1009"/>
      <c r="MK201" s="1009"/>
      <c r="ML201" s="1009"/>
      <c r="MM201" s="1009"/>
      <c r="MN201" s="1009"/>
      <c r="MO201" s="1009"/>
      <c r="MP201" s="1009"/>
      <c r="MQ201" s="1009"/>
      <c r="MR201" s="1009"/>
      <c r="MS201" s="1009"/>
      <c r="MT201" s="1009"/>
      <c r="MU201" s="1009"/>
      <c r="MV201" s="1009"/>
      <c r="MW201" s="1009"/>
      <c r="MX201" s="1009"/>
      <c r="MY201" s="1009"/>
      <c r="MZ201" s="1009"/>
      <c r="NA201" s="1009"/>
      <c r="NB201" s="1009"/>
      <c r="NC201" s="1009"/>
      <c r="ND201" s="1009"/>
      <c r="NE201" s="1009"/>
      <c r="NF201" s="1009"/>
      <c r="NG201" s="1009"/>
      <c r="NH201" s="1009"/>
      <c r="NI201" s="1009"/>
      <c r="NJ201" s="1009"/>
      <c r="NK201" s="1009"/>
      <c r="NL201" s="1009"/>
      <c r="NM201" s="1009"/>
      <c r="NN201" s="1009"/>
      <c r="NO201" s="1009"/>
      <c r="NP201" s="1009"/>
      <c r="NQ201" s="1009"/>
      <c r="NR201" s="1009"/>
      <c r="NS201" s="1009"/>
      <c r="NT201" s="1009"/>
      <c r="NU201" s="1009"/>
      <c r="NV201" s="1009"/>
      <c r="NW201" s="1009"/>
      <c r="NX201" s="1009"/>
      <c r="NY201" s="1009"/>
      <c r="NZ201" s="1009"/>
      <c r="OA201" s="1009"/>
      <c r="OB201" s="1009"/>
      <c r="OC201" s="1009"/>
      <c r="OD201" s="1009"/>
      <c r="OE201" s="1009"/>
      <c r="OF201" s="1009"/>
      <c r="OG201" s="1009"/>
      <c r="OH201" s="1009"/>
      <c r="OI201" s="1009"/>
      <c r="OJ201" s="1009"/>
      <c r="OK201" s="1009"/>
      <c r="OL201" s="1009"/>
      <c r="OM201" s="1009"/>
      <c r="ON201" s="1009"/>
      <c r="OO201" s="1009"/>
      <c r="OP201" s="1009"/>
      <c r="OQ201" s="1009"/>
      <c r="OR201" s="1009"/>
      <c r="OS201" s="1009"/>
      <c r="OT201" s="1009"/>
      <c r="OU201" s="1009"/>
      <c r="OV201" s="1009"/>
      <c r="OW201" s="1009"/>
      <c r="OX201" s="1009"/>
      <c r="OY201" s="1009"/>
      <c r="OZ201" s="1009"/>
      <c r="PA201" s="1009"/>
      <c r="PB201" s="1009"/>
      <c r="PC201" s="1009"/>
      <c r="PD201" s="1009"/>
      <c r="PE201" s="1009"/>
      <c r="PF201" s="1009"/>
      <c r="PG201" s="1009"/>
      <c r="PH201" s="1009"/>
      <c r="PI201" s="1009"/>
      <c r="PJ201" s="1009"/>
      <c r="PK201" s="1009"/>
      <c r="PL201" s="1009"/>
      <c r="PM201" s="1009"/>
      <c r="PN201" s="1009"/>
      <c r="PO201" s="1009"/>
      <c r="PP201" s="1009"/>
      <c r="PQ201" s="1009"/>
      <c r="PR201" s="1009"/>
      <c r="PS201" s="1009"/>
      <c r="PT201" s="1009"/>
      <c r="PU201" s="1009"/>
      <c r="PV201" s="1009"/>
      <c r="PW201" s="1009"/>
      <c r="PX201" s="1009"/>
      <c r="PY201" s="1009"/>
      <c r="PZ201" s="1009"/>
      <c r="QA201" s="1009"/>
      <c r="QB201" s="1009"/>
      <c r="QC201" s="1009"/>
      <c r="QD201" s="1009"/>
      <c r="QE201" s="1009"/>
      <c r="QF201" s="1009"/>
      <c r="QG201" s="1009"/>
      <c r="QH201" s="1009"/>
      <c r="QI201" s="1009"/>
      <c r="QJ201" s="1009"/>
      <c r="QK201" s="1009"/>
      <c r="QL201" s="1009"/>
      <c r="QM201" s="1009"/>
      <c r="QN201" s="1009"/>
      <c r="QO201" s="1009"/>
      <c r="QP201" s="1009"/>
      <c r="QQ201" s="1009"/>
      <c r="QR201" s="1009"/>
      <c r="QS201" s="1009"/>
      <c r="QT201" s="1009"/>
      <c r="QU201" s="1009"/>
      <c r="QV201" s="1009"/>
      <c r="QW201" s="1009"/>
      <c r="QX201" s="1009"/>
      <c r="QY201" s="1009"/>
      <c r="QZ201" s="1009"/>
      <c r="RA201" s="1009"/>
      <c r="RB201" s="1009"/>
      <c r="RC201" s="1009"/>
      <c r="RD201" s="1009"/>
      <c r="RE201" s="1009"/>
      <c r="RF201" s="1009"/>
      <c r="RG201" s="1009"/>
      <c r="RH201" s="1009"/>
      <c r="RI201" s="1009"/>
      <c r="RJ201" s="1009"/>
      <c r="RK201" s="1009"/>
      <c r="RL201" s="1009"/>
      <c r="RM201" s="1009"/>
      <c r="RN201" s="1009"/>
      <c r="RO201" s="1009"/>
      <c r="RP201" s="1009"/>
      <c r="RQ201" s="1009"/>
      <c r="RR201" s="1009"/>
      <c r="RS201" s="1009"/>
      <c r="RT201" s="1009"/>
      <c r="RU201" s="1009"/>
      <c r="RV201" s="1009"/>
      <c r="RW201" s="1009"/>
      <c r="RX201" s="1009"/>
      <c r="RY201" s="1009"/>
      <c r="RZ201" s="1009"/>
      <c r="SA201" s="1009"/>
      <c r="SB201" s="1009"/>
      <c r="SC201" s="1009"/>
      <c r="SD201" s="1009"/>
      <c r="SE201" s="1009"/>
      <c r="SF201" s="1009"/>
      <c r="SG201" s="1009"/>
      <c r="SH201" s="1009"/>
      <c r="SI201" s="1009"/>
      <c r="SJ201" s="1009"/>
      <c r="SK201" s="1009"/>
      <c r="SL201" s="1009"/>
      <c r="SM201" s="1009"/>
      <c r="SN201" s="1009"/>
      <c r="SO201" s="1009"/>
      <c r="SP201" s="1009"/>
      <c r="SQ201" s="1009"/>
      <c r="SR201" s="1009"/>
      <c r="SS201" s="1009"/>
      <c r="ST201" s="1009"/>
      <c r="SU201" s="1009"/>
      <c r="SV201" s="1009"/>
      <c r="SW201" s="1009"/>
      <c r="SX201" s="1009"/>
      <c r="SY201" s="1009"/>
      <c r="SZ201" s="1009"/>
      <c r="TA201" s="1009"/>
      <c r="TB201" s="1009"/>
      <c r="TC201" s="1009"/>
      <c r="TD201" s="1009"/>
      <c r="TE201" s="1009"/>
      <c r="TF201" s="1009"/>
      <c r="TG201" s="1009"/>
      <c r="TH201" s="1009"/>
      <c r="TI201" s="1009"/>
      <c r="TJ201" s="1009"/>
      <c r="TK201" s="1009"/>
      <c r="TL201" s="1009"/>
      <c r="TM201" s="1009"/>
      <c r="TN201" s="1009"/>
      <c r="TO201" s="1009"/>
      <c r="TP201" s="1009"/>
      <c r="TQ201" s="1009"/>
      <c r="TR201" s="1009"/>
      <c r="TS201" s="1009"/>
      <c r="TT201" s="1009"/>
      <c r="TU201" s="1009"/>
      <c r="TV201" s="1009"/>
      <c r="TW201" s="1009"/>
      <c r="TX201" s="1009"/>
      <c r="TY201" s="1009"/>
      <c r="TZ201" s="1009"/>
      <c r="UA201" s="1009"/>
      <c r="UB201" s="1009"/>
      <c r="UC201" s="1009"/>
      <c r="UD201" s="1009"/>
      <c r="UE201" s="1009"/>
      <c r="UF201" s="1009"/>
      <c r="UG201" s="1009"/>
      <c r="UH201" s="1009"/>
      <c r="UI201" s="1009"/>
      <c r="UJ201" s="1009"/>
      <c r="UK201" s="1009"/>
      <c r="UL201" s="1009"/>
      <c r="UM201" s="1009"/>
      <c r="UN201" s="1009"/>
      <c r="UO201" s="1009"/>
      <c r="UP201" s="1009"/>
      <c r="UQ201" s="1009"/>
      <c r="UR201" s="1009"/>
      <c r="US201" s="1009"/>
      <c r="UT201" s="1009"/>
      <c r="UU201" s="1009"/>
      <c r="UV201" s="1009"/>
      <c r="UW201" s="1009"/>
      <c r="UX201" s="1009"/>
      <c r="UY201" s="1009"/>
      <c r="UZ201" s="1009"/>
      <c r="VA201" s="1009"/>
      <c r="VB201" s="1009"/>
      <c r="VC201" s="1009"/>
      <c r="VD201" s="1009"/>
      <c r="VE201" s="1009"/>
      <c r="VF201" s="1009"/>
      <c r="VG201" s="1009"/>
      <c r="VH201" s="1009"/>
      <c r="VI201" s="1009"/>
      <c r="VJ201" s="1009"/>
      <c r="VK201" s="1009"/>
      <c r="VL201" s="1009"/>
      <c r="VM201" s="1009"/>
      <c r="VN201" s="1009"/>
      <c r="VO201" s="1009"/>
      <c r="VP201" s="1009"/>
      <c r="VQ201" s="1009"/>
      <c r="VR201" s="1009"/>
      <c r="VS201" s="1009"/>
      <c r="VT201" s="1009"/>
      <c r="VU201" s="1009"/>
      <c r="VV201" s="1009"/>
      <c r="VW201" s="1009"/>
      <c r="VX201" s="1009"/>
      <c r="VY201" s="1009"/>
      <c r="VZ201" s="1009"/>
      <c r="WA201" s="1009"/>
      <c r="WB201" s="1009"/>
      <c r="WC201" s="1009"/>
      <c r="WD201" s="1009"/>
      <c r="WE201" s="1009"/>
      <c r="WF201" s="1009"/>
      <c r="WG201" s="1009"/>
      <c r="WH201" s="1009"/>
      <c r="WI201" s="1009"/>
      <c r="WJ201" s="1009"/>
      <c r="WK201" s="1009"/>
      <c r="WL201" s="1009"/>
      <c r="WM201" s="1009"/>
      <c r="WN201" s="1009"/>
      <c r="WO201" s="1009"/>
      <c r="WP201" s="1009"/>
      <c r="WQ201" s="1009"/>
      <c r="WR201" s="1009"/>
      <c r="WS201" s="1009"/>
      <c r="WT201" s="1009"/>
      <c r="WU201" s="1009"/>
      <c r="WV201" s="1009"/>
      <c r="WW201" s="1009"/>
      <c r="WX201" s="1009"/>
      <c r="WY201" s="1009"/>
      <c r="WZ201" s="1009"/>
      <c r="XA201" s="1009"/>
      <c r="XB201" s="1009"/>
      <c r="XC201" s="1009"/>
      <c r="XD201" s="1009"/>
      <c r="XE201" s="1009"/>
      <c r="XF201" s="1009"/>
      <c r="XG201" s="1009"/>
      <c r="XH201" s="1009"/>
      <c r="XI201" s="1009"/>
      <c r="XJ201" s="1009"/>
      <c r="XK201" s="1009"/>
      <c r="XL201" s="1009"/>
      <c r="XM201" s="1009"/>
      <c r="XN201" s="1009"/>
      <c r="XO201" s="1009"/>
      <c r="XP201" s="1009"/>
      <c r="XQ201" s="1009"/>
      <c r="XR201" s="1009"/>
      <c r="XS201" s="1009"/>
      <c r="XT201" s="1009"/>
      <c r="XU201" s="1009"/>
      <c r="XV201" s="1009"/>
      <c r="XW201" s="1009"/>
      <c r="XX201" s="1009"/>
      <c r="XY201" s="1009"/>
      <c r="XZ201" s="1009"/>
      <c r="YA201" s="1009"/>
      <c r="YB201" s="1009"/>
      <c r="YC201" s="1009"/>
      <c r="YD201" s="1009"/>
      <c r="YE201" s="1009"/>
      <c r="YF201" s="1009"/>
      <c r="YG201" s="1009"/>
      <c r="YH201" s="1009"/>
      <c r="YI201" s="1009"/>
      <c r="YJ201" s="1009"/>
      <c r="YK201" s="1009"/>
      <c r="YL201" s="1009"/>
      <c r="YM201" s="1009"/>
      <c r="YN201" s="1009"/>
      <c r="YO201" s="1009"/>
      <c r="YP201" s="1009"/>
      <c r="YQ201" s="1009"/>
      <c r="YR201" s="1009"/>
      <c r="YS201" s="1009"/>
      <c r="YT201" s="1009"/>
      <c r="YU201" s="1009"/>
      <c r="YV201" s="1009"/>
      <c r="YW201" s="1009"/>
      <c r="YX201" s="1009"/>
      <c r="YY201" s="1009"/>
      <c r="YZ201" s="1009"/>
      <c r="ZA201" s="1009"/>
      <c r="ZB201" s="1009"/>
      <c r="ZC201" s="1009"/>
      <c r="ZD201" s="1009"/>
      <c r="ZE201" s="1009"/>
      <c r="ZF201" s="1009"/>
      <c r="ZG201" s="1009"/>
      <c r="ZH201" s="1009"/>
      <c r="ZI201" s="1009"/>
      <c r="ZJ201" s="1009"/>
      <c r="ZK201" s="1009"/>
      <c r="ZL201" s="1009"/>
      <c r="ZM201" s="1009"/>
      <c r="ZN201" s="1009"/>
      <c r="ZO201" s="1009"/>
      <c r="ZP201" s="1009"/>
      <c r="ZQ201" s="1009"/>
      <c r="ZR201" s="1009"/>
      <c r="ZS201" s="1009"/>
      <c r="ZT201" s="1009"/>
      <c r="ZU201" s="1009"/>
      <c r="ZV201" s="1009"/>
      <c r="ZW201" s="1009"/>
      <c r="ZX201" s="1009"/>
      <c r="ZY201" s="1009"/>
      <c r="ZZ201" s="1009"/>
      <c r="AAA201" s="1009"/>
      <c r="AAB201" s="1009"/>
      <c r="AAC201" s="1009"/>
      <c r="AAD201" s="1009"/>
      <c r="AAE201" s="1009"/>
      <c r="AAF201" s="1009"/>
      <c r="AAG201" s="1009"/>
      <c r="AAH201" s="1009"/>
      <c r="AAI201" s="1009"/>
      <c r="AAJ201" s="1009"/>
      <c r="AAK201" s="1009"/>
      <c r="AAL201" s="1009"/>
      <c r="AAM201" s="1009"/>
      <c r="AAN201" s="1009"/>
      <c r="AAO201" s="1009"/>
      <c r="AAP201" s="1009"/>
      <c r="AAQ201" s="1009"/>
      <c r="AAR201" s="1009"/>
      <c r="AAS201" s="1009"/>
      <c r="AAT201" s="1009"/>
      <c r="AAU201" s="1009"/>
      <c r="AAV201" s="1009"/>
      <c r="AAW201" s="1009"/>
      <c r="AAX201" s="1009"/>
      <c r="AAY201" s="1009"/>
      <c r="AAZ201" s="1009"/>
      <c r="ABA201" s="1009"/>
      <c r="ABB201" s="1009"/>
      <c r="ABC201" s="1009"/>
      <c r="ABD201" s="1009"/>
      <c r="ABE201" s="1009"/>
      <c r="ABF201" s="1009"/>
      <c r="ABG201" s="1009"/>
      <c r="ABH201" s="1009"/>
      <c r="ABI201" s="1009"/>
      <c r="ABJ201" s="1009"/>
      <c r="ABK201" s="1009"/>
      <c r="ABL201" s="1009"/>
      <c r="ABM201" s="1009"/>
      <c r="ABN201" s="1009"/>
      <c r="ABO201" s="1009"/>
      <c r="ABP201" s="1009"/>
      <c r="ABQ201" s="1009"/>
      <c r="ABR201" s="1009"/>
    </row>
    <row r="202" spans="1:746" s="111" customFormat="1" ht="12.75" customHeight="1">
      <c r="A202" s="924"/>
      <c r="B202" s="356" t="s">
        <v>336</v>
      </c>
      <c r="C202" s="168"/>
      <c r="D202" s="136"/>
      <c r="E202" s="2937"/>
      <c r="F202" s="2938"/>
      <c r="G202" s="2939"/>
      <c r="H202" s="2548" t="s">
        <v>1334</v>
      </c>
      <c r="I202" s="2591">
        <f>fx!I354</f>
        <v>0</v>
      </c>
      <c r="J202" s="2387">
        <f>fx!J354</f>
        <v>0</v>
      </c>
      <c r="K202" s="2387">
        <f>fx!K354</f>
        <v>0</v>
      </c>
      <c r="L202" s="2387">
        <f>fx!L354</f>
        <v>0</v>
      </c>
      <c r="M202" s="2387">
        <f>fx!M354</f>
        <v>0</v>
      </c>
      <c r="N202" s="2387">
        <f>fx!N354</f>
        <v>0</v>
      </c>
      <c r="O202" s="2387">
        <f>fx!O354</f>
        <v>0</v>
      </c>
      <c r="P202" s="2387">
        <f>fx!P354</f>
        <v>0</v>
      </c>
      <c r="Q202" s="2387">
        <f>fx!Q354</f>
        <v>0</v>
      </c>
      <c r="R202" s="2387">
        <f>fx!R354</f>
        <v>0</v>
      </c>
      <c r="S202" s="2387">
        <f>fx!S354</f>
        <v>0</v>
      </c>
      <c r="T202" s="2387">
        <f>fx!T354</f>
        <v>0</v>
      </c>
      <c r="U202" s="2387">
        <f>fx!U354</f>
        <v>0</v>
      </c>
      <c r="V202" s="2387">
        <f>fx!V354</f>
        <v>0</v>
      </c>
      <c r="W202" s="2387">
        <f>fx!W354</f>
        <v>0</v>
      </c>
      <c r="X202" s="2387">
        <f>fx!X354</f>
        <v>0</v>
      </c>
      <c r="Y202" s="2387">
        <f>fx!Y354</f>
        <v>0</v>
      </c>
      <c r="Z202" s="2387">
        <f>fx!Z354</f>
        <v>0</v>
      </c>
      <c r="AA202" s="2387">
        <f>fx!AA354</f>
        <v>0</v>
      </c>
      <c r="AB202" s="2387">
        <f>fx!AB354</f>
        <v>0</v>
      </c>
      <c r="AC202" s="2387">
        <f>fx!AC354</f>
        <v>0</v>
      </c>
      <c r="AD202" s="2387">
        <f>fx!AD354</f>
        <v>0</v>
      </c>
      <c r="AE202" s="2387">
        <f>fx!AE354</f>
        <v>0</v>
      </c>
      <c r="AF202" s="2387">
        <f>fx!AF354</f>
        <v>0</v>
      </c>
      <c r="AG202" s="376"/>
      <c r="AH202" s="359"/>
      <c r="AI202" s="769"/>
      <c r="AJ202" s="770">
        <f>IF(fx!$C$57=1,T202,IF(fx!$C$57=2,AF202))</f>
        <v>0</v>
      </c>
      <c r="AK202" s="774"/>
      <c r="AL202" s="771">
        <f>IF(fx!$C$57=1,AF202,0)</f>
        <v>0</v>
      </c>
      <c r="AM202" s="1009"/>
      <c r="AN202" s="1009"/>
      <c r="AO202" s="1945"/>
      <c r="AP202" s="1935"/>
      <c r="AQ202" s="1936"/>
      <c r="AR202" s="1941"/>
      <c r="AS202" s="1941"/>
      <c r="AT202" s="1941"/>
      <c r="AU202" s="1941"/>
      <c r="AV202" s="1941"/>
      <c r="AW202" s="1941"/>
      <c r="AX202" s="1941"/>
      <c r="AY202" s="1941"/>
      <c r="AZ202" s="1941"/>
      <c r="BA202" s="1941"/>
      <c r="BB202" s="1941"/>
      <c r="BC202" s="1941"/>
      <c r="BD202" s="1941"/>
      <c r="BE202" s="1941"/>
      <c r="BF202" s="1941"/>
      <c r="BG202" s="1941"/>
      <c r="BH202" s="1941"/>
      <c r="BI202" s="1941"/>
      <c r="BJ202" s="1941"/>
      <c r="BK202" s="1941"/>
      <c r="BL202" s="1941"/>
      <c r="BM202" s="1941"/>
      <c r="BN202" s="1941"/>
      <c r="BO202" s="1941"/>
      <c r="BP202" s="1009"/>
      <c r="BQ202" s="1009"/>
      <c r="BR202" s="1009"/>
      <c r="BS202" s="1009"/>
      <c r="BT202" s="1009"/>
      <c r="BU202" s="1009"/>
      <c r="BV202" s="1009"/>
      <c r="BW202" s="1009"/>
      <c r="BX202" s="1009"/>
      <c r="BY202" s="1009"/>
      <c r="BZ202" s="1009"/>
      <c r="CA202" s="1009"/>
      <c r="CB202" s="1009"/>
      <c r="CC202" s="1009"/>
      <c r="CD202" s="1009"/>
      <c r="CE202" s="1009"/>
      <c r="CF202" s="1009"/>
      <c r="CG202" s="1009"/>
      <c r="CH202" s="1009"/>
      <c r="CI202" s="1009"/>
      <c r="CJ202" s="1009"/>
      <c r="CK202" s="1009"/>
      <c r="CL202" s="1009"/>
      <c r="CM202" s="1009"/>
      <c r="CN202" s="1009"/>
      <c r="CO202" s="1009"/>
      <c r="CP202" s="1009"/>
      <c r="CQ202" s="1009"/>
      <c r="CR202" s="1009"/>
      <c r="CS202" s="1009"/>
      <c r="CT202" s="1009"/>
      <c r="CU202" s="1009"/>
      <c r="CV202" s="1009"/>
      <c r="CW202" s="1009"/>
      <c r="CX202" s="1009"/>
      <c r="CY202" s="1009"/>
      <c r="CZ202" s="1009"/>
      <c r="DA202" s="1009"/>
      <c r="DB202" s="1009"/>
      <c r="DC202" s="1009"/>
      <c r="DD202" s="1009"/>
      <c r="DE202" s="1009"/>
      <c r="DF202" s="1009"/>
      <c r="DG202" s="1009"/>
      <c r="DH202" s="1009"/>
      <c r="DI202" s="1009"/>
      <c r="DJ202" s="1009"/>
      <c r="DK202" s="1009"/>
      <c r="DL202" s="1009"/>
      <c r="DM202" s="1009"/>
      <c r="DN202" s="1009"/>
      <c r="DO202" s="1009"/>
      <c r="DP202" s="1009"/>
      <c r="DQ202" s="1009"/>
      <c r="DR202" s="1009"/>
      <c r="DS202" s="1009"/>
      <c r="DT202" s="1009"/>
      <c r="DU202" s="1009"/>
      <c r="DV202" s="1009"/>
      <c r="DW202" s="1009"/>
      <c r="DX202" s="1009"/>
      <c r="DY202" s="1009"/>
      <c r="DZ202" s="1009"/>
      <c r="EA202" s="1009"/>
      <c r="EB202" s="1009"/>
      <c r="EC202" s="1009"/>
      <c r="ED202" s="1009"/>
      <c r="EE202" s="1009"/>
      <c r="EF202" s="1009"/>
      <c r="EG202" s="1009"/>
      <c r="EH202" s="1009"/>
      <c r="EI202" s="1009"/>
      <c r="EJ202" s="1009"/>
      <c r="EK202" s="1009"/>
      <c r="EL202" s="1009"/>
      <c r="EM202" s="1009"/>
      <c r="EN202" s="1009"/>
      <c r="EO202" s="1009"/>
      <c r="EP202" s="1009"/>
      <c r="EQ202" s="1009"/>
      <c r="ER202" s="1009"/>
      <c r="ES202" s="1009"/>
      <c r="ET202" s="1009"/>
      <c r="EU202" s="1009"/>
      <c r="EV202" s="1009"/>
      <c r="EW202" s="1009"/>
      <c r="EX202" s="1009"/>
      <c r="EY202" s="1009"/>
      <c r="EZ202" s="1009"/>
      <c r="FA202" s="1009"/>
      <c r="FB202" s="1009"/>
      <c r="FC202" s="1009"/>
      <c r="FD202" s="1009"/>
      <c r="FE202" s="1009"/>
      <c r="FF202" s="1009"/>
      <c r="FG202" s="1009"/>
      <c r="FH202" s="1009"/>
      <c r="FI202" s="1009"/>
      <c r="FJ202" s="1009"/>
      <c r="FK202" s="1009"/>
      <c r="FL202" s="1009"/>
      <c r="FM202" s="1009"/>
      <c r="FN202" s="1009"/>
      <c r="FO202" s="1009"/>
      <c r="FP202" s="1009"/>
      <c r="FQ202" s="1009"/>
      <c r="FR202" s="1009"/>
      <c r="FS202" s="1009"/>
      <c r="FT202" s="1009"/>
      <c r="FU202" s="1009"/>
      <c r="FV202" s="1009"/>
      <c r="FW202" s="1009"/>
      <c r="FX202" s="1009"/>
      <c r="FY202" s="1009"/>
      <c r="FZ202" s="1009"/>
      <c r="GA202" s="1009"/>
      <c r="GB202" s="1009"/>
      <c r="GC202" s="1009"/>
      <c r="GD202" s="1009"/>
      <c r="GE202" s="1009"/>
      <c r="GF202" s="1009"/>
      <c r="GG202" s="1009"/>
      <c r="GH202" s="1009"/>
      <c r="GI202" s="1009"/>
      <c r="GJ202" s="1009"/>
      <c r="GK202" s="1009"/>
      <c r="GL202" s="1009"/>
      <c r="GM202" s="1009"/>
      <c r="GN202" s="1009"/>
      <c r="GO202" s="1009"/>
      <c r="GP202" s="1009"/>
      <c r="GQ202" s="1009"/>
      <c r="GR202" s="1009"/>
      <c r="GS202" s="1009"/>
      <c r="GT202" s="1009"/>
      <c r="GU202" s="1009"/>
      <c r="GV202" s="1009"/>
      <c r="GW202" s="1009"/>
      <c r="GX202" s="1009"/>
      <c r="GY202" s="1009"/>
      <c r="GZ202" s="1009"/>
      <c r="HA202" s="1009"/>
      <c r="HB202" s="1009"/>
      <c r="HC202" s="1009"/>
      <c r="HD202" s="1009"/>
      <c r="HE202" s="1009"/>
      <c r="HF202" s="1009"/>
      <c r="HG202" s="1009"/>
      <c r="HH202" s="1009"/>
      <c r="HI202" s="1009"/>
      <c r="HJ202" s="1009"/>
      <c r="HK202" s="1009"/>
      <c r="HL202" s="1009"/>
      <c r="HM202" s="1009"/>
      <c r="HN202" s="1009"/>
      <c r="HO202" s="1009"/>
      <c r="HP202" s="1009"/>
      <c r="HQ202" s="1009"/>
      <c r="HR202" s="1009"/>
      <c r="HS202" s="1009"/>
      <c r="HT202" s="1009"/>
      <c r="HU202" s="1009"/>
      <c r="HV202" s="1009"/>
      <c r="HW202" s="1009"/>
      <c r="HX202" s="1009"/>
      <c r="HY202" s="1009"/>
      <c r="HZ202" s="1009"/>
      <c r="IA202" s="1009"/>
      <c r="IB202" s="1009"/>
      <c r="IC202" s="1009"/>
      <c r="ID202" s="1009"/>
      <c r="IE202" s="1009"/>
      <c r="IF202" s="1009"/>
      <c r="IG202" s="1009"/>
      <c r="IH202" s="1009"/>
      <c r="II202" s="1009"/>
      <c r="IJ202" s="1009"/>
      <c r="IK202" s="1009"/>
      <c r="IL202" s="1009"/>
      <c r="IM202" s="1009"/>
      <c r="IN202" s="1009"/>
      <c r="IO202" s="1009"/>
      <c r="IP202" s="1009"/>
      <c r="IQ202" s="1009"/>
      <c r="IR202" s="1009"/>
      <c r="IS202" s="1009"/>
      <c r="IT202" s="1009"/>
      <c r="IU202" s="1009"/>
      <c r="IV202" s="1009"/>
      <c r="IW202" s="1009"/>
      <c r="IX202" s="1009"/>
      <c r="IY202" s="1009"/>
      <c r="IZ202" s="1009"/>
      <c r="JA202" s="1009"/>
      <c r="JB202" s="1009"/>
      <c r="JC202" s="1009"/>
      <c r="JD202" s="1009"/>
      <c r="JE202" s="1009"/>
      <c r="JF202" s="1009"/>
      <c r="JG202" s="1009"/>
      <c r="JH202" s="1009"/>
      <c r="JI202" s="1009"/>
      <c r="JJ202" s="1009"/>
      <c r="JK202" s="1009"/>
      <c r="JL202" s="1009"/>
      <c r="JM202" s="1009"/>
      <c r="JN202" s="1009"/>
      <c r="JO202" s="1009"/>
      <c r="JP202" s="1009"/>
      <c r="JQ202" s="1009"/>
      <c r="JR202" s="1009"/>
      <c r="JS202" s="1009"/>
      <c r="JT202" s="1009"/>
      <c r="JU202" s="1009"/>
      <c r="JV202" s="1009"/>
      <c r="JW202" s="1009"/>
      <c r="JX202" s="1009"/>
      <c r="JY202" s="1009"/>
      <c r="JZ202" s="1009"/>
      <c r="KA202" s="1009"/>
      <c r="KB202" s="1009"/>
      <c r="KC202" s="1009"/>
      <c r="KD202" s="1009"/>
      <c r="KE202" s="1009"/>
      <c r="KF202" s="1009"/>
      <c r="KG202" s="1009"/>
      <c r="KH202" s="1009"/>
      <c r="KI202" s="1009"/>
      <c r="KJ202" s="1009"/>
      <c r="KK202" s="1009"/>
      <c r="KL202" s="1009"/>
      <c r="KM202" s="1009"/>
      <c r="KN202" s="1009"/>
      <c r="KO202" s="1009"/>
      <c r="KP202" s="1009"/>
      <c r="KQ202" s="1009"/>
      <c r="KR202" s="1009"/>
      <c r="KS202" s="1009"/>
      <c r="KT202" s="1009"/>
      <c r="KU202" s="1009"/>
      <c r="KV202" s="1009"/>
      <c r="KW202" s="1009"/>
      <c r="KX202" s="1009"/>
      <c r="KY202" s="1009"/>
      <c r="KZ202" s="1009"/>
      <c r="LA202" s="1009"/>
      <c r="LB202" s="1009"/>
      <c r="LC202" s="1009"/>
      <c r="LD202" s="1009"/>
      <c r="LE202" s="1009"/>
      <c r="LF202" s="1009"/>
      <c r="LG202" s="1009"/>
      <c r="LH202" s="1009"/>
      <c r="LI202" s="1009"/>
      <c r="LJ202" s="1009"/>
      <c r="LK202" s="1009"/>
      <c r="LL202" s="1009"/>
      <c r="LM202" s="1009"/>
      <c r="LN202" s="1009"/>
      <c r="LO202" s="1009"/>
      <c r="LP202" s="1009"/>
      <c r="LQ202" s="1009"/>
      <c r="LR202" s="1009"/>
      <c r="LS202" s="1009"/>
      <c r="LT202" s="1009"/>
      <c r="LU202" s="1009"/>
      <c r="LV202" s="1009"/>
      <c r="LW202" s="1009"/>
      <c r="LX202" s="1009"/>
      <c r="LY202" s="1009"/>
      <c r="LZ202" s="1009"/>
      <c r="MA202" s="1009"/>
      <c r="MB202" s="1009"/>
      <c r="MC202" s="1009"/>
      <c r="MD202" s="1009"/>
      <c r="ME202" s="1009"/>
      <c r="MF202" s="1009"/>
      <c r="MG202" s="1009"/>
      <c r="MH202" s="1009"/>
      <c r="MI202" s="1009"/>
      <c r="MJ202" s="1009"/>
      <c r="MK202" s="1009"/>
      <c r="ML202" s="1009"/>
      <c r="MM202" s="1009"/>
      <c r="MN202" s="1009"/>
      <c r="MO202" s="1009"/>
      <c r="MP202" s="1009"/>
      <c r="MQ202" s="1009"/>
      <c r="MR202" s="1009"/>
      <c r="MS202" s="1009"/>
      <c r="MT202" s="1009"/>
      <c r="MU202" s="1009"/>
      <c r="MV202" s="1009"/>
      <c r="MW202" s="1009"/>
      <c r="MX202" s="1009"/>
      <c r="MY202" s="1009"/>
      <c r="MZ202" s="1009"/>
      <c r="NA202" s="1009"/>
      <c r="NB202" s="1009"/>
      <c r="NC202" s="1009"/>
      <c r="ND202" s="1009"/>
      <c r="NE202" s="1009"/>
      <c r="NF202" s="1009"/>
      <c r="NG202" s="1009"/>
      <c r="NH202" s="1009"/>
      <c r="NI202" s="1009"/>
      <c r="NJ202" s="1009"/>
      <c r="NK202" s="1009"/>
      <c r="NL202" s="1009"/>
      <c r="NM202" s="1009"/>
      <c r="NN202" s="1009"/>
      <c r="NO202" s="1009"/>
      <c r="NP202" s="1009"/>
      <c r="NQ202" s="1009"/>
      <c r="NR202" s="1009"/>
      <c r="NS202" s="1009"/>
      <c r="NT202" s="1009"/>
      <c r="NU202" s="1009"/>
      <c r="NV202" s="1009"/>
      <c r="NW202" s="1009"/>
      <c r="NX202" s="1009"/>
      <c r="NY202" s="1009"/>
      <c r="NZ202" s="1009"/>
      <c r="OA202" s="1009"/>
      <c r="OB202" s="1009"/>
      <c r="OC202" s="1009"/>
      <c r="OD202" s="1009"/>
      <c r="OE202" s="1009"/>
      <c r="OF202" s="1009"/>
      <c r="OG202" s="1009"/>
      <c r="OH202" s="1009"/>
      <c r="OI202" s="1009"/>
      <c r="OJ202" s="1009"/>
      <c r="OK202" s="1009"/>
      <c r="OL202" s="1009"/>
      <c r="OM202" s="1009"/>
      <c r="ON202" s="1009"/>
      <c r="OO202" s="1009"/>
      <c r="OP202" s="1009"/>
      <c r="OQ202" s="1009"/>
      <c r="OR202" s="1009"/>
      <c r="OS202" s="1009"/>
      <c r="OT202" s="1009"/>
      <c r="OU202" s="1009"/>
      <c r="OV202" s="1009"/>
      <c r="OW202" s="1009"/>
      <c r="OX202" s="1009"/>
      <c r="OY202" s="1009"/>
      <c r="OZ202" s="1009"/>
      <c r="PA202" s="1009"/>
      <c r="PB202" s="1009"/>
      <c r="PC202" s="1009"/>
      <c r="PD202" s="1009"/>
      <c r="PE202" s="1009"/>
      <c r="PF202" s="1009"/>
      <c r="PG202" s="1009"/>
      <c r="PH202" s="1009"/>
      <c r="PI202" s="1009"/>
      <c r="PJ202" s="1009"/>
      <c r="PK202" s="1009"/>
      <c r="PL202" s="1009"/>
      <c r="PM202" s="1009"/>
      <c r="PN202" s="1009"/>
      <c r="PO202" s="1009"/>
      <c r="PP202" s="1009"/>
      <c r="PQ202" s="1009"/>
      <c r="PR202" s="1009"/>
      <c r="PS202" s="1009"/>
      <c r="PT202" s="1009"/>
      <c r="PU202" s="1009"/>
      <c r="PV202" s="1009"/>
      <c r="PW202" s="1009"/>
      <c r="PX202" s="1009"/>
      <c r="PY202" s="1009"/>
      <c r="PZ202" s="1009"/>
      <c r="QA202" s="1009"/>
      <c r="QB202" s="1009"/>
      <c r="QC202" s="1009"/>
      <c r="QD202" s="1009"/>
      <c r="QE202" s="1009"/>
      <c r="QF202" s="1009"/>
      <c r="QG202" s="1009"/>
      <c r="QH202" s="1009"/>
      <c r="QI202" s="1009"/>
      <c r="QJ202" s="1009"/>
      <c r="QK202" s="1009"/>
      <c r="QL202" s="1009"/>
      <c r="QM202" s="1009"/>
      <c r="QN202" s="1009"/>
      <c r="QO202" s="1009"/>
      <c r="QP202" s="1009"/>
      <c r="QQ202" s="1009"/>
      <c r="QR202" s="1009"/>
      <c r="QS202" s="1009"/>
      <c r="QT202" s="1009"/>
      <c r="QU202" s="1009"/>
      <c r="QV202" s="1009"/>
      <c r="QW202" s="1009"/>
      <c r="QX202" s="1009"/>
      <c r="QY202" s="1009"/>
      <c r="QZ202" s="1009"/>
      <c r="RA202" s="1009"/>
      <c r="RB202" s="1009"/>
      <c r="RC202" s="1009"/>
      <c r="RD202" s="1009"/>
      <c r="RE202" s="1009"/>
      <c r="RF202" s="1009"/>
      <c r="RG202" s="1009"/>
      <c r="RH202" s="1009"/>
      <c r="RI202" s="1009"/>
      <c r="RJ202" s="1009"/>
      <c r="RK202" s="1009"/>
      <c r="RL202" s="1009"/>
      <c r="RM202" s="1009"/>
      <c r="RN202" s="1009"/>
      <c r="RO202" s="1009"/>
      <c r="RP202" s="1009"/>
      <c r="RQ202" s="1009"/>
      <c r="RR202" s="1009"/>
      <c r="RS202" s="1009"/>
      <c r="RT202" s="1009"/>
      <c r="RU202" s="1009"/>
      <c r="RV202" s="1009"/>
      <c r="RW202" s="1009"/>
      <c r="RX202" s="1009"/>
      <c r="RY202" s="1009"/>
      <c r="RZ202" s="1009"/>
      <c r="SA202" s="1009"/>
      <c r="SB202" s="1009"/>
      <c r="SC202" s="1009"/>
      <c r="SD202" s="1009"/>
      <c r="SE202" s="1009"/>
      <c r="SF202" s="1009"/>
      <c r="SG202" s="1009"/>
      <c r="SH202" s="1009"/>
      <c r="SI202" s="1009"/>
      <c r="SJ202" s="1009"/>
      <c r="SK202" s="1009"/>
      <c r="SL202" s="1009"/>
      <c r="SM202" s="1009"/>
      <c r="SN202" s="1009"/>
      <c r="SO202" s="1009"/>
      <c r="SP202" s="1009"/>
      <c r="SQ202" s="1009"/>
      <c r="SR202" s="1009"/>
      <c r="SS202" s="1009"/>
      <c r="ST202" s="1009"/>
      <c r="SU202" s="1009"/>
      <c r="SV202" s="1009"/>
      <c r="SW202" s="1009"/>
      <c r="SX202" s="1009"/>
      <c r="SY202" s="1009"/>
      <c r="SZ202" s="1009"/>
      <c r="TA202" s="1009"/>
      <c r="TB202" s="1009"/>
      <c r="TC202" s="1009"/>
      <c r="TD202" s="1009"/>
      <c r="TE202" s="1009"/>
      <c r="TF202" s="1009"/>
      <c r="TG202" s="1009"/>
      <c r="TH202" s="1009"/>
      <c r="TI202" s="1009"/>
      <c r="TJ202" s="1009"/>
      <c r="TK202" s="1009"/>
      <c r="TL202" s="1009"/>
      <c r="TM202" s="1009"/>
      <c r="TN202" s="1009"/>
      <c r="TO202" s="1009"/>
      <c r="TP202" s="1009"/>
      <c r="TQ202" s="1009"/>
      <c r="TR202" s="1009"/>
      <c r="TS202" s="1009"/>
      <c r="TT202" s="1009"/>
      <c r="TU202" s="1009"/>
      <c r="TV202" s="1009"/>
      <c r="TW202" s="1009"/>
      <c r="TX202" s="1009"/>
      <c r="TY202" s="1009"/>
      <c r="TZ202" s="1009"/>
      <c r="UA202" s="1009"/>
      <c r="UB202" s="1009"/>
      <c r="UC202" s="1009"/>
      <c r="UD202" s="1009"/>
      <c r="UE202" s="1009"/>
      <c r="UF202" s="1009"/>
      <c r="UG202" s="1009"/>
      <c r="UH202" s="1009"/>
      <c r="UI202" s="1009"/>
      <c r="UJ202" s="1009"/>
      <c r="UK202" s="1009"/>
      <c r="UL202" s="1009"/>
      <c r="UM202" s="1009"/>
      <c r="UN202" s="1009"/>
      <c r="UO202" s="1009"/>
      <c r="UP202" s="1009"/>
      <c r="UQ202" s="1009"/>
      <c r="UR202" s="1009"/>
      <c r="US202" s="1009"/>
      <c r="UT202" s="1009"/>
      <c r="UU202" s="1009"/>
      <c r="UV202" s="1009"/>
      <c r="UW202" s="1009"/>
      <c r="UX202" s="1009"/>
      <c r="UY202" s="1009"/>
      <c r="UZ202" s="1009"/>
      <c r="VA202" s="1009"/>
      <c r="VB202" s="1009"/>
      <c r="VC202" s="1009"/>
      <c r="VD202" s="1009"/>
      <c r="VE202" s="1009"/>
      <c r="VF202" s="1009"/>
      <c r="VG202" s="1009"/>
      <c r="VH202" s="1009"/>
      <c r="VI202" s="1009"/>
      <c r="VJ202" s="1009"/>
      <c r="VK202" s="1009"/>
      <c r="VL202" s="1009"/>
      <c r="VM202" s="1009"/>
      <c r="VN202" s="1009"/>
      <c r="VO202" s="1009"/>
      <c r="VP202" s="1009"/>
      <c r="VQ202" s="1009"/>
      <c r="VR202" s="1009"/>
      <c r="VS202" s="1009"/>
      <c r="VT202" s="1009"/>
      <c r="VU202" s="1009"/>
      <c r="VV202" s="1009"/>
      <c r="VW202" s="1009"/>
      <c r="VX202" s="1009"/>
      <c r="VY202" s="1009"/>
      <c r="VZ202" s="1009"/>
      <c r="WA202" s="1009"/>
      <c r="WB202" s="1009"/>
      <c r="WC202" s="1009"/>
      <c r="WD202" s="1009"/>
      <c r="WE202" s="1009"/>
      <c r="WF202" s="1009"/>
      <c r="WG202" s="1009"/>
      <c r="WH202" s="1009"/>
      <c r="WI202" s="1009"/>
      <c r="WJ202" s="1009"/>
      <c r="WK202" s="1009"/>
      <c r="WL202" s="1009"/>
      <c r="WM202" s="1009"/>
      <c r="WN202" s="1009"/>
      <c r="WO202" s="1009"/>
      <c r="WP202" s="1009"/>
      <c r="WQ202" s="1009"/>
      <c r="WR202" s="1009"/>
      <c r="WS202" s="1009"/>
      <c r="WT202" s="1009"/>
      <c r="WU202" s="1009"/>
      <c r="WV202" s="1009"/>
      <c r="WW202" s="1009"/>
      <c r="WX202" s="1009"/>
      <c r="WY202" s="1009"/>
      <c r="WZ202" s="1009"/>
      <c r="XA202" s="1009"/>
      <c r="XB202" s="1009"/>
      <c r="XC202" s="1009"/>
      <c r="XD202" s="1009"/>
      <c r="XE202" s="1009"/>
      <c r="XF202" s="1009"/>
      <c r="XG202" s="1009"/>
      <c r="XH202" s="1009"/>
      <c r="XI202" s="1009"/>
      <c r="XJ202" s="1009"/>
      <c r="XK202" s="1009"/>
      <c r="XL202" s="1009"/>
      <c r="XM202" s="1009"/>
      <c r="XN202" s="1009"/>
      <c r="XO202" s="1009"/>
      <c r="XP202" s="1009"/>
      <c r="XQ202" s="1009"/>
      <c r="XR202" s="1009"/>
      <c r="XS202" s="1009"/>
      <c r="XT202" s="1009"/>
      <c r="XU202" s="1009"/>
      <c r="XV202" s="1009"/>
      <c r="XW202" s="1009"/>
      <c r="XX202" s="1009"/>
      <c r="XY202" s="1009"/>
      <c r="XZ202" s="1009"/>
      <c r="YA202" s="1009"/>
      <c r="YB202" s="1009"/>
      <c r="YC202" s="1009"/>
      <c r="YD202" s="1009"/>
      <c r="YE202" s="1009"/>
      <c r="YF202" s="1009"/>
      <c r="YG202" s="1009"/>
      <c r="YH202" s="1009"/>
      <c r="YI202" s="1009"/>
      <c r="YJ202" s="1009"/>
      <c r="YK202" s="1009"/>
      <c r="YL202" s="1009"/>
      <c r="YM202" s="1009"/>
      <c r="YN202" s="1009"/>
      <c r="YO202" s="1009"/>
      <c r="YP202" s="1009"/>
      <c r="YQ202" s="1009"/>
      <c r="YR202" s="1009"/>
      <c r="YS202" s="1009"/>
      <c r="YT202" s="1009"/>
      <c r="YU202" s="1009"/>
      <c r="YV202" s="1009"/>
      <c r="YW202" s="1009"/>
      <c r="YX202" s="1009"/>
      <c r="YY202" s="1009"/>
      <c r="YZ202" s="1009"/>
      <c r="ZA202" s="1009"/>
      <c r="ZB202" s="1009"/>
      <c r="ZC202" s="1009"/>
      <c r="ZD202" s="1009"/>
      <c r="ZE202" s="1009"/>
      <c r="ZF202" s="1009"/>
      <c r="ZG202" s="1009"/>
      <c r="ZH202" s="1009"/>
      <c r="ZI202" s="1009"/>
      <c r="ZJ202" s="1009"/>
      <c r="ZK202" s="1009"/>
      <c r="ZL202" s="1009"/>
      <c r="ZM202" s="1009"/>
      <c r="ZN202" s="1009"/>
      <c r="ZO202" s="1009"/>
      <c r="ZP202" s="1009"/>
      <c r="ZQ202" s="1009"/>
      <c r="ZR202" s="1009"/>
      <c r="ZS202" s="1009"/>
      <c r="ZT202" s="1009"/>
      <c r="ZU202" s="1009"/>
      <c r="ZV202" s="1009"/>
      <c r="ZW202" s="1009"/>
      <c r="ZX202" s="1009"/>
      <c r="ZY202" s="1009"/>
      <c r="ZZ202" s="1009"/>
      <c r="AAA202" s="1009"/>
      <c r="AAB202" s="1009"/>
      <c r="AAC202" s="1009"/>
      <c r="AAD202" s="1009"/>
      <c r="AAE202" s="1009"/>
      <c r="AAF202" s="1009"/>
      <c r="AAG202" s="1009"/>
      <c r="AAH202" s="1009"/>
      <c r="AAI202" s="1009"/>
      <c r="AAJ202" s="1009"/>
      <c r="AAK202" s="1009"/>
      <c r="AAL202" s="1009"/>
      <c r="AAM202" s="1009"/>
      <c r="AAN202" s="1009"/>
      <c r="AAO202" s="1009"/>
      <c r="AAP202" s="1009"/>
      <c r="AAQ202" s="1009"/>
      <c r="AAR202" s="1009"/>
      <c r="AAS202" s="1009"/>
      <c r="AAT202" s="1009"/>
      <c r="AAU202" s="1009"/>
      <c r="AAV202" s="1009"/>
      <c r="AAW202" s="1009"/>
      <c r="AAX202" s="1009"/>
      <c r="AAY202" s="1009"/>
      <c r="AAZ202" s="1009"/>
      <c r="ABA202" s="1009"/>
      <c r="ABB202" s="1009"/>
      <c r="ABC202" s="1009"/>
      <c r="ABD202" s="1009"/>
      <c r="ABE202" s="1009"/>
      <c r="ABF202" s="1009"/>
      <c r="ABG202" s="1009"/>
      <c r="ABH202" s="1009"/>
      <c r="ABI202" s="1009"/>
      <c r="ABJ202" s="1009"/>
      <c r="ABK202" s="1009"/>
      <c r="ABL202" s="1009"/>
      <c r="ABM202" s="1009"/>
      <c r="ABN202" s="1009"/>
      <c r="ABO202" s="1009"/>
      <c r="ABP202" s="1009"/>
      <c r="ABQ202" s="1009"/>
      <c r="ABR202" s="1009"/>
    </row>
    <row r="203" spans="1:746" s="111" customFormat="1" ht="12.75" customHeight="1">
      <c r="A203" s="924"/>
      <c r="B203" s="899" t="s">
        <v>128</v>
      </c>
      <c r="C203" s="169"/>
      <c r="D203" s="169"/>
      <c r="E203" s="2937"/>
      <c r="F203" s="2938"/>
      <c r="G203" s="2939"/>
      <c r="H203" s="2548" t="s">
        <v>1334</v>
      </c>
      <c r="I203" s="2591">
        <f t="shared" ref="I203:AF203" si="18">I85</f>
        <v>0</v>
      </c>
      <c r="J203" s="2388">
        <f t="shared" si="18"/>
        <v>0</v>
      </c>
      <c r="K203" s="2388">
        <f t="shared" si="18"/>
        <v>0</v>
      </c>
      <c r="L203" s="2388">
        <f t="shared" si="18"/>
        <v>0</v>
      </c>
      <c r="M203" s="2388">
        <f t="shared" si="18"/>
        <v>0</v>
      </c>
      <c r="N203" s="2388">
        <f t="shared" si="18"/>
        <v>0</v>
      </c>
      <c r="O203" s="2388">
        <f t="shared" si="18"/>
        <v>0</v>
      </c>
      <c r="P203" s="2388">
        <f t="shared" si="18"/>
        <v>0</v>
      </c>
      <c r="Q203" s="2388">
        <f t="shared" si="18"/>
        <v>0</v>
      </c>
      <c r="R203" s="2388">
        <f t="shared" si="18"/>
        <v>0</v>
      </c>
      <c r="S203" s="2388">
        <f t="shared" si="18"/>
        <v>0</v>
      </c>
      <c r="T203" s="2387">
        <f t="shared" si="18"/>
        <v>0</v>
      </c>
      <c r="U203" s="2387">
        <f t="shared" si="18"/>
        <v>0</v>
      </c>
      <c r="V203" s="2388">
        <f t="shared" si="18"/>
        <v>0</v>
      </c>
      <c r="W203" s="2388">
        <f t="shared" si="18"/>
        <v>0</v>
      </c>
      <c r="X203" s="2388">
        <f t="shared" si="18"/>
        <v>0</v>
      </c>
      <c r="Y203" s="2388">
        <f t="shared" si="18"/>
        <v>0</v>
      </c>
      <c r="Z203" s="2388">
        <f t="shared" si="18"/>
        <v>0</v>
      </c>
      <c r="AA203" s="2388">
        <f t="shared" si="18"/>
        <v>0</v>
      </c>
      <c r="AB203" s="2388">
        <f t="shared" si="18"/>
        <v>0</v>
      </c>
      <c r="AC203" s="2388">
        <f t="shared" si="18"/>
        <v>0</v>
      </c>
      <c r="AD203" s="2388">
        <f t="shared" si="18"/>
        <v>0</v>
      </c>
      <c r="AE203" s="2388">
        <f t="shared" si="18"/>
        <v>0</v>
      </c>
      <c r="AF203" s="2388">
        <f t="shared" si="18"/>
        <v>0</v>
      </c>
      <c r="AG203" s="376"/>
      <c r="AH203" s="769"/>
      <c r="AI203" s="769"/>
      <c r="AJ203" s="770">
        <f>IF(fx!$C$57=1,T203,IF(fx!$C$57=2,AF203))</f>
        <v>0</v>
      </c>
      <c r="AK203" s="774"/>
      <c r="AL203" s="771">
        <f>IF(fx!$C$57=1,AF203,0)</f>
        <v>0</v>
      </c>
      <c r="AM203" s="1009"/>
      <c r="AN203" s="1009"/>
      <c r="AO203" s="1945"/>
      <c r="AP203" s="1935"/>
      <c r="AQ203" s="1936"/>
      <c r="AR203" s="1941"/>
      <c r="AS203" s="1941"/>
      <c r="AT203" s="1941"/>
      <c r="AU203" s="1941"/>
      <c r="AV203" s="1941"/>
      <c r="AW203" s="1941"/>
      <c r="AX203" s="1941"/>
      <c r="AY203" s="1941"/>
      <c r="AZ203" s="1941"/>
      <c r="BA203" s="1941"/>
      <c r="BB203" s="1941"/>
      <c r="BC203" s="1941"/>
      <c r="BD203" s="1941"/>
      <c r="BE203" s="1941"/>
      <c r="BF203" s="1941"/>
      <c r="BG203" s="1941"/>
      <c r="BH203" s="1941"/>
      <c r="BI203" s="1941"/>
      <c r="BJ203" s="1941"/>
      <c r="BK203" s="1941"/>
      <c r="BL203" s="1941"/>
      <c r="BM203" s="1941"/>
      <c r="BN203" s="1941"/>
      <c r="BO203" s="1941"/>
      <c r="BP203" s="1009"/>
      <c r="BQ203" s="1009"/>
      <c r="BR203" s="1009"/>
      <c r="BS203" s="1009"/>
      <c r="BT203" s="1009"/>
      <c r="BU203" s="1009"/>
      <c r="BV203" s="1009"/>
      <c r="BW203" s="1009"/>
      <c r="BX203" s="1009"/>
      <c r="BY203" s="1009"/>
      <c r="BZ203" s="1009"/>
      <c r="CA203" s="1009"/>
      <c r="CB203" s="1009"/>
      <c r="CC203" s="1009"/>
      <c r="CD203" s="1009"/>
      <c r="CE203" s="1009"/>
      <c r="CF203" s="1009"/>
      <c r="CG203" s="1009"/>
      <c r="CH203" s="1009"/>
      <c r="CI203" s="1009"/>
      <c r="CJ203" s="1009"/>
      <c r="CK203" s="1009"/>
      <c r="CL203" s="1009"/>
      <c r="CM203" s="1009"/>
      <c r="CN203" s="1009"/>
      <c r="CO203" s="1009"/>
      <c r="CP203" s="1009"/>
      <c r="CQ203" s="1009"/>
      <c r="CR203" s="1009"/>
      <c r="CS203" s="1009"/>
      <c r="CT203" s="1009"/>
      <c r="CU203" s="1009"/>
      <c r="CV203" s="1009"/>
      <c r="CW203" s="1009"/>
      <c r="CX203" s="1009"/>
      <c r="CY203" s="1009"/>
      <c r="CZ203" s="1009"/>
      <c r="DA203" s="1009"/>
      <c r="DB203" s="1009"/>
      <c r="DC203" s="1009"/>
      <c r="DD203" s="1009"/>
      <c r="DE203" s="1009"/>
      <c r="DF203" s="1009"/>
      <c r="DG203" s="1009"/>
      <c r="DH203" s="1009"/>
      <c r="DI203" s="1009"/>
      <c r="DJ203" s="1009"/>
      <c r="DK203" s="1009"/>
      <c r="DL203" s="1009"/>
      <c r="DM203" s="1009"/>
      <c r="DN203" s="1009"/>
      <c r="DO203" s="1009"/>
      <c r="DP203" s="1009"/>
      <c r="DQ203" s="1009"/>
      <c r="DR203" s="1009"/>
      <c r="DS203" s="1009"/>
      <c r="DT203" s="1009"/>
      <c r="DU203" s="1009"/>
      <c r="DV203" s="1009"/>
      <c r="DW203" s="1009"/>
      <c r="DX203" s="1009"/>
      <c r="DY203" s="1009"/>
      <c r="DZ203" s="1009"/>
      <c r="EA203" s="1009"/>
      <c r="EB203" s="1009"/>
      <c r="EC203" s="1009"/>
      <c r="ED203" s="1009"/>
      <c r="EE203" s="1009"/>
      <c r="EF203" s="1009"/>
      <c r="EG203" s="1009"/>
      <c r="EH203" s="1009"/>
      <c r="EI203" s="1009"/>
      <c r="EJ203" s="1009"/>
      <c r="EK203" s="1009"/>
      <c r="EL203" s="1009"/>
      <c r="EM203" s="1009"/>
      <c r="EN203" s="1009"/>
      <c r="EO203" s="1009"/>
      <c r="EP203" s="1009"/>
      <c r="EQ203" s="1009"/>
      <c r="ER203" s="1009"/>
      <c r="ES203" s="1009"/>
      <c r="ET203" s="1009"/>
      <c r="EU203" s="1009"/>
      <c r="EV203" s="1009"/>
      <c r="EW203" s="1009"/>
      <c r="EX203" s="1009"/>
      <c r="EY203" s="1009"/>
      <c r="EZ203" s="1009"/>
      <c r="FA203" s="1009"/>
      <c r="FB203" s="1009"/>
      <c r="FC203" s="1009"/>
      <c r="FD203" s="1009"/>
      <c r="FE203" s="1009"/>
      <c r="FF203" s="1009"/>
      <c r="FG203" s="1009"/>
      <c r="FH203" s="1009"/>
      <c r="FI203" s="1009"/>
      <c r="FJ203" s="1009"/>
      <c r="FK203" s="1009"/>
      <c r="FL203" s="1009"/>
      <c r="FM203" s="1009"/>
      <c r="FN203" s="1009"/>
      <c r="FO203" s="1009"/>
      <c r="FP203" s="1009"/>
      <c r="FQ203" s="1009"/>
      <c r="FR203" s="1009"/>
      <c r="FS203" s="1009"/>
      <c r="FT203" s="1009"/>
      <c r="FU203" s="1009"/>
      <c r="FV203" s="1009"/>
      <c r="FW203" s="1009"/>
      <c r="FX203" s="1009"/>
      <c r="FY203" s="1009"/>
      <c r="FZ203" s="1009"/>
      <c r="GA203" s="1009"/>
      <c r="GB203" s="1009"/>
      <c r="GC203" s="1009"/>
      <c r="GD203" s="1009"/>
      <c r="GE203" s="1009"/>
      <c r="GF203" s="1009"/>
      <c r="GG203" s="1009"/>
      <c r="GH203" s="1009"/>
      <c r="GI203" s="1009"/>
      <c r="GJ203" s="1009"/>
      <c r="GK203" s="1009"/>
      <c r="GL203" s="1009"/>
      <c r="GM203" s="1009"/>
      <c r="GN203" s="1009"/>
      <c r="GO203" s="1009"/>
      <c r="GP203" s="1009"/>
      <c r="GQ203" s="1009"/>
      <c r="GR203" s="1009"/>
      <c r="GS203" s="1009"/>
      <c r="GT203" s="1009"/>
      <c r="GU203" s="1009"/>
      <c r="GV203" s="1009"/>
      <c r="GW203" s="1009"/>
      <c r="GX203" s="1009"/>
      <c r="GY203" s="1009"/>
      <c r="GZ203" s="1009"/>
      <c r="HA203" s="1009"/>
      <c r="HB203" s="1009"/>
      <c r="HC203" s="1009"/>
      <c r="HD203" s="1009"/>
      <c r="HE203" s="1009"/>
      <c r="HF203" s="1009"/>
      <c r="HG203" s="1009"/>
      <c r="HH203" s="1009"/>
      <c r="HI203" s="1009"/>
      <c r="HJ203" s="1009"/>
      <c r="HK203" s="1009"/>
      <c r="HL203" s="1009"/>
      <c r="HM203" s="1009"/>
      <c r="HN203" s="1009"/>
      <c r="HO203" s="1009"/>
      <c r="HP203" s="1009"/>
      <c r="HQ203" s="1009"/>
      <c r="HR203" s="1009"/>
      <c r="HS203" s="1009"/>
      <c r="HT203" s="1009"/>
      <c r="HU203" s="1009"/>
      <c r="HV203" s="1009"/>
      <c r="HW203" s="1009"/>
      <c r="HX203" s="1009"/>
      <c r="HY203" s="1009"/>
      <c r="HZ203" s="1009"/>
      <c r="IA203" s="1009"/>
      <c r="IB203" s="1009"/>
      <c r="IC203" s="1009"/>
      <c r="ID203" s="1009"/>
      <c r="IE203" s="1009"/>
      <c r="IF203" s="1009"/>
      <c r="IG203" s="1009"/>
      <c r="IH203" s="1009"/>
      <c r="II203" s="1009"/>
      <c r="IJ203" s="1009"/>
      <c r="IK203" s="1009"/>
      <c r="IL203" s="1009"/>
      <c r="IM203" s="1009"/>
      <c r="IN203" s="1009"/>
      <c r="IO203" s="1009"/>
      <c r="IP203" s="1009"/>
      <c r="IQ203" s="1009"/>
      <c r="IR203" s="1009"/>
      <c r="IS203" s="1009"/>
      <c r="IT203" s="1009"/>
      <c r="IU203" s="1009"/>
      <c r="IV203" s="1009"/>
      <c r="IW203" s="1009"/>
      <c r="IX203" s="1009"/>
      <c r="IY203" s="1009"/>
      <c r="IZ203" s="1009"/>
      <c r="JA203" s="1009"/>
      <c r="JB203" s="1009"/>
      <c r="JC203" s="1009"/>
      <c r="JD203" s="1009"/>
      <c r="JE203" s="1009"/>
      <c r="JF203" s="1009"/>
      <c r="JG203" s="1009"/>
      <c r="JH203" s="1009"/>
      <c r="JI203" s="1009"/>
      <c r="JJ203" s="1009"/>
      <c r="JK203" s="1009"/>
      <c r="JL203" s="1009"/>
      <c r="JM203" s="1009"/>
      <c r="JN203" s="1009"/>
      <c r="JO203" s="1009"/>
      <c r="JP203" s="1009"/>
      <c r="JQ203" s="1009"/>
      <c r="JR203" s="1009"/>
      <c r="JS203" s="1009"/>
      <c r="JT203" s="1009"/>
      <c r="JU203" s="1009"/>
      <c r="JV203" s="1009"/>
      <c r="JW203" s="1009"/>
      <c r="JX203" s="1009"/>
      <c r="JY203" s="1009"/>
      <c r="JZ203" s="1009"/>
      <c r="KA203" s="1009"/>
      <c r="KB203" s="1009"/>
      <c r="KC203" s="1009"/>
      <c r="KD203" s="1009"/>
      <c r="KE203" s="1009"/>
      <c r="KF203" s="1009"/>
      <c r="KG203" s="1009"/>
      <c r="KH203" s="1009"/>
      <c r="KI203" s="1009"/>
      <c r="KJ203" s="1009"/>
      <c r="KK203" s="1009"/>
      <c r="KL203" s="1009"/>
      <c r="KM203" s="1009"/>
      <c r="KN203" s="1009"/>
      <c r="KO203" s="1009"/>
      <c r="KP203" s="1009"/>
      <c r="KQ203" s="1009"/>
      <c r="KR203" s="1009"/>
      <c r="KS203" s="1009"/>
      <c r="KT203" s="1009"/>
      <c r="KU203" s="1009"/>
      <c r="KV203" s="1009"/>
      <c r="KW203" s="1009"/>
      <c r="KX203" s="1009"/>
      <c r="KY203" s="1009"/>
      <c r="KZ203" s="1009"/>
      <c r="LA203" s="1009"/>
      <c r="LB203" s="1009"/>
      <c r="LC203" s="1009"/>
      <c r="LD203" s="1009"/>
      <c r="LE203" s="1009"/>
      <c r="LF203" s="1009"/>
      <c r="LG203" s="1009"/>
      <c r="LH203" s="1009"/>
      <c r="LI203" s="1009"/>
      <c r="LJ203" s="1009"/>
      <c r="LK203" s="1009"/>
      <c r="LL203" s="1009"/>
      <c r="LM203" s="1009"/>
      <c r="LN203" s="1009"/>
      <c r="LO203" s="1009"/>
      <c r="LP203" s="1009"/>
      <c r="LQ203" s="1009"/>
      <c r="LR203" s="1009"/>
      <c r="LS203" s="1009"/>
      <c r="LT203" s="1009"/>
      <c r="LU203" s="1009"/>
      <c r="LV203" s="1009"/>
      <c r="LW203" s="1009"/>
      <c r="LX203" s="1009"/>
      <c r="LY203" s="1009"/>
      <c r="LZ203" s="1009"/>
      <c r="MA203" s="1009"/>
      <c r="MB203" s="1009"/>
      <c r="MC203" s="1009"/>
      <c r="MD203" s="1009"/>
      <c r="ME203" s="1009"/>
      <c r="MF203" s="1009"/>
      <c r="MG203" s="1009"/>
      <c r="MH203" s="1009"/>
      <c r="MI203" s="1009"/>
      <c r="MJ203" s="1009"/>
      <c r="MK203" s="1009"/>
      <c r="ML203" s="1009"/>
      <c r="MM203" s="1009"/>
      <c r="MN203" s="1009"/>
      <c r="MO203" s="1009"/>
      <c r="MP203" s="1009"/>
      <c r="MQ203" s="1009"/>
      <c r="MR203" s="1009"/>
      <c r="MS203" s="1009"/>
      <c r="MT203" s="1009"/>
      <c r="MU203" s="1009"/>
      <c r="MV203" s="1009"/>
      <c r="MW203" s="1009"/>
      <c r="MX203" s="1009"/>
      <c r="MY203" s="1009"/>
      <c r="MZ203" s="1009"/>
      <c r="NA203" s="1009"/>
      <c r="NB203" s="1009"/>
      <c r="NC203" s="1009"/>
      <c r="ND203" s="1009"/>
      <c r="NE203" s="1009"/>
      <c r="NF203" s="1009"/>
      <c r="NG203" s="1009"/>
      <c r="NH203" s="1009"/>
      <c r="NI203" s="1009"/>
      <c r="NJ203" s="1009"/>
      <c r="NK203" s="1009"/>
      <c r="NL203" s="1009"/>
      <c r="NM203" s="1009"/>
      <c r="NN203" s="1009"/>
      <c r="NO203" s="1009"/>
      <c r="NP203" s="1009"/>
      <c r="NQ203" s="1009"/>
      <c r="NR203" s="1009"/>
      <c r="NS203" s="1009"/>
      <c r="NT203" s="1009"/>
      <c r="NU203" s="1009"/>
      <c r="NV203" s="1009"/>
      <c r="NW203" s="1009"/>
      <c r="NX203" s="1009"/>
      <c r="NY203" s="1009"/>
      <c r="NZ203" s="1009"/>
      <c r="OA203" s="1009"/>
      <c r="OB203" s="1009"/>
      <c r="OC203" s="1009"/>
      <c r="OD203" s="1009"/>
      <c r="OE203" s="1009"/>
      <c r="OF203" s="1009"/>
      <c r="OG203" s="1009"/>
      <c r="OH203" s="1009"/>
      <c r="OI203" s="1009"/>
      <c r="OJ203" s="1009"/>
      <c r="OK203" s="1009"/>
      <c r="OL203" s="1009"/>
      <c r="OM203" s="1009"/>
      <c r="ON203" s="1009"/>
      <c r="OO203" s="1009"/>
      <c r="OP203" s="1009"/>
      <c r="OQ203" s="1009"/>
      <c r="OR203" s="1009"/>
      <c r="OS203" s="1009"/>
      <c r="OT203" s="1009"/>
      <c r="OU203" s="1009"/>
      <c r="OV203" s="1009"/>
      <c r="OW203" s="1009"/>
      <c r="OX203" s="1009"/>
      <c r="OY203" s="1009"/>
      <c r="OZ203" s="1009"/>
      <c r="PA203" s="1009"/>
      <c r="PB203" s="1009"/>
      <c r="PC203" s="1009"/>
      <c r="PD203" s="1009"/>
      <c r="PE203" s="1009"/>
      <c r="PF203" s="1009"/>
      <c r="PG203" s="1009"/>
      <c r="PH203" s="1009"/>
      <c r="PI203" s="1009"/>
      <c r="PJ203" s="1009"/>
      <c r="PK203" s="1009"/>
      <c r="PL203" s="1009"/>
      <c r="PM203" s="1009"/>
      <c r="PN203" s="1009"/>
      <c r="PO203" s="1009"/>
      <c r="PP203" s="1009"/>
      <c r="PQ203" s="1009"/>
      <c r="PR203" s="1009"/>
      <c r="PS203" s="1009"/>
      <c r="PT203" s="1009"/>
      <c r="PU203" s="1009"/>
      <c r="PV203" s="1009"/>
      <c r="PW203" s="1009"/>
      <c r="PX203" s="1009"/>
      <c r="PY203" s="1009"/>
      <c r="PZ203" s="1009"/>
      <c r="QA203" s="1009"/>
      <c r="QB203" s="1009"/>
      <c r="QC203" s="1009"/>
      <c r="QD203" s="1009"/>
      <c r="QE203" s="1009"/>
      <c r="QF203" s="1009"/>
      <c r="QG203" s="1009"/>
      <c r="QH203" s="1009"/>
      <c r="QI203" s="1009"/>
      <c r="QJ203" s="1009"/>
      <c r="QK203" s="1009"/>
      <c r="QL203" s="1009"/>
      <c r="QM203" s="1009"/>
      <c r="QN203" s="1009"/>
      <c r="QO203" s="1009"/>
      <c r="QP203" s="1009"/>
      <c r="QQ203" s="1009"/>
      <c r="QR203" s="1009"/>
      <c r="QS203" s="1009"/>
      <c r="QT203" s="1009"/>
      <c r="QU203" s="1009"/>
      <c r="QV203" s="1009"/>
      <c r="QW203" s="1009"/>
      <c r="QX203" s="1009"/>
      <c r="QY203" s="1009"/>
      <c r="QZ203" s="1009"/>
      <c r="RA203" s="1009"/>
      <c r="RB203" s="1009"/>
      <c r="RC203" s="1009"/>
      <c r="RD203" s="1009"/>
      <c r="RE203" s="1009"/>
      <c r="RF203" s="1009"/>
      <c r="RG203" s="1009"/>
      <c r="RH203" s="1009"/>
      <c r="RI203" s="1009"/>
      <c r="RJ203" s="1009"/>
      <c r="RK203" s="1009"/>
      <c r="RL203" s="1009"/>
      <c r="RM203" s="1009"/>
      <c r="RN203" s="1009"/>
      <c r="RO203" s="1009"/>
      <c r="RP203" s="1009"/>
      <c r="RQ203" s="1009"/>
      <c r="RR203" s="1009"/>
      <c r="RS203" s="1009"/>
      <c r="RT203" s="1009"/>
      <c r="RU203" s="1009"/>
      <c r="RV203" s="1009"/>
      <c r="RW203" s="1009"/>
      <c r="RX203" s="1009"/>
      <c r="RY203" s="1009"/>
      <c r="RZ203" s="1009"/>
      <c r="SA203" s="1009"/>
      <c r="SB203" s="1009"/>
      <c r="SC203" s="1009"/>
      <c r="SD203" s="1009"/>
      <c r="SE203" s="1009"/>
      <c r="SF203" s="1009"/>
      <c r="SG203" s="1009"/>
      <c r="SH203" s="1009"/>
      <c r="SI203" s="1009"/>
      <c r="SJ203" s="1009"/>
      <c r="SK203" s="1009"/>
      <c r="SL203" s="1009"/>
      <c r="SM203" s="1009"/>
      <c r="SN203" s="1009"/>
      <c r="SO203" s="1009"/>
      <c r="SP203" s="1009"/>
      <c r="SQ203" s="1009"/>
      <c r="SR203" s="1009"/>
      <c r="SS203" s="1009"/>
      <c r="ST203" s="1009"/>
      <c r="SU203" s="1009"/>
      <c r="SV203" s="1009"/>
      <c r="SW203" s="1009"/>
      <c r="SX203" s="1009"/>
      <c r="SY203" s="1009"/>
      <c r="SZ203" s="1009"/>
      <c r="TA203" s="1009"/>
      <c r="TB203" s="1009"/>
      <c r="TC203" s="1009"/>
      <c r="TD203" s="1009"/>
      <c r="TE203" s="1009"/>
      <c r="TF203" s="1009"/>
      <c r="TG203" s="1009"/>
      <c r="TH203" s="1009"/>
      <c r="TI203" s="1009"/>
      <c r="TJ203" s="1009"/>
      <c r="TK203" s="1009"/>
      <c r="TL203" s="1009"/>
      <c r="TM203" s="1009"/>
      <c r="TN203" s="1009"/>
      <c r="TO203" s="1009"/>
      <c r="TP203" s="1009"/>
      <c r="TQ203" s="1009"/>
      <c r="TR203" s="1009"/>
      <c r="TS203" s="1009"/>
      <c r="TT203" s="1009"/>
      <c r="TU203" s="1009"/>
      <c r="TV203" s="1009"/>
      <c r="TW203" s="1009"/>
      <c r="TX203" s="1009"/>
      <c r="TY203" s="1009"/>
      <c r="TZ203" s="1009"/>
      <c r="UA203" s="1009"/>
      <c r="UB203" s="1009"/>
      <c r="UC203" s="1009"/>
      <c r="UD203" s="1009"/>
      <c r="UE203" s="1009"/>
      <c r="UF203" s="1009"/>
      <c r="UG203" s="1009"/>
      <c r="UH203" s="1009"/>
      <c r="UI203" s="1009"/>
      <c r="UJ203" s="1009"/>
      <c r="UK203" s="1009"/>
      <c r="UL203" s="1009"/>
      <c r="UM203" s="1009"/>
      <c r="UN203" s="1009"/>
      <c r="UO203" s="1009"/>
      <c r="UP203" s="1009"/>
      <c r="UQ203" s="1009"/>
      <c r="UR203" s="1009"/>
      <c r="US203" s="1009"/>
      <c r="UT203" s="1009"/>
      <c r="UU203" s="1009"/>
      <c r="UV203" s="1009"/>
      <c r="UW203" s="1009"/>
      <c r="UX203" s="1009"/>
      <c r="UY203" s="1009"/>
      <c r="UZ203" s="1009"/>
      <c r="VA203" s="1009"/>
      <c r="VB203" s="1009"/>
      <c r="VC203" s="1009"/>
      <c r="VD203" s="1009"/>
      <c r="VE203" s="1009"/>
      <c r="VF203" s="1009"/>
      <c r="VG203" s="1009"/>
      <c r="VH203" s="1009"/>
      <c r="VI203" s="1009"/>
      <c r="VJ203" s="1009"/>
      <c r="VK203" s="1009"/>
      <c r="VL203" s="1009"/>
      <c r="VM203" s="1009"/>
      <c r="VN203" s="1009"/>
      <c r="VO203" s="1009"/>
      <c r="VP203" s="1009"/>
      <c r="VQ203" s="1009"/>
      <c r="VR203" s="1009"/>
      <c r="VS203" s="1009"/>
      <c r="VT203" s="1009"/>
      <c r="VU203" s="1009"/>
      <c r="VV203" s="1009"/>
      <c r="VW203" s="1009"/>
      <c r="VX203" s="1009"/>
      <c r="VY203" s="1009"/>
      <c r="VZ203" s="1009"/>
      <c r="WA203" s="1009"/>
      <c r="WB203" s="1009"/>
      <c r="WC203" s="1009"/>
      <c r="WD203" s="1009"/>
      <c r="WE203" s="1009"/>
      <c r="WF203" s="1009"/>
      <c r="WG203" s="1009"/>
      <c r="WH203" s="1009"/>
      <c r="WI203" s="1009"/>
      <c r="WJ203" s="1009"/>
      <c r="WK203" s="1009"/>
      <c r="WL203" s="1009"/>
      <c r="WM203" s="1009"/>
      <c r="WN203" s="1009"/>
      <c r="WO203" s="1009"/>
      <c r="WP203" s="1009"/>
      <c r="WQ203" s="1009"/>
      <c r="WR203" s="1009"/>
      <c r="WS203" s="1009"/>
      <c r="WT203" s="1009"/>
      <c r="WU203" s="1009"/>
      <c r="WV203" s="1009"/>
      <c r="WW203" s="1009"/>
      <c r="WX203" s="1009"/>
      <c r="WY203" s="1009"/>
      <c r="WZ203" s="1009"/>
      <c r="XA203" s="1009"/>
      <c r="XB203" s="1009"/>
      <c r="XC203" s="1009"/>
      <c r="XD203" s="1009"/>
      <c r="XE203" s="1009"/>
      <c r="XF203" s="1009"/>
      <c r="XG203" s="1009"/>
      <c r="XH203" s="1009"/>
      <c r="XI203" s="1009"/>
      <c r="XJ203" s="1009"/>
      <c r="XK203" s="1009"/>
      <c r="XL203" s="1009"/>
      <c r="XM203" s="1009"/>
      <c r="XN203" s="1009"/>
      <c r="XO203" s="1009"/>
      <c r="XP203" s="1009"/>
      <c r="XQ203" s="1009"/>
      <c r="XR203" s="1009"/>
      <c r="XS203" s="1009"/>
      <c r="XT203" s="1009"/>
      <c r="XU203" s="1009"/>
      <c r="XV203" s="1009"/>
      <c r="XW203" s="1009"/>
      <c r="XX203" s="1009"/>
      <c r="XY203" s="1009"/>
      <c r="XZ203" s="1009"/>
      <c r="YA203" s="1009"/>
      <c r="YB203" s="1009"/>
      <c r="YC203" s="1009"/>
      <c r="YD203" s="1009"/>
      <c r="YE203" s="1009"/>
      <c r="YF203" s="1009"/>
      <c r="YG203" s="1009"/>
      <c r="YH203" s="1009"/>
      <c r="YI203" s="1009"/>
      <c r="YJ203" s="1009"/>
      <c r="YK203" s="1009"/>
      <c r="YL203" s="1009"/>
      <c r="YM203" s="1009"/>
      <c r="YN203" s="1009"/>
      <c r="YO203" s="1009"/>
      <c r="YP203" s="1009"/>
      <c r="YQ203" s="1009"/>
      <c r="YR203" s="1009"/>
      <c r="YS203" s="1009"/>
      <c r="YT203" s="1009"/>
      <c r="YU203" s="1009"/>
      <c r="YV203" s="1009"/>
      <c r="YW203" s="1009"/>
      <c r="YX203" s="1009"/>
      <c r="YY203" s="1009"/>
      <c r="YZ203" s="1009"/>
      <c r="ZA203" s="1009"/>
      <c r="ZB203" s="1009"/>
      <c r="ZC203" s="1009"/>
      <c r="ZD203" s="1009"/>
      <c r="ZE203" s="1009"/>
      <c r="ZF203" s="1009"/>
      <c r="ZG203" s="1009"/>
      <c r="ZH203" s="1009"/>
      <c r="ZI203" s="1009"/>
      <c r="ZJ203" s="1009"/>
      <c r="ZK203" s="1009"/>
      <c r="ZL203" s="1009"/>
      <c r="ZM203" s="1009"/>
      <c r="ZN203" s="1009"/>
      <c r="ZO203" s="1009"/>
      <c r="ZP203" s="1009"/>
      <c r="ZQ203" s="1009"/>
      <c r="ZR203" s="1009"/>
      <c r="ZS203" s="1009"/>
      <c r="ZT203" s="1009"/>
      <c r="ZU203" s="1009"/>
      <c r="ZV203" s="1009"/>
      <c r="ZW203" s="1009"/>
      <c r="ZX203" s="1009"/>
      <c r="ZY203" s="1009"/>
      <c r="ZZ203" s="1009"/>
      <c r="AAA203" s="1009"/>
      <c r="AAB203" s="1009"/>
      <c r="AAC203" s="1009"/>
      <c r="AAD203" s="1009"/>
      <c r="AAE203" s="1009"/>
      <c r="AAF203" s="1009"/>
      <c r="AAG203" s="1009"/>
      <c r="AAH203" s="1009"/>
      <c r="AAI203" s="1009"/>
      <c r="AAJ203" s="1009"/>
      <c r="AAK203" s="1009"/>
      <c r="AAL203" s="1009"/>
      <c r="AAM203" s="1009"/>
      <c r="AAN203" s="1009"/>
      <c r="AAO203" s="1009"/>
      <c r="AAP203" s="1009"/>
      <c r="AAQ203" s="1009"/>
      <c r="AAR203" s="1009"/>
      <c r="AAS203" s="1009"/>
      <c r="AAT203" s="1009"/>
      <c r="AAU203" s="1009"/>
      <c r="AAV203" s="1009"/>
      <c r="AAW203" s="1009"/>
      <c r="AAX203" s="1009"/>
      <c r="AAY203" s="1009"/>
      <c r="AAZ203" s="1009"/>
      <c r="ABA203" s="1009"/>
      <c r="ABB203" s="1009"/>
      <c r="ABC203" s="1009"/>
      <c r="ABD203" s="1009"/>
      <c r="ABE203" s="1009"/>
      <c r="ABF203" s="1009"/>
      <c r="ABG203" s="1009"/>
      <c r="ABH203" s="1009"/>
      <c r="ABI203" s="1009"/>
      <c r="ABJ203" s="1009"/>
      <c r="ABK203" s="1009"/>
      <c r="ABL203" s="1009"/>
      <c r="ABM203" s="1009"/>
      <c r="ABN203" s="1009"/>
      <c r="ABO203" s="1009"/>
      <c r="ABP203" s="1009"/>
      <c r="ABQ203" s="1009"/>
      <c r="ABR203" s="1009"/>
    </row>
    <row r="204" spans="1:746" s="111" customFormat="1" ht="12.75" customHeight="1">
      <c r="A204" s="924"/>
      <c r="B204" s="899" t="s">
        <v>764</v>
      </c>
      <c r="C204" s="2617"/>
      <c r="D204" s="897"/>
      <c r="E204" s="2937"/>
      <c r="F204" s="2938"/>
      <c r="G204" s="2939"/>
      <c r="H204" s="2548" t="s">
        <v>1334</v>
      </c>
      <c r="I204" s="2591">
        <f>fx!I138+IF(I268&gt;0,I268,0)+IF(I275&gt;0,I275,0)+I236+SUMIF(fx!$I57:'fx'!I57,1,$I239:I239)-SUMIF(fx!$I57:'fx'!I57,1,$I240:I240)</f>
        <v>0</v>
      </c>
      <c r="J204" s="2386">
        <f>fx!J138+IF(J268&gt;0,J268,0)+IF(J275&gt;0,J275,0)+J236+SUMIF(fx!$I57:'fx'!J57,1,$I239:J239)-SUMIF(fx!$I57:'fx'!J57,1,$I240:J240)</f>
        <v>0</v>
      </c>
      <c r="K204" s="2386">
        <f>fx!K138+IF(K268&gt;0,K268,0)+IF(K275&gt;0,K275,0)+K236+SUMIF(fx!$I57:'fx'!K57,1,$I239:K239)-SUMIF(fx!$I57:'fx'!K57,1,$I240:K240)</f>
        <v>0</v>
      </c>
      <c r="L204" s="2386">
        <f>fx!L138+IF(L268&gt;0,L268,0)+IF(L275&gt;0,L275,0)+L236+SUMIF(fx!$I57:'fx'!L57,1,$I239:L239)-SUMIF(fx!$I57:'fx'!L57,1,$I240:L240)</f>
        <v>0</v>
      </c>
      <c r="M204" s="2386">
        <f>fx!M138+IF(M268&gt;0,M268,0)+IF(M275&gt;0,M275,0)+M236+SUMIF(fx!$I57:'fx'!M57,1,$I239:M239)-SUMIF(fx!$I57:'fx'!M57,1,$I240:M240)</f>
        <v>0</v>
      </c>
      <c r="N204" s="2386">
        <f>fx!N138+IF(N268&gt;0,N268,0)+IF(N275&gt;0,N275,0)+N236+SUMIF(fx!$I57:'fx'!N57,1,$I239:N239)-SUMIF(fx!$I57:'fx'!N57,1,$I240:N240)</f>
        <v>0</v>
      </c>
      <c r="O204" s="2386">
        <f>fx!O138+IF(O268&gt;0,O268,0)+IF(O275&gt;0,O275,0)+O236+SUMIF(fx!$I57:'fx'!O57,1,$I239:O239)-SUMIF(fx!$I57:'fx'!O57,1,$I240:O240)</f>
        <v>0</v>
      </c>
      <c r="P204" s="2386">
        <f>fx!P138+IF(P268&gt;0,P268,0)+IF(P275&gt;0,P275,0)+P236+SUMIF(fx!$I57:'fx'!P57,1,$I239:P239)-SUMIF(fx!$I57:'fx'!P57,1,$I240:P240)</f>
        <v>0</v>
      </c>
      <c r="Q204" s="2386">
        <f>fx!Q138+IF(Q268&gt;0,Q268,0)+IF(Q275&gt;0,Q275,0)+Q236+SUMIF(fx!$I57:'fx'!Q57,1,$I239:Q239)-SUMIF(fx!$I57:'fx'!Q57,1,$I240:Q240)</f>
        <v>0</v>
      </c>
      <c r="R204" s="2386">
        <f>fx!R138+IF(R268&gt;0,R268,0)+IF(R275&gt;0,R275,0)+R236+SUMIF(fx!$I57:'fx'!R57,1,$I239:R239)-SUMIF(fx!$I57:'fx'!R57,1,$I240:R240)</f>
        <v>0</v>
      </c>
      <c r="S204" s="2386">
        <f>fx!S138+IF(S268&gt;0,S268,0)+IF(S275&gt;0,S275,0)+S236+SUMIF(fx!$I57:'fx'!S57,1,$I239:S239)-SUMIF(fx!$I57:'fx'!S57,1,$I240:S240)</f>
        <v>0</v>
      </c>
      <c r="T204" s="2386">
        <f>fx!T138+IF(T268&gt;0,T268,0)+IF(T275&gt;0,T275,0)+T236+SUMIF(fx!$I57:'fx'!T57,1,$I239:T239)-SUMIF(fx!$I57:'fx'!T57,1,$I240:T240)</f>
        <v>0</v>
      </c>
      <c r="U204" s="2386">
        <f>fx!U138+IF(U268&gt;0,U268,0)+IF(U275&gt;0,U275,0)+U236+SUMIF(fx!$I57:'fx'!U57,1,$I239:U239)-SUMIF(fx!$I57:'fx'!U57,1,$I240:U240)</f>
        <v>0</v>
      </c>
      <c r="V204" s="2386">
        <f>fx!V138+IF(V268&gt;0,V268,0)+IF(V275&gt;0,V275,0)+V236+SUMIF(fx!$I57:'fx'!V57,1,$I239:V239)-SUMIF(fx!$I57:'fx'!V57,1,$I240:V240)</f>
        <v>0</v>
      </c>
      <c r="W204" s="2386">
        <f>fx!W138+IF(W268&gt;0,W268,0)+IF(W275&gt;0,W275,0)+W236+SUMIF(fx!$I57:'fx'!W57,1,$I239:W239)-SUMIF(fx!$I57:'fx'!W57,1,$I240:W240)</f>
        <v>0</v>
      </c>
      <c r="X204" s="2386">
        <f>fx!X138+IF(X268&gt;0,X268,0)+IF(X275&gt;0,X275,0)+X236+SUMIF(fx!$I57:'fx'!X57,1,$I239:X239)-SUMIF(fx!$I57:'fx'!X57,1,$I240:X240)</f>
        <v>0</v>
      </c>
      <c r="Y204" s="2386">
        <f>fx!Y138+IF(Y268&gt;0,Y268,0)+IF(Y275&gt;0,Y275,0)+Y236+SUMIF(fx!$I57:'fx'!Y57,1,$I239:Y239)-SUMIF(fx!$I57:'fx'!Y57,1,$I240:Y240)</f>
        <v>0</v>
      </c>
      <c r="Z204" s="2386">
        <f>fx!Z138+IF(Z268&gt;0,Z268,0)+IF(Z275&gt;0,Z275,0)+Z236+SUMIF(fx!$I57:'fx'!Z57,1,$I239:Z239)-SUMIF(fx!$I57:'fx'!Z57,1,$I240:Z240)</f>
        <v>0</v>
      </c>
      <c r="AA204" s="2386">
        <f>fx!AA138+IF(AA268&gt;0,AA268,0)+IF(AA275&gt;0,AA275,0)+AA236+SUMIF(fx!$I57:'fx'!AA57,1,$I239:AA239)-SUMIF(fx!$I57:'fx'!AA57,1,$I240:AA240)</f>
        <v>0</v>
      </c>
      <c r="AB204" s="2386">
        <f>fx!AB138+IF(AB268&gt;0,AB268,0)+IF(AB275&gt;0,AB275,0)+AB236+SUMIF(fx!$I57:'fx'!AB57,1,$I239:AB239)-SUMIF(fx!$I57:'fx'!AB57,1,$I240:AB240)</f>
        <v>0</v>
      </c>
      <c r="AC204" s="2386">
        <f>fx!AC138+IF(AC268&gt;0,AC268,0)+IF(AC275&gt;0,AC275,0)+AC236+SUMIF(fx!$I57:'fx'!AC57,1,$I239:AC239)-SUMIF(fx!$I57:'fx'!AC57,1,$I240:AC240)</f>
        <v>0</v>
      </c>
      <c r="AD204" s="2386">
        <f>fx!AD138+IF(AD268&gt;0,AD268,0)+IF(AD275&gt;0,AD275,0)+AD236+SUMIF(fx!$I57:'fx'!AD57,1,$I239:AD239)-SUMIF(fx!$I57:'fx'!AD57,1,$I240:AD240)</f>
        <v>0</v>
      </c>
      <c r="AE204" s="2386">
        <f>fx!AE138+IF(AE268&gt;0,AE268,0)+IF(AE275&gt;0,AE275,0)+AE236+SUMIF(fx!$I57:'fx'!AE57,1,$I239:AE239)-SUMIF(fx!$I57:'fx'!AE57,1,$I240:AE240)</f>
        <v>0</v>
      </c>
      <c r="AF204" s="2386">
        <f>fx!AF138+IF(AF268&gt;0,AF268,0)+IF(AF275&gt;0,AF275,0)+AF236+SUMIF(fx!$I57:'fx'!AF57,1,$I239:AF239)-SUMIF(fx!$I57:'fx'!AF57,1,$I240:AF240)</f>
        <v>0</v>
      </c>
      <c r="AG204" s="376"/>
      <c r="AH204" s="769"/>
      <c r="AI204" s="769"/>
      <c r="AJ204" s="770">
        <f>IF(fx!$C$57=1,T204,IF(fx!$C$57=2,AF204))</f>
        <v>0</v>
      </c>
      <c r="AK204" s="774"/>
      <c r="AL204" s="771">
        <f>IF(fx!$C$57=1,AF204,0)</f>
        <v>0</v>
      </c>
      <c r="AM204" s="1009"/>
      <c r="AN204" s="1009"/>
      <c r="AO204" s="1945"/>
      <c r="AP204" s="1935"/>
      <c r="AQ204" s="1936"/>
      <c r="AR204" s="1941"/>
      <c r="AS204" s="1941"/>
      <c r="AT204" s="1941"/>
      <c r="AU204" s="1941"/>
      <c r="AV204" s="1941"/>
      <c r="AW204" s="1941"/>
      <c r="AX204" s="1941"/>
      <c r="AY204" s="1941"/>
      <c r="AZ204" s="1941"/>
      <c r="BA204" s="1941"/>
      <c r="BB204" s="1941"/>
      <c r="BC204" s="1941"/>
      <c r="BD204" s="1941"/>
      <c r="BE204" s="1941"/>
      <c r="BF204" s="1941"/>
      <c r="BG204" s="1941"/>
      <c r="BH204" s="1941"/>
      <c r="BI204" s="1941"/>
      <c r="BJ204" s="1941"/>
      <c r="BK204" s="1941"/>
      <c r="BL204" s="1941"/>
      <c r="BM204" s="1941"/>
      <c r="BN204" s="1941"/>
      <c r="BO204" s="1941"/>
      <c r="BP204" s="1009"/>
      <c r="BQ204" s="1009"/>
      <c r="BR204" s="1009"/>
      <c r="BS204" s="1009"/>
      <c r="BT204" s="1009"/>
      <c r="BU204" s="1009"/>
      <c r="BV204" s="1009"/>
      <c r="BW204" s="1009"/>
      <c r="BX204" s="1009"/>
      <c r="BY204" s="1009"/>
      <c r="BZ204" s="1009"/>
      <c r="CA204" s="1009"/>
      <c r="CB204" s="1009"/>
      <c r="CC204" s="1009"/>
      <c r="CD204" s="1009"/>
      <c r="CE204" s="1009"/>
      <c r="CF204" s="1009"/>
      <c r="CG204" s="1009"/>
      <c r="CH204" s="1009"/>
      <c r="CI204" s="1009"/>
      <c r="CJ204" s="1009"/>
      <c r="CK204" s="1009"/>
      <c r="CL204" s="1009"/>
      <c r="CM204" s="1009"/>
      <c r="CN204" s="1009"/>
      <c r="CO204" s="1009"/>
      <c r="CP204" s="1009"/>
      <c r="CQ204" s="1009"/>
      <c r="CR204" s="1009"/>
      <c r="CS204" s="1009"/>
      <c r="CT204" s="1009"/>
      <c r="CU204" s="1009"/>
      <c r="CV204" s="1009"/>
      <c r="CW204" s="1009"/>
      <c r="CX204" s="1009"/>
      <c r="CY204" s="1009"/>
      <c r="CZ204" s="1009"/>
      <c r="DA204" s="1009"/>
      <c r="DB204" s="1009"/>
      <c r="DC204" s="1009"/>
      <c r="DD204" s="1009"/>
      <c r="DE204" s="1009"/>
      <c r="DF204" s="1009"/>
      <c r="DG204" s="1009"/>
      <c r="DH204" s="1009"/>
      <c r="DI204" s="1009"/>
      <c r="DJ204" s="1009"/>
      <c r="DK204" s="1009"/>
      <c r="DL204" s="1009"/>
      <c r="DM204" s="1009"/>
      <c r="DN204" s="1009"/>
      <c r="DO204" s="1009"/>
      <c r="DP204" s="1009"/>
      <c r="DQ204" s="1009"/>
      <c r="DR204" s="1009"/>
      <c r="DS204" s="1009"/>
      <c r="DT204" s="1009"/>
      <c r="DU204" s="1009"/>
      <c r="DV204" s="1009"/>
      <c r="DW204" s="1009"/>
      <c r="DX204" s="1009"/>
      <c r="DY204" s="1009"/>
      <c r="DZ204" s="1009"/>
      <c r="EA204" s="1009"/>
      <c r="EB204" s="1009"/>
      <c r="EC204" s="1009"/>
      <c r="ED204" s="1009"/>
      <c r="EE204" s="1009"/>
      <c r="EF204" s="1009"/>
      <c r="EG204" s="1009"/>
      <c r="EH204" s="1009"/>
      <c r="EI204" s="1009"/>
      <c r="EJ204" s="1009"/>
      <c r="EK204" s="1009"/>
      <c r="EL204" s="1009"/>
      <c r="EM204" s="1009"/>
      <c r="EN204" s="1009"/>
      <c r="EO204" s="1009"/>
      <c r="EP204" s="1009"/>
      <c r="EQ204" s="1009"/>
      <c r="ER204" s="1009"/>
      <c r="ES204" s="1009"/>
      <c r="ET204" s="1009"/>
      <c r="EU204" s="1009"/>
      <c r="EV204" s="1009"/>
      <c r="EW204" s="1009"/>
      <c r="EX204" s="1009"/>
      <c r="EY204" s="1009"/>
      <c r="EZ204" s="1009"/>
      <c r="FA204" s="1009"/>
      <c r="FB204" s="1009"/>
      <c r="FC204" s="1009"/>
      <c r="FD204" s="1009"/>
      <c r="FE204" s="1009"/>
      <c r="FF204" s="1009"/>
      <c r="FG204" s="1009"/>
      <c r="FH204" s="1009"/>
      <c r="FI204" s="1009"/>
      <c r="FJ204" s="1009"/>
      <c r="FK204" s="1009"/>
      <c r="FL204" s="1009"/>
      <c r="FM204" s="1009"/>
      <c r="FN204" s="1009"/>
      <c r="FO204" s="1009"/>
      <c r="FP204" s="1009"/>
      <c r="FQ204" s="1009"/>
      <c r="FR204" s="1009"/>
      <c r="FS204" s="1009"/>
      <c r="FT204" s="1009"/>
      <c r="FU204" s="1009"/>
      <c r="FV204" s="1009"/>
      <c r="FW204" s="1009"/>
      <c r="FX204" s="1009"/>
      <c r="FY204" s="1009"/>
      <c r="FZ204" s="1009"/>
      <c r="GA204" s="1009"/>
      <c r="GB204" s="1009"/>
      <c r="GC204" s="1009"/>
      <c r="GD204" s="1009"/>
      <c r="GE204" s="1009"/>
      <c r="GF204" s="1009"/>
      <c r="GG204" s="1009"/>
      <c r="GH204" s="1009"/>
      <c r="GI204" s="1009"/>
      <c r="GJ204" s="1009"/>
      <c r="GK204" s="1009"/>
      <c r="GL204" s="1009"/>
      <c r="GM204" s="1009"/>
      <c r="GN204" s="1009"/>
      <c r="GO204" s="1009"/>
      <c r="GP204" s="1009"/>
      <c r="GQ204" s="1009"/>
      <c r="GR204" s="1009"/>
      <c r="GS204" s="1009"/>
      <c r="GT204" s="1009"/>
      <c r="GU204" s="1009"/>
      <c r="GV204" s="1009"/>
      <c r="GW204" s="1009"/>
      <c r="GX204" s="1009"/>
      <c r="GY204" s="1009"/>
      <c r="GZ204" s="1009"/>
      <c r="HA204" s="1009"/>
      <c r="HB204" s="1009"/>
      <c r="HC204" s="1009"/>
      <c r="HD204" s="1009"/>
      <c r="HE204" s="1009"/>
      <c r="HF204" s="1009"/>
      <c r="HG204" s="1009"/>
      <c r="HH204" s="1009"/>
      <c r="HI204" s="1009"/>
      <c r="HJ204" s="1009"/>
      <c r="HK204" s="1009"/>
      <c r="HL204" s="1009"/>
      <c r="HM204" s="1009"/>
      <c r="HN204" s="1009"/>
      <c r="HO204" s="1009"/>
      <c r="HP204" s="1009"/>
      <c r="HQ204" s="1009"/>
      <c r="HR204" s="1009"/>
      <c r="HS204" s="1009"/>
      <c r="HT204" s="1009"/>
      <c r="HU204" s="1009"/>
      <c r="HV204" s="1009"/>
      <c r="HW204" s="1009"/>
      <c r="HX204" s="1009"/>
      <c r="HY204" s="1009"/>
      <c r="HZ204" s="1009"/>
      <c r="IA204" s="1009"/>
      <c r="IB204" s="1009"/>
      <c r="IC204" s="1009"/>
      <c r="ID204" s="1009"/>
      <c r="IE204" s="1009"/>
      <c r="IF204" s="1009"/>
      <c r="IG204" s="1009"/>
      <c r="IH204" s="1009"/>
      <c r="II204" s="1009"/>
      <c r="IJ204" s="1009"/>
      <c r="IK204" s="1009"/>
      <c r="IL204" s="1009"/>
      <c r="IM204" s="1009"/>
      <c r="IN204" s="1009"/>
      <c r="IO204" s="1009"/>
      <c r="IP204" s="1009"/>
      <c r="IQ204" s="1009"/>
      <c r="IR204" s="1009"/>
      <c r="IS204" s="1009"/>
      <c r="IT204" s="1009"/>
      <c r="IU204" s="1009"/>
      <c r="IV204" s="1009"/>
      <c r="IW204" s="1009"/>
      <c r="IX204" s="1009"/>
      <c r="IY204" s="1009"/>
      <c r="IZ204" s="1009"/>
      <c r="JA204" s="1009"/>
      <c r="JB204" s="1009"/>
      <c r="JC204" s="1009"/>
      <c r="JD204" s="1009"/>
      <c r="JE204" s="1009"/>
      <c r="JF204" s="1009"/>
      <c r="JG204" s="1009"/>
      <c r="JH204" s="1009"/>
      <c r="JI204" s="1009"/>
      <c r="JJ204" s="1009"/>
      <c r="JK204" s="1009"/>
      <c r="JL204" s="1009"/>
      <c r="JM204" s="1009"/>
      <c r="JN204" s="1009"/>
      <c r="JO204" s="1009"/>
      <c r="JP204" s="1009"/>
      <c r="JQ204" s="1009"/>
      <c r="JR204" s="1009"/>
      <c r="JS204" s="1009"/>
      <c r="JT204" s="1009"/>
      <c r="JU204" s="1009"/>
      <c r="JV204" s="1009"/>
      <c r="JW204" s="1009"/>
      <c r="JX204" s="1009"/>
      <c r="JY204" s="1009"/>
      <c r="JZ204" s="1009"/>
      <c r="KA204" s="1009"/>
      <c r="KB204" s="1009"/>
      <c r="KC204" s="1009"/>
      <c r="KD204" s="1009"/>
      <c r="KE204" s="1009"/>
      <c r="KF204" s="1009"/>
      <c r="KG204" s="1009"/>
      <c r="KH204" s="1009"/>
      <c r="KI204" s="1009"/>
      <c r="KJ204" s="1009"/>
      <c r="KK204" s="1009"/>
      <c r="KL204" s="1009"/>
      <c r="KM204" s="1009"/>
      <c r="KN204" s="1009"/>
      <c r="KO204" s="1009"/>
      <c r="KP204" s="1009"/>
      <c r="KQ204" s="1009"/>
      <c r="KR204" s="1009"/>
      <c r="KS204" s="1009"/>
      <c r="KT204" s="1009"/>
      <c r="KU204" s="1009"/>
      <c r="KV204" s="1009"/>
      <c r="KW204" s="1009"/>
      <c r="KX204" s="1009"/>
      <c r="KY204" s="1009"/>
      <c r="KZ204" s="1009"/>
      <c r="LA204" s="1009"/>
      <c r="LB204" s="1009"/>
      <c r="LC204" s="1009"/>
      <c r="LD204" s="1009"/>
      <c r="LE204" s="1009"/>
      <c r="LF204" s="1009"/>
      <c r="LG204" s="1009"/>
      <c r="LH204" s="1009"/>
      <c r="LI204" s="1009"/>
      <c r="LJ204" s="1009"/>
      <c r="LK204" s="1009"/>
      <c r="LL204" s="1009"/>
      <c r="LM204" s="1009"/>
      <c r="LN204" s="1009"/>
      <c r="LO204" s="1009"/>
      <c r="LP204" s="1009"/>
      <c r="LQ204" s="1009"/>
      <c r="LR204" s="1009"/>
      <c r="LS204" s="1009"/>
      <c r="LT204" s="1009"/>
      <c r="LU204" s="1009"/>
      <c r="LV204" s="1009"/>
      <c r="LW204" s="1009"/>
      <c r="LX204" s="1009"/>
      <c r="LY204" s="1009"/>
      <c r="LZ204" s="1009"/>
      <c r="MA204" s="1009"/>
      <c r="MB204" s="1009"/>
      <c r="MC204" s="1009"/>
      <c r="MD204" s="1009"/>
      <c r="ME204" s="1009"/>
      <c r="MF204" s="1009"/>
      <c r="MG204" s="1009"/>
      <c r="MH204" s="1009"/>
      <c r="MI204" s="1009"/>
      <c r="MJ204" s="1009"/>
      <c r="MK204" s="1009"/>
      <c r="ML204" s="1009"/>
      <c r="MM204" s="1009"/>
      <c r="MN204" s="1009"/>
      <c r="MO204" s="1009"/>
      <c r="MP204" s="1009"/>
      <c r="MQ204" s="1009"/>
      <c r="MR204" s="1009"/>
      <c r="MS204" s="1009"/>
      <c r="MT204" s="1009"/>
      <c r="MU204" s="1009"/>
      <c r="MV204" s="1009"/>
      <c r="MW204" s="1009"/>
      <c r="MX204" s="1009"/>
      <c r="MY204" s="1009"/>
      <c r="MZ204" s="1009"/>
      <c r="NA204" s="1009"/>
      <c r="NB204" s="1009"/>
      <c r="NC204" s="1009"/>
      <c r="ND204" s="1009"/>
      <c r="NE204" s="1009"/>
      <c r="NF204" s="1009"/>
      <c r="NG204" s="1009"/>
      <c r="NH204" s="1009"/>
      <c r="NI204" s="1009"/>
      <c r="NJ204" s="1009"/>
      <c r="NK204" s="1009"/>
      <c r="NL204" s="1009"/>
      <c r="NM204" s="1009"/>
      <c r="NN204" s="1009"/>
      <c r="NO204" s="1009"/>
      <c r="NP204" s="1009"/>
      <c r="NQ204" s="1009"/>
      <c r="NR204" s="1009"/>
      <c r="NS204" s="1009"/>
      <c r="NT204" s="1009"/>
      <c r="NU204" s="1009"/>
      <c r="NV204" s="1009"/>
      <c r="NW204" s="1009"/>
      <c r="NX204" s="1009"/>
      <c r="NY204" s="1009"/>
      <c r="NZ204" s="1009"/>
      <c r="OA204" s="1009"/>
      <c r="OB204" s="1009"/>
      <c r="OC204" s="1009"/>
      <c r="OD204" s="1009"/>
      <c r="OE204" s="1009"/>
      <c r="OF204" s="1009"/>
      <c r="OG204" s="1009"/>
      <c r="OH204" s="1009"/>
      <c r="OI204" s="1009"/>
      <c r="OJ204" s="1009"/>
      <c r="OK204" s="1009"/>
      <c r="OL204" s="1009"/>
      <c r="OM204" s="1009"/>
      <c r="ON204" s="1009"/>
      <c r="OO204" s="1009"/>
      <c r="OP204" s="1009"/>
      <c r="OQ204" s="1009"/>
      <c r="OR204" s="1009"/>
      <c r="OS204" s="1009"/>
      <c r="OT204" s="1009"/>
      <c r="OU204" s="1009"/>
      <c r="OV204" s="1009"/>
      <c r="OW204" s="1009"/>
      <c r="OX204" s="1009"/>
      <c r="OY204" s="1009"/>
      <c r="OZ204" s="1009"/>
      <c r="PA204" s="1009"/>
      <c r="PB204" s="1009"/>
      <c r="PC204" s="1009"/>
      <c r="PD204" s="1009"/>
      <c r="PE204" s="1009"/>
      <c r="PF204" s="1009"/>
      <c r="PG204" s="1009"/>
      <c r="PH204" s="1009"/>
      <c r="PI204" s="1009"/>
      <c r="PJ204" s="1009"/>
      <c r="PK204" s="1009"/>
      <c r="PL204" s="1009"/>
      <c r="PM204" s="1009"/>
      <c r="PN204" s="1009"/>
      <c r="PO204" s="1009"/>
      <c r="PP204" s="1009"/>
      <c r="PQ204" s="1009"/>
      <c r="PR204" s="1009"/>
      <c r="PS204" s="1009"/>
      <c r="PT204" s="1009"/>
      <c r="PU204" s="1009"/>
      <c r="PV204" s="1009"/>
      <c r="PW204" s="1009"/>
      <c r="PX204" s="1009"/>
      <c r="PY204" s="1009"/>
      <c r="PZ204" s="1009"/>
      <c r="QA204" s="1009"/>
      <c r="QB204" s="1009"/>
      <c r="QC204" s="1009"/>
      <c r="QD204" s="1009"/>
      <c r="QE204" s="1009"/>
      <c r="QF204" s="1009"/>
      <c r="QG204" s="1009"/>
      <c r="QH204" s="1009"/>
      <c r="QI204" s="1009"/>
      <c r="QJ204" s="1009"/>
      <c r="QK204" s="1009"/>
      <c r="QL204" s="1009"/>
      <c r="QM204" s="1009"/>
      <c r="QN204" s="1009"/>
      <c r="QO204" s="1009"/>
      <c r="QP204" s="1009"/>
      <c r="QQ204" s="1009"/>
      <c r="QR204" s="1009"/>
      <c r="QS204" s="1009"/>
      <c r="QT204" s="1009"/>
      <c r="QU204" s="1009"/>
      <c r="QV204" s="1009"/>
      <c r="QW204" s="1009"/>
      <c r="QX204" s="1009"/>
      <c r="QY204" s="1009"/>
      <c r="QZ204" s="1009"/>
      <c r="RA204" s="1009"/>
      <c r="RB204" s="1009"/>
      <c r="RC204" s="1009"/>
      <c r="RD204" s="1009"/>
      <c r="RE204" s="1009"/>
      <c r="RF204" s="1009"/>
      <c r="RG204" s="1009"/>
      <c r="RH204" s="1009"/>
      <c r="RI204" s="1009"/>
      <c r="RJ204" s="1009"/>
      <c r="RK204" s="1009"/>
      <c r="RL204" s="1009"/>
      <c r="RM204" s="1009"/>
      <c r="RN204" s="1009"/>
      <c r="RO204" s="1009"/>
      <c r="RP204" s="1009"/>
      <c r="RQ204" s="1009"/>
      <c r="RR204" s="1009"/>
      <c r="RS204" s="1009"/>
      <c r="RT204" s="1009"/>
      <c r="RU204" s="1009"/>
      <c r="RV204" s="1009"/>
      <c r="RW204" s="1009"/>
      <c r="RX204" s="1009"/>
      <c r="RY204" s="1009"/>
      <c r="RZ204" s="1009"/>
      <c r="SA204" s="1009"/>
      <c r="SB204" s="1009"/>
      <c r="SC204" s="1009"/>
      <c r="SD204" s="1009"/>
      <c r="SE204" s="1009"/>
      <c r="SF204" s="1009"/>
      <c r="SG204" s="1009"/>
      <c r="SH204" s="1009"/>
      <c r="SI204" s="1009"/>
      <c r="SJ204" s="1009"/>
      <c r="SK204" s="1009"/>
      <c r="SL204" s="1009"/>
      <c r="SM204" s="1009"/>
      <c r="SN204" s="1009"/>
      <c r="SO204" s="1009"/>
      <c r="SP204" s="1009"/>
      <c r="SQ204" s="1009"/>
      <c r="SR204" s="1009"/>
      <c r="SS204" s="1009"/>
      <c r="ST204" s="1009"/>
      <c r="SU204" s="1009"/>
      <c r="SV204" s="1009"/>
      <c r="SW204" s="1009"/>
      <c r="SX204" s="1009"/>
      <c r="SY204" s="1009"/>
      <c r="SZ204" s="1009"/>
      <c r="TA204" s="1009"/>
      <c r="TB204" s="1009"/>
      <c r="TC204" s="1009"/>
      <c r="TD204" s="1009"/>
      <c r="TE204" s="1009"/>
      <c r="TF204" s="1009"/>
      <c r="TG204" s="1009"/>
      <c r="TH204" s="1009"/>
      <c r="TI204" s="1009"/>
      <c r="TJ204" s="1009"/>
      <c r="TK204" s="1009"/>
      <c r="TL204" s="1009"/>
      <c r="TM204" s="1009"/>
      <c r="TN204" s="1009"/>
      <c r="TO204" s="1009"/>
      <c r="TP204" s="1009"/>
      <c r="TQ204" s="1009"/>
      <c r="TR204" s="1009"/>
      <c r="TS204" s="1009"/>
      <c r="TT204" s="1009"/>
      <c r="TU204" s="1009"/>
      <c r="TV204" s="1009"/>
      <c r="TW204" s="1009"/>
      <c r="TX204" s="1009"/>
      <c r="TY204" s="1009"/>
      <c r="TZ204" s="1009"/>
      <c r="UA204" s="1009"/>
      <c r="UB204" s="1009"/>
      <c r="UC204" s="1009"/>
      <c r="UD204" s="1009"/>
      <c r="UE204" s="1009"/>
      <c r="UF204" s="1009"/>
      <c r="UG204" s="1009"/>
      <c r="UH204" s="1009"/>
      <c r="UI204" s="1009"/>
      <c r="UJ204" s="1009"/>
      <c r="UK204" s="1009"/>
      <c r="UL204" s="1009"/>
      <c r="UM204" s="1009"/>
      <c r="UN204" s="1009"/>
      <c r="UO204" s="1009"/>
      <c r="UP204" s="1009"/>
      <c r="UQ204" s="1009"/>
      <c r="UR204" s="1009"/>
      <c r="US204" s="1009"/>
      <c r="UT204" s="1009"/>
      <c r="UU204" s="1009"/>
      <c r="UV204" s="1009"/>
      <c r="UW204" s="1009"/>
      <c r="UX204" s="1009"/>
      <c r="UY204" s="1009"/>
      <c r="UZ204" s="1009"/>
      <c r="VA204" s="1009"/>
      <c r="VB204" s="1009"/>
      <c r="VC204" s="1009"/>
      <c r="VD204" s="1009"/>
      <c r="VE204" s="1009"/>
      <c r="VF204" s="1009"/>
      <c r="VG204" s="1009"/>
      <c r="VH204" s="1009"/>
      <c r="VI204" s="1009"/>
      <c r="VJ204" s="1009"/>
      <c r="VK204" s="1009"/>
      <c r="VL204" s="1009"/>
      <c r="VM204" s="1009"/>
      <c r="VN204" s="1009"/>
      <c r="VO204" s="1009"/>
      <c r="VP204" s="1009"/>
      <c r="VQ204" s="1009"/>
      <c r="VR204" s="1009"/>
      <c r="VS204" s="1009"/>
      <c r="VT204" s="1009"/>
      <c r="VU204" s="1009"/>
      <c r="VV204" s="1009"/>
      <c r="VW204" s="1009"/>
      <c r="VX204" s="1009"/>
      <c r="VY204" s="1009"/>
      <c r="VZ204" s="1009"/>
      <c r="WA204" s="1009"/>
      <c r="WB204" s="1009"/>
      <c r="WC204" s="1009"/>
      <c r="WD204" s="1009"/>
      <c r="WE204" s="1009"/>
      <c r="WF204" s="1009"/>
      <c r="WG204" s="1009"/>
      <c r="WH204" s="1009"/>
      <c r="WI204" s="1009"/>
      <c r="WJ204" s="1009"/>
      <c r="WK204" s="1009"/>
      <c r="WL204" s="1009"/>
      <c r="WM204" s="1009"/>
      <c r="WN204" s="1009"/>
      <c r="WO204" s="1009"/>
      <c r="WP204" s="1009"/>
      <c r="WQ204" s="1009"/>
      <c r="WR204" s="1009"/>
      <c r="WS204" s="1009"/>
      <c r="WT204" s="1009"/>
      <c r="WU204" s="1009"/>
      <c r="WV204" s="1009"/>
      <c r="WW204" s="1009"/>
      <c r="WX204" s="1009"/>
      <c r="WY204" s="1009"/>
      <c r="WZ204" s="1009"/>
      <c r="XA204" s="1009"/>
      <c r="XB204" s="1009"/>
      <c r="XC204" s="1009"/>
      <c r="XD204" s="1009"/>
      <c r="XE204" s="1009"/>
      <c r="XF204" s="1009"/>
      <c r="XG204" s="1009"/>
      <c r="XH204" s="1009"/>
      <c r="XI204" s="1009"/>
      <c r="XJ204" s="1009"/>
      <c r="XK204" s="1009"/>
      <c r="XL204" s="1009"/>
      <c r="XM204" s="1009"/>
      <c r="XN204" s="1009"/>
      <c r="XO204" s="1009"/>
      <c r="XP204" s="1009"/>
      <c r="XQ204" s="1009"/>
      <c r="XR204" s="1009"/>
      <c r="XS204" s="1009"/>
      <c r="XT204" s="1009"/>
      <c r="XU204" s="1009"/>
      <c r="XV204" s="1009"/>
      <c r="XW204" s="1009"/>
      <c r="XX204" s="1009"/>
      <c r="XY204" s="1009"/>
      <c r="XZ204" s="1009"/>
      <c r="YA204" s="1009"/>
      <c r="YB204" s="1009"/>
      <c r="YC204" s="1009"/>
      <c r="YD204" s="1009"/>
      <c r="YE204" s="1009"/>
      <c r="YF204" s="1009"/>
      <c r="YG204" s="1009"/>
      <c r="YH204" s="1009"/>
      <c r="YI204" s="1009"/>
      <c r="YJ204" s="1009"/>
      <c r="YK204" s="1009"/>
      <c r="YL204" s="1009"/>
      <c r="YM204" s="1009"/>
      <c r="YN204" s="1009"/>
      <c r="YO204" s="1009"/>
      <c r="YP204" s="1009"/>
      <c r="YQ204" s="1009"/>
      <c r="YR204" s="1009"/>
      <c r="YS204" s="1009"/>
      <c r="YT204" s="1009"/>
      <c r="YU204" s="1009"/>
      <c r="YV204" s="1009"/>
      <c r="YW204" s="1009"/>
      <c r="YX204" s="1009"/>
      <c r="YY204" s="1009"/>
      <c r="YZ204" s="1009"/>
      <c r="ZA204" s="1009"/>
      <c r="ZB204" s="1009"/>
      <c r="ZC204" s="1009"/>
      <c r="ZD204" s="1009"/>
      <c r="ZE204" s="1009"/>
      <c r="ZF204" s="1009"/>
      <c r="ZG204" s="1009"/>
      <c r="ZH204" s="1009"/>
      <c r="ZI204" s="1009"/>
      <c r="ZJ204" s="1009"/>
      <c r="ZK204" s="1009"/>
      <c r="ZL204" s="1009"/>
      <c r="ZM204" s="1009"/>
      <c r="ZN204" s="1009"/>
      <c r="ZO204" s="1009"/>
      <c r="ZP204" s="1009"/>
      <c r="ZQ204" s="1009"/>
      <c r="ZR204" s="1009"/>
      <c r="ZS204" s="1009"/>
      <c r="ZT204" s="1009"/>
      <c r="ZU204" s="1009"/>
      <c r="ZV204" s="1009"/>
      <c r="ZW204" s="1009"/>
      <c r="ZX204" s="1009"/>
      <c r="ZY204" s="1009"/>
      <c r="ZZ204" s="1009"/>
      <c r="AAA204" s="1009"/>
      <c r="AAB204" s="1009"/>
      <c r="AAC204" s="1009"/>
      <c r="AAD204" s="1009"/>
      <c r="AAE204" s="1009"/>
      <c r="AAF204" s="1009"/>
      <c r="AAG204" s="1009"/>
      <c r="AAH204" s="1009"/>
      <c r="AAI204" s="1009"/>
      <c r="AAJ204" s="1009"/>
      <c r="AAK204" s="1009"/>
      <c r="AAL204" s="1009"/>
      <c r="AAM204" s="1009"/>
      <c r="AAN204" s="1009"/>
      <c r="AAO204" s="1009"/>
      <c r="AAP204" s="1009"/>
      <c r="AAQ204" s="1009"/>
      <c r="AAR204" s="1009"/>
      <c r="AAS204" s="1009"/>
      <c r="AAT204" s="1009"/>
      <c r="AAU204" s="1009"/>
      <c r="AAV204" s="1009"/>
      <c r="AAW204" s="1009"/>
      <c r="AAX204" s="1009"/>
      <c r="AAY204" s="1009"/>
      <c r="AAZ204" s="1009"/>
      <c r="ABA204" s="1009"/>
      <c r="ABB204" s="1009"/>
      <c r="ABC204" s="1009"/>
      <c r="ABD204" s="1009"/>
      <c r="ABE204" s="1009"/>
      <c r="ABF204" s="1009"/>
      <c r="ABG204" s="1009"/>
      <c r="ABH204" s="1009"/>
      <c r="ABI204" s="1009"/>
      <c r="ABJ204" s="1009"/>
      <c r="ABK204" s="1009"/>
      <c r="ABL204" s="1009"/>
      <c r="ABM204" s="1009"/>
      <c r="ABN204" s="1009"/>
      <c r="ABO204" s="1009"/>
      <c r="ABP204" s="1009"/>
      <c r="ABQ204" s="1009"/>
      <c r="ABR204" s="1009"/>
    </row>
    <row r="205" spans="1:746" s="111" customFormat="1" ht="12.75" customHeight="1">
      <c r="A205" s="924"/>
      <c r="B205" s="2618" t="s">
        <v>226</v>
      </c>
      <c r="C205" s="936"/>
      <c r="D205" s="897"/>
      <c r="E205" s="2937"/>
      <c r="F205" s="2938"/>
      <c r="G205" s="2939"/>
      <c r="H205" s="2548" t="s">
        <v>1334</v>
      </c>
      <c r="I205" s="2591">
        <f ca="1">fx!I317+I225</f>
        <v>0</v>
      </c>
      <c r="J205" s="2387">
        <f ca="1">fx!J317+J225</f>
        <v>0</v>
      </c>
      <c r="K205" s="2387">
        <f ca="1">fx!K317+K225</f>
        <v>0</v>
      </c>
      <c r="L205" s="2387">
        <f ca="1">fx!L317+L225</f>
        <v>0</v>
      </c>
      <c r="M205" s="2387">
        <f ca="1">fx!M317+M225</f>
        <v>0</v>
      </c>
      <c r="N205" s="2387">
        <f ca="1">fx!N317+N225</f>
        <v>0</v>
      </c>
      <c r="O205" s="2387">
        <f ca="1">fx!O317+O225</f>
        <v>0</v>
      </c>
      <c r="P205" s="2387">
        <f ca="1">fx!P317+P225</f>
        <v>0</v>
      </c>
      <c r="Q205" s="2387">
        <f ca="1">fx!Q317+Q225</f>
        <v>0</v>
      </c>
      <c r="R205" s="2387">
        <f ca="1">fx!R317+R225</f>
        <v>0</v>
      </c>
      <c r="S205" s="2387">
        <f ca="1">fx!S317+S225</f>
        <v>0</v>
      </c>
      <c r="T205" s="2387">
        <f ca="1">fx!T317+T225</f>
        <v>0</v>
      </c>
      <c r="U205" s="2387">
        <f ca="1">fx!U317+U225</f>
        <v>0</v>
      </c>
      <c r="V205" s="2387">
        <f ca="1">fx!V317+V225</f>
        <v>0</v>
      </c>
      <c r="W205" s="2387">
        <f ca="1">fx!W317+W225</f>
        <v>0</v>
      </c>
      <c r="X205" s="2387">
        <f ca="1">fx!X317+X225</f>
        <v>0</v>
      </c>
      <c r="Y205" s="2387">
        <f ca="1">fx!Y317+Y225</f>
        <v>0</v>
      </c>
      <c r="Z205" s="2387">
        <f ca="1">fx!Z317+Z225</f>
        <v>0</v>
      </c>
      <c r="AA205" s="2387">
        <f ca="1">fx!AA317+AA225</f>
        <v>0</v>
      </c>
      <c r="AB205" s="2387">
        <f ca="1">fx!AB317+AB225</f>
        <v>0</v>
      </c>
      <c r="AC205" s="2387">
        <f ca="1">fx!AC317+AC225</f>
        <v>0</v>
      </c>
      <c r="AD205" s="2387">
        <f ca="1">fx!AD317+AD225</f>
        <v>0</v>
      </c>
      <c r="AE205" s="2387">
        <f ca="1">fx!AE317+AE225</f>
        <v>0</v>
      </c>
      <c r="AF205" s="2387">
        <f ca="1">fx!AF317+AF225</f>
        <v>0</v>
      </c>
      <c r="AG205" s="376"/>
      <c r="AH205" s="769"/>
      <c r="AI205" s="769"/>
      <c r="AJ205" s="770">
        <f ca="1">IF(fx!$C$57=1,T205,IF(fx!$C$57=2,AF205))</f>
        <v>0</v>
      </c>
      <c r="AK205" s="774"/>
      <c r="AL205" s="771">
        <f ca="1">IF(fx!$C$57=1,AF205,0)</f>
        <v>0</v>
      </c>
      <c r="AM205" s="1009"/>
      <c r="AN205" s="1009"/>
      <c r="AO205" s="1945"/>
      <c r="AP205" s="1935"/>
      <c r="AQ205" s="1936"/>
      <c r="AR205" s="1941"/>
      <c r="AS205" s="1941"/>
      <c r="AT205" s="1941"/>
      <c r="AU205" s="1941"/>
      <c r="AV205" s="1941"/>
      <c r="AW205" s="1941"/>
      <c r="AX205" s="1941"/>
      <c r="AY205" s="1941"/>
      <c r="AZ205" s="1941"/>
      <c r="BA205" s="1941"/>
      <c r="BB205" s="1941"/>
      <c r="BC205" s="1941"/>
      <c r="BD205" s="1941"/>
      <c r="BE205" s="1941"/>
      <c r="BF205" s="1941"/>
      <c r="BG205" s="1941"/>
      <c r="BH205" s="1941"/>
      <c r="BI205" s="1941"/>
      <c r="BJ205" s="1941"/>
      <c r="BK205" s="1941"/>
      <c r="BL205" s="1941"/>
      <c r="BM205" s="1941"/>
      <c r="BN205" s="1941"/>
      <c r="BO205" s="1941"/>
      <c r="BP205" s="1009"/>
      <c r="BQ205" s="1009"/>
      <c r="BR205" s="1009"/>
      <c r="BS205" s="1009"/>
      <c r="BT205" s="1009"/>
      <c r="BU205" s="1009"/>
      <c r="BV205" s="1009"/>
      <c r="BW205" s="1009"/>
      <c r="BX205" s="1009"/>
      <c r="BY205" s="1009"/>
      <c r="BZ205" s="1009"/>
      <c r="CA205" s="1009"/>
      <c r="CB205" s="1009"/>
      <c r="CC205" s="1009"/>
      <c r="CD205" s="1009"/>
      <c r="CE205" s="1009"/>
      <c r="CF205" s="1009"/>
      <c r="CG205" s="1009"/>
      <c r="CH205" s="1009"/>
      <c r="CI205" s="1009"/>
      <c r="CJ205" s="1009"/>
      <c r="CK205" s="1009"/>
      <c r="CL205" s="1009"/>
      <c r="CM205" s="1009"/>
      <c r="CN205" s="1009"/>
      <c r="CO205" s="1009"/>
      <c r="CP205" s="1009"/>
      <c r="CQ205" s="1009"/>
      <c r="CR205" s="1009"/>
      <c r="CS205" s="1009"/>
      <c r="CT205" s="1009"/>
      <c r="CU205" s="1009"/>
      <c r="CV205" s="1009"/>
      <c r="CW205" s="1009"/>
      <c r="CX205" s="1009"/>
      <c r="CY205" s="1009"/>
      <c r="CZ205" s="1009"/>
      <c r="DA205" s="1009"/>
      <c r="DB205" s="1009"/>
      <c r="DC205" s="1009"/>
      <c r="DD205" s="1009"/>
      <c r="DE205" s="1009"/>
      <c r="DF205" s="1009"/>
      <c r="DG205" s="1009"/>
      <c r="DH205" s="1009"/>
      <c r="DI205" s="1009"/>
      <c r="DJ205" s="1009"/>
      <c r="DK205" s="1009"/>
      <c r="DL205" s="1009"/>
      <c r="DM205" s="1009"/>
      <c r="DN205" s="1009"/>
      <c r="DO205" s="1009"/>
      <c r="DP205" s="1009"/>
      <c r="DQ205" s="1009"/>
      <c r="DR205" s="1009"/>
      <c r="DS205" s="1009"/>
      <c r="DT205" s="1009"/>
      <c r="DU205" s="1009"/>
      <c r="DV205" s="1009"/>
      <c r="DW205" s="1009"/>
      <c r="DX205" s="1009"/>
      <c r="DY205" s="1009"/>
      <c r="DZ205" s="1009"/>
      <c r="EA205" s="1009"/>
      <c r="EB205" s="1009"/>
      <c r="EC205" s="1009"/>
      <c r="ED205" s="1009"/>
      <c r="EE205" s="1009"/>
      <c r="EF205" s="1009"/>
      <c r="EG205" s="1009"/>
      <c r="EH205" s="1009"/>
      <c r="EI205" s="1009"/>
      <c r="EJ205" s="1009"/>
      <c r="EK205" s="1009"/>
      <c r="EL205" s="1009"/>
      <c r="EM205" s="1009"/>
      <c r="EN205" s="1009"/>
      <c r="EO205" s="1009"/>
      <c r="EP205" s="1009"/>
      <c r="EQ205" s="1009"/>
      <c r="ER205" s="1009"/>
      <c r="ES205" s="1009"/>
      <c r="ET205" s="1009"/>
      <c r="EU205" s="1009"/>
      <c r="EV205" s="1009"/>
      <c r="EW205" s="1009"/>
      <c r="EX205" s="1009"/>
      <c r="EY205" s="1009"/>
      <c r="EZ205" s="1009"/>
      <c r="FA205" s="1009"/>
      <c r="FB205" s="1009"/>
      <c r="FC205" s="1009"/>
      <c r="FD205" s="1009"/>
      <c r="FE205" s="1009"/>
      <c r="FF205" s="1009"/>
      <c r="FG205" s="1009"/>
      <c r="FH205" s="1009"/>
      <c r="FI205" s="1009"/>
      <c r="FJ205" s="1009"/>
      <c r="FK205" s="1009"/>
      <c r="FL205" s="1009"/>
      <c r="FM205" s="1009"/>
      <c r="FN205" s="1009"/>
      <c r="FO205" s="1009"/>
      <c r="FP205" s="1009"/>
      <c r="FQ205" s="1009"/>
      <c r="FR205" s="1009"/>
      <c r="FS205" s="1009"/>
      <c r="FT205" s="1009"/>
      <c r="FU205" s="1009"/>
      <c r="FV205" s="1009"/>
      <c r="FW205" s="1009"/>
      <c r="FX205" s="1009"/>
      <c r="FY205" s="1009"/>
      <c r="FZ205" s="1009"/>
      <c r="GA205" s="1009"/>
      <c r="GB205" s="1009"/>
      <c r="GC205" s="1009"/>
      <c r="GD205" s="1009"/>
      <c r="GE205" s="1009"/>
      <c r="GF205" s="1009"/>
      <c r="GG205" s="1009"/>
      <c r="GH205" s="1009"/>
      <c r="GI205" s="1009"/>
      <c r="GJ205" s="1009"/>
      <c r="GK205" s="1009"/>
      <c r="GL205" s="1009"/>
      <c r="GM205" s="1009"/>
      <c r="GN205" s="1009"/>
      <c r="GO205" s="1009"/>
      <c r="GP205" s="1009"/>
      <c r="GQ205" s="1009"/>
      <c r="GR205" s="1009"/>
      <c r="GS205" s="1009"/>
      <c r="GT205" s="1009"/>
      <c r="GU205" s="1009"/>
      <c r="GV205" s="1009"/>
      <c r="GW205" s="1009"/>
      <c r="GX205" s="1009"/>
      <c r="GY205" s="1009"/>
      <c r="GZ205" s="1009"/>
      <c r="HA205" s="1009"/>
      <c r="HB205" s="1009"/>
      <c r="HC205" s="1009"/>
      <c r="HD205" s="1009"/>
      <c r="HE205" s="1009"/>
      <c r="HF205" s="1009"/>
      <c r="HG205" s="1009"/>
      <c r="HH205" s="1009"/>
      <c r="HI205" s="1009"/>
      <c r="HJ205" s="1009"/>
      <c r="HK205" s="1009"/>
      <c r="HL205" s="1009"/>
      <c r="HM205" s="1009"/>
      <c r="HN205" s="1009"/>
      <c r="HO205" s="1009"/>
      <c r="HP205" s="1009"/>
      <c r="HQ205" s="1009"/>
      <c r="HR205" s="1009"/>
      <c r="HS205" s="1009"/>
      <c r="HT205" s="1009"/>
      <c r="HU205" s="1009"/>
      <c r="HV205" s="1009"/>
      <c r="HW205" s="1009"/>
      <c r="HX205" s="1009"/>
      <c r="HY205" s="1009"/>
      <c r="HZ205" s="1009"/>
      <c r="IA205" s="1009"/>
      <c r="IB205" s="1009"/>
      <c r="IC205" s="1009"/>
      <c r="ID205" s="1009"/>
      <c r="IE205" s="1009"/>
      <c r="IF205" s="1009"/>
      <c r="IG205" s="1009"/>
      <c r="IH205" s="1009"/>
      <c r="II205" s="1009"/>
      <c r="IJ205" s="1009"/>
      <c r="IK205" s="1009"/>
      <c r="IL205" s="1009"/>
      <c r="IM205" s="1009"/>
      <c r="IN205" s="1009"/>
      <c r="IO205" s="1009"/>
      <c r="IP205" s="1009"/>
      <c r="IQ205" s="1009"/>
      <c r="IR205" s="1009"/>
      <c r="IS205" s="1009"/>
      <c r="IT205" s="1009"/>
      <c r="IU205" s="1009"/>
      <c r="IV205" s="1009"/>
      <c r="IW205" s="1009"/>
      <c r="IX205" s="1009"/>
      <c r="IY205" s="1009"/>
      <c r="IZ205" s="1009"/>
      <c r="JA205" s="1009"/>
      <c r="JB205" s="1009"/>
      <c r="JC205" s="1009"/>
      <c r="JD205" s="1009"/>
      <c r="JE205" s="1009"/>
      <c r="JF205" s="1009"/>
      <c r="JG205" s="1009"/>
      <c r="JH205" s="1009"/>
      <c r="JI205" s="1009"/>
      <c r="JJ205" s="1009"/>
      <c r="JK205" s="1009"/>
      <c r="JL205" s="1009"/>
      <c r="JM205" s="1009"/>
      <c r="JN205" s="1009"/>
      <c r="JO205" s="1009"/>
      <c r="JP205" s="1009"/>
      <c r="JQ205" s="1009"/>
      <c r="JR205" s="1009"/>
      <c r="JS205" s="1009"/>
      <c r="JT205" s="1009"/>
      <c r="JU205" s="1009"/>
      <c r="JV205" s="1009"/>
      <c r="JW205" s="1009"/>
      <c r="JX205" s="1009"/>
      <c r="JY205" s="1009"/>
      <c r="JZ205" s="1009"/>
      <c r="KA205" s="1009"/>
      <c r="KB205" s="1009"/>
      <c r="KC205" s="1009"/>
      <c r="KD205" s="1009"/>
      <c r="KE205" s="1009"/>
      <c r="KF205" s="1009"/>
      <c r="KG205" s="1009"/>
      <c r="KH205" s="1009"/>
      <c r="KI205" s="1009"/>
      <c r="KJ205" s="1009"/>
      <c r="KK205" s="1009"/>
      <c r="KL205" s="1009"/>
      <c r="KM205" s="1009"/>
      <c r="KN205" s="1009"/>
      <c r="KO205" s="1009"/>
      <c r="KP205" s="1009"/>
      <c r="KQ205" s="1009"/>
      <c r="KR205" s="1009"/>
      <c r="KS205" s="1009"/>
      <c r="KT205" s="1009"/>
      <c r="KU205" s="1009"/>
      <c r="KV205" s="1009"/>
      <c r="KW205" s="1009"/>
      <c r="KX205" s="1009"/>
      <c r="KY205" s="1009"/>
      <c r="KZ205" s="1009"/>
      <c r="LA205" s="1009"/>
      <c r="LB205" s="1009"/>
      <c r="LC205" s="1009"/>
      <c r="LD205" s="1009"/>
      <c r="LE205" s="1009"/>
      <c r="LF205" s="1009"/>
      <c r="LG205" s="1009"/>
      <c r="LH205" s="1009"/>
      <c r="LI205" s="1009"/>
      <c r="LJ205" s="1009"/>
      <c r="LK205" s="1009"/>
      <c r="LL205" s="1009"/>
      <c r="LM205" s="1009"/>
      <c r="LN205" s="1009"/>
      <c r="LO205" s="1009"/>
      <c r="LP205" s="1009"/>
      <c r="LQ205" s="1009"/>
      <c r="LR205" s="1009"/>
      <c r="LS205" s="1009"/>
      <c r="LT205" s="1009"/>
      <c r="LU205" s="1009"/>
      <c r="LV205" s="1009"/>
      <c r="LW205" s="1009"/>
      <c r="LX205" s="1009"/>
      <c r="LY205" s="1009"/>
      <c r="LZ205" s="1009"/>
      <c r="MA205" s="1009"/>
      <c r="MB205" s="1009"/>
      <c r="MC205" s="1009"/>
      <c r="MD205" s="1009"/>
      <c r="ME205" s="1009"/>
      <c r="MF205" s="1009"/>
      <c r="MG205" s="1009"/>
      <c r="MH205" s="1009"/>
      <c r="MI205" s="1009"/>
      <c r="MJ205" s="1009"/>
      <c r="MK205" s="1009"/>
      <c r="ML205" s="1009"/>
      <c r="MM205" s="1009"/>
      <c r="MN205" s="1009"/>
      <c r="MO205" s="1009"/>
      <c r="MP205" s="1009"/>
      <c r="MQ205" s="1009"/>
      <c r="MR205" s="1009"/>
      <c r="MS205" s="1009"/>
      <c r="MT205" s="1009"/>
      <c r="MU205" s="1009"/>
      <c r="MV205" s="1009"/>
      <c r="MW205" s="1009"/>
      <c r="MX205" s="1009"/>
      <c r="MY205" s="1009"/>
      <c r="MZ205" s="1009"/>
      <c r="NA205" s="1009"/>
      <c r="NB205" s="1009"/>
      <c r="NC205" s="1009"/>
      <c r="ND205" s="1009"/>
      <c r="NE205" s="1009"/>
      <c r="NF205" s="1009"/>
      <c r="NG205" s="1009"/>
      <c r="NH205" s="1009"/>
      <c r="NI205" s="1009"/>
      <c r="NJ205" s="1009"/>
      <c r="NK205" s="1009"/>
      <c r="NL205" s="1009"/>
      <c r="NM205" s="1009"/>
      <c r="NN205" s="1009"/>
      <c r="NO205" s="1009"/>
      <c r="NP205" s="1009"/>
      <c r="NQ205" s="1009"/>
      <c r="NR205" s="1009"/>
      <c r="NS205" s="1009"/>
      <c r="NT205" s="1009"/>
      <c r="NU205" s="1009"/>
      <c r="NV205" s="1009"/>
      <c r="NW205" s="1009"/>
      <c r="NX205" s="1009"/>
      <c r="NY205" s="1009"/>
      <c r="NZ205" s="1009"/>
      <c r="OA205" s="1009"/>
      <c r="OB205" s="1009"/>
      <c r="OC205" s="1009"/>
      <c r="OD205" s="1009"/>
      <c r="OE205" s="1009"/>
      <c r="OF205" s="1009"/>
      <c r="OG205" s="1009"/>
      <c r="OH205" s="1009"/>
      <c r="OI205" s="1009"/>
      <c r="OJ205" s="1009"/>
      <c r="OK205" s="1009"/>
      <c r="OL205" s="1009"/>
      <c r="OM205" s="1009"/>
      <c r="ON205" s="1009"/>
      <c r="OO205" s="1009"/>
      <c r="OP205" s="1009"/>
      <c r="OQ205" s="1009"/>
      <c r="OR205" s="1009"/>
      <c r="OS205" s="1009"/>
      <c r="OT205" s="1009"/>
      <c r="OU205" s="1009"/>
      <c r="OV205" s="1009"/>
      <c r="OW205" s="1009"/>
      <c r="OX205" s="1009"/>
      <c r="OY205" s="1009"/>
      <c r="OZ205" s="1009"/>
      <c r="PA205" s="1009"/>
      <c r="PB205" s="1009"/>
      <c r="PC205" s="1009"/>
      <c r="PD205" s="1009"/>
      <c r="PE205" s="1009"/>
      <c r="PF205" s="1009"/>
      <c r="PG205" s="1009"/>
      <c r="PH205" s="1009"/>
      <c r="PI205" s="1009"/>
      <c r="PJ205" s="1009"/>
      <c r="PK205" s="1009"/>
      <c r="PL205" s="1009"/>
      <c r="PM205" s="1009"/>
      <c r="PN205" s="1009"/>
      <c r="PO205" s="1009"/>
      <c r="PP205" s="1009"/>
      <c r="PQ205" s="1009"/>
      <c r="PR205" s="1009"/>
      <c r="PS205" s="1009"/>
      <c r="PT205" s="1009"/>
      <c r="PU205" s="1009"/>
      <c r="PV205" s="1009"/>
      <c r="PW205" s="1009"/>
      <c r="PX205" s="1009"/>
      <c r="PY205" s="1009"/>
      <c r="PZ205" s="1009"/>
      <c r="QA205" s="1009"/>
      <c r="QB205" s="1009"/>
      <c r="QC205" s="1009"/>
      <c r="QD205" s="1009"/>
      <c r="QE205" s="1009"/>
      <c r="QF205" s="1009"/>
      <c r="QG205" s="1009"/>
      <c r="QH205" s="1009"/>
      <c r="QI205" s="1009"/>
      <c r="QJ205" s="1009"/>
      <c r="QK205" s="1009"/>
      <c r="QL205" s="1009"/>
      <c r="QM205" s="1009"/>
      <c r="QN205" s="1009"/>
      <c r="QO205" s="1009"/>
      <c r="QP205" s="1009"/>
      <c r="QQ205" s="1009"/>
      <c r="QR205" s="1009"/>
      <c r="QS205" s="1009"/>
      <c r="QT205" s="1009"/>
      <c r="QU205" s="1009"/>
      <c r="QV205" s="1009"/>
      <c r="QW205" s="1009"/>
      <c r="QX205" s="1009"/>
      <c r="QY205" s="1009"/>
      <c r="QZ205" s="1009"/>
      <c r="RA205" s="1009"/>
      <c r="RB205" s="1009"/>
      <c r="RC205" s="1009"/>
      <c r="RD205" s="1009"/>
      <c r="RE205" s="1009"/>
      <c r="RF205" s="1009"/>
      <c r="RG205" s="1009"/>
      <c r="RH205" s="1009"/>
      <c r="RI205" s="1009"/>
      <c r="RJ205" s="1009"/>
      <c r="RK205" s="1009"/>
      <c r="RL205" s="1009"/>
      <c r="RM205" s="1009"/>
      <c r="RN205" s="1009"/>
      <c r="RO205" s="1009"/>
      <c r="RP205" s="1009"/>
      <c r="RQ205" s="1009"/>
      <c r="RR205" s="1009"/>
      <c r="RS205" s="1009"/>
      <c r="RT205" s="1009"/>
      <c r="RU205" s="1009"/>
      <c r="RV205" s="1009"/>
      <c r="RW205" s="1009"/>
      <c r="RX205" s="1009"/>
      <c r="RY205" s="1009"/>
      <c r="RZ205" s="1009"/>
      <c r="SA205" s="1009"/>
      <c r="SB205" s="1009"/>
      <c r="SC205" s="1009"/>
      <c r="SD205" s="1009"/>
      <c r="SE205" s="1009"/>
      <c r="SF205" s="1009"/>
      <c r="SG205" s="1009"/>
      <c r="SH205" s="1009"/>
      <c r="SI205" s="1009"/>
      <c r="SJ205" s="1009"/>
      <c r="SK205" s="1009"/>
      <c r="SL205" s="1009"/>
      <c r="SM205" s="1009"/>
      <c r="SN205" s="1009"/>
      <c r="SO205" s="1009"/>
      <c r="SP205" s="1009"/>
      <c r="SQ205" s="1009"/>
      <c r="SR205" s="1009"/>
      <c r="SS205" s="1009"/>
      <c r="ST205" s="1009"/>
      <c r="SU205" s="1009"/>
      <c r="SV205" s="1009"/>
      <c r="SW205" s="1009"/>
      <c r="SX205" s="1009"/>
      <c r="SY205" s="1009"/>
      <c r="SZ205" s="1009"/>
      <c r="TA205" s="1009"/>
      <c r="TB205" s="1009"/>
      <c r="TC205" s="1009"/>
      <c r="TD205" s="1009"/>
      <c r="TE205" s="1009"/>
      <c r="TF205" s="1009"/>
      <c r="TG205" s="1009"/>
      <c r="TH205" s="1009"/>
      <c r="TI205" s="1009"/>
      <c r="TJ205" s="1009"/>
      <c r="TK205" s="1009"/>
      <c r="TL205" s="1009"/>
      <c r="TM205" s="1009"/>
      <c r="TN205" s="1009"/>
      <c r="TO205" s="1009"/>
      <c r="TP205" s="1009"/>
      <c r="TQ205" s="1009"/>
      <c r="TR205" s="1009"/>
      <c r="TS205" s="1009"/>
      <c r="TT205" s="1009"/>
      <c r="TU205" s="1009"/>
      <c r="TV205" s="1009"/>
      <c r="TW205" s="1009"/>
      <c r="TX205" s="1009"/>
      <c r="TY205" s="1009"/>
      <c r="TZ205" s="1009"/>
      <c r="UA205" s="1009"/>
      <c r="UB205" s="1009"/>
      <c r="UC205" s="1009"/>
      <c r="UD205" s="1009"/>
      <c r="UE205" s="1009"/>
      <c r="UF205" s="1009"/>
      <c r="UG205" s="1009"/>
      <c r="UH205" s="1009"/>
      <c r="UI205" s="1009"/>
      <c r="UJ205" s="1009"/>
      <c r="UK205" s="1009"/>
      <c r="UL205" s="1009"/>
      <c r="UM205" s="1009"/>
      <c r="UN205" s="1009"/>
      <c r="UO205" s="1009"/>
      <c r="UP205" s="1009"/>
      <c r="UQ205" s="1009"/>
      <c r="UR205" s="1009"/>
      <c r="US205" s="1009"/>
      <c r="UT205" s="1009"/>
      <c r="UU205" s="1009"/>
      <c r="UV205" s="1009"/>
      <c r="UW205" s="1009"/>
      <c r="UX205" s="1009"/>
      <c r="UY205" s="1009"/>
      <c r="UZ205" s="1009"/>
      <c r="VA205" s="1009"/>
      <c r="VB205" s="1009"/>
      <c r="VC205" s="1009"/>
      <c r="VD205" s="1009"/>
      <c r="VE205" s="1009"/>
      <c r="VF205" s="1009"/>
      <c r="VG205" s="1009"/>
      <c r="VH205" s="1009"/>
      <c r="VI205" s="1009"/>
      <c r="VJ205" s="1009"/>
      <c r="VK205" s="1009"/>
      <c r="VL205" s="1009"/>
      <c r="VM205" s="1009"/>
      <c r="VN205" s="1009"/>
      <c r="VO205" s="1009"/>
      <c r="VP205" s="1009"/>
      <c r="VQ205" s="1009"/>
      <c r="VR205" s="1009"/>
      <c r="VS205" s="1009"/>
      <c r="VT205" s="1009"/>
      <c r="VU205" s="1009"/>
      <c r="VV205" s="1009"/>
      <c r="VW205" s="1009"/>
      <c r="VX205" s="1009"/>
      <c r="VY205" s="1009"/>
      <c r="VZ205" s="1009"/>
      <c r="WA205" s="1009"/>
      <c r="WB205" s="1009"/>
      <c r="WC205" s="1009"/>
      <c r="WD205" s="1009"/>
      <c r="WE205" s="1009"/>
      <c r="WF205" s="1009"/>
      <c r="WG205" s="1009"/>
      <c r="WH205" s="1009"/>
      <c r="WI205" s="1009"/>
      <c r="WJ205" s="1009"/>
      <c r="WK205" s="1009"/>
      <c r="WL205" s="1009"/>
      <c r="WM205" s="1009"/>
      <c r="WN205" s="1009"/>
      <c r="WO205" s="1009"/>
      <c r="WP205" s="1009"/>
      <c r="WQ205" s="1009"/>
      <c r="WR205" s="1009"/>
      <c r="WS205" s="1009"/>
      <c r="WT205" s="1009"/>
      <c r="WU205" s="1009"/>
      <c r="WV205" s="1009"/>
      <c r="WW205" s="1009"/>
      <c r="WX205" s="1009"/>
      <c r="WY205" s="1009"/>
      <c r="WZ205" s="1009"/>
      <c r="XA205" s="1009"/>
      <c r="XB205" s="1009"/>
      <c r="XC205" s="1009"/>
      <c r="XD205" s="1009"/>
      <c r="XE205" s="1009"/>
      <c r="XF205" s="1009"/>
      <c r="XG205" s="1009"/>
      <c r="XH205" s="1009"/>
      <c r="XI205" s="1009"/>
      <c r="XJ205" s="1009"/>
      <c r="XK205" s="1009"/>
      <c r="XL205" s="1009"/>
      <c r="XM205" s="1009"/>
      <c r="XN205" s="1009"/>
      <c r="XO205" s="1009"/>
      <c r="XP205" s="1009"/>
      <c r="XQ205" s="1009"/>
      <c r="XR205" s="1009"/>
      <c r="XS205" s="1009"/>
      <c r="XT205" s="1009"/>
      <c r="XU205" s="1009"/>
      <c r="XV205" s="1009"/>
      <c r="XW205" s="1009"/>
      <c r="XX205" s="1009"/>
      <c r="XY205" s="1009"/>
      <c r="XZ205" s="1009"/>
      <c r="YA205" s="1009"/>
      <c r="YB205" s="1009"/>
      <c r="YC205" s="1009"/>
      <c r="YD205" s="1009"/>
      <c r="YE205" s="1009"/>
      <c r="YF205" s="1009"/>
      <c r="YG205" s="1009"/>
      <c r="YH205" s="1009"/>
      <c r="YI205" s="1009"/>
      <c r="YJ205" s="1009"/>
      <c r="YK205" s="1009"/>
      <c r="YL205" s="1009"/>
      <c r="YM205" s="1009"/>
      <c r="YN205" s="1009"/>
      <c r="YO205" s="1009"/>
      <c r="YP205" s="1009"/>
      <c r="YQ205" s="1009"/>
      <c r="YR205" s="1009"/>
      <c r="YS205" s="1009"/>
      <c r="YT205" s="1009"/>
      <c r="YU205" s="1009"/>
      <c r="YV205" s="1009"/>
      <c r="YW205" s="1009"/>
      <c r="YX205" s="1009"/>
      <c r="YY205" s="1009"/>
      <c r="YZ205" s="1009"/>
      <c r="ZA205" s="1009"/>
      <c r="ZB205" s="1009"/>
      <c r="ZC205" s="1009"/>
      <c r="ZD205" s="1009"/>
      <c r="ZE205" s="1009"/>
      <c r="ZF205" s="1009"/>
      <c r="ZG205" s="1009"/>
      <c r="ZH205" s="1009"/>
      <c r="ZI205" s="1009"/>
      <c r="ZJ205" s="1009"/>
      <c r="ZK205" s="1009"/>
      <c r="ZL205" s="1009"/>
      <c r="ZM205" s="1009"/>
      <c r="ZN205" s="1009"/>
      <c r="ZO205" s="1009"/>
      <c r="ZP205" s="1009"/>
      <c r="ZQ205" s="1009"/>
      <c r="ZR205" s="1009"/>
      <c r="ZS205" s="1009"/>
      <c r="ZT205" s="1009"/>
      <c r="ZU205" s="1009"/>
      <c r="ZV205" s="1009"/>
      <c r="ZW205" s="1009"/>
      <c r="ZX205" s="1009"/>
      <c r="ZY205" s="1009"/>
      <c r="ZZ205" s="1009"/>
      <c r="AAA205" s="1009"/>
      <c r="AAB205" s="1009"/>
      <c r="AAC205" s="1009"/>
      <c r="AAD205" s="1009"/>
      <c r="AAE205" s="1009"/>
      <c r="AAF205" s="1009"/>
      <c r="AAG205" s="1009"/>
      <c r="AAH205" s="1009"/>
      <c r="AAI205" s="1009"/>
      <c r="AAJ205" s="1009"/>
      <c r="AAK205" s="1009"/>
      <c r="AAL205" s="1009"/>
      <c r="AAM205" s="1009"/>
      <c r="AAN205" s="1009"/>
      <c r="AAO205" s="1009"/>
      <c r="AAP205" s="1009"/>
      <c r="AAQ205" s="1009"/>
      <c r="AAR205" s="1009"/>
      <c r="AAS205" s="1009"/>
      <c r="AAT205" s="1009"/>
      <c r="AAU205" s="1009"/>
      <c r="AAV205" s="1009"/>
      <c r="AAW205" s="1009"/>
      <c r="AAX205" s="1009"/>
      <c r="AAY205" s="1009"/>
      <c r="AAZ205" s="1009"/>
      <c r="ABA205" s="1009"/>
      <c r="ABB205" s="1009"/>
      <c r="ABC205" s="1009"/>
      <c r="ABD205" s="1009"/>
      <c r="ABE205" s="1009"/>
      <c r="ABF205" s="1009"/>
      <c r="ABG205" s="1009"/>
      <c r="ABH205" s="1009"/>
      <c r="ABI205" s="1009"/>
      <c r="ABJ205" s="1009"/>
      <c r="ABK205" s="1009"/>
      <c r="ABL205" s="1009"/>
      <c r="ABM205" s="1009"/>
      <c r="ABN205" s="1009"/>
      <c r="ABO205" s="1009"/>
      <c r="ABP205" s="1009"/>
      <c r="ABQ205" s="1009"/>
      <c r="ABR205" s="1009"/>
    </row>
    <row r="206" spans="1:746" s="111" customFormat="1" ht="12" customHeight="1">
      <c r="A206" s="924"/>
      <c r="B206" s="899" t="s">
        <v>808</v>
      </c>
      <c r="C206" s="936"/>
      <c r="D206" s="136"/>
      <c r="E206" s="2937"/>
      <c r="F206" s="2938"/>
      <c r="G206" s="2939"/>
      <c r="H206" s="2548" t="s">
        <v>1334</v>
      </c>
      <c r="I206" s="345">
        <f>fx!I414</f>
        <v>0</v>
      </c>
      <c r="J206" s="344">
        <f>fx!J414</f>
        <v>0</v>
      </c>
      <c r="K206" s="344">
        <f ca="1">fx!K414</f>
        <v>0</v>
      </c>
      <c r="L206" s="344">
        <f ca="1">fx!L414</f>
        <v>0</v>
      </c>
      <c r="M206" s="344">
        <f ca="1">fx!M414</f>
        <v>0</v>
      </c>
      <c r="N206" s="344">
        <f ca="1">fx!N414</f>
        <v>0</v>
      </c>
      <c r="O206" s="344">
        <f ca="1">fx!O414</f>
        <v>0</v>
      </c>
      <c r="P206" s="344">
        <f ca="1">fx!P414</f>
        <v>0</v>
      </c>
      <c r="Q206" s="344">
        <f ca="1">fx!Q414</f>
        <v>0</v>
      </c>
      <c r="R206" s="344">
        <f ca="1">fx!R414</f>
        <v>0</v>
      </c>
      <c r="S206" s="344">
        <f ca="1">fx!S414</f>
        <v>0</v>
      </c>
      <c r="T206" s="345">
        <f ca="1">fx!T414</f>
        <v>0</v>
      </c>
      <c r="U206" s="345">
        <f ca="1">fx!U414</f>
        <v>0</v>
      </c>
      <c r="V206" s="344">
        <f ca="1">fx!V414</f>
        <v>0</v>
      </c>
      <c r="W206" s="344">
        <f ca="1">fx!W414</f>
        <v>0</v>
      </c>
      <c r="X206" s="344">
        <f ca="1">fx!X414</f>
        <v>0</v>
      </c>
      <c r="Y206" s="344">
        <f ca="1">fx!Y414</f>
        <v>0</v>
      </c>
      <c r="Z206" s="344">
        <f ca="1">fx!Z414</f>
        <v>0</v>
      </c>
      <c r="AA206" s="344">
        <f ca="1">fx!AA414</f>
        <v>0</v>
      </c>
      <c r="AB206" s="344">
        <f ca="1">fx!AB414</f>
        <v>0</v>
      </c>
      <c r="AC206" s="344">
        <f ca="1">fx!AC414</f>
        <v>0</v>
      </c>
      <c r="AD206" s="344">
        <f ca="1">fx!AD414</f>
        <v>0</v>
      </c>
      <c r="AE206" s="344">
        <f ca="1">fx!AE414</f>
        <v>0</v>
      </c>
      <c r="AF206" s="344">
        <f ca="1">fx!AF414</f>
        <v>0</v>
      </c>
      <c r="AG206" s="376"/>
      <c r="AH206" s="769"/>
      <c r="AI206" s="769"/>
      <c r="AJ206" s="770">
        <f ca="1">IF(fx!$C$57=1,T206,IF(fx!$C$57=2,AF206))</f>
        <v>0</v>
      </c>
      <c r="AK206" s="774"/>
      <c r="AL206" s="771">
        <f ca="1">IF(fx!$C$57=1,AF206,0)</f>
        <v>0</v>
      </c>
      <c r="AM206" s="1009"/>
      <c r="AN206" s="1009"/>
      <c r="AO206" s="1945"/>
      <c r="AP206" s="1935"/>
      <c r="AQ206" s="1936"/>
      <c r="AR206" s="1941"/>
      <c r="AS206" s="1941"/>
      <c r="AT206" s="1941"/>
      <c r="AU206" s="1941"/>
      <c r="AV206" s="1941"/>
      <c r="AW206" s="1941"/>
      <c r="AX206" s="1941"/>
      <c r="AY206" s="1941"/>
      <c r="AZ206" s="1941"/>
      <c r="BA206" s="1941"/>
      <c r="BB206" s="1941"/>
      <c r="BC206" s="1941"/>
      <c r="BD206" s="1941"/>
      <c r="BE206" s="1941"/>
      <c r="BF206" s="1941"/>
      <c r="BG206" s="1941"/>
      <c r="BH206" s="1941"/>
      <c r="BI206" s="1941"/>
      <c r="BJ206" s="1941"/>
      <c r="BK206" s="1941"/>
      <c r="BL206" s="1941"/>
      <c r="BM206" s="1941"/>
      <c r="BN206" s="1941"/>
      <c r="BO206" s="1941"/>
      <c r="BP206" s="1009"/>
      <c r="BQ206" s="1009"/>
      <c r="BR206" s="1009"/>
      <c r="BS206" s="1009"/>
      <c r="BT206" s="1009"/>
      <c r="BU206" s="1009"/>
      <c r="BV206" s="1009"/>
      <c r="BW206" s="1009"/>
      <c r="BX206" s="1009"/>
      <c r="BY206" s="1009"/>
      <c r="BZ206" s="1009"/>
      <c r="CA206" s="1009"/>
      <c r="CB206" s="1009"/>
      <c r="CC206" s="1009"/>
      <c r="CD206" s="1009"/>
      <c r="CE206" s="1009"/>
      <c r="CF206" s="1009"/>
      <c r="CG206" s="1009"/>
      <c r="CH206" s="1009"/>
      <c r="CI206" s="1009"/>
      <c r="CJ206" s="1009"/>
      <c r="CK206" s="1009"/>
      <c r="CL206" s="1009"/>
      <c r="CM206" s="1009"/>
      <c r="CN206" s="1009"/>
      <c r="CO206" s="1009"/>
      <c r="CP206" s="1009"/>
      <c r="CQ206" s="1009"/>
      <c r="CR206" s="1009"/>
      <c r="CS206" s="1009"/>
      <c r="CT206" s="1009"/>
      <c r="CU206" s="1009"/>
      <c r="CV206" s="1009"/>
      <c r="CW206" s="1009"/>
      <c r="CX206" s="1009"/>
      <c r="CY206" s="1009"/>
      <c r="CZ206" s="1009"/>
      <c r="DA206" s="1009"/>
      <c r="DB206" s="1009"/>
      <c r="DC206" s="1009"/>
      <c r="DD206" s="1009"/>
      <c r="DE206" s="1009"/>
      <c r="DF206" s="1009"/>
      <c r="DG206" s="1009"/>
      <c r="DH206" s="1009"/>
      <c r="DI206" s="1009"/>
      <c r="DJ206" s="1009"/>
      <c r="DK206" s="1009"/>
      <c r="DL206" s="1009"/>
      <c r="DM206" s="1009"/>
      <c r="DN206" s="1009"/>
      <c r="DO206" s="1009"/>
      <c r="DP206" s="1009"/>
      <c r="DQ206" s="1009"/>
      <c r="DR206" s="1009"/>
      <c r="DS206" s="1009"/>
      <c r="DT206" s="1009"/>
      <c r="DU206" s="1009"/>
      <c r="DV206" s="1009"/>
      <c r="DW206" s="1009"/>
      <c r="DX206" s="1009"/>
      <c r="DY206" s="1009"/>
      <c r="DZ206" s="1009"/>
      <c r="EA206" s="1009"/>
      <c r="EB206" s="1009"/>
      <c r="EC206" s="1009"/>
      <c r="ED206" s="1009"/>
      <c r="EE206" s="1009"/>
      <c r="EF206" s="1009"/>
      <c r="EG206" s="1009"/>
      <c r="EH206" s="1009"/>
      <c r="EI206" s="1009"/>
      <c r="EJ206" s="1009"/>
      <c r="EK206" s="1009"/>
      <c r="EL206" s="1009"/>
      <c r="EM206" s="1009"/>
      <c r="EN206" s="1009"/>
      <c r="EO206" s="1009"/>
      <c r="EP206" s="1009"/>
      <c r="EQ206" s="1009"/>
      <c r="ER206" s="1009"/>
      <c r="ES206" s="1009"/>
      <c r="ET206" s="1009"/>
      <c r="EU206" s="1009"/>
      <c r="EV206" s="1009"/>
      <c r="EW206" s="1009"/>
      <c r="EX206" s="1009"/>
      <c r="EY206" s="1009"/>
      <c r="EZ206" s="1009"/>
      <c r="FA206" s="1009"/>
      <c r="FB206" s="1009"/>
      <c r="FC206" s="1009"/>
      <c r="FD206" s="1009"/>
      <c r="FE206" s="1009"/>
      <c r="FF206" s="1009"/>
      <c r="FG206" s="1009"/>
      <c r="FH206" s="1009"/>
      <c r="FI206" s="1009"/>
      <c r="FJ206" s="1009"/>
      <c r="FK206" s="1009"/>
      <c r="FL206" s="1009"/>
      <c r="FM206" s="1009"/>
      <c r="FN206" s="1009"/>
      <c r="FO206" s="1009"/>
      <c r="FP206" s="1009"/>
      <c r="FQ206" s="1009"/>
      <c r="FR206" s="1009"/>
      <c r="FS206" s="1009"/>
      <c r="FT206" s="1009"/>
      <c r="FU206" s="1009"/>
      <c r="FV206" s="1009"/>
      <c r="FW206" s="1009"/>
      <c r="FX206" s="1009"/>
      <c r="FY206" s="1009"/>
      <c r="FZ206" s="1009"/>
      <c r="GA206" s="1009"/>
      <c r="GB206" s="1009"/>
      <c r="GC206" s="1009"/>
      <c r="GD206" s="1009"/>
      <c r="GE206" s="1009"/>
      <c r="GF206" s="1009"/>
      <c r="GG206" s="1009"/>
      <c r="GH206" s="1009"/>
      <c r="GI206" s="1009"/>
      <c r="GJ206" s="1009"/>
      <c r="GK206" s="1009"/>
      <c r="GL206" s="1009"/>
      <c r="GM206" s="1009"/>
      <c r="GN206" s="1009"/>
      <c r="GO206" s="1009"/>
      <c r="GP206" s="1009"/>
      <c r="GQ206" s="1009"/>
      <c r="GR206" s="1009"/>
      <c r="GS206" s="1009"/>
      <c r="GT206" s="1009"/>
      <c r="GU206" s="1009"/>
      <c r="GV206" s="1009"/>
      <c r="GW206" s="1009"/>
      <c r="GX206" s="1009"/>
      <c r="GY206" s="1009"/>
      <c r="GZ206" s="1009"/>
      <c r="HA206" s="1009"/>
      <c r="HB206" s="1009"/>
      <c r="HC206" s="1009"/>
      <c r="HD206" s="1009"/>
      <c r="HE206" s="1009"/>
      <c r="HF206" s="1009"/>
      <c r="HG206" s="1009"/>
      <c r="HH206" s="1009"/>
      <c r="HI206" s="1009"/>
      <c r="HJ206" s="1009"/>
      <c r="HK206" s="1009"/>
      <c r="HL206" s="1009"/>
      <c r="HM206" s="1009"/>
      <c r="HN206" s="1009"/>
      <c r="HO206" s="1009"/>
      <c r="HP206" s="1009"/>
      <c r="HQ206" s="1009"/>
      <c r="HR206" s="1009"/>
      <c r="HS206" s="1009"/>
      <c r="HT206" s="1009"/>
      <c r="HU206" s="1009"/>
      <c r="HV206" s="1009"/>
      <c r="HW206" s="1009"/>
      <c r="HX206" s="1009"/>
      <c r="HY206" s="1009"/>
      <c r="HZ206" s="1009"/>
      <c r="IA206" s="1009"/>
      <c r="IB206" s="1009"/>
      <c r="IC206" s="1009"/>
      <c r="ID206" s="1009"/>
      <c r="IE206" s="1009"/>
      <c r="IF206" s="1009"/>
      <c r="IG206" s="1009"/>
      <c r="IH206" s="1009"/>
      <c r="II206" s="1009"/>
      <c r="IJ206" s="1009"/>
      <c r="IK206" s="1009"/>
      <c r="IL206" s="1009"/>
      <c r="IM206" s="1009"/>
      <c r="IN206" s="1009"/>
      <c r="IO206" s="1009"/>
      <c r="IP206" s="1009"/>
      <c r="IQ206" s="1009"/>
      <c r="IR206" s="1009"/>
      <c r="IS206" s="1009"/>
      <c r="IT206" s="1009"/>
      <c r="IU206" s="1009"/>
      <c r="IV206" s="1009"/>
      <c r="IW206" s="1009"/>
      <c r="IX206" s="1009"/>
      <c r="IY206" s="1009"/>
      <c r="IZ206" s="1009"/>
      <c r="JA206" s="1009"/>
      <c r="JB206" s="1009"/>
      <c r="JC206" s="1009"/>
      <c r="JD206" s="1009"/>
      <c r="JE206" s="1009"/>
      <c r="JF206" s="1009"/>
      <c r="JG206" s="1009"/>
      <c r="JH206" s="1009"/>
      <c r="JI206" s="1009"/>
      <c r="JJ206" s="1009"/>
      <c r="JK206" s="1009"/>
      <c r="JL206" s="1009"/>
      <c r="JM206" s="1009"/>
      <c r="JN206" s="1009"/>
      <c r="JO206" s="1009"/>
      <c r="JP206" s="1009"/>
      <c r="JQ206" s="1009"/>
      <c r="JR206" s="1009"/>
      <c r="JS206" s="1009"/>
      <c r="JT206" s="1009"/>
      <c r="JU206" s="1009"/>
      <c r="JV206" s="1009"/>
      <c r="JW206" s="1009"/>
      <c r="JX206" s="1009"/>
      <c r="JY206" s="1009"/>
      <c r="JZ206" s="1009"/>
      <c r="KA206" s="1009"/>
      <c r="KB206" s="1009"/>
      <c r="KC206" s="1009"/>
      <c r="KD206" s="1009"/>
      <c r="KE206" s="1009"/>
      <c r="KF206" s="1009"/>
      <c r="KG206" s="1009"/>
      <c r="KH206" s="1009"/>
      <c r="KI206" s="1009"/>
      <c r="KJ206" s="1009"/>
      <c r="KK206" s="1009"/>
      <c r="KL206" s="1009"/>
      <c r="KM206" s="1009"/>
      <c r="KN206" s="1009"/>
      <c r="KO206" s="1009"/>
      <c r="KP206" s="1009"/>
      <c r="KQ206" s="1009"/>
      <c r="KR206" s="1009"/>
      <c r="KS206" s="1009"/>
      <c r="KT206" s="1009"/>
      <c r="KU206" s="1009"/>
      <c r="KV206" s="1009"/>
      <c r="KW206" s="1009"/>
      <c r="KX206" s="1009"/>
      <c r="KY206" s="1009"/>
      <c r="KZ206" s="1009"/>
      <c r="LA206" s="1009"/>
      <c r="LB206" s="1009"/>
      <c r="LC206" s="1009"/>
      <c r="LD206" s="1009"/>
      <c r="LE206" s="1009"/>
      <c r="LF206" s="1009"/>
      <c r="LG206" s="1009"/>
      <c r="LH206" s="1009"/>
      <c r="LI206" s="1009"/>
      <c r="LJ206" s="1009"/>
      <c r="LK206" s="1009"/>
      <c r="LL206" s="1009"/>
      <c r="LM206" s="1009"/>
      <c r="LN206" s="1009"/>
      <c r="LO206" s="1009"/>
      <c r="LP206" s="1009"/>
      <c r="LQ206" s="1009"/>
      <c r="LR206" s="1009"/>
      <c r="LS206" s="1009"/>
      <c r="LT206" s="1009"/>
      <c r="LU206" s="1009"/>
      <c r="LV206" s="1009"/>
      <c r="LW206" s="1009"/>
      <c r="LX206" s="1009"/>
      <c r="LY206" s="1009"/>
      <c r="LZ206" s="1009"/>
      <c r="MA206" s="1009"/>
      <c r="MB206" s="1009"/>
      <c r="MC206" s="1009"/>
      <c r="MD206" s="1009"/>
      <c r="ME206" s="1009"/>
      <c r="MF206" s="1009"/>
      <c r="MG206" s="1009"/>
      <c r="MH206" s="1009"/>
      <c r="MI206" s="1009"/>
      <c r="MJ206" s="1009"/>
      <c r="MK206" s="1009"/>
      <c r="ML206" s="1009"/>
      <c r="MM206" s="1009"/>
      <c r="MN206" s="1009"/>
      <c r="MO206" s="1009"/>
      <c r="MP206" s="1009"/>
      <c r="MQ206" s="1009"/>
      <c r="MR206" s="1009"/>
      <c r="MS206" s="1009"/>
      <c r="MT206" s="1009"/>
      <c r="MU206" s="1009"/>
      <c r="MV206" s="1009"/>
      <c r="MW206" s="1009"/>
      <c r="MX206" s="1009"/>
      <c r="MY206" s="1009"/>
      <c r="MZ206" s="1009"/>
      <c r="NA206" s="1009"/>
      <c r="NB206" s="1009"/>
      <c r="NC206" s="1009"/>
      <c r="ND206" s="1009"/>
      <c r="NE206" s="1009"/>
      <c r="NF206" s="1009"/>
      <c r="NG206" s="1009"/>
      <c r="NH206" s="1009"/>
      <c r="NI206" s="1009"/>
      <c r="NJ206" s="1009"/>
      <c r="NK206" s="1009"/>
      <c r="NL206" s="1009"/>
      <c r="NM206" s="1009"/>
      <c r="NN206" s="1009"/>
      <c r="NO206" s="1009"/>
      <c r="NP206" s="1009"/>
      <c r="NQ206" s="1009"/>
      <c r="NR206" s="1009"/>
      <c r="NS206" s="1009"/>
      <c r="NT206" s="1009"/>
      <c r="NU206" s="1009"/>
      <c r="NV206" s="1009"/>
      <c r="NW206" s="1009"/>
      <c r="NX206" s="1009"/>
      <c r="NY206" s="1009"/>
      <c r="NZ206" s="1009"/>
      <c r="OA206" s="1009"/>
      <c r="OB206" s="1009"/>
      <c r="OC206" s="1009"/>
      <c r="OD206" s="1009"/>
      <c r="OE206" s="1009"/>
      <c r="OF206" s="1009"/>
      <c r="OG206" s="1009"/>
      <c r="OH206" s="1009"/>
      <c r="OI206" s="1009"/>
      <c r="OJ206" s="1009"/>
      <c r="OK206" s="1009"/>
      <c r="OL206" s="1009"/>
      <c r="OM206" s="1009"/>
      <c r="ON206" s="1009"/>
      <c r="OO206" s="1009"/>
      <c r="OP206" s="1009"/>
      <c r="OQ206" s="1009"/>
      <c r="OR206" s="1009"/>
      <c r="OS206" s="1009"/>
      <c r="OT206" s="1009"/>
      <c r="OU206" s="1009"/>
      <c r="OV206" s="1009"/>
      <c r="OW206" s="1009"/>
      <c r="OX206" s="1009"/>
      <c r="OY206" s="1009"/>
      <c r="OZ206" s="1009"/>
      <c r="PA206" s="1009"/>
      <c r="PB206" s="1009"/>
      <c r="PC206" s="1009"/>
      <c r="PD206" s="1009"/>
      <c r="PE206" s="1009"/>
      <c r="PF206" s="1009"/>
      <c r="PG206" s="1009"/>
      <c r="PH206" s="1009"/>
      <c r="PI206" s="1009"/>
      <c r="PJ206" s="1009"/>
      <c r="PK206" s="1009"/>
      <c r="PL206" s="1009"/>
      <c r="PM206" s="1009"/>
      <c r="PN206" s="1009"/>
      <c r="PO206" s="1009"/>
      <c r="PP206" s="1009"/>
      <c r="PQ206" s="1009"/>
      <c r="PR206" s="1009"/>
      <c r="PS206" s="1009"/>
      <c r="PT206" s="1009"/>
      <c r="PU206" s="1009"/>
      <c r="PV206" s="1009"/>
      <c r="PW206" s="1009"/>
      <c r="PX206" s="1009"/>
      <c r="PY206" s="1009"/>
      <c r="PZ206" s="1009"/>
      <c r="QA206" s="1009"/>
      <c r="QB206" s="1009"/>
      <c r="QC206" s="1009"/>
      <c r="QD206" s="1009"/>
      <c r="QE206" s="1009"/>
      <c r="QF206" s="1009"/>
      <c r="QG206" s="1009"/>
      <c r="QH206" s="1009"/>
      <c r="QI206" s="1009"/>
      <c r="QJ206" s="1009"/>
      <c r="QK206" s="1009"/>
      <c r="QL206" s="1009"/>
      <c r="QM206" s="1009"/>
      <c r="QN206" s="1009"/>
      <c r="QO206" s="1009"/>
      <c r="QP206" s="1009"/>
      <c r="QQ206" s="1009"/>
      <c r="QR206" s="1009"/>
      <c r="QS206" s="1009"/>
      <c r="QT206" s="1009"/>
      <c r="QU206" s="1009"/>
      <c r="QV206" s="1009"/>
      <c r="QW206" s="1009"/>
      <c r="QX206" s="1009"/>
      <c r="QY206" s="1009"/>
      <c r="QZ206" s="1009"/>
      <c r="RA206" s="1009"/>
      <c r="RB206" s="1009"/>
      <c r="RC206" s="1009"/>
      <c r="RD206" s="1009"/>
      <c r="RE206" s="1009"/>
      <c r="RF206" s="1009"/>
      <c r="RG206" s="1009"/>
      <c r="RH206" s="1009"/>
      <c r="RI206" s="1009"/>
      <c r="RJ206" s="1009"/>
      <c r="RK206" s="1009"/>
      <c r="RL206" s="1009"/>
      <c r="RM206" s="1009"/>
      <c r="RN206" s="1009"/>
      <c r="RO206" s="1009"/>
      <c r="RP206" s="1009"/>
      <c r="RQ206" s="1009"/>
      <c r="RR206" s="1009"/>
      <c r="RS206" s="1009"/>
      <c r="RT206" s="1009"/>
      <c r="RU206" s="1009"/>
      <c r="RV206" s="1009"/>
      <c r="RW206" s="1009"/>
      <c r="RX206" s="1009"/>
      <c r="RY206" s="1009"/>
      <c r="RZ206" s="1009"/>
      <c r="SA206" s="1009"/>
      <c r="SB206" s="1009"/>
      <c r="SC206" s="1009"/>
      <c r="SD206" s="1009"/>
      <c r="SE206" s="1009"/>
      <c r="SF206" s="1009"/>
      <c r="SG206" s="1009"/>
      <c r="SH206" s="1009"/>
      <c r="SI206" s="1009"/>
      <c r="SJ206" s="1009"/>
      <c r="SK206" s="1009"/>
      <c r="SL206" s="1009"/>
      <c r="SM206" s="1009"/>
      <c r="SN206" s="1009"/>
      <c r="SO206" s="1009"/>
      <c r="SP206" s="1009"/>
      <c r="SQ206" s="1009"/>
      <c r="SR206" s="1009"/>
      <c r="SS206" s="1009"/>
      <c r="ST206" s="1009"/>
      <c r="SU206" s="1009"/>
      <c r="SV206" s="1009"/>
      <c r="SW206" s="1009"/>
      <c r="SX206" s="1009"/>
      <c r="SY206" s="1009"/>
      <c r="SZ206" s="1009"/>
      <c r="TA206" s="1009"/>
      <c r="TB206" s="1009"/>
      <c r="TC206" s="1009"/>
      <c r="TD206" s="1009"/>
      <c r="TE206" s="1009"/>
      <c r="TF206" s="1009"/>
      <c r="TG206" s="1009"/>
      <c r="TH206" s="1009"/>
      <c r="TI206" s="1009"/>
      <c r="TJ206" s="1009"/>
      <c r="TK206" s="1009"/>
      <c r="TL206" s="1009"/>
      <c r="TM206" s="1009"/>
      <c r="TN206" s="1009"/>
      <c r="TO206" s="1009"/>
      <c r="TP206" s="1009"/>
      <c r="TQ206" s="1009"/>
      <c r="TR206" s="1009"/>
      <c r="TS206" s="1009"/>
      <c r="TT206" s="1009"/>
      <c r="TU206" s="1009"/>
      <c r="TV206" s="1009"/>
      <c r="TW206" s="1009"/>
      <c r="TX206" s="1009"/>
      <c r="TY206" s="1009"/>
      <c r="TZ206" s="1009"/>
      <c r="UA206" s="1009"/>
      <c r="UB206" s="1009"/>
      <c r="UC206" s="1009"/>
      <c r="UD206" s="1009"/>
      <c r="UE206" s="1009"/>
      <c r="UF206" s="1009"/>
      <c r="UG206" s="1009"/>
      <c r="UH206" s="1009"/>
      <c r="UI206" s="1009"/>
      <c r="UJ206" s="1009"/>
      <c r="UK206" s="1009"/>
      <c r="UL206" s="1009"/>
      <c r="UM206" s="1009"/>
      <c r="UN206" s="1009"/>
      <c r="UO206" s="1009"/>
      <c r="UP206" s="1009"/>
      <c r="UQ206" s="1009"/>
      <c r="UR206" s="1009"/>
      <c r="US206" s="1009"/>
      <c r="UT206" s="1009"/>
      <c r="UU206" s="1009"/>
      <c r="UV206" s="1009"/>
      <c r="UW206" s="1009"/>
      <c r="UX206" s="1009"/>
      <c r="UY206" s="1009"/>
      <c r="UZ206" s="1009"/>
      <c r="VA206" s="1009"/>
      <c r="VB206" s="1009"/>
      <c r="VC206" s="1009"/>
      <c r="VD206" s="1009"/>
      <c r="VE206" s="1009"/>
      <c r="VF206" s="1009"/>
      <c r="VG206" s="1009"/>
      <c r="VH206" s="1009"/>
      <c r="VI206" s="1009"/>
      <c r="VJ206" s="1009"/>
      <c r="VK206" s="1009"/>
      <c r="VL206" s="1009"/>
      <c r="VM206" s="1009"/>
      <c r="VN206" s="1009"/>
      <c r="VO206" s="1009"/>
      <c r="VP206" s="1009"/>
      <c r="VQ206" s="1009"/>
      <c r="VR206" s="1009"/>
      <c r="VS206" s="1009"/>
      <c r="VT206" s="1009"/>
      <c r="VU206" s="1009"/>
      <c r="VV206" s="1009"/>
      <c r="VW206" s="1009"/>
      <c r="VX206" s="1009"/>
      <c r="VY206" s="1009"/>
      <c r="VZ206" s="1009"/>
      <c r="WA206" s="1009"/>
      <c r="WB206" s="1009"/>
      <c r="WC206" s="1009"/>
      <c r="WD206" s="1009"/>
      <c r="WE206" s="1009"/>
      <c r="WF206" s="1009"/>
      <c r="WG206" s="1009"/>
      <c r="WH206" s="1009"/>
      <c r="WI206" s="1009"/>
      <c r="WJ206" s="1009"/>
      <c r="WK206" s="1009"/>
      <c r="WL206" s="1009"/>
      <c r="WM206" s="1009"/>
      <c r="WN206" s="1009"/>
      <c r="WO206" s="1009"/>
      <c r="WP206" s="1009"/>
      <c r="WQ206" s="1009"/>
      <c r="WR206" s="1009"/>
      <c r="WS206" s="1009"/>
      <c r="WT206" s="1009"/>
      <c r="WU206" s="1009"/>
      <c r="WV206" s="1009"/>
      <c r="WW206" s="1009"/>
      <c r="WX206" s="1009"/>
      <c r="WY206" s="1009"/>
      <c r="WZ206" s="1009"/>
      <c r="XA206" s="1009"/>
      <c r="XB206" s="1009"/>
      <c r="XC206" s="1009"/>
      <c r="XD206" s="1009"/>
      <c r="XE206" s="1009"/>
      <c r="XF206" s="1009"/>
      <c r="XG206" s="1009"/>
      <c r="XH206" s="1009"/>
      <c r="XI206" s="1009"/>
      <c r="XJ206" s="1009"/>
      <c r="XK206" s="1009"/>
      <c r="XL206" s="1009"/>
      <c r="XM206" s="1009"/>
      <c r="XN206" s="1009"/>
      <c r="XO206" s="1009"/>
      <c r="XP206" s="1009"/>
      <c r="XQ206" s="1009"/>
      <c r="XR206" s="1009"/>
      <c r="XS206" s="1009"/>
      <c r="XT206" s="1009"/>
      <c r="XU206" s="1009"/>
      <c r="XV206" s="1009"/>
      <c r="XW206" s="1009"/>
      <c r="XX206" s="1009"/>
      <c r="XY206" s="1009"/>
      <c r="XZ206" s="1009"/>
      <c r="YA206" s="1009"/>
      <c r="YB206" s="1009"/>
      <c r="YC206" s="1009"/>
      <c r="YD206" s="1009"/>
      <c r="YE206" s="1009"/>
      <c r="YF206" s="1009"/>
      <c r="YG206" s="1009"/>
      <c r="YH206" s="1009"/>
      <c r="YI206" s="1009"/>
      <c r="YJ206" s="1009"/>
      <c r="YK206" s="1009"/>
      <c r="YL206" s="1009"/>
      <c r="YM206" s="1009"/>
      <c r="YN206" s="1009"/>
      <c r="YO206" s="1009"/>
      <c r="YP206" s="1009"/>
      <c r="YQ206" s="1009"/>
      <c r="YR206" s="1009"/>
      <c r="YS206" s="1009"/>
      <c r="YT206" s="1009"/>
      <c r="YU206" s="1009"/>
      <c r="YV206" s="1009"/>
      <c r="YW206" s="1009"/>
      <c r="YX206" s="1009"/>
      <c r="YY206" s="1009"/>
      <c r="YZ206" s="1009"/>
      <c r="ZA206" s="1009"/>
      <c r="ZB206" s="1009"/>
      <c r="ZC206" s="1009"/>
      <c r="ZD206" s="1009"/>
      <c r="ZE206" s="1009"/>
      <c r="ZF206" s="1009"/>
      <c r="ZG206" s="1009"/>
      <c r="ZH206" s="1009"/>
      <c r="ZI206" s="1009"/>
      <c r="ZJ206" s="1009"/>
      <c r="ZK206" s="1009"/>
      <c r="ZL206" s="1009"/>
      <c r="ZM206" s="1009"/>
      <c r="ZN206" s="1009"/>
      <c r="ZO206" s="1009"/>
      <c r="ZP206" s="1009"/>
      <c r="ZQ206" s="1009"/>
      <c r="ZR206" s="1009"/>
      <c r="ZS206" s="1009"/>
      <c r="ZT206" s="1009"/>
      <c r="ZU206" s="1009"/>
      <c r="ZV206" s="1009"/>
      <c r="ZW206" s="1009"/>
      <c r="ZX206" s="1009"/>
      <c r="ZY206" s="1009"/>
      <c r="ZZ206" s="1009"/>
      <c r="AAA206" s="1009"/>
      <c r="AAB206" s="1009"/>
      <c r="AAC206" s="1009"/>
      <c r="AAD206" s="1009"/>
      <c r="AAE206" s="1009"/>
      <c r="AAF206" s="1009"/>
      <c r="AAG206" s="1009"/>
      <c r="AAH206" s="1009"/>
      <c r="AAI206" s="1009"/>
      <c r="AAJ206" s="1009"/>
      <c r="AAK206" s="1009"/>
      <c r="AAL206" s="1009"/>
      <c r="AAM206" s="1009"/>
      <c r="AAN206" s="1009"/>
      <c r="AAO206" s="1009"/>
      <c r="AAP206" s="1009"/>
      <c r="AAQ206" s="1009"/>
      <c r="AAR206" s="1009"/>
      <c r="AAS206" s="1009"/>
      <c r="AAT206" s="1009"/>
      <c r="AAU206" s="1009"/>
      <c r="AAV206" s="1009"/>
      <c r="AAW206" s="1009"/>
      <c r="AAX206" s="1009"/>
      <c r="AAY206" s="1009"/>
      <c r="AAZ206" s="1009"/>
      <c r="ABA206" s="1009"/>
      <c r="ABB206" s="1009"/>
      <c r="ABC206" s="1009"/>
      <c r="ABD206" s="1009"/>
      <c r="ABE206" s="1009"/>
      <c r="ABF206" s="1009"/>
      <c r="ABG206" s="1009"/>
      <c r="ABH206" s="1009"/>
      <c r="ABI206" s="1009"/>
      <c r="ABJ206" s="1009"/>
      <c r="ABK206" s="1009"/>
      <c r="ABL206" s="1009"/>
      <c r="ABM206" s="1009"/>
      <c r="ABN206" s="1009"/>
      <c r="ABO206" s="1009"/>
      <c r="ABP206" s="1009"/>
      <c r="ABQ206" s="1009"/>
      <c r="ABR206" s="1009"/>
    </row>
    <row r="207" spans="1:746" s="111" customFormat="1" ht="12" customHeight="1" thickBot="1">
      <c r="A207" s="924"/>
      <c r="B207" s="1118" t="s">
        <v>182</v>
      </c>
      <c r="C207" s="1949">
        <f>IF(E220&lt;&gt;0,"Se difff i E172",0)</f>
        <v>0</v>
      </c>
      <c r="D207" s="1119"/>
      <c r="E207" s="2971">
        <f>SUM(E201:G206)</f>
        <v>0</v>
      </c>
      <c r="F207" s="2972"/>
      <c r="G207" s="2973"/>
      <c r="H207" s="2524"/>
      <c r="I207" s="1192">
        <f t="shared" ref="I207:AF207" ca="1" si="19">SUM(I201:I206)</f>
        <v>0</v>
      </c>
      <c r="J207" s="2389">
        <f t="shared" ca="1" si="19"/>
        <v>0</v>
      </c>
      <c r="K207" s="2389">
        <f t="shared" ca="1" si="19"/>
        <v>0</v>
      </c>
      <c r="L207" s="2389">
        <f t="shared" ca="1" si="19"/>
        <v>0</v>
      </c>
      <c r="M207" s="2389">
        <f t="shared" ca="1" si="19"/>
        <v>0</v>
      </c>
      <c r="N207" s="2389">
        <f t="shared" ca="1" si="19"/>
        <v>0</v>
      </c>
      <c r="O207" s="2389">
        <f t="shared" ca="1" si="19"/>
        <v>0</v>
      </c>
      <c r="P207" s="2389">
        <f t="shared" ca="1" si="19"/>
        <v>0</v>
      </c>
      <c r="Q207" s="2389">
        <f t="shared" ca="1" si="19"/>
        <v>0</v>
      </c>
      <c r="R207" s="2389">
        <f t="shared" ca="1" si="19"/>
        <v>0</v>
      </c>
      <c r="S207" s="2389">
        <f t="shared" ca="1" si="19"/>
        <v>0</v>
      </c>
      <c r="T207" s="2389">
        <f t="shared" ca="1" si="19"/>
        <v>0</v>
      </c>
      <c r="U207" s="2389">
        <f t="shared" ca="1" si="19"/>
        <v>0</v>
      </c>
      <c r="V207" s="2389">
        <f t="shared" ca="1" si="19"/>
        <v>0</v>
      </c>
      <c r="W207" s="2389">
        <f t="shared" ca="1" si="19"/>
        <v>0</v>
      </c>
      <c r="X207" s="2389">
        <f t="shared" ca="1" si="19"/>
        <v>0</v>
      </c>
      <c r="Y207" s="2389">
        <f t="shared" ca="1" si="19"/>
        <v>0</v>
      </c>
      <c r="Z207" s="2389">
        <f t="shared" ca="1" si="19"/>
        <v>0</v>
      </c>
      <c r="AA207" s="2389">
        <f t="shared" ca="1" si="19"/>
        <v>0</v>
      </c>
      <c r="AB207" s="2389">
        <f t="shared" ca="1" si="19"/>
        <v>0</v>
      </c>
      <c r="AC207" s="2389">
        <f t="shared" ca="1" si="19"/>
        <v>0</v>
      </c>
      <c r="AD207" s="2389">
        <f t="shared" ca="1" si="19"/>
        <v>0</v>
      </c>
      <c r="AE207" s="2389">
        <f t="shared" ca="1" si="19"/>
        <v>0</v>
      </c>
      <c r="AF207" s="2389">
        <f t="shared" ca="1" si="19"/>
        <v>0</v>
      </c>
      <c r="AG207" s="376"/>
      <c r="AH207" s="769"/>
      <c r="AI207" s="769"/>
      <c r="AJ207" s="770">
        <f ca="1">IF(fx!$C$57=1,T207,IF(fx!$C$57=2,AF207))</f>
        <v>0</v>
      </c>
      <c r="AK207" s="774"/>
      <c r="AL207" s="771">
        <f ca="1">IF(fx!$C$57=1,AF207,0)</f>
        <v>0</v>
      </c>
      <c r="AM207" s="1009"/>
      <c r="AN207" s="1009"/>
      <c r="AO207" s="1945"/>
      <c r="AP207" s="1935"/>
      <c r="AQ207" s="1936"/>
      <c r="AR207" s="1941"/>
      <c r="AS207" s="1941"/>
      <c r="AT207" s="1941"/>
      <c r="AU207" s="1941"/>
      <c r="AV207" s="1941"/>
      <c r="AW207" s="1941"/>
      <c r="AX207" s="1941"/>
      <c r="AY207" s="1941"/>
      <c r="AZ207" s="1941"/>
      <c r="BA207" s="1941"/>
      <c r="BB207" s="1941"/>
      <c r="BC207" s="1941"/>
      <c r="BD207" s="1941"/>
      <c r="BE207" s="1941"/>
      <c r="BF207" s="1941"/>
      <c r="BG207" s="1941"/>
      <c r="BH207" s="1941"/>
      <c r="BI207" s="1941"/>
      <c r="BJ207" s="1941"/>
      <c r="BK207" s="1941"/>
      <c r="BL207" s="1941"/>
      <c r="BM207" s="1941"/>
      <c r="BN207" s="1941"/>
      <c r="BO207" s="1941"/>
      <c r="BP207" s="1009"/>
      <c r="BQ207" s="1009"/>
      <c r="BR207" s="1009"/>
      <c r="BS207" s="1009"/>
      <c r="BT207" s="1009"/>
      <c r="BU207" s="1009"/>
      <c r="BV207" s="1009"/>
      <c r="BW207" s="1009"/>
      <c r="BX207" s="1009"/>
      <c r="BY207" s="1009"/>
      <c r="BZ207" s="1009"/>
      <c r="CA207" s="1009"/>
      <c r="CB207" s="1009"/>
      <c r="CC207" s="1009"/>
      <c r="CD207" s="1009"/>
      <c r="CE207" s="1009"/>
      <c r="CF207" s="1009"/>
      <c r="CG207" s="1009"/>
      <c r="CH207" s="1009"/>
      <c r="CI207" s="1009"/>
      <c r="CJ207" s="1009"/>
      <c r="CK207" s="1009"/>
      <c r="CL207" s="1009"/>
      <c r="CM207" s="1009"/>
      <c r="CN207" s="1009"/>
      <c r="CO207" s="1009"/>
      <c r="CP207" s="1009"/>
      <c r="CQ207" s="1009"/>
      <c r="CR207" s="1009"/>
      <c r="CS207" s="1009"/>
      <c r="CT207" s="1009"/>
      <c r="CU207" s="1009"/>
      <c r="CV207" s="1009"/>
      <c r="CW207" s="1009"/>
      <c r="CX207" s="1009"/>
      <c r="CY207" s="1009"/>
      <c r="CZ207" s="1009"/>
      <c r="DA207" s="1009"/>
      <c r="DB207" s="1009"/>
      <c r="DC207" s="1009"/>
      <c r="DD207" s="1009"/>
      <c r="DE207" s="1009"/>
      <c r="DF207" s="1009"/>
      <c r="DG207" s="1009"/>
      <c r="DH207" s="1009"/>
      <c r="DI207" s="1009"/>
      <c r="DJ207" s="1009"/>
      <c r="DK207" s="1009"/>
      <c r="DL207" s="1009"/>
      <c r="DM207" s="1009"/>
      <c r="DN207" s="1009"/>
      <c r="DO207" s="1009"/>
      <c r="DP207" s="1009"/>
      <c r="DQ207" s="1009"/>
      <c r="DR207" s="1009"/>
      <c r="DS207" s="1009"/>
      <c r="DT207" s="1009"/>
      <c r="DU207" s="1009"/>
      <c r="DV207" s="1009"/>
      <c r="DW207" s="1009"/>
      <c r="DX207" s="1009"/>
      <c r="DY207" s="1009"/>
      <c r="DZ207" s="1009"/>
      <c r="EA207" s="1009"/>
      <c r="EB207" s="1009"/>
      <c r="EC207" s="1009"/>
      <c r="ED207" s="1009"/>
      <c r="EE207" s="1009"/>
      <c r="EF207" s="1009"/>
      <c r="EG207" s="1009"/>
      <c r="EH207" s="1009"/>
      <c r="EI207" s="1009"/>
      <c r="EJ207" s="1009"/>
      <c r="EK207" s="1009"/>
      <c r="EL207" s="1009"/>
      <c r="EM207" s="1009"/>
      <c r="EN207" s="1009"/>
      <c r="EO207" s="1009"/>
      <c r="EP207" s="1009"/>
      <c r="EQ207" s="1009"/>
      <c r="ER207" s="1009"/>
      <c r="ES207" s="1009"/>
      <c r="ET207" s="1009"/>
      <c r="EU207" s="1009"/>
      <c r="EV207" s="1009"/>
      <c r="EW207" s="1009"/>
      <c r="EX207" s="1009"/>
      <c r="EY207" s="1009"/>
      <c r="EZ207" s="1009"/>
      <c r="FA207" s="1009"/>
      <c r="FB207" s="1009"/>
      <c r="FC207" s="1009"/>
      <c r="FD207" s="1009"/>
      <c r="FE207" s="1009"/>
      <c r="FF207" s="1009"/>
      <c r="FG207" s="1009"/>
      <c r="FH207" s="1009"/>
      <c r="FI207" s="1009"/>
      <c r="FJ207" s="1009"/>
      <c r="FK207" s="1009"/>
      <c r="FL207" s="1009"/>
      <c r="FM207" s="1009"/>
      <c r="FN207" s="1009"/>
      <c r="FO207" s="1009"/>
      <c r="FP207" s="1009"/>
      <c r="FQ207" s="1009"/>
      <c r="FR207" s="1009"/>
      <c r="FS207" s="1009"/>
      <c r="FT207" s="1009"/>
      <c r="FU207" s="1009"/>
      <c r="FV207" s="1009"/>
      <c r="FW207" s="1009"/>
      <c r="FX207" s="1009"/>
      <c r="FY207" s="1009"/>
      <c r="FZ207" s="1009"/>
      <c r="GA207" s="1009"/>
      <c r="GB207" s="1009"/>
      <c r="GC207" s="1009"/>
      <c r="GD207" s="1009"/>
      <c r="GE207" s="1009"/>
      <c r="GF207" s="1009"/>
      <c r="GG207" s="1009"/>
      <c r="GH207" s="1009"/>
      <c r="GI207" s="1009"/>
      <c r="GJ207" s="1009"/>
      <c r="GK207" s="1009"/>
      <c r="GL207" s="1009"/>
      <c r="GM207" s="1009"/>
      <c r="GN207" s="1009"/>
      <c r="GO207" s="1009"/>
      <c r="GP207" s="1009"/>
      <c r="GQ207" s="1009"/>
      <c r="GR207" s="1009"/>
      <c r="GS207" s="1009"/>
      <c r="GT207" s="1009"/>
      <c r="GU207" s="1009"/>
      <c r="GV207" s="1009"/>
      <c r="GW207" s="1009"/>
      <c r="GX207" s="1009"/>
      <c r="GY207" s="1009"/>
      <c r="GZ207" s="1009"/>
      <c r="HA207" s="1009"/>
      <c r="HB207" s="1009"/>
      <c r="HC207" s="1009"/>
      <c r="HD207" s="1009"/>
      <c r="HE207" s="1009"/>
      <c r="HF207" s="1009"/>
      <c r="HG207" s="1009"/>
      <c r="HH207" s="1009"/>
      <c r="HI207" s="1009"/>
      <c r="HJ207" s="1009"/>
      <c r="HK207" s="1009"/>
      <c r="HL207" s="1009"/>
      <c r="HM207" s="1009"/>
      <c r="HN207" s="1009"/>
      <c r="HO207" s="1009"/>
      <c r="HP207" s="1009"/>
      <c r="HQ207" s="1009"/>
      <c r="HR207" s="1009"/>
      <c r="HS207" s="1009"/>
      <c r="HT207" s="1009"/>
      <c r="HU207" s="1009"/>
      <c r="HV207" s="1009"/>
      <c r="HW207" s="1009"/>
      <c r="HX207" s="1009"/>
      <c r="HY207" s="1009"/>
      <c r="HZ207" s="1009"/>
      <c r="IA207" s="1009"/>
      <c r="IB207" s="1009"/>
      <c r="IC207" s="1009"/>
      <c r="ID207" s="1009"/>
      <c r="IE207" s="1009"/>
      <c r="IF207" s="1009"/>
      <c r="IG207" s="1009"/>
      <c r="IH207" s="1009"/>
      <c r="II207" s="1009"/>
      <c r="IJ207" s="1009"/>
      <c r="IK207" s="1009"/>
      <c r="IL207" s="1009"/>
      <c r="IM207" s="1009"/>
      <c r="IN207" s="1009"/>
      <c r="IO207" s="1009"/>
      <c r="IP207" s="1009"/>
      <c r="IQ207" s="1009"/>
      <c r="IR207" s="1009"/>
      <c r="IS207" s="1009"/>
      <c r="IT207" s="1009"/>
      <c r="IU207" s="1009"/>
      <c r="IV207" s="1009"/>
      <c r="IW207" s="1009"/>
      <c r="IX207" s="1009"/>
      <c r="IY207" s="1009"/>
      <c r="IZ207" s="1009"/>
      <c r="JA207" s="1009"/>
      <c r="JB207" s="1009"/>
      <c r="JC207" s="1009"/>
      <c r="JD207" s="1009"/>
      <c r="JE207" s="1009"/>
      <c r="JF207" s="1009"/>
      <c r="JG207" s="1009"/>
      <c r="JH207" s="1009"/>
      <c r="JI207" s="1009"/>
      <c r="JJ207" s="1009"/>
      <c r="JK207" s="1009"/>
      <c r="JL207" s="1009"/>
      <c r="JM207" s="1009"/>
      <c r="JN207" s="1009"/>
      <c r="JO207" s="1009"/>
      <c r="JP207" s="1009"/>
      <c r="JQ207" s="1009"/>
      <c r="JR207" s="1009"/>
      <c r="JS207" s="1009"/>
      <c r="JT207" s="1009"/>
      <c r="JU207" s="1009"/>
      <c r="JV207" s="1009"/>
      <c r="JW207" s="1009"/>
      <c r="JX207" s="1009"/>
      <c r="JY207" s="1009"/>
      <c r="JZ207" s="1009"/>
      <c r="KA207" s="1009"/>
      <c r="KB207" s="1009"/>
      <c r="KC207" s="1009"/>
      <c r="KD207" s="1009"/>
      <c r="KE207" s="1009"/>
      <c r="KF207" s="1009"/>
      <c r="KG207" s="1009"/>
      <c r="KH207" s="1009"/>
      <c r="KI207" s="1009"/>
      <c r="KJ207" s="1009"/>
      <c r="KK207" s="1009"/>
      <c r="KL207" s="1009"/>
      <c r="KM207" s="1009"/>
      <c r="KN207" s="1009"/>
      <c r="KO207" s="1009"/>
      <c r="KP207" s="1009"/>
      <c r="KQ207" s="1009"/>
      <c r="KR207" s="1009"/>
      <c r="KS207" s="1009"/>
      <c r="KT207" s="1009"/>
      <c r="KU207" s="1009"/>
      <c r="KV207" s="1009"/>
      <c r="KW207" s="1009"/>
      <c r="KX207" s="1009"/>
      <c r="KY207" s="1009"/>
      <c r="KZ207" s="1009"/>
      <c r="LA207" s="1009"/>
      <c r="LB207" s="1009"/>
      <c r="LC207" s="1009"/>
      <c r="LD207" s="1009"/>
      <c r="LE207" s="1009"/>
      <c r="LF207" s="1009"/>
      <c r="LG207" s="1009"/>
      <c r="LH207" s="1009"/>
      <c r="LI207" s="1009"/>
      <c r="LJ207" s="1009"/>
      <c r="LK207" s="1009"/>
      <c r="LL207" s="1009"/>
      <c r="LM207" s="1009"/>
      <c r="LN207" s="1009"/>
      <c r="LO207" s="1009"/>
      <c r="LP207" s="1009"/>
      <c r="LQ207" s="1009"/>
      <c r="LR207" s="1009"/>
      <c r="LS207" s="1009"/>
      <c r="LT207" s="1009"/>
      <c r="LU207" s="1009"/>
      <c r="LV207" s="1009"/>
      <c r="LW207" s="1009"/>
      <c r="LX207" s="1009"/>
      <c r="LY207" s="1009"/>
      <c r="LZ207" s="1009"/>
      <c r="MA207" s="1009"/>
      <c r="MB207" s="1009"/>
      <c r="MC207" s="1009"/>
      <c r="MD207" s="1009"/>
      <c r="ME207" s="1009"/>
      <c r="MF207" s="1009"/>
      <c r="MG207" s="1009"/>
      <c r="MH207" s="1009"/>
      <c r="MI207" s="1009"/>
      <c r="MJ207" s="1009"/>
      <c r="MK207" s="1009"/>
      <c r="ML207" s="1009"/>
      <c r="MM207" s="1009"/>
      <c r="MN207" s="1009"/>
      <c r="MO207" s="1009"/>
      <c r="MP207" s="1009"/>
      <c r="MQ207" s="1009"/>
      <c r="MR207" s="1009"/>
      <c r="MS207" s="1009"/>
      <c r="MT207" s="1009"/>
      <c r="MU207" s="1009"/>
      <c r="MV207" s="1009"/>
      <c r="MW207" s="1009"/>
      <c r="MX207" s="1009"/>
      <c r="MY207" s="1009"/>
      <c r="MZ207" s="1009"/>
      <c r="NA207" s="1009"/>
      <c r="NB207" s="1009"/>
      <c r="NC207" s="1009"/>
      <c r="ND207" s="1009"/>
      <c r="NE207" s="1009"/>
      <c r="NF207" s="1009"/>
      <c r="NG207" s="1009"/>
      <c r="NH207" s="1009"/>
      <c r="NI207" s="1009"/>
      <c r="NJ207" s="1009"/>
      <c r="NK207" s="1009"/>
      <c r="NL207" s="1009"/>
      <c r="NM207" s="1009"/>
      <c r="NN207" s="1009"/>
      <c r="NO207" s="1009"/>
      <c r="NP207" s="1009"/>
      <c r="NQ207" s="1009"/>
      <c r="NR207" s="1009"/>
      <c r="NS207" s="1009"/>
      <c r="NT207" s="1009"/>
      <c r="NU207" s="1009"/>
      <c r="NV207" s="1009"/>
      <c r="NW207" s="1009"/>
      <c r="NX207" s="1009"/>
      <c r="NY207" s="1009"/>
      <c r="NZ207" s="1009"/>
      <c r="OA207" s="1009"/>
      <c r="OB207" s="1009"/>
      <c r="OC207" s="1009"/>
      <c r="OD207" s="1009"/>
      <c r="OE207" s="1009"/>
      <c r="OF207" s="1009"/>
      <c r="OG207" s="1009"/>
      <c r="OH207" s="1009"/>
      <c r="OI207" s="1009"/>
      <c r="OJ207" s="1009"/>
      <c r="OK207" s="1009"/>
      <c r="OL207" s="1009"/>
      <c r="OM207" s="1009"/>
      <c r="ON207" s="1009"/>
      <c r="OO207" s="1009"/>
      <c r="OP207" s="1009"/>
      <c r="OQ207" s="1009"/>
      <c r="OR207" s="1009"/>
      <c r="OS207" s="1009"/>
      <c r="OT207" s="1009"/>
      <c r="OU207" s="1009"/>
      <c r="OV207" s="1009"/>
      <c r="OW207" s="1009"/>
      <c r="OX207" s="1009"/>
      <c r="OY207" s="1009"/>
      <c r="OZ207" s="1009"/>
      <c r="PA207" s="1009"/>
      <c r="PB207" s="1009"/>
      <c r="PC207" s="1009"/>
      <c r="PD207" s="1009"/>
      <c r="PE207" s="1009"/>
      <c r="PF207" s="1009"/>
      <c r="PG207" s="1009"/>
      <c r="PH207" s="1009"/>
      <c r="PI207" s="1009"/>
      <c r="PJ207" s="1009"/>
      <c r="PK207" s="1009"/>
      <c r="PL207" s="1009"/>
      <c r="PM207" s="1009"/>
      <c r="PN207" s="1009"/>
      <c r="PO207" s="1009"/>
      <c r="PP207" s="1009"/>
      <c r="PQ207" s="1009"/>
      <c r="PR207" s="1009"/>
      <c r="PS207" s="1009"/>
      <c r="PT207" s="1009"/>
      <c r="PU207" s="1009"/>
      <c r="PV207" s="1009"/>
      <c r="PW207" s="1009"/>
      <c r="PX207" s="1009"/>
      <c r="PY207" s="1009"/>
      <c r="PZ207" s="1009"/>
      <c r="QA207" s="1009"/>
      <c r="QB207" s="1009"/>
      <c r="QC207" s="1009"/>
      <c r="QD207" s="1009"/>
      <c r="QE207" s="1009"/>
      <c r="QF207" s="1009"/>
      <c r="QG207" s="1009"/>
      <c r="QH207" s="1009"/>
      <c r="QI207" s="1009"/>
      <c r="QJ207" s="1009"/>
      <c r="QK207" s="1009"/>
      <c r="QL207" s="1009"/>
      <c r="QM207" s="1009"/>
      <c r="QN207" s="1009"/>
      <c r="QO207" s="1009"/>
      <c r="QP207" s="1009"/>
      <c r="QQ207" s="1009"/>
      <c r="QR207" s="1009"/>
      <c r="QS207" s="1009"/>
      <c r="QT207" s="1009"/>
      <c r="QU207" s="1009"/>
      <c r="QV207" s="1009"/>
      <c r="QW207" s="1009"/>
      <c r="QX207" s="1009"/>
      <c r="QY207" s="1009"/>
      <c r="QZ207" s="1009"/>
      <c r="RA207" s="1009"/>
      <c r="RB207" s="1009"/>
      <c r="RC207" s="1009"/>
      <c r="RD207" s="1009"/>
      <c r="RE207" s="1009"/>
      <c r="RF207" s="1009"/>
      <c r="RG207" s="1009"/>
      <c r="RH207" s="1009"/>
      <c r="RI207" s="1009"/>
      <c r="RJ207" s="1009"/>
      <c r="RK207" s="1009"/>
      <c r="RL207" s="1009"/>
      <c r="RM207" s="1009"/>
      <c r="RN207" s="1009"/>
      <c r="RO207" s="1009"/>
      <c r="RP207" s="1009"/>
      <c r="RQ207" s="1009"/>
      <c r="RR207" s="1009"/>
      <c r="RS207" s="1009"/>
      <c r="RT207" s="1009"/>
      <c r="RU207" s="1009"/>
      <c r="RV207" s="1009"/>
      <c r="RW207" s="1009"/>
      <c r="RX207" s="1009"/>
      <c r="RY207" s="1009"/>
      <c r="RZ207" s="1009"/>
      <c r="SA207" s="1009"/>
      <c r="SB207" s="1009"/>
      <c r="SC207" s="1009"/>
      <c r="SD207" s="1009"/>
      <c r="SE207" s="1009"/>
      <c r="SF207" s="1009"/>
      <c r="SG207" s="1009"/>
      <c r="SH207" s="1009"/>
      <c r="SI207" s="1009"/>
      <c r="SJ207" s="1009"/>
      <c r="SK207" s="1009"/>
      <c r="SL207" s="1009"/>
      <c r="SM207" s="1009"/>
      <c r="SN207" s="1009"/>
      <c r="SO207" s="1009"/>
      <c r="SP207" s="1009"/>
      <c r="SQ207" s="1009"/>
      <c r="SR207" s="1009"/>
      <c r="SS207" s="1009"/>
      <c r="ST207" s="1009"/>
      <c r="SU207" s="1009"/>
      <c r="SV207" s="1009"/>
      <c r="SW207" s="1009"/>
      <c r="SX207" s="1009"/>
      <c r="SY207" s="1009"/>
      <c r="SZ207" s="1009"/>
      <c r="TA207" s="1009"/>
      <c r="TB207" s="1009"/>
      <c r="TC207" s="1009"/>
      <c r="TD207" s="1009"/>
      <c r="TE207" s="1009"/>
      <c r="TF207" s="1009"/>
      <c r="TG207" s="1009"/>
      <c r="TH207" s="1009"/>
      <c r="TI207" s="1009"/>
      <c r="TJ207" s="1009"/>
      <c r="TK207" s="1009"/>
      <c r="TL207" s="1009"/>
      <c r="TM207" s="1009"/>
      <c r="TN207" s="1009"/>
      <c r="TO207" s="1009"/>
      <c r="TP207" s="1009"/>
      <c r="TQ207" s="1009"/>
      <c r="TR207" s="1009"/>
      <c r="TS207" s="1009"/>
      <c r="TT207" s="1009"/>
      <c r="TU207" s="1009"/>
      <c r="TV207" s="1009"/>
      <c r="TW207" s="1009"/>
      <c r="TX207" s="1009"/>
      <c r="TY207" s="1009"/>
      <c r="TZ207" s="1009"/>
      <c r="UA207" s="1009"/>
      <c r="UB207" s="1009"/>
      <c r="UC207" s="1009"/>
      <c r="UD207" s="1009"/>
      <c r="UE207" s="1009"/>
      <c r="UF207" s="1009"/>
      <c r="UG207" s="1009"/>
      <c r="UH207" s="1009"/>
      <c r="UI207" s="1009"/>
      <c r="UJ207" s="1009"/>
      <c r="UK207" s="1009"/>
      <c r="UL207" s="1009"/>
      <c r="UM207" s="1009"/>
      <c r="UN207" s="1009"/>
      <c r="UO207" s="1009"/>
      <c r="UP207" s="1009"/>
      <c r="UQ207" s="1009"/>
      <c r="UR207" s="1009"/>
      <c r="US207" s="1009"/>
      <c r="UT207" s="1009"/>
      <c r="UU207" s="1009"/>
      <c r="UV207" s="1009"/>
      <c r="UW207" s="1009"/>
      <c r="UX207" s="1009"/>
      <c r="UY207" s="1009"/>
      <c r="UZ207" s="1009"/>
      <c r="VA207" s="1009"/>
      <c r="VB207" s="1009"/>
      <c r="VC207" s="1009"/>
      <c r="VD207" s="1009"/>
      <c r="VE207" s="1009"/>
      <c r="VF207" s="1009"/>
      <c r="VG207" s="1009"/>
      <c r="VH207" s="1009"/>
      <c r="VI207" s="1009"/>
      <c r="VJ207" s="1009"/>
      <c r="VK207" s="1009"/>
      <c r="VL207" s="1009"/>
      <c r="VM207" s="1009"/>
      <c r="VN207" s="1009"/>
      <c r="VO207" s="1009"/>
      <c r="VP207" s="1009"/>
      <c r="VQ207" s="1009"/>
      <c r="VR207" s="1009"/>
      <c r="VS207" s="1009"/>
      <c r="VT207" s="1009"/>
      <c r="VU207" s="1009"/>
      <c r="VV207" s="1009"/>
      <c r="VW207" s="1009"/>
      <c r="VX207" s="1009"/>
      <c r="VY207" s="1009"/>
      <c r="VZ207" s="1009"/>
      <c r="WA207" s="1009"/>
      <c r="WB207" s="1009"/>
      <c r="WC207" s="1009"/>
      <c r="WD207" s="1009"/>
      <c r="WE207" s="1009"/>
      <c r="WF207" s="1009"/>
      <c r="WG207" s="1009"/>
      <c r="WH207" s="1009"/>
      <c r="WI207" s="1009"/>
      <c r="WJ207" s="1009"/>
      <c r="WK207" s="1009"/>
      <c r="WL207" s="1009"/>
      <c r="WM207" s="1009"/>
      <c r="WN207" s="1009"/>
      <c r="WO207" s="1009"/>
      <c r="WP207" s="1009"/>
      <c r="WQ207" s="1009"/>
      <c r="WR207" s="1009"/>
      <c r="WS207" s="1009"/>
      <c r="WT207" s="1009"/>
      <c r="WU207" s="1009"/>
      <c r="WV207" s="1009"/>
      <c r="WW207" s="1009"/>
      <c r="WX207" s="1009"/>
      <c r="WY207" s="1009"/>
      <c r="WZ207" s="1009"/>
      <c r="XA207" s="1009"/>
      <c r="XB207" s="1009"/>
      <c r="XC207" s="1009"/>
      <c r="XD207" s="1009"/>
      <c r="XE207" s="1009"/>
      <c r="XF207" s="1009"/>
      <c r="XG207" s="1009"/>
      <c r="XH207" s="1009"/>
      <c r="XI207" s="1009"/>
      <c r="XJ207" s="1009"/>
      <c r="XK207" s="1009"/>
      <c r="XL207" s="1009"/>
      <c r="XM207" s="1009"/>
      <c r="XN207" s="1009"/>
      <c r="XO207" s="1009"/>
      <c r="XP207" s="1009"/>
      <c r="XQ207" s="1009"/>
      <c r="XR207" s="1009"/>
      <c r="XS207" s="1009"/>
      <c r="XT207" s="1009"/>
      <c r="XU207" s="1009"/>
      <c r="XV207" s="1009"/>
      <c r="XW207" s="1009"/>
      <c r="XX207" s="1009"/>
      <c r="XY207" s="1009"/>
      <c r="XZ207" s="1009"/>
      <c r="YA207" s="1009"/>
      <c r="YB207" s="1009"/>
      <c r="YC207" s="1009"/>
      <c r="YD207" s="1009"/>
      <c r="YE207" s="1009"/>
      <c r="YF207" s="1009"/>
      <c r="YG207" s="1009"/>
      <c r="YH207" s="1009"/>
      <c r="YI207" s="1009"/>
      <c r="YJ207" s="1009"/>
      <c r="YK207" s="1009"/>
      <c r="YL207" s="1009"/>
      <c r="YM207" s="1009"/>
      <c r="YN207" s="1009"/>
      <c r="YO207" s="1009"/>
      <c r="YP207" s="1009"/>
      <c r="YQ207" s="1009"/>
      <c r="YR207" s="1009"/>
      <c r="YS207" s="1009"/>
      <c r="YT207" s="1009"/>
      <c r="YU207" s="1009"/>
      <c r="YV207" s="1009"/>
      <c r="YW207" s="1009"/>
      <c r="YX207" s="1009"/>
      <c r="YY207" s="1009"/>
      <c r="YZ207" s="1009"/>
      <c r="ZA207" s="1009"/>
      <c r="ZB207" s="1009"/>
      <c r="ZC207" s="1009"/>
      <c r="ZD207" s="1009"/>
      <c r="ZE207" s="1009"/>
      <c r="ZF207" s="1009"/>
      <c r="ZG207" s="1009"/>
      <c r="ZH207" s="1009"/>
      <c r="ZI207" s="1009"/>
      <c r="ZJ207" s="1009"/>
      <c r="ZK207" s="1009"/>
      <c r="ZL207" s="1009"/>
      <c r="ZM207" s="1009"/>
      <c r="ZN207" s="1009"/>
      <c r="ZO207" s="1009"/>
      <c r="ZP207" s="1009"/>
      <c r="ZQ207" s="1009"/>
      <c r="ZR207" s="1009"/>
      <c r="ZS207" s="1009"/>
      <c r="ZT207" s="1009"/>
      <c r="ZU207" s="1009"/>
      <c r="ZV207" s="1009"/>
      <c r="ZW207" s="1009"/>
      <c r="ZX207" s="1009"/>
      <c r="ZY207" s="1009"/>
      <c r="ZZ207" s="1009"/>
      <c r="AAA207" s="1009"/>
      <c r="AAB207" s="1009"/>
      <c r="AAC207" s="1009"/>
      <c r="AAD207" s="1009"/>
      <c r="AAE207" s="1009"/>
      <c r="AAF207" s="1009"/>
      <c r="AAG207" s="1009"/>
      <c r="AAH207" s="1009"/>
      <c r="AAI207" s="1009"/>
      <c r="AAJ207" s="1009"/>
      <c r="AAK207" s="1009"/>
      <c r="AAL207" s="1009"/>
      <c r="AAM207" s="1009"/>
      <c r="AAN207" s="1009"/>
      <c r="AAO207" s="1009"/>
      <c r="AAP207" s="1009"/>
      <c r="AAQ207" s="1009"/>
      <c r="AAR207" s="1009"/>
      <c r="AAS207" s="1009"/>
      <c r="AAT207" s="1009"/>
      <c r="AAU207" s="1009"/>
      <c r="AAV207" s="1009"/>
      <c r="AAW207" s="1009"/>
      <c r="AAX207" s="1009"/>
      <c r="AAY207" s="1009"/>
      <c r="AAZ207" s="1009"/>
      <c r="ABA207" s="1009"/>
      <c r="ABB207" s="1009"/>
      <c r="ABC207" s="1009"/>
      <c r="ABD207" s="1009"/>
      <c r="ABE207" s="1009"/>
      <c r="ABF207" s="1009"/>
      <c r="ABG207" s="1009"/>
      <c r="ABH207" s="1009"/>
      <c r="ABI207" s="1009"/>
      <c r="ABJ207" s="1009"/>
      <c r="ABK207" s="1009"/>
      <c r="ABL207" s="1009"/>
      <c r="ABM207" s="1009"/>
      <c r="ABN207" s="1009"/>
      <c r="ABO207" s="1009"/>
      <c r="ABP207" s="1009"/>
      <c r="ABQ207" s="1009"/>
      <c r="ABR207" s="1009"/>
    </row>
    <row r="208" spans="1:746" s="111" customFormat="1" ht="12" customHeight="1">
      <c r="A208" s="924"/>
      <c r="B208" s="899" t="s">
        <v>771</v>
      </c>
      <c r="C208" s="936"/>
      <c r="D208" s="936"/>
      <c r="E208" s="2950"/>
      <c r="F208" s="2951"/>
      <c r="G208" s="2952"/>
      <c r="H208" s="2547"/>
      <c r="I208" s="1182">
        <f>IF(fx!I57=1,I160+I164-I111-I198+fx!I438,0)</f>
        <v>0</v>
      </c>
      <c r="J208" s="2390">
        <f>I208+J160+J164*fx!J57-J111-J198+fx!J438</f>
        <v>0</v>
      </c>
      <c r="K208" s="2390">
        <f ca="1">J208+K160+K164*fx!K57-K111-K198+fx!K438</f>
        <v>0</v>
      </c>
      <c r="L208" s="2390">
        <f ca="1">K208+L160+L164*fx!L57-L111-L198+fx!L438</f>
        <v>0</v>
      </c>
      <c r="M208" s="2390">
        <f ca="1">L208+M160+M164*fx!M57-M111-M198+fx!M438</f>
        <v>0</v>
      </c>
      <c r="N208" s="2390">
        <f ca="1">M208+N160+N164*fx!N57-N111-N198+fx!N438</f>
        <v>0</v>
      </c>
      <c r="O208" s="2390">
        <f ca="1">N208+O160+O164*fx!O57-O111-O198+fx!O438</f>
        <v>0</v>
      </c>
      <c r="P208" s="2390">
        <f ca="1">O208+P160+P164*fx!P57-P111-P198+fx!P438</f>
        <v>0</v>
      </c>
      <c r="Q208" s="2390">
        <f ca="1">P208+Q160+Q164*fx!Q57-Q111-Q198+fx!Q438</f>
        <v>0</v>
      </c>
      <c r="R208" s="2390">
        <f ca="1">Q208+R160+R164*fx!R57-R111-R198+fx!R438</f>
        <v>0</v>
      </c>
      <c r="S208" s="2390">
        <f ca="1">R208+S160+S164*fx!S57-S111-S198+fx!S438</f>
        <v>0</v>
      </c>
      <c r="T208" s="2391">
        <f ca="1">S208+T160+T164*fx!T57-T111-T198+fx!T438</f>
        <v>0</v>
      </c>
      <c r="U208" s="2391">
        <f ca="1">T208+U160+U164*fx!U57-U111-U198+fx!U438</f>
        <v>0</v>
      </c>
      <c r="V208" s="2390">
        <f ca="1">U208+V160+V164*fx!V57-V111-V198+fx!V438</f>
        <v>0</v>
      </c>
      <c r="W208" s="2390">
        <f ca="1">V208+W160+W164*fx!W57-W111-W198+fx!W438</f>
        <v>0</v>
      </c>
      <c r="X208" s="2390">
        <f ca="1">W208+X160+X164*fx!X57-X111-X198+fx!X438</f>
        <v>0</v>
      </c>
      <c r="Y208" s="2390">
        <f ca="1">X208+Y160+Y164*fx!Y57-Y111-Y198+fx!Y438</f>
        <v>0</v>
      </c>
      <c r="Z208" s="2390">
        <f ca="1">Y208+Z160+Z164*fx!Z57-Z111-Z198+fx!Z438</f>
        <v>0</v>
      </c>
      <c r="AA208" s="2390">
        <f ca="1">Z208+AA160+AA164*fx!AA57-AA111-AA198+fx!AA438</f>
        <v>0</v>
      </c>
      <c r="AB208" s="2390">
        <f ca="1">AA208+AB160+AB164*fx!AB57-AB111-AB198+fx!AB438</f>
        <v>0</v>
      </c>
      <c r="AC208" s="2390">
        <f ca="1">AB208+AC160+AC164*fx!AC57-AC111-AC198+fx!AC438</f>
        <v>0</v>
      </c>
      <c r="AD208" s="2390">
        <f ca="1">AC208+AD160+AD164*fx!AD57-AD111-AD198+fx!AD438</f>
        <v>0</v>
      </c>
      <c r="AE208" s="2390">
        <f ca="1">AD208+AE160+AE164*fx!AE57-AE111-AE198+fx!AE438</f>
        <v>0</v>
      </c>
      <c r="AF208" s="2390">
        <f ca="1">AE208+AF160+AF164*fx!AF57-AF111-AF198+fx!AF438</f>
        <v>0</v>
      </c>
      <c r="AG208" s="376"/>
      <c r="AH208" s="769"/>
      <c r="AI208" s="769"/>
      <c r="AJ208" s="770">
        <f ca="1">IF(fx!$C$57=1,T208,IF(fx!$C$57=2,AF208))</f>
        <v>0</v>
      </c>
      <c r="AK208" s="774"/>
      <c r="AL208" s="771">
        <f ca="1">IF(fx!$C$57=1,AF208,0)</f>
        <v>0</v>
      </c>
      <c r="AM208" s="1009"/>
      <c r="AN208" s="1009"/>
      <c r="AO208" s="1945"/>
      <c r="AP208" s="1935"/>
      <c r="AQ208" s="1936"/>
      <c r="AR208" s="1941"/>
      <c r="AS208" s="1941"/>
      <c r="AT208" s="1941"/>
      <c r="AU208" s="1941"/>
      <c r="AV208" s="1941"/>
      <c r="AW208" s="1941"/>
      <c r="AX208" s="1941"/>
      <c r="AY208" s="1941"/>
      <c r="AZ208" s="1941"/>
      <c r="BA208" s="1941"/>
      <c r="BB208" s="1941"/>
      <c r="BC208" s="1941"/>
      <c r="BD208" s="1941"/>
      <c r="BE208" s="1941"/>
      <c r="BF208" s="1941"/>
      <c r="BG208" s="1941"/>
      <c r="BH208" s="1941"/>
      <c r="BI208" s="1941"/>
      <c r="BJ208" s="1941"/>
      <c r="BK208" s="1941"/>
      <c r="BL208" s="1941"/>
      <c r="BM208" s="1941"/>
      <c r="BN208" s="1941"/>
      <c r="BO208" s="1941"/>
      <c r="BP208" s="1009"/>
      <c r="BQ208" s="1009"/>
      <c r="BR208" s="1009"/>
      <c r="BS208" s="1009"/>
      <c r="BT208" s="1009"/>
      <c r="BU208" s="1009"/>
      <c r="BV208" s="1009"/>
      <c r="BW208" s="1009"/>
      <c r="BX208" s="1009"/>
      <c r="BY208" s="1009"/>
      <c r="BZ208" s="1009"/>
      <c r="CA208" s="1009"/>
      <c r="CB208" s="1009"/>
      <c r="CC208" s="1009"/>
      <c r="CD208" s="1009"/>
      <c r="CE208" s="1009"/>
      <c r="CF208" s="1009"/>
      <c r="CG208" s="1009"/>
      <c r="CH208" s="1009"/>
      <c r="CI208" s="1009"/>
      <c r="CJ208" s="1009"/>
      <c r="CK208" s="1009"/>
      <c r="CL208" s="1009"/>
      <c r="CM208" s="1009"/>
      <c r="CN208" s="1009"/>
      <c r="CO208" s="1009"/>
      <c r="CP208" s="1009"/>
      <c r="CQ208" s="1009"/>
      <c r="CR208" s="1009"/>
      <c r="CS208" s="1009"/>
      <c r="CT208" s="1009"/>
      <c r="CU208" s="1009"/>
      <c r="CV208" s="1009"/>
      <c r="CW208" s="1009"/>
      <c r="CX208" s="1009"/>
      <c r="CY208" s="1009"/>
      <c r="CZ208" s="1009"/>
      <c r="DA208" s="1009"/>
      <c r="DB208" s="1009"/>
      <c r="DC208" s="1009"/>
      <c r="DD208" s="1009"/>
      <c r="DE208" s="1009"/>
      <c r="DF208" s="1009"/>
      <c r="DG208" s="1009"/>
      <c r="DH208" s="1009"/>
      <c r="DI208" s="1009"/>
      <c r="DJ208" s="1009"/>
      <c r="DK208" s="1009"/>
      <c r="DL208" s="1009"/>
      <c r="DM208" s="1009"/>
      <c r="DN208" s="1009"/>
      <c r="DO208" s="1009"/>
      <c r="DP208" s="1009"/>
      <c r="DQ208" s="1009"/>
      <c r="DR208" s="1009"/>
      <c r="DS208" s="1009"/>
      <c r="DT208" s="1009"/>
      <c r="DU208" s="1009"/>
      <c r="DV208" s="1009"/>
      <c r="DW208" s="1009"/>
      <c r="DX208" s="1009"/>
      <c r="DY208" s="1009"/>
      <c r="DZ208" s="1009"/>
      <c r="EA208" s="1009"/>
      <c r="EB208" s="1009"/>
      <c r="EC208" s="1009"/>
      <c r="ED208" s="1009"/>
      <c r="EE208" s="1009"/>
      <c r="EF208" s="1009"/>
      <c r="EG208" s="1009"/>
      <c r="EH208" s="1009"/>
      <c r="EI208" s="1009"/>
      <c r="EJ208" s="1009"/>
      <c r="EK208" s="1009"/>
      <c r="EL208" s="1009"/>
      <c r="EM208" s="1009"/>
      <c r="EN208" s="1009"/>
      <c r="EO208" s="1009"/>
      <c r="EP208" s="1009"/>
      <c r="EQ208" s="1009"/>
      <c r="ER208" s="1009"/>
      <c r="ES208" s="1009"/>
      <c r="ET208" s="1009"/>
      <c r="EU208" s="1009"/>
      <c r="EV208" s="1009"/>
      <c r="EW208" s="1009"/>
      <c r="EX208" s="1009"/>
      <c r="EY208" s="1009"/>
      <c r="EZ208" s="1009"/>
      <c r="FA208" s="1009"/>
      <c r="FB208" s="1009"/>
      <c r="FC208" s="1009"/>
      <c r="FD208" s="1009"/>
      <c r="FE208" s="1009"/>
      <c r="FF208" s="1009"/>
      <c r="FG208" s="1009"/>
      <c r="FH208" s="1009"/>
      <c r="FI208" s="1009"/>
      <c r="FJ208" s="1009"/>
      <c r="FK208" s="1009"/>
      <c r="FL208" s="1009"/>
      <c r="FM208" s="1009"/>
      <c r="FN208" s="1009"/>
      <c r="FO208" s="1009"/>
      <c r="FP208" s="1009"/>
      <c r="FQ208" s="1009"/>
      <c r="FR208" s="1009"/>
      <c r="FS208" s="1009"/>
      <c r="FT208" s="1009"/>
      <c r="FU208" s="1009"/>
      <c r="FV208" s="1009"/>
      <c r="FW208" s="1009"/>
      <c r="FX208" s="1009"/>
      <c r="FY208" s="1009"/>
      <c r="FZ208" s="1009"/>
      <c r="GA208" s="1009"/>
      <c r="GB208" s="1009"/>
      <c r="GC208" s="1009"/>
      <c r="GD208" s="1009"/>
      <c r="GE208" s="1009"/>
      <c r="GF208" s="1009"/>
      <c r="GG208" s="1009"/>
      <c r="GH208" s="1009"/>
      <c r="GI208" s="1009"/>
      <c r="GJ208" s="1009"/>
      <c r="GK208" s="1009"/>
      <c r="GL208" s="1009"/>
      <c r="GM208" s="1009"/>
      <c r="GN208" s="1009"/>
      <c r="GO208" s="1009"/>
      <c r="GP208" s="1009"/>
      <c r="GQ208" s="1009"/>
      <c r="GR208" s="1009"/>
      <c r="GS208" s="1009"/>
      <c r="GT208" s="1009"/>
      <c r="GU208" s="1009"/>
      <c r="GV208" s="1009"/>
      <c r="GW208" s="1009"/>
      <c r="GX208" s="1009"/>
      <c r="GY208" s="1009"/>
      <c r="GZ208" s="1009"/>
      <c r="HA208" s="1009"/>
      <c r="HB208" s="1009"/>
      <c r="HC208" s="1009"/>
      <c r="HD208" s="1009"/>
      <c r="HE208" s="1009"/>
      <c r="HF208" s="1009"/>
      <c r="HG208" s="1009"/>
      <c r="HH208" s="1009"/>
      <c r="HI208" s="1009"/>
      <c r="HJ208" s="1009"/>
      <c r="HK208" s="1009"/>
      <c r="HL208" s="1009"/>
      <c r="HM208" s="1009"/>
      <c r="HN208" s="1009"/>
      <c r="HO208" s="1009"/>
      <c r="HP208" s="1009"/>
      <c r="HQ208" s="1009"/>
      <c r="HR208" s="1009"/>
      <c r="HS208" s="1009"/>
      <c r="HT208" s="1009"/>
      <c r="HU208" s="1009"/>
      <c r="HV208" s="1009"/>
      <c r="HW208" s="1009"/>
      <c r="HX208" s="1009"/>
      <c r="HY208" s="1009"/>
      <c r="HZ208" s="1009"/>
      <c r="IA208" s="1009"/>
      <c r="IB208" s="1009"/>
      <c r="IC208" s="1009"/>
      <c r="ID208" s="1009"/>
      <c r="IE208" s="1009"/>
      <c r="IF208" s="1009"/>
      <c r="IG208" s="1009"/>
      <c r="IH208" s="1009"/>
      <c r="II208" s="1009"/>
      <c r="IJ208" s="1009"/>
      <c r="IK208" s="1009"/>
      <c r="IL208" s="1009"/>
      <c r="IM208" s="1009"/>
      <c r="IN208" s="1009"/>
      <c r="IO208" s="1009"/>
      <c r="IP208" s="1009"/>
      <c r="IQ208" s="1009"/>
      <c r="IR208" s="1009"/>
      <c r="IS208" s="1009"/>
      <c r="IT208" s="1009"/>
      <c r="IU208" s="1009"/>
      <c r="IV208" s="1009"/>
      <c r="IW208" s="1009"/>
      <c r="IX208" s="1009"/>
      <c r="IY208" s="1009"/>
      <c r="IZ208" s="1009"/>
      <c r="JA208" s="1009"/>
      <c r="JB208" s="1009"/>
      <c r="JC208" s="1009"/>
      <c r="JD208" s="1009"/>
      <c r="JE208" s="1009"/>
      <c r="JF208" s="1009"/>
      <c r="JG208" s="1009"/>
      <c r="JH208" s="1009"/>
      <c r="JI208" s="1009"/>
      <c r="JJ208" s="1009"/>
      <c r="JK208" s="1009"/>
      <c r="JL208" s="1009"/>
      <c r="JM208" s="1009"/>
      <c r="JN208" s="1009"/>
      <c r="JO208" s="1009"/>
      <c r="JP208" s="1009"/>
      <c r="JQ208" s="1009"/>
      <c r="JR208" s="1009"/>
      <c r="JS208" s="1009"/>
      <c r="JT208" s="1009"/>
      <c r="JU208" s="1009"/>
      <c r="JV208" s="1009"/>
      <c r="JW208" s="1009"/>
      <c r="JX208" s="1009"/>
      <c r="JY208" s="1009"/>
      <c r="JZ208" s="1009"/>
      <c r="KA208" s="1009"/>
      <c r="KB208" s="1009"/>
      <c r="KC208" s="1009"/>
      <c r="KD208" s="1009"/>
      <c r="KE208" s="1009"/>
      <c r="KF208" s="1009"/>
      <c r="KG208" s="1009"/>
      <c r="KH208" s="1009"/>
      <c r="KI208" s="1009"/>
      <c r="KJ208" s="1009"/>
      <c r="KK208" s="1009"/>
      <c r="KL208" s="1009"/>
      <c r="KM208" s="1009"/>
      <c r="KN208" s="1009"/>
      <c r="KO208" s="1009"/>
      <c r="KP208" s="1009"/>
      <c r="KQ208" s="1009"/>
      <c r="KR208" s="1009"/>
      <c r="KS208" s="1009"/>
      <c r="KT208" s="1009"/>
      <c r="KU208" s="1009"/>
      <c r="KV208" s="1009"/>
      <c r="KW208" s="1009"/>
      <c r="KX208" s="1009"/>
      <c r="KY208" s="1009"/>
      <c r="KZ208" s="1009"/>
      <c r="LA208" s="1009"/>
      <c r="LB208" s="1009"/>
      <c r="LC208" s="1009"/>
      <c r="LD208" s="1009"/>
      <c r="LE208" s="1009"/>
      <c r="LF208" s="1009"/>
      <c r="LG208" s="1009"/>
      <c r="LH208" s="1009"/>
      <c r="LI208" s="1009"/>
      <c r="LJ208" s="1009"/>
      <c r="LK208" s="1009"/>
      <c r="LL208" s="1009"/>
      <c r="LM208" s="1009"/>
      <c r="LN208" s="1009"/>
      <c r="LO208" s="1009"/>
      <c r="LP208" s="1009"/>
      <c r="LQ208" s="1009"/>
      <c r="LR208" s="1009"/>
      <c r="LS208" s="1009"/>
      <c r="LT208" s="1009"/>
      <c r="LU208" s="1009"/>
      <c r="LV208" s="1009"/>
      <c r="LW208" s="1009"/>
      <c r="LX208" s="1009"/>
      <c r="LY208" s="1009"/>
      <c r="LZ208" s="1009"/>
      <c r="MA208" s="1009"/>
      <c r="MB208" s="1009"/>
      <c r="MC208" s="1009"/>
      <c r="MD208" s="1009"/>
      <c r="ME208" s="1009"/>
      <c r="MF208" s="1009"/>
      <c r="MG208" s="1009"/>
      <c r="MH208" s="1009"/>
      <c r="MI208" s="1009"/>
      <c r="MJ208" s="1009"/>
      <c r="MK208" s="1009"/>
      <c r="ML208" s="1009"/>
      <c r="MM208" s="1009"/>
      <c r="MN208" s="1009"/>
      <c r="MO208" s="1009"/>
      <c r="MP208" s="1009"/>
      <c r="MQ208" s="1009"/>
      <c r="MR208" s="1009"/>
      <c r="MS208" s="1009"/>
      <c r="MT208" s="1009"/>
      <c r="MU208" s="1009"/>
      <c r="MV208" s="1009"/>
      <c r="MW208" s="1009"/>
      <c r="MX208" s="1009"/>
      <c r="MY208" s="1009"/>
      <c r="MZ208" s="1009"/>
      <c r="NA208" s="1009"/>
      <c r="NB208" s="1009"/>
      <c r="NC208" s="1009"/>
      <c r="ND208" s="1009"/>
      <c r="NE208" s="1009"/>
      <c r="NF208" s="1009"/>
      <c r="NG208" s="1009"/>
      <c r="NH208" s="1009"/>
      <c r="NI208" s="1009"/>
      <c r="NJ208" s="1009"/>
      <c r="NK208" s="1009"/>
      <c r="NL208" s="1009"/>
      <c r="NM208" s="1009"/>
      <c r="NN208" s="1009"/>
      <c r="NO208" s="1009"/>
      <c r="NP208" s="1009"/>
      <c r="NQ208" s="1009"/>
      <c r="NR208" s="1009"/>
      <c r="NS208" s="1009"/>
      <c r="NT208" s="1009"/>
      <c r="NU208" s="1009"/>
      <c r="NV208" s="1009"/>
      <c r="NW208" s="1009"/>
      <c r="NX208" s="1009"/>
      <c r="NY208" s="1009"/>
      <c r="NZ208" s="1009"/>
      <c r="OA208" s="1009"/>
      <c r="OB208" s="1009"/>
      <c r="OC208" s="1009"/>
      <c r="OD208" s="1009"/>
      <c r="OE208" s="1009"/>
      <c r="OF208" s="1009"/>
      <c r="OG208" s="1009"/>
      <c r="OH208" s="1009"/>
      <c r="OI208" s="1009"/>
      <c r="OJ208" s="1009"/>
      <c r="OK208" s="1009"/>
      <c r="OL208" s="1009"/>
      <c r="OM208" s="1009"/>
      <c r="ON208" s="1009"/>
      <c r="OO208" s="1009"/>
      <c r="OP208" s="1009"/>
      <c r="OQ208" s="1009"/>
      <c r="OR208" s="1009"/>
      <c r="OS208" s="1009"/>
      <c r="OT208" s="1009"/>
      <c r="OU208" s="1009"/>
      <c r="OV208" s="1009"/>
      <c r="OW208" s="1009"/>
      <c r="OX208" s="1009"/>
      <c r="OY208" s="1009"/>
      <c r="OZ208" s="1009"/>
      <c r="PA208" s="1009"/>
      <c r="PB208" s="1009"/>
      <c r="PC208" s="1009"/>
      <c r="PD208" s="1009"/>
      <c r="PE208" s="1009"/>
      <c r="PF208" s="1009"/>
      <c r="PG208" s="1009"/>
      <c r="PH208" s="1009"/>
      <c r="PI208" s="1009"/>
      <c r="PJ208" s="1009"/>
      <c r="PK208" s="1009"/>
      <c r="PL208" s="1009"/>
      <c r="PM208" s="1009"/>
      <c r="PN208" s="1009"/>
      <c r="PO208" s="1009"/>
      <c r="PP208" s="1009"/>
      <c r="PQ208" s="1009"/>
      <c r="PR208" s="1009"/>
      <c r="PS208" s="1009"/>
      <c r="PT208" s="1009"/>
      <c r="PU208" s="1009"/>
      <c r="PV208" s="1009"/>
      <c r="PW208" s="1009"/>
      <c r="PX208" s="1009"/>
      <c r="PY208" s="1009"/>
      <c r="PZ208" s="1009"/>
      <c r="QA208" s="1009"/>
      <c r="QB208" s="1009"/>
      <c r="QC208" s="1009"/>
      <c r="QD208" s="1009"/>
      <c r="QE208" s="1009"/>
      <c r="QF208" s="1009"/>
      <c r="QG208" s="1009"/>
      <c r="QH208" s="1009"/>
      <c r="QI208" s="1009"/>
      <c r="QJ208" s="1009"/>
      <c r="QK208" s="1009"/>
      <c r="QL208" s="1009"/>
      <c r="QM208" s="1009"/>
      <c r="QN208" s="1009"/>
      <c r="QO208" s="1009"/>
      <c r="QP208" s="1009"/>
      <c r="QQ208" s="1009"/>
      <c r="QR208" s="1009"/>
      <c r="QS208" s="1009"/>
      <c r="QT208" s="1009"/>
      <c r="QU208" s="1009"/>
      <c r="QV208" s="1009"/>
      <c r="QW208" s="1009"/>
      <c r="QX208" s="1009"/>
      <c r="QY208" s="1009"/>
      <c r="QZ208" s="1009"/>
      <c r="RA208" s="1009"/>
      <c r="RB208" s="1009"/>
      <c r="RC208" s="1009"/>
      <c r="RD208" s="1009"/>
      <c r="RE208" s="1009"/>
      <c r="RF208" s="1009"/>
      <c r="RG208" s="1009"/>
      <c r="RH208" s="1009"/>
      <c r="RI208" s="1009"/>
      <c r="RJ208" s="1009"/>
      <c r="RK208" s="1009"/>
      <c r="RL208" s="1009"/>
      <c r="RM208" s="1009"/>
      <c r="RN208" s="1009"/>
      <c r="RO208" s="1009"/>
      <c r="RP208" s="1009"/>
      <c r="RQ208" s="1009"/>
      <c r="RR208" s="1009"/>
      <c r="RS208" s="1009"/>
      <c r="RT208" s="1009"/>
      <c r="RU208" s="1009"/>
      <c r="RV208" s="1009"/>
      <c r="RW208" s="1009"/>
      <c r="RX208" s="1009"/>
      <c r="RY208" s="1009"/>
      <c r="RZ208" s="1009"/>
      <c r="SA208" s="1009"/>
      <c r="SB208" s="1009"/>
      <c r="SC208" s="1009"/>
      <c r="SD208" s="1009"/>
      <c r="SE208" s="1009"/>
      <c r="SF208" s="1009"/>
      <c r="SG208" s="1009"/>
      <c r="SH208" s="1009"/>
      <c r="SI208" s="1009"/>
      <c r="SJ208" s="1009"/>
      <c r="SK208" s="1009"/>
      <c r="SL208" s="1009"/>
      <c r="SM208" s="1009"/>
      <c r="SN208" s="1009"/>
      <c r="SO208" s="1009"/>
      <c r="SP208" s="1009"/>
      <c r="SQ208" s="1009"/>
      <c r="SR208" s="1009"/>
      <c r="SS208" s="1009"/>
      <c r="ST208" s="1009"/>
      <c r="SU208" s="1009"/>
      <c r="SV208" s="1009"/>
      <c r="SW208" s="1009"/>
      <c r="SX208" s="1009"/>
      <c r="SY208" s="1009"/>
      <c r="SZ208" s="1009"/>
      <c r="TA208" s="1009"/>
      <c r="TB208" s="1009"/>
      <c r="TC208" s="1009"/>
      <c r="TD208" s="1009"/>
      <c r="TE208" s="1009"/>
      <c r="TF208" s="1009"/>
      <c r="TG208" s="1009"/>
      <c r="TH208" s="1009"/>
      <c r="TI208" s="1009"/>
      <c r="TJ208" s="1009"/>
      <c r="TK208" s="1009"/>
      <c r="TL208" s="1009"/>
      <c r="TM208" s="1009"/>
      <c r="TN208" s="1009"/>
      <c r="TO208" s="1009"/>
      <c r="TP208" s="1009"/>
      <c r="TQ208" s="1009"/>
      <c r="TR208" s="1009"/>
      <c r="TS208" s="1009"/>
      <c r="TT208" s="1009"/>
      <c r="TU208" s="1009"/>
      <c r="TV208" s="1009"/>
      <c r="TW208" s="1009"/>
      <c r="TX208" s="1009"/>
      <c r="TY208" s="1009"/>
      <c r="TZ208" s="1009"/>
      <c r="UA208" s="1009"/>
      <c r="UB208" s="1009"/>
      <c r="UC208" s="1009"/>
      <c r="UD208" s="1009"/>
      <c r="UE208" s="1009"/>
      <c r="UF208" s="1009"/>
      <c r="UG208" s="1009"/>
      <c r="UH208" s="1009"/>
      <c r="UI208" s="1009"/>
      <c r="UJ208" s="1009"/>
      <c r="UK208" s="1009"/>
      <c r="UL208" s="1009"/>
      <c r="UM208" s="1009"/>
      <c r="UN208" s="1009"/>
      <c r="UO208" s="1009"/>
      <c r="UP208" s="1009"/>
      <c r="UQ208" s="1009"/>
      <c r="UR208" s="1009"/>
      <c r="US208" s="1009"/>
      <c r="UT208" s="1009"/>
      <c r="UU208" s="1009"/>
      <c r="UV208" s="1009"/>
      <c r="UW208" s="1009"/>
      <c r="UX208" s="1009"/>
      <c r="UY208" s="1009"/>
      <c r="UZ208" s="1009"/>
      <c r="VA208" s="1009"/>
      <c r="VB208" s="1009"/>
      <c r="VC208" s="1009"/>
      <c r="VD208" s="1009"/>
      <c r="VE208" s="1009"/>
      <c r="VF208" s="1009"/>
      <c r="VG208" s="1009"/>
      <c r="VH208" s="1009"/>
      <c r="VI208" s="1009"/>
      <c r="VJ208" s="1009"/>
      <c r="VK208" s="1009"/>
      <c r="VL208" s="1009"/>
      <c r="VM208" s="1009"/>
      <c r="VN208" s="1009"/>
      <c r="VO208" s="1009"/>
      <c r="VP208" s="1009"/>
      <c r="VQ208" s="1009"/>
      <c r="VR208" s="1009"/>
      <c r="VS208" s="1009"/>
      <c r="VT208" s="1009"/>
      <c r="VU208" s="1009"/>
      <c r="VV208" s="1009"/>
      <c r="VW208" s="1009"/>
      <c r="VX208" s="1009"/>
      <c r="VY208" s="1009"/>
      <c r="VZ208" s="1009"/>
      <c r="WA208" s="1009"/>
      <c r="WB208" s="1009"/>
      <c r="WC208" s="1009"/>
      <c r="WD208" s="1009"/>
      <c r="WE208" s="1009"/>
      <c r="WF208" s="1009"/>
      <c r="WG208" s="1009"/>
      <c r="WH208" s="1009"/>
      <c r="WI208" s="1009"/>
      <c r="WJ208" s="1009"/>
      <c r="WK208" s="1009"/>
      <c r="WL208" s="1009"/>
      <c r="WM208" s="1009"/>
      <c r="WN208" s="1009"/>
      <c r="WO208" s="1009"/>
      <c r="WP208" s="1009"/>
      <c r="WQ208" s="1009"/>
      <c r="WR208" s="1009"/>
      <c r="WS208" s="1009"/>
      <c r="WT208" s="1009"/>
      <c r="WU208" s="1009"/>
      <c r="WV208" s="1009"/>
      <c r="WW208" s="1009"/>
      <c r="WX208" s="1009"/>
      <c r="WY208" s="1009"/>
      <c r="WZ208" s="1009"/>
      <c r="XA208" s="1009"/>
      <c r="XB208" s="1009"/>
      <c r="XC208" s="1009"/>
      <c r="XD208" s="1009"/>
      <c r="XE208" s="1009"/>
      <c r="XF208" s="1009"/>
      <c r="XG208" s="1009"/>
      <c r="XH208" s="1009"/>
      <c r="XI208" s="1009"/>
      <c r="XJ208" s="1009"/>
      <c r="XK208" s="1009"/>
      <c r="XL208" s="1009"/>
      <c r="XM208" s="1009"/>
      <c r="XN208" s="1009"/>
      <c r="XO208" s="1009"/>
      <c r="XP208" s="1009"/>
      <c r="XQ208" s="1009"/>
      <c r="XR208" s="1009"/>
      <c r="XS208" s="1009"/>
      <c r="XT208" s="1009"/>
      <c r="XU208" s="1009"/>
      <c r="XV208" s="1009"/>
      <c r="XW208" s="1009"/>
      <c r="XX208" s="1009"/>
      <c r="XY208" s="1009"/>
      <c r="XZ208" s="1009"/>
      <c r="YA208" s="1009"/>
      <c r="YB208" s="1009"/>
      <c r="YC208" s="1009"/>
      <c r="YD208" s="1009"/>
      <c r="YE208" s="1009"/>
      <c r="YF208" s="1009"/>
      <c r="YG208" s="1009"/>
      <c r="YH208" s="1009"/>
      <c r="YI208" s="1009"/>
      <c r="YJ208" s="1009"/>
      <c r="YK208" s="1009"/>
      <c r="YL208" s="1009"/>
      <c r="YM208" s="1009"/>
      <c r="YN208" s="1009"/>
      <c r="YO208" s="1009"/>
      <c r="YP208" s="1009"/>
      <c r="YQ208" s="1009"/>
      <c r="YR208" s="1009"/>
      <c r="YS208" s="1009"/>
      <c r="YT208" s="1009"/>
      <c r="YU208" s="1009"/>
      <c r="YV208" s="1009"/>
      <c r="YW208" s="1009"/>
      <c r="YX208" s="1009"/>
      <c r="YY208" s="1009"/>
      <c r="YZ208" s="1009"/>
      <c r="ZA208" s="1009"/>
      <c r="ZB208" s="1009"/>
      <c r="ZC208" s="1009"/>
      <c r="ZD208" s="1009"/>
      <c r="ZE208" s="1009"/>
      <c r="ZF208" s="1009"/>
      <c r="ZG208" s="1009"/>
      <c r="ZH208" s="1009"/>
      <c r="ZI208" s="1009"/>
      <c r="ZJ208" s="1009"/>
      <c r="ZK208" s="1009"/>
      <c r="ZL208" s="1009"/>
      <c r="ZM208" s="1009"/>
      <c r="ZN208" s="1009"/>
      <c r="ZO208" s="1009"/>
      <c r="ZP208" s="1009"/>
      <c r="ZQ208" s="1009"/>
      <c r="ZR208" s="1009"/>
      <c r="ZS208" s="1009"/>
      <c r="ZT208" s="1009"/>
      <c r="ZU208" s="1009"/>
      <c r="ZV208" s="1009"/>
      <c r="ZW208" s="1009"/>
      <c r="ZX208" s="1009"/>
      <c r="ZY208" s="1009"/>
      <c r="ZZ208" s="1009"/>
      <c r="AAA208" s="1009"/>
      <c r="AAB208" s="1009"/>
      <c r="AAC208" s="1009"/>
      <c r="AAD208" s="1009"/>
      <c r="AAE208" s="1009"/>
      <c r="AAF208" s="1009"/>
      <c r="AAG208" s="1009"/>
      <c r="AAH208" s="1009"/>
      <c r="AAI208" s="1009"/>
      <c r="AAJ208" s="1009"/>
      <c r="AAK208" s="1009"/>
      <c r="AAL208" s="1009"/>
      <c r="AAM208" s="1009"/>
      <c r="AAN208" s="1009"/>
      <c r="AAO208" s="1009"/>
      <c r="AAP208" s="1009"/>
      <c r="AAQ208" s="1009"/>
      <c r="AAR208" s="1009"/>
      <c r="AAS208" s="1009"/>
      <c r="AAT208" s="1009"/>
      <c r="AAU208" s="1009"/>
      <c r="AAV208" s="1009"/>
      <c r="AAW208" s="1009"/>
      <c r="AAX208" s="1009"/>
      <c r="AAY208" s="1009"/>
      <c r="AAZ208" s="1009"/>
      <c r="ABA208" s="1009"/>
      <c r="ABB208" s="1009"/>
      <c r="ABC208" s="1009"/>
      <c r="ABD208" s="1009"/>
      <c r="ABE208" s="1009"/>
      <c r="ABF208" s="1009"/>
      <c r="ABG208" s="1009"/>
      <c r="ABH208" s="1009"/>
      <c r="ABI208" s="1009"/>
      <c r="ABJ208" s="1009"/>
      <c r="ABK208" s="1009"/>
      <c r="ABL208" s="1009"/>
      <c r="ABM208" s="1009"/>
      <c r="ABN208" s="1009"/>
      <c r="ABO208" s="1009"/>
      <c r="ABP208" s="1009"/>
      <c r="ABQ208" s="1009"/>
      <c r="ABR208" s="1009"/>
    </row>
    <row r="209" spans="1:746" s="111" customFormat="1" ht="12" customHeight="1">
      <c r="A209" s="924"/>
      <c r="B209" s="899" t="s">
        <v>750</v>
      </c>
      <c r="C209" s="936"/>
      <c r="D209" s="936"/>
      <c r="E209" s="2931">
        <f>E202</f>
        <v>0</v>
      </c>
      <c r="F209" s="2932"/>
      <c r="G209" s="2933"/>
      <c r="H209" s="2547"/>
      <c r="I209" s="1182">
        <f>fx!I345</f>
        <v>0</v>
      </c>
      <c r="J209" s="2391">
        <f>fx!J345</f>
        <v>0</v>
      </c>
      <c r="K209" s="2391">
        <f>fx!K345</f>
        <v>0</v>
      </c>
      <c r="L209" s="2391">
        <f>fx!L345</f>
        <v>0</v>
      </c>
      <c r="M209" s="2391">
        <f>fx!M345</f>
        <v>0</v>
      </c>
      <c r="N209" s="2391">
        <f>fx!N345</f>
        <v>0</v>
      </c>
      <c r="O209" s="2391">
        <f>fx!O345</f>
        <v>0</v>
      </c>
      <c r="P209" s="2391">
        <f>fx!P345</f>
        <v>0</v>
      </c>
      <c r="Q209" s="2391">
        <f>fx!Q345</f>
        <v>0</v>
      </c>
      <c r="R209" s="2391">
        <f>fx!R345</f>
        <v>0</v>
      </c>
      <c r="S209" s="2391">
        <f>fx!S345</f>
        <v>0</v>
      </c>
      <c r="T209" s="2391">
        <f>fx!T345</f>
        <v>0</v>
      </c>
      <c r="U209" s="2391">
        <f>fx!U345</f>
        <v>0</v>
      </c>
      <c r="V209" s="2391">
        <f>fx!V345</f>
        <v>0</v>
      </c>
      <c r="W209" s="2391">
        <f>fx!W345</f>
        <v>0</v>
      </c>
      <c r="X209" s="2391">
        <f>fx!X345</f>
        <v>0</v>
      </c>
      <c r="Y209" s="2391">
        <f>fx!Y345</f>
        <v>0</v>
      </c>
      <c r="Z209" s="2391">
        <f>fx!Z345</f>
        <v>0</v>
      </c>
      <c r="AA209" s="2391">
        <f>fx!AA345</f>
        <v>0</v>
      </c>
      <c r="AB209" s="2391">
        <f>fx!AB345</f>
        <v>0</v>
      </c>
      <c r="AC209" s="2391">
        <f>fx!AC345</f>
        <v>0</v>
      </c>
      <c r="AD209" s="2391">
        <f>fx!AD345</f>
        <v>0</v>
      </c>
      <c r="AE209" s="2391">
        <f>fx!AE345</f>
        <v>0</v>
      </c>
      <c r="AF209" s="2391">
        <f>fx!AF345</f>
        <v>0</v>
      </c>
      <c r="AG209" s="376"/>
      <c r="AH209" s="769"/>
      <c r="AI209" s="769"/>
      <c r="AJ209" s="770">
        <f>IF(fx!$C$57=1,T209,IF(fx!$C$57=2,AF209))</f>
        <v>0</v>
      </c>
      <c r="AK209" s="774"/>
      <c r="AL209" s="771">
        <f>IF(fx!$C$57=1,AF209,0)</f>
        <v>0</v>
      </c>
      <c r="AM209" s="1009"/>
      <c r="AN209" s="1009"/>
      <c r="AO209" s="1945"/>
      <c r="AP209" s="1935"/>
      <c r="AQ209" s="1936"/>
      <c r="AR209" s="2236"/>
      <c r="AS209" s="2236"/>
      <c r="AT209" s="2236"/>
      <c r="AU209" s="2236"/>
      <c r="AV209" s="2236"/>
      <c r="AW209" s="2236"/>
      <c r="AX209" s="2236"/>
      <c r="AY209" s="2236"/>
      <c r="AZ209" s="2236"/>
      <c r="BA209" s="2236"/>
      <c r="BB209" s="2236"/>
      <c r="BC209" s="2236"/>
      <c r="BD209" s="2236"/>
      <c r="BE209" s="2236"/>
      <c r="BF209" s="2236"/>
      <c r="BG209" s="2236"/>
      <c r="BH209" s="2236"/>
      <c r="BI209" s="2236"/>
      <c r="BJ209" s="2236"/>
      <c r="BK209" s="2236"/>
      <c r="BL209" s="2236"/>
      <c r="BM209" s="2236"/>
      <c r="BN209" s="2236"/>
      <c r="BO209" s="2236"/>
      <c r="BP209" s="1009"/>
      <c r="BQ209" s="1009"/>
      <c r="BR209" s="1009"/>
      <c r="BS209" s="1009"/>
      <c r="BT209" s="1009"/>
      <c r="BU209" s="1009"/>
      <c r="BV209" s="1009"/>
      <c r="BW209" s="1009"/>
      <c r="BX209" s="1009"/>
      <c r="BY209" s="1009"/>
      <c r="BZ209" s="1009"/>
      <c r="CA209" s="1009"/>
      <c r="CB209" s="1009"/>
      <c r="CC209" s="1009"/>
      <c r="CD209" s="1009"/>
      <c r="CE209" s="1009"/>
      <c r="CF209" s="1009"/>
      <c r="CG209" s="1009"/>
      <c r="CH209" s="1009"/>
      <c r="CI209" s="1009"/>
      <c r="CJ209" s="1009"/>
      <c r="CK209" s="1009"/>
      <c r="CL209" s="1009"/>
      <c r="CM209" s="1009"/>
      <c r="CN209" s="1009"/>
      <c r="CO209" s="1009"/>
      <c r="CP209" s="1009"/>
      <c r="CQ209" s="1009"/>
      <c r="CR209" s="1009"/>
      <c r="CS209" s="1009"/>
      <c r="CT209" s="1009"/>
      <c r="CU209" s="1009"/>
      <c r="CV209" s="1009"/>
      <c r="CW209" s="1009"/>
      <c r="CX209" s="1009"/>
      <c r="CY209" s="1009"/>
      <c r="CZ209" s="1009"/>
      <c r="DA209" s="1009"/>
      <c r="DB209" s="1009"/>
      <c r="DC209" s="1009"/>
      <c r="DD209" s="1009"/>
      <c r="DE209" s="1009"/>
      <c r="DF209" s="1009"/>
      <c r="DG209" s="1009"/>
      <c r="DH209" s="1009"/>
      <c r="DI209" s="1009"/>
      <c r="DJ209" s="1009"/>
      <c r="DK209" s="1009"/>
      <c r="DL209" s="1009"/>
      <c r="DM209" s="1009"/>
      <c r="DN209" s="1009"/>
      <c r="DO209" s="1009"/>
      <c r="DP209" s="1009"/>
      <c r="DQ209" s="1009"/>
      <c r="DR209" s="1009"/>
      <c r="DS209" s="1009"/>
      <c r="DT209" s="1009"/>
      <c r="DU209" s="1009"/>
      <c r="DV209" s="1009"/>
      <c r="DW209" s="1009"/>
      <c r="DX209" s="1009"/>
      <c r="DY209" s="1009"/>
      <c r="DZ209" s="1009"/>
      <c r="EA209" s="1009"/>
      <c r="EB209" s="1009"/>
      <c r="EC209" s="1009"/>
      <c r="ED209" s="1009"/>
      <c r="EE209" s="1009"/>
      <c r="EF209" s="1009"/>
      <c r="EG209" s="1009"/>
      <c r="EH209" s="1009"/>
      <c r="EI209" s="1009"/>
      <c r="EJ209" s="1009"/>
      <c r="EK209" s="1009"/>
      <c r="EL209" s="1009"/>
      <c r="EM209" s="1009"/>
      <c r="EN209" s="1009"/>
      <c r="EO209" s="1009"/>
      <c r="EP209" s="1009"/>
      <c r="EQ209" s="1009"/>
      <c r="ER209" s="1009"/>
      <c r="ES209" s="1009"/>
      <c r="ET209" s="1009"/>
      <c r="EU209" s="1009"/>
      <c r="EV209" s="1009"/>
      <c r="EW209" s="1009"/>
      <c r="EX209" s="1009"/>
      <c r="EY209" s="1009"/>
      <c r="EZ209" s="1009"/>
      <c r="FA209" s="1009"/>
      <c r="FB209" s="1009"/>
      <c r="FC209" s="1009"/>
      <c r="FD209" s="1009"/>
      <c r="FE209" s="1009"/>
      <c r="FF209" s="1009"/>
      <c r="FG209" s="1009"/>
      <c r="FH209" s="1009"/>
      <c r="FI209" s="1009"/>
      <c r="FJ209" s="1009"/>
      <c r="FK209" s="1009"/>
      <c r="FL209" s="1009"/>
      <c r="FM209" s="1009"/>
      <c r="FN209" s="1009"/>
      <c r="FO209" s="1009"/>
      <c r="FP209" s="1009"/>
      <c r="FQ209" s="1009"/>
      <c r="FR209" s="1009"/>
      <c r="FS209" s="1009"/>
      <c r="FT209" s="1009"/>
      <c r="FU209" s="1009"/>
      <c r="FV209" s="1009"/>
      <c r="FW209" s="1009"/>
      <c r="FX209" s="1009"/>
      <c r="FY209" s="1009"/>
      <c r="FZ209" s="1009"/>
      <c r="GA209" s="1009"/>
      <c r="GB209" s="1009"/>
      <c r="GC209" s="1009"/>
      <c r="GD209" s="1009"/>
      <c r="GE209" s="1009"/>
      <c r="GF209" s="1009"/>
      <c r="GG209" s="1009"/>
      <c r="GH209" s="1009"/>
      <c r="GI209" s="1009"/>
      <c r="GJ209" s="1009"/>
      <c r="GK209" s="1009"/>
      <c r="GL209" s="1009"/>
      <c r="GM209" s="1009"/>
      <c r="GN209" s="1009"/>
      <c r="GO209" s="1009"/>
      <c r="GP209" s="1009"/>
      <c r="GQ209" s="1009"/>
      <c r="GR209" s="1009"/>
      <c r="GS209" s="1009"/>
      <c r="GT209" s="1009"/>
      <c r="GU209" s="1009"/>
      <c r="GV209" s="1009"/>
      <c r="GW209" s="1009"/>
      <c r="GX209" s="1009"/>
      <c r="GY209" s="1009"/>
      <c r="GZ209" s="1009"/>
      <c r="HA209" s="1009"/>
      <c r="HB209" s="1009"/>
      <c r="HC209" s="1009"/>
      <c r="HD209" s="1009"/>
      <c r="HE209" s="1009"/>
      <c r="HF209" s="1009"/>
      <c r="HG209" s="1009"/>
      <c r="HH209" s="1009"/>
      <c r="HI209" s="1009"/>
      <c r="HJ209" s="1009"/>
      <c r="HK209" s="1009"/>
      <c r="HL209" s="1009"/>
      <c r="HM209" s="1009"/>
      <c r="HN209" s="1009"/>
      <c r="HO209" s="1009"/>
      <c r="HP209" s="1009"/>
      <c r="HQ209" s="1009"/>
      <c r="HR209" s="1009"/>
      <c r="HS209" s="1009"/>
      <c r="HT209" s="1009"/>
      <c r="HU209" s="1009"/>
      <c r="HV209" s="1009"/>
      <c r="HW209" s="1009"/>
      <c r="HX209" s="1009"/>
      <c r="HY209" s="1009"/>
      <c r="HZ209" s="1009"/>
      <c r="IA209" s="1009"/>
      <c r="IB209" s="1009"/>
      <c r="IC209" s="1009"/>
      <c r="ID209" s="1009"/>
      <c r="IE209" s="1009"/>
      <c r="IF209" s="1009"/>
      <c r="IG209" s="1009"/>
      <c r="IH209" s="1009"/>
      <c r="II209" s="1009"/>
      <c r="IJ209" s="1009"/>
      <c r="IK209" s="1009"/>
      <c r="IL209" s="1009"/>
      <c r="IM209" s="1009"/>
      <c r="IN209" s="1009"/>
      <c r="IO209" s="1009"/>
      <c r="IP209" s="1009"/>
      <c r="IQ209" s="1009"/>
      <c r="IR209" s="1009"/>
      <c r="IS209" s="1009"/>
      <c r="IT209" s="1009"/>
      <c r="IU209" s="1009"/>
      <c r="IV209" s="1009"/>
      <c r="IW209" s="1009"/>
      <c r="IX209" s="1009"/>
      <c r="IY209" s="1009"/>
      <c r="IZ209" s="1009"/>
      <c r="JA209" s="1009"/>
      <c r="JB209" s="1009"/>
      <c r="JC209" s="1009"/>
      <c r="JD209" s="1009"/>
      <c r="JE209" s="1009"/>
      <c r="JF209" s="1009"/>
      <c r="JG209" s="1009"/>
      <c r="JH209" s="1009"/>
      <c r="JI209" s="1009"/>
      <c r="JJ209" s="1009"/>
      <c r="JK209" s="1009"/>
      <c r="JL209" s="1009"/>
      <c r="JM209" s="1009"/>
      <c r="JN209" s="1009"/>
      <c r="JO209" s="1009"/>
      <c r="JP209" s="1009"/>
      <c r="JQ209" s="1009"/>
      <c r="JR209" s="1009"/>
      <c r="JS209" s="1009"/>
      <c r="JT209" s="1009"/>
      <c r="JU209" s="1009"/>
      <c r="JV209" s="1009"/>
      <c r="JW209" s="1009"/>
      <c r="JX209" s="1009"/>
      <c r="JY209" s="1009"/>
      <c r="JZ209" s="1009"/>
      <c r="KA209" s="1009"/>
      <c r="KB209" s="1009"/>
      <c r="KC209" s="1009"/>
      <c r="KD209" s="1009"/>
      <c r="KE209" s="1009"/>
      <c r="KF209" s="1009"/>
      <c r="KG209" s="1009"/>
      <c r="KH209" s="1009"/>
      <c r="KI209" s="1009"/>
      <c r="KJ209" s="1009"/>
      <c r="KK209" s="1009"/>
      <c r="KL209" s="1009"/>
      <c r="KM209" s="1009"/>
      <c r="KN209" s="1009"/>
      <c r="KO209" s="1009"/>
      <c r="KP209" s="1009"/>
      <c r="KQ209" s="1009"/>
      <c r="KR209" s="1009"/>
      <c r="KS209" s="1009"/>
      <c r="KT209" s="1009"/>
      <c r="KU209" s="1009"/>
      <c r="KV209" s="1009"/>
      <c r="KW209" s="1009"/>
      <c r="KX209" s="1009"/>
      <c r="KY209" s="1009"/>
      <c r="KZ209" s="1009"/>
      <c r="LA209" s="1009"/>
      <c r="LB209" s="1009"/>
      <c r="LC209" s="1009"/>
      <c r="LD209" s="1009"/>
      <c r="LE209" s="1009"/>
      <c r="LF209" s="1009"/>
      <c r="LG209" s="1009"/>
      <c r="LH209" s="1009"/>
      <c r="LI209" s="1009"/>
      <c r="LJ209" s="1009"/>
      <c r="LK209" s="1009"/>
      <c r="LL209" s="1009"/>
      <c r="LM209" s="1009"/>
      <c r="LN209" s="1009"/>
      <c r="LO209" s="1009"/>
      <c r="LP209" s="1009"/>
      <c r="LQ209" s="1009"/>
      <c r="LR209" s="1009"/>
      <c r="LS209" s="1009"/>
      <c r="LT209" s="1009"/>
      <c r="LU209" s="1009"/>
      <c r="LV209" s="1009"/>
      <c r="LW209" s="1009"/>
      <c r="LX209" s="1009"/>
      <c r="LY209" s="1009"/>
      <c r="LZ209" s="1009"/>
      <c r="MA209" s="1009"/>
      <c r="MB209" s="1009"/>
      <c r="MC209" s="1009"/>
      <c r="MD209" s="1009"/>
      <c r="ME209" s="1009"/>
      <c r="MF209" s="1009"/>
      <c r="MG209" s="1009"/>
      <c r="MH209" s="1009"/>
      <c r="MI209" s="1009"/>
      <c r="MJ209" s="1009"/>
      <c r="MK209" s="1009"/>
      <c r="ML209" s="1009"/>
      <c r="MM209" s="1009"/>
      <c r="MN209" s="1009"/>
      <c r="MO209" s="1009"/>
      <c r="MP209" s="1009"/>
      <c r="MQ209" s="1009"/>
      <c r="MR209" s="1009"/>
      <c r="MS209" s="1009"/>
      <c r="MT209" s="1009"/>
      <c r="MU209" s="1009"/>
      <c r="MV209" s="1009"/>
      <c r="MW209" s="1009"/>
      <c r="MX209" s="1009"/>
      <c r="MY209" s="1009"/>
      <c r="MZ209" s="1009"/>
      <c r="NA209" s="1009"/>
      <c r="NB209" s="1009"/>
      <c r="NC209" s="1009"/>
      <c r="ND209" s="1009"/>
      <c r="NE209" s="1009"/>
      <c r="NF209" s="1009"/>
      <c r="NG209" s="1009"/>
      <c r="NH209" s="1009"/>
      <c r="NI209" s="1009"/>
      <c r="NJ209" s="1009"/>
      <c r="NK209" s="1009"/>
      <c r="NL209" s="1009"/>
      <c r="NM209" s="1009"/>
      <c r="NN209" s="1009"/>
      <c r="NO209" s="1009"/>
      <c r="NP209" s="1009"/>
      <c r="NQ209" s="1009"/>
      <c r="NR209" s="1009"/>
      <c r="NS209" s="1009"/>
      <c r="NT209" s="1009"/>
      <c r="NU209" s="1009"/>
      <c r="NV209" s="1009"/>
      <c r="NW209" s="1009"/>
      <c r="NX209" s="1009"/>
      <c r="NY209" s="1009"/>
      <c r="NZ209" s="1009"/>
      <c r="OA209" s="1009"/>
      <c r="OB209" s="1009"/>
      <c r="OC209" s="1009"/>
      <c r="OD209" s="1009"/>
      <c r="OE209" s="1009"/>
      <c r="OF209" s="1009"/>
      <c r="OG209" s="1009"/>
      <c r="OH209" s="1009"/>
      <c r="OI209" s="1009"/>
      <c r="OJ209" s="1009"/>
      <c r="OK209" s="1009"/>
      <c r="OL209" s="1009"/>
      <c r="OM209" s="1009"/>
      <c r="ON209" s="1009"/>
      <c r="OO209" s="1009"/>
      <c r="OP209" s="1009"/>
      <c r="OQ209" s="1009"/>
      <c r="OR209" s="1009"/>
      <c r="OS209" s="1009"/>
      <c r="OT209" s="1009"/>
      <c r="OU209" s="1009"/>
      <c r="OV209" s="1009"/>
      <c r="OW209" s="1009"/>
      <c r="OX209" s="1009"/>
      <c r="OY209" s="1009"/>
      <c r="OZ209" s="1009"/>
      <c r="PA209" s="1009"/>
      <c r="PB209" s="1009"/>
      <c r="PC209" s="1009"/>
      <c r="PD209" s="1009"/>
      <c r="PE209" s="1009"/>
      <c r="PF209" s="1009"/>
      <c r="PG209" s="1009"/>
      <c r="PH209" s="1009"/>
      <c r="PI209" s="1009"/>
      <c r="PJ209" s="1009"/>
      <c r="PK209" s="1009"/>
      <c r="PL209" s="1009"/>
      <c r="PM209" s="1009"/>
      <c r="PN209" s="1009"/>
      <c r="PO209" s="1009"/>
      <c r="PP209" s="1009"/>
      <c r="PQ209" s="1009"/>
      <c r="PR209" s="1009"/>
      <c r="PS209" s="1009"/>
      <c r="PT209" s="1009"/>
      <c r="PU209" s="1009"/>
      <c r="PV209" s="1009"/>
      <c r="PW209" s="1009"/>
      <c r="PX209" s="1009"/>
      <c r="PY209" s="1009"/>
      <c r="PZ209" s="1009"/>
      <c r="QA209" s="1009"/>
      <c r="QB209" s="1009"/>
      <c r="QC209" s="1009"/>
      <c r="QD209" s="1009"/>
      <c r="QE209" s="1009"/>
      <c r="QF209" s="1009"/>
      <c r="QG209" s="1009"/>
      <c r="QH209" s="1009"/>
      <c r="QI209" s="1009"/>
      <c r="QJ209" s="1009"/>
      <c r="QK209" s="1009"/>
      <c r="QL209" s="1009"/>
      <c r="QM209" s="1009"/>
      <c r="QN209" s="1009"/>
      <c r="QO209" s="1009"/>
      <c r="QP209" s="1009"/>
      <c r="QQ209" s="1009"/>
      <c r="QR209" s="1009"/>
      <c r="QS209" s="1009"/>
      <c r="QT209" s="1009"/>
      <c r="QU209" s="1009"/>
      <c r="QV209" s="1009"/>
      <c r="QW209" s="1009"/>
      <c r="QX209" s="1009"/>
      <c r="QY209" s="1009"/>
      <c r="QZ209" s="1009"/>
      <c r="RA209" s="1009"/>
      <c r="RB209" s="1009"/>
      <c r="RC209" s="1009"/>
      <c r="RD209" s="1009"/>
      <c r="RE209" s="1009"/>
      <c r="RF209" s="1009"/>
      <c r="RG209" s="1009"/>
      <c r="RH209" s="1009"/>
      <c r="RI209" s="1009"/>
      <c r="RJ209" s="1009"/>
      <c r="RK209" s="1009"/>
      <c r="RL209" s="1009"/>
      <c r="RM209" s="1009"/>
      <c r="RN209" s="1009"/>
      <c r="RO209" s="1009"/>
      <c r="RP209" s="1009"/>
      <c r="RQ209" s="1009"/>
      <c r="RR209" s="1009"/>
      <c r="RS209" s="1009"/>
      <c r="RT209" s="1009"/>
      <c r="RU209" s="1009"/>
      <c r="RV209" s="1009"/>
      <c r="RW209" s="1009"/>
      <c r="RX209" s="1009"/>
      <c r="RY209" s="1009"/>
      <c r="RZ209" s="1009"/>
      <c r="SA209" s="1009"/>
      <c r="SB209" s="1009"/>
      <c r="SC209" s="1009"/>
      <c r="SD209" s="1009"/>
      <c r="SE209" s="1009"/>
      <c r="SF209" s="1009"/>
      <c r="SG209" s="1009"/>
      <c r="SH209" s="1009"/>
      <c r="SI209" s="1009"/>
      <c r="SJ209" s="1009"/>
      <c r="SK209" s="1009"/>
      <c r="SL209" s="1009"/>
      <c r="SM209" s="1009"/>
      <c r="SN209" s="1009"/>
      <c r="SO209" s="1009"/>
      <c r="SP209" s="1009"/>
      <c r="SQ209" s="1009"/>
      <c r="SR209" s="1009"/>
      <c r="SS209" s="1009"/>
      <c r="ST209" s="1009"/>
      <c r="SU209" s="1009"/>
      <c r="SV209" s="1009"/>
      <c r="SW209" s="1009"/>
      <c r="SX209" s="1009"/>
      <c r="SY209" s="1009"/>
      <c r="SZ209" s="1009"/>
      <c r="TA209" s="1009"/>
      <c r="TB209" s="1009"/>
      <c r="TC209" s="1009"/>
      <c r="TD209" s="1009"/>
      <c r="TE209" s="1009"/>
      <c r="TF209" s="1009"/>
      <c r="TG209" s="1009"/>
      <c r="TH209" s="1009"/>
      <c r="TI209" s="1009"/>
      <c r="TJ209" s="1009"/>
      <c r="TK209" s="1009"/>
      <c r="TL209" s="1009"/>
      <c r="TM209" s="1009"/>
      <c r="TN209" s="1009"/>
      <c r="TO209" s="1009"/>
      <c r="TP209" s="1009"/>
      <c r="TQ209" s="1009"/>
      <c r="TR209" s="1009"/>
      <c r="TS209" s="1009"/>
      <c r="TT209" s="1009"/>
      <c r="TU209" s="1009"/>
      <c r="TV209" s="1009"/>
      <c r="TW209" s="1009"/>
      <c r="TX209" s="1009"/>
      <c r="TY209" s="1009"/>
      <c r="TZ209" s="1009"/>
      <c r="UA209" s="1009"/>
      <c r="UB209" s="1009"/>
      <c r="UC209" s="1009"/>
      <c r="UD209" s="1009"/>
      <c r="UE209" s="1009"/>
      <c r="UF209" s="1009"/>
      <c r="UG209" s="1009"/>
      <c r="UH209" s="1009"/>
      <c r="UI209" s="1009"/>
      <c r="UJ209" s="1009"/>
      <c r="UK209" s="1009"/>
      <c r="UL209" s="1009"/>
      <c r="UM209" s="1009"/>
      <c r="UN209" s="1009"/>
      <c r="UO209" s="1009"/>
      <c r="UP209" s="1009"/>
      <c r="UQ209" s="1009"/>
      <c r="UR209" s="1009"/>
      <c r="US209" s="1009"/>
      <c r="UT209" s="1009"/>
      <c r="UU209" s="1009"/>
      <c r="UV209" s="1009"/>
      <c r="UW209" s="1009"/>
      <c r="UX209" s="1009"/>
      <c r="UY209" s="1009"/>
      <c r="UZ209" s="1009"/>
      <c r="VA209" s="1009"/>
      <c r="VB209" s="1009"/>
      <c r="VC209" s="1009"/>
      <c r="VD209" s="1009"/>
      <c r="VE209" s="1009"/>
      <c r="VF209" s="1009"/>
      <c r="VG209" s="1009"/>
      <c r="VH209" s="1009"/>
      <c r="VI209" s="1009"/>
      <c r="VJ209" s="1009"/>
      <c r="VK209" s="1009"/>
      <c r="VL209" s="1009"/>
      <c r="VM209" s="1009"/>
      <c r="VN209" s="1009"/>
      <c r="VO209" s="1009"/>
      <c r="VP209" s="1009"/>
      <c r="VQ209" s="1009"/>
      <c r="VR209" s="1009"/>
      <c r="VS209" s="1009"/>
      <c r="VT209" s="1009"/>
      <c r="VU209" s="1009"/>
      <c r="VV209" s="1009"/>
      <c r="VW209" s="1009"/>
      <c r="VX209" s="1009"/>
      <c r="VY209" s="1009"/>
      <c r="VZ209" s="1009"/>
      <c r="WA209" s="1009"/>
      <c r="WB209" s="1009"/>
      <c r="WC209" s="1009"/>
      <c r="WD209" s="1009"/>
      <c r="WE209" s="1009"/>
      <c r="WF209" s="1009"/>
      <c r="WG209" s="1009"/>
      <c r="WH209" s="1009"/>
      <c r="WI209" s="1009"/>
      <c r="WJ209" s="1009"/>
      <c r="WK209" s="1009"/>
      <c r="WL209" s="1009"/>
      <c r="WM209" s="1009"/>
      <c r="WN209" s="1009"/>
      <c r="WO209" s="1009"/>
      <c r="WP209" s="1009"/>
      <c r="WQ209" s="1009"/>
      <c r="WR209" s="1009"/>
      <c r="WS209" s="1009"/>
      <c r="WT209" s="1009"/>
      <c r="WU209" s="1009"/>
      <c r="WV209" s="1009"/>
      <c r="WW209" s="1009"/>
      <c r="WX209" s="1009"/>
      <c r="WY209" s="1009"/>
      <c r="WZ209" s="1009"/>
      <c r="XA209" s="1009"/>
      <c r="XB209" s="1009"/>
      <c r="XC209" s="1009"/>
      <c r="XD209" s="1009"/>
      <c r="XE209" s="1009"/>
      <c r="XF209" s="1009"/>
      <c r="XG209" s="1009"/>
      <c r="XH209" s="1009"/>
      <c r="XI209" s="1009"/>
      <c r="XJ209" s="1009"/>
      <c r="XK209" s="1009"/>
      <c r="XL209" s="1009"/>
      <c r="XM209" s="1009"/>
      <c r="XN209" s="1009"/>
      <c r="XO209" s="1009"/>
      <c r="XP209" s="1009"/>
      <c r="XQ209" s="1009"/>
      <c r="XR209" s="1009"/>
      <c r="XS209" s="1009"/>
      <c r="XT209" s="1009"/>
      <c r="XU209" s="1009"/>
      <c r="XV209" s="1009"/>
      <c r="XW209" s="1009"/>
      <c r="XX209" s="1009"/>
      <c r="XY209" s="1009"/>
      <c r="XZ209" s="1009"/>
      <c r="YA209" s="1009"/>
      <c r="YB209" s="1009"/>
      <c r="YC209" s="1009"/>
      <c r="YD209" s="1009"/>
      <c r="YE209" s="1009"/>
      <c r="YF209" s="1009"/>
      <c r="YG209" s="1009"/>
      <c r="YH209" s="1009"/>
      <c r="YI209" s="1009"/>
      <c r="YJ209" s="1009"/>
      <c r="YK209" s="1009"/>
      <c r="YL209" s="1009"/>
      <c r="YM209" s="1009"/>
      <c r="YN209" s="1009"/>
      <c r="YO209" s="1009"/>
      <c r="YP209" s="1009"/>
      <c r="YQ209" s="1009"/>
      <c r="YR209" s="1009"/>
      <c r="YS209" s="1009"/>
      <c r="YT209" s="1009"/>
      <c r="YU209" s="1009"/>
      <c r="YV209" s="1009"/>
      <c r="YW209" s="1009"/>
      <c r="YX209" s="1009"/>
      <c r="YY209" s="1009"/>
      <c r="YZ209" s="1009"/>
      <c r="ZA209" s="1009"/>
      <c r="ZB209" s="1009"/>
      <c r="ZC209" s="1009"/>
      <c r="ZD209" s="1009"/>
      <c r="ZE209" s="1009"/>
      <c r="ZF209" s="1009"/>
      <c r="ZG209" s="1009"/>
      <c r="ZH209" s="1009"/>
      <c r="ZI209" s="1009"/>
      <c r="ZJ209" s="1009"/>
      <c r="ZK209" s="1009"/>
      <c r="ZL209" s="1009"/>
      <c r="ZM209" s="1009"/>
      <c r="ZN209" s="1009"/>
      <c r="ZO209" s="1009"/>
      <c r="ZP209" s="1009"/>
      <c r="ZQ209" s="1009"/>
      <c r="ZR209" s="1009"/>
      <c r="ZS209" s="1009"/>
      <c r="ZT209" s="1009"/>
      <c r="ZU209" s="1009"/>
      <c r="ZV209" s="1009"/>
      <c r="ZW209" s="1009"/>
      <c r="ZX209" s="1009"/>
      <c r="ZY209" s="1009"/>
      <c r="ZZ209" s="1009"/>
      <c r="AAA209" s="1009"/>
      <c r="AAB209" s="1009"/>
      <c r="AAC209" s="1009"/>
      <c r="AAD209" s="1009"/>
      <c r="AAE209" s="1009"/>
      <c r="AAF209" s="1009"/>
      <c r="AAG209" s="1009"/>
      <c r="AAH209" s="1009"/>
      <c r="AAI209" s="1009"/>
      <c r="AAJ209" s="1009"/>
      <c r="AAK209" s="1009"/>
      <c r="AAL209" s="1009"/>
      <c r="AAM209" s="1009"/>
      <c r="AAN209" s="1009"/>
      <c r="AAO209" s="1009"/>
      <c r="AAP209" s="1009"/>
      <c r="AAQ209" s="1009"/>
      <c r="AAR209" s="1009"/>
      <c r="AAS209" s="1009"/>
      <c r="AAT209" s="1009"/>
      <c r="AAU209" s="1009"/>
      <c r="AAV209" s="1009"/>
      <c r="AAW209" s="1009"/>
      <c r="AAX209" s="1009"/>
      <c r="AAY209" s="1009"/>
      <c r="AAZ209" s="1009"/>
      <c r="ABA209" s="1009"/>
      <c r="ABB209" s="1009"/>
      <c r="ABC209" s="1009"/>
      <c r="ABD209" s="1009"/>
      <c r="ABE209" s="1009"/>
      <c r="ABF209" s="1009"/>
      <c r="ABG209" s="1009"/>
      <c r="ABH209" s="1009"/>
      <c r="ABI209" s="1009"/>
      <c r="ABJ209" s="1009"/>
      <c r="ABK209" s="1009"/>
      <c r="ABL209" s="1009"/>
      <c r="ABM209" s="1009"/>
      <c r="ABN209" s="1009"/>
      <c r="ABO209" s="1009"/>
      <c r="ABP209" s="1009"/>
      <c r="ABQ209" s="1009"/>
      <c r="ABR209" s="1009"/>
    </row>
    <row r="210" spans="1:746" s="111" customFormat="1" ht="12" customHeight="1">
      <c r="A210" s="924"/>
      <c r="B210" s="356" t="s">
        <v>748</v>
      </c>
      <c r="C210" s="168"/>
      <c r="D210" s="136"/>
      <c r="E210" s="2950"/>
      <c r="F210" s="2951"/>
      <c r="G210" s="2952"/>
      <c r="H210" s="2548" t="s">
        <v>1334</v>
      </c>
      <c r="I210" s="2591">
        <f>fx!I339*fx!I57</f>
        <v>0</v>
      </c>
      <c r="J210" s="2387">
        <f>fx!J339*fx!J57</f>
        <v>0</v>
      </c>
      <c r="K210" s="2387">
        <f>fx!K339*fx!K57</f>
        <v>0</v>
      </c>
      <c r="L210" s="2387">
        <f>fx!L339*fx!L57</f>
        <v>0</v>
      </c>
      <c r="M210" s="2387">
        <f>fx!M339*fx!M57</f>
        <v>0</v>
      </c>
      <c r="N210" s="2387">
        <f>fx!N339*fx!N57</f>
        <v>0</v>
      </c>
      <c r="O210" s="2387">
        <f>fx!O339*fx!O57</f>
        <v>0</v>
      </c>
      <c r="P210" s="2387">
        <f>fx!P339*fx!P57</f>
        <v>0</v>
      </c>
      <c r="Q210" s="2387">
        <f>fx!Q339*fx!Q57</f>
        <v>0</v>
      </c>
      <c r="R210" s="2387">
        <f>fx!R339*fx!R57</f>
        <v>0</v>
      </c>
      <c r="S210" s="2387">
        <f>fx!S339*fx!S57</f>
        <v>0</v>
      </c>
      <c r="T210" s="2387">
        <f>fx!T339*fx!T57</f>
        <v>0</v>
      </c>
      <c r="U210" s="2387">
        <f>fx!U339*fx!U57</f>
        <v>0</v>
      </c>
      <c r="V210" s="2387">
        <f>fx!V339*fx!V57</f>
        <v>0</v>
      </c>
      <c r="W210" s="2387">
        <f>fx!W339*fx!W57</f>
        <v>0</v>
      </c>
      <c r="X210" s="2387">
        <f>fx!X339*fx!X57</f>
        <v>0</v>
      </c>
      <c r="Y210" s="2387">
        <f>fx!Y339*fx!Y57</f>
        <v>0</v>
      </c>
      <c r="Z210" s="2387">
        <f>fx!Z339*fx!Z57</f>
        <v>0</v>
      </c>
      <c r="AA210" s="2387">
        <f>fx!AA339*fx!AA57</f>
        <v>0</v>
      </c>
      <c r="AB210" s="2387">
        <f>fx!AB339*fx!AB57</f>
        <v>0</v>
      </c>
      <c r="AC210" s="2387">
        <f>fx!AC339*fx!AC57</f>
        <v>0</v>
      </c>
      <c r="AD210" s="2387">
        <f>fx!AD339*fx!AD57</f>
        <v>0</v>
      </c>
      <c r="AE210" s="2387">
        <f>fx!AE339*fx!AE57</f>
        <v>0</v>
      </c>
      <c r="AF210" s="2387">
        <f>fx!AF339*fx!AF57</f>
        <v>0</v>
      </c>
      <c r="AG210" s="376"/>
      <c r="AH210" s="769"/>
      <c r="AI210" s="769"/>
      <c r="AJ210" s="770">
        <f>IF(fx!$C$57=1,T210,IF(fx!$C$57=2,AF210))</f>
        <v>0</v>
      </c>
      <c r="AK210" s="774"/>
      <c r="AL210" s="771">
        <f>IF(fx!$C$57=1,AF210,0)</f>
        <v>0</v>
      </c>
      <c r="AM210" s="1009"/>
      <c r="AN210" s="1009"/>
      <c r="AO210" s="1945"/>
      <c r="AP210" s="1935"/>
      <c r="AQ210" s="1936"/>
      <c r="AR210" s="2236"/>
      <c r="AS210" s="2236"/>
      <c r="AT210" s="2236"/>
      <c r="AU210" s="2236"/>
      <c r="AV210" s="2236"/>
      <c r="AW210" s="2236"/>
      <c r="AX210" s="2236"/>
      <c r="AY210" s="2236"/>
      <c r="AZ210" s="2236"/>
      <c r="BA210" s="2236"/>
      <c r="BB210" s="2236"/>
      <c r="BC210" s="2236"/>
      <c r="BD210" s="2236"/>
      <c r="BE210" s="2236"/>
      <c r="BF210" s="2236"/>
      <c r="BG210" s="2236"/>
      <c r="BH210" s="2236"/>
      <c r="BI210" s="2236"/>
      <c r="BJ210" s="2236"/>
      <c r="BK210" s="2236"/>
      <c r="BL210" s="2236"/>
      <c r="BM210" s="2236"/>
      <c r="BN210" s="2236"/>
      <c r="BO210" s="2236"/>
      <c r="BP210" s="1009"/>
      <c r="BQ210" s="1009"/>
      <c r="BR210" s="1009"/>
      <c r="BS210" s="1009"/>
      <c r="BT210" s="1009"/>
      <c r="BU210" s="1009"/>
      <c r="BV210" s="1009"/>
      <c r="BW210" s="1009"/>
      <c r="BX210" s="1009"/>
      <c r="BY210" s="1009"/>
      <c r="BZ210" s="1009"/>
      <c r="CA210" s="1009"/>
      <c r="CB210" s="1009"/>
      <c r="CC210" s="1009"/>
      <c r="CD210" s="1009"/>
      <c r="CE210" s="1009"/>
      <c r="CF210" s="1009"/>
      <c r="CG210" s="1009"/>
      <c r="CH210" s="1009"/>
      <c r="CI210" s="1009"/>
      <c r="CJ210" s="1009"/>
      <c r="CK210" s="1009"/>
      <c r="CL210" s="1009"/>
      <c r="CM210" s="1009"/>
      <c r="CN210" s="1009"/>
      <c r="CO210" s="1009"/>
      <c r="CP210" s="1009"/>
      <c r="CQ210" s="1009"/>
      <c r="CR210" s="1009"/>
      <c r="CS210" s="1009"/>
      <c r="CT210" s="1009"/>
      <c r="CU210" s="1009"/>
      <c r="CV210" s="1009"/>
      <c r="CW210" s="1009"/>
      <c r="CX210" s="1009"/>
      <c r="CY210" s="1009"/>
      <c r="CZ210" s="1009"/>
      <c r="DA210" s="1009"/>
      <c r="DB210" s="1009"/>
      <c r="DC210" s="1009"/>
      <c r="DD210" s="1009"/>
      <c r="DE210" s="1009"/>
      <c r="DF210" s="1009"/>
      <c r="DG210" s="1009"/>
      <c r="DH210" s="1009"/>
      <c r="DI210" s="1009"/>
      <c r="DJ210" s="1009"/>
      <c r="DK210" s="1009"/>
      <c r="DL210" s="1009"/>
      <c r="DM210" s="1009"/>
      <c r="DN210" s="1009"/>
      <c r="DO210" s="1009"/>
      <c r="DP210" s="1009"/>
      <c r="DQ210" s="1009"/>
      <c r="DR210" s="1009"/>
      <c r="DS210" s="1009"/>
      <c r="DT210" s="1009"/>
      <c r="DU210" s="1009"/>
      <c r="DV210" s="1009"/>
      <c r="DW210" s="1009"/>
      <c r="DX210" s="1009"/>
      <c r="DY210" s="1009"/>
      <c r="DZ210" s="1009"/>
      <c r="EA210" s="1009"/>
      <c r="EB210" s="1009"/>
      <c r="EC210" s="1009"/>
      <c r="ED210" s="1009"/>
      <c r="EE210" s="1009"/>
      <c r="EF210" s="1009"/>
      <c r="EG210" s="1009"/>
      <c r="EH210" s="1009"/>
      <c r="EI210" s="1009"/>
      <c r="EJ210" s="1009"/>
      <c r="EK210" s="1009"/>
      <c r="EL210" s="1009"/>
      <c r="EM210" s="1009"/>
      <c r="EN210" s="1009"/>
      <c r="EO210" s="1009"/>
      <c r="EP210" s="1009"/>
      <c r="EQ210" s="1009"/>
      <c r="ER210" s="1009"/>
      <c r="ES210" s="1009"/>
      <c r="ET210" s="1009"/>
      <c r="EU210" s="1009"/>
      <c r="EV210" s="1009"/>
      <c r="EW210" s="1009"/>
      <c r="EX210" s="1009"/>
      <c r="EY210" s="1009"/>
      <c r="EZ210" s="1009"/>
      <c r="FA210" s="1009"/>
      <c r="FB210" s="1009"/>
      <c r="FC210" s="1009"/>
      <c r="FD210" s="1009"/>
      <c r="FE210" s="1009"/>
      <c r="FF210" s="1009"/>
      <c r="FG210" s="1009"/>
      <c r="FH210" s="1009"/>
      <c r="FI210" s="1009"/>
      <c r="FJ210" s="1009"/>
      <c r="FK210" s="1009"/>
      <c r="FL210" s="1009"/>
      <c r="FM210" s="1009"/>
      <c r="FN210" s="1009"/>
      <c r="FO210" s="1009"/>
      <c r="FP210" s="1009"/>
      <c r="FQ210" s="1009"/>
      <c r="FR210" s="1009"/>
      <c r="FS210" s="1009"/>
      <c r="FT210" s="1009"/>
      <c r="FU210" s="1009"/>
      <c r="FV210" s="1009"/>
      <c r="FW210" s="1009"/>
      <c r="FX210" s="1009"/>
      <c r="FY210" s="1009"/>
      <c r="FZ210" s="1009"/>
      <c r="GA210" s="1009"/>
      <c r="GB210" s="1009"/>
      <c r="GC210" s="1009"/>
      <c r="GD210" s="1009"/>
      <c r="GE210" s="1009"/>
      <c r="GF210" s="1009"/>
      <c r="GG210" s="1009"/>
      <c r="GH210" s="1009"/>
      <c r="GI210" s="1009"/>
      <c r="GJ210" s="1009"/>
      <c r="GK210" s="1009"/>
      <c r="GL210" s="1009"/>
      <c r="GM210" s="1009"/>
      <c r="GN210" s="1009"/>
      <c r="GO210" s="1009"/>
      <c r="GP210" s="1009"/>
      <c r="GQ210" s="1009"/>
      <c r="GR210" s="1009"/>
      <c r="GS210" s="1009"/>
      <c r="GT210" s="1009"/>
      <c r="GU210" s="1009"/>
      <c r="GV210" s="1009"/>
      <c r="GW210" s="1009"/>
      <c r="GX210" s="1009"/>
      <c r="GY210" s="1009"/>
      <c r="GZ210" s="1009"/>
      <c r="HA210" s="1009"/>
      <c r="HB210" s="1009"/>
      <c r="HC210" s="1009"/>
      <c r="HD210" s="1009"/>
      <c r="HE210" s="1009"/>
      <c r="HF210" s="1009"/>
      <c r="HG210" s="1009"/>
      <c r="HH210" s="1009"/>
      <c r="HI210" s="1009"/>
      <c r="HJ210" s="1009"/>
      <c r="HK210" s="1009"/>
      <c r="HL210" s="1009"/>
      <c r="HM210" s="1009"/>
      <c r="HN210" s="1009"/>
      <c r="HO210" s="1009"/>
      <c r="HP210" s="1009"/>
      <c r="HQ210" s="1009"/>
      <c r="HR210" s="1009"/>
      <c r="HS210" s="1009"/>
      <c r="HT210" s="1009"/>
      <c r="HU210" s="1009"/>
      <c r="HV210" s="1009"/>
      <c r="HW210" s="1009"/>
      <c r="HX210" s="1009"/>
      <c r="HY210" s="1009"/>
      <c r="HZ210" s="1009"/>
      <c r="IA210" s="1009"/>
      <c r="IB210" s="1009"/>
      <c r="IC210" s="1009"/>
      <c r="ID210" s="1009"/>
      <c r="IE210" s="1009"/>
      <c r="IF210" s="1009"/>
      <c r="IG210" s="1009"/>
      <c r="IH210" s="1009"/>
      <c r="II210" s="1009"/>
      <c r="IJ210" s="1009"/>
      <c r="IK210" s="1009"/>
      <c r="IL210" s="1009"/>
      <c r="IM210" s="1009"/>
      <c r="IN210" s="1009"/>
      <c r="IO210" s="1009"/>
      <c r="IP210" s="1009"/>
      <c r="IQ210" s="1009"/>
      <c r="IR210" s="1009"/>
      <c r="IS210" s="1009"/>
      <c r="IT210" s="1009"/>
      <c r="IU210" s="1009"/>
      <c r="IV210" s="1009"/>
      <c r="IW210" s="1009"/>
      <c r="IX210" s="1009"/>
      <c r="IY210" s="1009"/>
      <c r="IZ210" s="1009"/>
      <c r="JA210" s="1009"/>
      <c r="JB210" s="1009"/>
      <c r="JC210" s="1009"/>
      <c r="JD210" s="1009"/>
      <c r="JE210" s="1009"/>
      <c r="JF210" s="1009"/>
      <c r="JG210" s="1009"/>
      <c r="JH210" s="1009"/>
      <c r="JI210" s="1009"/>
      <c r="JJ210" s="1009"/>
      <c r="JK210" s="1009"/>
      <c r="JL210" s="1009"/>
      <c r="JM210" s="1009"/>
      <c r="JN210" s="1009"/>
      <c r="JO210" s="1009"/>
      <c r="JP210" s="1009"/>
      <c r="JQ210" s="1009"/>
      <c r="JR210" s="1009"/>
      <c r="JS210" s="1009"/>
      <c r="JT210" s="1009"/>
      <c r="JU210" s="1009"/>
      <c r="JV210" s="1009"/>
      <c r="JW210" s="1009"/>
      <c r="JX210" s="1009"/>
      <c r="JY210" s="1009"/>
      <c r="JZ210" s="1009"/>
      <c r="KA210" s="1009"/>
      <c r="KB210" s="1009"/>
      <c r="KC210" s="1009"/>
      <c r="KD210" s="1009"/>
      <c r="KE210" s="1009"/>
      <c r="KF210" s="1009"/>
      <c r="KG210" s="1009"/>
      <c r="KH210" s="1009"/>
      <c r="KI210" s="1009"/>
      <c r="KJ210" s="1009"/>
      <c r="KK210" s="1009"/>
      <c r="KL210" s="1009"/>
      <c r="KM210" s="1009"/>
      <c r="KN210" s="1009"/>
      <c r="KO210" s="1009"/>
      <c r="KP210" s="1009"/>
      <c r="KQ210" s="1009"/>
      <c r="KR210" s="1009"/>
      <c r="KS210" s="1009"/>
      <c r="KT210" s="1009"/>
      <c r="KU210" s="1009"/>
      <c r="KV210" s="1009"/>
      <c r="KW210" s="1009"/>
      <c r="KX210" s="1009"/>
      <c r="KY210" s="1009"/>
      <c r="KZ210" s="1009"/>
      <c r="LA210" s="1009"/>
      <c r="LB210" s="1009"/>
      <c r="LC210" s="1009"/>
      <c r="LD210" s="1009"/>
      <c r="LE210" s="1009"/>
      <c r="LF210" s="1009"/>
      <c r="LG210" s="1009"/>
      <c r="LH210" s="1009"/>
      <c r="LI210" s="1009"/>
      <c r="LJ210" s="1009"/>
      <c r="LK210" s="1009"/>
      <c r="LL210" s="1009"/>
      <c r="LM210" s="1009"/>
      <c r="LN210" s="1009"/>
      <c r="LO210" s="1009"/>
      <c r="LP210" s="1009"/>
      <c r="LQ210" s="1009"/>
      <c r="LR210" s="1009"/>
      <c r="LS210" s="1009"/>
      <c r="LT210" s="1009"/>
      <c r="LU210" s="1009"/>
      <c r="LV210" s="1009"/>
      <c r="LW210" s="1009"/>
      <c r="LX210" s="1009"/>
      <c r="LY210" s="1009"/>
      <c r="LZ210" s="1009"/>
      <c r="MA210" s="1009"/>
      <c r="MB210" s="1009"/>
      <c r="MC210" s="1009"/>
      <c r="MD210" s="1009"/>
      <c r="ME210" s="1009"/>
      <c r="MF210" s="1009"/>
      <c r="MG210" s="1009"/>
      <c r="MH210" s="1009"/>
      <c r="MI210" s="1009"/>
      <c r="MJ210" s="1009"/>
      <c r="MK210" s="1009"/>
      <c r="ML210" s="1009"/>
      <c r="MM210" s="1009"/>
      <c r="MN210" s="1009"/>
      <c r="MO210" s="1009"/>
      <c r="MP210" s="1009"/>
      <c r="MQ210" s="1009"/>
      <c r="MR210" s="1009"/>
      <c r="MS210" s="1009"/>
      <c r="MT210" s="1009"/>
      <c r="MU210" s="1009"/>
      <c r="MV210" s="1009"/>
      <c r="MW210" s="1009"/>
      <c r="MX210" s="1009"/>
      <c r="MY210" s="1009"/>
      <c r="MZ210" s="1009"/>
      <c r="NA210" s="1009"/>
      <c r="NB210" s="1009"/>
      <c r="NC210" s="1009"/>
      <c r="ND210" s="1009"/>
      <c r="NE210" s="1009"/>
      <c r="NF210" s="1009"/>
      <c r="NG210" s="1009"/>
      <c r="NH210" s="1009"/>
      <c r="NI210" s="1009"/>
      <c r="NJ210" s="1009"/>
      <c r="NK210" s="1009"/>
      <c r="NL210" s="1009"/>
      <c r="NM210" s="1009"/>
      <c r="NN210" s="1009"/>
      <c r="NO210" s="1009"/>
      <c r="NP210" s="1009"/>
      <c r="NQ210" s="1009"/>
      <c r="NR210" s="1009"/>
      <c r="NS210" s="1009"/>
      <c r="NT210" s="1009"/>
      <c r="NU210" s="1009"/>
      <c r="NV210" s="1009"/>
      <c r="NW210" s="1009"/>
      <c r="NX210" s="1009"/>
      <c r="NY210" s="1009"/>
      <c r="NZ210" s="1009"/>
      <c r="OA210" s="1009"/>
      <c r="OB210" s="1009"/>
      <c r="OC210" s="1009"/>
      <c r="OD210" s="1009"/>
      <c r="OE210" s="1009"/>
      <c r="OF210" s="1009"/>
      <c r="OG210" s="1009"/>
      <c r="OH210" s="1009"/>
      <c r="OI210" s="1009"/>
      <c r="OJ210" s="1009"/>
      <c r="OK210" s="1009"/>
      <c r="OL210" s="1009"/>
      <c r="OM210" s="1009"/>
      <c r="ON210" s="1009"/>
      <c r="OO210" s="1009"/>
      <c r="OP210" s="1009"/>
      <c r="OQ210" s="1009"/>
      <c r="OR210" s="1009"/>
      <c r="OS210" s="1009"/>
      <c r="OT210" s="1009"/>
      <c r="OU210" s="1009"/>
      <c r="OV210" s="1009"/>
      <c r="OW210" s="1009"/>
      <c r="OX210" s="1009"/>
      <c r="OY210" s="1009"/>
      <c r="OZ210" s="1009"/>
      <c r="PA210" s="1009"/>
      <c r="PB210" s="1009"/>
      <c r="PC210" s="1009"/>
      <c r="PD210" s="1009"/>
      <c r="PE210" s="1009"/>
      <c r="PF210" s="1009"/>
      <c r="PG210" s="1009"/>
      <c r="PH210" s="1009"/>
      <c r="PI210" s="1009"/>
      <c r="PJ210" s="1009"/>
      <c r="PK210" s="1009"/>
      <c r="PL210" s="1009"/>
      <c r="PM210" s="1009"/>
      <c r="PN210" s="1009"/>
      <c r="PO210" s="1009"/>
      <c r="PP210" s="1009"/>
      <c r="PQ210" s="1009"/>
      <c r="PR210" s="1009"/>
      <c r="PS210" s="1009"/>
      <c r="PT210" s="1009"/>
      <c r="PU210" s="1009"/>
      <c r="PV210" s="1009"/>
      <c r="PW210" s="1009"/>
      <c r="PX210" s="1009"/>
      <c r="PY210" s="1009"/>
      <c r="PZ210" s="1009"/>
      <c r="QA210" s="1009"/>
      <c r="QB210" s="1009"/>
      <c r="QC210" s="1009"/>
      <c r="QD210" s="1009"/>
      <c r="QE210" s="1009"/>
      <c r="QF210" s="1009"/>
      <c r="QG210" s="1009"/>
      <c r="QH210" s="1009"/>
      <c r="QI210" s="1009"/>
      <c r="QJ210" s="1009"/>
      <c r="QK210" s="1009"/>
      <c r="QL210" s="1009"/>
      <c r="QM210" s="1009"/>
      <c r="QN210" s="1009"/>
      <c r="QO210" s="1009"/>
      <c r="QP210" s="1009"/>
      <c r="QQ210" s="1009"/>
      <c r="QR210" s="1009"/>
      <c r="QS210" s="1009"/>
      <c r="QT210" s="1009"/>
      <c r="QU210" s="1009"/>
      <c r="QV210" s="1009"/>
      <c r="QW210" s="1009"/>
      <c r="QX210" s="1009"/>
      <c r="QY210" s="1009"/>
      <c r="QZ210" s="1009"/>
      <c r="RA210" s="1009"/>
      <c r="RB210" s="1009"/>
      <c r="RC210" s="1009"/>
      <c r="RD210" s="1009"/>
      <c r="RE210" s="1009"/>
      <c r="RF210" s="1009"/>
      <c r="RG210" s="1009"/>
      <c r="RH210" s="1009"/>
      <c r="RI210" s="1009"/>
      <c r="RJ210" s="1009"/>
      <c r="RK210" s="1009"/>
      <c r="RL210" s="1009"/>
      <c r="RM210" s="1009"/>
      <c r="RN210" s="1009"/>
      <c r="RO210" s="1009"/>
      <c r="RP210" s="1009"/>
      <c r="RQ210" s="1009"/>
      <c r="RR210" s="1009"/>
      <c r="RS210" s="1009"/>
      <c r="RT210" s="1009"/>
      <c r="RU210" s="1009"/>
      <c r="RV210" s="1009"/>
      <c r="RW210" s="1009"/>
      <c r="RX210" s="1009"/>
      <c r="RY210" s="1009"/>
      <c r="RZ210" s="1009"/>
      <c r="SA210" s="1009"/>
      <c r="SB210" s="1009"/>
      <c r="SC210" s="1009"/>
      <c r="SD210" s="1009"/>
      <c r="SE210" s="1009"/>
      <c r="SF210" s="1009"/>
      <c r="SG210" s="1009"/>
      <c r="SH210" s="1009"/>
      <c r="SI210" s="1009"/>
      <c r="SJ210" s="1009"/>
      <c r="SK210" s="1009"/>
      <c r="SL210" s="1009"/>
      <c r="SM210" s="1009"/>
      <c r="SN210" s="1009"/>
      <c r="SO210" s="1009"/>
      <c r="SP210" s="1009"/>
      <c r="SQ210" s="1009"/>
      <c r="SR210" s="1009"/>
      <c r="SS210" s="1009"/>
      <c r="ST210" s="1009"/>
      <c r="SU210" s="1009"/>
      <c r="SV210" s="1009"/>
      <c r="SW210" s="1009"/>
      <c r="SX210" s="1009"/>
      <c r="SY210" s="1009"/>
      <c r="SZ210" s="1009"/>
      <c r="TA210" s="1009"/>
      <c r="TB210" s="1009"/>
      <c r="TC210" s="1009"/>
      <c r="TD210" s="1009"/>
      <c r="TE210" s="1009"/>
      <c r="TF210" s="1009"/>
      <c r="TG210" s="1009"/>
      <c r="TH210" s="1009"/>
      <c r="TI210" s="1009"/>
      <c r="TJ210" s="1009"/>
      <c r="TK210" s="1009"/>
      <c r="TL210" s="1009"/>
      <c r="TM210" s="1009"/>
      <c r="TN210" s="1009"/>
      <c r="TO210" s="1009"/>
      <c r="TP210" s="1009"/>
      <c r="TQ210" s="1009"/>
      <c r="TR210" s="1009"/>
      <c r="TS210" s="1009"/>
      <c r="TT210" s="1009"/>
      <c r="TU210" s="1009"/>
      <c r="TV210" s="1009"/>
      <c r="TW210" s="1009"/>
      <c r="TX210" s="1009"/>
      <c r="TY210" s="1009"/>
      <c r="TZ210" s="1009"/>
      <c r="UA210" s="1009"/>
      <c r="UB210" s="1009"/>
      <c r="UC210" s="1009"/>
      <c r="UD210" s="1009"/>
      <c r="UE210" s="1009"/>
      <c r="UF210" s="1009"/>
      <c r="UG210" s="1009"/>
      <c r="UH210" s="1009"/>
      <c r="UI210" s="1009"/>
      <c r="UJ210" s="1009"/>
      <c r="UK210" s="1009"/>
      <c r="UL210" s="1009"/>
      <c r="UM210" s="1009"/>
      <c r="UN210" s="1009"/>
      <c r="UO210" s="1009"/>
      <c r="UP210" s="1009"/>
      <c r="UQ210" s="1009"/>
      <c r="UR210" s="1009"/>
      <c r="US210" s="1009"/>
      <c r="UT210" s="1009"/>
      <c r="UU210" s="1009"/>
      <c r="UV210" s="1009"/>
      <c r="UW210" s="1009"/>
      <c r="UX210" s="1009"/>
      <c r="UY210" s="1009"/>
      <c r="UZ210" s="1009"/>
      <c r="VA210" s="1009"/>
      <c r="VB210" s="1009"/>
      <c r="VC210" s="1009"/>
      <c r="VD210" s="1009"/>
      <c r="VE210" s="1009"/>
      <c r="VF210" s="1009"/>
      <c r="VG210" s="1009"/>
      <c r="VH210" s="1009"/>
      <c r="VI210" s="1009"/>
      <c r="VJ210" s="1009"/>
      <c r="VK210" s="1009"/>
      <c r="VL210" s="1009"/>
      <c r="VM210" s="1009"/>
      <c r="VN210" s="1009"/>
      <c r="VO210" s="1009"/>
      <c r="VP210" s="1009"/>
      <c r="VQ210" s="1009"/>
      <c r="VR210" s="1009"/>
      <c r="VS210" s="1009"/>
      <c r="VT210" s="1009"/>
      <c r="VU210" s="1009"/>
      <c r="VV210" s="1009"/>
      <c r="VW210" s="1009"/>
      <c r="VX210" s="1009"/>
      <c r="VY210" s="1009"/>
      <c r="VZ210" s="1009"/>
      <c r="WA210" s="1009"/>
      <c r="WB210" s="1009"/>
      <c r="WC210" s="1009"/>
      <c r="WD210" s="1009"/>
      <c r="WE210" s="1009"/>
      <c r="WF210" s="1009"/>
      <c r="WG210" s="1009"/>
      <c r="WH210" s="1009"/>
      <c r="WI210" s="1009"/>
      <c r="WJ210" s="1009"/>
      <c r="WK210" s="1009"/>
      <c r="WL210" s="1009"/>
      <c r="WM210" s="1009"/>
      <c r="WN210" s="1009"/>
      <c r="WO210" s="1009"/>
      <c r="WP210" s="1009"/>
      <c r="WQ210" s="1009"/>
      <c r="WR210" s="1009"/>
      <c r="WS210" s="1009"/>
      <c r="WT210" s="1009"/>
      <c r="WU210" s="1009"/>
      <c r="WV210" s="1009"/>
      <c r="WW210" s="1009"/>
      <c r="WX210" s="1009"/>
      <c r="WY210" s="1009"/>
      <c r="WZ210" s="1009"/>
      <c r="XA210" s="1009"/>
      <c r="XB210" s="1009"/>
      <c r="XC210" s="1009"/>
      <c r="XD210" s="1009"/>
      <c r="XE210" s="1009"/>
      <c r="XF210" s="1009"/>
      <c r="XG210" s="1009"/>
      <c r="XH210" s="1009"/>
      <c r="XI210" s="1009"/>
      <c r="XJ210" s="1009"/>
      <c r="XK210" s="1009"/>
      <c r="XL210" s="1009"/>
      <c r="XM210" s="1009"/>
      <c r="XN210" s="1009"/>
      <c r="XO210" s="1009"/>
      <c r="XP210" s="1009"/>
      <c r="XQ210" s="1009"/>
      <c r="XR210" s="1009"/>
      <c r="XS210" s="1009"/>
      <c r="XT210" s="1009"/>
      <c r="XU210" s="1009"/>
      <c r="XV210" s="1009"/>
      <c r="XW210" s="1009"/>
      <c r="XX210" s="1009"/>
      <c r="XY210" s="1009"/>
      <c r="XZ210" s="1009"/>
      <c r="YA210" s="1009"/>
      <c r="YB210" s="1009"/>
      <c r="YC210" s="1009"/>
      <c r="YD210" s="1009"/>
      <c r="YE210" s="1009"/>
      <c r="YF210" s="1009"/>
      <c r="YG210" s="1009"/>
      <c r="YH210" s="1009"/>
      <c r="YI210" s="1009"/>
      <c r="YJ210" s="1009"/>
      <c r="YK210" s="1009"/>
      <c r="YL210" s="1009"/>
      <c r="YM210" s="1009"/>
      <c r="YN210" s="1009"/>
      <c r="YO210" s="1009"/>
      <c r="YP210" s="1009"/>
      <c r="YQ210" s="1009"/>
      <c r="YR210" s="1009"/>
      <c r="YS210" s="1009"/>
      <c r="YT210" s="1009"/>
      <c r="YU210" s="1009"/>
      <c r="YV210" s="1009"/>
      <c r="YW210" s="1009"/>
      <c r="YX210" s="1009"/>
      <c r="YY210" s="1009"/>
      <c r="YZ210" s="1009"/>
      <c r="ZA210" s="1009"/>
      <c r="ZB210" s="1009"/>
      <c r="ZC210" s="1009"/>
      <c r="ZD210" s="1009"/>
      <c r="ZE210" s="1009"/>
      <c r="ZF210" s="1009"/>
      <c r="ZG210" s="1009"/>
      <c r="ZH210" s="1009"/>
      <c r="ZI210" s="1009"/>
      <c r="ZJ210" s="1009"/>
      <c r="ZK210" s="1009"/>
      <c r="ZL210" s="1009"/>
      <c r="ZM210" s="1009"/>
      <c r="ZN210" s="1009"/>
      <c r="ZO210" s="1009"/>
      <c r="ZP210" s="1009"/>
      <c r="ZQ210" s="1009"/>
      <c r="ZR210" s="1009"/>
      <c r="ZS210" s="1009"/>
      <c r="ZT210" s="1009"/>
      <c r="ZU210" s="1009"/>
      <c r="ZV210" s="1009"/>
      <c r="ZW210" s="1009"/>
      <c r="ZX210" s="1009"/>
      <c r="ZY210" s="1009"/>
      <c r="ZZ210" s="1009"/>
      <c r="AAA210" s="1009"/>
      <c r="AAB210" s="1009"/>
      <c r="AAC210" s="1009"/>
      <c r="AAD210" s="1009"/>
      <c r="AAE210" s="1009"/>
      <c r="AAF210" s="1009"/>
      <c r="AAG210" s="1009"/>
      <c r="AAH210" s="1009"/>
      <c r="AAI210" s="1009"/>
      <c r="AAJ210" s="1009"/>
      <c r="AAK210" s="1009"/>
      <c r="AAL210" s="1009"/>
      <c r="AAM210" s="1009"/>
      <c r="AAN210" s="1009"/>
      <c r="AAO210" s="1009"/>
      <c r="AAP210" s="1009"/>
      <c r="AAQ210" s="1009"/>
      <c r="AAR210" s="1009"/>
      <c r="AAS210" s="1009"/>
      <c r="AAT210" s="1009"/>
      <c r="AAU210" s="1009"/>
      <c r="AAV210" s="1009"/>
      <c r="AAW210" s="1009"/>
      <c r="AAX210" s="1009"/>
      <c r="AAY210" s="1009"/>
      <c r="AAZ210" s="1009"/>
      <c r="ABA210" s="1009"/>
      <c r="ABB210" s="1009"/>
      <c r="ABC210" s="1009"/>
      <c r="ABD210" s="1009"/>
      <c r="ABE210" s="1009"/>
      <c r="ABF210" s="1009"/>
      <c r="ABG210" s="1009"/>
      <c r="ABH210" s="1009"/>
      <c r="ABI210" s="1009"/>
      <c r="ABJ210" s="1009"/>
      <c r="ABK210" s="1009"/>
      <c r="ABL210" s="1009"/>
      <c r="ABM210" s="1009"/>
      <c r="ABN210" s="1009"/>
      <c r="ABO210" s="1009"/>
      <c r="ABP210" s="1009"/>
      <c r="ABQ210" s="1009"/>
      <c r="ABR210" s="1009"/>
    </row>
    <row r="211" spans="1:746" s="111" customFormat="1" ht="12" customHeight="1">
      <c r="A211" s="924"/>
      <c r="B211" s="899" t="s">
        <v>786</v>
      </c>
      <c r="C211" s="898"/>
      <c r="D211" s="897"/>
      <c r="E211" s="2937"/>
      <c r="F211" s="2938"/>
      <c r="G211" s="2939"/>
      <c r="H211" s="2548" t="s">
        <v>1334</v>
      </c>
      <c r="I211" s="2591">
        <f t="shared" ref="I211:AF211" si="20">I168</f>
        <v>0</v>
      </c>
      <c r="J211" s="2387">
        <f t="shared" si="20"/>
        <v>0</v>
      </c>
      <c r="K211" s="2387">
        <f t="shared" si="20"/>
        <v>0</v>
      </c>
      <c r="L211" s="2387">
        <f t="shared" si="20"/>
        <v>0</v>
      </c>
      <c r="M211" s="2387">
        <f t="shared" si="20"/>
        <v>0</v>
      </c>
      <c r="N211" s="2387">
        <f t="shared" si="20"/>
        <v>0</v>
      </c>
      <c r="O211" s="2387">
        <f t="shared" si="20"/>
        <v>0</v>
      </c>
      <c r="P211" s="2387">
        <f t="shared" si="20"/>
        <v>0</v>
      </c>
      <c r="Q211" s="2387">
        <f t="shared" si="20"/>
        <v>0</v>
      </c>
      <c r="R211" s="2387">
        <f t="shared" si="20"/>
        <v>0</v>
      </c>
      <c r="S211" s="2387">
        <f t="shared" si="20"/>
        <v>0</v>
      </c>
      <c r="T211" s="2387">
        <f t="shared" si="20"/>
        <v>0</v>
      </c>
      <c r="U211" s="2387">
        <f t="shared" si="20"/>
        <v>0</v>
      </c>
      <c r="V211" s="2387">
        <f t="shared" si="20"/>
        <v>0</v>
      </c>
      <c r="W211" s="2387">
        <f t="shared" si="20"/>
        <v>0</v>
      </c>
      <c r="X211" s="2387">
        <f t="shared" si="20"/>
        <v>0</v>
      </c>
      <c r="Y211" s="2387">
        <f t="shared" si="20"/>
        <v>0</v>
      </c>
      <c r="Z211" s="2387">
        <f t="shared" si="20"/>
        <v>0</v>
      </c>
      <c r="AA211" s="2387">
        <f t="shared" si="20"/>
        <v>0</v>
      </c>
      <c r="AB211" s="2387">
        <f t="shared" si="20"/>
        <v>0</v>
      </c>
      <c r="AC211" s="2387">
        <f t="shared" si="20"/>
        <v>0</v>
      </c>
      <c r="AD211" s="2387">
        <f t="shared" si="20"/>
        <v>0</v>
      </c>
      <c r="AE211" s="2387">
        <f t="shared" si="20"/>
        <v>0</v>
      </c>
      <c r="AF211" s="2387">
        <f t="shared" si="20"/>
        <v>0</v>
      </c>
      <c r="AG211" s="376"/>
      <c r="AH211" s="769"/>
      <c r="AI211" s="769"/>
      <c r="AJ211" s="904">
        <f>IF(fx!$C$57=1,T211,IF(fx!$C$57=2,AF211))</f>
        <v>0</v>
      </c>
      <c r="AK211" s="774"/>
      <c r="AL211" s="905">
        <f>IF(fx!$C$57=1,AF211,0)</f>
        <v>0</v>
      </c>
      <c r="AM211" s="1009"/>
      <c r="AN211" s="1009"/>
      <c r="AO211" s="1945"/>
      <c r="AP211" s="1935"/>
      <c r="AQ211" s="1936"/>
      <c r="AR211" s="1941"/>
      <c r="AS211" s="1941"/>
      <c r="AT211" s="1941"/>
      <c r="AU211" s="1941"/>
      <c r="AV211" s="1941"/>
      <c r="AW211" s="1941"/>
      <c r="AX211" s="1941"/>
      <c r="AY211" s="1941"/>
      <c r="AZ211" s="1941"/>
      <c r="BA211" s="1941"/>
      <c r="BB211" s="1941"/>
      <c r="BC211" s="1941"/>
      <c r="BD211" s="1941"/>
      <c r="BE211" s="1941"/>
      <c r="BF211" s="1941"/>
      <c r="BG211" s="1941"/>
      <c r="BH211" s="1941"/>
      <c r="BI211" s="1941"/>
      <c r="BJ211" s="1941"/>
      <c r="BK211" s="1941"/>
      <c r="BL211" s="1941"/>
      <c r="BM211" s="1941"/>
      <c r="BN211" s="1941"/>
      <c r="BO211" s="1941"/>
      <c r="BP211" s="1009"/>
      <c r="BQ211" s="1009"/>
      <c r="BR211" s="1009"/>
      <c r="BS211" s="1009"/>
      <c r="BT211" s="1009"/>
      <c r="BU211" s="1009"/>
      <c r="BV211" s="1009"/>
      <c r="BW211" s="1009"/>
      <c r="BX211" s="1009"/>
      <c r="BY211" s="1009"/>
      <c r="BZ211" s="1009"/>
      <c r="CA211" s="1009"/>
      <c r="CB211" s="1009"/>
      <c r="CC211" s="1009"/>
      <c r="CD211" s="1009"/>
      <c r="CE211" s="1009"/>
      <c r="CF211" s="1009"/>
      <c r="CG211" s="1009"/>
      <c r="CH211" s="1009"/>
      <c r="CI211" s="1009"/>
      <c r="CJ211" s="1009"/>
      <c r="CK211" s="1009"/>
      <c r="CL211" s="1009"/>
      <c r="CM211" s="1009"/>
      <c r="CN211" s="1009"/>
      <c r="CO211" s="1009"/>
      <c r="CP211" s="1009"/>
      <c r="CQ211" s="1009"/>
      <c r="CR211" s="1009"/>
      <c r="CS211" s="1009"/>
      <c r="CT211" s="1009"/>
      <c r="CU211" s="1009"/>
      <c r="CV211" s="1009"/>
      <c r="CW211" s="1009"/>
      <c r="CX211" s="1009"/>
      <c r="CY211" s="1009"/>
      <c r="CZ211" s="1009"/>
      <c r="DA211" s="1009"/>
      <c r="DB211" s="1009"/>
      <c r="DC211" s="1009"/>
      <c r="DD211" s="1009"/>
      <c r="DE211" s="1009"/>
      <c r="DF211" s="1009"/>
      <c r="DG211" s="1009"/>
      <c r="DH211" s="1009"/>
      <c r="DI211" s="1009"/>
      <c r="DJ211" s="1009"/>
      <c r="DK211" s="1009"/>
      <c r="DL211" s="1009"/>
      <c r="DM211" s="1009"/>
      <c r="DN211" s="1009"/>
      <c r="DO211" s="1009"/>
      <c r="DP211" s="1009"/>
      <c r="DQ211" s="1009"/>
      <c r="DR211" s="1009"/>
      <c r="DS211" s="1009"/>
      <c r="DT211" s="1009"/>
      <c r="DU211" s="1009"/>
      <c r="DV211" s="1009"/>
      <c r="DW211" s="1009"/>
      <c r="DX211" s="1009"/>
      <c r="DY211" s="1009"/>
      <c r="DZ211" s="1009"/>
      <c r="EA211" s="1009"/>
      <c r="EB211" s="1009"/>
      <c r="EC211" s="1009"/>
      <c r="ED211" s="1009"/>
      <c r="EE211" s="1009"/>
      <c r="EF211" s="1009"/>
      <c r="EG211" s="1009"/>
      <c r="EH211" s="1009"/>
      <c r="EI211" s="1009"/>
      <c r="EJ211" s="1009"/>
      <c r="EK211" s="1009"/>
      <c r="EL211" s="1009"/>
      <c r="EM211" s="1009"/>
      <c r="EN211" s="1009"/>
      <c r="EO211" s="1009"/>
      <c r="EP211" s="1009"/>
      <c r="EQ211" s="1009"/>
      <c r="ER211" s="1009"/>
      <c r="ES211" s="1009"/>
      <c r="ET211" s="1009"/>
      <c r="EU211" s="1009"/>
      <c r="EV211" s="1009"/>
      <c r="EW211" s="1009"/>
      <c r="EX211" s="1009"/>
      <c r="EY211" s="1009"/>
      <c r="EZ211" s="1009"/>
      <c r="FA211" s="1009"/>
      <c r="FB211" s="1009"/>
      <c r="FC211" s="1009"/>
      <c r="FD211" s="1009"/>
      <c r="FE211" s="1009"/>
      <c r="FF211" s="1009"/>
      <c r="FG211" s="1009"/>
      <c r="FH211" s="1009"/>
      <c r="FI211" s="1009"/>
      <c r="FJ211" s="1009"/>
      <c r="FK211" s="1009"/>
      <c r="FL211" s="1009"/>
      <c r="FM211" s="1009"/>
      <c r="FN211" s="1009"/>
      <c r="FO211" s="1009"/>
      <c r="FP211" s="1009"/>
      <c r="FQ211" s="1009"/>
      <c r="FR211" s="1009"/>
      <c r="FS211" s="1009"/>
      <c r="FT211" s="1009"/>
      <c r="FU211" s="1009"/>
      <c r="FV211" s="1009"/>
      <c r="FW211" s="1009"/>
      <c r="FX211" s="1009"/>
      <c r="FY211" s="1009"/>
      <c r="FZ211" s="1009"/>
      <c r="GA211" s="1009"/>
      <c r="GB211" s="1009"/>
      <c r="GC211" s="1009"/>
      <c r="GD211" s="1009"/>
      <c r="GE211" s="1009"/>
      <c r="GF211" s="1009"/>
      <c r="GG211" s="1009"/>
      <c r="GH211" s="1009"/>
      <c r="GI211" s="1009"/>
      <c r="GJ211" s="1009"/>
      <c r="GK211" s="1009"/>
      <c r="GL211" s="1009"/>
      <c r="GM211" s="1009"/>
      <c r="GN211" s="1009"/>
      <c r="GO211" s="1009"/>
      <c r="GP211" s="1009"/>
      <c r="GQ211" s="1009"/>
      <c r="GR211" s="1009"/>
      <c r="GS211" s="1009"/>
      <c r="GT211" s="1009"/>
      <c r="GU211" s="1009"/>
      <c r="GV211" s="1009"/>
      <c r="GW211" s="1009"/>
      <c r="GX211" s="1009"/>
      <c r="GY211" s="1009"/>
      <c r="GZ211" s="1009"/>
      <c r="HA211" s="1009"/>
      <c r="HB211" s="1009"/>
      <c r="HC211" s="1009"/>
      <c r="HD211" s="1009"/>
      <c r="HE211" s="1009"/>
      <c r="HF211" s="1009"/>
      <c r="HG211" s="1009"/>
      <c r="HH211" s="1009"/>
      <c r="HI211" s="1009"/>
      <c r="HJ211" s="1009"/>
      <c r="HK211" s="1009"/>
      <c r="HL211" s="1009"/>
      <c r="HM211" s="1009"/>
      <c r="HN211" s="1009"/>
      <c r="HO211" s="1009"/>
      <c r="HP211" s="1009"/>
      <c r="HQ211" s="1009"/>
      <c r="HR211" s="1009"/>
      <c r="HS211" s="1009"/>
      <c r="HT211" s="1009"/>
      <c r="HU211" s="1009"/>
      <c r="HV211" s="1009"/>
      <c r="HW211" s="1009"/>
      <c r="HX211" s="1009"/>
      <c r="HY211" s="1009"/>
      <c r="HZ211" s="1009"/>
      <c r="IA211" s="1009"/>
      <c r="IB211" s="1009"/>
      <c r="IC211" s="1009"/>
      <c r="ID211" s="1009"/>
      <c r="IE211" s="1009"/>
      <c r="IF211" s="1009"/>
      <c r="IG211" s="1009"/>
      <c r="IH211" s="1009"/>
      <c r="II211" s="1009"/>
      <c r="IJ211" s="1009"/>
      <c r="IK211" s="1009"/>
      <c r="IL211" s="1009"/>
      <c r="IM211" s="1009"/>
      <c r="IN211" s="1009"/>
      <c r="IO211" s="1009"/>
      <c r="IP211" s="1009"/>
      <c r="IQ211" s="1009"/>
      <c r="IR211" s="1009"/>
      <c r="IS211" s="1009"/>
      <c r="IT211" s="1009"/>
      <c r="IU211" s="1009"/>
      <c r="IV211" s="1009"/>
      <c r="IW211" s="1009"/>
      <c r="IX211" s="1009"/>
      <c r="IY211" s="1009"/>
      <c r="IZ211" s="1009"/>
      <c r="JA211" s="1009"/>
      <c r="JB211" s="1009"/>
      <c r="JC211" s="1009"/>
      <c r="JD211" s="1009"/>
      <c r="JE211" s="1009"/>
      <c r="JF211" s="1009"/>
      <c r="JG211" s="1009"/>
      <c r="JH211" s="1009"/>
      <c r="JI211" s="1009"/>
      <c r="JJ211" s="1009"/>
      <c r="JK211" s="1009"/>
      <c r="JL211" s="1009"/>
      <c r="JM211" s="1009"/>
      <c r="JN211" s="1009"/>
      <c r="JO211" s="1009"/>
      <c r="JP211" s="1009"/>
      <c r="JQ211" s="1009"/>
      <c r="JR211" s="1009"/>
      <c r="JS211" s="1009"/>
      <c r="JT211" s="1009"/>
      <c r="JU211" s="1009"/>
      <c r="JV211" s="1009"/>
      <c r="JW211" s="1009"/>
      <c r="JX211" s="1009"/>
      <c r="JY211" s="1009"/>
      <c r="JZ211" s="1009"/>
      <c r="KA211" s="1009"/>
      <c r="KB211" s="1009"/>
      <c r="KC211" s="1009"/>
      <c r="KD211" s="1009"/>
      <c r="KE211" s="1009"/>
      <c r="KF211" s="1009"/>
      <c r="KG211" s="1009"/>
      <c r="KH211" s="1009"/>
      <c r="KI211" s="1009"/>
      <c r="KJ211" s="1009"/>
      <c r="KK211" s="1009"/>
      <c r="KL211" s="1009"/>
      <c r="KM211" s="1009"/>
      <c r="KN211" s="1009"/>
      <c r="KO211" s="1009"/>
      <c r="KP211" s="1009"/>
      <c r="KQ211" s="1009"/>
      <c r="KR211" s="1009"/>
      <c r="KS211" s="1009"/>
      <c r="KT211" s="1009"/>
      <c r="KU211" s="1009"/>
      <c r="KV211" s="1009"/>
      <c r="KW211" s="1009"/>
      <c r="KX211" s="1009"/>
      <c r="KY211" s="1009"/>
      <c r="KZ211" s="1009"/>
      <c r="LA211" s="1009"/>
      <c r="LB211" s="1009"/>
      <c r="LC211" s="1009"/>
      <c r="LD211" s="1009"/>
      <c r="LE211" s="1009"/>
      <c r="LF211" s="1009"/>
      <c r="LG211" s="1009"/>
      <c r="LH211" s="1009"/>
      <c r="LI211" s="1009"/>
      <c r="LJ211" s="1009"/>
      <c r="LK211" s="1009"/>
      <c r="LL211" s="1009"/>
      <c r="LM211" s="1009"/>
      <c r="LN211" s="1009"/>
      <c r="LO211" s="1009"/>
      <c r="LP211" s="1009"/>
      <c r="LQ211" s="1009"/>
      <c r="LR211" s="1009"/>
      <c r="LS211" s="1009"/>
      <c r="LT211" s="1009"/>
      <c r="LU211" s="1009"/>
      <c r="LV211" s="1009"/>
      <c r="LW211" s="1009"/>
      <c r="LX211" s="1009"/>
      <c r="LY211" s="1009"/>
      <c r="LZ211" s="1009"/>
      <c r="MA211" s="1009"/>
      <c r="MB211" s="1009"/>
      <c r="MC211" s="1009"/>
      <c r="MD211" s="1009"/>
      <c r="ME211" s="1009"/>
      <c r="MF211" s="1009"/>
      <c r="MG211" s="1009"/>
      <c r="MH211" s="1009"/>
      <c r="MI211" s="1009"/>
      <c r="MJ211" s="1009"/>
      <c r="MK211" s="1009"/>
      <c r="ML211" s="1009"/>
      <c r="MM211" s="1009"/>
      <c r="MN211" s="1009"/>
      <c r="MO211" s="1009"/>
      <c r="MP211" s="1009"/>
      <c r="MQ211" s="1009"/>
      <c r="MR211" s="1009"/>
      <c r="MS211" s="1009"/>
      <c r="MT211" s="1009"/>
      <c r="MU211" s="1009"/>
      <c r="MV211" s="1009"/>
      <c r="MW211" s="1009"/>
      <c r="MX211" s="1009"/>
      <c r="MY211" s="1009"/>
      <c r="MZ211" s="1009"/>
      <c r="NA211" s="1009"/>
      <c r="NB211" s="1009"/>
      <c r="NC211" s="1009"/>
      <c r="ND211" s="1009"/>
      <c r="NE211" s="1009"/>
      <c r="NF211" s="1009"/>
      <c r="NG211" s="1009"/>
      <c r="NH211" s="1009"/>
      <c r="NI211" s="1009"/>
      <c r="NJ211" s="1009"/>
      <c r="NK211" s="1009"/>
      <c r="NL211" s="1009"/>
      <c r="NM211" s="1009"/>
      <c r="NN211" s="1009"/>
      <c r="NO211" s="1009"/>
      <c r="NP211" s="1009"/>
      <c r="NQ211" s="1009"/>
      <c r="NR211" s="1009"/>
      <c r="NS211" s="1009"/>
      <c r="NT211" s="1009"/>
      <c r="NU211" s="1009"/>
      <c r="NV211" s="1009"/>
      <c r="NW211" s="1009"/>
      <c r="NX211" s="1009"/>
      <c r="NY211" s="1009"/>
      <c r="NZ211" s="1009"/>
      <c r="OA211" s="1009"/>
      <c r="OB211" s="1009"/>
      <c r="OC211" s="1009"/>
      <c r="OD211" s="1009"/>
      <c r="OE211" s="1009"/>
      <c r="OF211" s="1009"/>
      <c r="OG211" s="1009"/>
      <c r="OH211" s="1009"/>
      <c r="OI211" s="1009"/>
      <c r="OJ211" s="1009"/>
      <c r="OK211" s="1009"/>
      <c r="OL211" s="1009"/>
      <c r="OM211" s="1009"/>
      <c r="ON211" s="1009"/>
      <c r="OO211" s="1009"/>
      <c r="OP211" s="1009"/>
      <c r="OQ211" s="1009"/>
      <c r="OR211" s="1009"/>
      <c r="OS211" s="1009"/>
      <c r="OT211" s="1009"/>
      <c r="OU211" s="1009"/>
      <c r="OV211" s="1009"/>
      <c r="OW211" s="1009"/>
      <c r="OX211" s="1009"/>
      <c r="OY211" s="1009"/>
      <c r="OZ211" s="1009"/>
      <c r="PA211" s="1009"/>
      <c r="PB211" s="1009"/>
      <c r="PC211" s="1009"/>
      <c r="PD211" s="1009"/>
      <c r="PE211" s="1009"/>
      <c r="PF211" s="1009"/>
      <c r="PG211" s="1009"/>
      <c r="PH211" s="1009"/>
      <c r="PI211" s="1009"/>
      <c r="PJ211" s="1009"/>
      <c r="PK211" s="1009"/>
      <c r="PL211" s="1009"/>
      <c r="PM211" s="1009"/>
      <c r="PN211" s="1009"/>
      <c r="PO211" s="1009"/>
      <c r="PP211" s="1009"/>
      <c r="PQ211" s="1009"/>
      <c r="PR211" s="1009"/>
      <c r="PS211" s="1009"/>
      <c r="PT211" s="1009"/>
      <c r="PU211" s="1009"/>
      <c r="PV211" s="1009"/>
      <c r="PW211" s="1009"/>
      <c r="PX211" s="1009"/>
      <c r="PY211" s="1009"/>
      <c r="PZ211" s="1009"/>
      <c r="QA211" s="1009"/>
      <c r="QB211" s="1009"/>
      <c r="QC211" s="1009"/>
      <c r="QD211" s="1009"/>
      <c r="QE211" s="1009"/>
      <c r="QF211" s="1009"/>
      <c r="QG211" s="1009"/>
      <c r="QH211" s="1009"/>
      <c r="QI211" s="1009"/>
      <c r="QJ211" s="1009"/>
      <c r="QK211" s="1009"/>
      <c r="QL211" s="1009"/>
      <c r="QM211" s="1009"/>
      <c r="QN211" s="1009"/>
      <c r="QO211" s="1009"/>
      <c r="QP211" s="1009"/>
      <c r="QQ211" s="1009"/>
      <c r="QR211" s="1009"/>
      <c r="QS211" s="1009"/>
      <c r="QT211" s="1009"/>
      <c r="QU211" s="1009"/>
      <c r="QV211" s="1009"/>
      <c r="QW211" s="1009"/>
      <c r="QX211" s="1009"/>
      <c r="QY211" s="1009"/>
      <c r="QZ211" s="1009"/>
      <c r="RA211" s="1009"/>
      <c r="RB211" s="1009"/>
      <c r="RC211" s="1009"/>
      <c r="RD211" s="1009"/>
      <c r="RE211" s="1009"/>
      <c r="RF211" s="1009"/>
      <c r="RG211" s="1009"/>
      <c r="RH211" s="1009"/>
      <c r="RI211" s="1009"/>
      <c r="RJ211" s="1009"/>
      <c r="RK211" s="1009"/>
      <c r="RL211" s="1009"/>
      <c r="RM211" s="1009"/>
      <c r="RN211" s="1009"/>
      <c r="RO211" s="1009"/>
      <c r="RP211" s="1009"/>
      <c r="RQ211" s="1009"/>
      <c r="RR211" s="1009"/>
      <c r="RS211" s="1009"/>
      <c r="RT211" s="1009"/>
      <c r="RU211" s="1009"/>
      <c r="RV211" s="1009"/>
      <c r="RW211" s="1009"/>
      <c r="RX211" s="1009"/>
      <c r="RY211" s="1009"/>
      <c r="RZ211" s="1009"/>
      <c r="SA211" s="1009"/>
      <c r="SB211" s="1009"/>
      <c r="SC211" s="1009"/>
      <c r="SD211" s="1009"/>
      <c r="SE211" s="1009"/>
      <c r="SF211" s="1009"/>
      <c r="SG211" s="1009"/>
      <c r="SH211" s="1009"/>
      <c r="SI211" s="1009"/>
      <c r="SJ211" s="1009"/>
      <c r="SK211" s="1009"/>
      <c r="SL211" s="1009"/>
      <c r="SM211" s="1009"/>
      <c r="SN211" s="1009"/>
      <c r="SO211" s="1009"/>
      <c r="SP211" s="1009"/>
      <c r="SQ211" s="1009"/>
      <c r="SR211" s="1009"/>
      <c r="SS211" s="1009"/>
      <c r="ST211" s="1009"/>
      <c r="SU211" s="1009"/>
      <c r="SV211" s="1009"/>
      <c r="SW211" s="1009"/>
      <c r="SX211" s="1009"/>
      <c r="SY211" s="1009"/>
      <c r="SZ211" s="1009"/>
      <c r="TA211" s="1009"/>
      <c r="TB211" s="1009"/>
      <c r="TC211" s="1009"/>
      <c r="TD211" s="1009"/>
      <c r="TE211" s="1009"/>
      <c r="TF211" s="1009"/>
      <c r="TG211" s="1009"/>
      <c r="TH211" s="1009"/>
      <c r="TI211" s="1009"/>
      <c r="TJ211" s="1009"/>
      <c r="TK211" s="1009"/>
      <c r="TL211" s="1009"/>
      <c r="TM211" s="1009"/>
      <c r="TN211" s="1009"/>
      <c r="TO211" s="1009"/>
      <c r="TP211" s="1009"/>
      <c r="TQ211" s="1009"/>
      <c r="TR211" s="1009"/>
      <c r="TS211" s="1009"/>
      <c r="TT211" s="1009"/>
      <c r="TU211" s="1009"/>
      <c r="TV211" s="1009"/>
      <c r="TW211" s="1009"/>
      <c r="TX211" s="1009"/>
      <c r="TY211" s="1009"/>
      <c r="TZ211" s="1009"/>
      <c r="UA211" s="1009"/>
      <c r="UB211" s="1009"/>
      <c r="UC211" s="1009"/>
      <c r="UD211" s="1009"/>
      <c r="UE211" s="1009"/>
      <c r="UF211" s="1009"/>
      <c r="UG211" s="1009"/>
      <c r="UH211" s="1009"/>
      <c r="UI211" s="1009"/>
      <c r="UJ211" s="1009"/>
      <c r="UK211" s="1009"/>
      <c r="UL211" s="1009"/>
      <c r="UM211" s="1009"/>
      <c r="UN211" s="1009"/>
      <c r="UO211" s="1009"/>
      <c r="UP211" s="1009"/>
      <c r="UQ211" s="1009"/>
      <c r="UR211" s="1009"/>
      <c r="US211" s="1009"/>
      <c r="UT211" s="1009"/>
      <c r="UU211" s="1009"/>
      <c r="UV211" s="1009"/>
      <c r="UW211" s="1009"/>
      <c r="UX211" s="1009"/>
      <c r="UY211" s="1009"/>
      <c r="UZ211" s="1009"/>
      <c r="VA211" s="1009"/>
      <c r="VB211" s="1009"/>
      <c r="VC211" s="1009"/>
      <c r="VD211" s="1009"/>
      <c r="VE211" s="1009"/>
      <c r="VF211" s="1009"/>
      <c r="VG211" s="1009"/>
      <c r="VH211" s="1009"/>
      <c r="VI211" s="1009"/>
      <c r="VJ211" s="1009"/>
      <c r="VK211" s="1009"/>
      <c r="VL211" s="1009"/>
      <c r="VM211" s="1009"/>
      <c r="VN211" s="1009"/>
      <c r="VO211" s="1009"/>
      <c r="VP211" s="1009"/>
      <c r="VQ211" s="1009"/>
      <c r="VR211" s="1009"/>
      <c r="VS211" s="1009"/>
      <c r="VT211" s="1009"/>
      <c r="VU211" s="1009"/>
      <c r="VV211" s="1009"/>
      <c r="VW211" s="1009"/>
      <c r="VX211" s="1009"/>
      <c r="VY211" s="1009"/>
      <c r="VZ211" s="1009"/>
      <c r="WA211" s="1009"/>
      <c r="WB211" s="1009"/>
      <c r="WC211" s="1009"/>
      <c r="WD211" s="1009"/>
      <c r="WE211" s="1009"/>
      <c r="WF211" s="1009"/>
      <c r="WG211" s="1009"/>
      <c r="WH211" s="1009"/>
      <c r="WI211" s="1009"/>
      <c r="WJ211" s="1009"/>
      <c r="WK211" s="1009"/>
      <c r="WL211" s="1009"/>
      <c r="WM211" s="1009"/>
      <c r="WN211" s="1009"/>
      <c r="WO211" s="1009"/>
      <c r="WP211" s="1009"/>
      <c r="WQ211" s="1009"/>
      <c r="WR211" s="1009"/>
      <c r="WS211" s="1009"/>
      <c r="WT211" s="1009"/>
      <c r="WU211" s="1009"/>
      <c r="WV211" s="1009"/>
      <c r="WW211" s="1009"/>
      <c r="WX211" s="1009"/>
      <c r="WY211" s="1009"/>
      <c r="WZ211" s="1009"/>
      <c r="XA211" s="1009"/>
      <c r="XB211" s="1009"/>
      <c r="XC211" s="1009"/>
      <c r="XD211" s="1009"/>
      <c r="XE211" s="1009"/>
      <c r="XF211" s="1009"/>
      <c r="XG211" s="1009"/>
      <c r="XH211" s="1009"/>
      <c r="XI211" s="1009"/>
      <c r="XJ211" s="1009"/>
      <c r="XK211" s="1009"/>
      <c r="XL211" s="1009"/>
      <c r="XM211" s="1009"/>
      <c r="XN211" s="1009"/>
      <c r="XO211" s="1009"/>
      <c r="XP211" s="1009"/>
      <c r="XQ211" s="1009"/>
      <c r="XR211" s="1009"/>
      <c r="XS211" s="1009"/>
      <c r="XT211" s="1009"/>
      <c r="XU211" s="1009"/>
      <c r="XV211" s="1009"/>
      <c r="XW211" s="1009"/>
      <c r="XX211" s="1009"/>
      <c r="XY211" s="1009"/>
      <c r="XZ211" s="1009"/>
      <c r="YA211" s="1009"/>
      <c r="YB211" s="1009"/>
      <c r="YC211" s="1009"/>
      <c r="YD211" s="1009"/>
      <c r="YE211" s="1009"/>
      <c r="YF211" s="1009"/>
      <c r="YG211" s="1009"/>
      <c r="YH211" s="1009"/>
      <c r="YI211" s="1009"/>
      <c r="YJ211" s="1009"/>
      <c r="YK211" s="1009"/>
      <c r="YL211" s="1009"/>
      <c r="YM211" s="1009"/>
      <c r="YN211" s="1009"/>
      <c r="YO211" s="1009"/>
      <c r="YP211" s="1009"/>
      <c r="YQ211" s="1009"/>
      <c r="YR211" s="1009"/>
      <c r="YS211" s="1009"/>
      <c r="YT211" s="1009"/>
      <c r="YU211" s="1009"/>
      <c r="YV211" s="1009"/>
      <c r="YW211" s="1009"/>
      <c r="YX211" s="1009"/>
      <c r="YY211" s="1009"/>
      <c r="YZ211" s="1009"/>
      <c r="ZA211" s="1009"/>
      <c r="ZB211" s="1009"/>
      <c r="ZC211" s="1009"/>
      <c r="ZD211" s="1009"/>
      <c r="ZE211" s="1009"/>
      <c r="ZF211" s="1009"/>
      <c r="ZG211" s="1009"/>
      <c r="ZH211" s="1009"/>
      <c r="ZI211" s="1009"/>
      <c r="ZJ211" s="1009"/>
      <c r="ZK211" s="1009"/>
      <c r="ZL211" s="1009"/>
      <c r="ZM211" s="1009"/>
      <c r="ZN211" s="1009"/>
      <c r="ZO211" s="1009"/>
      <c r="ZP211" s="1009"/>
      <c r="ZQ211" s="1009"/>
      <c r="ZR211" s="1009"/>
      <c r="ZS211" s="1009"/>
      <c r="ZT211" s="1009"/>
      <c r="ZU211" s="1009"/>
      <c r="ZV211" s="1009"/>
      <c r="ZW211" s="1009"/>
      <c r="ZX211" s="1009"/>
      <c r="ZY211" s="1009"/>
      <c r="ZZ211" s="1009"/>
      <c r="AAA211" s="1009"/>
      <c r="AAB211" s="1009"/>
      <c r="AAC211" s="1009"/>
      <c r="AAD211" s="1009"/>
      <c r="AAE211" s="1009"/>
      <c r="AAF211" s="1009"/>
      <c r="AAG211" s="1009"/>
      <c r="AAH211" s="1009"/>
      <c r="AAI211" s="1009"/>
      <c r="AAJ211" s="1009"/>
      <c r="AAK211" s="1009"/>
      <c r="AAL211" s="1009"/>
      <c r="AAM211" s="1009"/>
      <c r="AAN211" s="1009"/>
      <c r="AAO211" s="1009"/>
      <c r="AAP211" s="1009"/>
      <c r="AAQ211" s="1009"/>
      <c r="AAR211" s="1009"/>
      <c r="AAS211" s="1009"/>
      <c r="AAT211" s="1009"/>
      <c r="AAU211" s="1009"/>
      <c r="AAV211" s="1009"/>
      <c r="AAW211" s="1009"/>
      <c r="AAX211" s="1009"/>
      <c r="AAY211" s="1009"/>
      <c r="AAZ211" s="1009"/>
      <c r="ABA211" s="1009"/>
      <c r="ABB211" s="1009"/>
      <c r="ABC211" s="1009"/>
      <c r="ABD211" s="1009"/>
      <c r="ABE211" s="1009"/>
      <c r="ABF211" s="1009"/>
      <c r="ABG211" s="1009"/>
      <c r="ABH211" s="1009"/>
      <c r="ABI211" s="1009"/>
      <c r="ABJ211" s="1009"/>
      <c r="ABK211" s="1009"/>
      <c r="ABL211" s="1009"/>
      <c r="ABM211" s="1009"/>
      <c r="ABN211" s="1009"/>
      <c r="ABO211" s="1009"/>
      <c r="ABP211" s="1009"/>
      <c r="ABQ211" s="1009"/>
      <c r="ABR211" s="1009"/>
    </row>
    <row r="212" spans="1:746" s="111" customFormat="1" ht="12" customHeight="1">
      <c r="A212" s="924"/>
      <c r="B212" s="899" t="s">
        <v>297</v>
      </c>
      <c r="C212" s="936"/>
      <c r="D212" s="897"/>
      <c r="E212" s="2937"/>
      <c r="F212" s="2938"/>
      <c r="G212" s="2939"/>
      <c r="H212" s="2548" t="s">
        <v>1334</v>
      </c>
      <c r="I212" s="2591">
        <f t="shared" ref="I212:AF212" si="21">I193</f>
        <v>0</v>
      </c>
      <c r="J212" s="2388">
        <f t="shared" si="21"/>
        <v>0</v>
      </c>
      <c r="K212" s="2388">
        <f t="shared" ca="1" si="21"/>
        <v>0</v>
      </c>
      <c r="L212" s="2388">
        <f t="shared" ca="1" si="21"/>
        <v>0</v>
      </c>
      <c r="M212" s="2388">
        <f t="shared" ca="1" si="21"/>
        <v>0</v>
      </c>
      <c r="N212" s="2388">
        <f t="shared" ca="1" si="21"/>
        <v>0</v>
      </c>
      <c r="O212" s="2388">
        <f t="shared" ca="1" si="21"/>
        <v>0</v>
      </c>
      <c r="P212" s="2388">
        <f t="shared" ca="1" si="21"/>
        <v>0</v>
      </c>
      <c r="Q212" s="2388">
        <f t="shared" ca="1" si="21"/>
        <v>0</v>
      </c>
      <c r="R212" s="2388">
        <f t="shared" ca="1" si="21"/>
        <v>0</v>
      </c>
      <c r="S212" s="2388">
        <f t="shared" ca="1" si="21"/>
        <v>0</v>
      </c>
      <c r="T212" s="2387">
        <f t="shared" ca="1" si="21"/>
        <v>0</v>
      </c>
      <c r="U212" s="2387">
        <f t="shared" ca="1" si="21"/>
        <v>0</v>
      </c>
      <c r="V212" s="2388">
        <f t="shared" ca="1" si="21"/>
        <v>0</v>
      </c>
      <c r="W212" s="2388">
        <f t="shared" ca="1" si="21"/>
        <v>0</v>
      </c>
      <c r="X212" s="2388">
        <f t="shared" ca="1" si="21"/>
        <v>0</v>
      </c>
      <c r="Y212" s="2388">
        <f t="shared" ca="1" si="21"/>
        <v>0</v>
      </c>
      <c r="Z212" s="2388">
        <f t="shared" ca="1" si="21"/>
        <v>0</v>
      </c>
      <c r="AA212" s="2388">
        <f t="shared" ca="1" si="21"/>
        <v>0</v>
      </c>
      <c r="AB212" s="2388">
        <f t="shared" ca="1" si="21"/>
        <v>0</v>
      </c>
      <c r="AC212" s="2388">
        <f t="shared" ca="1" si="21"/>
        <v>0</v>
      </c>
      <c r="AD212" s="2388">
        <f t="shared" ca="1" si="21"/>
        <v>0</v>
      </c>
      <c r="AE212" s="2388">
        <f t="shared" ca="1" si="21"/>
        <v>0</v>
      </c>
      <c r="AF212" s="2388">
        <f t="shared" ca="1" si="21"/>
        <v>0</v>
      </c>
      <c r="AG212" s="376"/>
      <c r="AH212" s="769"/>
      <c r="AI212" s="769"/>
      <c r="AJ212" s="770">
        <f ca="1">IF(fx!$C$57=1,T212,IF(fx!$C$57=2,AF212))</f>
        <v>0</v>
      </c>
      <c r="AK212" s="774"/>
      <c r="AL212" s="771">
        <f ca="1">IF(fx!$C$57=1,AF212,0)</f>
        <v>0</v>
      </c>
      <c r="AM212" s="1009"/>
      <c r="AN212" s="1009"/>
      <c r="AO212" s="1945"/>
      <c r="AP212" s="1935"/>
      <c r="AQ212" s="1936"/>
      <c r="AR212" s="2236"/>
      <c r="AS212" s="2236"/>
      <c r="AT212" s="2236"/>
      <c r="AU212" s="2236"/>
      <c r="AV212" s="2236"/>
      <c r="AW212" s="2236"/>
      <c r="AX212" s="2236"/>
      <c r="AY212" s="2236"/>
      <c r="AZ212" s="2236"/>
      <c r="BA212" s="2236"/>
      <c r="BB212" s="2236"/>
      <c r="BC212" s="2236"/>
      <c r="BD212" s="2236"/>
      <c r="BE212" s="2236"/>
      <c r="BF212" s="2236"/>
      <c r="BG212" s="2236"/>
      <c r="BH212" s="2236"/>
      <c r="BI212" s="2236"/>
      <c r="BJ212" s="2236"/>
      <c r="BK212" s="2236"/>
      <c r="BL212" s="2236"/>
      <c r="BM212" s="2236"/>
      <c r="BN212" s="2236"/>
      <c r="BO212" s="2236"/>
      <c r="BP212" s="1009"/>
      <c r="BQ212" s="1009"/>
      <c r="BR212" s="1009"/>
      <c r="BS212" s="1009"/>
      <c r="BT212" s="1009"/>
      <c r="BU212" s="1009"/>
      <c r="BV212" s="1009"/>
      <c r="BW212" s="1009"/>
      <c r="BX212" s="1009"/>
      <c r="BY212" s="1009"/>
      <c r="BZ212" s="1009"/>
      <c r="CA212" s="1009"/>
      <c r="CB212" s="1009"/>
      <c r="CC212" s="1009"/>
      <c r="CD212" s="1009"/>
      <c r="CE212" s="1009"/>
      <c r="CF212" s="1009"/>
      <c r="CG212" s="1009"/>
      <c r="CH212" s="1009"/>
      <c r="CI212" s="1009"/>
      <c r="CJ212" s="1009"/>
      <c r="CK212" s="1009"/>
      <c r="CL212" s="1009"/>
      <c r="CM212" s="1009"/>
      <c r="CN212" s="1009"/>
      <c r="CO212" s="1009"/>
      <c r="CP212" s="1009"/>
      <c r="CQ212" s="1009"/>
      <c r="CR212" s="1009"/>
      <c r="CS212" s="1009"/>
      <c r="CT212" s="1009"/>
      <c r="CU212" s="1009"/>
      <c r="CV212" s="1009"/>
      <c r="CW212" s="1009"/>
      <c r="CX212" s="1009"/>
      <c r="CY212" s="1009"/>
      <c r="CZ212" s="1009"/>
      <c r="DA212" s="1009"/>
      <c r="DB212" s="1009"/>
      <c r="DC212" s="1009"/>
      <c r="DD212" s="1009"/>
      <c r="DE212" s="1009"/>
      <c r="DF212" s="1009"/>
      <c r="DG212" s="1009"/>
      <c r="DH212" s="1009"/>
      <c r="DI212" s="1009"/>
      <c r="DJ212" s="1009"/>
      <c r="DK212" s="1009"/>
      <c r="DL212" s="1009"/>
      <c r="DM212" s="1009"/>
      <c r="DN212" s="1009"/>
      <c r="DO212" s="1009"/>
      <c r="DP212" s="1009"/>
      <c r="DQ212" s="1009"/>
      <c r="DR212" s="1009"/>
      <c r="DS212" s="1009"/>
      <c r="DT212" s="1009"/>
      <c r="DU212" s="1009"/>
      <c r="DV212" s="1009"/>
      <c r="DW212" s="1009"/>
      <c r="DX212" s="1009"/>
      <c r="DY212" s="1009"/>
      <c r="DZ212" s="1009"/>
      <c r="EA212" s="1009"/>
      <c r="EB212" s="1009"/>
      <c r="EC212" s="1009"/>
      <c r="ED212" s="1009"/>
      <c r="EE212" s="1009"/>
      <c r="EF212" s="1009"/>
      <c r="EG212" s="1009"/>
      <c r="EH212" s="1009"/>
      <c r="EI212" s="1009"/>
      <c r="EJ212" s="1009"/>
      <c r="EK212" s="1009"/>
      <c r="EL212" s="1009"/>
      <c r="EM212" s="1009"/>
      <c r="EN212" s="1009"/>
      <c r="EO212" s="1009"/>
      <c r="EP212" s="1009"/>
      <c r="EQ212" s="1009"/>
      <c r="ER212" s="1009"/>
      <c r="ES212" s="1009"/>
      <c r="ET212" s="1009"/>
      <c r="EU212" s="1009"/>
      <c r="EV212" s="1009"/>
      <c r="EW212" s="1009"/>
      <c r="EX212" s="1009"/>
      <c r="EY212" s="1009"/>
      <c r="EZ212" s="1009"/>
      <c r="FA212" s="1009"/>
      <c r="FB212" s="1009"/>
      <c r="FC212" s="1009"/>
      <c r="FD212" s="1009"/>
      <c r="FE212" s="1009"/>
      <c r="FF212" s="1009"/>
      <c r="FG212" s="1009"/>
      <c r="FH212" s="1009"/>
      <c r="FI212" s="1009"/>
      <c r="FJ212" s="1009"/>
      <c r="FK212" s="1009"/>
      <c r="FL212" s="1009"/>
      <c r="FM212" s="1009"/>
      <c r="FN212" s="1009"/>
      <c r="FO212" s="1009"/>
      <c r="FP212" s="1009"/>
      <c r="FQ212" s="1009"/>
      <c r="FR212" s="1009"/>
      <c r="FS212" s="1009"/>
      <c r="FT212" s="1009"/>
      <c r="FU212" s="1009"/>
      <c r="FV212" s="1009"/>
      <c r="FW212" s="1009"/>
      <c r="FX212" s="1009"/>
      <c r="FY212" s="1009"/>
      <c r="FZ212" s="1009"/>
      <c r="GA212" s="1009"/>
      <c r="GB212" s="1009"/>
      <c r="GC212" s="1009"/>
      <c r="GD212" s="1009"/>
      <c r="GE212" s="1009"/>
      <c r="GF212" s="1009"/>
      <c r="GG212" s="1009"/>
      <c r="GH212" s="1009"/>
      <c r="GI212" s="1009"/>
      <c r="GJ212" s="1009"/>
      <c r="GK212" s="1009"/>
      <c r="GL212" s="1009"/>
      <c r="GM212" s="1009"/>
      <c r="GN212" s="1009"/>
      <c r="GO212" s="1009"/>
      <c r="GP212" s="1009"/>
      <c r="GQ212" s="1009"/>
      <c r="GR212" s="1009"/>
      <c r="GS212" s="1009"/>
      <c r="GT212" s="1009"/>
      <c r="GU212" s="1009"/>
      <c r="GV212" s="1009"/>
      <c r="GW212" s="1009"/>
      <c r="GX212" s="1009"/>
      <c r="GY212" s="1009"/>
      <c r="GZ212" s="1009"/>
      <c r="HA212" s="1009"/>
      <c r="HB212" s="1009"/>
      <c r="HC212" s="1009"/>
      <c r="HD212" s="1009"/>
      <c r="HE212" s="1009"/>
      <c r="HF212" s="1009"/>
      <c r="HG212" s="1009"/>
      <c r="HH212" s="1009"/>
      <c r="HI212" s="1009"/>
      <c r="HJ212" s="1009"/>
      <c r="HK212" s="1009"/>
      <c r="HL212" s="1009"/>
      <c r="HM212" s="1009"/>
      <c r="HN212" s="1009"/>
      <c r="HO212" s="1009"/>
      <c r="HP212" s="1009"/>
      <c r="HQ212" s="1009"/>
      <c r="HR212" s="1009"/>
      <c r="HS212" s="1009"/>
      <c r="HT212" s="1009"/>
      <c r="HU212" s="1009"/>
      <c r="HV212" s="1009"/>
      <c r="HW212" s="1009"/>
      <c r="HX212" s="1009"/>
      <c r="HY212" s="1009"/>
      <c r="HZ212" s="1009"/>
      <c r="IA212" s="1009"/>
      <c r="IB212" s="1009"/>
      <c r="IC212" s="1009"/>
      <c r="ID212" s="1009"/>
      <c r="IE212" s="1009"/>
      <c r="IF212" s="1009"/>
      <c r="IG212" s="1009"/>
      <c r="IH212" s="1009"/>
      <c r="II212" s="1009"/>
      <c r="IJ212" s="1009"/>
      <c r="IK212" s="1009"/>
      <c r="IL212" s="1009"/>
      <c r="IM212" s="1009"/>
      <c r="IN212" s="1009"/>
      <c r="IO212" s="1009"/>
      <c r="IP212" s="1009"/>
      <c r="IQ212" s="1009"/>
      <c r="IR212" s="1009"/>
      <c r="IS212" s="1009"/>
      <c r="IT212" s="1009"/>
      <c r="IU212" s="1009"/>
      <c r="IV212" s="1009"/>
      <c r="IW212" s="1009"/>
      <c r="IX212" s="1009"/>
      <c r="IY212" s="1009"/>
      <c r="IZ212" s="1009"/>
      <c r="JA212" s="1009"/>
      <c r="JB212" s="1009"/>
      <c r="JC212" s="1009"/>
      <c r="JD212" s="1009"/>
      <c r="JE212" s="1009"/>
      <c r="JF212" s="1009"/>
      <c r="JG212" s="1009"/>
      <c r="JH212" s="1009"/>
      <c r="JI212" s="1009"/>
      <c r="JJ212" s="1009"/>
      <c r="JK212" s="1009"/>
      <c r="JL212" s="1009"/>
      <c r="JM212" s="1009"/>
      <c r="JN212" s="1009"/>
      <c r="JO212" s="1009"/>
      <c r="JP212" s="1009"/>
      <c r="JQ212" s="1009"/>
      <c r="JR212" s="1009"/>
      <c r="JS212" s="1009"/>
      <c r="JT212" s="1009"/>
      <c r="JU212" s="1009"/>
      <c r="JV212" s="1009"/>
      <c r="JW212" s="1009"/>
      <c r="JX212" s="1009"/>
      <c r="JY212" s="1009"/>
      <c r="JZ212" s="1009"/>
      <c r="KA212" s="1009"/>
      <c r="KB212" s="1009"/>
      <c r="KC212" s="1009"/>
      <c r="KD212" s="1009"/>
      <c r="KE212" s="1009"/>
      <c r="KF212" s="1009"/>
      <c r="KG212" s="1009"/>
      <c r="KH212" s="1009"/>
      <c r="KI212" s="1009"/>
      <c r="KJ212" s="1009"/>
      <c r="KK212" s="1009"/>
      <c r="KL212" s="1009"/>
      <c r="KM212" s="1009"/>
      <c r="KN212" s="1009"/>
      <c r="KO212" s="1009"/>
      <c r="KP212" s="1009"/>
      <c r="KQ212" s="1009"/>
      <c r="KR212" s="1009"/>
      <c r="KS212" s="1009"/>
      <c r="KT212" s="1009"/>
      <c r="KU212" s="1009"/>
      <c r="KV212" s="1009"/>
      <c r="KW212" s="1009"/>
      <c r="KX212" s="1009"/>
      <c r="KY212" s="1009"/>
      <c r="KZ212" s="1009"/>
      <c r="LA212" s="1009"/>
      <c r="LB212" s="1009"/>
      <c r="LC212" s="1009"/>
      <c r="LD212" s="1009"/>
      <c r="LE212" s="1009"/>
      <c r="LF212" s="1009"/>
      <c r="LG212" s="1009"/>
      <c r="LH212" s="1009"/>
      <c r="LI212" s="1009"/>
      <c r="LJ212" s="1009"/>
      <c r="LK212" s="1009"/>
      <c r="LL212" s="1009"/>
      <c r="LM212" s="1009"/>
      <c r="LN212" s="1009"/>
      <c r="LO212" s="1009"/>
      <c r="LP212" s="1009"/>
      <c r="LQ212" s="1009"/>
      <c r="LR212" s="1009"/>
      <c r="LS212" s="1009"/>
      <c r="LT212" s="1009"/>
      <c r="LU212" s="1009"/>
      <c r="LV212" s="1009"/>
      <c r="LW212" s="1009"/>
      <c r="LX212" s="1009"/>
      <c r="LY212" s="1009"/>
      <c r="LZ212" s="1009"/>
      <c r="MA212" s="1009"/>
      <c r="MB212" s="1009"/>
      <c r="MC212" s="1009"/>
      <c r="MD212" s="1009"/>
      <c r="ME212" s="1009"/>
      <c r="MF212" s="1009"/>
      <c r="MG212" s="1009"/>
      <c r="MH212" s="1009"/>
      <c r="MI212" s="1009"/>
      <c r="MJ212" s="1009"/>
      <c r="MK212" s="1009"/>
      <c r="ML212" s="1009"/>
      <c r="MM212" s="1009"/>
      <c r="MN212" s="1009"/>
      <c r="MO212" s="1009"/>
      <c r="MP212" s="1009"/>
      <c r="MQ212" s="1009"/>
      <c r="MR212" s="1009"/>
      <c r="MS212" s="1009"/>
      <c r="MT212" s="1009"/>
      <c r="MU212" s="1009"/>
      <c r="MV212" s="1009"/>
      <c r="MW212" s="1009"/>
      <c r="MX212" s="1009"/>
      <c r="MY212" s="1009"/>
      <c r="MZ212" s="1009"/>
      <c r="NA212" s="1009"/>
      <c r="NB212" s="1009"/>
      <c r="NC212" s="1009"/>
      <c r="ND212" s="1009"/>
      <c r="NE212" s="1009"/>
      <c r="NF212" s="1009"/>
      <c r="NG212" s="1009"/>
      <c r="NH212" s="1009"/>
      <c r="NI212" s="1009"/>
      <c r="NJ212" s="1009"/>
      <c r="NK212" s="1009"/>
      <c r="NL212" s="1009"/>
      <c r="NM212" s="1009"/>
      <c r="NN212" s="1009"/>
      <c r="NO212" s="1009"/>
      <c r="NP212" s="1009"/>
      <c r="NQ212" s="1009"/>
      <c r="NR212" s="1009"/>
      <c r="NS212" s="1009"/>
      <c r="NT212" s="1009"/>
      <c r="NU212" s="1009"/>
      <c r="NV212" s="1009"/>
      <c r="NW212" s="1009"/>
      <c r="NX212" s="1009"/>
      <c r="NY212" s="1009"/>
      <c r="NZ212" s="1009"/>
      <c r="OA212" s="1009"/>
      <c r="OB212" s="1009"/>
      <c r="OC212" s="1009"/>
      <c r="OD212" s="1009"/>
      <c r="OE212" s="1009"/>
      <c r="OF212" s="1009"/>
      <c r="OG212" s="1009"/>
      <c r="OH212" s="1009"/>
      <c r="OI212" s="1009"/>
      <c r="OJ212" s="1009"/>
      <c r="OK212" s="1009"/>
      <c r="OL212" s="1009"/>
      <c r="OM212" s="1009"/>
      <c r="ON212" s="1009"/>
      <c r="OO212" s="1009"/>
      <c r="OP212" s="1009"/>
      <c r="OQ212" s="1009"/>
      <c r="OR212" s="1009"/>
      <c r="OS212" s="1009"/>
      <c r="OT212" s="1009"/>
      <c r="OU212" s="1009"/>
      <c r="OV212" s="1009"/>
      <c r="OW212" s="1009"/>
      <c r="OX212" s="1009"/>
      <c r="OY212" s="1009"/>
      <c r="OZ212" s="1009"/>
      <c r="PA212" s="1009"/>
      <c r="PB212" s="1009"/>
      <c r="PC212" s="1009"/>
      <c r="PD212" s="1009"/>
      <c r="PE212" s="1009"/>
      <c r="PF212" s="1009"/>
      <c r="PG212" s="1009"/>
      <c r="PH212" s="1009"/>
      <c r="PI212" s="1009"/>
      <c r="PJ212" s="1009"/>
      <c r="PK212" s="1009"/>
      <c r="PL212" s="1009"/>
      <c r="PM212" s="1009"/>
      <c r="PN212" s="1009"/>
      <c r="PO212" s="1009"/>
      <c r="PP212" s="1009"/>
      <c r="PQ212" s="1009"/>
      <c r="PR212" s="1009"/>
      <c r="PS212" s="1009"/>
      <c r="PT212" s="1009"/>
      <c r="PU212" s="1009"/>
      <c r="PV212" s="1009"/>
      <c r="PW212" s="1009"/>
      <c r="PX212" s="1009"/>
      <c r="PY212" s="1009"/>
      <c r="PZ212" s="1009"/>
      <c r="QA212" s="1009"/>
      <c r="QB212" s="1009"/>
      <c r="QC212" s="1009"/>
      <c r="QD212" s="1009"/>
      <c r="QE212" s="1009"/>
      <c r="QF212" s="1009"/>
      <c r="QG212" s="1009"/>
      <c r="QH212" s="1009"/>
      <c r="QI212" s="1009"/>
      <c r="QJ212" s="1009"/>
      <c r="QK212" s="1009"/>
      <c r="QL212" s="1009"/>
      <c r="QM212" s="1009"/>
      <c r="QN212" s="1009"/>
      <c r="QO212" s="1009"/>
      <c r="QP212" s="1009"/>
      <c r="QQ212" s="1009"/>
      <c r="QR212" s="1009"/>
      <c r="QS212" s="1009"/>
      <c r="QT212" s="1009"/>
      <c r="QU212" s="1009"/>
      <c r="QV212" s="1009"/>
      <c r="QW212" s="1009"/>
      <c r="QX212" s="1009"/>
      <c r="QY212" s="1009"/>
      <c r="QZ212" s="1009"/>
      <c r="RA212" s="1009"/>
      <c r="RB212" s="1009"/>
      <c r="RC212" s="1009"/>
      <c r="RD212" s="1009"/>
      <c r="RE212" s="1009"/>
      <c r="RF212" s="1009"/>
      <c r="RG212" s="1009"/>
      <c r="RH212" s="1009"/>
      <c r="RI212" s="1009"/>
      <c r="RJ212" s="1009"/>
      <c r="RK212" s="1009"/>
      <c r="RL212" s="1009"/>
      <c r="RM212" s="1009"/>
      <c r="RN212" s="1009"/>
      <c r="RO212" s="1009"/>
      <c r="RP212" s="1009"/>
      <c r="RQ212" s="1009"/>
      <c r="RR212" s="1009"/>
      <c r="RS212" s="1009"/>
      <c r="RT212" s="1009"/>
      <c r="RU212" s="1009"/>
      <c r="RV212" s="1009"/>
      <c r="RW212" s="1009"/>
      <c r="RX212" s="1009"/>
      <c r="RY212" s="1009"/>
      <c r="RZ212" s="1009"/>
      <c r="SA212" s="1009"/>
      <c r="SB212" s="1009"/>
      <c r="SC212" s="1009"/>
      <c r="SD212" s="1009"/>
      <c r="SE212" s="1009"/>
      <c r="SF212" s="1009"/>
      <c r="SG212" s="1009"/>
      <c r="SH212" s="1009"/>
      <c r="SI212" s="1009"/>
      <c r="SJ212" s="1009"/>
      <c r="SK212" s="1009"/>
      <c r="SL212" s="1009"/>
      <c r="SM212" s="1009"/>
      <c r="SN212" s="1009"/>
      <c r="SO212" s="1009"/>
      <c r="SP212" s="1009"/>
      <c r="SQ212" s="1009"/>
      <c r="SR212" s="1009"/>
      <c r="SS212" s="1009"/>
      <c r="ST212" s="1009"/>
      <c r="SU212" s="1009"/>
      <c r="SV212" s="1009"/>
      <c r="SW212" s="1009"/>
      <c r="SX212" s="1009"/>
      <c r="SY212" s="1009"/>
      <c r="SZ212" s="1009"/>
      <c r="TA212" s="1009"/>
      <c r="TB212" s="1009"/>
      <c r="TC212" s="1009"/>
      <c r="TD212" s="1009"/>
      <c r="TE212" s="1009"/>
      <c r="TF212" s="1009"/>
      <c r="TG212" s="1009"/>
      <c r="TH212" s="1009"/>
      <c r="TI212" s="1009"/>
      <c r="TJ212" s="1009"/>
      <c r="TK212" s="1009"/>
      <c r="TL212" s="1009"/>
      <c r="TM212" s="1009"/>
      <c r="TN212" s="1009"/>
      <c r="TO212" s="1009"/>
      <c r="TP212" s="1009"/>
      <c r="TQ212" s="1009"/>
      <c r="TR212" s="1009"/>
      <c r="TS212" s="1009"/>
      <c r="TT212" s="1009"/>
      <c r="TU212" s="1009"/>
      <c r="TV212" s="1009"/>
      <c r="TW212" s="1009"/>
      <c r="TX212" s="1009"/>
      <c r="TY212" s="1009"/>
      <c r="TZ212" s="1009"/>
      <c r="UA212" s="1009"/>
      <c r="UB212" s="1009"/>
      <c r="UC212" s="1009"/>
      <c r="UD212" s="1009"/>
      <c r="UE212" s="1009"/>
      <c r="UF212" s="1009"/>
      <c r="UG212" s="1009"/>
      <c r="UH212" s="1009"/>
      <c r="UI212" s="1009"/>
      <c r="UJ212" s="1009"/>
      <c r="UK212" s="1009"/>
      <c r="UL212" s="1009"/>
      <c r="UM212" s="1009"/>
      <c r="UN212" s="1009"/>
      <c r="UO212" s="1009"/>
      <c r="UP212" s="1009"/>
      <c r="UQ212" s="1009"/>
      <c r="UR212" s="1009"/>
      <c r="US212" s="1009"/>
      <c r="UT212" s="1009"/>
      <c r="UU212" s="1009"/>
      <c r="UV212" s="1009"/>
      <c r="UW212" s="1009"/>
      <c r="UX212" s="1009"/>
      <c r="UY212" s="1009"/>
      <c r="UZ212" s="1009"/>
      <c r="VA212" s="1009"/>
      <c r="VB212" s="1009"/>
      <c r="VC212" s="1009"/>
      <c r="VD212" s="1009"/>
      <c r="VE212" s="1009"/>
      <c r="VF212" s="1009"/>
      <c r="VG212" s="1009"/>
      <c r="VH212" s="1009"/>
      <c r="VI212" s="1009"/>
      <c r="VJ212" s="1009"/>
      <c r="VK212" s="1009"/>
      <c r="VL212" s="1009"/>
      <c r="VM212" s="1009"/>
      <c r="VN212" s="1009"/>
      <c r="VO212" s="1009"/>
      <c r="VP212" s="1009"/>
      <c r="VQ212" s="1009"/>
      <c r="VR212" s="1009"/>
      <c r="VS212" s="1009"/>
      <c r="VT212" s="1009"/>
      <c r="VU212" s="1009"/>
      <c r="VV212" s="1009"/>
      <c r="VW212" s="1009"/>
      <c r="VX212" s="1009"/>
      <c r="VY212" s="1009"/>
      <c r="VZ212" s="1009"/>
      <c r="WA212" s="1009"/>
      <c r="WB212" s="1009"/>
      <c r="WC212" s="1009"/>
      <c r="WD212" s="1009"/>
      <c r="WE212" s="1009"/>
      <c r="WF212" s="1009"/>
      <c r="WG212" s="1009"/>
      <c r="WH212" s="1009"/>
      <c r="WI212" s="1009"/>
      <c r="WJ212" s="1009"/>
      <c r="WK212" s="1009"/>
      <c r="WL212" s="1009"/>
      <c r="WM212" s="1009"/>
      <c r="WN212" s="1009"/>
      <c r="WO212" s="1009"/>
      <c r="WP212" s="1009"/>
      <c r="WQ212" s="1009"/>
      <c r="WR212" s="1009"/>
      <c r="WS212" s="1009"/>
      <c r="WT212" s="1009"/>
      <c r="WU212" s="1009"/>
      <c r="WV212" s="1009"/>
      <c r="WW212" s="1009"/>
      <c r="WX212" s="1009"/>
      <c r="WY212" s="1009"/>
      <c r="WZ212" s="1009"/>
      <c r="XA212" s="1009"/>
      <c r="XB212" s="1009"/>
      <c r="XC212" s="1009"/>
      <c r="XD212" s="1009"/>
      <c r="XE212" s="1009"/>
      <c r="XF212" s="1009"/>
      <c r="XG212" s="1009"/>
      <c r="XH212" s="1009"/>
      <c r="XI212" s="1009"/>
      <c r="XJ212" s="1009"/>
      <c r="XK212" s="1009"/>
      <c r="XL212" s="1009"/>
      <c r="XM212" s="1009"/>
      <c r="XN212" s="1009"/>
      <c r="XO212" s="1009"/>
      <c r="XP212" s="1009"/>
      <c r="XQ212" s="1009"/>
      <c r="XR212" s="1009"/>
      <c r="XS212" s="1009"/>
      <c r="XT212" s="1009"/>
      <c r="XU212" s="1009"/>
      <c r="XV212" s="1009"/>
      <c r="XW212" s="1009"/>
      <c r="XX212" s="1009"/>
      <c r="XY212" s="1009"/>
      <c r="XZ212" s="1009"/>
      <c r="YA212" s="1009"/>
      <c r="YB212" s="1009"/>
      <c r="YC212" s="1009"/>
      <c r="YD212" s="1009"/>
      <c r="YE212" s="1009"/>
      <c r="YF212" s="1009"/>
      <c r="YG212" s="1009"/>
      <c r="YH212" s="1009"/>
      <c r="YI212" s="1009"/>
      <c r="YJ212" s="1009"/>
      <c r="YK212" s="1009"/>
      <c r="YL212" s="1009"/>
      <c r="YM212" s="1009"/>
      <c r="YN212" s="1009"/>
      <c r="YO212" s="1009"/>
      <c r="YP212" s="1009"/>
      <c r="YQ212" s="1009"/>
      <c r="YR212" s="1009"/>
      <c r="YS212" s="1009"/>
      <c r="YT212" s="1009"/>
      <c r="YU212" s="1009"/>
      <c r="YV212" s="1009"/>
      <c r="YW212" s="1009"/>
      <c r="YX212" s="1009"/>
      <c r="YY212" s="1009"/>
      <c r="YZ212" s="1009"/>
      <c r="ZA212" s="1009"/>
      <c r="ZB212" s="1009"/>
      <c r="ZC212" s="1009"/>
      <c r="ZD212" s="1009"/>
      <c r="ZE212" s="1009"/>
      <c r="ZF212" s="1009"/>
      <c r="ZG212" s="1009"/>
      <c r="ZH212" s="1009"/>
      <c r="ZI212" s="1009"/>
      <c r="ZJ212" s="1009"/>
      <c r="ZK212" s="1009"/>
      <c r="ZL212" s="1009"/>
      <c r="ZM212" s="1009"/>
      <c r="ZN212" s="1009"/>
      <c r="ZO212" s="1009"/>
      <c r="ZP212" s="1009"/>
      <c r="ZQ212" s="1009"/>
      <c r="ZR212" s="1009"/>
      <c r="ZS212" s="1009"/>
      <c r="ZT212" s="1009"/>
      <c r="ZU212" s="1009"/>
      <c r="ZV212" s="1009"/>
      <c r="ZW212" s="1009"/>
      <c r="ZX212" s="1009"/>
      <c r="ZY212" s="1009"/>
      <c r="ZZ212" s="1009"/>
      <c r="AAA212" s="1009"/>
      <c r="AAB212" s="1009"/>
      <c r="AAC212" s="1009"/>
      <c r="AAD212" s="1009"/>
      <c r="AAE212" s="1009"/>
      <c r="AAF212" s="1009"/>
      <c r="AAG212" s="1009"/>
      <c r="AAH212" s="1009"/>
      <c r="AAI212" s="1009"/>
      <c r="AAJ212" s="1009"/>
      <c r="AAK212" s="1009"/>
      <c r="AAL212" s="1009"/>
      <c r="AAM212" s="1009"/>
      <c r="AAN212" s="1009"/>
      <c r="AAO212" s="1009"/>
      <c r="AAP212" s="1009"/>
      <c r="AAQ212" s="1009"/>
      <c r="AAR212" s="1009"/>
      <c r="AAS212" s="1009"/>
      <c r="AAT212" s="1009"/>
      <c r="AAU212" s="1009"/>
      <c r="AAV212" s="1009"/>
      <c r="AAW212" s="1009"/>
      <c r="AAX212" s="1009"/>
      <c r="AAY212" s="1009"/>
      <c r="AAZ212" s="1009"/>
      <c r="ABA212" s="1009"/>
      <c r="ABB212" s="1009"/>
      <c r="ABC212" s="1009"/>
      <c r="ABD212" s="1009"/>
      <c r="ABE212" s="1009"/>
      <c r="ABF212" s="1009"/>
      <c r="ABG212" s="1009"/>
      <c r="ABH212" s="1009"/>
      <c r="ABI212" s="1009"/>
      <c r="ABJ212" s="1009"/>
      <c r="ABK212" s="1009"/>
      <c r="ABL212" s="1009"/>
      <c r="ABM212" s="1009"/>
      <c r="ABN212" s="1009"/>
      <c r="ABO212" s="1009"/>
      <c r="ABP212" s="1009"/>
      <c r="ABQ212" s="1009"/>
      <c r="ABR212" s="1009"/>
    </row>
    <row r="213" spans="1:746" s="111" customFormat="1" ht="12.75" customHeight="1">
      <c r="A213" s="924"/>
      <c r="B213" s="899" t="s">
        <v>763</v>
      </c>
      <c r="C213" s="936"/>
      <c r="D213" s="897"/>
      <c r="E213" s="2937"/>
      <c r="F213" s="2938"/>
      <c r="G213" s="2939"/>
      <c r="H213" s="2548" t="s">
        <v>1334</v>
      </c>
      <c r="I213" s="2591">
        <f ca="1">fx!I296+I248+IF(I268&lt;0,-I268,0)+IF(I275&lt;0,-I275,0)+SUMIF(fx!$I57:'fx'!I57,1,$I257:I257)-SUMIF(fx!$I57:'fx'!I57,1,$I258:I258)+SUMIF(fx!$I57:'fx'!I57,1,$I252:I252)-SUMIF(fx!$I57:'fx'!I57,1,$I253:I253)</f>
        <v>0</v>
      </c>
      <c r="J213" s="2386">
        <f ca="1">fx!J296+J248+IF(J268&lt;0,-J268,0)+IF(J275&lt;0,-J275,0)+SUMIF(fx!$I57:'fx'!J57,1,$I257:J257)-SUMIF(fx!$I57:'fx'!J57,1,$I258:J258)+SUMIF(fx!$I57:'fx'!J57,1,$I252:J252)-SUMIF(fx!$I57:'fx'!J57,1,$I253:J253)</f>
        <v>0</v>
      </c>
      <c r="K213" s="2386">
        <f ca="1">fx!K296+K248+IF(K268&lt;0,-K268,0)+IF(K275&lt;0,-K275,0)+SUMIF(fx!$I57:'fx'!K57,1,$I257:K257)-SUMIF(fx!$I57:'fx'!K57,1,$I258:K258)+SUMIF(fx!$I57:'fx'!K57,1,$I252:K252)-SUMIF(fx!$I57:'fx'!K57,1,$I253:K253)</f>
        <v>0</v>
      </c>
      <c r="L213" s="2386">
        <f ca="1">fx!L296+L248+IF(L268&lt;0,-L268,0)+IF(L275&lt;0,-L275,0)+SUMIF(fx!$I57:'fx'!L57,1,$I257:L257)-SUMIF(fx!$I57:'fx'!L57,1,$I258:L258)+SUMIF(fx!$I57:'fx'!L57,1,$I252:L252)-SUMIF(fx!$I57:'fx'!L57,1,$I253:L253)</f>
        <v>0</v>
      </c>
      <c r="M213" s="2386">
        <f ca="1">fx!M296+M248+IF(M268&lt;0,-M268,0)+IF(M275&lt;0,-M275,0)+SUMIF(fx!$I57:'fx'!M57,1,$I257:M257)-SUMIF(fx!$I57:'fx'!M57,1,$I258:M258)+SUMIF(fx!$I57:'fx'!M57,1,$I252:M252)-SUMIF(fx!$I57:'fx'!M57,1,$I253:M253)</f>
        <v>0</v>
      </c>
      <c r="N213" s="2386">
        <f ca="1">fx!N296+N248+IF(N268&lt;0,-N268,0)+IF(N275&lt;0,-N275,0)+SUMIF(fx!$I57:'fx'!N57,1,$I257:N257)-SUMIF(fx!$I57:'fx'!N57,1,$I258:N258)+SUMIF(fx!$I57:'fx'!N57,1,$I252:N252)-SUMIF(fx!$I57:'fx'!N57,1,$I253:N253)</f>
        <v>0</v>
      </c>
      <c r="O213" s="2386">
        <f ca="1">fx!O296+O248+IF(O268&lt;0,-O268,0)+IF(O275&lt;0,-O275,0)+SUMIF(fx!$I57:'fx'!O57,1,$I257:O257)-SUMIF(fx!$I57:'fx'!O57,1,$I258:O258)+SUMIF(fx!$I57:'fx'!O57,1,$I252:O252)-SUMIF(fx!$I57:'fx'!O57,1,$I253:O253)</f>
        <v>0</v>
      </c>
      <c r="P213" s="2386">
        <f ca="1">fx!P296+P248+IF(P268&lt;0,-P268,0)+IF(P275&lt;0,-P275,0)+SUMIF(fx!$I57:'fx'!P57,1,$I257:P257)-SUMIF(fx!$I57:'fx'!P57,1,$I258:P258)+SUMIF(fx!$I57:'fx'!P57,1,$I252:P252)-SUMIF(fx!$I57:'fx'!P57,1,$I253:P253)</f>
        <v>0</v>
      </c>
      <c r="Q213" s="2386">
        <f ca="1">fx!Q296+Q248+IF(Q268&lt;0,-Q268,0)+IF(Q275&lt;0,-Q275,0)+SUMIF(fx!$I57:'fx'!Q57,1,$I257:Q257)-SUMIF(fx!$I57:'fx'!Q57,1,$I258:Q258)+SUMIF(fx!$I57:'fx'!Q57,1,$I252:Q252)-SUMIF(fx!$I57:'fx'!Q57,1,$I253:Q253)</f>
        <v>0</v>
      </c>
      <c r="R213" s="2386">
        <f ca="1">fx!R296+R248+IF(R268&lt;0,-R268,0)+IF(R275&lt;0,-R275,0)+SUMIF(fx!$I57:'fx'!R57,1,$I257:R257)-SUMIF(fx!$I57:'fx'!R57,1,$I258:R258)+SUMIF(fx!$I57:'fx'!R57,1,$I252:R252)-SUMIF(fx!$I57:'fx'!R57,1,$I253:R253)</f>
        <v>0</v>
      </c>
      <c r="S213" s="2386">
        <f ca="1">fx!S296+S248+IF(S268&lt;0,-S268,0)+IF(S275&lt;0,-S275,0)+SUMIF(fx!$I57:'fx'!S57,1,$I257:S257)-SUMIF(fx!$I57:'fx'!S57,1,$I258:S258)+SUMIF(fx!$I57:'fx'!S57,1,$I252:S252)-SUMIF(fx!$I57:'fx'!S57,1,$I253:S253)</f>
        <v>0</v>
      </c>
      <c r="T213" s="2386">
        <f ca="1">fx!T296+T248+IF(T268&lt;0,-T268,0)+IF(T275&lt;0,-T275,0)+SUMIF(fx!$I57:'fx'!T57,1,$I257:T257)-SUMIF(fx!$I57:'fx'!T57,1,$I258:T258)+SUMIF(fx!$I57:'fx'!T57,1,$I252:T252)-SUMIF(fx!$I57:'fx'!T57,1,$I253:T253)</f>
        <v>0</v>
      </c>
      <c r="U213" s="2386">
        <f ca="1">fx!U296+U248+IF(U268&lt;0,-U268,0)+IF(U275&lt;0,-U275,0)+SUMIF(fx!$I57:'fx'!U57,1,$I257:U257)-SUMIF(fx!$I57:'fx'!U57,1,$I258:U258)+SUMIF(fx!$I57:'fx'!U57,1,$I252:U252)-SUMIF(fx!$I57:'fx'!U57,1,$I253:U253)</f>
        <v>0</v>
      </c>
      <c r="V213" s="2386">
        <f ca="1">fx!V296+V248+IF(V268&lt;0,-V268,0)+IF(V275&lt;0,-V275,0)+SUMIF(fx!$I57:'fx'!V57,1,$I257:V257)-SUMIF(fx!$I57:'fx'!V57,1,$I258:V258)+SUMIF(fx!$I57:'fx'!V57,1,$I252:V252)-SUMIF(fx!$I57:'fx'!V57,1,$I253:V253)</f>
        <v>0</v>
      </c>
      <c r="W213" s="2386">
        <f ca="1">fx!W296+W248+IF(W268&lt;0,-W268,0)+IF(W275&lt;0,-W275,0)+SUMIF(fx!$I57:'fx'!W57,1,$I257:W257)-SUMIF(fx!$I57:'fx'!W57,1,$I258:W258)+SUMIF(fx!$I57:'fx'!W57,1,$I252:W252)-SUMIF(fx!$I57:'fx'!W57,1,$I253:W253)</f>
        <v>0</v>
      </c>
      <c r="X213" s="2386">
        <f ca="1">fx!X296+X248+IF(X268&lt;0,-X268,0)+IF(X275&lt;0,-X275,0)+SUMIF(fx!$I57:'fx'!X57,1,$I257:X257)-SUMIF(fx!$I57:'fx'!X57,1,$I258:X258)+SUMIF(fx!$I57:'fx'!X57,1,$I252:X252)-SUMIF(fx!$I57:'fx'!X57,1,$I253:X253)</f>
        <v>0</v>
      </c>
      <c r="Y213" s="2386">
        <f ca="1">fx!Y296+Y248+IF(Y268&lt;0,-Y268,0)+IF(Y275&lt;0,-Y275,0)+SUMIF(fx!$I57:'fx'!Y57,1,$I257:Y257)-SUMIF(fx!$I57:'fx'!Y57,1,$I258:Y258)+SUMIF(fx!$I57:'fx'!Y57,1,$I252:Y252)-SUMIF(fx!$I57:'fx'!Y57,1,$I253:Y253)</f>
        <v>0</v>
      </c>
      <c r="Z213" s="2386">
        <f ca="1">fx!Z296+Z248+IF(Z268&lt;0,-Z268,0)+IF(Z275&lt;0,-Z275,0)+SUMIF(fx!$I57:'fx'!Z57,1,$I257:Z257)-SUMIF(fx!$I57:'fx'!Z57,1,$I258:Z258)+SUMIF(fx!$I57:'fx'!Z57,1,$I252:Z252)-SUMIF(fx!$I57:'fx'!Z57,1,$I253:Z253)</f>
        <v>0</v>
      </c>
      <c r="AA213" s="2386">
        <f ca="1">fx!AA296+AA248+IF(AA268&lt;0,-AA268,0)+IF(AA275&lt;0,-AA275,0)+SUMIF(fx!$I57:'fx'!AA57,1,$I257:AA257)-SUMIF(fx!$I57:'fx'!AA57,1,$I258:AA258)+SUMIF(fx!$I57:'fx'!AA57,1,$I252:AA252)-SUMIF(fx!$I57:'fx'!AA57,1,$I253:AA253)</f>
        <v>0</v>
      </c>
      <c r="AB213" s="2386">
        <f ca="1">fx!AB296+AB248+IF(AB268&lt;0,-AB268,0)+IF(AB275&lt;0,-AB275,0)+SUMIF(fx!$I57:'fx'!AB57,1,$I257:AB257)-SUMIF(fx!$I57:'fx'!AB57,1,$I258:AB258)+SUMIF(fx!$I57:'fx'!AB57,1,$I252:AB252)-SUMIF(fx!$I57:'fx'!AB57,1,$I253:AB253)</f>
        <v>0</v>
      </c>
      <c r="AC213" s="2386">
        <f ca="1">fx!AC296+AC248+IF(AC268&lt;0,-AC268,0)+IF(AC275&lt;0,-AC275,0)+SUMIF(fx!$I57:'fx'!AC57,1,$I257:AC257)-SUMIF(fx!$I57:'fx'!AC57,1,$I258:AC258)+SUMIF(fx!$I57:'fx'!AC57,1,$I252:AC252)-SUMIF(fx!$I57:'fx'!AC57,1,$I253:AC253)</f>
        <v>0</v>
      </c>
      <c r="AD213" s="2386">
        <f ca="1">fx!AD296+AD248+IF(AD268&lt;0,-AD268,0)+IF(AD275&lt;0,-AD275,0)+SUMIF(fx!$I57:'fx'!AD57,1,$I257:AD257)-SUMIF(fx!$I57:'fx'!AD57,1,$I258:AD258)+SUMIF(fx!$I57:'fx'!AD57,1,$I252:AD252)-SUMIF(fx!$I57:'fx'!AD57,1,$I253:AD253)</f>
        <v>0</v>
      </c>
      <c r="AE213" s="2386">
        <f ca="1">fx!AE296+AE248+IF(AE268&lt;0,-AE268,0)+IF(AE275&lt;0,-AE275,0)+SUMIF(fx!$I57:'fx'!AE57,1,$I257:AE257)-SUMIF(fx!$I57:'fx'!AE57,1,$I258:AE258)+SUMIF(fx!$I57:'fx'!AE57,1,$I252:AE252)-SUMIF(fx!$I57:'fx'!AE57,1,$I253:AE253)</f>
        <v>0</v>
      </c>
      <c r="AF213" s="2386">
        <f ca="1">fx!AF296+AF248+IF(AF268&lt;0,-AF268,0)+IF(AF275&lt;0,-AF275,0)+SUMIF(fx!$I57:'fx'!AF57,1,$I257:AF257)-SUMIF(fx!$I57:'fx'!AF57,1,$I258:AF258)+SUMIF(fx!$I57:'fx'!AF57,1,$I252:AF252)-SUMIF(fx!$I57:'fx'!AF57,1,$I253:AF253)</f>
        <v>0</v>
      </c>
      <c r="AG213" s="376"/>
      <c r="AH213" s="769"/>
      <c r="AI213" s="769"/>
      <c r="AJ213" s="770">
        <f ca="1">IF(fx!$C$57=1,T213,IF(fx!$C$57=2,AF213))</f>
        <v>0</v>
      </c>
      <c r="AK213" s="774"/>
      <c r="AL213" s="771">
        <f ca="1">IF(fx!$C$57=1,AF213,0)</f>
        <v>0</v>
      </c>
      <c r="AM213" s="1009"/>
      <c r="AN213" s="1009"/>
      <c r="AO213" s="1945"/>
      <c r="AP213" s="1935"/>
      <c r="AQ213" s="1936"/>
      <c r="AR213" s="2236"/>
      <c r="AS213" s="2236"/>
      <c r="AT213" s="2236"/>
      <c r="AU213" s="2236"/>
      <c r="AV213" s="2236"/>
      <c r="AW213" s="2236"/>
      <c r="AX213" s="2236"/>
      <c r="AY213" s="2236"/>
      <c r="AZ213" s="2236"/>
      <c r="BA213" s="2236"/>
      <c r="BB213" s="2236"/>
      <c r="BC213" s="2236"/>
      <c r="BD213" s="2236"/>
      <c r="BE213" s="2236"/>
      <c r="BF213" s="2236"/>
      <c r="BG213" s="2236"/>
      <c r="BH213" s="2236"/>
      <c r="BI213" s="2236"/>
      <c r="BJ213" s="2236"/>
      <c r="BK213" s="2236"/>
      <c r="BL213" s="2236"/>
      <c r="BM213" s="2236"/>
      <c r="BN213" s="2236"/>
      <c r="BO213" s="2236"/>
      <c r="BP213" s="1009"/>
      <c r="BQ213" s="1009"/>
      <c r="BR213" s="1009"/>
      <c r="BS213" s="1009"/>
      <c r="BT213" s="1009"/>
      <c r="BU213" s="1009"/>
      <c r="BV213" s="1009"/>
      <c r="BW213" s="1009"/>
      <c r="BX213" s="1009"/>
      <c r="BY213" s="1009"/>
      <c r="BZ213" s="1009"/>
      <c r="CA213" s="1009"/>
      <c r="CB213" s="1009"/>
      <c r="CC213" s="1009"/>
      <c r="CD213" s="1009"/>
      <c r="CE213" s="1009"/>
      <c r="CF213" s="1009"/>
      <c r="CG213" s="1009"/>
      <c r="CH213" s="1009"/>
      <c r="CI213" s="1009"/>
      <c r="CJ213" s="1009"/>
      <c r="CK213" s="1009"/>
      <c r="CL213" s="1009"/>
      <c r="CM213" s="1009"/>
      <c r="CN213" s="1009"/>
      <c r="CO213" s="1009"/>
      <c r="CP213" s="1009"/>
      <c r="CQ213" s="1009"/>
      <c r="CR213" s="1009"/>
      <c r="CS213" s="1009"/>
      <c r="CT213" s="1009"/>
      <c r="CU213" s="1009"/>
      <c r="CV213" s="1009"/>
      <c r="CW213" s="1009"/>
      <c r="CX213" s="1009"/>
      <c r="CY213" s="1009"/>
      <c r="CZ213" s="1009"/>
      <c r="DA213" s="1009"/>
      <c r="DB213" s="1009"/>
      <c r="DC213" s="1009"/>
      <c r="DD213" s="1009"/>
      <c r="DE213" s="1009"/>
      <c r="DF213" s="1009"/>
      <c r="DG213" s="1009"/>
      <c r="DH213" s="1009"/>
      <c r="DI213" s="1009"/>
      <c r="DJ213" s="1009"/>
      <c r="DK213" s="1009"/>
      <c r="DL213" s="1009"/>
      <c r="DM213" s="1009"/>
      <c r="DN213" s="1009"/>
      <c r="DO213" s="1009"/>
      <c r="DP213" s="1009"/>
      <c r="DQ213" s="1009"/>
      <c r="DR213" s="1009"/>
      <c r="DS213" s="1009"/>
      <c r="DT213" s="1009"/>
      <c r="DU213" s="1009"/>
      <c r="DV213" s="1009"/>
      <c r="DW213" s="1009"/>
      <c r="DX213" s="1009"/>
      <c r="DY213" s="1009"/>
      <c r="DZ213" s="1009"/>
      <c r="EA213" s="1009"/>
      <c r="EB213" s="1009"/>
      <c r="EC213" s="1009"/>
      <c r="ED213" s="1009"/>
      <c r="EE213" s="1009"/>
      <c r="EF213" s="1009"/>
      <c r="EG213" s="1009"/>
      <c r="EH213" s="1009"/>
      <c r="EI213" s="1009"/>
      <c r="EJ213" s="1009"/>
      <c r="EK213" s="1009"/>
      <c r="EL213" s="1009"/>
      <c r="EM213" s="1009"/>
      <c r="EN213" s="1009"/>
      <c r="EO213" s="1009"/>
      <c r="EP213" s="1009"/>
      <c r="EQ213" s="1009"/>
      <c r="ER213" s="1009"/>
      <c r="ES213" s="1009"/>
      <c r="ET213" s="1009"/>
      <c r="EU213" s="1009"/>
      <c r="EV213" s="1009"/>
      <c r="EW213" s="1009"/>
      <c r="EX213" s="1009"/>
      <c r="EY213" s="1009"/>
      <c r="EZ213" s="1009"/>
      <c r="FA213" s="1009"/>
      <c r="FB213" s="1009"/>
      <c r="FC213" s="1009"/>
      <c r="FD213" s="1009"/>
      <c r="FE213" s="1009"/>
      <c r="FF213" s="1009"/>
      <c r="FG213" s="1009"/>
      <c r="FH213" s="1009"/>
      <c r="FI213" s="1009"/>
      <c r="FJ213" s="1009"/>
      <c r="FK213" s="1009"/>
      <c r="FL213" s="1009"/>
      <c r="FM213" s="1009"/>
      <c r="FN213" s="1009"/>
      <c r="FO213" s="1009"/>
      <c r="FP213" s="1009"/>
      <c r="FQ213" s="1009"/>
      <c r="FR213" s="1009"/>
      <c r="FS213" s="1009"/>
      <c r="FT213" s="1009"/>
      <c r="FU213" s="1009"/>
      <c r="FV213" s="1009"/>
      <c r="FW213" s="1009"/>
      <c r="FX213" s="1009"/>
      <c r="FY213" s="1009"/>
      <c r="FZ213" s="1009"/>
      <c r="GA213" s="1009"/>
      <c r="GB213" s="1009"/>
      <c r="GC213" s="1009"/>
      <c r="GD213" s="1009"/>
      <c r="GE213" s="1009"/>
      <c r="GF213" s="1009"/>
      <c r="GG213" s="1009"/>
      <c r="GH213" s="1009"/>
      <c r="GI213" s="1009"/>
      <c r="GJ213" s="1009"/>
      <c r="GK213" s="1009"/>
      <c r="GL213" s="1009"/>
      <c r="GM213" s="1009"/>
      <c r="GN213" s="1009"/>
      <c r="GO213" s="1009"/>
      <c r="GP213" s="1009"/>
      <c r="GQ213" s="1009"/>
      <c r="GR213" s="1009"/>
      <c r="GS213" s="1009"/>
      <c r="GT213" s="1009"/>
      <c r="GU213" s="1009"/>
      <c r="GV213" s="1009"/>
      <c r="GW213" s="1009"/>
      <c r="GX213" s="1009"/>
      <c r="GY213" s="1009"/>
      <c r="GZ213" s="1009"/>
      <c r="HA213" s="1009"/>
      <c r="HB213" s="1009"/>
      <c r="HC213" s="1009"/>
      <c r="HD213" s="1009"/>
      <c r="HE213" s="1009"/>
      <c r="HF213" s="1009"/>
      <c r="HG213" s="1009"/>
      <c r="HH213" s="1009"/>
      <c r="HI213" s="1009"/>
      <c r="HJ213" s="1009"/>
      <c r="HK213" s="1009"/>
      <c r="HL213" s="1009"/>
      <c r="HM213" s="1009"/>
      <c r="HN213" s="1009"/>
      <c r="HO213" s="1009"/>
      <c r="HP213" s="1009"/>
      <c r="HQ213" s="1009"/>
      <c r="HR213" s="1009"/>
      <c r="HS213" s="1009"/>
      <c r="HT213" s="1009"/>
      <c r="HU213" s="1009"/>
      <c r="HV213" s="1009"/>
      <c r="HW213" s="1009"/>
      <c r="HX213" s="1009"/>
      <c r="HY213" s="1009"/>
      <c r="HZ213" s="1009"/>
      <c r="IA213" s="1009"/>
      <c r="IB213" s="1009"/>
      <c r="IC213" s="1009"/>
      <c r="ID213" s="1009"/>
      <c r="IE213" s="1009"/>
      <c r="IF213" s="1009"/>
      <c r="IG213" s="1009"/>
      <c r="IH213" s="1009"/>
      <c r="II213" s="1009"/>
      <c r="IJ213" s="1009"/>
      <c r="IK213" s="1009"/>
      <c r="IL213" s="1009"/>
      <c r="IM213" s="1009"/>
      <c r="IN213" s="1009"/>
      <c r="IO213" s="1009"/>
      <c r="IP213" s="1009"/>
      <c r="IQ213" s="1009"/>
      <c r="IR213" s="1009"/>
      <c r="IS213" s="1009"/>
      <c r="IT213" s="1009"/>
      <c r="IU213" s="1009"/>
      <c r="IV213" s="1009"/>
      <c r="IW213" s="1009"/>
      <c r="IX213" s="1009"/>
      <c r="IY213" s="1009"/>
      <c r="IZ213" s="1009"/>
      <c r="JA213" s="1009"/>
      <c r="JB213" s="1009"/>
      <c r="JC213" s="1009"/>
      <c r="JD213" s="1009"/>
      <c r="JE213" s="1009"/>
      <c r="JF213" s="1009"/>
      <c r="JG213" s="1009"/>
      <c r="JH213" s="1009"/>
      <c r="JI213" s="1009"/>
      <c r="JJ213" s="1009"/>
      <c r="JK213" s="1009"/>
      <c r="JL213" s="1009"/>
      <c r="JM213" s="1009"/>
      <c r="JN213" s="1009"/>
      <c r="JO213" s="1009"/>
      <c r="JP213" s="1009"/>
      <c r="JQ213" s="1009"/>
      <c r="JR213" s="1009"/>
      <c r="JS213" s="1009"/>
      <c r="JT213" s="1009"/>
      <c r="JU213" s="1009"/>
      <c r="JV213" s="1009"/>
      <c r="JW213" s="1009"/>
      <c r="JX213" s="1009"/>
      <c r="JY213" s="1009"/>
      <c r="JZ213" s="1009"/>
      <c r="KA213" s="1009"/>
      <c r="KB213" s="1009"/>
      <c r="KC213" s="1009"/>
      <c r="KD213" s="1009"/>
      <c r="KE213" s="1009"/>
      <c r="KF213" s="1009"/>
      <c r="KG213" s="1009"/>
      <c r="KH213" s="1009"/>
      <c r="KI213" s="1009"/>
      <c r="KJ213" s="1009"/>
      <c r="KK213" s="1009"/>
      <c r="KL213" s="1009"/>
      <c r="KM213" s="1009"/>
      <c r="KN213" s="1009"/>
      <c r="KO213" s="1009"/>
      <c r="KP213" s="1009"/>
      <c r="KQ213" s="1009"/>
      <c r="KR213" s="1009"/>
      <c r="KS213" s="1009"/>
      <c r="KT213" s="1009"/>
      <c r="KU213" s="1009"/>
      <c r="KV213" s="1009"/>
      <c r="KW213" s="1009"/>
      <c r="KX213" s="1009"/>
      <c r="KY213" s="1009"/>
      <c r="KZ213" s="1009"/>
      <c r="LA213" s="1009"/>
      <c r="LB213" s="1009"/>
      <c r="LC213" s="1009"/>
      <c r="LD213" s="1009"/>
      <c r="LE213" s="1009"/>
      <c r="LF213" s="1009"/>
      <c r="LG213" s="1009"/>
      <c r="LH213" s="1009"/>
      <c r="LI213" s="1009"/>
      <c r="LJ213" s="1009"/>
      <c r="LK213" s="1009"/>
      <c r="LL213" s="1009"/>
      <c r="LM213" s="1009"/>
      <c r="LN213" s="1009"/>
      <c r="LO213" s="1009"/>
      <c r="LP213" s="1009"/>
      <c r="LQ213" s="1009"/>
      <c r="LR213" s="1009"/>
      <c r="LS213" s="1009"/>
      <c r="LT213" s="1009"/>
      <c r="LU213" s="1009"/>
      <c r="LV213" s="1009"/>
      <c r="LW213" s="1009"/>
      <c r="LX213" s="1009"/>
      <c r="LY213" s="1009"/>
      <c r="LZ213" s="1009"/>
      <c r="MA213" s="1009"/>
      <c r="MB213" s="1009"/>
      <c r="MC213" s="1009"/>
      <c r="MD213" s="1009"/>
      <c r="ME213" s="1009"/>
      <c r="MF213" s="1009"/>
      <c r="MG213" s="1009"/>
      <c r="MH213" s="1009"/>
      <c r="MI213" s="1009"/>
      <c r="MJ213" s="1009"/>
      <c r="MK213" s="1009"/>
      <c r="ML213" s="1009"/>
      <c r="MM213" s="1009"/>
      <c r="MN213" s="1009"/>
      <c r="MO213" s="1009"/>
      <c r="MP213" s="1009"/>
      <c r="MQ213" s="1009"/>
      <c r="MR213" s="1009"/>
      <c r="MS213" s="1009"/>
      <c r="MT213" s="1009"/>
      <c r="MU213" s="1009"/>
      <c r="MV213" s="1009"/>
      <c r="MW213" s="1009"/>
      <c r="MX213" s="1009"/>
      <c r="MY213" s="1009"/>
      <c r="MZ213" s="1009"/>
      <c r="NA213" s="1009"/>
      <c r="NB213" s="1009"/>
      <c r="NC213" s="1009"/>
      <c r="ND213" s="1009"/>
      <c r="NE213" s="1009"/>
      <c r="NF213" s="1009"/>
      <c r="NG213" s="1009"/>
      <c r="NH213" s="1009"/>
      <c r="NI213" s="1009"/>
      <c r="NJ213" s="1009"/>
      <c r="NK213" s="1009"/>
      <c r="NL213" s="1009"/>
      <c r="NM213" s="1009"/>
      <c r="NN213" s="1009"/>
      <c r="NO213" s="1009"/>
      <c r="NP213" s="1009"/>
      <c r="NQ213" s="1009"/>
      <c r="NR213" s="1009"/>
      <c r="NS213" s="1009"/>
      <c r="NT213" s="1009"/>
      <c r="NU213" s="1009"/>
      <c r="NV213" s="1009"/>
      <c r="NW213" s="1009"/>
      <c r="NX213" s="1009"/>
      <c r="NY213" s="1009"/>
      <c r="NZ213" s="1009"/>
      <c r="OA213" s="1009"/>
      <c r="OB213" s="1009"/>
      <c r="OC213" s="1009"/>
      <c r="OD213" s="1009"/>
      <c r="OE213" s="1009"/>
      <c r="OF213" s="1009"/>
      <c r="OG213" s="1009"/>
      <c r="OH213" s="1009"/>
      <c r="OI213" s="1009"/>
      <c r="OJ213" s="1009"/>
      <c r="OK213" s="1009"/>
      <c r="OL213" s="1009"/>
      <c r="OM213" s="1009"/>
      <c r="ON213" s="1009"/>
      <c r="OO213" s="1009"/>
      <c r="OP213" s="1009"/>
      <c r="OQ213" s="1009"/>
      <c r="OR213" s="1009"/>
      <c r="OS213" s="1009"/>
      <c r="OT213" s="1009"/>
      <c r="OU213" s="1009"/>
      <c r="OV213" s="1009"/>
      <c r="OW213" s="1009"/>
      <c r="OX213" s="1009"/>
      <c r="OY213" s="1009"/>
      <c r="OZ213" s="1009"/>
      <c r="PA213" s="1009"/>
      <c r="PB213" s="1009"/>
      <c r="PC213" s="1009"/>
      <c r="PD213" s="1009"/>
      <c r="PE213" s="1009"/>
      <c r="PF213" s="1009"/>
      <c r="PG213" s="1009"/>
      <c r="PH213" s="1009"/>
      <c r="PI213" s="1009"/>
      <c r="PJ213" s="1009"/>
      <c r="PK213" s="1009"/>
      <c r="PL213" s="1009"/>
      <c r="PM213" s="1009"/>
      <c r="PN213" s="1009"/>
      <c r="PO213" s="1009"/>
      <c r="PP213" s="1009"/>
      <c r="PQ213" s="1009"/>
      <c r="PR213" s="1009"/>
      <c r="PS213" s="1009"/>
      <c r="PT213" s="1009"/>
      <c r="PU213" s="1009"/>
      <c r="PV213" s="1009"/>
      <c r="PW213" s="1009"/>
      <c r="PX213" s="1009"/>
      <c r="PY213" s="1009"/>
      <c r="PZ213" s="1009"/>
      <c r="QA213" s="1009"/>
      <c r="QB213" s="1009"/>
      <c r="QC213" s="1009"/>
      <c r="QD213" s="1009"/>
      <c r="QE213" s="1009"/>
      <c r="QF213" s="1009"/>
      <c r="QG213" s="1009"/>
      <c r="QH213" s="1009"/>
      <c r="QI213" s="1009"/>
      <c r="QJ213" s="1009"/>
      <c r="QK213" s="1009"/>
      <c r="QL213" s="1009"/>
      <c r="QM213" s="1009"/>
      <c r="QN213" s="1009"/>
      <c r="QO213" s="1009"/>
      <c r="QP213" s="1009"/>
      <c r="QQ213" s="1009"/>
      <c r="QR213" s="1009"/>
      <c r="QS213" s="1009"/>
      <c r="QT213" s="1009"/>
      <c r="QU213" s="1009"/>
      <c r="QV213" s="1009"/>
      <c r="QW213" s="1009"/>
      <c r="QX213" s="1009"/>
      <c r="QY213" s="1009"/>
      <c r="QZ213" s="1009"/>
      <c r="RA213" s="1009"/>
      <c r="RB213" s="1009"/>
      <c r="RC213" s="1009"/>
      <c r="RD213" s="1009"/>
      <c r="RE213" s="1009"/>
      <c r="RF213" s="1009"/>
      <c r="RG213" s="1009"/>
      <c r="RH213" s="1009"/>
      <c r="RI213" s="1009"/>
      <c r="RJ213" s="1009"/>
      <c r="RK213" s="1009"/>
      <c r="RL213" s="1009"/>
      <c r="RM213" s="1009"/>
      <c r="RN213" s="1009"/>
      <c r="RO213" s="1009"/>
      <c r="RP213" s="1009"/>
      <c r="RQ213" s="1009"/>
      <c r="RR213" s="1009"/>
      <c r="RS213" s="1009"/>
      <c r="RT213" s="1009"/>
      <c r="RU213" s="1009"/>
      <c r="RV213" s="1009"/>
      <c r="RW213" s="1009"/>
      <c r="RX213" s="1009"/>
      <c r="RY213" s="1009"/>
      <c r="RZ213" s="1009"/>
      <c r="SA213" s="1009"/>
      <c r="SB213" s="1009"/>
      <c r="SC213" s="1009"/>
      <c r="SD213" s="1009"/>
      <c r="SE213" s="1009"/>
      <c r="SF213" s="1009"/>
      <c r="SG213" s="1009"/>
      <c r="SH213" s="1009"/>
      <c r="SI213" s="1009"/>
      <c r="SJ213" s="1009"/>
      <c r="SK213" s="1009"/>
      <c r="SL213" s="1009"/>
      <c r="SM213" s="1009"/>
      <c r="SN213" s="1009"/>
      <c r="SO213" s="1009"/>
      <c r="SP213" s="1009"/>
      <c r="SQ213" s="1009"/>
      <c r="SR213" s="1009"/>
      <c r="SS213" s="1009"/>
      <c r="ST213" s="1009"/>
      <c r="SU213" s="1009"/>
      <c r="SV213" s="1009"/>
      <c r="SW213" s="1009"/>
      <c r="SX213" s="1009"/>
      <c r="SY213" s="1009"/>
      <c r="SZ213" s="1009"/>
      <c r="TA213" s="1009"/>
      <c r="TB213" s="1009"/>
      <c r="TC213" s="1009"/>
      <c r="TD213" s="1009"/>
      <c r="TE213" s="1009"/>
      <c r="TF213" s="1009"/>
      <c r="TG213" s="1009"/>
      <c r="TH213" s="1009"/>
      <c r="TI213" s="1009"/>
      <c r="TJ213" s="1009"/>
      <c r="TK213" s="1009"/>
      <c r="TL213" s="1009"/>
      <c r="TM213" s="1009"/>
      <c r="TN213" s="1009"/>
      <c r="TO213" s="1009"/>
      <c r="TP213" s="1009"/>
      <c r="TQ213" s="1009"/>
      <c r="TR213" s="1009"/>
      <c r="TS213" s="1009"/>
      <c r="TT213" s="1009"/>
      <c r="TU213" s="1009"/>
      <c r="TV213" s="1009"/>
      <c r="TW213" s="1009"/>
      <c r="TX213" s="1009"/>
      <c r="TY213" s="1009"/>
      <c r="TZ213" s="1009"/>
      <c r="UA213" s="1009"/>
      <c r="UB213" s="1009"/>
      <c r="UC213" s="1009"/>
      <c r="UD213" s="1009"/>
      <c r="UE213" s="1009"/>
      <c r="UF213" s="1009"/>
      <c r="UG213" s="1009"/>
      <c r="UH213" s="1009"/>
      <c r="UI213" s="1009"/>
      <c r="UJ213" s="1009"/>
      <c r="UK213" s="1009"/>
      <c r="UL213" s="1009"/>
      <c r="UM213" s="1009"/>
      <c r="UN213" s="1009"/>
      <c r="UO213" s="1009"/>
      <c r="UP213" s="1009"/>
      <c r="UQ213" s="1009"/>
      <c r="UR213" s="1009"/>
      <c r="US213" s="1009"/>
      <c r="UT213" s="1009"/>
      <c r="UU213" s="1009"/>
      <c r="UV213" s="1009"/>
      <c r="UW213" s="1009"/>
      <c r="UX213" s="1009"/>
      <c r="UY213" s="1009"/>
      <c r="UZ213" s="1009"/>
      <c r="VA213" s="1009"/>
      <c r="VB213" s="1009"/>
      <c r="VC213" s="1009"/>
      <c r="VD213" s="1009"/>
      <c r="VE213" s="1009"/>
      <c r="VF213" s="1009"/>
      <c r="VG213" s="1009"/>
      <c r="VH213" s="1009"/>
      <c r="VI213" s="1009"/>
      <c r="VJ213" s="1009"/>
      <c r="VK213" s="1009"/>
      <c r="VL213" s="1009"/>
      <c r="VM213" s="1009"/>
      <c r="VN213" s="1009"/>
      <c r="VO213" s="1009"/>
      <c r="VP213" s="1009"/>
      <c r="VQ213" s="1009"/>
      <c r="VR213" s="1009"/>
      <c r="VS213" s="1009"/>
      <c r="VT213" s="1009"/>
      <c r="VU213" s="1009"/>
      <c r="VV213" s="1009"/>
      <c r="VW213" s="1009"/>
      <c r="VX213" s="1009"/>
      <c r="VY213" s="1009"/>
      <c r="VZ213" s="1009"/>
      <c r="WA213" s="1009"/>
      <c r="WB213" s="1009"/>
      <c r="WC213" s="1009"/>
      <c r="WD213" s="1009"/>
      <c r="WE213" s="1009"/>
      <c r="WF213" s="1009"/>
      <c r="WG213" s="1009"/>
      <c r="WH213" s="1009"/>
      <c r="WI213" s="1009"/>
      <c r="WJ213" s="1009"/>
      <c r="WK213" s="1009"/>
      <c r="WL213" s="1009"/>
      <c r="WM213" s="1009"/>
      <c r="WN213" s="1009"/>
      <c r="WO213" s="1009"/>
      <c r="WP213" s="1009"/>
      <c r="WQ213" s="1009"/>
      <c r="WR213" s="1009"/>
      <c r="WS213" s="1009"/>
      <c r="WT213" s="1009"/>
      <c r="WU213" s="1009"/>
      <c r="WV213" s="1009"/>
      <c r="WW213" s="1009"/>
      <c r="WX213" s="1009"/>
      <c r="WY213" s="1009"/>
      <c r="WZ213" s="1009"/>
      <c r="XA213" s="1009"/>
      <c r="XB213" s="1009"/>
      <c r="XC213" s="1009"/>
      <c r="XD213" s="1009"/>
      <c r="XE213" s="1009"/>
      <c r="XF213" s="1009"/>
      <c r="XG213" s="1009"/>
      <c r="XH213" s="1009"/>
      <c r="XI213" s="1009"/>
      <c r="XJ213" s="1009"/>
      <c r="XK213" s="1009"/>
      <c r="XL213" s="1009"/>
      <c r="XM213" s="1009"/>
      <c r="XN213" s="1009"/>
      <c r="XO213" s="1009"/>
      <c r="XP213" s="1009"/>
      <c r="XQ213" s="1009"/>
      <c r="XR213" s="1009"/>
      <c r="XS213" s="1009"/>
      <c r="XT213" s="1009"/>
      <c r="XU213" s="1009"/>
      <c r="XV213" s="1009"/>
      <c r="XW213" s="1009"/>
      <c r="XX213" s="1009"/>
      <c r="XY213" s="1009"/>
      <c r="XZ213" s="1009"/>
      <c r="YA213" s="1009"/>
      <c r="YB213" s="1009"/>
      <c r="YC213" s="1009"/>
      <c r="YD213" s="1009"/>
      <c r="YE213" s="1009"/>
      <c r="YF213" s="1009"/>
      <c r="YG213" s="1009"/>
      <c r="YH213" s="1009"/>
      <c r="YI213" s="1009"/>
      <c r="YJ213" s="1009"/>
      <c r="YK213" s="1009"/>
      <c r="YL213" s="1009"/>
      <c r="YM213" s="1009"/>
      <c r="YN213" s="1009"/>
      <c r="YO213" s="1009"/>
      <c r="YP213" s="1009"/>
      <c r="YQ213" s="1009"/>
      <c r="YR213" s="1009"/>
      <c r="YS213" s="1009"/>
      <c r="YT213" s="1009"/>
      <c r="YU213" s="1009"/>
      <c r="YV213" s="1009"/>
      <c r="YW213" s="1009"/>
      <c r="YX213" s="1009"/>
      <c r="YY213" s="1009"/>
      <c r="YZ213" s="1009"/>
      <c r="ZA213" s="1009"/>
      <c r="ZB213" s="1009"/>
      <c r="ZC213" s="1009"/>
      <c r="ZD213" s="1009"/>
      <c r="ZE213" s="1009"/>
      <c r="ZF213" s="1009"/>
      <c r="ZG213" s="1009"/>
      <c r="ZH213" s="1009"/>
      <c r="ZI213" s="1009"/>
      <c r="ZJ213" s="1009"/>
      <c r="ZK213" s="1009"/>
      <c r="ZL213" s="1009"/>
      <c r="ZM213" s="1009"/>
      <c r="ZN213" s="1009"/>
      <c r="ZO213" s="1009"/>
      <c r="ZP213" s="1009"/>
      <c r="ZQ213" s="1009"/>
      <c r="ZR213" s="1009"/>
      <c r="ZS213" s="1009"/>
      <c r="ZT213" s="1009"/>
      <c r="ZU213" s="1009"/>
      <c r="ZV213" s="1009"/>
      <c r="ZW213" s="1009"/>
      <c r="ZX213" s="1009"/>
      <c r="ZY213" s="1009"/>
      <c r="ZZ213" s="1009"/>
      <c r="AAA213" s="1009"/>
      <c r="AAB213" s="1009"/>
      <c r="AAC213" s="1009"/>
      <c r="AAD213" s="1009"/>
      <c r="AAE213" s="1009"/>
      <c r="AAF213" s="1009"/>
      <c r="AAG213" s="1009"/>
      <c r="AAH213" s="1009"/>
      <c r="AAI213" s="1009"/>
      <c r="AAJ213" s="1009"/>
      <c r="AAK213" s="1009"/>
      <c r="AAL213" s="1009"/>
      <c r="AAM213" s="1009"/>
      <c r="AAN213" s="1009"/>
      <c r="AAO213" s="1009"/>
      <c r="AAP213" s="1009"/>
      <c r="AAQ213" s="1009"/>
      <c r="AAR213" s="1009"/>
      <c r="AAS213" s="1009"/>
      <c r="AAT213" s="1009"/>
      <c r="AAU213" s="1009"/>
      <c r="AAV213" s="1009"/>
      <c r="AAW213" s="1009"/>
      <c r="AAX213" s="1009"/>
      <c r="AAY213" s="1009"/>
      <c r="AAZ213" s="1009"/>
      <c r="ABA213" s="1009"/>
      <c r="ABB213" s="1009"/>
      <c r="ABC213" s="1009"/>
      <c r="ABD213" s="1009"/>
      <c r="ABE213" s="1009"/>
      <c r="ABF213" s="1009"/>
      <c r="ABG213" s="1009"/>
      <c r="ABH213" s="1009"/>
      <c r="ABI213" s="1009"/>
      <c r="ABJ213" s="1009"/>
      <c r="ABK213" s="1009"/>
      <c r="ABL213" s="1009"/>
      <c r="ABM213" s="1009"/>
      <c r="ABN213" s="1009"/>
      <c r="ABO213" s="1009"/>
      <c r="ABP213" s="1009"/>
      <c r="ABQ213" s="1009"/>
      <c r="ABR213" s="1009"/>
    </row>
    <row r="214" spans="1:746" s="111" customFormat="1" ht="12" customHeight="1">
      <c r="A214" s="924"/>
      <c r="B214" s="899" t="s">
        <v>751</v>
      </c>
      <c r="C214" s="936"/>
      <c r="D214" s="897"/>
      <c r="E214" s="2950"/>
      <c r="F214" s="2951"/>
      <c r="G214" s="2952"/>
      <c r="H214" s="2548" t="s">
        <v>1334</v>
      </c>
      <c r="I214" s="2591">
        <f>SUM(fx!I376:I378)+fx!I381</f>
        <v>0</v>
      </c>
      <c r="J214" s="2387">
        <f>SUM(fx!J376:J378)+fx!J381</f>
        <v>0</v>
      </c>
      <c r="K214" s="2387">
        <f>SUM(fx!K376:K378)+fx!K381</f>
        <v>0</v>
      </c>
      <c r="L214" s="2387">
        <f>SUM(fx!L376:L378)+fx!L381</f>
        <v>0</v>
      </c>
      <c r="M214" s="2387">
        <f>SUM(fx!M376:M378)+fx!M381</f>
        <v>0</v>
      </c>
      <c r="N214" s="2387">
        <f>SUM(fx!N376:N378)+fx!N381</f>
        <v>0</v>
      </c>
      <c r="O214" s="2387">
        <f>SUM(fx!O376:O378)+fx!O381</f>
        <v>0</v>
      </c>
      <c r="P214" s="2387">
        <f>SUM(fx!P376:P378)+fx!P381</f>
        <v>0</v>
      </c>
      <c r="Q214" s="2387">
        <f>SUM(fx!Q376:Q378)+fx!Q381</f>
        <v>0</v>
      </c>
      <c r="R214" s="2387">
        <f>SUM(fx!R376:R378)+fx!R381</f>
        <v>0</v>
      </c>
      <c r="S214" s="2387">
        <f>SUM(fx!S376:S378)+fx!S381</f>
        <v>0</v>
      </c>
      <c r="T214" s="2387">
        <f>SUM(fx!T376:T378)+fx!T381</f>
        <v>0</v>
      </c>
      <c r="U214" s="2387">
        <f>SUM(fx!U376:U378)+fx!U381</f>
        <v>0</v>
      </c>
      <c r="V214" s="2387">
        <f>SUM(fx!V376:V378)+fx!V381</f>
        <v>0</v>
      </c>
      <c r="W214" s="2387">
        <f>SUM(fx!W376:W378)+fx!W381</f>
        <v>0</v>
      </c>
      <c r="X214" s="2387">
        <f>SUM(fx!X376:X378)+fx!X381</f>
        <v>0</v>
      </c>
      <c r="Y214" s="2387">
        <f>SUM(fx!Y376:Y378)+fx!Y381</f>
        <v>0</v>
      </c>
      <c r="Z214" s="2387">
        <f>SUM(fx!Z376:Z378)+fx!Z381</f>
        <v>0</v>
      </c>
      <c r="AA214" s="2387">
        <f>SUM(fx!AA376:AA378)+fx!AA381</f>
        <v>0</v>
      </c>
      <c r="AB214" s="2387">
        <f>SUM(fx!AB376:AB378)+fx!AB381</f>
        <v>0</v>
      </c>
      <c r="AC214" s="2387">
        <f>SUM(fx!AC376:AC378)+fx!AC381</f>
        <v>0</v>
      </c>
      <c r="AD214" s="2387">
        <f>SUM(fx!AD376:AD378)+fx!AD381</f>
        <v>0</v>
      </c>
      <c r="AE214" s="2387">
        <f>SUM(fx!AE376:AE378)+fx!AE381</f>
        <v>0</v>
      </c>
      <c r="AF214" s="2387">
        <f>SUM(fx!AF376:AF378)+fx!AF381</f>
        <v>0</v>
      </c>
      <c r="AG214" s="376"/>
      <c r="AH214" s="769"/>
      <c r="AI214" s="769"/>
      <c r="AJ214" s="770">
        <f>IF(fx!$C$57=1,T214,IF(fx!$C$57=2,AF214))</f>
        <v>0</v>
      </c>
      <c r="AK214" s="774"/>
      <c r="AL214" s="771">
        <f>IF(fx!$C$57=1,AF214,0)</f>
        <v>0</v>
      </c>
      <c r="AM214" s="1009"/>
      <c r="AN214" s="1009"/>
      <c r="AO214" s="1945"/>
      <c r="AP214" s="1935"/>
      <c r="AQ214" s="1936"/>
      <c r="AR214" s="2236"/>
      <c r="AS214" s="2236"/>
      <c r="AT214" s="2236"/>
      <c r="AU214" s="2236"/>
      <c r="AV214" s="2236"/>
      <c r="AW214" s="2236"/>
      <c r="AX214" s="2236"/>
      <c r="AY214" s="2236"/>
      <c r="AZ214" s="2236"/>
      <c r="BA214" s="2236"/>
      <c r="BB214" s="2236"/>
      <c r="BC214" s="2236"/>
      <c r="BD214" s="2236"/>
      <c r="BE214" s="2236"/>
      <c r="BF214" s="2236"/>
      <c r="BG214" s="2236"/>
      <c r="BH214" s="2236"/>
      <c r="BI214" s="2236"/>
      <c r="BJ214" s="2236"/>
      <c r="BK214" s="2236"/>
      <c r="BL214" s="2236"/>
      <c r="BM214" s="2236"/>
      <c r="BN214" s="2236"/>
      <c r="BO214" s="2236"/>
      <c r="BP214" s="1009"/>
      <c r="BQ214" s="1009"/>
      <c r="BR214" s="1009"/>
      <c r="BS214" s="1009"/>
      <c r="BT214" s="1009"/>
      <c r="BU214" s="1009"/>
      <c r="BV214" s="1009"/>
      <c r="BW214" s="1009"/>
      <c r="BX214" s="1009"/>
      <c r="BY214" s="1009"/>
      <c r="BZ214" s="1009"/>
      <c r="CA214" s="1009"/>
      <c r="CB214" s="1009"/>
      <c r="CC214" s="1009"/>
      <c r="CD214" s="1009"/>
      <c r="CE214" s="1009"/>
      <c r="CF214" s="1009"/>
      <c r="CG214" s="1009"/>
      <c r="CH214" s="1009"/>
      <c r="CI214" s="1009"/>
      <c r="CJ214" s="1009"/>
      <c r="CK214" s="1009"/>
      <c r="CL214" s="1009"/>
      <c r="CM214" s="1009"/>
      <c r="CN214" s="1009"/>
      <c r="CO214" s="1009"/>
      <c r="CP214" s="1009"/>
      <c r="CQ214" s="1009"/>
      <c r="CR214" s="1009"/>
      <c r="CS214" s="1009"/>
      <c r="CT214" s="1009"/>
      <c r="CU214" s="1009"/>
      <c r="CV214" s="1009"/>
      <c r="CW214" s="1009"/>
      <c r="CX214" s="1009"/>
      <c r="CY214" s="1009"/>
      <c r="CZ214" s="1009"/>
      <c r="DA214" s="1009"/>
      <c r="DB214" s="1009"/>
      <c r="DC214" s="1009"/>
      <c r="DD214" s="1009"/>
      <c r="DE214" s="1009"/>
      <c r="DF214" s="1009"/>
      <c r="DG214" s="1009"/>
      <c r="DH214" s="1009"/>
      <c r="DI214" s="1009"/>
      <c r="DJ214" s="1009"/>
      <c r="DK214" s="1009"/>
      <c r="DL214" s="1009"/>
      <c r="DM214" s="1009"/>
      <c r="DN214" s="1009"/>
      <c r="DO214" s="1009"/>
      <c r="DP214" s="1009"/>
      <c r="DQ214" s="1009"/>
      <c r="DR214" s="1009"/>
      <c r="DS214" s="1009"/>
      <c r="DT214" s="1009"/>
      <c r="DU214" s="1009"/>
      <c r="DV214" s="1009"/>
      <c r="DW214" s="1009"/>
      <c r="DX214" s="1009"/>
      <c r="DY214" s="1009"/>
      <c r="DZ214" s="1009"/>
      <c r="EA214" s="1009"/>
      <c r="EB214" s="1009"/>
      <c r="EC214" s="1009"/>
      <c r="ED214" s="1009"/>
      <c r="EE214" s="1009"/>
      <c r="EF214" s="1009"/>
      <c r="EG214" s="1009"/>
      <c r="EH214" s="1009"/>
      <c r="EI214" s="1009"/>
      <c r="EJ214" s="1009"/>
      <c r="EK214" s="1009"/>
      <c r="EL214" s="1009"/>
      <c r="EM214" s="1009"/>
      <c r="EN214" s="1009"/>
      <c r="EO214" s="1009"/>
      <c r="EP214" s="1009"/>
      <c r="EQ214" s="1009"/>
      <c r="ER214" s="1009"/>
      <c r="ES214" s="1009"/>
      <c r="ET214" s="1009"/>
      <c r="EU214" s="1009"/>
      <c r="EV214" s="1009"/>
      <c r="EW214" s="1009"/>
      <c r="EX214" s="1009"/>
      <c r="EY214" s="1009"/>
      <c r="EZ214" s="1009"/>
      <c r="FA214" s="1009"/>
      <c r="FB214" s="1009"/>
      <c r="FC214" s="1009"/>
      <c r="FD214" s="1009"/>
      <c r="FE214" s="1009"/>
      <c r="FF214" s="1009"/>
      <c r="FG214" s="1009"/>
      <c r="FH214" s="1009"/>
      <c r="FI214" s="1009"/>
      <c r="FJ214" s="1009"/>
      <c r="FK214" s="1009"/>
      <c r="FL214" s="1009"/>
      <c r="FM214" s="1009"/>
      <c r="FN214" s="1009"/>
      <c r="FO214" s="1009"/>
      <c r="FP214" s="1009"/>
      <c r="FQ214" s="1009"/>
      <c r="FR214" s="1009"/>
      <c r="FS214" s="1009"/>
      <c r="FT214" s="1009"/>
      <c r="FU214" s="1009"/>
      <c r="FV214" s="1009"/>
      <c r="FW214" s="1009"/>
      <c r="FX214" s="1009"/>
      <c r="FY214" s="1009"/>
      <c r="FZ214" s="1009"/>
      <c r="GA214" s="1009"/>
      <c r="GB214" s="1009"/>
      <c r="GC214" s="1009"/>
      <c r="GD214" s="1009"/>
      <c r="GE214" s="1009"/>
      <c r="GF214" s="1009"/>
      <c r="GG214" s="1009"/>
      <c r="GH214" s="1009"/>
      <c r="GI214" s="1009"/>
      <c r="GJ214" s="1009"/>
      <c r="GK214" s="1009"/>
      <c r="GL214" s="1009"/>
      <c r="GM214" s="1009"/>
      <c r="GN214" s="1009"/>
      <c r="GO214" s="1009"/>
      <c r="GP214" s="1009"/>
      <c r="GQ214" s="1009"/>
      <c r="GR214" s="1009"/>
      <c r="GS214" s="1009"/>
      <c r="GT214" s="1009"/>
      <c r="GU214" s="1009"/>
      <c r="GV214" s="1009"/>
      <c r="GW214" s="1009"/>
      <c r="GX214" s="1009"/>
      <c r="GY214" s="1009"/>
      <c r="GZ214" s="1009"/>
      <c r="HA214" s="1009"/>
      <c r="HB214" s="1009"/>
      <c r="HC214" s="1009"/>
      <c r="HD214" s="1009"/>
      <c r="HE214" s="1009"/>
      <c r="HF214" s="1009"/>
      <c r="HG214" s="1009"/>
      <c r="HH214" s="1009"/>
      <c r="HI214" s="1009"/>
      <c r="HJ214" s="1009"/>
      <c r="HK214" s="1009"/>
      <c r="HL214" s="1009"/>
      <c r="HM214" s="1009"/>
      <c r="HN214" s="1009"/>
      <c r="HO214" s="1009"/>
      <c r="HP214" s="1009"/>
      <c r="HQ214" s="1009"/>
      <c r="HR214" s="1009"/>
      <c r="HS214" s="1009"/>
      <c r="HT214" s="1009"/>
      <c r="HU214" s="1009"/>
      <c r="HV214" s="1009"/>
      <c r="HW214" s="1009"/>
      <c r="HX214" s="1009"/>
      <c r="HY214" s="1009"/>
      <c r="HZ214" s="1009"/>
      <c r="IA214" s="1009"/>
      <c r="IB214" s="1009"/>
      <c r="IC214" s="1009"/>
      <c r="ID214" s="1009"/>
      <c r="IE214" s="1009"/>
      <c r="IF214" s="1009"/>
      <c r="IG214" s="1009"/>
      <c r="IH214" s="1009"/>
      <c r="II214" s="1009"/>
      <c r="IJ214" s="1009"/>
      <c r="IK214" s="1009"/>
      <c r="IL214" s="1009"/>
      <c r="IM214" s="1009"/>
      <c r="IN214" s="1009"/>
      <c r="IO214" s="1009"/>
      <c r="IP214" s="1009"/>
      <c r="IQ214" s="1009"/>
      <c r="IR214" s="1009"/>
      <c r="IS214" s="1009"/>
      <c r="IT214" s="1009"/>
      <c r="IU214" s="1009"/>
      <c r="IV214" s="1009"/>
      <c r="IW214" s="1009"/>
      <c r="IX214" s="1009"/>
      <c r="IY214" s="1009"/>
      <c r="IZ214" s="1009"/>
      <c r="JA214" s="1009"/>
      <c r="JB214" s="1009"/>
      <c r="JC214" s="1009"/>
      <c r="JD214" s="1009"/>
      <c r="JE214" s="1009"/>
      <c r="JF214" s="1009"/>
      <c r="JG214" s="1009"/>
      <c r="JH214" s="1009"/>
      <c r="JI214" s="1009"/>
      <c r="JJ214" s="1009"/>
      <c r="JK214" s="1009"/>
      <c r="JL214" s="1009"/>
      <c r="JM214" s="1009"/>
      <c r="JN214" s="1009"/>
      <c r="JO214" s="1009"/>
      <c r="JP214" s="1009"/>
      <c r="JQ214" s="1009"/>
      <c r="JR214" s="1009"/>
      <c r="JS214" s="1009"/>
      <c r="JT214" s="1009"/>
      <c r="JU214" s="1009"/>
      <c r="JV214" s="1009"/>
      <c r="JW214" s="1009"/>
      <c r="JX214" s="1009"/>
      <c r="JY214" s="1009"/>
      <c r="JZ214" s="1009"/>
      <c r="KA214" s="1009"/>
      <c r="KB214" s="1009"/>
      <c r="KC214" s="1009"/>
      <c r="KD214" s="1009"/>
      <c r="KE214" s="1009"/>
      <c r="KF214" s="1009"/>
      <c r="KG214" s="1009"/>
      <c r="KH214" s="1009"/>
      <c r="KI214" s="1009"/>
      <c r="KJ214" s="1009"/>
      <c r="KK214" s="1009"/>
      <c r="KL214" s="1009"/>
      <c r="KM214" s="1009"/>
      <c r="KN214" s="1009"/>
      <c r="KO214" s="1009"/>
      <c r="KP214" s="1009"/>
      <c r="KQ214" s="1009"/>
      <c r="KR214" s="1009"/>
      <c r="KS214" s="1009"/>
      <c r="KT214" s="1009"/>
      <c r="KU214" s="1009"/>
      <c r="KV214" s="1009"/>
      <c r="KW214" s="1009"/>
      <c r="KX214" s="1009"/>
      <c r="KY214" s="1009"/>
      <c r="KZ214" s="1009"/>
      <c r="LA214" s="1009"/>
      <c r="LB214" s="1009"/>
      <c r="LC214" s="1009"/>
      <c r="LD214" s="1009"/>
      <c r="LE214" s="1009"/>
      <c r="LF214" s="1009"/>
      <c r="LG214" s="1009"/>
      <c r="LH214" s="1009"/>
      <c r="LI214" s="1009"/>
      <c r="LJ214" s="1009"/>
      <c r="LK214" s="1009"/>
      <c r="LL214" s="1009"/>
      <c r="LM214" s="1009"/>
      <c r="LN214" s="1009"/>
      <c r="LO214" s="1009"/>
      <c r="LP214" s="1009"/>
      <c r="LQ214" s="1009"/>
      <c r="LR214" s="1009"/>
      <c r="LS214" s="1009"/>
      <c r="LT214" s="1009"/>
      <c r="LU214" s="1009"/>
      <c r="LV214" s="1009"/>
      <c r="LW214" s="1009"/>
      <c r="LX214" s="1009"/>
      <c r="LY214" s="1009"/>
      <c r="LZ214" s="1009"/>
      <c r="MA214" s="1009"/>
      <c r="MB214" s="1009"/>
      <c r="MC214" s="1009"/>
      <c r="MD214" s="1009"/>
      <c r="ME214" s="1009"/>
      <c r="MF214" s="1009"/>
      <c r="MG214" s="1009"/>
      <c r="MH214" s="1009"/>
      <c r="MI214" s="1009"/>
      <c r="MJ214" s="1009"/>
      <c r="MK214" s="1009"/>
      <c r="ML214" s="1009"/>
      <c r="MM214" s="1009"/>
      <c r="MN214" s="1009"/>
      <c r="MO214" s="1009"/>
      <c r="MP214" s="1009"/>
      <c r="MQ214" s="1009"/>
      <c r="MR214" s="1009"/>
      <c r="MS214" s="1009"/>
      <c r="MT214" s="1009"/>
      <c r="MU214" s="1009"/>
      <c r="MV214" s="1009"/>
      <c r="MW214" s="1009"/>
      <c r="MX214" s="1009"/>
      <c r="MY214" s="1009"/>
      <c r="MZ214" s="1009"/>
      <c r="NA214" s="1009"/>
      <c r="NB214" s="1009"/>
      <c r="NC214" s="1009"/>
      <c r="ND214" s="1009"/>
      <c r="NE214" s="1009"/>
      <c r="NF214" s="1009"/>
      <c r="NG214" s="1009"/>
      <c r="NH214" s="1009"/>
      <c r="NI214" s="1009"/>
      <c r="NJ214" s="1009"/>
      <c r="NK214" s="1009"/>
      <c r="NL214" s="1009"/>
      <c r="NM214" s="1009"/>
      <c r="NN214" s="1009"/>
      <c r="NO214" s="1009"/>
      <c r="NP214" s="1009"/>
      <c r="NQ214" s="1009"/>
      <c r="NR214" s="1009"/>
      <c r="NS214" s="1009"/>
      <c r="NT214" s="1009"/>
      <c r="NU214" s="1009"/>
      <c r="NV214" s="1009"/>
      <c r="NW214" s="1009"/>
      <c r="NX214" s="1009"/>
      <c r="NY214" s="1009"/>
      <c r="NZ214" s="1009"/>
      <c r="OA214" s="1009"/>
      <c r="OB214" s="1009"/>
      <c r="OC214" s="1009"/>
      <c r="OD214" s="1009"/>
      <c r="OE214" s="1009"/>
      <c r="OF214" s="1009"/>
      <c r="OG214" s="1009"/>
      <c r="OH214" s="1009"/>
      <c r="OI214" s="1009"/>
      <c r="OJ214" s="1009"/>
      <c r="OK214" s="1009"/>
      <c r="OL214" s="1009"/>
      <c r="OM214" s="1009"/>
      <c r="ON214" s="1009"/>
      <c r="OO214" s="1009"/>
      <c r="OP214" s="1009"/>
      <c r="OQ214" s="1009"/>
      <c r="OR214" s="1009"/>
      <c r="OS214" s="1009"/>
      <c r="OT214" s="1009"/>
      <c r="OU214" s="1009"/>
      <c r="OV214" s="1009"/>
      <c r="OW214" s="1009"/>
      <c r="OX214" s="1009"/>
      <c r="OY214" s="1009"/>
      <c r="OZ214" s="1009"/>
      <c r="PA214" s="1009"/>
      <c r="PB214" s="1009"/>
      <c r="PC214" s="1009"/>
      <c r="PD214" s="1009"/>
      <c r="PE214" s="1009"/>
      <c r="PF214" s="1009"/>
      <c r="PG214" s="1009"/>
      <c r="PH214" s="1009"/>
      <c r="PI214" s="1009"/>
      <c r="PJ214" s="1009"/>
      <c r="PK214" s="1009"/>
      <c r="PL214" s="1009"/>
      <c r="PM214" s="1009"/>
      <c r="PN214" s="1009"/>
      <c r="PO214" s="1009"/>
      <c r="PP214" s="1009"/>
      <c r="PQ214" s="1009"/>
      <c r="PR214" s="1009"/>
      <c r="PS214" s="1009"/>
      <c r="PT214" s="1009"/>
      <c r="PU214" s="1009"/>
      <c r="PV214" s="1009"/>
      <c r="PW214" s="1009"/>
      <c r="PX214" s="1009"/>
      <c r="PY214" s="1009"/>
      <c r="PZ214" s="1009"/>
      <c r="QA214" s="1009"/>
      <c r="QB214" s="1009"/>
      <c r="QC214" s="1009"/>
      <c r="QD214" s="1009"/>
      <c r="QE214" s="1009"/>
      <c r="QF214" s="1009"/>
      <c r="QG214" s="1009"/>
      <c r="QH214" s="1009"/>
      <c r="QI214" s="1009"/>
      <c r="QJ214" s="1009"/>
      <c r="QK214" s="1009"/>
      <c r="QL214" s="1009"/>
      <c r="QM214" s="1009"/>
      <c r="QN214" s="1009"/>
      <c r="QO214" s="1009"/>
      <c r="QP214" s="1009"/>
      <c r="QQ214" s="1009"/>
      <c r="QR214" s="1009"/>
      <c r="QS214" s="1009"/>
      <c r="QT214" s="1009"/>
      <c r="QU214" s="1009"/>
      <c r="QV214" s="1009"/>
      <c r="QW214" s="1009"/>
      <c r="QX214" s="1009"/>
      <c r="QY214" s="1009"/>
      <c r="QZ214" s="1009"/>
      <c r="RA214" s="1009"/>
      <c r="RB214" s="1009"/>
      <c r="RC214" s="1009"/>
      <c r="RD214" s="1009"/>
      <c r="RE214" s="1009"/>
      <c r="RF214" s="1009"/>
      <c r="RG214" s="1009"/>
      <c r="RH214" s="1009"/>
      <c r="RI214" s="1009"/>
      <c r="RJ214" s="1009"/>
      <c r="RK214" s="1009"/>
      <c r="RL214" s="1009"/>
      <c r="RM214" s="1009"/>
      <c r="RN214" s="1009"/>
      <c r="RO214" s="1009"/>
      <c r="RP214" s="1009"/>
      <c r="RQ214" s="1009"/>
      <c r="RR214" s="1009"/>
      <c r="RS214" s="1009"/>
      <c r="RT214" s="1009"/>
      <c r="RU214" s="1009"/>
      <c r="RV214" s="1009"/>
      <c r="RW214" s="1009"/>
      <c r="RX214" s="1009"/>
      <c r="RY214" s="1009"/>
      <c r="RZ214" s="1009"/>
      <c r="SA214" s="1009"/>
      <c r="SB214" s="1009"/>
      <c r="SC214" s="1009"/>
      <c r="SD214" s="1009"/>
      <c r="SE214" s="1009"/>
      <c r="SF214" s="1009"/>
      <c r="SG214" s="1009"/>
      <c r="SH214" s="1009"/>
      <c r="SI214" s="1009"/>
      <c r="SJ214" s="1009"/>
      <c r="SK214" s="1009"/>
      <c r="SL214" s="1009"/>
      <c r="SM214" s="1009"/>
      <c r="SN214" s="1009"/>
      <c r="SO214" s="1009"/>
      <c r="SP214" s="1009"/>
      <c r="SQ214" s="1009"/>
      <c r="SR214" s="1009"/>
      <c r="SS214" s="1009"/>
      <c r="ST214" s="1009"/>
      <c r="SU214" s="1009"/>
      <c r="SV214" s="1009"/>
      <c r="SW214" s="1009"/>
      <c r="SX214" s="1009"/>
      <c r="SY214" s="1009"/>
      <c r="SZ214" s="1009"/>
      <c r="TA214" s="1009"/>
      <c r="TB214" s="1009"/>
      <c r="TC214" s="1009"/>
      <c r="TD214" s="1009"/>
      <c r="TE214" s="1009"/>
      <c r="TF214" s="1009"/>
      <c r="TG214" s="1009"/>
      <c r="TH214" s="1009"/>
      <c r="TI214" s="1009"/>
      <c r="TJ214" s="1009"/>
      <c r="TK214" s="1009"/>
      <c r="TL214" s="1009"/>
      <c r="TM214" s="1009"/>
      <c r="TN214" s="1009"/>
      <c r="TO214" s="1009"/>
      <c r="TP214" s="1009"/>
      <c r="TQ214" s="1009"/>
      <c r="TR214" s="1009"/>
      <c r="TS214" s="1009"/>
      <c r="TT214" s="1009"/>
      <c r="TU214" s="1009"/>
      <c r="TV214" s="1009"/>
      <c r="TW214" s="1009"/>
      <c r="TX214" s="1009"/>
      <c r="TY214" s="1009"/>
      <c r="TZ214" s="1009"/>
      <c r="UA214" s="1009"/>
      <c r="UB214" s="1009"/>
      <c r="UC214" s="1009"/>
      <c r="UD214" s="1009"/>
      <c r="UE214" s="1009"/>
      <c r="UF214" s="1009"/>
      <c r="UG214" s="1009"/>
      <c r="UH214" s="1009"/>
      <c r="UI214" s="1009"/>
      <c r="UJ214" s="1009"/>
      <c r="UK214" s="1009"/>
      <c r="UL214" s="1009"/>
      <c r="UM214" s="1009"/>
      <c r="UN214" s="1009"/>
      <c r="UO214" s="1009"/>
      <c r="UP214" s="1009"/>
      <c r="UQ214" s="1009"/>
      <c r="UR214" s="1009"/>
      <c r="US214" s="1009"/>
      <c r="UT214" s="1009"/>
      <c r="UU214" s="1009"/>
      <c r="UV214" s="1009"/>
      <c r="UW214" s="1009"/>
      <c r="UX214" s="1009"/>
      <c r="UY214" s="1009"/>
      <c r="UZ214" s="1009"/>
      <c r="VA214" s="1009"/>
      <c r="VB214" s="1009"/>
      <c r="VC214" s="1009"/>
      <c r="VD214" s="1009"/>
      <c r="VE214" s="1009"/>
      <c r="VF214" s="1009"/>
      <c r="VG214" s="1009"/>
      <c r="VH214" s="1009"/>
      <c r="VI214" s="1009"/>
      <c r="VJ214" s="1009"/>
      <c r="VK214" s="1009"/>
      <c r="VL214" s="1009"/>
      <c r="VM214" s="1009"/>
      <c r="VN214" s="1009"/>
      <c r="VO214" s="1009"/>
      <c r="VP214" s="1009"/>
      <c r="VQ214" s="1009"/>
      <c r="VR214" s="1009"/>
      <c r="VS214" s="1009"/>
      <c r="VT214" s="1009"/>
      <c r="VU214" s="1009"/>
      <c r="VV214" s="1009"/>
      <c r="VW214" s="1009"/>
      <c r="VX214" s="1009"/>
      <c r="VY214" s="1009"/>
      <c r="VZ214" s="1009"/>
      <c r="WA214" s="1009"/>
      <c r="WB214" s="1009"/>
      <c r="WC214" s="1009"/>
      <c r="WD214" s="1009"/>
      <c r="WE214" s="1009"/>
      <c r="WF214" s="1009"/>
      <c r="WG214" s="1009"/>
      <c r="WH214" s="1009"/>
      <c r="WI214" s="1009"/>
      <c r="WJ214" s="1009"/>
      <c r="WK214" s="1009"/>
      <c r="WL214" s="1009"/>
      <c r="WM214" s="1009"/>
      <c r="WN214" s="1009"/>
      <c r="WO214" s="1009"/>
      <c r="WP214" s="1009"/>
      <c r="WQ214" s="1009"/>
      <c r="WR214" s="1009"/>
      <c r="WS214" s="1009"/>
      <c r="WT214" s="1009"/>
      <c r="WU214" s="1009"/>
      <c r="WV214" s="1009"/>
      <c r="WW214" s="1009"/>
      <c r="WX214" s="1009"/>
      <c r="WY214" s="1009"/>
      <c r="WZ214" s="1009"/>
      <c r="XA214" s="1009"/>
      <c r="XB214" s="1009"/>
      <c r="XC214" s="1009"/>
      <c r="XD214" s="1009"/>
      <c r="XE214" s="1009"/>
      <c r="XF214" s="1009"/>
      <c r="XG214" s="1009"/>
      <c r="XH214" s="1009"/>
      <c r="XI214" s="1009"/>
      <c r="XJ214" s="1009"/>
      <c r="XK214" s="1009"/>
      <c r="XL214" s="1009"/>
      <c r="XM214" s="1009"/>
      <c r="XN214" s="1009"/>
      <c r="XO214" s="1009"/>
      <c r="XP214" s="1009"/>
      <c r="XQ214" s="1009"/>
      <c r="XR214" s="1009"/>
      <c r="XS214" s="1009"/>
      <c r="XT214" s="1009"/>
      <c r="XU214" s="1009"/>
      <c r="XV214" s="1009"/>
      <c r="XW214" s="1009"/>
      <c r="XX214" s="1009"/>
      <c r="XY214" s="1009"/>
      <c r="XZ214" s="1009"/>
      <c r="YA214" s="1009"/>
      <c r="YB214" s="1009"/>
      <c r="YC214" s="1009"/>
      <c r="YD214" s="1009"/>
      <c r="YE214" s="1009"/>
      <c r="YF214" s="1009"/>
      <c r="YG214" s="1009"/>
      <c r="YH214" s="1009"/>
      <c r="YI214" s="1009"/>
      <c r="YJ214" s="1009"/>
      <c r="YK214" s="1009"/>
      <c r="YL214" s="1009"/>
      <c r="YM214" s="1009"/>
      <c r="YN214" s="1009"/>
      <c r="YO214" s="1009"/>
      <c r="YP214" s="1009"/>
      <c r="YQ214" s="1009"/>
      <c r="YR214" s="1009"/>
      <c r="YS214" s="1009"/>
      <c r="YT214" s="1009"/>
      <c r="YU214" s="1009"/>
      <c r="YV214" s="1009"/>
      <c r="YW214" s="1009"/>
      <c r="YX214" s="1009"/>
      <c r="YY214" s="1009"/>
      <c r="YZ214" s="1009"/>
      <c r="ZA214" s="1009"/>
      <c r="ZB214" s="1009"/>
      <c r="ZC214" s="1009"/>
      <c r="ZD214" s="1009"/>
      <c r="ZE214" s="1009"/>
      <c r="ZF214" s="1009"/>
      <c r="ZG214" s="1009"/>
      <c r="ZH214" s="1009"/>
      <c r="ZI214" s="1009"/>
      <c r="ZJ214" s="1009"/>
      <c r="ZK214" s="1009"/>
      <c r="ZL214" s="1009"/>
      <c r="ZM214" s="1009"/>
      <c r="ZN214" s="1009"/>
      <c r="ZO214" s="1009"/>
      <c r="ZP214" s="1009"/>
      <c r="ZQ214" s="1009"/>
      <c r="ZR214" s="1009"/>
      <c r="ZS214" s="1009"/>
      <c r="ZT214" s="1009"/>
      <c r="ZU214" s="1009"/>
      <c r="ZV214" s="1009"/>
      <c r="ZW214" s="1009"/>
      <c r="ZX214" s="1009"/>
      <c r="ZY214" s="1009"/>
      <c r="ZZ214" s="1009"/>
      <c r="AAA214" s="1009"/>
      <c r="AAB214" s="1009"/>
      <c r="AAC214" s="1009"/>
      <c r="AAD214" s="1009"/>
      <c r="AAE214" s="1009"/>
      <c r="AAF214" s="1009"/>
      <c r="AAG214" s="1009"/>
      <c r="AAH214" s="1009"/>
      <c r="AAI214" s="1009"/>
      <c r="AAJ214" s="1009"/>
      <c r="AAK214" s="1009"/>
      <c r="AAL214" s="1009"/>
      <c r="AAM214" s="1009"/>
      <c r="AAN214" s="1009"/>
      <c r="AAO214" s="1009"/>
      <c r="AAP214" s="1009"/>
      <c r="AAQ214" s="1009"/>
      <c r="AAR214" s="1009"/>
      <c r="AAS214" s="1009"/>
      <c r="AAT214" s="1009"/>
      <c r="AAU214" s="1009"/>
      <c r="AAV214" s="1009"/>
      <c r="AAW214" s="1009"/>
      <c r="AAX214" s="1009"/>
      <c r="AAY214" s="1009"/>
      <c r="AAZ214" s="1009"/>
      <c r="ABA214" s="1009"/>
      <c r="ABB214" s="1009"/>
      <c r="ABC214" s="1009"/>
      <c r="ABD214" s="1009"/>
      <c r="ABE214" s="1009"/>
      <c r="ABF214" s="1009"/>
      <c r="ABG214" s="1009"/>
      <c r="ABH214" s="1009"/>
      <c r="ABI214" s="1009"/>
      <c r="ABJ214" s="1009"/>
      <c r="ABK214" s="1009"/>
      <c r="ABL214" s="1009"/>
      <c r="ABM214" s="1009"/>
      <c r="ABN214" s="1009"/>
      <c r="ABO214" s="1009"/>
      <c r="ABP214" s="1009"/>
      <c r="ABQ214" s="1009"/>
      <c r="ABR214" s="1009"/>
    </row>
    <row r="215" spans="1:746" s="111" customFormat="1" ht="12" customHeight="1">
      <c r="A215" s="924"/>
      <c r="B215" s="1894" t="s">
        <v>1080</v>
      </c>
      <c r="C215" s="1895"/>
      <c r="D215" s="1896"/>
      <c r="E215" s="2937"/>
      <c r="F215" s="2938"/>
      <c r="G215" s="2939"/>
      <c r="H215" s="2548" t="s">
        <v>1334</v>
      </c>
      <c r="I215" s="2591">
        <f>I263</f>
        <v>0</v>
      </c>
      <c r="J215" s="2385">
        <f t="shared" ref="J215:AF215" si="22">J263</f>
        <v>0</v>
      </c>
      <c r="K215" s="2385">
        <f t="shared" si="22"/>
        <v>0</v>
      </c>
      <c r="L215" s="2385">
        <f t="shared" si="22"/>
        <v>0</v>
      </c>
      <c r="M215" s="2385">
        <f t="shared" si="22"/>
        <v>0</v>
      </c>
      <c r="N215" s="2385">
        <f t="shared" si="22"/>
        <v>0</v>
      </c>
      <c r="O215" s="2385">
        <f t="shared" si="22"/>
        <v>0</v>
      </c>
      <c r="P215" s="2385">
        <f t="shared" si="22"/>
        <v>0</v>
      </c>
      <c r="Q215" s="2385">
        <f t="shared" si="22"/>
        <v>0</v>
      </c>
      <c r="R215" s="2385">
        <f t="shared" si="22"/>
        <v>0</v>
      </c>
      <c r="S215" s="2385">
        <f t="shared" si="22"/>
        <v>0</v>
      </c>
      <c r="T215" s="2385">
        <f t="shared" si="22"/>
        <v>0</v>
      </c>
      <c r="U215" s="2385">
        <f t="shared" si="22"/>
        <v>0</v>
      </c>
      <c r="V215" s="2385">
        <f t="shared" si="22"/>
        <v>0</v>
      </c>
      <c r="W215" s="2385">
        <f t="shared" si="22"/>
        <v>0</v>
      </c>
      <c r="X215" s="2385">
        <f t="shared" si="22"/>
        <v>0</v>
      </c>
      <c r="Y215" s="2385">
        <f t="shared" si="22"/>
        <v>0</v>
      </c>
      <c r="Z215" s="2385">
        <f t="shared" si="22"/>
        <v>0</v>
      </c>
      <c r="AA215" s="2385">
        <f t="shared" si="22"/>
        <v>0</v>
      </c>
      <c r="AB215" s="2385">
        <f t="shared" si="22"/>
        <v>0</v>
      </c>
      <c r="AC215" s="2385">
        <f t="shared" si="22"/>
        <v>0</v>
      </c>
      <c r="AD215" s="2385">
        <f t="shared" si="22"/>
        <v>0</v>
      </c>
      <c r="AE215" s="2385">
        <f t="shared" si="22"/>
        <v>0</v>
      </c>
      <c r="AF215" s="2385">
        <f t="shared" si="22"/>
        <v>0</v>
      </c>
      <c r="AG215" s="376"/>
      <c r="AH215" s="769"/>
      <c r="AI215" s="769"/>
      <c r="AJ215" s="904">
        <f>IF(fx!$C$57=1,T215,IF(fx!$C$57=2,AF215))</f>
        <v>0</v>
      </c>
      <c r="AK215" s="774"/>
      <c r="AL215" s="905">
        <f>IF(fx!$C$57=1,AF215,0)</f>
        <v>0</v>
      </c>
      <c r="AM215" s="1009"/>
      <c r="AN215" s="1009"/>
      <c r="AO215" s="1945"/>
      <c r="AP215" s="1935"/>
      <c r="AQ215" s="1936"/>
      <c r="AR215" s="2236"/>
      <c r="AS215" s="2236"/>
      <c r="AT215" s="2236"/>
      <c r="AU215" s="2236"/>
      <c r="AV215" s="2236"/>
      <c r="AW215" s="2236"/>
      <c r="AX215" s="2236"/>
      <c r="AY215" s="2236"/>
      <c r="AZ215" s="2236"/>
      <c r="BA215" s="2236"/>
      <c r="BB215" s="2236"/>
      <c r="BC215" s="2236"/>
      <c r="BD215" s="2236"/>
      <c r="BE215" s="2236"/>
      <c r="BF215" s="2236"/>
      <c r="BG215" s="2236"/>
      <c r="BH215" s="2236"/>
      <c r="BI215" s="2236"/>
      <c r="BJ215" s="2236"/>
      <c r="BK215" s="2236"/>
      <c r="BL215" s="2236"/>
      <c r="BM215" s="2236"/>
      <c r="BN215" s="2236"/>
      <c r="BO215" s="2236"/>
      <c r="BP215" s="1009"/>
      <c r="BQ215" s="1009"/>
      <c r="BR215" s="1009"/>
      <c r="BS215" s="1009"/>
      <c r="BT215" s="1009"/>
      <c r="BU215" s="1009"/>
      <c r="BV215" s="1009"/>
      <c r="BW215" s="1009"/>
      <c r="BX215" s="1009"/>
      <c r="BY215" s="1009"/>
      <c r="BZ215" s="1009"/>
      <c r="CA215" s="1009"/>
      <c r="CB215" s="1009"/>
      <c r="CC215" s="1009"/>
      <c r="CD215" s="1009"/>
      <c r="CE215" s="1009"/>
      <c r="CF215" s="1009"/>
      <c r="CG215" s="1009"/>
      <c r="CH215" s="1009"/>
      <c r="CI215" s="1009"/>
      <c r="CJ215" s="1009"/>
      <c r="CK215" s="1009"/>
      <c r="CL215" s="1009"/>
      <c r="CM215" s="1009"/>
      <c r="CN215" s="1009"/>
      <c r="CO215" s="1009"/>
      <c r="CP215" s="1009"/>
      <c r="CQ215" s="1009"/>
      <c r="CR215" s="1009"/>
      <c r="CS215" s="1009"/>
      <c r="CT215" s="1009"/>
      <c r="CU215" s="1009"/>
      <c r="CV215" s="1009"/>
      <c r="CW215" s="1009"/>
      <c r="CX215" s="1009"/>
      <c r="CY215" s="1009"/>
      <c r="CZ215" s="1009"/>
      <c r="DA215" s="1009"/>
      <c r="DB215" s="1009"/>
      <c r="DC215" s="1009"/>
      <c r="DD215" s="1009"/>
      <c r="DE215" s="1009"/>
      <c r="DF215" s="1009"/>
      <c r="DG215" s="1009"/>
      <c r="DH215" s="1009"/>
      <c r="DI215" s="1009"/>
      <c r="DJ215" s="1009"/>
      <c r="DK215" s="1009"/>
      <c r="DL215" s="1009"/>
      <c r="DM215" s="1009"/>
      <c r="DN215" s="1009"/>
      <c r="DO215" s="1009"/>
      <c r="DP215" s="1009"/>
      <c r="DQ215" s="1009"/>
      <c r="DR215" s="1009"/>
      <c r="DS215" s="1009"/>
      <c r="DT215" s="1009"/>
      <c r="DU215" s="1009"/>
      <c r="DV215" s="1009"/>
      <c r="DW215" s="1009"/>
      <c r="DX215" s="1009"/>
      <c r="DY215" s="1009"/>
      <c r="DZ215" s="1009"/>
      <c r="EA215" s="1009"/>
      <c r="EB215" s="1009"/>
      <c r="EC215" s="1009"/>
      <c r="ED215" s="1009"/>
      <c r="EE215" s="1009"/>
      <c r="EF215" s="1009"/>
      <c r="EG215" s="1009"/>
      <c r="EH215" s="1009"/>
      <c r="EI215" s="1009"/>
      <c r="EJ215" s="1009"/>
      <c r="EK215" s="1009"/>
      <c r="EL215" s="1009"/>
      <c r="EM215" s="1009"/>
      <c r="EN215" s="1009"/>
      <c r="EO215" s="1009"/>
      <c r="EP215" s="1009"/>
      <c r="EQ215" s="1009"/>
      <c r="ER215" s="1009"/>
      <c r="ES215" s="1009"/>
      <c r="ET215" s="1009"/>
      <c r="EU215" s="1009"/>
      <c r="EV215" s="1009"/>
      <c r="EW215" s="1009"/>
      <c r="EX215" s="1009"/>
      <c r="EY215" s="1009"/>
      <c r="EZ215" s="1009"/>
      <c r="FA215" s="1009"/>
      <c r="FB215" s="1009"/>
      <c r="FC215" s="1009"/>
      <c r="FD215" s="1009"/>
      <c r="FE215" s="1009"/>
      <c r="FF215" s="1009"/>
      <c r="FG215" s="1009"/>
      <c r="FH215" s="1009"/>
      <c r="FI215" s="1009"/>
      <c r="FJ215" s="1009"/>
      <c r="FK215" s="1009"/>
      <c r="FL215" s="1009"/>
      <c r="FM215" s="1009"/>
      <c r="FN215" s="1009"/>
      <c r="FO215" s="1009"/>
      <c r="FP215" s="1009"/>
      <c r="FQ215" s="1009"/>
      <c r="FR215" s="1009"/>
      <c r="FS215" s="1009"/>
      <c r="FT215" s="1009"/>
      <c r="FU215" s="1009"/>
      <c r="FV215" s="1009"/>
      <c r="FW215" s="1009"/>
      <c r="FX215" s="1009"/>
      <c r="FY215" s="1009"/>
      <c r="FZ215" s="1009"/>
      <c r="GA215" s="1009"/>
      <c r="GB215" s="1009"/>
      <c r="GC215" s="1009"/>
      <c r="GD215" s="1009"/>
      <c r="GE215" s="1009"/>
      <c r="GF215" s="1009"/>
      <c r="GG215" s="1009"/>
      <c r="GH215" s="1009"/>
      <c r="GI215" s="1009"/>
      <c r="GJ215" s="1009"/>
      <c r="GK215" s="1009"/>
      <c r="GL215" s="1009"/>
      <c r="GM215" s="1009"/>
      <c r="GN215" s="1009"/>
      <c r="GO215" s="1009"/>
      <c r="GP215" s="1009"/>
      <c r="GQ215" s="1009"/>
      <c r="GR215" s="1009"/>
      <c r="GS215" s="1009"/>
      <c r="GT215" s="1009"/>
      <c r="GU215" s="1009"/>
      <c r="GV215" s="1009"/>
      <c r="GW215" s="1009"/>
      <c r="GX215" s="1009"/>
      <c r="GY215" s="1009"/>
      <c r="GZ215" s="1009"/>
      <c r="HA215" s="1009"/>
      <c r="HB215" s="1009"/>
      <c r="HC215" s="1009"/>
      <c r="HD215" s="1009"/>
      <c r="HE215" s="1009"/>
      <c r="HF215" s="1009"/>
      <c r="HG215" s="1009"/>
      <c r="HH215" s="1009"/>
      <c r="HI215" s="1009"/>
      <c r="HJ215" s="1009"/>
      <c r="HK215" s="1009"/>
      <c r="HL215" s="1009"/>
      <c r="HM215" s="1009"/>
      <c r="HN215" s="1009"/>
      <c r="HO215" s="1009"/>
      <c r="HP215" s="1009"/>
      <c r="HQ215" s="1009"/>
      <c r="HR215" s="1009"/>
      <c r="HS215" s="1009"/>
      <c r="HT215" s="1009"/>
      <c r="HU215" s="1009"/>
      <c r="HV215" s="1009"/>
      <c r="HW215" s="1009"/>
      <c r="HX215" s="1009"/>
      <c r="HY215" s="1009"/>
      <c r="HZ215" s="1009"/>
      <c r="IA215" s="1009"/>
      <c r="IB215" s="1009"/>
      <c r="IC215" s="1009"/>
      <c r="ID215" s="1009"/>
      <c r="IE215" s="1009"/>
      <c r="IF215" s="1009"/>
      <c r="IG215" s="1009"/>
      <c r="IH215" s="1009"/>
      <c r="II215" s="1009"/>
      <c r="IJ215" s="1009"/>
      <c r="IK215" s="1009"/>
      <c r="IL215" s="1009"/>
      <c r="IM215" s="1009"/>
      <c r="IN215" s="1009"/>
      <c r="IO215" s="1009"/>
      <c r="IP215" s="1009"/>
      <c r="IQ215" s="1009"/>
      <c r="IR215" s="1009"/>
      <c r="IS215" s="1009"/>
      <c r="IT215" s="1009"/>
      <c r="IU215" s="1009"/>
      <c r="IV215" s="1009"/>
      <c r="IW215" s="1009"/>
      <c r="IX215" s="1009"/>
      <c r="IY215" s="1009"/>
      <c r="IZ215" s="1009"/>
      <c r="JA215" s="1009"/>
      <c r="JB215" s="1009"/>
      <c r="JC215" s="1009"/>
      <c r="JD215" s="1009"/>
      <c r="JE215" s="1009"/>
      <c r="JF215" s="1009"/>
      <c r="JG215" s="1009"/>
      <c r="JH215" s="1009"/>
      <c r="JI215" s="1009"/>
      <c r="JJ215" s="1009"/>
      <c r="JK215" s="1009"/>
      <c r="JL215" s="1009"/>
      <c r="JM215" s="1009"/>
      <c r="JN215" s="1009"/>
      <c r="JO215" s="1009"/>
      <c r="JP215" s="1009"/>
      <c r="JQ215" s="1009"/>
      <c r="JR215" s="1009"/>
      <c r="JS215" s="1009"/>
      <c r="JT215" s="1009"/>
      <c r="JU215" s="1009"/>
      <c r="JV215" s="1009"/>
      <c r="JW215" s="1009"/>
      <c r="JX215" s="1009"/>
      <c r="JY215" s="1009"/>
      <c r="JZ215" s="1009"/>
      <c r="KA215" s="1009"/>
      <c r="KB215" s="1009"/>
      <c r="KC215" s="1009"/>
      <c r="KD215" s="1009"/>
      <c r="KE215" s="1009"/>
      <c r="KF215" s="1009"/>
      <c r="KG215" s="1009"/>
      <c r="KH215" s="1009"/>
      <c r="KI215" s="1009"/>
      <c r="KJ215" s="1009"/>
      <c r="KK215" s="1009"/>
      <c r="KL215" s="1009"/>
      <c r="KM215" s="1009"/>
      <c r="KN215" s="1009"/>
      <c r="KO215" s="1009"/>
      <c r="KP215" s="1009"/>
      <c r="KQ215" s="1009"/>
      <c r="KR215" s="1009"/>
      <c r="KS215" s="1009"/>
      <c r="KT215" s="1009"/>
      <c r="KU215" s="1009"/>
      <c r="KV215" s="1009"/>
      <c r="KW215" s="1009"/>
      <c r="KX215" s="1009"/>
      <c r="KY215" s="1009"/>
      <c r="KZ215" s="1009"/>
      <c r="LA215" s="1009"/>
      <c r="LB215" s="1009"/>
      <c r="LC215" s="1009"/>
      <c r="LD215" s="1009"/>
      <c r="LE215" s="1009"/>
      <c r="LF215" s="1009"/>
      <c r="LG215" s="1009"/>
      <c r="LH215" s="1009"/>
      <c r="LI215" s="1009"/>
      <c r="LJ215" s="1009"/>
      <c r="LK215" s="1009"/>
      <c r="LL215" s="1009"/>
      <c r="LM215" s="1009"/>
      <c r="LN215" s="1009"/>
      <c r="LO215" s="1009"/>
      <c r="LP215" s="1009"/>
      <c r="LQ215" s="1009"/>
      <c r="LR215" s="1009"/>
      <c r="LS215" s="1009"/>
      <c r="LT215" s="1009"/>
      <c r="LU215" s="1009"/>
      <c r="LV215" s="1009"/>
      <c r="LW215" s="1009"/>
      <c r="LX215" s="1009"/>
      <c r="LY215" s="1009"/>
      <c r="LZ215" s="1009"/>
      <c r="MA215" s="1009"/>
      <c r="MB215" s="1009"/>
      <c r="MC215" s="1009"/>
      <c r="MD215" s="1009"/>
      <c r="ME215" s="1009"/>
      <c r="MF215" s="1009"/>
      <c r="MG215" s="1009"/>
      <c r="MH215" s="1009"/>
      <c r="MI215" s="1009"/>
      <c r="MJ215" s="1009"/>
      <c r="MK215" s="1009"/>
      <c r="ML215" s="1009"/>
      <c r="MM215" s="1009"/>
      <c r="MN215" s="1009"/>
      <c r="MO215" s="1009"/>
      <c r="MP215" s="1009"/>
      <c r="MQ215" s="1009"/>
      <c r="MR215" s="1009"/>
      <c r="MS215" s="1009"/>
      <c r="MT215" s="1009"/>
      <c r="MU215" s="1009"/>
      <c r="MV215" s="1009"/>
      <c r="MW215" s="1009"/>
      <c r="MX215" s="1009"/>
      <c r="MY215" s="1009"/>
      <c r="MZ215" s="1009"/>
      <c r="NA215" s="1009"/>
      <c r="NB215" s="1009"/>
      <c r="NC215" s="1009"/>
      <c r="ND215" s="1009"/>
      <c r="NE215" s="1009"/>
      <c r="NF215" s="1009"/>
      <c r="NG215" s="1009"/>
      <c r="NH215" s="1009"/>
      <c r="NI215" s="1009"/>
      <c r="NJ215" s="1009"/>
      <c r="NK215" s="1009"/>
      <c r="NL215" s="1009"/>
      <c r="NM215" s="1009"/>
      <c r="NN215" s="1009"/>
      <c r="NO215" s="1009"/>
      <c r="NP215" s="1009"/>
      <c r="NQ215" s="1009"/>
      <c r="NR215" s="1009"/>
      <c r="NS215" s="1009"/>
      <c r="NT215" s="1009"/>
      <c r="NU215" s="1009"/>
      <c r="NV215" s="1009"/>
      <c r="NW215" s="1009"/>
      <c r="NX215" s="1009"/>
      <c r="NY215" s="1009"/>
      <c r="NZ215" s="1009"/>
      <c r="OA215" s="1009"/>
      <c r="OB215" s="1009"/>
      <c r="OC215" s="1009"/>
      <c r="OD215" s="1009"/>
      <c r="OE215" s="1009"/>
      <c r="OF215" s="1009"/>
      <c r="OG215" s="1009"/>
      <c r="OH215" s="1009"/>
      <c r="OI215" s="1009"/>
      <c r="OJ215" s="1009"/>
      <c r="OK215" s="1009"/>
      <c r="OL215" s="1009"/>
      <c r="OM215" s="1009"/>
      <c r="ON215" s="1009"/>
      <c r="OO215" s="1009"/>
      <c r="OP215" s="1009"/>
      <c r="OQ215" s="1009"/>
      <c r="OR215" s="1009"/>
      <c r="OS215" s="1009"/>
      <c r="OT215" s="1009"/>
      <c r="OU215" s="1009"/>
      <c r="OV215" s="1009"/>
      <c r="OW215" s="1009"/>
      <c r="OX215" s="1009"/>
      <c r="OY215" s="1009"/>
      <c r="OZ215" s="1009"/>
      <c r="PA215" s="1009"/>
      <c r="PB215" s="1009"/>
      <c r="PC215" s="1009"/>
      <c r="PD215" s="1009"/>
      <c r="PE215" s="1009"/>
      <c r="PF215" s="1009"/>
      <c r="PG215" s="1009"/>
      <c r="PH215" s="1009"/>
      <c r="PI215" s="1009"/>
      <c r="PJ215" s="1009"/>
      <c r="PK215" s="1009"/>
      <c r="PL215" s="1009"/>
      <c r="PM215" s="1009"/>
      <c r="PN215" s="1009"/>
      <c r="PO215" s="1009"/>
      <c r="PP215" s="1009"/>
      <c r="PQ215" s="1009"/>
      <c r="PR215" s="1009"/>
      <c r="PS215" s="1009"/>
      <c r="PT215" s="1009"/>
      <c r="PU215" s="1009"/>
      <c r="PV215" s="1009"/>
      <c r="PW215" s="1009"/>
      <c r="PX215" s="1009"/>
      <c r="PY215" s="1009"/>
      <c r="PZ215" s="1009"/>
      <c r="QA215" s="1009"/>
      <c r="QB215" s="1009"/>
      <c r="QC215" s="1009"/>
      <c r="QD215" s="1009"/>
      <c r="QE215" s="1009"/>
      <c r="QF215" s="1009"/>
      <c r="QG215" s="1009"/>
      <c r="QH215" s="1009"/>
      <c r="QI215" s="1009"/>
      <c r="QJ215" s="1009"/>
      <c r="QK215" s="1009"/>
      <c r="QL215" s="1009"/>
      <c r="QM215" s="1009"/>
      <c r="QN215" s="1009"/>
      <c r="QO215" s="1009"/>
      <c r="QP215" s="1009"/>
      <c r="QQ215" s="1009"/>
      <c r="QR215" s="1009"/>
      <c r="QS215" s="1009"/>
      <c r="QT215" s="1009"/>
      <c r="QU215" s="1009"/>
      <c r="QV215" s="1009"/>
      <c r="QW215" s="1009"/>
      <c r="QX215" s="1009"/>
      <c r="QY215" s="1009"/>
      <c r="QZ215" s="1009"/>
      <c r="RA215" s="1009"/>
      <c r="RB215" s="1009"/>
      <c r="RC215" s="1009"/>
      <c r="RD215" s="1009"/>
      <c r="RE215" s="1009"/>
      <c r="RF215" s="1009"/>
      <c r="RG215" s="1009"/>
      <c r="RH215" s="1009"/>
      <c r="RI215" s="1009"/>
      <c r="RJ215" s="1009"/>
      <c r="RK215" s="1009"/>
      <c r="RL215" s="1009"/>
      <c r="RM215" s="1009"/>
      <c r="RN215" s="1009"/>
      <c r="RO215" s="1009"/>
      <c r="RP215" s="1009"/>
      <c r="RQ215" s="1009"/>
      <c r="RR215" s="1009"/>
      <c r="RS215" s="1009"/>
      <c r="RT215" s="1009"/>
      <c r="RU215" s="1009"/>
      <c r="RV215" s="1009"/>
      <c r="RW215" s="1009"/>
      <c r="RX215" s="1009"/>
      <c r="RY215" s="1009"/>
      <c r="RZ215" s="1009"/>
      <c r="SA215" s="1009"/>
      <c r="SB215" s="1009"/>
      <c r="SC215" s="1009"/>
      <c r="SD215" s="1009"/>
      <c r="SE215" s="1009"/>
      <c r="SF215" s="1009"/>
      <c r="SG215" s="1009"/>
      <c r="SH215" s="1009"/>
      <c r="SI215" s="1009"/>
      <c r="SJ215" s="1009"/>
      <c r="SK215" s="1009"/>
      <c r="SL215" s="1009"/>
      <c r="SM215" s="1009"/>
      <c r="SN215" s="1009"/>
      <c r="SO215" s="1009"/>
      <c r="SP215" s="1009"/>
      <c r="SQ215" s="1009"/>
      <c r="SR215" s="1009"/>
      <c r="SS215" s="1009"/>
      <c r="ST215" s="1009"/>
      <c r="SU215" s="1009"/>
      <c r="SV215" s="1009"/>
      <c r="SW215" s="1009"/>
      <c r="SX215" s="1009"/>
      <c r="SY215" s="1009"/>
      <c r="SZ215" s="1009"/>
      <c r="TA215" s="1009"/>
      <c r="TB215" s="1009"/>
      <c r="TC215" s="1009"/>
      <c r="TD215" s="1009"/>
      <c r="TE215" s="1009"/>
      <c r="TF215" s="1009"/>
      <c r="TG215" s="1009"/>
      <c r="TH215" s="1009"/>
      <c r="TI215" s="1009"/>
      <c r="TJ215" s="1009"/>
      <c r="TK215" s="1009"/>
      <c r="TL215" s="1009"/>
      <c r="TM215" s="1009"/>
      <c r="TN215" s="1009"/>
      <c r="TO215" s="1009"/>
      <c r="TP215" s="1009"/>
      <c r="TQ215" s="1009"/>
      <c r="TR215" s="1009"/>
      <c r="TS215" s="1009"/>
      <c r="TT215" s="1009"/>
      <c r="TU215" s="1009"/>
      <c r="TV215" s="1009"/>
      <c r="TW215" s="1009"/>
      <c r="TX215" s="1009"/>
      <c r="TY215" s="1009"/>
      <c r="TZ215" s="1009"/>
      <c r="UA215" s="1009"/>
      <c r="UB215" s="1009"/>
      <c r="UC215" s="1009"/>
      <c r="UD215" s="1009"/>
      <c r="UE215" s="1009"/>
      <c r="UF215" s="1009"/>
      <c r="UG215" s="1009"/>
      <c r="UH215" s="1009"/>
      <c r="UI215" s="1009"/>
      <c r="UJ215" s="1009"/>
      <c r="UK215" s="1009"/>
      <c r="UL215" s="1009"/>
      <c r="UM215" s="1009"/>
      <c r="UN215" s="1009"/>
      <c r="UO215" s="1009"/>
      <c r="UP215" s="1009"/>
      <c r="UQ215" s="1009"/>
      <c r="UR215" s="1009"/>
      <c r="US215" s="1009"/>
      <c r="UT215" s="1009"/>
      <c r="UU215" s="1009"/>
      <c r="UV215" s="1009"/>
      <c r="UW215" s="1009"/>
      <c r="UX215" s="1009"/>
      <c r="UY215" s="1009"/>
      <c r="UZ215" s="1009"/>
      <c r="VA215" s="1009"/>
      <c r="VB215" s="1009"/>
      <c r="VC215" s="1009"/>
      <c r="VD215" s="1009"/>
      <c r="VE215" s="1009"/>
      <c r="VF215" s="1009"/>
      <c r="VG215" s="1009"/>
      <c r="VH215" s="1009"/>
      <c r="VI215" s="1009"/>
      <c r="VJ215" s="1009"/>
      <c r="VK215" s="1009"/>
      <c r="VL215" s="1009"/>
      <c r="VM215" s="1009"/>
      <c r="VN215" s="1009"/>
      <c r="VO215" s="1009"/>
      <c r="VP215" s="1009"/>
      <c r="VQ215" s="1009"/>
      <c r="VR215" s="1009"/>
      <c r="VS215" s="1009"/>
      <c r="VT215" s="1009"/>
      <c r="VU215" s="1009"/>
      <c r="VV215" s="1009"/>
      <c r="VW215" s="1009"/>
      <c r="VX215" s="1009"/>
      <c r="VY215" s="1009"/>
      <c r="VZ215" s="1009"/>
      <c r="WA215" s="1009"/>
      <c r="WB215" s="1009"/>
      <c r="WC215" s="1009"/>
      <c r="WD215" s="1009"/>
      <c r="WE215" s="1009"/>
      <c r="WF215" s="1009"/>
      <c r="WG215" s="1009"/>
      <c r="WH215" s="1009"/>
      <c r="WI215" s="1009"/>
      <c r="WJ215" s="1009"/>
      <c r="WK215" s="1009"/>
      <c r="WL215" s="1009"/>
      <c r="WM215" s="1009"/>
      <c r="WN215" s="1009"/>
      <c r="WO215" s="1009"/>
      <c r="WP215" s="1009"/>
      <c r="WQ215" s="1009"/>
      <c r="WR215" s="1009"/>
      <c r="WS215" s="1009"/>
      <c r="WT215" s="1009"/>
      <c r="WU215" s="1009"/>
      <c r="WV215" s="1009"/>
      <c r="WW215" s="1009"/>
      <c r="WX215" s="1009"/>
      <c r="WY215" s="1009"/>
      <c r="WZ215" s="1009"/>
      <c r="XA215" s="1009"/>
      <c r="XB215" s="1009"/>
      <c r="XC215" s="1009"/>
      <c r="XD215" s="1009"/>
      <c r="XE215" s="1009"/>
      <c r="XF215" s="1009"/>
      <c r="XG215" s="1009"/>
      <c r="XH215" s="1009"/>
      <c r="XI215" s="1009"/>
      <c r="XJ215" s="1009"/>
      <c r="XK215" s="1009"/>
      <c r="XL215" s="1009"/>
      <c r="XM215" s="1009"/>
      <c r="XN215" s="1009"/>
      <c r="XO215" s="1009"/>
      <c r="XP215" s="1009"/>
      <c r="XQ215" s="1009"/>
      <c r="XR215" s="1009"/>
      <c r="XS215" s="1009"/>
      <c r="XT215" s="1009"/>
      <c r="XU215" s="1009"/>
      <c r="XV215" s="1009"/>
      <c r="XW215" s="1009"/>
      <c r="XX215" s="1009"/>
      <c r="XY215" s="1009"/>
      <c r="XZ215" s="1009"/>
      <c r="YA215" s="1009"/>
      <c r="YB215" s="1009"/>
      <c r="YC215" s="1009"/>
      <c r="YD215" s="1009"/>
      <c r="YE215" s="1009"/>
      <c r="YF215" s="1009"/>
      <c r="YG215" s="1009"/>
      <c r="YH215" s="1009"/>
      <c r="YI215" s="1009"/>
      <c r="YJ215" s="1009"/>
      <c r="YK215" s="1009"/>
      <c r="YL215" s="1009"/>
      <c r="YM215" s="1009"/>
      <c r="YN215" s="1009"/>
      <c r="YO215" s="1009"/>
      <c r="YP215" s="1009"/>
      <c r="YQ215" s="1009"/>
      <c r="YR215" s="1009"/>
      <c r="YS215" s="1009"/>
      <c r="YT215" s="1009"/>
      <c r="YU215" s="1009"/>
      <c r="YV215" s="1009"/>
      <c r="YW215" s="1009"/>
      <c r="YX215" s="1009"/>
      <c r="YY215" s="1009"/>
      <c r="YZ215" s="1009"/>
      <c r="ZA215" s="1009"/>
      <c r="ZB215" s="1009"/>
      <c r="ZC215" s="1009"/>
      <c r="ZD215" s="1009"/>
      <c r="ZE215" s="1009"/>
      <c r="ZF215" s="1009"/>
      <c r="ZG215" s="1009"/>
      <c r="ZH215" s="1009"/>
      <c r="ZI215" s="1009"/>
      <c r="ZJ215" s="1009"/>
      <c r="ZK215" s="1009"/>
      <c r="ZL215" s="1009"/>
      <c r="ZM215" s="1009"/>
      <c r="ZN215" s="1009"/>
      <c r="ZO215" s="1009"/>
      <c r="ZP215" s="1009"/>
      <c r="ZQ215" s="1009"/>
      <c r="ZR215" s="1009"/>
      <c r="ZS215" s="1009"/>
      <c r="ZT215" s="1009"/>
      <c r="ZU215" s="1009"/>
      <c r="ZV215" s="1009"/>
      <c r="ZW215" s="1009"/>
      <c r="ZX215" s="1009"/>
      <c r="ZY215" s="1009"/>
      <c r="ZZ215" s="1009"/>
      <c r="AAA215" s="1009"/>
      <c r="AAB215" s="1009"/>
      <c r="AAC215" s="1009"/>
      <c r="AAD215" s="1009"/>
      <c r="AAE215" s="1009"/>
      <c r="AAF215" s="1009"/>
      <c r="AAG215" s="1009"/>
      <c r="AAH215" s="1009"/>
      <c r="AAI215" s="1009"/>
      <c r="AAJ215" s="1009"/>
      <c r="AAK215" s="1009"/>
      <c r="AAL215" s="1009"/>
      <c r="AAM215" s="1009"/>
      <c r="AAN215" s="1009"/>
      <c r="AAO215" s="1009"/>
      <c r="AAP215" s="1009"/>
      <c r="AAQ215" s="1009"/>
      <c r="AAR215" s="1009"/>
      <c r="AAS215" s="1009"/>
      <c r="AAT215" s="1009"/>
      <c r="AAU215" s="1009"/>
      <c r="AAV215" s="1009"/>
      <c r="AAW215" s="1009"/>
      <c r="AAX215" s="1009"/>
      <c r="AAY215" s="1009"/>
      <c r="AAZ215" s="1009"/>
      <c r="ABA215" s="1009"/>
      <c r="ABB215" s="1009"/>
      <c r="ABC215" s="1009"/>
      <c r="ABD215" s="1009"/>
      <c r="ABE215" s="1009"/>
      <c r="ABF215" s="1009"/>
      <c r="ABG215" s="1009"/>
      <c r="ABH215" s="1009"/>
      <c r="ABI215" s="1009"/>
      <c r="ABJ215" s="1009"/>
      <c r="ABK215" s="1009"/>
      <c r="ABL215" s="1009"/>
      <c r="ABM215" s="1009"/>
      <c r="ABN215" s="1009"/>
      <c r="ABO215" s="1009"/>
      <c r="ABP215" s="1009"/>
      <c r="ABQ215" s="1009"/>
      <c r="ABR215" s="1009"/>
    </row>
    <row r="216" spans="1:746" s="111" customFormat="1" ht="12" customHeight="1">
      <c r="A216" s="924"/>
      <c r="B216" s="356" t="s">
        <v>355</v>
      </c>
      <c r="C216" s="168"/>
      <c r="D216" s="136"/>
      <c r="E216" s="2937"/>
      <c r="F216" s="2938"/>
      <c r="G216" s="2939"/>
      <c r="H216" s="2548" t="s">
        <v>1334</v>
      </c>
      <c r="I216" s="2591">
        <f t="shared" ref="I216:AF216" si="23">I101</f>
        <v>0</v>
      </c>
      <c r="J216" s="2387">
        <f t="shared" si="23"/>
        <v>0</v>
      </c>
      <c r="K216" s="2387">
        <f t="shared" si="23"/>
        <v>0</v>
      </c>
      <c r="L216" s="2387">
        <f t="shared" si="23"/>
        <v>0</v>
      </c>
      <c r="M216" s="2387">
        <f t="shared" si="23"/>
        <v>0</v>
      </c>
      <c r="N216" s="2387">
        <f t="shared" si="23"/>
        <v>0</v>
      </c>
      <c r="O216" s="2387">
        <f t="shared" si="23"/>
        <v>0</v>
      </c>
      <c r="P216" s="2387">
        <f t="shared" si="23"/>
        <v>0</v>
      </c>
      <c r="Q216" s="2387">
        <f t="shared" si="23"/>
        <v>0</v>
      </c>
      <c r="R216" s="2387">
        <f t="shared" si="23"/>
        <v>0</v>
      </c>
      <c r="S216" s="2387">
        <f t="shared" si="23"/>
        <v>0</v>
      </c>
      <c r="T216" s="2387">
        <f t="shared" si="23"/>
        <v>0</v>
      </c>
      <c r="U216" s="2387">
        <f t="shared" si="23"/>
        <v>0</v>
      </c>
      <c r="V216" s="2387">
        <f t="shared" si="23"/>
        <v>0</v>
      </c>
      <c r="W216" s="2387">
        <f t="shared" si="23"/>
        <v>0</v>
      </c>
      <c r="X216" s="2387">
        <f t="shared" si="23"/>
        <v>0</v>
      </c>
      <c r="Y216" s="2387">
        <f t="shared" si="23"/>
        <v>0</v>
      </c>
      <c r="Z216" s="2387">
        <f t="shared" si="23"/>
        <v>0</v>
      </c>
      <c r="AA216" s="2387">
        <f t="shared" si="23"/>
        <v>0</v>
      </c>
      <c r="AB216" s="2387">
        <f t="shared" si="23"/>
        <v>0</v>
      </c>
      <c r="AC216" s="2387">
        <f t="shared" si="23"/>
        <v>0</v>
      </c>
      <c r="AD216" s="2387">
        <f t="shared" si="23"/>
        <v>0</v>
      </c>
      <c r="AE216" s="2387">
        <f t="shared" si="23"/>
        <v>0</v>
      </c>
      <c r="AF216" s="2387">
        <f t="shared" si="23"/>
        <v>0</v>
      </c>
      <c r="AG216" s="376"/>
      <c r="AH216" s="769"/>
      <c r="AI216" s="769"/>
      <c r="AJ216" s="770">
        <f>IF(fx!$C$57=1,T216,IF(fx!$C$57=2,AF216))</f>
        <v>0</v>
      </c>
      <c r="AK216" s="774"/>
      <c r="AL216" s="771">
        <f>IF(fx!$C$57=1,AF216,0)</f>
        <v>0</v>
      </c>
      <c r="AM216" s="1009"/>
      <c r="AN216" s="1009"/>
      <c r="AO216" s="1945"/>
      <c r="AP216" s="1935"/>
      <c r="AQ216" s="1936"/>
      <c r="AR216" s="2236"/>
      <c r="AS216" s="2236"/>
      <c r="AT216" s="2236"/>
      <c r="AU216" s="2236"/>
      <c r="AV216" s="2236"/>
      <c r="AW216" s="2236"/>
      <c r="AX216" s="2236"/>
      <c r="AY216" s="2236"/>
      <c r="AZ216" s="2236"/>
      <c r="BA216" s="2236"/>
      <c r="BB216" s="2236"/>
      <c r="BC216" s="2236"/>
      <c r="BD216" s="2236"/>
      <c r="BE216" s="2236"/>
      <c r="BF216" s="2236"/>
      <c r="BG216" s="2236"/>
      <c r="BH216" s="2236"/>
      <c r="BI216" s="2236"/>
      <c r="BJ216" s="2236"/>
      <c r="BK216" s="2236"/>
      <c r="BL216" s="2236"/>
      <c r="BM216" s="2236"/>
      <c r="BN216" s="2236"/>
      <c r="BO216" s="2236"/>
      <c r="BP216" s="1009"/>
      <c r="BQ216" s="1009"/>
      <c r="BR216" s="1009"/>
      <c r="BS216" s="1009"/>
      <c r="BT216" s="1009"/>
      <c r="BU216" s="1009"/>
      <c r="BV216" s="1009"/>
      <c r="BW216" s="1009"/>
      <c r="BX216" s="1009"/>
      <c r="BY216" s="1009"/>
      <c r="BZ216" s="1009"/>
      <c r="CA216" s="1009"/>
      <c r="CB216" s="1009"/>
      <c r="CC216" s="1009"/>
      <c r="CD216" s="1009"/>
      <c r="CE216" s="1009"/>
      <c r="CF216" s="1009"/>
      <c r="CG216" s="1009"/>
      <c r="CH216" s="1009"/>
      <c r="CI216" s="1009"/>
      <c r="CJ216" s="1009"/>
      <c r="CK216" s="1009"/>
      <c r="CL216" s="1009"/>
      <c r="CM216" s="1009"/>
      <c r="CN216" s="1009"/>
      <c r="CO216" s="1009"/>
      <c r="CP216" s="1009"/>
      <c r="CQ216" s="1009"/>
      <c r="CR216" s="1009"/>
      <c r="CS216" s="1009"/>
      <c r="CT216" s="1009"/>
      <c r="CU216" s="1009"/>
      <c r="CV216" s="1009"/>
      <c r="CW216" s="1009"/>
      <c r="CX216" s="1009"/>
      <c r="CY216" s="1009"/>
      <c r="CZ216" s="1009"/>
      <c r="DA216" s="1009"/>
      <c r="DB216" s="1009"/>
      <c r="DC216" s="1009"/>
      <c r="DD216" s="1009"/>
      <c r="DE216" s="1009"/>
      <c r="DF216" s="1009"/>
      <c r="DG216" s="1009"/>
      <c r="DH216" s="1009"/>
      <c r="DI216" s="1009"/>
      <c r="DJ216" s="1009"/>
      <c r="DK216" s="1009"/>
      <c r="DL216" s="1009"/>
      <c r="DM216" s="1009"/>
      <c r="DN216" s="1009"/>
      <c r="DO216" s="1009"/>
      <c r="DP216" s="1009"/>
      <c r="DQ216" s="1009"/>
      <c r="DR216" s="1009"/>
      <c r="DS216" s="1009"/>
      <c r="DT216" s="1009"/>
      <c r="DU216" s="1009"/>
      <c r="DV216" s="1009"/>
      <c r="DW216" s="1009"/>
      <c r="DX216" s="1009"/>
      <c r="DY216" s="1009"/>
      <c r="DZ216" s="1009"/>
      <c r="EA216" s="1009"/>
      <c r="EB216" s="1009"/>
      <c r="EC216" s="1009"/>
      <c r="ED216" s="1009"/>
      <c r="EE216" s="1009"/>
      <c r="EF216" s="1009"/>
      <c r="EG216" s="1009"/>
      <c r="EH216" s="1009"/>
      <c r="EI216" s="1009"/>
      <c r="EJ216" s="1009"/>
      <c r="EK216" s="1009"/>
      <c r="EL216" s="1009"/>
      <c r="EM216" s="1009"/>
      <c r="EN216" s="1009"/>
      <c r="EO216" s="1009"/>
      <c r="EP216" s="1009"/>
      <c r="EQ216" s="1009"/>
      <c r="ER216" s="1009"/>
      <c r="ES216" s="1009"/>
      <c r="ET216" s="1009"/>
      <c r="EU216" s="1009"/>
      <c r="EV216" s="1009"/>
      <c r="EW216" s="1009"/>
      <c r="EX216" s="1009"/>
      <c r="EY216" s="1009"/>
      <c r="EZ216" s="1009"/>
      <c r="FA216" s="1009"/>
      <c r="FB216" s="1009"/>
      <c r="FC216" s="1009"/>
      <c r="FD216" s="1009"/>
      <c r="FE216" s="1009"/>
      <c r="FF216" s="1009"/>
      <c r="FG216" s="1009"/>
      <c r="FH216" s="1009"/>
      <c r="FI216" s="1009"/>
      <c r="FJ216" s="1009"/>
      <c r="FK216" s="1009"/>
      <c r="FL216" s="1009"/>
      <c r="FM216" s="1009"/>
      <c r="FN216" s="1009"/>
      <c r="FO216" s="1009"/>
      <c r="FP216" s="1009"/>
      <c r="FQ216" s="1009"/>
      <c r="FR216" s="1009"/>
      <c r="FS216" s="1009"/>
      <c r="FT216" s="1009"/>
      <c r="FU216" s="1009"/>
      <c r="FV216" s="1009"/>
      <c r="FW216" s="1009"/>
      <c r="FX216" s="1009"/>
      <c r="FY216" s="1009"/>
      <c r="FZ216" s="1009"/>
      <c r="GA216" s="1009"/>
      <c r="GB216" s="1009"/>
      <c r="GC216" s="1009"/>
      <c r="GD216" s="1009"/>
      <c r="GE216" s="1009"/>
      <c r="GF216" s="1009"/>
      <c r="GG216" s="1009"/>
      <c r="GH216" s="1009"/>
      <c r="GI216" s="1009"/>
      <c r="GJ216" s="1009"/>
      <c r="GK216" s="1009"/>
      <c r="GL216" s="1009"/>
      <c r="GM216" s="1009"/>
      <c r="GN216" s="1009"/>
      <c r="GO216" s="1009"/>
      <c r="GP216" s="1009"/>
      <c r="GQ216" s="1009"/>
      <c r="GR216" s="1009"/>
      <c r="GS216" s="1009"/>
      <c r="GT216" s="1009"/>
      <c r="GU216" s="1009"/>
      <c r="GV216" s="1009"/>
      <c r="GW216" s="1009"/>
      <c r="GX216" s="1009"/>
      <c r="GY216" s="1009"/>
      <c r="GZ216" s="1009"/>
      <c r="HA216" s="1009"/>
      <c r="HB216" s="1009"/>
      <c r="HC216" s="1009"/>
      <c r="HD216" s="1009"/>
      <c r="HE216" s="1009"/>
      <c r="HF216" s="1009"/>
      <c r="HG216" s="1009"/>
      <c r="HH216" s="1009"/>
      <c r="HI216" s="1009"/>
      <c r="HJ216" s="1009"/>
      <c r="HK216" s="1009"/>
      <c r="HL216" s="1009"/>
      <c r="HM216" s="1009"/>
      <c r="HN216" s="1009"/>
      <c r="HO216" s="1009"/>
      <c r="HP216" s="1009"/>
      <c r="HQ216" s="1009"/>
      <c r="HR216" s="1009"/>
      <c r="HS216" s="1009"/>
      <c r="HT216" s="1009"/>
      <c r="HU216" s="1009"/>
      <c r="HV216" s="1009"/>
      <c r="HW216" s="1009"/>
      <c r="HX216" s="1009"/>
      <c r="HY216" s="1009"/>
      <c r="HZ216" s="1009"/>
      <c r="IA216" s="1009"/>
      <c r="IB216" s="1009"/>
      <c r="IC216" s="1009"/>
      <c r="ID216" s="1009"/>
      <c r="IE216" s="1009"/>
      <c r="IF216" s="1009"/>
      <c r="IG216" s="1009"/>
      <c r="IH216" s="1009"/>
      <c r="II216" s="1009"/>
      <c r="IJ216" s="1009"/>
      <c r="IK216" s="1009"/>
      <c r="IL216" s="1009"/>
      <c r="IM216" s="1009"/>
      <c r="IN216" s="1009"/>
      <c r="IO216" s="1009"/>
      <c r="IP216" s="1009"/>
      <c r="IQ216" s="1009"/>
      <c r="IR216" s="1009"/>
      <c r="IS216" s="1009"/>
      <c r="IT216" s="1009"/>
      <c r="IU216" s="1009"/>
      <c r="IV216" s="1009"/>
      <c r="IW216" s="1009"/>
      <c r="IX216" s="1009"/>
      <c r="IY216" s="1009"/>
      <c r="IZ216" s="1009"/>
      <c r="JA216" s="1009"/>
      <c r="JB216" s="1009"/>
      <c r="JC216" s="1009"/>
      <c r="JD216" s="1009"/>
      <c r="JE216" s="1009"/>
      <c r="JF216" s="1009"/>
      <c r="JG216" s="1009"/>
      <c r="JH216" s="1009"/>
      <c r="JI216" s="1009"/>
      <c r="JJ216" s="1009"/>
      <c r="JK216" s="1009"/>
      <c r="JL216" s="1009"/>
      <c r="JM216" s="1009"/>
      <c r="JN216" s="1009"/>
      <c r="JO216" s="1009"/>
      <c r="JP216" s="1009"/>
      <c r="JQ216" s="1009"/>
      <c r="JR216" s="1009"/>
      <c r="JS216" s="1009"/>
      <c r="JT216" s="1009"/>
      <c r="JU216" s="1009"/>
      <c r="JV216" s="1009"/>
      <c r="JW216" s="1009"/>
      <c r="JX216" s="1009"/>
      <c r="JY216" s="1009"/>
      <c r="JZ216" s="1009"/>
      <c r="KA216" s="1009"/>
      <c r="KB216" s="1009"/>
      <c r="KC216" s="1009"/>
      <c r="KD216" s="1009"/>
      <c r="KE216" s="1009"/>
      <c r="KF216" s="1009"/>
      <c r="KG216" s="1009"/>
      <c r="KH216" s="1009"/>
      <c r="KI216" s="1009"/>
      <c r="KJ216" s="1009"/>
      <c r="KK216" s="1009"/>
      <c r="KL216" s="1009"/>
      <c r="KM216" s="1009"/>
      <c r="KN216" s="1009"/>
      <c r="KO216" s="1009"/>
      <c r="KP216" s="1009"/>
      <c r="KQ216" s="1009"/>
      <c r="KR216" s="1009"/>
      <c r="KS216" s="1009"/>
      <c r="KT216" s="1009"/>
      <c r="KU216" s="1009"/>
      <c r="KV216" s="1009"/>
      <c r="KW216" s="1009"/>
      <c r="KX216" s="1009"/>
      <c r="KY216" s="1009"/>
      <c r="KZ216" s="1009"/>
      <c r="LA216" s="1009"/>
      <c r="LB216" s="1009"/>
      <c r="LC216" s="1009"/>
      <c r="LD216" s="1009"/>
      <c r="LE216" s="1009"/>
      <c r="LF216" s="1009"/>
      <c r="LG216" s="1009"/>
      <c r="LH216" s="1009"/>
      <c r="LI216" s="1009"/>
      <c r="LJ216" s="1009"/>
      <c r="LK216" s="1009"/>
      <c r="LL216" s="1009"/>
      <c r="LM216" s="1009"/>
      <c r="LN216" s="1009"/>
      <c r="LO216" s="1009"/>
      <c r="LP216" s="1009"/>
      <c r="LQ216" s="1009"/>
      <c r="LR216" s="1009"/>
      <c r="LS216" s="1009"/>
      <c r="LT216" s="1009"/>
      <c r="LU216" s="1009"/>
      <c r="LV216" s="1009"/>
      <c r="LW216" s="1009"/>
      <c r="LX216" s="1009"/>
      <c r="LY216" s="1009"/>
      <c r="LZ216" s="1009"/>
      <c r="MA216" s="1009"/>
      <c r="MB216" s="1009"/>
      <c r="MC216" s="1009"/>
      <c r="MD216" s="1009"/>
      <c r="ME216" s="1009"/>
      <c r="MF216" s="1009"/>
      <c r="MG216" s="1009"/>
      <c r="MH216" s="1009"/>
      <c r="MI216" s="1009"/>
      <c r="MJ216" s="1009"/>
      <c r="MK216" s="1009"/>
      <c r="ML216" s="1009"/>
      <c r="MM216" s="1009"/>
      <c r="MN216" s="1009"/>
      <c r="MO216" s="1009"/>
      <c r="MP216" s="1009"/>
      <c r="MQ216" s="1009"/>
      <c r="MR216" s="1009"/>
      <c r="MS216" s="1009"/>
      <c r="MT216" s="1009"/>
      <c r="MU216" s="1009"/>
      <c r="MV216" s="1009"/>
      <c r="MW216" s="1009"/>
      <c r="MX216" s="1009"/>
      <c r="MY216" s="1009"/>
      <c r="MZ216" s="1009"/>
      <c r="NA216" s="1009"/>
      <c r="NB216" s="1009"/>
      <c r="NC216" s="1009"/>
      <c r="ND216" s="1009"/>
      <c r="NE216" s="1009"/>
      <c r="NF216" s="1009"/>
      <c r="NG216" s="1009"/>
      <c r="NH216" s="1009"/>
      <c r="NI216" s="1009"/>
      <c r="NJ216" s="1009"/>
      <c r="NK216" s="1009"/>
      <c r="NL216" s="1009"/>
      <c r="NM216" s="1009"/>
      <c r="NN216" s="1009"/>
      <c r="NO216" s="1009"/>
      <c r="NP216" s="1009"/>
      <c r="NQ216" s="1009"/>
      <c r="NR216" s="1009"/>
      <c r="NS216" s="1009"/>
      <c r="NT216" s="1009"/>
      <c r="NU216" s="1009"/>
      <c r="NV216" s="1009"/>
      <c r="NW216" s="1009"/>
      <c r="NX216" s="1009"/>
      <c r="NY216" s="1009"/>
      <c r="NZ216" s="1009"/>
      <c r="OA216" s="1009"/>
      <c r="OB216" s="1009"/>
      <c r="OC216" s="1009"/>
      <c r="OD216" s="1009"/>
      <c r="OE216" s="1009"/>
      <c r="OF216" s="1009"/>
      <c r="OG216" s="1009"/>
      <c r="OH216" s="1009"/>
      <c r="OI216" s="1009"/>
      <c r="OJ216" s="1009"/>
      <c r="OK216" s="1009"/>
      <c r="OL216" s="1009"/>
      <c r="OM216" s="1009"/>
      <c r="ON216" s="1009"/>
      <c r="OO216" s="1009"/>
      <c r="OP216" s="1009"/>
      <c r="OQ216" s="1009"/>
      <c r="OR216" s="1009"/>
      <c r="OS216" s="1009"/>
      <c r="OT216" s="1009"/>
      <c r="OU216" s="1009"/>
      <c r="OV216" s="1009"/>
      <c r="OW216" s="1009"/>
      <c r="OX216" s="1009"/>
      <c r="OY216" s="1009"/>
      <c r="OZ216" s="1009"/>
      <c r="PA216" s="1009"/>
      <c r="PB216" s="1009"/>
      <c r="PC216" s="1009"/>
      <c r="PD216" s="1009"/>
      <c r="PE216" s="1009"/>
      <c r="PF216" s="1009"/>
      <c r="PG216" s="1009"/>
      <c r="PH216" s="1009"/>
      <c r="PI216" s="1009"/>
      <c r="PJ216" s="1009"/>
      <c r="PK216" s="1009"/>
      <c r="PL216" s="1009"/>
      <c r="PM216" s="1009"/>
      <c r="PN216" s="1009"/>
      <c r="PO216" s="1009"/>
      <c r="PP216" s="1009"/>
      <c r="PQ216" s="1009"/>
      <c r="PR216" s="1009"/>
      <c r="PS216" s="1009"/>
      <c r="PT216" s="1009"/>
      <c r="PU216" s="1009"/>
      <c r="PV216" s="1009"/>
      <c r="PW216" s="1009"/>
      <c r="PX216" s="1009"/>
      <c r="PY216" s="1009"/>
      <c r="PZ216" s="1009"/>
      <c r="QA216" s="1009"/>
      <c r="QB216" s="1009"/>
      <c r="QC216" s="1009"/>
      <c r="QD216" s="1009"/>
      <c r="QE216" s="1009"/>
      <c r="QF216" s="1009"/>
      <c r="QG216" s="1009"/>
      <c r="QH216" s="1009"/>
      <c r="QI216" s="1009"/>
      <c r="QJ216" s="1009"/>
      <c r="QK216" s="1009"/>
      <c r="QL216" s="1009"/>
      <c r="QM216" s="1009"/>
      <c r="QN216" s="1009"/>
      <c r="QO216" s="1009"/>
      <c r="QP216" s="1009"/>
      <c r="QQ216" s="1009"/>
      <c r="QR216" s="1009"/>
      <c r="QS216" s="1009"/>
      <c r="QT216" s="1009"/>
      <c r="QU216" s="1009"/>
      <c r="QV216" s="1009"/>
      <c r="QW216" s="1009"/>
      <c r="QX216" s="1009"/>
      <c r="QY216" s="1009"/>
      <c r="QZ216" s="1009"/>
      <c r="RA216" s="1009"/>
      <c r="RB216" s="1009"/>
      <c r="RC216" s="1009"/>
      <c r="RD216" s="1009"/>
      <c r="RE216" s="1009"/>
      <c r="RF216" s="1009"/>
      <c r="RG216" s="1009"/>
      <c r="RH216" s="1009"/>
      <c r="RI216" s="1009"/>
      <c r="RJ216" s="1009"/>
      <c r="RK216" s="1009"/>
      <c r="RL216" s="1009"/>
      <c r="RM216" s="1009"/>
      <c r="RN216" s="1009"/>
      <c r="RO216" s="1009"/>
      <c r="RP216" s="1009"/>
      <c r="RQ216" s="1009"/>
      <c r="RR216" s="1009"/>
      <c r="RS216" s="1009"/>
      <c r="RT216" s="1009"/>
      <c r="RU216" s="1009"/>
      <c r="RV216" s="1009"/>
      <c r="RW216" s="1009"/>
      <c r="RX216" s="1009"/>
      <c r="RY216" s="1009"/>
      <c r="RZ216" s="1009"/>
      <c r="SA216" s="1009"/>
      <c r="SB216" s="1009"/>
      <c r="SC216" s="1009"/>
      <c r="SD216" s="1009"/>
      <c r="SE216" s="1009"/>
      <c r="SF216" s="1009"/>
      <c r="SG216" s="1009"/>
      <c r="SH216" s="1009"/>
      <c r="SI216" s="1009"/>
      <c r="SJ216" s="1009"/>
      <c r="SK216" s="1009"/>
      <c r="SL216" s="1009"/>
      <c r="SM216" s="1009"/>
      <c r="SN216" s="1009"/>
      <c r="SO216" s="1009"/>
      <c r="SP216" s="1009"/>
      <c r="SQ216" s="1009"/>
      <c r="SR216" s="1009"/>
      <c r="SS216" s="1009"/>
      <c r="ST216" s="1009"/>
      <c r="SU216" s="1009"/>
      <c r="SV216" s="1009"/>
      <c r="SW216" s="1009"/>
      <c r="SX216" s="1009"/>
      <c r="SY216" s="1009"/>
      <c r="SZ216" s="1009"/>
      <c r="TA216" s="1009"/>
      <c r="TB216" s="1009"/>
      <c r="TC216" s="1009"/>
      <c r="TD216" s="1009"/>
      <c r="TE216" s="1009"/>
      <c r="TF216" s="1009"/>
      <c r="TG216" s="1009"/>
      <c r="TH216" s="1009"/>
      <c r="TI216" s="1009"/>
      <c r="TJ216" s="1009"/>
      <c r="TK216" s="1009"/>
      <c r="TL216" s="1009"/>
      <c r="TM216" s="1009"/>
      <c r="TN216" s="1009"/>
      <c r="TO216" s="1009"/>
      <c r="TP216" s="1009"/>
      <c r="TQ216" s="1009"/>
      <c r="TR216" s="1009"/>
      <c r="TS216" s="1009"/>
      <c r="TT216" s="1009"/>
      <c r="TU216" s="1009"/>
      <c r="TV216" s="1009"/>
      <c r="TW216" s="1009"/>
      <c r="TX216" s="1009"/>
      <c r="TY216" s="1009"/>
      <c r="TZ216" s="1009"/>
      <c r="UA216" s="1009"/>
      <c r="UB216" s="1009"/>
      <c r="UC216" s="1009"/>
      <c r="UD216" s="1009"/>
      <c r="UE216" s="1009"/>
      <c r="UF216" s="1009"/>
      <c r="UG216" s="1009"/>
      <c r="UH216" s="1009"/>
      <c r="UI216" s="1009"/>
      <c r="UJ216" s="1009"/>
      <c r="UK216" s="1009"/>
      <c r="UL216" s="1009"/>
      <c r="UM216" s="1009"/>
      <c r="UN216" s="1009"/>
      <c r="UO216" s="1009"/>
      <c r="UP216" s="1009"/>
      <c r="UQ216" s="1009"/>
      <c r="UR216" s="1009"/>
      <c r="US216" s="1009"/>
      <c r="UT216" s="1009"/>
      <c r="UU216" s="1009"/>
      <c r="UV216" s="1009"/>
      <c r="UW216" s="1009"/>
      <c r="UX216" s="1009"/>
      <c r="UY216" s="1009"/>
      <c r="UZ216" s="1009"/>
      <c r="VA216" s="1009"/>
      <c r="VB216" s="1009"/>
      <c r="VC216" s="1009"/>
      <c r="VD216" s="1009"/>
      <c r="VE216" s="1009"/>
      <c r="VF216" s="1009"/>
      <c r="VG216" s="1009"/>
      <c r="VH216" s="1009"/>
      <c r="VI216" s="1009"/>
      <c r="VJ216" s="1009"/>
      <c r="VK216" s="1009"/>
      <c r="VL216" s="1009"/>
      <c r="VM216" s="1009"/>
      <c r="VN216" s="1009"/>
      <c r="VO216" s="1009"/>
      <c r="VP216" s="1009"/>
      <c r="VQ216" s="1009"/>
      <c r="VR216" s="1009"/>
      <c r="VS216" s="1009"/>
      <c r="VT216" s="1009"/>
      <c r="VU216" s="1009"/>
      <c r="VV216" s="1009"/>
      <c r="VW216" s="1009"/>
      <c r="VX216" s="1009"/>
      <c r="VY216" s="1009"/>
      <c r="VZ216" s="1009"/>
      <c r="WA216" s="1009"/>
      <c r="WB216" s="1009"/>
      <c r="WC216" s="1009"/>
      <c r="WD216" s="1009"/>
      <c r="WE216" s="1009"/>
      <c r="WF216" s="1009"/>
      <c r="WG216" s="1009"/>
      <c r="WH216" s="1009"/>
      <c r="WI216" s="1009"/>
      <c r="WJ216" s="1009"/>
      <c r="WK216" s="1009"/>
      <c r="WL216" s="1009"/>
      <c r="WM216" s="1009"/>
      <c r="WN216" s="1009"/>
      <c r="WO216" s="1009"/>
      <c r="WP216" s="1009"/>
      <c r="WQ216" s="1009"/>
      <c r="WR216" s="1009"/>
      <c r="WS216" s="1009"/>
      <c r="WT216" s="1009"/>
      <c r="WU216" s="1009"/>
      <c r="WV216" s="1009"/>
      <c r="WW216" s="1009"/>
      <c r="WX216" s="1009"/>
      <c r="WY216" s="1009"/>
      <c r="WZ216" s="1009"/>
      <c r="XA216" s="1009"/>
      <c r="XB216" s="1009"/>
      <c r="XC216" s="1009"/>
      <c r="XD216" s="1009"/>
      <c r="XE216" s="1009"/>
      <c r="XF216" s="1009"/>
      <c r="XG216" s="1009"/>
      <c r="XH216" s="1009"/>
      <c r="XI216" s="1009"/>
      <c r="XJ216" s="1009"/>
      <c r="XK216" s="1009"/>
      <c r="XL216" s="1009"/>
      <c r="XM216" s="1009"/>
      <c r="XN216" s="1009"/>
      <c r="XO216" s="1009"/>
      <c r="XP216" s="1009"/>
      <c r="XQ216" s="1009"/>
      <c r="XR216" s="1009"/>
      <c r="XS216" s="1009"/>
      <c r="XT216" s="1009"/>
      <c r="XU216" s="1009"/>
      <c r="XV216" s="1009"/>
      <c r="XW216" s="1009"/>
      <c r="XX216" s="1009"/>
      <c r="XY216" s="1009"/>
      <c r="XZ216" s="1009"/>
      <c r="YA216" s="1009"/>
      <c r="YB216" s="1009"/>
      <c r="YC216" s="1009"/>
      <c r="YD216" s="1009"/>
      <c r="YE216" s="1009"/>
      <c r="YF216" s="1009"/>
      <c r="YG216" s="1009"/>
      <c r="YH216" s="1009"/>
      <c r="YI216" s="1009"/>
      <c r="YJ216" s="1009"/>
      <c r="YK216" s="1009"/>
      <c r="YL216" s="1009"/>
      <c r="YM216" s="1009"/>
      <c r="YN216" s="1009"/>
      <c r="YO216" s="1009"/>
      <c r="YP216" s="1009"/>
      <c r="YQ216" s="1009"/>
      <c r="YR216" s="1009"/>
      <c r="YS216" s="1009"/>
      <c r="YT216" s="1009"/>
      <c r="YU216" s="1009"/>
      <c r="YV216" s="1009"/>
      <c r="YW216" s="1009"/>
      <c r="YX216" s="1009"/>
      <c r="YY216" s="1009"/>
      <c r="YZ216" s="1009"/>
      <c r="ZA216" s="1009"/>
      <c r="ZB216" s="1009"/>
      <c r="ZC216" s="1009"/>
      <c r="ZD216" s="1009"/>
      <c r="ZE216" s="1009"/>
      <c r="ZF216" s="1009"/>
      <c r="ZG216" s="1009"/>
      <c r="ZH216" s="1009"/>
      <c r="ZI216" s="1009"/>
      <c r="ZJ216" s="1009"/>
      <c r="ZK216" s="1009"/>
      <c r="ZL216" s="1009"/>
      <c r="ZM216" s="1009"/>
      <c r="ZN216" s="1009"/>
      <c r="ZO216" s="1009"/>
      <c r="ZP216" s="1009"/>
      <c r="ZQ216" s="1009"/>
      <c r="ZR216" s="1009"/>
      <c r="ZS216" s="1009"/>
      <c r="ZT216" s="1009"/>
      <c r="ZU216" s="1009"/>
      <c r="ZV216" s="1009"/>
      <c r="ZW216" s="1009"/>
      <c r="ZX216" s="1009"/>
      <c r="ZY216" s="1009"/>
      <c r="ZZ216" s="1009"/>
      <c r="AAA216" s="1009"/>
      <c r="AAB216" s="1009"/>
      <c r="AAC216" s="1009"/>
      <c r="AAD216" s="1009"/>
      <c r="AAE216" s="1009"/>
      <c r="AAF216" s="1009"/>
      <c r="AAG216" s="1009"/>
      <c r="AAH216" s="1009"/>
      <c r="AAI216" s="1009"/>
      <c r="AAJ216" s="1009"/>
      <c r="AAK216" s="1009"/>
      <c r="AAL216" s="1009"/>
      <c r="AAM216" s="1009"/>
      <c r="AAN216" s="1009"/>
      <c r="AAO216" s="1009"/>
      <c r="AAP216" s="1009"/>
      <c r="AAQ216" s="1009"/>
      <c r="AAR216" s="1009"/>
      <c r="AAS216" s="1009"/>
      <c r="AAT216" s="1009"/>
      <c r="AAU216" s="1009"/>
      <c r="AAV216" s="1009"/>
      <c r="AAW216" s="1009"/>
      <c r="AAX216" s="1009"/>
      <c r="AAY216" s="1009"/>
      <c r="AAZ216" s="1009"/>
      <c r="ABA216" s="1009"/>
      <c r="ABB216" s="1009"/>
      <c r="ABC216" s="1009"/>
      <c r="ABD216" s="1009"/>
      <c r="ABE216" s="1009"/>
      <c r="ABF216" s="1009"/>
      <c r="ABG216" s="1009"/>
      <c r="ABH216" s="1009"/>
      <c r="ABI216" s="1009"/>
      <c r="ABJ216" s="1009"/>
      <c r="ABK216" s="1009"/>
      <c r="ABL216" s="1009"/>
      <c r="ABM216" s="1009"/>
      <c r="ABN216" s="1009"/>
      <c r="ABO216" s="1009"/>
      <c r="ABP216" s="1009"/>
      <c r="ABQ216" s="1009"/>
      <c r="ABR216" s="1009"/>
    </row>
    <row r="217" spans="1:746" s="111" customFormat="1" ht="12" customHeight="1">
      <c r="A217" s="924"/>
      <c r="B217" s="1894" t="s">
        <v>1058</v>
      </c>
      <c r="C217" s="1895"/>
      <c r="D217" s="1896"/>
      <c r="E217" s="2937"/>
      <c r="F217" s="2938"/>
      <c r="G217" s="2939"/>
      <c r="H217" s="2548" t="s">
        <v>1334</v>
      </c>
      <c r="I217" s="2591">
        <f>fx!I380</f>
        <v>0</v>
      </c>
      <c r="J217" s="2385">
        <f>fx!J380</f>
        <v>0</v>
      </c>
      <c r="K217" s="2385">
        <f>fx!K380</f>
        <v>0</v>
      </c>
      <c r="L217" s="2385">
        <f>fx!L380</f>
        <v>0</v>
      </c>
      <c r="M217" s="2385">
        <f>fx!M380</f>
        <v>0</v>
      </c>
      <c r="N217" s="2385">
        <f>fx!N380</f>
        <v>0</v>
      </c>
      <c r="O217" s="2385">
        <f>fx!O380</f>
        <v>0</v>
      </c>
      <c r="P217" s="2385">
        <f>fx!P380</f>
        <v>0</v>
      </c>
      <c r="Q217" s="2385">
        <f>fx!Q380</f>
        <v>0</v>
      </c>
      <c r="R217" s="2385">
        <f>fx!R380</f>
        <v>0</v>
      </c>
      <c r="S217" s="2385">
        <f>fx!S380</f>
        <v>0</v>
      </c>
      <c r="T217" s="2385">
        <f>fx!T380</f>
        <v>0</v>
      </c>
      <c r="U217" s="2385">
        <f>fx!U380</f>
        <v>0</v>
      </c>
      <c r="V217" s="2385">
        <f>fx!V380</f>
        <v>0</v>
      </c>
      <c r="W217" s="2385">
        <f>fx!W380</f>
        <v>0</v>
      </c>
      <c r="X217" s="2385">
        <f>fx!X380</f>
        <v>0</v>
      </c>
      <c r="Y217" s="2385">
        <f>fx!Y380</f>
        <v>0</v>
      </c>
      <c r="Z217" s="2385">
        <f>fx!Z380</f>
        <v>0</v>
      </c>
      <c r="AA217" s="2385">
        <f>fx!AA380</f>
        <v>0</v>
      </c>
      <c r="AB217" s="2385">
        <f>fx!AB380</f>
        <v>0</v>
      </c>
      <c r="AC217" s="2385">
        <f>fx!AC380</f>
        <v>0</v>
      </c>
      <c r="AD217" s="2385">
        <f>fx!AD380</f>
        <v>0</v>
      </c>
      <c r="AE217" s="2385">
        <f>fx!AE380</f>
        <v>0</v>
      </c>
      <c r="AF217" s="2385">
        <f>fx!AF380</f>
        <v>0</v>
      </c>
      <c r="AG217" s="376"/>
      <c r="AH217" s="769"/>
      <c r="AI217" s="769"/>
      <c r="AJ217" s="904">
        <f>IF(fx!$C$57=1,T217,IF(fx!$C$57=2,AF217))</f>
        <v>0</v>
      </c>
      <c r="AK217" s="774"/>
      <c r="AL217" s="905">
        <f>IF(fx!$C$57=1,AF217,0)</f>
        <v>0</v>
      </c>
      <c r="AM217" s="1009"/>
      <c r="AN217" s="1009"/>
      <c r="AO217" s="1945"/>
      <c r="AP217" s="1935"/>
      <c r="AQ217" s="1936"/>
      <c r="AR217" s="2236"/>
      <c r="AS217" s="2236"/>
      <c r="AT217" s="2236"/>
      <c r="AU217" s="2236"/>
      <c r="AV217" s="2236"/>
      <c r="AW217" s="2236"/>
      <c r="AX217" s="2236"/>
      <c r="AY217" s="2236"/>
      <c r="AZ217" s="2236"/>
      <c r="BA217" s="2236"/>
      <c r="BB217" s="2236"/>
      <c r="BC217" s="2236"/>
      <c r="BD217" s="2236"/>
      <c r="BE217" s="2236"/>
      <c r="BF217" s="2236"/>
      <c r="BG217" s="2236"/>
      <c r="BH217" s="2236"/>
      <c r="BI217" s="2236"/>
      <c r="BJ217" s="2236"/>
      <c r="BK217" s="2236"/>
      <c r="BL217" s="2236"/>
      <c r="BM217" s="2236"/>
      <c r="BN217" s="2236"/>
      <c r="BO217" s="2236"/>
      <c r="BP217" s="1009"/>
      <c r="BQ217" s="1009"/>
      <c r="BR217" s="1009"/>
      <c r="BS217" s="1009"/>
      <c r="BT217" s="1009"/>
      <c r="BU217" s="1009"/>
      <c r="BV217" s="1009"/>
      <c r="BW217" s="1009"/>
      <c r="BX217" s="1009"/>
      <c r="BY217" s="1009"/>
      <c r="BZ217" s="1009"/>
      <c r="CA217" s="1009"/>
      <c r="CB217" s="1009"/>
      <c r="CC217" s="1009"/>
      <c r="CD217" s="1009"/>
      <c r="CE217" s="1009"/>
      <c r="CF217" s="1009"/>
      <c r="CG217" s="1009"/>
      <c r="CH217" s="1009"/>
      <c r="CI217" s="1009"/>
      <c r="CJ217" s="1009"/>
      <c r="CK217" s="1009"/>
      <c r="CL217" s="1009"/>
      <c r="CM217" s="1009"/>
      <c r="CN217" s="1009"/>
      <c r="CO217" s="1009"/>
      <c r="CP217" s="1009"/>
      <c r="CQ217" s="1009"/>
      <c r="CR217" s="1009"/>
      <c r="CS217" s="1009"/>
      <c r="CT217" s="1009"/>
      <c r="CU217" s="1009"/>
      <c r="CV217" s="1009"/>
      <c r="CW217" s="1009"/>
      <c r="CX217" s="1009"/>
      <c r="CY217" s="1009"/>
      <c r="CZ217" s="1009"/>
      <c r="DA217" s="1009"/>
      <c r="DB217" s="1009"/>
      <c r="DC217" s="1009"/>
      <c r="DD217" s="1009"/>
      <c r="DE217" s="1009"/>
      <c r="DF217" s="1009"/>
      <c r="DG217" s="1009"/>
      <c r="DH217" s="1009"/>
      <c r="DI217" s="1009"/>
      <c r="DJ217" s="1009"/>
      <c r="DK217" s="1009"/>
      <c r="DL217" s="1009"/>
      <c r="DM217" s="1009"/>
      <c r="DN217" s="1009"/>
      <c r="DO217" s="1009"/>
      <c r="DP217" s="1009"/>
      <c r="DQ217" s="1009"/>
      <c r="DR217" s="1009"/>
      <c r="DS217" s="1009"/>
      <c r="DT217" s="1009"/>
      <c r="DU217" s="1009"/>
      <c r="DV217" s="1009"/>
      <c r="DW217" s="1009"/>
      <c r="DX217" s="1009"/>
      <c r="DY217" s="1009"/>
      <c r="DZ217" s="1009"/>
      <c r="EA217" s="1009"/>
      <c r="EB217" s="1009"/>
      <c r="EC217" s="1009"/>
      <c r="ED217" s="1009"/>
      <c r="EE217" s="1009"/>
      <c r="EF217" s="1009"/>
      <c r="EG217" s="1009"/>
      <c r="EH217" s="1009"/>
      <c r="EI217" s="1009"/>
      <c r="EJ217" s="1009"/>
      <c r="EK217" s="1009"/>
      <c r="EL217" s="1009"/>
      <c r="EM217" s="1009"/>
      <c r="EN217" s="1009"/>
      <c r="EO217" s="1009"/>
      <c r="EP217" s="1009"/>
      <c r="EQ217" s="1009"/>
      <c r="ER217" s="1009"/>
      <c r="ES217" s="1009"/>
      <c r="ET217" s="1009"/>
      <c r="EU217" s="1009"/>
      <c r="EV217" s="1009"/>
      <c r="EW217" s="1009"/>
      <c r="EX217" s="1009"/>
      <c r="EY217" s="1009"/>
      <c r="EZ217" s="1009"/>
      <c r="FA217" s="1009"/>
      <c r="FB217" s="1009"/>
      <c r="FC217" s="1009"/>
      <c r="FD217" s="1009"/>
      <c r="FE217" s="1009"/>
      <c r="FF217" s="1009"/>
      <c r="FG217" s="1009"/>
      <c r="FH217" s="1009"/>
      <c r="FI217" s="1009"/>
      <c r="FJ217" s="1009"/>
      <c r="FK217" s="1009"/>
      <c r="FL217" s="1009"/>
      <c r="FM217" s="1009"/>
      <c r="FN217" s="1009"/>
      <c r="FO217" s="1009"/>
      <c r="FP217" s="1009"/>
      <c r="FQ217" s="1009"/>
      <c r="FR217" s="1009"/>
      <c r="FS217" s="1009"/>
      <c r="FT217" s="1009"/>
      <c r="FU217" s="1009"/>
      <c r="FV217" s="1009"/>
      <c r="FW217" s="1009"/>
      <c r="FX217" s="1009"/>
      <c r="FY217" s="1009"/>
      <c r="FZ217" s="1009"/>
      <c r="GA217" s="1009"/>
      <c r="GB217" s="1009"/>
      <c r="GC217" s="1009"/>
      <c r="GD217" s="1009"/>
      <c r="GE217" s="1009"/>
      <c r="GF217" s="1009"/>
      <c r="GG217" s="1009"/>
      <c r="GH217" s="1009"/>
      <c r="GI217" s="1009"/>
      <c r="GJ217" s="1009"/>
      <c r="GK217" s="1009"/>
      <c r="GL217" s="1009"/>
      <c r="GM217" s="1009"/>
      <c r="GN217" s="1009"/>
      <c r="GO217" s="1009"/>
      <c r="GP217" s="1009"/>
      <c r="GQ217" s="1009"/>
      <c r="GR217" s="1009"/>
      <c r="GS217" s="1009"/>
      <c r="GT217" s="1009"/>
      <c r="GU217" s="1009"/>
      <c r="GV217" s="1009"/>
      <c r="GW217" s="1009"/>
      <c r="GX217" s="1009"/>
      <c r="GY217" s="1009"/>
      <c r="GZ217" s="1009"/>
      <c r="HA217" s="1009"/>
      <c r="HB217" s="1009"/>
      <c r="HC217" s="1009"/>
      <c r="HD217" s="1009"/>
      <c r="HE217" s="1009"/>
      <c r="HF217" s="1009"/>
      <c r="HG217" s="1009"/>
      <c r="HH217" s="1009"/>
      <c r="HI217" s="1009"/>
      <c r="HJ217" s="1009"/>
      <c r="HK217" s="1009"/>
      <c r="HL217" s="1009"/>
      <c r="HM217" s="1009"/>
      <c r="HN217" s="1009"/>
      <c r="HO217" s="1009"/>
      <c r="HP217" s="1009"/>
      <c r="HQ217" s="1009"/>
      <c r="HR217" s="1009"/>
      <c r="HS217" s="1009"/>
      <c r="HT217" s="1009"/>
      <c r="HU217" s="1009"/>
      <c r="HV217" s="1009"/>
      <c r="HW217" s="1009"/>
      <c r="HX217" s="1009"/>
      <c r="HY217" s="1009"/>
      <c r="HZ217" s="1009"/>
      <c r="IA217" s="1009"/>
      <c r="IB217" s="1009"/>
      <c r="IC217" s="1009"/>
      <c r="ID217" s="1009"/>
      <c r="IE217" s="1009"/>
      <c r="IF217" s="1009"/>
      <c r="IG217" s="1009"/>
      <c r="IH217" s="1009"/>
      <c r="II217" s="1009"/>
      <c r="IJ217" s="1009"/>
      <c r="IK217" s="1009"/>
      <c r="IL217" s="1009"/>
      <c r="IM217" s="1009"/>
      <c r="IN217" s="1009"/>
      <c r="IO217" s="1009"/>
      <c r="IP217" s="1009"/>
      <c r="IQ217" s="1009"/>
      <c r="IR217" s="1009"/>
      <c r="IS217" s="1009"/>
      <c r="IT217" s="1009"/>
      <c r="IU217" s="1009"/>
      <c r="IV217" s="1009"/>
      <c r="IW217" s="1009"/>
      <c r="IX217" s="1009"/>
      <c r="IY217" s="1009"/>
      <c r="IZ217" s="1009"/>
      <c r="JA217" s="1009"/>
      <c r="JB217" s="1009"/>
      <c r="JC217" s="1009"/>
      <c r="JD217" s="1009"/>
      <c r="JE217" s="1009"/>
      <c r="JF217" s="1009"/>
      <c r="JG217" s="1009"/>
      <c r="JH217" s="1009"/>
      <c r="JI217" s="1009"/>
      <c r="JJ217" s="1009"/>
      <c r="JK217" s="1009"/>
      <c r="JL217" s="1009"/>
      <c r="JM217" s="1009"/>
      <c r="JN217" s="1009"/>
      <c r="JO217" s="1009"/>
      <c r="JP217" s="1009"/>
      <c r="JQ217" s="1009"/>
      <c r="JR217" s="1009"/>
      <c r="JS217" s="1009"/>
      <c r="JT217" s="1009"/>
      <c r="JU217" s="1009"/>
      <c r="JV217" s="1009"/>
      <c r="JW217" s="1009"/>
      <c r="JX217" s="1009"/>
      <c r="JY217" s="1009"/>
      <c r="JZ217" s="1009"/>
      <c r="KA217" s="1009"/>
      <c r="KB217" s="1009"/>
      <c r="KC217" s="1009"/>
      <c r="KD217" s="1009"/>
      <c r="KE217" s="1009"/>
      <c r="KF217" s="1009"/>
      <c r="KG217" s="1009"/>
      <c r="KH217" s="1009"/>
      <c r="KI217" s="1009"/>
      <c r="KJ217" s="1009"/>
      <c r="KK217" s="1009"/>
      <c r="KL217" s="1009"/>
      <c r="KM217" s="1009"/>
      <c r="KN217" s="1009"/>
      <c r="KO217" s="1009"/>
      <c r="KP217" s="1009"/>
      <c r="KQ217" s="1009"/>
      <c r="KR217" s="1009"/>
      <c r="KS217" s="1009"/>
      <c r="KT217" s="1009"/>
      <c r="KU217" s="1009"/>
      <c r="KV217" s="1009"/>
      <c r="KW217" s="1009"/>
      <c r="KX217" s="1009"/>
      <c r="KY217" s="1009"/>
      <c r="KZ217" s="1009"/>
      <c r="LA217" s="1009"/>
      <c r="LB217" s="1009"/>
      <c r="LC217" s="1009"/>
      <c r="LD217" s="1009"/>
      <c r="LE217" s="1009"/>
      <c r="LF217" s="1009"/>
      <c r="LG217" s="1009"/>
      <c r="LH217" s="1009"/>
      <c r="LI217" s="1009"/>
      <c r="LJ217" s="1009"/>
      <c r="LK217" s="1009"/>
      <c r="LL217" s="1009"/>
      <c r="LM217" s="1009"/>
      <c r="LN217" s="1009"/>
      <c r="LO217" s="1009"/>
      <c r="LP217" s="1009"/>
      <c r="LQ217" s="1009"/>
      <c r="LR217" s="1009"/>
      <c r="LS217" s="1009"/>
      <c r="LT217" s="1009"/>
      <c r="LU217" s="1009"/>
      <c r="LV217" s="1009"/>
      <c r="LW217" s="1009"/>
      <c r="LX217" s="1009"/>
      <c r="LY217" s="1009"/>
      <c r="LZ217" s="1009"/>
      <c r="MA217" s="1009"/>
      <c r="MB217" s="1009"/>
      <c r="MC217" s="1009"/>
      <c r="MD217" s="1009"/>
      <c r="ME217" s="1009"/>
      <c r="MF217" s="1009"/>
      <c r="MG217" s="1009"/>
      <c r="MH217" s="1009"/>
      <c r="MI217" s="1009"/>
      <c r="MJ217" s="1009"/>
      <c r="MK217" s="1009"/>
      <c r="ML217" s="1009"/>
      <c r="MM217" s="1009"/>
      <c r="MN217" s="1009"/>
      <c r="MO217" s="1009"/>
      <c r="MP217" s="1009"/>
      <c r="MQ217" s="1009"/>
      <c r="MR217" s="1009"/>
      <c r="MS217" s="1009"/>
      <c r="MT217" s="1009"/>
      <c r="MU217" s="1009"/>
      <c r="MV217" s="1009"/>
      <c r="MW217" s="1009"/>
      <c r="MX217" s="1009"/>
      <c r="MY217" s="1009"/>
      <c r="MZ217" s="1009"/>
      <c r="NA217" s="1009"/>
      <c r="NB217" s="1009"/>
      <c r="NC217" s="1009"/>
      <c r="ND217" s="1009"/>
      <c r="NE217" s="1009"/>
      <c r="NF217" s="1009"/>
      <c r="NG217" s="1009"/>
      <c r="NH217" s="1009"/>
      <c r="NI217" s="1009"/>
      <c r="NJ217" s="1009"/>
      <c r="NK217" s="1009"/>
      <c r="NL217" s="1009"/>
      <c r="NM217" s="1009"/>
      <c r="NN217" s="1009"/>
      <c r="NO217" s="1009"/>
      <c r="NP217" s="1009"/>
      <c r="NQ217" s="1009"/>
      <c r="NR217" s="1009"/>
      <c r="NS217" s="1009"/>
      <c r="NT217" s="1009"/>
      <c r="NU217" s="1009"/>
      <c r="NV217" s="1009"/>
      <c r="NW217" s="1009"/>
      <c r="NX217" s="1009"/>
      <c r="NY217" s="1009"/>
      <c r="NZ217" s="1009"/>
      <c r="OA217" s="1009"/>
      <c r="OB217" s="1009"/>
      <c r="OC217" s="1009"/>
      <c r="OD217" s="1009"/>
      <c r="OE217" s="1009"/>
      <c r="OF217" s="1009"/>
      <c r="OG217" s="1009"/>
      <c r="OH217" s="1009"/>
      <c r="OI217" s="1009"/>
      <c r="OJ217" s="1009"/>
      <c r="OK217" s="1009"/>
      <c r="OL217" s="1009"/>
      <c r="OM217" s="1009"/>
      <c r="ON217" s="1009"/>
      <c r="OO217" s="1009"/>
      <c r="OP217" s="1009"/>
      <c r="OQ217" s="1009"/>
      <c r="OR217" s="1009"/>
      <c r="OS217" s="1009"/>
      <c r="OT217" s="1009"/>
      <c r="OU217" s="1009"/>
      <c r="OV217" s="1009"/>
      <c r="OW217" s="1009"/>
      <c r="OX217" s="1009"/>
      <c r="OY217" s="1009"/>
      <c r="OZ217" s="1009"/>
      <c r="PA217" s="1009"/>
      <c r="PB217" s="1009"/>
      <c r="PC217" s="1009"/>
      <c r="PD217" s="1009"/>
      <c r="PE217" s="1009"/>
      <c r="PF217" s="1009"/>
      <c r="PG217" s="1009"/>
      <c r="PH217" s="1009"/>
      <c r="PI217" s="1009"/>
      <c r="PJ217" s="1009"/>
      <c r="PK217" s="1009"/>
      <c r="PL217" s="1009"/>
      <c r="PM217" s="1009"/>
      <c r="PN217" s="1009"/>
      <c r="PO217" s="1009"/>
      <c r="PP217" s="1009"/>
      <c r="PQ217" s="1009"/>
      <c r="PR217" s="1009"/>
      <c r="PS217" s="1009"/>
      <c r="PT217" s="1009"/>
      <c r="PU217" s="1009"/>
      <c r="PV217" s="1009"/>
      <c r="PW217" s="1009"/>
      <c r="PX217" s="1009"/>
      <c r="PY217" s="1009"/>
      <c r="PZ217" s="1009"/>
      <c r="QA217" s="1009"/>
      <c r="QB217" s="1009"/>
      <c r="QC217" s="1009"/>
      <c r="QD217" s="1009"/>
      <c r="QE217" s="1009"/>
      <c r="QF217" s="1009"/>
      <c r="QG217" s="1009"/>
      <c r="QH217" s="1009"/>
      <c r="QI217" s="1009"/>
      <c r="QJ217" s="1009"/>
      <c r="QK217" s="1009"/>
      <c r="QL217" s="1009"/>
      <c r="QM217" s="1009"/>
      <c r="QN217" s="1009"/>
      <c r="QO217" s="1009"/>
      <c r="QP217" s="1009"/>
      <c r="QQ217" s="1009"/>
      <c r="QR217" s="1009"/>
      <c r="QS217" s="1009"/>
      <c r="QT217" s="1009"/>
      <c r="QU217" s="1009"/>
      <c r="QV217" s="1009"/>
      <c r="QW217" s="1009"/>
      <c r="QX217" s="1009"/>
      <c r="QY217" s="1009"/>
      <c r="QZ217" s="1009"/>
      <c r="RA217" s="1009"/>
      <c r="RB217" s="1009"/>
      <c r="RC217" s="1009"/>
      <c r="RD217" s="1009"/>
      <c r="RE217" s="1009"/>
      <c r="RF217" s="1009"/>
      <c r="RG217" s="1009"/>
      <c r="RH217" s="1009"/>
      <c r="RI217" s="1009"/>
      <c r="RJ217" s="1009"/>
      <c r="RK217" s="1009"/>
      <c r="RL217" s="1009"/>
      <c r="RM217" s="1009"/>
      <c r="RN217" s="1009"/>
      <c r="RO217" s="1009"/>
      <c r="RP217" s="1009"/>
      <c r="RQ217" s="1009"/>
      <c r="RR217" s="1009"/>
      <c r="RS217" s="1009"/>
      <c r="RT217" s="1009"/>
      <c r="RU217" s="1009"/>
      <c r="RV217" s="1009"/>
      <c r="RW217" s="1009"/>
      <c r="RX217" s="1009"/>
      <c r="RY217" s="1009"/>
      <c r="RZ217" s="1009"/>
      <c r="SA217" s="1009"/>
      <c r="SB217" s="1009"/>
      <c r="SC217" s="1009"/>
      <c r="SD217" s="1009"/>
      <c r="SE217" s="1009"/>
      <c r="SF217" s="1009"/>
      <c r="SG217" s="1009"/>
      <c r="SH217" s="1009"/>
      <c r="SI217" s="1009"/>
      <c r="SJ217" s="1009"/>
      <c r="SK217" s="1009"/>
      <c r="SL217" s="1009"/>
      <c r="SM217" s="1009"/>
      <c r="SN217" s="1009"/>
      <c r="SO217" s="1009"/>
      <c r="SP217" s="1009"/>
      <c r="SQ217" s="1009"/>
      <c r="SR217" s="1009"/>
      <c r="SS217" s="1009"/>
      <c r="ST217" s="1009"/>
      <c r="SU217" s="1009"/>
      <c r="SV217" s="1009"/>
      <c r="SW217" s="1009"/>
      <c r="SX217" s="1009"/>
      <c r="SY217" s="1009"/>
      <c r="SZ217" s="1009"/>
      <c r="TA217" s="1009"/>
      <c r="TB217" s="1009"/>
      <c r="TC217" s="1009"/>
      <c r="TD217" s="1009"/>
      <c r="TE217" s="1009"/>
      <c r="TF217" s="1009"/>
      <c r="TG217" s="1009"/>
      <c r="TH217" s="1009"/>
      <c r="TI217" s="1009"/>
      <c r="TJ217" s="1009"/>
      <c r="TK217" s="1009"/>
      <c r="TL217" s="1009"/>
      <c r="TM217" s="1009"/>
      <c r="TN217" s="1009"/>
      <c r="TO217" s="1009"/>
      <c r="TP217" s="1009"/>
      <c r="TQ217" s="1009"/>
      <c r="TR217" s="1009"/>
      <c r="TS217" s="1009"/>
      <c r="TT217" s="1009"/>
      <c r="TU217" s="1009"/>
      <c r="TV217" s="1009"/>
      <c r="TW217" s="1009"/>
      <c r="TX217" s="1009"/>
      <c r="TY217" s="1009"/>
      <c r="TZ217" s="1009"/>
      <c r="UA217" s="1009"/>
      <c r="UB217" s="1009"/>
      <c r="UC217" s="1009"/>
      <c r="UD217" s="1009"/>
      <c r="UE217" s="1009"/>
      <c r="UF217" s="1009"/>
      <c r="UG217" s="1009"/>
      <c r="UH217" s="1009"/>
      <c r="UI217" s="1009"/>
      <c r="UJ217" s="1009"/>
      <c r="UK217" s="1009"/>
      <c r="UL217" s="1009"/>
      <c r="UM217" s="1009"/>
      <c r="UN217" s="1009"/>
      <c r="UO217" s="1009"/>
      <c r="UP217" s="1009"/>
      <c r="UQ217" s="1009"/>
      <c r="UR217" s="1009"/>
      <c r="US217" s="1009"/>
      <c r="UT217" s="1009"/>
      <c r="UU217" s="1009"/>
      <c r="UV217" s="1009"/>
      <c r="UW217" s="1009"/>
      <c r="UX217" s="1009"/>
      <c r="UY217" s="1009"/>
      <c r="UZ217" s="1009"/>
      <c r="VA217" s="1009"/>
      <c r="VB217" s="1009"/>
      <c r="VC217" s="1009"/>
      <c r="VD217" s="1009"/>
      <c r="VE217" s="1009"/>
      <c r="VF217" s="1009"/>
      <c r="VG217" s="1009"/>
      <c r="VH217" s="1009"/>
      <c r="VI217" s="1009"/>
      <c r="VJ217" s="1009"/>
      <c r="VK217" s="1009"/>
      <c r="VL217" s="1009"/>
      <c r="VM217" s="1009"/>
      <c r="VN217" s="1009"/>
      <c r="VO217" s="1009"/>
      <c r="VP217" s="1009"/>
      <c r="VQ217" s="1009"/>
      <c r="VR217" s="1009"/>
      <c r="VS217" s="1009"/>
      <c r="VT217" s="1009"/>
      <c r="VU217" s="1009"/>
      <c r="VV217" s="1009"/>
      <c r="VW217" s="1009"/>
      <c r="VX217" s="1009"/>
      <c r="VY217" s="1009"/>
      <c r="VZ217" s="1009"/>
      <c r="WA217" s="1009"/>
      <c r="WB217" s="1009"/>
      <c r="WC217" s="1009"/>
      <c r="WD217" s="1009"/>
      <c r="WE217" s="1009"/>
      <c r="WF217" s="1009"/>
      <c r="WG217" s="1009"/>
      <c r="WH217" s="1009"/>
      <c r="WI217" s="1009"/>
      <c r="WJ217" s="1009"/>
      <c r="WK217" s="1009"/>
      <c r="WL217" s="1009"/>
      <c r="WM217" s="1009"/>
      <c r="WN217" s="1009"/>
      <c r="WO217" s="1009"/>
      <c r="WP217" s="1009"/>
      <c r="WQ217" s="1009"/>
      <c r="WR217" s="1009"/>
      <c r="WS217" s="1009"/>
      <c r="WT217" s="1009"/>
      <c r="WU217" s="1009"/>
      <c r="WV217" s="1009"/>
      <c r="WW217" s="1009"/>
      <c r="WX217" s="1009"/>
      <c r="WY217" s="1009"/>
      <c r="WZ217" s="1009"/>
      <c r="XA217" s="1009"/>
      <c r="XB217" s="1009"/>
      <c r="XC217" s="1009"/>
      <c r="XD217" s="1009"/>
      <c r="XE217" s="1009"/>
      <c r="XF217" s="1009"/>
      <c r="XG217" s="1009"/>
      <c r="XH217" s="1009"/>
      <c r="XI217" s="1009"/>
      <c r="XJ217" s="1009"/>
      <c r="XK217" s="1009"/>
      <c r="XL217" s="1009"/>
      <c r="XM217" s="1009"/>
      <c r="XN217" s="1009"/>
      <c r="XO217" s="1009"/>
      <c r="XP217" s="1009"/>
      <c r="XQ217" s="1009"/>
      <c r="XR217" s="1009"/>
      <c r="XS217" s="1009"/>
      <c r="XT217" s="1009"/>
      <c r="XU217" s="1009"/>
      <c r="XV217" s="1009"/>
      <c r="XW217" s="1009"/>
      <c r="XX217" s="1009"/>
      <c r="XY217" s="1009"/>
      <c r="XZ217" s="1009"/>
      <c r="YA217" s="1009"/>
      <c r="YB217" s="1009"/>
      <c r="YC217" s="1009"/>
      <c r="YD217" s="1009"/>
      <c r="YE217" s="1009"/>
      <c r="YF217" s="1009"/>
      <c r="YG217" s="1009"/>
      <c r="YH217" s="1009"/>
      <c r="YI217" s="1009"/>
      <c r="YJ217" s="1009"/>
      <c r="YK217" s="1009"/>
      <c r="YL217" s="1009"/>
      <c r="YM217" s="1009"/>
      <c r="YN217" s="1009"/>
      <c r="YO217" s="1009"/>
      <c r="YP217" s="1009"/>
      <c r="YQ217" s="1009"/>
      <c r="YR217" s="1009"/>
      <c r="YS217" s="1009"/>
      <c r="YT217" s="1009"/>
      <c r="YU217" s="1009"/>
      <c r="YV217" s="1009"/>
      <c r="YW217" s="1009"/>
      <c r="YX217" s="1009"/>
      <c r="YY217" s="1009"/>
      <c r="YZ217" s="1009"/>
      <c r="ZA217" s="1009"/>
      <c r="ZB217" s="1009"/>
      <c r="ZC217" s="1009"/>
      <c r="ZD217" s="1009"/>
      <c r="ZE217" s="1009"/>
      <c r="ZF217" s="1009"/>
      <c r="ZG217" s="1009"/>
      <c r="ZH217" s="1009"/>
      <c r="ZI217" s="1009"/>
      <c r="ZJ217" s="1009"/>
      <c r="ZK217" s="1009"/>
      <c r="ZL217" s="1009"/>
      <c r="ZM217" s="1009"/>
      <c r="ZN217" s="1009"/>
      <c r="ZO217" s="1009"/>
      <c r="ZP217" s="1009"/>
      <c r="ZQ217" s="1009"/>
      <c r="ZR217" s="1009"/>
      <c r="ZS217" s="1009"/>
      <c r="ZT217" s="1009"/>
      <c r="ZU217" s="1009"/>
      <c r="ZV217" s="1009"/>
      <c r="ZW217" s="1009"/>
      <c r="ZX217" s="1009"/>
      <c r="ZY217" s="1009"/>
      <c r="ZZ217" s="1009"/>
      <c r="AAA217" s="1009"/>
      <c r="AAB217" s="1009"/>
      <c r="AAC217" s="1009"/>
      <c r="AAD217" s="1009"/>
      <c r="AAE217" s="1009"/>
      <c r="AAF217" s="1009"/>
      <c r="AAG217" s="1009"/>
      <c r="AAH217" s="1009"/>
      <c r="AAI217" s="1009"/>
      <c r="AAJ217" s="1009"/>
      <c r="AAK217" s="1009"/>
      <c r="AAL217" s="1009"/>
      <c r="AAM217" s="1009"/>
      <c r="AAN217" s="1009"/>
      <c r="AAO217" s="1009"/>
      <c r="AAP217" s="1009"/>
      <c r="AAQ217" s="1009"/>
      <c r="AAR217" s="1009"/>
      <c r="AAS217" s="1009"/>
      <c r="AAT217" s="1009"/>
      <c r="AAU217" s="1009"/>
      <c r="AAV217" s="1009"/>
      <c r="AAW217" s="1009"/>
      <c r="AAX217" s="1009"/>
      <c r="AAY217" s="1009"/>
      <c r="AAZ217" s="1009"/>
      <c r="ABA217" s="1009"/>
      <c r="ABB217" s="1009"/>
      <c r="ABC217" s="1009"/>
      <c r="ABD217" s="1009"/>
      <c r="ABE217" s="1009"/>
      <c r="ABF217" s="1009"/>
      <c r="ABG217" s="1009"/>
      <c r="ABH217" s="1009"/>
      <c r="ABI217" s="1009"/>
      <c r="ABJ217" s="1009"/>
      <c r="ABK217" s="1009"/>
      <c r="ABL217" s="1009"/>
      <c r="ABM217" s="1009"/>
      <c r="ABN217" s="1009"/>
      <c r="ABO217" s="1009"/>
      <c r="ABP217" s="1009"/>
      <c r="ABQ217" s="1009"/>
      <c r="ABR217" s="1009"/>
    </row>
    <row r="218" spans="1:746" s="111" customFormat="1" ht="12" customHeight="1">
      <c r="A218" s="924"/>
      <c r="B218" s="899" t="s">
        <v>225</v>
      </c>
      <c r="C218" s="936"/>
      <c r="D218" s="897"/>
      <c r="E218" s="2937"/>
      <c r="F218" s="2938"/>
      <c r="G218" s="2939"/>
      <c r="H218" s="2548" t="s">
        <v>1334</v>
      </c>
      <c r="I218" s="2592">
        <f>fx!I160+I229</f>
        <v>0</v>
      </c>
      <c r="J218" s="2392">
        <f>fx!J160+J229</f>
        <v>0</v>
      </c>
      <c r="K218" s="2392">
        <f>fx!K160+K229</f>
        <v>0</v>
      </c>
      <c r="L218" s="2392">
        <f>fx!L160+L229</f>
        <v>0</v>
      </c>
      <c r="M218" s="2392">
        <f>fx!M160+M229</f>
        <v>0</v>
      </c>
      <c r="N218" s="2392">
        <f>fx!N160+N229</f>
        <v>0</v>
      </c>
      <c r="O218" s="2392">
        <f>fx!O160+O229</f>
        <v>0</v>
      </c>
      <c r="P218" s="2392">
        <f>fx!P160+P229</f>
        <v>0</v>
      </c>
      <c r="Q218" s="2392">
        <f>fx!Q160+Q229</f>
        <v>0</v>
      </c>
      <c r="R218" s="2392">
        <f>fx!R160+R229</f>
        <v>0</v>
      </c>
      <c r="S218" s="2392">
        <f>fx!S160+S229</f>
        <v>0</v>
      </c>
      <c r="T218" s="2392">
        <f>fx!T160+T229</f>
        <v>0</v>
      </c>
      <c r="U218" s="2392">
        <f>fx!U160+U229</f>
        <v>0</v>
      </c>
      <c r="V218" s="2392">
        <f>fx!V160+V229</f>
        <v>0</v>
      </c>
      <c r="W218" s="2392">
        <f>fx!W160+W229</f>
        <v>0</v>
      </c>
      <c r="X218" s="2392">
        <f>fx!X160+X229</f>
        <v>0</v>
      </c>
      <c r="Y218" s="2392">
        <f>fx!Y160+Y229</f>
        <v>0</v>
      </c>
      <c r="Z218" s="2392">
        <f>fx!Z160+Z229</f>
        <v>0</v>
      </c>
      <c r="AA218" s="2392">
        <f>fx!AA160+AA229</f>
        <v>0</v>
      </c>
      <c r="AB218" s="2392">
        <f>fx!AB160+AB229</f>
        <v>0</v>
      </c>
      <c r="AC218" s="2392">
        <f>fx!AC160+AC229</f>
        <v>0</v>
      </c>
      <c r="AD218" s="2392">
        <f>fx!AD160+AD229</f>
        <v>0</v>
      </c>
      <c r="AE218" s="2392">
        <f>fx!AE160+AE229</f>
        <v>0</v>
      </c>
      <c r="AF218" s="2392">
        <f>fx!AF160+AF229</f>
        <v>0</v>
      </c>
      <c r="AG218" s="376"/>
      <c r="AH218" s="769"/>
      <c r="AI218" s="769"/>
      <c r="AJ218" s="770">
        <f>IF(fx!$C$57=1,T218,IF(fx!$C$57=2,AF218))</f>
        <v>0</v>
      </c>
      <c r="AK218" s="774"/>
      <c r="AL218" s="771">
        <f>IF(fx!$C$57=1,AF218,0)</f>
        <v>0</v>
      </c>
      <c r="AM218" s="1009"/>
      <c r="AN218" s="1009"/>
      <c r="AO218" s="1945"/>
      <c r="AP218" s="1935"/>
      <c r="AQ218" s="1936"/>
      <c r="AR218" s="2236"/>
      <c r="AS218" s="2236"/>
      <c r="AT218" s="2236"/>
      <c r="AU218" s="2236"/>
      <c r="AV218" s="2236"/>
      <c r="AW218" s="2236"/>
      <c r="AX218" s="2236"/>
      <c r="AY218" s="2236"/>
      <c r="AZ218" s="2236"/>
      <c r="BA218" s="2236"/>
      <c r="BB218" s="2236"/>
      <c r="BC218" s="2236"/>
      <c r="BD218" s="2236"/>
      <c r="BE218" s="2236"/>
      <c r="BF218" s="2236"/>
      <c r="BG218" s="2236"/>
      <c r="BH218" s="2236"/>
      <c r="BI218" s="2236"/>
      <c r="BJ218" s="2236"/>
      <c r="BK218" s="2236"/>
      <c r="BL218" s="2236"/>
      <c r="BM218" s="2236"/>
      <c r="BN218" s="2236"/>
      <c r="BO218" s="2236"/>
      <c r="BP218" s="1009"/>
      <c r="BQ218" s="1009"/>
      <c r="BR218" s="1009"/>
      <c r="BS218" s="1009"/>
      <c r="BT218" s="1009"/>
      <c r="BU218" s="1009"/>
      <c r="BV218" s="1009"/>
      <c r="BW218" s="1009"/>
      <c r="BX218" s="1009"/>
      <c r="BY218" s="1009"/>
      <c r="BZ218" s="1009"/>
      <c r="CA218" s="1009"/>
      <c r="CB218" s="1009"/>
      <c r="CC218" s="1009"/>
      <c r="CD218" s="1009"/>
      <c r="CE218" s="1009"/>
      <c r="CF218" s="1009"/>
      <c r="CG218" s="1009"/>
      <c r="CH218" s="1009"/>
      <c r="CI218" s="1009"/>
      <c r="CJ218" s="1009"/>
      <c r="CK218" s="1009"/>
      <c r="CL218" s="1009"/>
      <c r="CM218" s="1009"/>
      <c r="CN218" s="1009"/>
      <c r="CO218" s="1009"/>
      <c r="CP218" s="1009"/>
      <c r="CQ218" s="1009"/>
      <c r="CR218" s="1009"/>
      <c r="CS218" s="1009"/>
      <c r="CT218" s="1009"/>
      <c r="CU218" s="1009"/>
      <c r="CV218" s="1009"/>
      <c r="CW218" s="1009"/>
      <c r="CX218" s="1009"/>
      <c r="CY218" s="1009"/>
      <c r="CZ218" s="1009"/>
      <c r="DA218" s="1009"/>
      <c r="DB218" s="1009"/>
      <c r="DC218" s="1009"/>
      <c r="DD218" s="1009"/>
      <c r="DE218" s="1009"/>
      <c r="DF218" s="1009"/>
      <c r="DG218" s="1009"/>
      <c r="DH218" s="1009"/>
      <c r="DI218" s="1009"/>
      <c r="DJ218" s="1009"/>
      <c r="DK218" s="1009"/>
      <c r="DL218" s="1009"/>
      <c r="DM218" s="1009"/>
      <c r="DN218" s="1009"/>
      <c r="DO218" s="1009"/>
      <c r="DP218" s="1009"/>
      <c r="DQ218" s="1009"/>
      <c r="DR218" s="1009"/>
      <c r="DS218" s="1009"/>
      <c r="DT218" s="1009"/>
      <c r="DU218" s="1009"/>
      <c r="DV218" s="1009"/>
      <c r="DW218" s="1009"/>
      <c r="DX218" s="1009"/>
      <c r="DY218" s="1009"/>
      <c r="DZ218" s="1009"/>
      <c r="EA218" s="1009"/>
      <c r="EB218" s="1009"/>
      <c r="EC218" s="1009"/>
      <c r="ED218" s="1009"/>
      <c r="EE218" s="1009"/>
      <c r="EF218" s="1009"/>
      <c r="EG218" s="1009"/>
      <c r="EH218" s="1009"/>
      <c r="EI218" s="1009"/>
      <c r="EJ218" s="1009"/>
      <c r="EK218" s="1009"/>
      <c r="EL218" s="1009"/>
      <c r="EM218" s="1009"/>
      <c r="EN218" s="1009"/>
      <c r="EO218" s="1009"/>
      <c r="EP218" s="1009"/>
      <c r="EQ218" s="1009"/>
      <c r="ER218" s="1009"/>
      <c r="ES218" s="1009"/>
      <c r="ET218" s="1009"/>
      <c r="EU218" s="1009"/>
      <c r="EV218" s="1009"/>
      <c r="EW218" s="1009"/>
      <c r="EX218" s="1009"/>
      <c r="EY218" s="1009"/>
      <c r="EZ218" s="1009"/>
      <c r="FA218" s="1009"/>
      <c r="FB218" s="1009"/>
      <c r="FC218" s="1009"/>
      <c r="FD218" s="1009"/>
      <c r="FE218" s="1009"/>
      <c r="FF218" s="1009"/>
      <c r="FG218" s="1009"/>
      <c r="FH218" s="1009"/>
      <c r="FI218" s="1009"/>
      <c r="FJ218" s="1009"/>
      <c r="FK218" s="1009"/>
      <c r="FL218" s="1009"/>
      <c r="FM218" s="1009"/>
      <c r="FN218" s="1009"/>
      <c r="FO218" s="1009"/>
      <c r="FP218" s="1009"/>
      <c r="FQ218" s="1009"/>
      <c r="FR218" s="1009"/>
      <c r="FS218" s="1009"/>
      <c r="FT218" s="1009"/>
      <c r="FU218" s="1009"/>
      <c r="FV218" s="1009"/>
      <c r="FW218" s="1009"/>
      <c r="FX218" s="1009"/>
      <c r="FY218" s="1009"/>
      <c r="FZ218" s="1009"/>
      <c r="GA218" s="1009"/>
      <c r="GB218" s="1009"/>
      <c r="GC218" s="1009"/>
      <c r="GD218" s="1009"/>
      <c r="GE218" s="1009"/>
      <c r="GF218" s="1009"/>
      <c r="GG218" s="1009"/>
      <c r="GH218" s="1009"/>
      <c r="GI218" s="1009"/>
      <c r="GJ218" s="1009"/>
      <c r="GK218" s="1009"/>
      <c r="GL218" s="1009"/>
      <c r="GM218" s="1009"/>
      <c r="GN218" s="1009"/>
      <c r="GO218" s="1009"/>
      <c r="GP218" s="1009"/>
      <c r="GQ218" s="1009"/>
      <c r="GR218" s="1009"/>
      <c r="GS218" s="1009"/>
      <c r="GT218" s="1009"/>
      <c r="GU218" s="1009"/>
      <c r="GV218" s="1009"/>
      <c r="GW218" s="1009"/>
      <c r="GX218" s="1009"/>
      <c r="GY218" s="1009"/>
      <c r="GZ218" s="1009"/>
      <c r="HA218" s="1009"/>
      <c r="HB218" s="1009"/>
      <c r="HC218" s="1009"/>
      <c r="HD218" s="1009"/>
      <c r="HE218" s="1009"/>
      <c r="HF218" s="1009"/>
      <c r="HG218" s="1009"/>
      <c r="HH218" s="1009"/>
      <c r="HI218" s="1009"/>
      <c r="HJ218" s="1009"/>
      <c r="HK218" s="1009"/>
      <c r="HL218" s="1009"/>
      <c r="HM218" s="1009"/>
      <c r="HN218" s="1009"/>
      <c r="HO218" s="1009"/>
      <c r="HP218" s="1009"/>
      <c r="HQ218" s="1009"/>
      <c r="HR218" s="1009"/>
      <c r="HS218" s="1009"/>
      <c r="HT218" s="1009"/>
      <c r="HU218" s="1009"/>
      <c r="HV218" s="1009"/>
      <c r="HW218" s="1009"/>
      <c r="HX218" s="1009"/>
      <c r="HY218" s="1009"/>
      <c r="HZ218" s="1009"/>
      <c r="IA218" s="1009"/>
      <c r="IB218" s="1009"/>
      <c r="IC218" s="1009"/>
      <c r="ID218" s="1009"/>
      <c r="IE218" s="1009"/>
      <c r="IF218" s="1009"/>
      <c r="IG218" s="1009"/>
      <c r="IH218" s="1009"/>
      <c r="II218" s="1009"/>
      <c r="IJ218" s="1009"/>
      <c r="IK218" s="1009"/>
      <c r="IL218" s="1009"/>
      <c r="IM218" s="1009"/>
      <c r="IN218" s="1009"/>
      <c r="IO218" s="1009"/>
      <c r="IP218" s="1009"/>
      <c r="IQ218" s="1009"/>
      <c r="IR218" s="1009"/>
      <c r="IS218" s="1009"/>
      <c r="IT218" s="1009"/>
      <c r="IU218" s="1009"/>
      <c r="IV218" s="1009"/>
      <c r="IW218" s="1009"/>
      <c r="IX218" s="1009"/>
      <c r="IY218" s="1009"/>
      <c r="IZ218" s="1009"/>
      <c r="JA218" s="1009"/>
      <c r="JB218" s="1009"/>
      <c r="JC218" s="1009"/>
      <c r="JD218" s="1009"/>
      <c r="JE218" s="1009"/>
      <c r="JF218" s="1009"/>
      <c r="JG218" s="1009"/>
      <c r="JH218" s="1009"/>
      <c r="JI218" s="1009"/>
      <c r="JJ218" s="1009"/>
      <c r="JK218" s="1009"/>
      <c r="JL218" s="1009"/>
      <c r="JM218" s="1009"/>
      <c r="JN218" s="1009"/>
      <c r="JO218" s="1009"/>
      <c r="JP218" s="1009"/>
      <c r="JQ218" s="1009"/>
      <c r="JR218" s="1009"/>
      <c r="JS218" s="1009"/>
      <c r="JT218" s="1009"/>
      <c r="JU218" s="1009"/>
      <c r="JV218" s="1009"/>
      <c r="JW218" s="1009"/>
      <c r="JX218" s="1009"/>
      <c r="JY218" s="1009"/>
      <c r="JZ218" s="1009"/>
      <c r="KA218" s="1009"/>
      <c r="KB218" s="1009"/>
      <c r="KC218" s="1009"/>
      <c r="KD218" s="1009"/>
      <c r="KE218" s="1009"/>
      <c r="KF218" s="1009"/>
      <c r="KG218" s="1009"/>
      <c r="KH218" s="1009"/>
      <c r="KI218" s="1009"/>
      <c r="KJ218" s="1009"/>
      <c r="KK218" s="1009"/>
      <c r="KL218" s="1009"/>
      <c r="KM218" s="1009"/>
      <c r="KN218" s="1009"/>
      <c r="KO218" s="1009"/>
      <c r="KP218" s="1009"/>
      <c r="KQ218" s="1009"/>
      <c r="KR218" s="1009"/>
      <c r="KS218" s="1009"/>
      <c r="KT218" s="1009"/>
      <c r="KU218" s="1009"/>
      <c r="KV218" s="1009"/>
      <c r="KW218" s="1009"/>
      <c r="KX218" s="1009"/>
      <c r="KY218" s="1009"/>
      <c r="KZ218" s="1009"/>
      <c r="LA218" s="1009"/>
      <c r="LB218" s="1009"/>
      <c r="LC218" s="1009"/>
      <c r="LD218" s="1009"/>
      <c r="LE218" s="1009"/>
      <c r="LF218" s="1009"/>
      <c r="LG218" s="1009"/>
      <c r="LH218" s="1009"/>
      <c r="LI218" s="1009"/>
      <c r="LJ218" s="1009"/>
      <c r="LK218" s="1009"/>
      <c r="LL218" s="1009"/>
      <c r="LM218" s="1009"/>
      <c r="LN218" s="1009"/>
      <c r="LO218" s="1009"/>
      <c r="LP218" s="1009"/>
      <c r="LQ218" s="1009"/>
      <c r="LR218" s="1009"/>
      <c r="LS218" s="1009"/>
      <c r="LT218" s="1009"/>
      <c r="LU218" s="1009"/>
      <c r="LV218" s="1009"/>
      <c r="LW218" s="1009"/>
      <c r="LX218" s="1009"/>
      <c r="LY218" s="1009"/>
      <c r="LZ218" s="1009"/>
      <c r="MA218" s="1009"/>
      <c r="MB218" s="1009"/>
      <c r="MC218" s="1009"/>
      <c r="MD218" s="1009"/>
      <c r="ME218" s="1009"/>
      <c r="MF218" s="1009"/>
      <c r="MG218" s="1009"/>
      <c r="MH218" s="1009"/>
      <c r="MI218" s="1009"/>
      <c r="MJ218" s="1009"/>
      <c r="MK218" s="1009"/>
      <c r="ML218" s="1009"/>
      <c r="MM218" s="1009"/>
      <c r="MN218" s="1009"/>
      <c r="MO218" s="1009"/>
      <c r="MP218" s="1009"/>
      <c r="MQ218" s="1009"/>
      <c r="MR218" s="1009"/>
      <c r="MS218" s="1009"/>
      <c r="MT218" s="1009"/>
      <c r="MU218" s="1009"/>
      <c r="MV218" s="1009"/>
      <c r="MW218" s="1009"/>
      <c r="MX218" s="1009"/>
      <c r="MY218" s="1009"/>
      <c r="MZ218" s="1009"/>
      <c r="NA218" s="1009"/>
      <c r="NB218" s="1009"/>
      <c r="NC218" s="1009"/>
      <c r="ND218" s="1009"/>
      <c r="NE218" s="1009"/>
      <c r="NF218" s="1009"/>
      <c r="NG218" s="1009"/>
      <c r="NH218" s="1009"/>
      <c r="NI218" s="1009"/>
      <c r="NJ218" s="1009"/>
      <c r="NK218" s="1009"/>
      <c r="NL218" s="1009"/>
      <c r="NM218" s="1009"/>
      <c r="NN218" s="1009"/>
      <c r="NO218" s="1009"/>
      <c r="NP218" s="1009"/>
      <c r="NQ218" s="1009"/>
      <c r="NR218" s="1009"/>
      <c r="NS218" s="1009"/>
      <c r="NT218" s="1009"/>
      <c r="NU218" s="1009"/>
      <c r="NV218" s="1009"/>
      <c r="NW218" s="1009"/>
      <c r="NX218" s="1009"/>
      <c r="NY218" s="1009"/>
      <c r="NZ218" s="1009"/>
      <c r="OA218" s="1009"/>
      <c r="OB218" s="1009"/>
      <c r="OC218" s="1009"/>
      <c r="OD218" s="1009"/>
      <c r="OE218" s="1009"/>
      <c r="OF218" s="1009"/>
      <c r="OG218" s="1009"/>
      <c r="OH218" s="1009"/>
      <c r="OI218" s="1009"/>
      <c r="OJ218" s="1009"/>
      <c r="OK218" s="1009"/>
      <c r="OL218" s="1009"/>
      <c r="OM218" s="1009"/>
      <c r="ON218" s="1009"/>
      <c r="OO218" s="1009"/>
      <c r="OP218" s="1009"/>
      <c r="OQ218" s="1009"/>
      <c r="OR218" s="1009"/>
      <c r="OS218" s="1009"/>
      <c r="OT218" s="1009"/>
      <c r="OU218" s="1009"/>
      <c r="OV218" s="1009"/>
      <c r="OW218" s="1009"/>
      <c r="OX218" s="1009"/>
      <c r="OY218" s="1009"/>
      <c r="OZ218" s="1009"/>
      <c r="PA218" s="1009"/>
      <c r="PB218" s="1009"/>
      <c r="PC218" s="1009"/>
      <c r="PD218" s="1009"/>
      <c r="PE218" s="1009"/>
      <c r="PF218" s="1009"/>
      <c r="PG218" s="1009"/>
      <c r="PH218" s="1009"/>
      <c r="PI218" s="1009"/>
      <c r="PJ218" s="1009"/>
      <c r="PK218" s="1009"/>
      <c r="PL218" s="1009"/>
      <c r="PM218" s="1009"/>
      <c r="PN218" s="1009"/>
      <c r="PO218" s="1009"/>
      <c r="PP218" s="1009"/>
      <c r="PQ218" s="1009"/>
      <c r="PR218" s="1009"/>
      <c r="PS218" s="1009"/>
      <c r="PT218" s="1009"/>
      <c r="PU218" s="1009"/>
      <c r="PV218" s="1009"/>
      <c r="PW218" s="1009"/>
      <c r="PX218" s="1009"/>
      <c r="PY218" s="1009"/>
      <c r="PZ218" s="1009"/>
      <c r="QA218" s="1009"/>
      <c r="QB218" s="1009"/>
      <c r="QC218" s="1009"/>
      <c r="QD218" s="1009"/>
      <c r="QE218" s="1009"/>
      <c r="QF218" s="1009"/>
      <c r="QG218" s="1009"/>
      <c r="QH218" s="1009"/>
      <c r="QI218" s="1009"/>
      <c r="QJ218" s="1009"/>
      <c r="QK218" s="1009"/>
      <c r="QL218" s="1009"/>
      <c r="QM218" s="1009"/>
      <c r="QN218" s="1009"/>
      <c r="QO218" s="1009"/>
      <c r="QP218" s="1009"/>
      <c r="QQ218" s="1009"/>
      <c r="QR218" s="1009"/>
      <c r="QS218" s="1009"/>
      <c r="QT218" s="1009"/>
      <c r="QU218" s="1009"/>
      <c r="QV218" s="1009"/>
      <c r="QW218" s="1009"/>
      <c r="QX218" s="1009"/>
      <c r="QY218" s="1009"/>
      <c r="QZ218" s="1009"/>
      <c r="RA218" s="1009"/>
      <c r="RB218" s="1009"/>
      <c r="RC218" s="1009"/>
      <c r="RD218" s="1009"/>
      <c r="RE218" s="1009"/>
      <c r="RF218" s="1009"/>
      <c r="RG218" s="1009"/>
      <c r="RH218" s="1009"/>
      <c r="RI218" s="1009"/>
      <c r="RJ218" s="1009"/>
      <c r="RK218" s="1009"/>
      <c r="RL218" s="1009"/>
      <c r="RM218" s="1009"/>
      <c r="RN218" s="1009"/>
      <c r="RO218" s="1009"/>
      <c r="RP218" s="1009"/>
      <c r="RQ218" s="1009"/>
      <c r="RR218" s="1009"/>
      <c r="RS218" s="1009"/>
      <c r="RT218" s="1009"/>
      <c r="RU218" s="1009"/>
      <c r="RV218" s="1009"/>
      <c r="RW218" s="1009"/>
      <c r="RX218" s="1009"/>
      <c r="RY218" s="1009"/>
      <c r="RZ218" s="1009"/>
      <c r="SA218" s="1009"/>
      <c r="SB218" s="1009"/>
      <c r="SC218" s="1009"/>
      <c r="SD218" s="1009"/>
      <c r="SE218" s="1009"/>
      <c r="SF218" s="1009"/>
      <c r="SG218" s="1009"/>
      <c r="SH218" s="1009"/>
      <c r="SI218" s="1009"/>
      <c r="SJ218" s="1009"/>
      <c r="SK218" s="1009"/>
      <c r="SL218" s="1009"/>
      <c r="SM218" s="1009"/>
      <c r="SN218" s="1009"/>
      <c r="SO218" s="1009"/>
      <c r="SP218" s="1009"/>
      <c r="SQ218" s="1009"/>
      <c r="SR218" s="1009"/>
      <c r="SS218" s="1009"/>
      <c r="ST218" s="1009"/>
      <c r="SU218" s="1009"/>
      <c r="SV218" s="1009"/>
      <c r="SW218" s="1009"/>
      <c r="SX218" s="1009"/>
      <c r="SY218" s="1009"/>
      <c r="SZ218" s="1009"/>
      <c r="TA218" s="1009"/>
      <c r="TB218" s="1009"/>
      <c r="TC218" s="1009"/>
      <c r="TD218" s="1009"/>
      <c r="TE218" s="1009"/>
      <c r="TF218" s="1009"/>
      <c r="TG218" s="1009"/>
      <c r="TH218" s="1009"/>
      <c r="TI218" s="1009"/>
      <c r="TJ218" s="1009"/>
      <c r="TK218" s="1009"/>
      <c r="TL218" s="1009"/>
      <c r="TM218" s="1009"/>
      <c r="TN218" s="1009"/>
      <c r="TO218" s="1009"/>
      <c r="TP218" s="1009"/>
      <c r="TQ218" s="1009"/>
      <c r="TR218" s="1009"/>
      <c r="TS218" s="1009"/>
      <c r="TT218" s="1009"/>
      <c r="TU218" s="1009"/>
      <c r="TV218" s="1009"/>
      <c r="TW218" s="1009"/>
      <c r="TX218" s="1009"/>
      <c r="TY218" s="1009"/>
      <c r="TZ218" s="1009"/>
      <c r="UA218" s="1009"/>
      <c r="UB218" s="1009"/>
      <c r="UC218" s="1009"/>
      <c r="UD218" s="1009"/>
      <c r="UE218" s="1009"/>
      <c r="UF218" s="1009"/>
      <c r="UG218" s="1009"/>
      <c r="UH218" s="1009"/>
      <c r="UI218" s="1009"/>
      <c r="UJ218" s="1009"/>
      <c r="UK218" s="1009"/>
      <c r="UL218" s="1009"/>
      <c r="UM218" s="1009"/>
      <c r="UN218" s="1009"/>
      <c r="UO218" s="1009"/>
      <c r="UP218" s="1009"/>
      <c r="UQ218" s="1009"/>
      <c r="UR218" s="1009"/>
      <c r="US218" s="1009"/>
      <c r="UT218" s="1009"/>
      <c r="UU218" s="1009"/>
      <c r="UV218" s="1009"/>
      <c r="UW218" s="1009"/>
      <c r="UX218" s="1009"/>
      <c r="UY218" s="1009"/>
      <c r="UZ218" s="1009"/>
      <c r="VA218" s="1009"/>
      <c r="VB218" s="1009"/>
      <c r="VC218" s="1009"/>
      <c r="VD218" s="1009"/>
      <c r="VE218" s="1009"/>
      <c r="VF218" s="1009"/>
      <c r="VG218" s="1009"/>
      <c r="VH218" s="1009"/>
      <c r="VI218" s="1009"/>
      <c r="VJ218" s="1009"/>
      <c r="VK218" s="1009"/>
      <c r="VL218" s="1009"/>
      <c r="VM218" s="1009"/>
      <c r="VN218" s="1009"/>
      <c r="VO218" s="1009"/>
      <c r="VP218" s="1009"/>
      <c r="VQ218" s="1009"/>
      <c r="VR218" s="1009"/>
      <c r="VS218" s="1009"/>
      <c r="VT218" s="1009"/>
      <c r="VU218" s="1009"/>
      <c r="VV218" s="1009"/>
      <c r="VW218" s="1009"/>
      <c r="VX218" s="1009"/>
      <c r="VY218" s="1009"/>
      <c r="VZ218" s="1009"/>
      <c r="WA218" s="1009"/>
      <c r="WB218" s="1009"/>
      <c r="WC218" s="1009"/>
      <c r="WD218" s="1009"/>
      <c r="WE218" s="1009"/>
      <c r="WF218" s="1009"/>
      <c r="WG218" s="1009"/>
      <c r="WH218" s="1009"/>
      <c r="WI218" s="1009"/>
      <c r="WJ218" s="1009"/>
      <c r="WK218" s="1009"/>
      <c r="WL218" s="1009"/>
      <c r="WM218" s="1009"/>
      <c r="WN218" s="1009"/>
      <c r="WO218" s="1009"/>
      <c r="WP218" s="1009"/>
      <c r="WQ218" s="1009"/>
      <c r="WR218" s="1009"/>
      <c r="WS218" s="1009"/>
      <c r="WT218" s="1009"/>
      <c r="WU218" s="1009"/>
      <c r="WV218" s="1009"/>
      <c r="WW218" s="1009"/>
      <c r="WX218" s="1009"/>
      <c r="WY218" s="1009"/>
      <c r="WZ218" s="1009"/>
      <c r="XA218" s="1009"/>
      <c r="XB218" s="1009"/>
      <c r="XC218" s="1009"/>
      <c r="XD218" s="1009"/>
      <c r="XE218" s="1009"/>
      <c r="XF218" s="1009"/>
      <c r="XG218" s="1009"/>
      <c r="XH218" s="1009"/>
      <c r="XI218" s="1009"/>
      <c r="XJ218" s="1009"/>
      <c r="XK218" s="1009"/>
      <c r="XL218" s="1009"/>
      <c r="XM218" s="1009"/>
      <c r="XN218" s="1009"/>
      <c r="XO218" s="1009"/>
      <c r="XP218" s="1009"/>
      <c r="XQ218" s="1009"/>
      <c r="XR218" s="1009"/>
      <c r="XS218" s="1009"/>
      <c r="XT218" s="1009"/>
      <c r="XU218" s="1009"/>
      <c r="XV218" s="1009"/>
      <c r="XW218" s="1009"/>
      <c r="XX218" s="1009"/>
      <c r="XY218" s="1009"/>
      <c r="XZ218" s="1009"/>
      <c r="YA218" s="1009"/>
      <c r="YB218" s="1009"/>
      <c r="YC218" s="1009"/>
      <c r="YD218" s="1009"/>
      <c r="YE218" s="1009"/>
      <c r="YF218" s="1009"/>
      <c r="YG218" s="1009"/>
      <c r="YH218" s="1009"/>
      <c r="YI218" s="1009"/>
      <c r="YJ218" s="1009"/>
      <c r="YK218" s="1009"/>
      <c r="YL218" s="1009"/>
      <c r="YM218" s="1009"/>
      <c r="YN218" s="1009"/>
      <c r="YO218" s="1009"/>
      <c r="YP218" s="1009"/>
      <c r="YQ218" s="1009"/>
      <c r="YR218" s="1009"/>
      <c r="YS218" s="1009"/>
      <c r="YT218" s="1009"/>
      <c r="YU218" s="1009"/>
      <c r="YV218" s="1009"/>
      <c r="YW218" s="1009"/>
      <c r="YX218" s="1009"/>
      <c r="YY218" s="1009"/>
      <c r="YZ218" s="1009"/>
      <c r="ZA218" s="1009"/>
      <c r="ZB218" s="1009"/>
      <c r="ZC218" s="1009"/>
      <c r="ZD218" s="1009"/>
      <c r="ZE218" s="1009"/>
      <c r="ZF218" s="1009"/>
      <c r="ZG218" s="1009"/>
      <c r="ZH218" s="1009"/>
      <c r="ZI218" s="1009"/>
      <c r="ZJ218" s="1009"/>
      <c r="ZK218" s="1009"/>
      <c r="ZL218" s="1009"/>
      <c r="ZM218" s="1009"/>
      <c r="ZN218" s="1009"/>
      <c r="ZO218" s="1009"/>
      <c r="ZP218" s="1009"/>
      <c r="ZQ218" s="1009"/>
      <c r="ZR218" s="1009"/>
      <c r="ZS218" s="1009"/>
      <c r="ZT218" s="1009"/>
      <c r="ZU218" s="1009"/>
      <c r="ZV218" s="1009"/>
      <c r="ZW218" s="1009"/>
      <c r="ZX218" s="1009"/>
      <c r="ZY218" s="1009"/>
      <c r="ZZ218" s="1009"/>
      <c r="AAA218" s="1009"/>
      <c r="AAB218" s="1009"/>
      <c r="AAC218" s="1009"/>
      <c r="AAD218" s="1009"/>
      <c r="AAE218" s="1009"/>
      <c r="AAF218" s="1009"/>
      <c r="AAG218" s="1009"/>
      <c r="AAH218" s="1009"/>
      <c r="AAI218" s="1009"/>
      <c r="AAJ218" s="1009"/>
      <c r="AAK218" s="1009"/>
      <c r="AAL218" s="1009"/>
      <c r="AAM218" s="1009"/>
      <c r="AAN218" s="1009"/>
      <c r="AAO218" s="1009"/>
      <c r="AAP218" s="1009"/>
      <c r="AAQ218" s="1009"/>
      <c r="AAR218" s="1009"/>
      <c r="AAS218" s="1009"/>
      <c r="AAT218" s="1009"/>
      <c r="AAU218" s="1009"/>
      <c r="AAV218" s="1009"/>
      <c r="AAW218" s="1009"/>
      <c r="AAX218" s="1009"/>
      <c r="AAY218" s="1009"/>
      <c r="AAZ218" s="1009"/>
      <c r="ABA218" s="1009"/>
      <c r="ABB218" s="1009"/>
      <c r="ABC218" s="1009"/>
      <c r="ABD218" s="1009"/>
      <c r="ABE218" s="1009"/>
      <c r="ABF218" s="1009"/>
      <c r="ABG218" s="1009"/>
      <c r="ABH218" s="1009"/>
      <c r="ABI218" s="1009"/>
      <c r="ABJ218" s="1009"/>
      <c r="ABK218" s="1009"/>
      <c r="ABL218" s="1009"/>
      <c r="ABM218" s="1009"/>
      <c r="ABN218" s="1009"/>
      <c r="ABO218" s="1009"/>
      <c r="ABP218" s="1009"/>
      <c r="ABQ218" s="1009"/>
      <c r="ABR218" s="1009"/>
    </row>
    <row r="219" spans="1:746" s="111" customFormat="1" ht="12" customHeight="1">
      <c r="A219" s="924">
        <v>75</v>
      </c>
      <c r="B219" s="357" t="s">
        <v>699</v>
      </c>
      <c r="C219" s="167"/>
      <c r="D219" s="167"/>
      <c r="E219" s="2940">
        <f>E208+E209+E210+E211+E212+E213+E214+E215+E216+E217+E218</f>
        <v>0</v>
      </c>
      <c r="F219" s="2941"/>
      <c r="G219" s="2942"/>
      <c r="H219" s="2549"/>
      <c r="I219" s="2393">
        <f t="shared" ref="I219:AF219" ca="1" si="24">SUM(I208:I218)</f>
        <v>0</v>
      </c>
      <c r="J219" s="877">
        <f t="shared" ca="1" si="24"/>
        <v>0</v>
      </c>
      <c r="K219" s="877">
        <f t="shared" ca="1" si="24"/>
        <v>0</v>
      </c>
      <c r="L219" s="877">
        <f t="shared" ca="1" si="24"/>
        <v>0</v>
      </c>
      <c r="M219" s="877">
        <f t="shared" ca="1" si="24"/>
        <v>0</v>
      </c>
      <c r="N219" s="877">
        <f t="shared" ca="1" si="24"/>
        <v>0</v>
      </c>
      <c r="O219" s="877">
        <f t="shared" ca="1" si="24"/>
        <v>0</v>
      </c>
      <c r="P219" s="877">
        <f t="shared" ca="1" si="24"/>
        <v>0</v>
      </c>
      <c r="Q219" s="877">
        <f t="shared" ca="1" si="24"/>
        <v>0</v>
      </c>
      <c r="R219" s="877">
        <f t="shared" ca="1" si="24"/>
        <v>0</v>
      </c>
      <c r="S219" s="877">
        <f t="shared" ca="1" si="24"/>
        <v>0</v>
      </c>
      <c r="T219" s="2393">
        <f t="shared" ca="1" si="24"/>
        <v>0</v>
      </c>
      <c r="U219" s="2393">
        <f t="shared" ca="1" si="24"/>
        <v>0</v>
      </c>
      <c r="V219" s="877">
        <f t="shared" ca="1" si="24"/>
        <v>0</v>
      </c>
      <c r="W219" s="877">
        <f t="shared" ca="1" si="24"/>
        <v>0</v>
      </c>
      <c r="X219" s="877">
        <f t="shared" ca="1" si="24"/>
        <v>0</v>
      </c>
      <c r="Y219" s="877">
        <f t="shared" ca="1" si="24"/>
        <v>0</v>
      </c>
      <c r="Z219" s="877">
        <f t="shared" ca="1" si="24"/>
        <v>0</v>
      </c>
      <c r="AA219" s="877">
        <f t="shared" ca="1" si="24"/>
        <v>0</v>
      </c>
      <c r="AB219" s="877">
        <f t="shared" ca="1" si="24"/>
        <v>0</v>
      </c>
      <c r="AC219" s="877">
        <f t="shared" ca="1" si="24"/>
        <v>0</v>
      </c>
      <c r="AD219" s="877">
        <f t="shared" ca="1" si="24"/>
        <v>0</v>
      </c>
      <c r="AE219" s="877">
        <f t="shared" ca="1" si="24"/>
        <v>0</v>
      </c>
      <c r="AF219" s="877">
        <f t="shared" ca="1" si="24"/>
        <v>0</v>
      </c>
      <c r="AG219" s="376"/>
      <c r="AH219" s="769"/>
      <c r="AI219" s="769"/>
      <c r="AJ219" s="775">
        <f ca="1">IF(fx!$C$57=1,T219,IF(fx!$C$57=2,AF219))</f>
        <v>0</v>
      </c>
      <c r="AK219" s="774"/>
      <c r="AL219" s="776">
        <f ca="1">IF(fx!$C$57=1,AF219,0)</f>
        <v>0</v>
      </c>
      <c r="AM219" s="1009"/>
      <c r="AN219" s="1009"/>
      <c r="AO219" s="1945"/>
      <c r="AP219" s="1935"/>
      <c r="AQ219" s="1936"/>
      <c r="AR219" s="2236"/>
      <c r="AS219" s="2236"/>
      <c r="AT219" s="2236"/>
      <c r="AU219" s="2236"/>
      <c r="AV219" s="2236"/>
      <c r="AW219" s="2236"/>
      <c r="AX219" s="2236"/>
      <c r="AY219" s="2236"/>
      <c r="AZ219" s="2236"/>
      <c r="BA219" s="2236"/>
      <c r="BB219" s="2236"/>
      <c r="BC219" s="2236"/>
      <c r="BD219" s="2236"/>
      <c r="BE219" s="2236"/>
      <c r="BF219" s="2236"/>
      <c r="BG219" s="2236"/>
      <c r="BH219" s="2236"/>
      <c r="BI219" s="2236"/>
      <c r="BJ219" s="2236"/>
      <c r="BK219" s="2236"/>
      <c r="BL219" s="2236"/>
      <c r="BM219" s="2236"/>
      <c r="BN219" s="2236"/>
      <c r="BO219" s="2236"/>
      <c r="BP219" s="1009"/>
      <c r="BQ219" s="1009"/>
      <c r="BR219" s="1009"/>
      <c r="BS219" s="1009"/>
      <c r="BT219" s="1009"/>
      <c r="BU219" s="1009"/>
      <c r="BV219" s="1009"/>
      <c r="BW219" s="1009"/>
      <c r="BX219" s="1009"/>
      <c r="BY219" s="1009"/>
      <c r="BZ219" s="1009"/>
      <c r="CA219" s="1009"/>
      <c r="CB219" s="1009"/>
      <c r="CC219" s="1009"/>
      <c r="CD219" s="1009"/>
      <c r="CE219" s="1009"/>
      <c r="CF219" s="1009"/>
      <c r="CG219" s="1009"/>
      <c r="CH219" s="1009"/>
      <c r="CI219" s="1009"/>
      <c r="CJ219" s="1009"/>
      <c r="CK219" s="1009"/>
      <c r="CL219" s="1009"/>
      <c r="CM219" s="1009"/>
      <c r="CN219" s="1009"/>
      <c r="CO219" s="1009"/>
      <c r="CP219" s="1009"/>
      <c r="CQ219" s="1009"/>
      <c r="CR219" s="1009"/>
      <c r="CS219" s="1009"/>
      <c r="CT219" s="1009"/>
      <c r="CU219" s="1009"/>
      <c r="CV219" s="1009"/>
      <c r="CW219" s="1009"/>
      <c r="CX219" s="1009"/>
      <c r="CY219" s="1009"/>
      <c r="CZ219" s="1009"/>
      <c r="DA219" s="1009"/>
      <c r="DB219" s="1009"/>
      <c r="DC219" s="1009"/>
      <c r="DD219" s="1009"/>
      <c r="DE219" s="1009"/>
      <c r="DF219" s="1009"/>
      <c r="DG219" s="1009"/>
      <c r="DH219" s="1009"/>
      <c r="DI219" s="1009"/>
      <c r="DJ219" s="1009"/>
      <c r="DK219" s="1009"/>
      <c r="DL219" s="1009"/>
      <c r="DM219" s="1009"/>
      <c r="DN219" s="1009"/>
      <c r="DO219" s="1009"/>
      <c r="DP219" s="1009"/>
      <c r="DQ219" s="1009"/>
      <c r="DR219" s="1009"/>
      <c r="DS219" s="1009"/>
      <c r="DT219" s="1009"/>
      <c r="DU219" s="1009"/>
      <c r="DV219" s="1009"/>
      <c r="DW219" s="1009"/>
      <c r="DX219" s="1009"/>
      <c r="DY219" s="1009"/>
      <c r="DZ219" s="1009"/>
      <c r="EA219" s="1009"/>
      <c r="EB219" s="1009"/>
      <c r="EC219" s="1009"/>
      <c r="ED219" s="1009"/>
      <c r="EE219" s="1009"/>
      <c r="EF219" s="1009"/>
      <c r="EG219" s="1009"/>
      <c r="EH219" s="1009"/>
      <c r="EI219" s="1009"/>
      <c r="EJ219" s="1009"/>
      <c r="EK219" s="1009"/>
      <c r="EL219" s="1009"/>
      <c r="EM219" s="1009"/>
      <c r="EN219" s="1009"/>
      <c r="EO219" s="1009"/>
      <c r="EP219" s="1009"/>
      <c r="EQ219" s="1009"/>
      <c r="ER219" s="1009"/>
      <c r="ES219" s="1009"/>
      <c r="ET219" s="1009"/>
      <c r="EU219" s="1009"/>
      <c r="EV219" s="1009"/>
      <c r="EW219" s="1009"/>
      <c r="EX219" s="1009"/>
      <c r="EY219" s="1009"/>
      <c r="EZ219" s="1009"/>
      <c r="FA219" s="1009"/>
      <c r="FB219" s="1009"/>
      <c r="FC219" s="1009"/>
      <c r="FD219" s="1009"/>
      <c r="FE219" s="1009"/>
      <c r="FF219" s="1009"/>
      <c r="FG219" s="1009"/>
      <c r="FH219" s="1009"/>
      <c r="FI219" s="1009"/>
      <c r="FJ219" s="1009"/>
      <c r="FK219" s="1009"/>
      <c r="FL219" s="1009"/>
      <c r="FM219" s="1009"/>
      <c r="FN219" s="1009"/>
      <c r="FO219" s="1009"/>
      <c r="FP219" s="1009"/>
      <c r="FQ219" s="1009"/>
      <c r="FR219" s="1009"/>
      <c r="FS219" s="1009"/>
      <c r="FT219" s="1009"/>
      <c r="FU219" s="1009"/>
      <c r="FV219" s="1009"/>
      <c r="FW219" s="1009"/>
      <c r="FX219" s="1009"/>
      <c r="FY219" s="1009"/>
      <c r="FZ219" s="1009"/>
      <c r="GA219" s="1009"/>
      <c r="GB219" s="1009"/>
      <c r="GC219" s="1009"/>
      <c r="GD219" s="1009"/>
      <c r="GE219" s="1009"/>
      <c r="GF219" s="1009"/>
      <c r="GG219" s="1009"/>
      <c r="GH219" s="1009"/>
      <c r="GI219" s="1009"/>
      <c r="GJ219" s="1009"/>
      <c r="GK219" s="1009"/>
      <c r="GL219" s="1009"/>
      <c r="GM219" s="1009"/>
      <c r="GN219" s="1009"/>
      <c r="GO219" s="1009"/>
      <c r="GP219" s="1009"/>
      <c r="GQ219" s="1009"/>
      <c r="GR219" s="1009"/>
      <c r="GS219" s="1009"/>
      <c r="GT219" s="1009"/>
      <c r="GU219" s="1009"/>
      <c r="GV219" s="1009"/>
      <c r="GW219" s="1009"/>
      <c r="GX219" s="1009"/>
      <c r="GY219" s="1009"/>
      <c r="GZ219" s="1009"/>
      <c r="HA219" s="1009"/>
      <c r="HB219" s="1009"/>
      <c r="HC219" s="1009"/>
      <c r="HD219" s="1009"/>
      <c r="HE219" s="1009"/>
      <c r="HF219" s="1009"/>
      <c r="HG219" s="1009"/>
      <c r="HH219" s="1009"/>
      <c r="HI219" s="1009"/>
      <c r="HJ219" s="1009"/>
      <c r="HK219" s="1009"/>
      <c r="HL219" s="1009"/>
      <c r="HM219" s="1009"/>
      <c r="HN219" s="1009"/>
      <c r="HO219" s="1009"/>
      <c r="HP219" s="1009"/>
      <c r="HQ219" s="1009"/>
      <c r="HR219" s="1009"/>
      <c r="HS219" s="1009"/>
      <c r="HT219" s="1009"/>
      <c r="HU219" s="1009"/>
      <c r="HV219" s="1009"/>
      <c r="HW219" s="1009"/>
      <c r="HX219" s="1009"/>
      <c r="HY219" s="1009"/>
      <c r="HZ219" s="1009"/>
      <c r="IA219" s="1009"/>
      <c r="IB219" s="1009"/>
      <c r="IC219" s="1009"/>
      <c r="ID219" s="1009"/>
      <c r="IE219" s="1009"/>
      <c r="IF219" s="1009"/>
      <c r="IG219" s="1009"/>
      <c r="IH219" s="1009"/>
      <c r="II219" s="1009"/>
      <c r="IJ219" s="1009"/>
      <c r="IK219" s="1009"/>
      <c r="IL219" s="1009"/>
      <c r="IM219" s="1009"/>
      <c r="IN219" s="1009"/>
      <c r="IO219" s="1009"/>
      <c r="IP219" s="1009"/>
      <c r="IQ219" s="1009"/>
      <c r="IR219" s="1009"/>
      <c r="IS219" s="1009"/>
      <c r="IT219" s="1009"/>
      <c r="IU219" s="1009"/>
      <c r="IV219" s="1009"/>
      <c r="IW219" s="1009"/>
      <c r="IX219" s="1009"/>
      <c r="IY219" s="1009"/>
      <c r="IZ219" s="1009"/>
      <c r="JA219" s="1009"/>
      <c r="JB219" s="1009"/>
      <c r="JC219" s="1009"/>
      <c r="JD219" s="1009"/>
      <c r="JE219" s="1009"/>
      <c r="JF219" s="1009"/>
      <c r="JG219" s="1009"/>
      <c r="JH219" s="1009"/>
      <c r="JI219" s="1009"/>
      <c r="JJ219" s="1009"/>
      <c r="JK219" s="1009"/>
      <c r="JL219" s="1009"/>
      <c r="JM219" s="1009"/>
      <c r="JN219" s="1009"/>
      <c r="JO219" s="1009"/>
      <c r="JP219" s="1009"/>
      <c r="JQ219" s="1009"/>
      <c r="JR219" s="1009"/>
      <c r="JS219" s="1009"/>
      <c r="JT219" s="1009"/>
      <c r="JU219" s="1009"/>
      <c r="JV219" s="1009"/>
      <c r="JW219" s="1009"/>
      <c r="JX219" s="1009"/>
      <c r="JY219" s="1009"/>
      <c r="JZ219" s="1009"/>
      <c r="KA219" s="1009"/>
      <c r="KB219" s="1009"/>
      <c r="KC219" s="1009"/>
      <c r="KD219" s="1009"/>
      <c r="KE219" s="1009"/>
      <c r="KF219" s="1009"/>
      <c r="KG219" s="1009"/>
      <c r="KH219" s="1009"/>
      <c r="KI219" s="1009"/>
      <c r="KJ219" s="1009"/>
      <c r="KK219" s="1009"/>
      <c r="KL219" s="1009"/>
      <c r="KM219" s="1009"/>
      <c r="KN219" s="1009"/>
      <c r="KO219" s="1009"/>
      <c r="KP219" s="1009"/>
      <c r="KQ219" s="1009"/>
      <c r="KR219" s="1009"/>
      <c r="KS219" s="1009"/>
      <c r="KT219" s="1009"/>
      <c r="KU219" s="1009"/>
      <c r="KV219" s="1009"/>
      <c r="KW219" s="1009"/>
      <c r="KX219" s="1009"/>
      <c r="KY219" s="1009"/>
      <c r="KZ219" s="1009"/>
      <c r="LA219" s="1009"/>
      <c r="LB219" s="1009"/>
      <c r="LC219" s="1009"/>
      <c r="LD219" s="1009"/>
      <c r="LE219" s="1009"/>
      <c r="LF219" s="1009"/>
      <c r="LG219" s="1009"/>
      <c r="LH219" s="1009"/>
      <c r="LI219" s="1009"/>
      <c r="LJ219" s="1009"/>
      <c r="LK219" s="1009"/>
      <c r="LL219" s="1009"/>
      <c r="LM219" s="1009"/>
      <c r="LN219" s="1009"/>
      <c r="LO219" s="1009"/>
      <c r="LP219" s="1009"/>
      <c r="LQ219" s="1009"/>
      <c r="LR219" s="1009"/>
      <c r="LS219" s="1009"/>
      <c r="LT219" s="1009"/>
      <c r="LU219" s="1009"/>
      <c r="LV219" s="1009"/>
      <c r="LW219" s="1009"/>
      <c r="LX219" s="1009"/>
      <c r="LY219" s="1009"/>
      <c r="LZ219" s="1009"/>
      <c r="MA219" s="1009"/>
      <c r="MB219" s="1009"/>
      <c r="MC219" s="1009"/>
      <c r="MD219" s="1009"/>
      <c r="ME219" s="1009"/>
      <c r="MF219" s="1009"/>
      <c r="MG219" s="1009"/>
      <c r="MH219" s="1009"/>
      <c r="MI219" s="1009"/>
      <c r="MJ219" s="1009"/>
      <c r="MK219" s="1009"/>
      <c r="ML219" s="1009"/>
      <c r="MM219" s="1009"/>
      <c r="MN219" s="1009"/>
      <c r="MO219" s="1009"/>
      <c r="MP219" s="1009"/>
      <c r="MQ219" s="1009"/>
      <c r="MR219" s="1009"/>
      <c r="MS219" s="1009"/>
      <c r="MT219" s="1009"/>
      <c r="MU219" s="1009"/>
      <c r="MV219" s="1009"/>
      <c r="MW219" s="1009"/>
      <c r="MX219" s="1009"/>
      <c r="MY219" s="1009"/>
      <c r="MZ219" s="1009"/>
      <c r="NA219" s="1009"/>
      <c r="NB219" s="1009"/>
      <c r="NC219" s="1009"/>
      <c r="ND219" s="1009"/>
      <c r="NE219" s="1009"/>
      <c r="NF219" s="1009"/>
      <c r="NG219" s="1009"/>
      <c r="NH219" s="1009"/>
      <c r="NI219" s="1009"/>
      <c r="NJ219" s="1009"/>
      <c r="NK219" s="1009"/>
      <c r="NL219" s="1009"/>
      <c r="NM219" s="1009"/>
      <c r="NN219" s="1009"/>
      <c r="NO219" s="1009"/>
      <c r="NP219" s="1009"/>
      <c r="NQ219" s="1009"/>
      <c r="NR219" s="1009"/>
      <c r="NS219" s="1009"/>
      <c r="NT219" s="1009"/>
      <c r="NU219" s="1009"/>
      <c r="NV219" s="1009"/>
      <c r="NW219" s="1009"/>
      <c r="NX219" s="1009"/>
      <c r="NY219" s="1009"/>
      <c r="NZ219" s="1009"/>
      <c r="OA219" s="1009"/>
      <c r="OB219" s="1009"/>
      <c r="OC219" s="1009"/>
      <c r="OD219" s="1009"/>
      <c r="OE219" s="1009"/>
      <c r="OF219" s="1009"/>
      <c r="OG219" s="1009"/>
      <c r="OH219" s="1009"/>
      <c r="OI219" s="1009"/>
      <c r="OJ219" s="1009"/>
      <c r="OK219" s="1009"/>
      <c r="OL219" s="1009"/>
      <c r="OM219" s="1009"/>
      <c r="ON219" s="1009"/>
      <c r="OO219" s="1009"/>
      <c r="OP219" s="1009"/>
      <c r="OQ219" s="1009"/>
      <c r="OR219" s="1009"/>
      <c r="OS219" s="1009"/>
      <c r="OT219" s="1009"/>
      <c r="OU219" s="1009"/>
      <c r="OV219" s="1009"/>
      <c r="OW219" s="1009"/>
      <c r="OX219" s="1009"/>
      <c r="OY219" s="1009"/>
      <c r="OZ219" s="1009"/>
      <c r="PA219" s="1009"/>
      <c r="PB219" s="1009"/>
      <c r="PC219" s="1009"/>
      <c r="PD219" s="1009"/>
      <c r="PE219" s="1009"/>
      <c r="PF219" s="1009"/>
      <c r="PG219" s="1009"/>
      <c r="PH219" s="1009"/>
      <c r="PI219" s="1009"/>
      <c r="PJ219" s="1009"/>
      <c r="PK219" s="1009"/>
      <c r="PL219" s="1009"/>
      <c r="PM219" s="1009"/>
      <c r="PN219" s="1009"/>
      <c r="PO219" s="1009"/>
      <c r="PP219" s="1009"/>
      <c r="PQ219" s="1009"/>
      <c r="PR219" s="1009"/>
      <c r="PS219" s="1009"/>
      <c r="PT219" s="1009"/>
      <c r="PU219" s="1009"/>
      <c r="PV219" s="1009"/>
      <c r="PW219" s="1009"/>
      <c r="PX219" s="1009"/>
      <c r="PY219" s="1009"/>
      <c r="PZ219" s="1009"/>
      <c r="QA219" s="1009"/>
      <c r="QB219" s="1009"/>
      <c r="QC219" s="1009"/>
      <c r="QD219" s="1009"/>
      <c r="QE219" s="1009"/>
      <c r="QF219" s="1009"/>
      <c r="QG219" s="1009"/>
      <c r="QH219" s="1009"/>
      <c r="QI219" s="1009"/>
      <c r="QJ219" s="1009"/>
      <c r="QK219" s="1009"/>
      <c r="QL219" s="1009"/>
      <c r="QM219" s="1009"/>
      <c r="QN219" s="1009"/>
      <c r="QO219" s="1009"/>
      <c r="QP219" s="1009"/>
      <c r="QQ219" s="1009"/>
      <c r="QR219" s="1009"/>
      <c r="QS219" s="1009"/>
      <c r="QT219" s="1009"/>
      <c r="QU219" s="1009"/>
      <c r="QV219" s="1009"/>
      <c r="QW219" s="1009"/>
      <c r="QX219" s="1009"/>
      <c r="QY219" s="1009"/>
      <c r="QZ219" s="1009"/>
      <c r="RA219" s="1009"/>
      <c r="RB219" s="1009"/>
      <c r="RC219" s="1009"/>
      <c r="RD219" s="1009"/>
      <c r="RE219" s="1009"/>
      <c r="RF219" s="1009"/>
      <c r="RG219" s="1009"/>
      <c r="RH219" s="1009"/>
      <c r="RI219" s="1009"/>
      <c r="RJ219" s="1009"/>
      <c r="RK219" s="1009"/>
      <c r="RL219" s="1009"/>
      <c r="RM219" s="1009"/>
      <c r="RN219" s="1009"/>
      <c r="RO219" s="1009"/>
      <c r="RP219" s="1009"/>
      <c r="RQ219" s="1009"/>
      <c r="RR219" s="1009"/>
      <c r="RS219" s="1009"/>
      <c r="RT219" s="1009"/>
      <c r="RU219" s="1009"/>
      <c r="RV219" s="1009"/>
      <c r="RW219" s="1009"/>
      <c r="RX219" s="1009"/>
      <c r="RY219" s="1009"/>
      <c r="RZ219" s="1009"/>
      <c r="SA219" s="1009"/>
      <c r="SB219" s="1009"/>
      <c r="SC219" s="1009"/>
      <c r="SD219" s="1009"/>
      <c r="SE219" s="1009"/>
      <c r="SF219" s="1009"/>
      <c r="SG219" s="1009"/>
      <c r="SH219" s="1009"/>
      <c r="SI219" s="1009"/>
      <c r="SJ219" s="1009"/>
      <c r="SK219" s="1009"/>
      <c r="SL219" s="1009"/>
      <c r="SM219" s="1009"/>
      <c r="SN219" s="1009"/>
      <c r="SO219" s="1009"/>
      <c r="SP219" s="1009"/>
      <c r="SQ219" s="1009"/>
      <c r="SR219" s="1009"/>
      <c r="SS219" s="1009"/>
      <c r="ST219" s="1009"/>
      <c r="SU219" s="1009"/>
      <c r="SV219" s="1009"/>
      <c r="SW219" s="1009"/>
      <c r="SX219" s="1009"/>
      <c r="SY219" s="1009"/>
      <c r="SZ219" s="1009"/>
      <c r="TA219" s="1009"/>
      <c r="TB219" s="1009"/>
      <c r="TC219" s="1009"/>
      <c r="TD219" s="1009"/>
      <c r="TE219" s="1009"/>
      <c r="TF219" s="1009"/>
      <c r="TG219" s="1009"/>
      <c r="TH219" s="1009"/>
      <c r="TI219" s="1009"/>
      <c r="TJ219" s="1009"/>
      <c r="TK219" s="1009"/>
      <c r="TL219" s="1009"/>
      <c r="TM219" s="1009"/>
      <c r="TN219" s="1009"/>
      <c r="TO219" s="1009"/>
      <c r="TP219" s="1009"/>
      <c r="TQ219" s="1009"/>
      <c r="TR219" s="1009"/>
      <c r="TS219" s="1009"/>
      <c r="TT219" s="1009"/>
      <c r="TU219" s="1009"/>
      <c r="TV219" s="1009"/>
      <c r="TW219" s="1009"/>
      <c r="TX219" s="1009"/>
      <c r="TY219" s="1009"/>
      <c r="TZ219" s="1009"/>
      <c r="UA219" s="1009"/>
      <c r="UB219" s="1009"/>
      <c r="UC219" s="1009"/>
      <c r="UD219" s="1009"/>
      <c r="UE219" s="1009"/>
      <c r="UF219" s="1009"/>
      <c r="UG219" s="1009"/>
      <c r="UH219" s="1009"/>
      <c r="UI219" s="1009"/>
      <c r="UJ219" s="1009"/>
      <c r="UK219" s="1009"/>
      <c r="UL219" s="1009"/>
      <c r="UM219" s="1009"/>
      <c r="UN219" s="1009"/>
      <c r="UO219" s="1009"/>
      <c r="UP219" s="1009"/>
      <c r="UQ219" s="1009"/>
      <c r="UR219" s="1009"/>
      <c r="US219" s="1009"/>
      <c r="UT219" s="1009"/>
      <c r="UU219" s="1009"/>
      <c r="UV219" s="1009"/>
      <c r="UW219" s="1009"/>
      <c r="UX219" s="1009"/>
      <c r="UY219" s="1009"/>
      <c r="UZ219" s="1009"/>
      <c r="VA219" s="1009"/>
      <c r="VB219" s="1009"/>
      <c r="VC219" s="1009"/>
      <c r="VD219" s="1009"/>
      <c r="VE219" s="1009"/>
      <c r="VF219" s="1009"/>
      <c r="VG219" s="1009"/>
      <c r="VH219" s="1009"/>
      <c r="VI219" s="1009"/>
      <c r="VJ219" s="1009"/>
      <c r="VK219" s="1009"/>
      <c r="VL219" s="1009"/>
      <c r="VM219" s="1009"/>
      <c r="VN219" s="1009"/>
      <c r="VO219" s="1009"/>
      <c r="VP219" s="1009"/>
      <c r="VQ219" s="1009"/>
      <c r="VR219" s="1009"/>
      <c r="VS219" s="1009"/>
      <c r="VT219" s="1009"/>
      <c r="VU219" s="1009"/>
      <c r="VV219" s="1009"/>
      <c r="VW219" s="1009"/>
      <c r="VX219" s="1009"/>
      <c r="VY219" s="1009"/>
      <c r="VZ219" s="1009"/>
      <c r="WA219" s="1009"/>
      <c r="WB219" s="1009"/>
      <c r="WC219" s="1009"/>
      <c r="WD219" s="1009"/>
      <c r="WE219" s="1009"/>
      <c r="WF219" s="1009"/>
      <c r="WG219" s="1009"/>
      <c r="WH219" s="1009"/>
      <c r="WI219" s="1009"/>
      <c r="WJ219" s="1009"/>
      <c r="WK219" s="1009"/>
      <c r="WL219" s="1009"/>
      <c r="WM219" s="1009"/>
      <c r="WN219" s="1009"/>
      <c r="WO219" s="1009"/>
      <c r="WP219" s="1009"/>
      <c r="WQ219" s="1009"/>
      <c r="WR219" s="1009"/>
      <c r="WS219" s="1009"/>
      <c r="WT219" s="1009"/>
      <c r="WU219" s="1009"/>
      <c r="WV219" s="1009"/>
      <c r="WW219" s="1009"/>
      <c r="WX219" s="1009"/>
      <c r="WY219" s="1009"/>
      <c r="WZ219" s="1009"/>
      <c r="XA219" s="1009"/>
      <c r="XB219" s="1009"/>
      <c r="XC219" s="1009"/>
      <c r="XD219" s="1009"/>
      <c r="XE219" s="1009"/>
      <c r="XF219" s="1009"/>
      <c r="XG219" s="1009"/>
      <c r="XH219" s="1009"/>
      <c r="XI219" s="1009"/>
      <c r="XJ219" s="1009"/>
      <c r="XK219" s="1009"/>
      <c r="XL219" s="1009"/>
      <c r="XM219" s="1009"/>
      <c r="XN219" s="1009"/>
      <c r="XO219" s="1009"/>
      <c r="XP219" s="1009"/>
      <c r="XQ219" s="1009"/>
      <c r="XR219" s="1009"/>
      <c r="XS219" s="1009"/>
      <c r="XT219" s="1009"/>
      <c r="XU219" s="1009"/>
      <c r="XV219" s="1009"/>
      <c r="XW219" s="1009"/>
      <c r="XX219" s="1009"/>
      <c r="XY219" s="1009"/>
      <c r="XZ219" s="1009"/>
      <c r="YA219" s="1009"/>
      <c r="YB219" s="1009"/>
      <c r="YC219" s="1009"/>
      <c r="YD219" s="1009"/>
      <c r="YE219" s="1009"/>
      <c r="YF219" s="1009"/>
      <c r="YG219" s="1009"/>
      <c r="YH219" s="1009"/>
      <c r="YI219" s="1009"/>
      <c r="YJ219" s="1009"/>
      <c r="YK219" s="1009"/>
      <c r="YL219" s="1009"/>
      <c r="YM219" s="1009"/>
      <c r="YN219" s="1009"/>
      <c r="YO219" s="1009"/>
      <c r="YP219" s="1009"/>
      <c r="YQ219" s="1009"/>
      <c r="YR219" s="1009"/>
      <c r="YS219" s="1009"/>
      <c r="YT219" s="1009"/>
      <c r="YU219" s="1009"/>
      <c r="YV219" s="1009"/>
      <c r="YW219" s="1009"/>
      <c r="YX219" s="1009"/>
      <c r="YY219" s="1009"/>
      <c r="YZ219" s="1009"/>
      <c r="ZA219" s="1009"/>
      <c r="ZB219" s="1009"/>
      <c r="ZC219" s="1009"/>
      <c r="ZD219" s="1009"/>
      <c r="ZE219" s="1009"/>
      <c r="ZF219" s="1009"/>
      <c r="ZG219" s="1009"/>
      <c r="ZH219" s="1009"/>
      <c r="ZI219" s="1009"/>
      <c r="ZJ219" s="1009"/>
      <c r="ZK219" s="1009"/>
      <c r="ZL219" s="1009"/>
      <c r="ZM219" s="1009"/>
      <c r="ZN219" s="1009"/>
      <c r="ZO219" s="1009"/>
      <c r="ZP219" s="1009"/>
      <c r="ZQ219" s="1009"/>
      <c r="ZR219" s="1009"/>
      <c r="ZS219" s="1009"/>
      <c r="ZT219" s="1009"/>
      <c r="ZU219" s="1009"/>
      <c r="ZV219" s="1009"/>
      <c r="ZW219" s="1009"/>
      <c r="ZX219" s="1009"/>
      <c r="ZY219" s="1009"/>
      <c r="ZZ219" s="1009"/>
      <c r="AAA219" s="1009"/>
      <c r="AAB219" s="1009"/>
      <c r="AAC219" s="1009"/>
      <c r="AAD219" s="1009"/>
      <c r="AAE219" s="1009"/>
      <c r="AAF219" s="1009"/>
      <c r="AAG219" s="1009"/>
      <c r="AAH219" s="1009"/>
      <c r="AAI219" s="1009"/>
      <c r="AAJ219" s="1009"/>
      <c r="AAK219" s="1009"/>
      <c r="AAL219" s="1009"/>
      <c r="AAM219" s="1009"/>
      <c r="AAN219" s="1009"/>
      <c r="AAO219" s="1009"/>
      <c r="AAP219" s="1009"/>
      <c r="AAQ219" s="1009"/>
      <c r="AAR219" s="1009"/>
      <c r="AAS219" s="1009"/>
      <c r="AAT219" s="1009"/>
      <c r="AAU219" s="1009"/>
      <c r="AAV219" s="1009"/>
      <c r="AAW219" s="1009"/>
      <c r="AAX219" s="1009"/>
      <c r="AAY219" s="1009"/>
      <c r="AAZ219" s="1009"/>
      <c r="ABA219" s="1009"/>
      <c r="ABB219" s="1009"/>
      <c r="ABC219" s="1009"/>
      <c r="ABD219" s="1009"/>
      <c r="ABE219" s="1009"/>
      <c r="ABF219" s="1009"/>
      <c r="ABG219" s="1009"/>
      <c r="ABH219" s="1009"/>
      <c r="ABI219" s="1009"/>
      <c r="ABJ219" s="1009"/>
      <c r="ABK219" s="1009"/>
      <c r="ABL219" s="1009"/>
      <c r="ABM219" s="1009"/>
      <c r="ABN219" s="1009"/>
      <c r="ABO219" s="1009"/>
      <c r="ABP219" s="1009"/>
      <c r="ABQ219" s="1009"/>
      <c r="ABR219" s="1009"/>
    </row>
    <row r="220" spans="1:746" s="111" customFormat="1" ht="12" customHeight="1">
      <c r="A220" s="924"/>
      <c r="B220" s="2993" t="str">
        <f>IF(E220&lt;&gt;0,"Ing balans: Tillgångar ska vara = EK+Skulder","")</f>
        <v/>
      </c>
      <c r="C220" s="2994"/>
      <c r="D220" s="2994"/>
      <c r="E220" s="2969">
        <f>E207-E202-(E219-E209)</f>
        <v>0</v>
      </c>
      <c r="F220" s="2969"/>
      <c r="G220" s="2969"/>
      <c r="H220" s="2550"/>
      <c r="I220" s="2593">
        <f t="shared" ref="I220:AF220" ca="1" si="25">I207-I219</f>
        <v>0</v>
      </c>
      <c r="J220" s="1120">
        <f t="shared" ca="1" si="25"/>
        <v>0</v>
      </c>
      <c r="K220" s="1120">
        <f t="shared" ca="1" si="25"/>
        <v>0</v>
      </c>
      <c r="L220" s="1120">
        <f t="shared" ca="1" si="25"/>
        <v>0</v>
      </c>
      <c r="M220" s="1120">
        <f t="shared" ca="1" si="25"/>
        <v>0</v>
      </c>
      <c r="N220" s="1120">
        <f t="shared" ca="1" si="25"/>
        <v>0</v>
      </c>
      <c r="O220" s="1120">
        <f t="shared" ca="1" si="25"/>
        <v>0</v>
      </c>
      <c r="P220" s="1120">
        <f t="shared" ca="1" si="25"/>
        <v>0</v>
      </c>
      <c r="Q220" s="1120">
        <f t="shared" ca="1" si="25"/>
        <v>0</v>
      </c>
      <c r="R220" s="1120">
        <f t="shared" ca="1" si="25"/>
        <v>0</v>
      </c>
      <c r="S220" s="1120">
        <f t="shared" ca="1" si="25"/>
        <v>0</v>
      </c>
      <c r="T220" s="2726">
        <f t="shared" ca="1" si="25"/>
        <v>0</v>
      </c>
      <c r="U220" s="2727">
        <f t="shared" ca="1" si="25"/>
        <v>0</v>
      </c>
      <c r="V220" s="1120">
        <f t="shared" ca="1" si="25"/>
        <v>0</v>
      </c>
      <c r="W220" s="1120">
        <f t="shared" ca="1" si="25"/>
        <v>0</v>
      </c>
      <c r="X220" s="1120">
        <f t="shared" ca="1" si="25"/>
        <v>0</v>
      </c>
      <c r="Y220" s="1120">
        <f t="shared" ca="1" si="25"/>
        <v>0</v>
      </c>
      <c r="Z220" s="1120">
        <f t="shared" ca="1" si="25"/>
        <v>0</v>
      </c>
      <c r="AA220" s="1120">
        <f t="shared" ca="1" si="25"/>
        <v>0</v>
      </c>
      <c r="AB220" s="1120">
        <f t="shared" ca="1" si="25"/>
        <v>0</v>
      </c>
      <c r="AC220" s="1120">
        <f t="shared" ca="1" si="25"/>
        <v>0</v>
      </c>
      <c r="AD220" s="1120">
        <f t="shared" ca="1" si="25"/>
        <v>0</v>
      </c>
      <c r="AE220" s="1120">
        <f t="shared" ca="1" si="25"/>
        <v>0</v>
      </c>
      <c r="AF220" s="1121">
        <f t="shared" ca="1" si="25"/>
        <v>0</v>
      </c>
      <c r="AG220" s="2218"/>
      <c r="AH220" s="359"/>
      <c r="AI220" s="359"/>
      <c r="AJ220" s="1049"/>
      <c r="AK220" s="1050"/>
      <c r="AL220" s="1050"/>
      <c r="AM220" s="1004"/>
      <c r="AN220" s="1033"/>
      <c r="AO220" s="1945"/>
      <c r="AP220" s="1935"/>
      <c r="AQ220" s="1936"/>
      <c r="AR220" s="2236"/>
      <c r="AS220" s="2236"/>
      <c r="AT220" s="2236"/>
      <c r="AU220" s="2236"/>
      <c r="AV220" s="2236"/>
      <c r="AW220" s="2236"/>
      <c r="AX220" s="2236"/>
      <c r="AY220" s="2236"/>
      <c r="AZ220" s="2236"/>
      <c r="BA220" s="2236"/>
      <c r="BB220" s="2236"/>
      <c r="BC220" s="2236"/>
      <c r="BD220" s="2236"/>
      <c r="BE220" s="2236"/>
      <c r="BF220" s="2236"/>
      <c r="BG220" s="2236"/>
      <c r="BH220" s="2236"/>
      <c r="BI220" s="2236"/>
      <c r="BJ220" s="2236"/>
      <c r="BK220" s="2236"/>
      <c r="BL220" s="2236"/>
      <c r="BM220" s="2236"/>
      <c r="BN220" s="2236"/>
      <c r="BO220" s="2236"/>
      <c r="BP220" s="1009"/>
      <c r="BQ220" s="1009"/>
      <c r="BR220" s="1009"/>
      <c r="BS220" s="1009"/>
      <c r="BT220" s="1009"/>
      <c r="BU220" s="1009"/>
      <c r="BV220" s="1009"/>
      <c r="BW220" s="1009"/>
      <c r="BX220" s="1009"/>
      <c r="BY220" s="1009"/>
      <c r="BZ220" s="1009"/>
      <c r="CA220" s="1009"/>
      <c r="CB220" s="1009"/>
      <c r="CC220" s="1009"/>
      <c r="CD220" s="1009"/>
      <c r="CE220" s="1009"/>
      <c r="CF220" s="1009"/>
      <c r="CG220" s="1009"/>
      <c r="CH220" s="1009"/>
      <c r="CI220" s="1009"/>
      <c r="CJ220" s="1009"/>
      <c r="CK220" s="1009"/>
      <c r="CL220" s="1009"/>
      <c r="CM220" s="1009"/>
      <c r="CN220" s="1009"/>
      <c r="CO220" s="1009"/>
      <c r="CP220" s="1009"/>
      <c r="CQ220" s="1009"/>
      <c r="CR220" s="1009"/>
      <c r="CS220" s="1009"/>
      <c r="CT220" s="1009"/>
      <c r="CU220" s="1009"/>
      <c r="CV220" s="1009"/>
      <c r="CW220" s="1009"/>
      <c r="CX220" s="1009"/>
      <c r="CY220" s="1009"/>
      <c r="CZ220" s="1009"/>
      <c r="DA220" s="1009"/>
      <c r="DB220" s="1009"/>
      <c r="DC220" s="1009"/>
      <c r="DD220" s="1009"/>
      <c r="DE220" s="1009"/>
      <c r="DF220" s="1009"/>
      <c r="DG220" s="1009"/>
      <c r="DH220" s="1009"/>
      <c r="DI220" s="1009"/>
      <c r="DJ220" s="1009"/>
      <c r="DK220" s="1009"/>
      <c r="DL220" s="1009"/>
      <c r="DM220" s="1009"/>
      <c r="DN220" s="1009"/>
      <c r="DO220" s="1009"/>
      <c r="DP220" s="1009"/>
      <c r="DQ220" s="1009"/>
      <c r="DR220" s="1009"/>
      <c r="DS220" s="1009"/>
      <c r="DT220" s="1009"/>
      <c r="DU220" s="1009"/>
      <c r="DV220" s="1009"/>
      <c r="DW220" s="1009"/>
      <c r="DX220" s="1009"/>
      <c r="DY220" s="1009"/>
      <c r="DZ220" s="1009"/>
      <c r="EA220" s="1009"/>
      <c r="EB220" s="1009"/>
      <c r="EC220" s="1009"/>
      <c r="ED220" s="1009"/>
      <c r="EE220" s="1009"/>
      <c r="EF220" s="1009"/>
      <c r="EG220" s="1009"/>
      <c r="EH220" s="1009"/>
      <c r="EI220" s="1009"/>
      <c r="EJ220" s="1009"/>
      <c r="EK220" s="1009"/>
      <c r="EL220" s="1009"/>
      <c r="EM220" s="1009"/>
      <c r="EN220" s="1009"/>
      <c r="EO220" s="1009"/>
      <c r="EP220" s="1009"/>
      <c r="EQ220" s="1009"/>
      <c r="ER220" s="1009"/>
      <c r="ES220" s="1009"/>
      <c r="ET220" s="1009"/>
      <c r="EU220" s="1009"/>
      <c r="EV220" s="1009"/>
      <c r="EW220" s="1009"/>
      <c r="EX220" s="1009"/>
      <c r="EY220" s="1009"/>
      <c r="EZ220" s="1009"/>
      <c r="FA220" s="1009"/>
      <c r="FB220" s="1009"/>
      <c r="FC220" s="1009"/>
      <c r="FD220" s="1009"/>
      <c r="FE220" s="1009"/>
      <c r="FF220" s="1009"/>
      <c r="FG220" s="1009"/>
      <c r="FH220" s="1009"/>
      <c r="FI220" s="1009"/>
      <c r="FJ220" s="1009"/>
      <c r="FK220" s="1009"/>
      <c r="FL220" s="1009"/>
      <c r="FM220" s="1009"/>
      <c r="FN220" s="1009"/>
      <c r="FO220" s="1009"/>
      <c r="FP220" s="1009"/>
      <c r="FQ220" s="1009"/>
      <c r="FR220" s="1009"/>
      <c r="FS220" s="1009"/>
      <c r="FT220" s="1009"/>
      <c r="FU220" s="1009"/>
      <c r="FV220" s="1009"/>
      <c r="FW220" s="1009"/>
      <c r="FX220" s="1009"/>
      <c r="FY220" s="1009"/>
      <c r="FZ220" s="1009"/>
      <c r="GA220" s="1009"/>
      <c r="GB220" s="1009"/>
      <c r="GC220" s="1009"/>
      <c r="GD220" s="1009"/>
      <c r="GE220" s="1009"/>
      <c r="GF220" s="1009"/>
      <c r="GG220" s="1009"/>
      <c r="GH220" s="1009"/>
      <c r="GI220" s="1009"/>
      <c r="GJ220" s="1009"/>
      <c r="GK220" s="1009"/>
      <c r="GL220" s="1009"/>
      <c r="GM220" s="1009"/>
      <c r="GN220" s="1009"/>
      <c r="GO220" s="1009"/>
      <c r="GP220" s="1009"/>
      <c r="GQ220" s="1009"/>
      <c r="GR220" s="1009"/>
      <c r="GS220" s="1009"/>
      <c r="GT220" s="1009"/>
      <c r="GU220" s="1009"/>
      <c r="GV220" s="1009"/>
      <c r="GW220" s="1009"/>
      <c r="GX220" s="1009"/>
      <c r="GY220" s="1009"/>
      <c r="GZ220" s="1009"/>
      <c r="HA220" s="1009"/>
      <c r="HB220" s="1009"/>
      <c r="HC220" s="1009"/>
      <c r="HD220" s="1009"/>
      <c r="HE220" s="1009"/>
      <c r="HF220" s="1009"/>
      <c r="HG220" s="1009"/>
      <c r="HH220" s="1009"/>
      <c r="HI220" s="1009"/>
      <c r="HJ220" s="1009"/>
      <c r="HK220" s="1009"/>
      <c r="HL220" s="1009"/>
      <c r="HM220" s="1009"/>
      <c r="HN220" s="1009"/>
      <c r="HO220" s="1009"/>
      <c r="HP220" s="1009"/>
      <c r="HQ220" s="1009"/>
      <c r="HR220" s="1009"/>
      <c r="HS220" s="1009"/>
      <c r="HT220" s="1009"/>
      <c r="HU220" s="1009"/>
      <c r="HV220" s="1009"/>
      <c r="HW220" s="1009"/>
      <c r="HX220" s="1009"/>
      <c r="HY220" s="1009"/>
      <c r="HZ220" s="1009"/>
      <c r="IA220" s="1009"/>
      <c r="IB220" s="1009"/>
      <c r="IC220" s="1009"/>
      <c r="ID220" s="1009"/>
      <c r="IE220" s="1009"/>
      <c r="IF220" s="1009"/>
      <c r="IG220" s="1009"/>
      <c r="IH220" s="1009"/>
      <c r="II220" s="1009"/>
      <c r="IJ220" s="1009"/>
      <c r="IK220" s="1009"/>
      <c r="IL220" s="1009"/>
      <c r="IM220" s="1009"/>
      <c r="IN220" s="1009"/>
      <c r="IO220" s="1009"/>
      <c r="IP220" s="1009"/>
      <c r="IQ220" s="1009"/>
      <c r="IR220" s="1009"/>
      <c r="IS220" s="1009"/>
      <c r="IT220" s="1009"/>
      <c r="IU220" s="1009"/>
      <c r="IV220" s="1009"/>
      <c r="IW220" s="1009"/>
      <c r="IX220" s="1009"/>
      <c r="IY220" s="1009"/>
      <c r="IZ220" s="1009"/>
      <c r="JA220" s="1009"/>
      <c r="JB220" s="1009"/>
      <c r="JC220" s="1009"/>
      <c r="JD220" s="1009"/>
      <c r="JE220" s="1009"/>
      <c r="JF220" s="1009"/>
      <c r="JG220" s="1009"/>
      <c r="JH220" s="1009"/>
      <c r="JI220" s="1009"/>
      <c r="JJ220" s="1009"/>
      <c r="JK220" s="1009"/>
      <c r="JL220" s="1009"/>
      <c r="JM220" s="1009"/>
      <c r="JN220" s="1009"/>
      <c r="JO220" s="1009"/>
      <c r="JP220" s="1009"/>
      <c r="JQ220" s="1009"/>
      <c r="JR220" s="1009"/>
      <c r="JS220" s="1009"/>
      <c r="JT220" s="1009"/>
      <c r="JU220" s="1009"/>
      <c r="JV220" s="1009"/>
      <c r="JW220" s="1009"/>
      <c r="JX220" s="1009"/>
      <c r="JY220" s="1009"/>
      <c r="JZ220" s="1009"/>
      <c r="KA220" s="1009"/>
      <c r="KB220" s="1009"/>
      <c r="KC220" s="1009"/>
      <c r="KD220" s="1009"/>
      <c r="KE220" s="1009"/>
      <c r="KF220" s="1009"/>
      <c r="KG220" s="1009"/>
      <c r="KH220" s="1009"/>
      <c r="KI220" s="1009"/>
      <c r="KJ220" s="1009"/>
      <c r="KK220" s="1009"/>
      <c r="KL220" s="1009"/>
      <c r="KM220" s="1009"/>
      <c r="KN220" s="1009"/>
      <c r="KO220" s="1009"/>
      <c r="KP220" s="1009"/>
      <c r="KQ220" s="1009"/>
      <c r="KR220" s="1009"/>
      <c r="KS220" s="1009"/>
      <c r="KT220" s="1009"/>
      <c r="KU220" s="1009"/>
      <c r="KV220" s="1009"/>
      <c r="KW220" s="1009"/>
      <c r="KX220" s="1009"/>
      <c r="KY220" s="1009"/>
      <c r="KZ220" s="1009"/>
      <c r="LA220" s="1009"/>
      <c r="LB220" s="1009"/>
      <c r="LC220" s="1009"/>
      <c r="LD220" s="1009"/>
      <c r="LE220" s="1009"/>
      <c r="LF220" s="1009"/>
      <c r="LG220" s="1009"/>
      <c r="LH220" s="1009"/>
      <c r="LI220" s="1009"/>
      <c r="LJ220" s="1009"/>
      <c r="LK220" s="1009"/>
      <c r="LL220" s="1009"/>
      <c r="LM220" s="1009"/>
      <c r="LN220" s="1009"/>
      <c r="LO220" s="1009"/>
      <c r="LP220" s="1009"/>
      <c r="LQ220" s="1009"/>
      <c r="LR220" s="1009"/>
      <c r="LS220" s="1009"/>
      <c r="LT220" s="1009"/>
      <c r="LU220" s="1009"/>
      <c r="LV220" s="1009"/>
      <c r="LW220" s="1009"/>
      <c r="LX220" s="1009"/>
      <c r="LY220" s="1009"/>
      <c r="LZ220" s="1009"/>
      <c r="MA220" s="1009"/>
      <c r="MB220" s="1009"/>
      <c r="MC220" s="1009"/>
      <c r="MD220" s="1009"/>
      <c r="ME220" s="1009"/>
      <c r="MF220" s="1009"/>
      <c r="MG220" s="1009"/>
      <c r="MH220" s="1009"/>
      <c r="MI220" s="1009"/>
      <c r="MJ220" s="1009"/>
      <c r="MK220" s="1009"/>
      <c r="ML220" s="1009"/>
      <c r="MM220" s="1009"/>
      <c r="MN220" s="1009"/>
      <c r="MO220" s="1009"/>
      <c r="MP220" s="1009"/>
      <c r="MQ220" s="1009"/>
      <c r="MR220" s="1009"/>
      <c r="MS220" s="1009"/>
      <c r="MT220" s="1009"/>
      <c r="MU220" s="1009"/>
      <c r="MV220" s="1009"/>
      <c r="MW220" s="1009"/>
      <c r="MX220" s="1009"/>
      <c r="MY220" s="1009"/>
      <c r="MZ220" s="1009"/>
      <c r="NA220" s="1009"/>
      <c r="NB220" s="1009"/>
      <c r="NC220" s="1009"/>
      <c r="ND220" s="1009"/>
      <c r="NE220" s="1009"/>
      <c r="NF220" s="1009"/>
      <c r="NG220" s="1009"/>
      <c r="NH220" s="1009"/>
      <c r="NI220" s="1009"/>
      <c r="NJ220" s="1009"/>
      <c r="NK220" s="1009"/>
      <c r="NL220" s="1009"/>
      <c r="NM220" s="1009"/>
      <c r="NN220" s="1009"/>
      <c r="NO220" s="1009"/>
      <c r="NP220" s="1009"/>
      <c r="NQ220" s="1009"/>
      <c r="NR220" s="1009"/>
      <c r="NS220" s="1009"/>
      <c r="NT220" s="1009"/>
      <c r="NU220" s="1009"/>
      <c r="NV220" s="1009"/>
      <c r="NW220" s="1009"/>
      <c r="NX220" s="1009"/>
      <c r="NY220" s="1009"/>
      <c r="NZ220" s="1009"/>
      <c r="OA220" s="1009"/>
      <c r="OB220" s="1009"/>
      <c r="OC220" s="1009"/>
      <c r="OD220" s="1009"/>
      <c r="OE220" s="1009"/>
      <c r="OF220" s="1009"/>
      <c r="OG220" s="1009"/>
      <c r="OH220" s="1009"/>
      <c r="OI220" s="1009"/>
      <c r="OJ220" s="1009"/>
      <c r="OK220" s="1009"/>
      <c r="OL220" s="1009"/>
      <c r="OM220" s="1009"/>
      <c r="ON220" s="1009"/>
      <c r="OO220" s="1009"/>
      <c r="OP220" s="1009"/>
      <c r="OQ220" s="1009"/>
      <c r="OR220" s="1009"/>
      <c r="OS220" s="1009"/>
      <c r="OT220" s="1009"/>
      <c r="OU220" s="1009"/>
      <c r="OV220" s="1009"/>
      <c r="OW220" s="1009"/>
      <c r="OX220" s="1009"/>
      <c r="OY220" s="1009"/>
      <c r="OZ220" s="1009"/>
      <c r="PA220" s="1009"/>
      <c r="PB220" s="1009"/>
      <c r="PC220" s="1009"/>
      <c r="PD220" s="1009"/>
      <c r="PE220" s="1009"/>
      <c r="PF220" s="1009"/>
      <c r="PG220" s="1009"/>
      <c r="PH220" s="1009"/>
      <c r="PI220" s="1009"/>
      <c r="PJ220" s="1009"/>
      <c r="PK220" s="1009"/>
      <c r="PL220" s="1009"/>
      <c r="PM220" s="1009"/>
      <c r="PN220" s="1009"/>
      <c r="PO220" s="1009"/>
      <c r="PP220" s="1009"/>
      <c r="PQ220" s="1009"/>
      <c r="PR220" s="1009"/>
      <c r="PS220" s="1009"/>
      <c r="PT220" s="1009"/>
      <c r="PU220" s="1009"/>
      <c r="PV220" s="1009"/>
      <c r="PW220" s="1009"/>
      <c r="PX220" s="1009"/>
      <c r="PY220" s="1009"/>
      <c r="PZ220" s="1009"/>
      <c r="QA220" s="1009"/>
      <c r="QB220" s="1009"/>
      <c r="QC220" s="1009"/>
      <c r="QD220" s="1009"/>
      <c r="QE220" s="1009"/>
      <c r="QF220" s="1009"/>
      <c r="QG220" s="1009"/>
      <c r="QH220" s="1009"/>
      <c r="QI220" s="1009"/>
      <c r="QJ220" s="1009"/>
      <c r="QK220" s="1009"/>
      <c r="QL220" s="1009"/>
      <c r="QM220" s="1009"/>
      <c r="QN220" s="1009"/>
      <c r="QO220" s="1009"/>
      <c r="QP220" s="1009"/>
      <c r="QQ220" s="1009"/>
      <c r="QR220" s="1009"/>
      <c r="QS220" s="1009"/>
      <c r="QT220" s="1009"/>
      <c r="QU220" s="1009"/>
      <c r="QV220" s="1009"/>
      <c r="QW220" s="1009"/>
      <c r="QX220" s="1009"/>
      <c r="QY220" s="1009"/>
      <c r="QZ220" s="1009"/>
      <c r="RA220" s="1009"/>
      <c r="RB220" s="1009"/>
      <c r="RC220" s="1009"/>
      <c r="RD220" s="1009"/>
      <c r="RE220" s="1009"/>
      <c r="RF220" s="1009"/>
      <c r="RG220" s="1009"/>
      <c r="RH220" s="1009"/>
      <c r="RI220" s="1009"/>
      <c r="RJ220" s="1009"/>
      <c r="RK220" s="1009"/>
      <c r="RL220" s="1009"/>
      <c r="RM220" s="1009"/>
      <c r="RN220" s="1009"/>
      <c r="RO220" s="1009"/>
      <c r="RP220" s="1009"/>
      <c r="RQ220" s="1009"/>
      <c r="RR220" s="1009"/>
      <c r="RS220" s="1009"/>
      <c r="RT220" s="1009"/>
      <c r="RU220" s="1009"/>
      <c r="RV220" s="1009"/>
      <c r="RW220" s="1009"/>
      <c r="RX220" s="1009"/>
      <c r="RY220" s="1009"/>
      <c r="RZ220" s="1009"/>
      <c r="SA220" s="1009"/>
      <c r="SB220" s="1009"/>
      <c r="SC220" s="1009"/>
      <c r="SD220" s="1009"/>
      <c r="SE220" s="1009"/>
      <c r="SF220" s="1009"/>
      <c r="SG220" s="1009"/>
      <c r="SH220" s="1009"/>
      <c r="SI220" s="1009"/>
      <c r="SJ220" s="1009"/>
      <c r="SK220" s="1009"/>
      <c r="SL220" s="1009"/>
      <c r="SM220" s="1009"/>
      <c r="SN220" s="1009"/>
      <c r="SO220" s="1009"/>
      <c r="SP220" s="1009"/>
      <c r="SQ220" s="1009"/>
      <c r="SR220" s="1009"/>
      <c r="SS220" s="1009"/>
      <c r="ST220" s="1009"/>
      <c r="SU220" s="1009"/>
      <c r="SV220" s="1009"/>
      <c r="SW220" s="1009"/>
      <c r="SX220" s="1009"/>
      <c r="SY220" s="1009"/>
      <c r="SZ220" s="1009"/>
      <c r="TA220" s="1009"/>
      <c r="TB220" s="1009"/>
      <c r="TC220" s="1009"/>
      <c r="TD220" s="1009"/>
      <c r="TE220" s="1009"/>
      <c r="TF220" s="1009"/>
      <c r="TG220" s="1009"/>
      <c r="TH220" s="1009"/>
      <c r="TI220" s="1009"/>
      <c r="TJ220" s="1009"/>
      <c r="TK220" s="1009"/>
      <c r="TL220" s="1009"/>
      <c r="TM220" s="1009"/>
      <c r="TN220" s="1009"/>
      <c r="TO220" s="1009"/>
      <c r="TP220" s="1009"/>
      <c r="TQ220" s="1009"/>
      <c r="TR220" s="1009"/>
      <c r="TS220" s="1009"/>
      <c r="TT220" s="1009"/>
      <c r="TU220" s="1009"/>
      <c r="TV220" s="1009"/>
      <c r="TW220" s="1009"/>
      <c r="TX220" s="1009"/>
      <c r="TY220" s="1009"/>
      <c r="TZ220" s="1009"/>
      <c r="UA220" s="1009"/>
      <c r="UB220" s="1009"/>
      <c r="UC220" s="1009"/>
      <c r="UD220" s="1009"/>
      <c r="UE220" s="1009"/>
      <c r="UF220" s="1009"/>
      <c r="UG220" s="1009"/>
      <c r="UH220" s="1009"/>
      <c r="UI220" s="1009"/>
      <c r="UJ220" s="1009"/>
      <c r="UK220" s="1009"/>
      <c r="UL220" s="1009"/>
      <c r="UM220" s="1009"/>
      <c r="UN220" s="1009"/>
      <c r="UO220" s="1009"/>
      <c r="UP220" s="1009"/>
      <c r="UQ220" s="1009"/>
      <c r="UR220" s="1009"/>
      <c r="US220" s="1009"/>
      <c r="UT220" s="1009"/>
      <c r="UU220" s="1009"/>
      <c r="UV220" s="1009"/>
      <c r="UW220" s="1009"/>
      <c r="UX220" s="1009"/>
      <c r="UY220" s="1009"/>
      <c r="UZ220" s="1009"/>
      <c r="VA220" s="1009"/>
      <c r="VB220" s="1009"/>
      <c r="VC220" s="1009"/>
      <c r="VD220" s="1009"/>
      <c r="VE220" s="1009"/>
      <c r="VF220" s="1009"/>
      <c r="VG220" s="1009"/>
      <c r="VH220" s="1009"/>
      <c r="VI220" s="1009"/>
      <c r="VJ220" s="1009"/>
      <c r="VK220" s="1009"/>
      <c r="VL220" s="1009"/>
      <c r="VM220" s="1009"/>
      <c r="VN220" s="1009"/>
      <c r="VO220" s="1009"/>
      <c r="VP220" s="1009"/>
      <c r="VQ220" s="1009"/>
      <c r="VR220" s="1009"/>
      <c r="VS220" s="1009"/>
      <c r="VT220" s="1009"/>
      <c r="VU220" s="1009"/>
      <c r="VV220" s="1009"/>
      <c r="VW220" s="1009"/>
      <c r="VX220" s="1009"/>
      <c r="VY220" s="1009"/>
      <c r="VZ220" s="1009"/>
      <c r="WA220" s="1009"/>
      <c r="WB220" s="1009"/>
      <c r="WC220" s="1009"/>
      <c r="WD220" s="1009"/>
      <c r="WE220" s="1009"/>
      <c r="WF220" s="1009"/>
      <c r="WG220" s="1009"/>
      <c r="WH220" s="1009"/>
      <c r="WI220" s="1009"/>
      <c r="WJ220" s="1009"/>
      <c r="WK220" s="1009"/>
      <c r="WL220" s="1009"/>
      <c r="WM220" s="1009"/>
      <c r="WN220" s="1009"/>
      <c r="WO220" s="1009"/>
      <c r="WP220" s="1009"/>
      <c r="WQ220" s="1009"/>
      <c r="WR220" s="1009"/>
      <c r="WS220" s="1009"/>
      <c r="WT220" s="1009"/>
      <c r="WU220" s="1009"/>
      <c r="WV220" s="1009"/>
      <c r="WW220" s="1009"/>
      <c r="WX220" s="1009"/>
      <c r="WY220" s="1009"/>
      <c r="WZ220" s="1009"/>
      <c r="XA220" s="1009"/>
      <c r="XB220" s="1009"/>
      <c r="XC220" s="1009"/>
      <c r="XD220" s="1009"/>
      <c r="XE220" s="1009"/>
      <c r="XF220" s="1009"/>
      <c r="XG220" s="1009"/>
      <c r="XH220" s="1009"/>
      <c r="XI220" s="1009"/>
      <c r="XJ220" s="1009"/>
      <c r="XK220" s="1009"/>
      <c r="XL220" s="1009"/>
      <c r="XM220" s="1009"/>
      <c r="XN220" s="1009"/>
      <c r="XO220" s="1009"/>
      <c r="XP220" s="1009"/>
      <c r="XQ220" s="1009"/>
      <c r="XR220" s="1009"/>
      <c r="XS220" s="1009"/>
      <c r="XT220" s="1009"/>
      <c r="XU220" s="1009"/>
      <c r="XV220" s="1009"/>
      <c r="XW220" s="1009"/>
      <c r="XX220" s="1009"/>
      <c r="XY220" s="1009"/>
      <c r="XZ220" s="1009"/>
      <c r="YA220" s="1009"/>
      <c r="YB220" s="1009"/>
      <c r="YC220" s="1009"/>
      <c r="YD220" s="1009"/>
      <c r="YE220" s="1009"/>
      <c r="YF220" s="1009"/>
      <c r="YG220" s="1009"/>
      <c r="YH220" s="1009"/>
      <c r="YI220" s="1009"/>
      <c r="YJ220" s="1009"/>
      <c r="YK220" s="1009"/>
      <c r="YL220" s="1009"/>
      <c r="YM220" s="1009"/>
      <c r="YN220" s="1009"/>
      <c r="YO220" s="1009"/>
      <c r="YP220" s="1009"/>
      <c r="YQ220" s="1009"/>
      <c r="YR220" s="1009"/>
      <c r="YS220" s="1009"/>
      <c r="YT220" s="1009"/>
      <c r="YU220" s="1009"/>
      <c r="YV220" s="1009"/>
      <c r="YW220" s="1009"/>
      <c r="YX220" s="1009"/>
      <c r="YY220" s="1009"/>
      <c r="YZ220" s="1009"/>
      <c r="ZA220" s="1009"/>
      <c r="ZB220" s="1009"/>
      <c r="ZC220" s="1009"/>
      <c r="ZD220" s="1009"/>
      <c r="ZE220" s="1009"/>
      <c r="ZF220" s="1009"/>
      <c r="ZG220" s="1009"/>
      <c r="ZH220" s="1009"/>
      <c r="ZI220" s="1009"/>
      <c r="ZJ220" s="1009"/>
      <c r="ZK220" s="1009"/>
      <c r="ZL220" s="1009"/>
      <c r="ZM220" s="1009"/>
      <c r="ZN220" s="1009"/>
      <c r="ZO220" s="1009"/>
      <c r="ZP220" s="1009"/>
      <c r="ZQ220" s="1009"/>
      <c r="ZR220" s="1009"/>
      <c r="ZS220" s="1009"/>
      <c r="ZT220" s="1009"/>
      <c r="ZU220" s="1009"/>
      <c r="ZV220" s="1009"/>
      <c r="ZW220" s="1009"/>
      <c r="ZX220" s="1009"/>
      <c r="ZY220" s="1009"/>
      <c r="ZZ220" s="1009"/>
      <c r="AAA220" s="1009"/>
      <c r="AAB220" s="1009"/>
      <c r="AAC220" s="1009"/>
      <c r="AAD220" s="1009"/>
      <c r="AAE220" s="1009"/>
      <c r="AAF220" s="1009"/>
      <c r="AAG220" s="1009"/>
      <c r="AAH220" s="1009"/>
      <c r="AAI220" s="1009"/>
      <c r="AAJ220" s="1009"/>
      <c r="AAK220" s="1009"/>
      <c r="AAL220" s="1009"/>
      <c r="AAM220" s="1009"/>
      <c r="AAN220" s="1009"/>
      <c r="AAO220" s="1009"/>
      <c r="AAP220" s="1009"/>
      <c r="AAQ220" s="1009"/>
      <c r="AAR220" s="1009"/>
      <c r="AAS220" s="1009"/>
      <c r="AAT220" s="1009"/>
      <c r="AAU220" s="1009"/>
      <c r="AAV220" s="1009"/>
      <c r="AAW220" s="1009"/>
      <c r="AAX220" s="1009"/>
      <c r="AAY220" s="1009"/>
      <c r="AAZ220" s="1009"/>
      <c r="ABA220" s="1009"/>
      <c r="ABB220" s="1009"/>
      <c r="ABC220" s="1009"/>
      <c r="ABD220" s="1009"/>
      <c r="ABE220" s="1009"/>
      <c r="ABF220" s="1009"/>
      <c r="ABG220" s="1009"/>
      <c r="ABH220" s="1009"/>
      <c r="ABI220" s="1009"/>
      <c r="ABJ220" s="1009"/>
      <c r="ABK220" s="1009"/>
      <c r="ABL220" s="1009"/>
      <c r="ABM220" s="1009"/>
      <c r="ABN220" s="1009"/>
      <c r="ABO220" s="1009"/>
      <c r="ABP220" s="1009"/>
      <c r="ABQ220" s="1009"/>
      <c r="ABR220" s="1009"/>
    </row>
    <row r="221" spans="1:746" s="111" customFormat="1" ht="12" customHeight="1">
      <c r="A221" s="1758"/>
      <c r="B221" s="1691" t="s">
        <v>967</v>
      </c>
      <c r="C221" s="1692"/>
      <c r="D221" s="1692"/>
      <c r="E221" s="1692"/>
      <c r="F221" s="1693"/>
      <c r="G221" s="1694"/>
      <c r="H221" s="2551"/>
      <c r="I221" s="2594" t="s">
        <v>985</v>
      </c>
      <c r="J221" s="1660"/>
      <c r="K221" s="1660"/>
      <c r="L221" s="1660"/>
      <c r="M221" s="1660"/>
      <c r="N221" s="1660"/>
      <c r="O221" s="1660"/>
      <c r="P221" s="876"/>
      <c r="Q221" s="876"/>
      <c r="R221" s="876"/>
      <c r="S221" s="876"/>
      <c r="T221" s="984"/>
      <c r="U221" s="996"/>
      <c r="V221" s="876"/>
      <c r="W221" s="876"/>
      <c r="X221" s="876"/>
      <c r="Y221" s="876"/>
      <c r="Z221" s="876"/>
      <c r="AA221" s="876"/>
      <c r="AB221" s="876"/>
      <c r="AC221" s="876"/>
      <c r="AD221" s="876"/>
      <c r="AE221" s="876"/>
      <c r="AF221" s="877"/>
      <c r="AG221" s="337"/>
      <c r="AH221" s="336"/>
      <c r="AI221" s="336"/>
      <c r="AJ221" s="419"/>
      <c r="AK221" s="419"/>
      <c r="AL221" s="419"/>
      <c r="AM221" s="1009"/>
      <c r="AN221" s="1031"/>
      <c r="AO221" s="1945"/>
      <c r="AP221" s="1935"/>
      <c r="AQ221" s="1936"/>
      <c r="AR221" s="2236"/>
      <c r="AS221" s="2236"/>
      <c r="AT221" s="2236"/>
      <c r="AU221" s="2236"/>
      <c r="AV221" s="2236"/>
      <c r="AW221" s="2236"/>
      <c r="AX221" s="2236"/>
      <c r="AY221" s="2236"/>
      <c r="AZ221" s="2236"/>
      <c r="BA221" s="2236"/>
      <c r="BB221" s="2236"/>
      <c r="BC221" s="2236"/>
      <c r="BD221" s="2236"/>
      <c r="BE221" s="2236"/>
      <c r="BF221" s="2236"/>
      <c r="BG221" s="2236"/>
      <c r="BH221" s="2236"/>
      <c r="BI221" s="2236"/>
      <c r="BJ221" s="2236"/>
      <c r="BK221" s="2236"/>
      <c r="BL221" s="2236"/>
      <c r="BM221" s="2236"/>
      <c r="BN221" s="2236"/>
      <c r="BO221" s="2236"/>
      <c r="BP221" s="1009"/>
      <c r="BQ221" s="1009"/>
      <c r="BR221" s="1009"/>
      <c r="BS221" s="1009"/>
      <c r="BT221" s="1009"/>
      <c r="BU221" s="1009"/>
      <c r="BV221" s="1009"/>
      <c r="BW221" s="1009"/>
      <c r="BX221" s="1009"/>
      <c r="BY221" s="1009"/>
      <c r="BZ221" s="1009"/>
      <c r="CA221" s="1009"/>
      <c r="CB221" s="1009"/>
      <c r="CC221" s="1009"/>
      <c r="CD221" s="1009"/>
      <c r="CE221" s="1009"/>
      <c r="CF221" s="1009"/>
      <c r="CG221" s="1009"/>
      <c r="CH221" s="1009"/>
      <c r="CI221" s="1009"/>
      <c r="CJ221" s="1009"/>
      <c r="CK221" s="1009"/>
      <c r="CL221" s="1009"/>
      <c r="CM221" s="1009"/>
      <c r="CN221" s="1009"/>
      <c r="CO221" s="1009"/>
      <c r="CP221" s="1009"/>
      <c r="CQ221" s="1009"/>
      <c r="CR221" s="1009"/>
      <c r="CS221" s="1009"/>
      <c r="CT221" s="1009"/>
      <c r="CU221" s="1009"/>
      <c r="CV221" s="1009"/>
      <c r="CW221" s="1009"/>
      <c r="CX221" s="1009"/>
      <c r="CY221" s="1009"/>
      <c r="CZ221" s="1009"/>
      <c r="DA221" s="1009"/>
      <c r="DB221" s="1009"/>
      <c r="DC221" s="1009"/>
      <c r="DD221" s="1009"/>
      <c r="DE221" s="1009"/>
      <c r="DF221" s="1009"/>
      <c r="DG221" s="1009"/>
      <c r="DH221" s="1009"/>
      <c r="DI221" s="1009"/>
      <c r="DJ221" s="1009"/>
      <c r="DK221" s="1009"/>
      <c r="DL221" s="1009"/>
      <c r="DM221" s="1009"/>
      <c r="DN221" s="1009"/>
      <c r="DO221" s="1009"/>
      <c r="DP221" s="1009"/>
      <c r="DQ221" s="1009"/>
      <c r="DR221" s="1009"/>
      <c r="DS221" s="1009"/>
      <c r="DT221" s="1009"/>
      <c r="DU221" s="1009"/>
      <c r="DV221" s="1009"/>
      <c r="DW221" s="1009"/>
      <c r="DX221" s="1009"/>
      <c r="DY221" s="1009"/>
      <c r="DZ221" s="1009"/>
      <c r="EA221" s="1009"/>
      <c r="EB221" s="1009"/>
      <c r="EC221" s="1009"/>
      <c r="ED221" s="1009"/>
      <c r="EE221" s="1009"/>
      <c r="EF221" s="1009"/>
      <c r="EG221" s="1009"/>
      <c r="EH221" s="1009"/>
      <c r="EI221" s="1009"/>
      <c r="EJ221" s="1009"/>
      <c r="EK221" s="1009"/>
      <c r="EL221" s="1009"/>
      <c r="EM221" s="1009"/>
      <c r="EN221" s="1009"/>
      <c r="EO221" s="1009"/>
      <c r="EP221" s="1009"/>
      <c r="EQ221" s="1009"/>
      <c r="ER221" s="1009"/>
      <c r="ES221" s="1009"/>
      <c r="ET221" s="1009"/>
      <c r="EU221" s="1009"/>
      <c r="EV221" s="1009"/>
      <c r="EW221" s="1009"/>
      <c r="EX221" s="1009"/>
      <c r="EY221" s="1009"/>
      <c r="EZ221" s="1009"/>
      <c r="FA221" s="1009"/>
      <c r="FB221" s="1009"/>
      <c r="FC221" s="1009"/>
      <c r="FD221" s="1009"/>
      <c r="FE221" s="1009"/>
      <c r="FF221" s="1009"/>
      <c r="FG221" s="1009"/>
      <c r="FH221" s="1009"/>
      <c r="FI221" s="1009"/>
      <c r="FJ221" s="1009"/>
      <c r="FK221" s="1009"/>
      <c r="FL221" s="1009"/>
      <c r="FM221" s="1009"/>
      <c r="FN221" s="1009"/>
      <c r="FO221" s="1009"/>
      <c r="FP221" s="1009"/>
      <c r="FQ221" s="1009"/>
      <c r="FR221" s="1009"/>
      <c r="FS221" s="1009"/>
      <c r="FT221" s="1009"/>
      <c r="FU221" s="1009"/>
      <c r="FV221" s="1009"/>
      <c r="FW221" s="1009"/>
      <c r="FX221" s="1009"/>
      <c r="FY221" s="1009"/>
      <c r="FZ221" s="1009"/>
      <c r="GA221" s="1009"/>
      <c r="GB221" s="1009"/>
      <c r="GC221" s="1009"/>
      <c r="GD221" s="1009"/>
      <c r="GE221" s="1009"/>
      <c r="GF221" s="1009"/>
      <c r="GG221" s="1009"/>
      <c r="GH221" s="1009"/>
      <c r="GI221" s="1009"/>
      <c r="GJ221" s="1009"/>
      <c r="GK221" s="1009"/>
      <c r="GL221" s="1009"/>
      <c r="GM221" s="1009"/>
      <c r="GN221" s="1009"/>
      <c r="GO221" s="1009"/>
      <c r="GP221" s="1009"/>
      <c r="GQ221" s="1009"/>
      <c r="GR221" s="1009"/>
      <c r="GS221" s="1009"/>
      <c r="GT221" s="1009"/>
      <c r="GU221" s="1009"/>
      <c r="GV221" s="1009"/>
      <c r="GW221" s="1009"/>
      <c r="GX221" s="1009"/>
      <c r="GY221" s="1009"/>
      <c r="GZ221" s="1009"/>
      <c r="HA221" s="1009"/>
      <c r="HB221" s="1009"/>
      <c r="HC221" s="1009"/>
      <c r="HD221" s="1009"/>
      <c r="HE221" s="1009"/>
      <c r="HF221" s="1009"/>
      <c r="HG221" s="1009"/>
      <c r="HH221" s="1009"/>
      <c r="HI221" s="1009"/>
      <c r="HJ221" s="1009"/>
      <c r="HK221" s="1009"/>
      <c r="HL221" s="1009"/>
      <c r="HM221" s="1009"/>
      <c r="HN221" s="1009"/>
      <c r="HO221" s="1009"/>
      <c r="HP221" s="1009"/>
      <c r="HQ221" s="1009"/>
      <c r="HR221" s="1009"/>
      <c r="HS221" s="1009"/>
      <c r="HT221" s="1009"/>
      <c r="HU221" s="1009"/>
      <c r="HV221" s="1009"/>
      <c r="HW221" s="1009"/>
      <c r="HX221" s="1009"/>
      <c r="HY221" s="1009"/>
      <c r="HZ221" s="1009"/>
      <c r="IA221" s="1009"/>
      <c r="IB221" s="1009"/>
      <c r="IC221" s="1009"/>
      <c r="ID221" s="1009"/>
      <c r="IE221" s="1009"/>
      <c r="IF221" s="1009"/>
      <c r="IG221" s="1009"/>
      <c r="IH221" s="1009"/>
      <c r="II221" s="1009"/>
      <c r="IJ221" s="1009"/>
      <c r="IK221" s="1009"/>
      <c r="IL221" s="1009"/>
      <c r="IM221" s="1009"/>
      <c r="IN221" s="1009"/>
      <c r="IO221" s="1009"/>
      <c r="IP221" s="1009"/>
      <c r="IQ221" s="1009"/>
      <c r="IR221" s="1009"/>
      <c r="IS221" s="1009"/>
      <c r="IT221" s="1009"/>
      <c r="IU221" s="1009"/>
      <c r="IV221" s="1009"/>
      <c r="IW221" s="1009"/>
      <c r="IX221" s="1009"/>
      <c r="IY221" s="1009"/>
      <c r="IZ221" s="1009"/>
      <c r="JA221" s="1009"/>
      <c r="JB221" s="1009"/>
      <c r="JC221" s="1009"/>
      <c r="JD221" s="1009"/>
      <c r="JE221" s="1009"/>
      <c r="JF221" s="1009"/>
      <c r="JG221" s="1009"/>
      <c r="JH221" s="1009"/>
      <c r="JI221" s="1009"/>
      <c r="JJ221" s="1009"/>
      <c r="JK221" s="1009"/>
      <c r="JL221" s="1009"/>
      <c r="JM221" s="1009"/>
      <c r="JN221" s="1009"/>
      <c r="JO221" s="1009"/>
      <c r="JP221" s="1009"/>
      <c r="JQ221" s="1009"/>
      <c r="JR221" s="1009"/>
      <c r="JS221" s="1009"/>
      <c r="JT221" s="1009"/>
      <c r="JU221" s="1009"/>
      <c r="JV221" s="1009"/>
      <c r="JW221" s="1009"/>
      <c r="JX221" s="1009"/>
      <c r="JY221" s="1009"/>
      <c r="JZ221" s="1009"/>
      <c r="KA221" s="1009"/>
      <c r="KB221" s="1009"/>
      <c r="KC221" s="1009"/>
      <c r="KD221" s="1009"/>
      <c r="KE221" s="1009"/>
      <c r="KF221" s="1009"/>
      <c r="KG221" s="1009"/>
      <c r="KH221" s="1009"/>
      <c r="KI221" s="1009"/>
      <c r="KJ221" s="1009"/>
      <c r="KK221" s="1009"/>
      <c r="KL221" s="1009"/>
      <c r="KM221" s="1009"/>
      <c r="KN221" s="1009"/>
      <c r="KO221" s="1009"/>
      <c r="KP221" s="1009"/>
      <c r="KQ221" s="1009"/>
      <c r="KR221" s="1009"/>
      <c r="KS221" s="1009"/>
      <c r="KT221" s="1009"/>
      <c r="KU221" s="1009"/>
      <c r="KV221" s="1009"/>
      <c r="KW221" s="1009"/>
      <c r="KX221" s="1009"/>
      <c r="KY221" s="1009"/>
      <c r="KZ221" s="1009"/>
      <c r="LA221" s="1009"/>
      <c r="LB221" s="1009"/>
      <c r="LC221" s="1009"/>
      <c r="LD221" s="1009"/>
      <c r="LE221" s="1009"/>
      <c r="LF221" s="1009"/>
      <c r="LG221" s="1009"/>
      <c r="LH221" s="1009"/>
      <c r="LI221" s="1009"/>
      <c r="LJ221" s="1009"/>
      <c r="LK221" s="1009"/>
      <c r="LL221" s="1009"/>
      <c r="LM221" s="1009"/>
      <c r="LN221" s="1009"/>
      <c r="LO221" s="1009"/>
      <c r="LP221" s="1009"/>
      <c r="LQ221" s="1009"/>
      <c r="LR221" s="1009"/>
      <c r="LS221" s="1009"/>
      <c r="LT221" s="1009"/>
      <c r="LU221" s="1009"/>
      <c r="LV221" s="1009"/>
      <c r="LW221" s="1009"/>
      <c r="LX221" s="1009"/>
      <c r="LY221" s="1009"/>
      <c r="LZ221" s="1009"/>
      <c r="MA221" s="1009"/>
      <c r="MB221" s="1009"/>
      <c r="MC221" s="1009"/>
      <c r="MD221" s="1009"/>
      <c r="ME221" s="1009"/>
      <c r="MF221" s="1009"/>
      <c r="MG221" s="1009"/>
      <c r="MH221" s="1009"/>
      <c r="MI221" s="1009"/>
      <c r="MJ221" s="1009"/>
      <c r="MK221" s="1009"/>
      <c r="ML221" s="1009"/>
      <c r="MM221" s="1009"/>
      <c r="MN221" s="1009"/>
      <c r="MO221" s="1009"/>
      <c r="MP221" s="1009"/>
      <c r="MQ221" s="1009"/>
      <c r="MR221" s="1009"/>
      <c r="MS221" s="1009"/>
      <c r="MT221" s="1009"/>
      <c r="MU221" s="1009"/>
      <c r="MV221" s="1009"/>
      <c r="MW221" s="1009"/>
      <c r="MX221" s="1009"/>
      <c r="MY221" s="1009"/>
      <c r="MZ221" s="1009"/>
      <c r="NA221" s="1009"/>
      <c r="NB221" s="1009"/>
      <c r="NC221" s="1009"/>
      <c r="ND221" s="1009"/>
      <c r="NE221" s="1009"/>
      <c r="NF221" s="1009"/>
      <c r="NG221" s="1009"/>
      <c r="NH221" s="1009"/>
      <c r="NI221" s="1009"/>
      <c r="NJ221" s="1009"/>
      <c r="NK221" s="1009"/>
      <c r="NL221" s="1009"/>
      <c r="NM221" s="1009"/>
      <c r="NN221" s="1009"/>
      <c r="NO221" s="1009"/>
      <c r="NP221" s="1009"/>
      <c r="NQ221" s="1009"/>
      <c r="NR221" s="1009"/>
      <c r="NS221" s="1009"/>
      <c r="NT221" s="1009"/>
      <c r="NU221" s="1009"/>
      <c r="NV221" s="1009"/>
      <c r="NW221" s="1009"/>
      <c r="NX221" s="1009"/>
      <c r="NY221" s="1009"/>
      <c r="NZ221" s="1009"/>
      <c r="OA221" s="1009"/>
      <c r="OB221" s="1009"/>
      <c r="OC221" s="1009"/>
      <c r="OD221" s="1009"/>
      <c r="OE221" s="1009"/>
      <c r="OF221" s="1009"/>
      <c r="OG221" s="1009"/>
      <c r="OH221" s="1009"/>
      <c r="OI221" s="1009"/>
      <c r="OJ221" s="1009"/>
      <c r="OK221" s="1009"/>
      <c r="OL221" s="1009"/>
      <c r="OM221" s="1009"/>
      <c r="ON221" s="1009"/>
      <c r="OO221" s="1009"/>
      <c r="OP221" s="1009"/>
      <c r="OQ221" s="1009"/>
      <c r="OR221" s="1009"/>
      <c r="OS221" s="1009"/>
      <c r="OT221" s="1009"/>
      <c r="OU221" s="1009"/>
      <c r="OV221" s="1009"/>
      <c r="OW221" s="1009"/>
      <c r="OX221" s="1009"/>
      <c r="OY221" s="1009"/>
      <c r="OZ221" s="1009"/>
      <c r="PA221" s="1009"/>
      <c r="PB221" s="1009"/>
      <c r="PC221" s="1009"/>
      <c r="PD221" s="1009"/>
      <c r="PE221" s="1009"/>
      <c r="PF221" s="1009"/>
      <c r="PG221" s="1009"/>
      <c r="PH221" s="1009"/>
      <c r="PI221" s="1009"/>
      <c r="PJ221" s="1009"/>
      <c r="PK221" s="1009"/>
      <c r="PL221" s="1009"/>
      <c r="PM221" s="1009"/>
      <c r="PN221" s="1009"/>
      <c r="PO221" s="1009"/>
      <c r="PP221" s="1009"/>
      <c r="PQ221" s="1009"/>
      <c r="PR221" s="1009"/>
      <c r="PS221" s="1009"/>
      <c r="PT221" s="1009"/>
      <c r="PU221" s="1009"/>
      <c r="PV221" s="1009"/>
      <c r="PW221" s="1009"/>
      <c r="PX221" s="1009"/>
      <c r="PY221" s="1009"/>
      <c r="PZ221" s="1009"/>
      <c r="QA221" s="1009"/>
      <c r="QB221" s="1009"/>
      <c r="QC221" s="1009"/>
      <c r="QD221" s="1009"/>
      <c r="QE221" s="1009"/>
      <c r="QF221" s="1009"/>
      <c r="QG221" s="1009"/>
      <c r="QH221" s="1009"/>
      <c r="QI221" s="1009"/>
      <c r="QJ221" s="1009"/>
      <c r="QK221" s="1009"/>
      <c r="QL221" s="1009"/>
      <c r="QM221" s="1009"/>
      <c r="QN221" s="1009"/>
      <c r="QO221" s="1009"/>
      <c r="QP221" s="1009"/>
      <c r="QQ221" s="1009"/>
      <c r="QR221" s="1009"/>
      <c r="QS221" s="1009"/>
      <c r="QT221" s="1009"/>
      <c r="QU221" s="1009"/>
      <c r="QV221" s="1009"/>
      <c r="QW221" s="1009"/>
      <c r="QX221" s="1009"/>
      <c r="QY221" s="1009"/>
      <c r="QZ221" s="1009"/>
      <c r="RA221" s="1009"/>
      <c r="RB221" s="1009"/>
      <c r="RC221" s="1009"/>
      <c r="RD221" s="1009"/>
      <c r="RE221" s="1009"/>
      <c r="RF221" s="1009"/>
      <c r="RG221" s="1009"/>
      <c r="RH221" s="1009"/>
      <c r="RI221" s="1009"/>
      <c r="RJ221" s="1009"/>
      <c r="RK221" s="1009"/>
      <c r="RL221" s="1009"/>
      <c r="RM221" s="1009"/>
      <c r="RN221" s="1009"/>
      <c r="RO221" s="1009"/>
      <c r="RP221" s="1009"/>
      <c r="RQ221" s="1009"/>
      <c r="RR221" s="1009"/>
      <c r="RS221" s="1009"/>
      <c r="RT221" s="1009"/>
      <c r="RU221" s="1009"/>
      <c r="RV221" s="1009"/>
      <c r="RW221" s="1009"/>
      <c r="RX221" s="1009"/>
      <c r="RY221" s="1009"/>
      <c r="RZ221" s="1009"/>
      <c r="SA221" s="1009"/>
      <c r="SB221" s="1009"/>
      <c r="SC221" s="1009"/>
      <c r="SD221" s="1009"/>
      <c r="SE221" s="1009"/>
      <c r="SF221" s="1009"/>
      <c r="SG221" s="1009"/>
      <c r="SH221" s="1009"/>
      <c r="SI221" s="1009"/>
      <c r="SJ221" s="1009"/>
      <c r="SK221" s="1009"/>
      <c r="SL221" s="1009"/>
      <c r="SM221" s="1009"/>
      <c r="SN221" s="1009"/>
      <c r="SO221" s="1009"/>
      <c r="SP221" s="1009"/>
      <c r="SQ221" s="1009"/>
      <c r="SR221" s="1009"/>
      <c r="SS221" s="1009"/>
      <c r="ST221" s="1009"/>
      <c r="SU221" s="1009"/>
      <c r="SV221" s="1009"/>
      <c r="SW221" s="1009"/>
      <c r="SX221" s="1009"/>
      <c r="SY221" s="1009"/>
      <c r="SZ221" s="1009"/>
      <c r="TA221" s="1009"/>
      <c r="TB221" s="1009"/>
      <c r="TC221" s="1009"/>
      <c r="TD221" s="1009"/>
      <c r="TE221" s="1009"/>
      <c r="TF221" s="1009"/>
      <c r="TG221" s="1009"/>
      <c r="TH221" s="1009"/>
      <c r="TI221" s="1009"/>
      <c r="TJ221" s="1009"/>
      <c r="TK221" s="1009"/>
      <c r="TL221" s="1009"/>
      <c r="TM221" s="1009"/>
      <c r="TN221" s="1009"/>
      <c r="TO221" s="1009"/>
      <c r="TP221" s="1009"/>
      <c r="TQ221" s="1009"/>
      <c r="TR221" s="1009"/>
      <c r="TS221" s="1009"/>
      <c r="TT221" s="1009"/>
      <c r="TU221" s="1009"/>
      <c r="TV221" s="1009"/>
      <c r="TW221" s="1009"/>
      <c r="TX221" s="1009"/>
      <c r="TY221" s="1009"/>
      <c r="TZ221" s="1009"/>
      <c r="UA221" s="1009"/>
      <c r="UB221" s="1009"/>
      <c r="UC221" s="1009"/>
      <c r="UD221" s="1009"/>
      <c r="UE221" s="1009"/>
      <c r="UF221" s="1009"/>
      <c r="UG221" s="1009"/>
      <c r="UH221" s="1009"/>
      <c r="UI221" s="1009"/>
      <c r="UJ221" s="1009"/>
      <c r="UK221" s="1009"/>
      <c r="UL221" s="1009"/>
      <c r="UM221" s="1009"/>
      <c r="UN221" s="1009"/>
      <c r="UO221" s="1009"/>
      <c r="UP221" s="1009"/>
      <c r="UQ221" s="1009"/>
      <c r="UR221" s="1009"/>
      <c r="US221" s="1009"/>
      <c r="UT221" s="1009"/>
      <c r="UU221" s="1009"/>
      <c r="UV221" s="1009"/>
      <c r="UW221" s="1009"/>
      <c r="UX221" s="1009"/>
      <c r="UY221" s="1009"/>
      <c r="UZ221" s="1009"/>
      <c r="VA221" s="1009"/>
      <c r="VB221" s="1009"/>
      <c r="VC221" s="1009"/>
      <c r="VD221" s="1009"/>
      <c r="VE221" s="1009"/>
      <c r="VF221" s="1009"/>
      <c r="VG221" s="1009"/>
      <c r="VH221" s="1009"/>
      <c r="VI221" s="1009"/>
      <c r="VJ221" s="1009"/>
      <c r="VK221" s="1009"/>
      <c r="VL221" s="1009"/>
      <c r="VM221" s="1009"/>
      <c r="VN221" s="1009"/>
      <c r="VO221" s="1009"/>
      <c r="VP221" s="1009"/>
      <c r="VQ221" s="1009"/>
      <c r="VR221" s="1009"/>
      <c r="VS221" s="1009"/>
      <c r="VT221" s="1009"/>
      <c r="VU221" s="1009"/>
      <c r="VV221" s="1009"/>
      <c r="VW221" s="1009"/>
      <c r="VX221" s="1009"/>
      <c r="VY221" s="1009"/>
      <c r="VZ221" s="1009"/>
      <c r="WA221" s="1009"/>
      <c r="WB221" s="1009"/>
      <c r="WC221" s="1009"/>
      <c r="WD221" s="1009"/>
      <c r="WE221" s="1009"/>
      <c r="WF221" s="1009"/>
      <c r="WG221" s="1009"/>
      <c r="WH221" s="1009"/>
      <c r="WI221" s="1009"/>
      <c r="WJ221" s="1009"/>
      <c r="WK221" s="1009"/>
      <c r="WL221" s="1009"/>
      <c r="WM221" s="1009"/>
      <c r="WN221" s="1009"/>
      <c r="WO221" s="1009"/>
      <c r="WP221" s="1009"/>
      <c r="WQ221" s="1009"/>
      <c r="WR221" s="1009"/>
      <c r="WS221" s="1009"/>
      <c r="WT221" s="1009"/>
      <c r="WU221" s="1009"/>
      <c r="WV221" s="1009"/>
      <c r="WW221" s="1009"/>
      <c r="WX221" s="1009"/>
      <c r="WY221" s="1009"/>
      <c r="WZ221" s="1009"/>
      <c r="XA221" s="1009"/>
      <c r="XB221" s="1009"/>
      <c r="XC221" s="1009"/>
      <c r="XD221" s="1009"/>
      <c r="XE221" s="1009"/>
      <c r="XF221" s="1009"/>
      <c r="XG221" s="1009"/>
      <c r="XH221" s="1009"/>
      <c r="XI221" s="1009"/>
      <c r="XJ221" s="1009"/>
      <c r="XK221" s="1009"/>
      <c r="XL221" s="1009"/>
      <c r="XM221" s="1009"/>
      <c r="XN221" s="1009"/>
      <c r="XO221" s="1009"/>
      <c r="XP221" s="1009"/>
      <c r="XQ221" s="1009"/>
      <c r="XR221" s="1009"/>
      <c r="XS221" s="1009"/>
      <c r="XT221" s="1009"/>
      <c r="XU221" s="1009"/>
      <c r="XV221" s="1009"/>
      <c r="XW221" s="1009"/>
      <c r="XX221" s="1009"/>
      <c r="XY221" s="1009"/>
      <c r="XZ221" s="1009"/>
      <c r="YA221" s="1009"/>
      <c r="YB221" s="1009"/>
      <c r="YC221" s="1009"/>
      <c r="YD221" s="1009"/>
      <c r="YE221" s="1009"/>
      <c r="YF221" s="1009"/>
      <c r="YG221" s="1009"/>
      <c r="YH221" s="1009"/>
      <c r="YI221" s="1009"/>
      <c r="YJ221" s="1009"/>
      <c r="YK221" s="1009"/>
      <c r="YL221" s="1009"/>
      <c r="YM221" s="1009"/>
      <c r="YN221" s="1009"/>
      <c r="YO221" s="1009"/>
      <c r="YP221" s="1009"/>
      <c r="YQ221" s="1009"/>
      <c r="YR221" s="1009"/>
      <c r="YS221" s="1009"/>
      <c r="YT221" s="1009"/>
      <c r="YU221" s="1009"/>
      <c r="YV221" s="1009"/>
      <c r="YW221" s="1009"/>
      <c r="YX221" s="1009"/>
      <c r="YY221" s="1009"/>
      <c r="YZ221" s="1009"/>
      <c r="ZA221" s="1009"/>
      <c r="ZB221" s="1009"/>
      <c r="ZC221" s="1009"/>
      <c r="ZD221" s="1009"/>
      <c r="ZE221" s="1009"/>
      <c r="ZF221" s="1009"/>
      <c r="ZG221" s="1009"/>
      <c r="ZH221" s="1009"/>
      <c r="ZI221" s="1009"/>
      <c r="ZJ221" s="1009"/>
      <c r="ZK221" s="1009"/>
      <c r="ZL221" s="1009"/>
      <c r="ZM221" s="1009"/>
      <c r="ZN221" s="1009"/>
      <c r="ZO221" s="1009"/>
      <c r="ZP221" s="1009"/>
      <c r="ZQ221" s="1009"/>
      <c r="ZR221" s="1009"/>
      <c r="ZS221" s="1009"/>
      <c r="ZT221" s="1009"/>
      <c r="ZU221" s="1009"/>
      <c r="ZV221" s="1009"/>
      <c r="ZW221" s="1009"/>
      <c r="ZX221" s="1009"/>
      <c r="ZY221" s="1009"/>
      <c r="ZZ221" s="1009"/>
      <c r="AAA221" s="1009"/>
      <c r="AAB221" s="1009"/>
      <c r="AAC221" s="1009"/>
      <c r="AAD221" s="1009"/>
      <c r="AAE221" s="1009"/>
      <c r="AAF221" s="1009"/>
      <c r="AAG221" s="1009"/>
      <c r="AAH221" s="1009"/>
      <c r="AAI221" s="1009"/>
      <c r="AAJ221" s="1009"/>
      <c r="AAK221" s="1009"/>
      <c r="AAL221" s="1009"/>
      <c r="AAM221" s="1009"/>
      <c r="AAN221" s="1009"/>
      <c r="AAO221" s="1009"/>
      <c r="AAP221" s="1009"/>
      <c r="AAQ221" s="1009"/>
      <c r="AAR221" s="1009"/>
      <c r="AAS221" s="1009"/>
      <c r="AAT221" s="1009"/>
      <c r="AAU221" s="1009"/>
      <c r="AAV221" s="1009"/>
      <c r="AAW221" s="1009"/>
      <c r="AAX221" s="1009"/>
      <c r="AAY221" s="1009"/>
      <c r="AAZ221" s="1009"/>
      <c r="ABA221" s="1009"/>
      <c r="ABB221" s="1009"/>
      <c r="ABC221" s="1009"/>
      <c r="ABD221" s="1009"/>
      <c r="ABE221" s="1009"/>
      <c r="ABF221" s="1009"/>
      <c r="ABG221" s="1009"/>
      <c r="ABH221" s="1009"/>
      <c r="ABI221" s="1009"/>
      <c r="ABJ221" s="1009"/>
      <c r="ABK221" s="1009"/>
      <c r="ABL221" s="1009"/>
      <c r="ABM221" s="1009"/>
      <c r="ABN221" s="1009"/>
      <c r="ABO221" s="1009"/>
      <c r="ABP221" s="1009"/>
      <c r="ABQ221" s="1009"/>
      <c r="ABR221" s="1009"/>
    </row>
    <row r="222" spans="1:746" s="111" customFormat="1" ht="12" customHeight="1">
      <c r="A222" s="1758"/>
      <c r="B222" s="2636" t="s">
        <v>974</v>
      </c>
      <c r="C222" s="907"/>
      <c r="D222" s="2640"/>
      <c r="E222" s="2963">
        <f>fx!C436</f>
        <v>0</v>
      </c>
      <c r="F222" s="2964"/>
      <c r="G222" s="2965"/>
      <c r="H222" s="2649"/>
      <c r="I222" s="2595" t="s">
        <v>1465</v>
      </c>
      <c r="J222" s="1642"/>
      <c r="K222" s="1646"/>
      <c r="L222" s="1647"/>
      <c r="M222" s="1648"/>
      <c r="N222" s="209"/>
      <c r="O222" s="813"/>
      <c r="P222" s="812"/>
      <c r="Q222" s="812"/>
      <c r="R222" s="2309" t="s">
        <v>986</v>
      </c>
      <c r="S222" s="2309"/>
      <c r="T222" s="2312"/>
      <c r="U222" s="1650"/>
      <c r="V222" s="812"/>
      <c r="W222" s="812"/>
      <c r="X222" s="812"/>
      <c r="Y222" s="1648"/>
      <c r="Z222" s="812"/>
      <c r="AA222" s="812"/>
      <c r="AB222" s="812"/>
      <c r="AC222" s="812"/>
      <c r="AD222" s="812"/>
      <c r="AE222" s="812"/>
      <c r="AF222" s="814"/>
      <c r="AG222" s="2220"/>
      <c r="AH222" s="336"/>
      <c r="AI222" s="336"/>
      <c r="AJ222" s="421"/>
      <c r="AK222" s="419"/>
      <c r="AL222" s="419"/>
      <c r="AM222" s="1009"/>
      <c r="AN222" s="1026"/>
      <c r="AO222" s="1945"/>
      <c r="AP222" s="1935"/>
      <c r="AQ222" s="1936"/>
      <c r="AR222" s="2236"/>
      <c r="AS222" s="2236"/>
      <c r="AT222" s="2236"/>
      <c r="AU222" s="2236"/>
      <c r="AV222" s="2236"/>
      <c r="AW222" s="2236"/>
      <c r="AX222" s="2236"/>
      <c r="AY222" s="2236"/>
      <c r="AZ222" s="2236"/>
      <c r="BA222" s="2236"/>
      <c r="BB222" s="2236"/>
      <c r="BC222" s="2236"/>
      <c r="BD222" s="2236"/>
      <c r="BE222" s="2236"/>
      <c r="BF222" s="2236"/>
      <c r="BG222" s="2236"/>
      <c r="BH222" s="2236"/>
      <c r="BI222" s="2236"/>
      <c r="BJ222" s="2236"/>
      <c r="BK222" s="2236"/>
      <c r="BL222" s="2236"/>
      <c r="BM222" s="2236"/>
      <c r="BN222" s="2236"/>
      <c r="BO222" s="2236"/>
      <c r="BP222" s="1009"/>
      <c r="BQ222" s="1009"/>
      <c r="BR222" s="1009"/>
      <c r="BS222" s="1009"/>
      <c r="BT222" s="1009"/>
      <c r="BU222" s="1009"/>
      <c r="BV222" s="1009"/>
      <c r="BW222" s="1009"/>
      <c r="BX222" s="1009"/>
      <c r="BY222" s="1009"/>
      <c r="BZ222" s="1009"/>
      <c r="CA222" s="1009"/>
      <c r="CB222" s="1009"/>
      <c r="CC222" s="1009"/>
      <c r="CD222" s="1009"/>
      <c r="CE222" s="1009"/>
      <c r="CF222" s="1009"/>
      <c r="CG222" s="1009"/>
      <c r="CH222" s="1009"/>
      <c r="CI222" s="1009"/>
      <c r="CJ222" s="1009"/>
      <c r="CK222" s="1009"/>
      <c r="CL222" s="1009"/>
      <c r="CM222" s="1009"/>
      <c r="CN222" s="1009"/>
      <c r="CO222" s="1009"/>
      <c r="CP222" s="1009"/>
      <c r="CQ222" s="1009"/>
      <c r="CR222" s="1009"/>
      <c r="CS222" s="1009"/>
      <c r="CT222" s="1009"/>
      <c r="CU222" s="1009"/>
      <c r="CV222" s="1009"/>
      <c r="CW222" s="1009"/>
      <c r="CX222" s="1009"/>
      <c r="CY222" s="1009"/>
      <c r="CZ222" s="1009"/>
      <c r="DA222" s="1009"/>
      <c r="DB222" s="1009"/>
      <c r="DC222" s="1009"/>
      <c r="DD222" s="1009"/>
      <c r="DE222" s="1009"/>
      <c r="DF222" s="1009"/>
      <c r="DG222" s="1009"/>
      <c r="DH222" s="1009"/>
      <c r="DI222" s="1009"/>
      <c r="DJ222" s="1009"/>
      <c r="DK222" s="1009"/>
      <c r="DL222" s="1009"/>
      <c r="DM222" s="1009"/>
      <c r="DN222" s="1009"/>
      <c r="DO222" s="1009"/>
      <c r="DP222" s="1009"/>
      <c r="DQ222" s="1009"/>
      <c r="DR222" s="1009"/>
      <c r="DS222" s="1009"/>
      <c r="DT222" s="1009"/>
      <c r="DU222" s="1009"/>
      <c r="DV222" s="1009"/>
      <c r="DW222" s="1009"/>
      <c r="DX222" s="1009"/>
      <c r="DY222" s="1009"/>
      <c r="DZ222" s="1009"/>
      <c r="EA222" s="1009"/>
      <c r="EB222" s="1009"/>
      <c r="EC222" s="1009"/>
      <c r="ED222" s="1009"/>
      <c r="EE222" s="1009"/>
      <c r="EF222" s="1009"/>
      <c r="EG222" s="1009"/>
      <c r="EH222" s="1009"/>
      <c r="EI222" s="1009"/>
      <c r="EJ222" s="1009"/>
      <c r="EK222" s="1009"/>
      <c r="EL222" s="1009"/>
      <c r="EM222" s="1009"/>
      <c r="EN222" s="1009"/>
      <c r="EO222" s="1009"/>
      <c r="EP222" s="1009"/>
      <c r="EQ222" s="1009"/>
      <c r="ER222" s="1009"/>
      <c r="ES222" s="1009"/>
      <c r="ET222" s="1009"/>
      <c r="EU222" s="1009"/>
      <c r="EV222" s="1009"/>
      <c r="EW222" s="1009"/>
      <c r="EX222" s="1009"/>
      <c r="EY222" s="1009"/>
      <c r="EZ222" s="1009"/>
      <c r="FA222" s="1009"/>
      <c r="FB222" s="1009"/>
      <c r="FC222" s="1009"/>
      <c r="FD222" s="1009"/>
      <c r="FE222" s="1009"/>
      <c r="FF222" s="1009"/>
      <c r="FG222" s="1009"/>
      <c r="FH222" s="1009"/>
      <c r="FI222" s="1009"/>
      <c r="FJ222" s="1009"/>
      <c r="FK222" s="1009"/>
      <c r="FL222" s="1009"/>
      <c r="FM222" s="1009"/>
      <c r="FN222" s="1009"/>
      <c r="FO222" s="1009"/>
      <c r="FP222" s="1009"/>
      <c r="FQ222" s="1009"/>
      <c r="FR222" s="1009"/>
      <c r="FS222" s="1009"/>
      <c r="FT222" s="1009"/>
      <c r="FU222" s="1009"/>
      <c r="FV222" s="1009"/>
      <c r="FW222" s="1009"/>
      <c r="FX222" s="1009"/>
      <c r="FY222" s="1009"/>
      <c r="FZ222" s="1009"/>
      <c r="GA222" s="1009"/>
      <c r="GB222" s="1009"/>
      <c r="GC222" s="1009"/>
      <c r="GD222" s="1009"/>
      <c r="GE222" s="1009"/>
      <c r="GF222" s="1009"/>
      <c r="GG222" s="1009"/>
      <c r="GH222" s="1009"/>
      <c r="GI222" s="1009"/>
      <c r="GJ222" s="1009"/>
      <c r="GK222" s="1009"/>
      <c r="GL222" s="1009"/>
      <c r="GM222" s="1009"/>
      <c r="GN222" s="1009"/>
      <c r="GO222" s="1009"/>
      <c r="GP222" s="1009"/>
      <c r="GQ222" s="1009"/>
      <c r="GR222" s="1009"/>
      <c r="GS222" s="1009"/>
      <c r="GT222" s="1009"/>
      <c r="GU222" s="1009"/>
      <c r="GV222" s="1009"/>
      <c r="GW222" s="1009"/>
      <c r="GX222" s="1009"/>
      <c r="GY222" s="1009"/>
      <c r="GZ222" s="1009"/>
      <c r="HA222" s="1009"/>
      <c r="HB222" s="1009"/>
      <c r="HC222" s="1009"/>
      <c r="HD222" s="1009"/>
      <c r="HE222" s="1009"/>
      <c r="HF222" s="1009"/>
      <c r="HG222" s="1009"/>
      <c r="HH222" s="1009"/>
      <c r="HI222" s="1009"/>
      <c r="HJ222" s="1009"/>
      <c r="HK222" s="1009"/>
      <c r="HL222" s="1009"/>
      <c r="HM222" s="1009"/>
      <c r="HN222" s="1009"/>
      <c r="HO222" s="1009"/>
      <c r="HP222" s="1009"/>
      <c r="HQ222" s="1009"/>
      <c r="HR222" s="1009"/>
      <c r="HS222" s="1009"/>
      <c r="HT222" s="1009"/>
      <c r="HU222" s="1009"/>
      <c r="HV222" s="1009"/>
      <c r="HW222" s="1009"/>
      <c r="HX222" s="1009"/>
      <c r="HY222" s="1009"/>
      <c r="HZ222" s="1009"/>
      <c r="IA222" s="1009"/>
      <c r="IB222" s="1009"/>
      <c r="IC222" s="1009"/>
      <c r="ID222" s="1009"/>
      <c r="IE222" s="1009"/>
      <c r="IF222" s="1009"/>
      <c r="IG222" s="1009"/>
      <c r="IH222" s="1009"/>
      <c r="II222" s="1009"/>
      <c r="IJ222" s="1009"/>
      <c r="IK222" s="1009"/>
      <c r="IL222" s="1009"/>
      <c r="IM222" s="1009"/>
      <c r="IN222" s="1009"/>
      <c r="IO222" s="1009"/>
      <c r="IP222" s="1009"/>
      <c r="IQ222" s="1009"/>
      <c r="IR222" s="1009"/>
      <c r="IS222" s="1009"/>
      <c r="IT222" s="1009"/>
      <c r="IU222" s="1009"/>
      <c r="IV222" s="1009"/>
      <c r="IW222" s="1009"/>
      <c r="IX222" s="1009"/>
      <c r="IY222" s="1009"/>
      <c r="IZ222" s="1009"/>
      <c r="JA222" s="1009"/>
      <c r="JB222" s="1009"/>
      <c r="JC222" s="1009"/>
      <c r="JD222" s="1009"/>
      <c r="JE222" s="1009"/>
      <c r="JF222" s="1009"/>
      <c r="JG222" s="1009"/>
      <c r="JH222" s="1009"/>
      <c r="JI222" s="1009"/>
      <c r="JJ222" s="1009"/>
      <c r="JK222" s="1009"/>
      <c r="JL222" s="1009"/>
      <c r="JM222" s="1009"/>
      <c r="JN222" s="1009"/>
      <c r="JO222" s="1009"/>
      <c r="JP222" s="1009"/>
      <c r="JQ222" s="1009"/>
      <c r="JR222" s="1009"/>
      <c r="JS222" s="1009"/>
      <c r="JT222" s="1009"/>
      <c r="JU222" s="1009"/>
      <c r="JV222" s="1009"/>
      <c r="JW222" s="1009"/>
      <c r="JX222" s="1009"/>
      <c r="JY222" s="1009"/>
      <c r="JZ222" s="1009"/>
      <c r="KA222" s="1009"/>
      <c r="KB222" s="1009"/>
      <c r="KC222" s="1009"/>
      <c r="KD222" s="1009"/>
      <c r="KE222" s="1009"/>
      <c r="KF222" s="1009"/>
      <c r="KG222" s="1009"/>
      <c r="KH222" s="1009"/>
      <c r="KI222" s="1009"/>
      <c r="KJ222" s="1009"/>
      <c r="KK222" s="1009"/>
      <c r="KL222" s="1009"/>
      <c r="KM222" s="1009"/>
      <c r="KN222" s="1009"/>
      <c r="KO222" s="1009"/>
      <c r="KP222" s="1009"/>
      <c r="KQ222" s="1009"/>
      <c r="KR222" s="1009"/>
      <c r="KS222" s="1009"/>
      <c r="KT222" s="1009"/>
      <c r="KU222" s="1009"/>
      <c r="KV222" s="1009"/>
      <c r="KW222" s="1009"/>
      <c r="KX222" s="1009"/>
      <c r="KY222" s="1009"/>
      <c r="KZ222" s="1009"/>
      <c r="LA222" s="1009"/>
      <c r="LB222" s="1009"/>
      <c r="LC222" s="1009"/>
      <c r="LD222" s="1009"/>
      <c r="LE222" s="1009"/>
      <c r="LF222" s="1009"/>
      <c r="LG222" s="1009"/>
      <c r="LH222" s="1009"/>
      <c r="LI222" s="1009"/>
      <c r="LJ222" s="1009"/>
      <c r="LK222" s="1009"/>
      <c r="LL222" s="1009"/>
      <c r="LM222" s="1009"/>
      <c r="LN222" s="1009"/>
      <c r="LO222" s="1009"/>
      <c r="LP222" s="1009"/>
      <c r="LQ222" s="1009"/>
      <c r="LR222" s="1009"/>
      <c r="LS222" s="1009"/>
      <c r="LT222" s="1009"/>
      <c r="LU222" s="1009"/>
      <c r="LV222" s="1009"/>
      <c r="LW222" s="1009"/>
      <c r="LX222" s="1009"/>
      <c r="LY222" s="1009"/>
      <c r="LZ222" s="1009"/>
      <c r="MA222" s="1009"/>
      <c r="MB222" s="1009"/>
      <c r="MC222" s="1009"/>
      <c r="MD222" s="1009"/>
      <c r="ME222" s="1009"/>
      <c r="MF222" s="1009"/>
      <c r="MG222" s="1009"/>
      <c r="MH222" s="1009"/>
      <c r="MI222" s="1009"/>
      <c r="MJ222" s="1009"/>
      <c r="MK222" s="1009"/>
      <c r="ML222" s="1009"/>
      <c r="MM222" s="1009"/>
      <c r="MN222" s="1009"/>
      <c r="MO222" s="1009"/>
      <c r="MP222" s="1009"/>
      <c r="MQ222" s="1009"/>
      <c r="MR222" s="1009"/>
      <c r="MS222" s="1009"/>
      <c r="MT222" s="1009"/>
      <c r="MU222" s="1009"/>
      <c r="MV222" s="1009"/>
      <c r="MW222" s="1009"/>
      <c r="MX222" s="1009"/>
      <c r="MY222" s="1009"/>
      <c r="MZ222" s="1009"/>
      <c r="NA222" s="1009"/>
      <c r="NB222" s="1009"/>
      <c r="NC222" s="1009"/>
      <c r="ND222" s="1009"/>
      <c r="NE222" s="1009"/>
      <c r="NF222" s="1009"/>
      <c r="NG222" s="1009"/>
      <c r="NH222" s="1009"/>
      <c r="NI222" s="1009"/>
      <c r="NJ222" s="1009"/>
      <c r="NK222" s="1009"/>
      <c r="NL222" s="1009"/>
      <c r="NM222" s="1009"/>
      <c r="NN222" s="1009"/>
      <c r="NO222" s="1009"/>
      <c r="NP222" s="1009"/>
      <c r="NQ222" s="1009"/>
      <c r="NR222" s="1009"/>
      <c r="NS222" s="1009"/>
      <c r="NT222" s="1009"/>
      <c r="NU222" s="1009"/>
      <c r="NV222" s="1009"/>
      <c r="NW222" s="1009"/>
      <c r="NX222" s="1009"/>
      <c r="NY222" s="1009"/>
      <c r="NZ222" s="1009"/>
      <c r="OA222" s="1009"/>
      <c r="OB222" s="1009"/>
      <c r="OC222" s="1009"/>
      <c r="OD222" s="1009"/>
      <c r="OE222" s="1009"/>
      <c r="OF222" s="1009"/>
      <c r="OG222" s="1009"/>
      <c r="OH222" s="1009"/>
      <c r="OI222" s="1009"/>
      <c r="OJ222" s="1009"/>
      <c r="OK222" s="1009"/>
      <c r="OL222" s="1009"/>
      <c r="OM222" s="1009"/>
      <c r="ON222" s="1009"/>
      <c r="OO222" s="1009"/>
      <c r="OP222" s="1009"/>
      <c r="OQ222" s="1009"/>
      <c r="OR222" s="1009"/>
      <c r="OS222" s="1009"/>
      <c r="OT222" s="1009"/>
      <c r="OU222" s="1009"/>
      <c r="OV222" s="1009"/>
      <c r="OW222" s="1009"/>
      <c r="OX222" s="1009"/>
      <c r="OY222" s="1009"/>
      <c r="OZ222" s="1009"/>
      <c r="PA222" s="1009"/>
      <c r="PB222" s="1009"/>
      <c r="PC222" s="1009"/>
      <c r="PD222" s="1009"/>
      <c r="PE222" s="1009"/>
      <c r="PF222" s="1009"/>
      <c r="PG222" s="1009"/>
      <c r="PH222" s="1009"/>
      <c r="PI222" s="1009"/>
      <c r="PJ222" s="1009"/>
      <c r="PK222" s="1009"/>
      <c r="PL222" s="1009"/>
      <c r="PM222" s="1009"/>
      <c r="PN222" s="1009"/>
      <c r="PO222" s="1009"/>
      <c r="PP222" s="1009"/>
      <c r="PQ222" s="1009"/>
      <c r="PR222" s="1009"/>
      <c r="PS222" s="1009"/>
      <c r="PT222" s="1009"/>
      <c r="PU222" s="1009"/>
      <c r="PV222" s="1009"/>
      <c r="PW222" s="1009"/>
      <c r="PX222" s="1009"/>
      <c r="PY222" s="1009"/>
      <c r="PZ222" s="1009"/>
      <c r="QA222" s="1009"/>
      <c r="QB222" s="1009"/>
      <c r="QC222" s="1009"/>
      <c r="QD222" s="1009"/>
      <c r="QE222" s="1009"/>
      <c r="QF222" s="1009"/>
      <c r="QG222" s="1009"/>
      <c r="QH222" s="1009"/>
      <c r="QI222" s="1009"/>
      <c r="QJ222" s="1009"/>
      <c r="QK222" s="1009"/>
      <c r="QL222" s="1009"/>
      <c r="QM222" s="1009"/>
      <c r="QN222" s="1009"/>
      <c r="QO222" s="1009"/>
      <c r="QP222" s="1009"/>
      <c r="QQ222" s="1009"/>
      <c r="QR222" s="1009"/>
      <c r="QS222" s="1009"/>
      <c r="QT222" s="1009"/>
      <c r="QU222" s="1009"/>
      <c r="QV222" s="1009"/>
      <c r="QW222" s="1009"/>
      <c r="QX222" s="1009"/>
      <c r="QY222" s="1009"/>
      <c r="QZ222" s="1009"/>
      <c r="RA222" s="1009"/>
      <c r="RB222" s="1009"/>
      <c r="RC222" s="1009"/>
      <c r="RD222" s="1009"/>
      <c r="RE222" s="1009"/>
      <c r="RF222" s="1009"/>
      <c r="RG222" s="1009"/>
      <c r="RH222" s="1009"/>
      <c r="RI222" s="1009"/>
      <c r="RJ222" s="1009"/>
      <c r="RK222" s="1009"/>
      <c r="RL222" s="1009"/>
      <c r="RM222" s="1009"/>
      <c r="RN222" s="1009"/>
      <c r="RO222" s="1009"/>
      <c r="RP222" s="1009"/>
      <c r="RQ222" s="1009"/>
      <c r="RR222" s="1009"/>
      <c r="RS222" s="1009"/>
      <c r="RT222" s="1009"/>
      <c r="RU222" s="1009"/>
      <c r="RV222" s="1009"/>
      <c r="RW222" s="1009"/>
      <c r="RX222" s="1009"/>
      <c r="RY222" s="1009"/>
      <c r="RZ222" s="1009"/>
      <c r="SA222" s="1009"/>
      <c r="SB222" s="1009"/>
      <c r="SC222" s="1009"/>
      <c r="SD222" s="1009"/>
      <c r="SE222" s="1009"/>
      <c r="SF222" s="1009"/>
      <c r="SG222" s="1009"/>
      <c r="SH222" s="1009"/>
      <c r="SI222" s="1009"/>
      <c r="SJ222" s="1009"/>
      <c r="SK222" s="1009"/>
      <c r="SL222" s="1009"/>
      <c r="SM222" s="1009"/>
      <c r="SN222" s="1009"/>
      <c r="SO222" s="1009"/>
      <c r="SP222" s="1009"/>
      <c r="SQ222" s="1009"/>
      <c r="SR222" s="1009"/>
      <c r="SS222" s="1009"/>
      <c r="ST222" s="1009"/>
      <c r="SU222" s="1009"/>
      <c r="SV222" s="1009"/>
      <c r="SW222" s="1009"/>
      <c r="SX222" s="1009"/>
      <c r="SY222" s="1009"/>
      <c r="SZ222" s="1009"/>
      <c r="TA222" s="1009"/>
      <c r="TB222" s="1009"/>
      <c r="TC222" s="1009"/>
      <c r="TD222" s="1009"/>
      <c r="TE222" s="1009"/>
      <c r="TF222" s="1009"/>
      <c r="TG222" s="1009"/>
      <c r="TH222" s="1009"/>
      <c r="TI222" s="1009"/>
      <c r="TJ222" s="1009"/>
      <c r="TK222" s="1009"/>
      <c r="TL222" s="1009"/>
      <c r="TM222" s="1009"/>
      <c r="TN222" s="1009"/>
      <c r="TO222" s="1009"/>
      <c r="TP222" s="1009"/>
      <c r="TQ222" s="1009"/>
      <c r="TR222" s="1009"/>
      <c r="TS222" s="1009"/>
      <c r="TT222" s="1009"/>
      <c r="TU222" s="1009"/>
      <c r="TV222" s="1009"/>
      <c r="TW222" s="1009"/>
      <c r="TX222" s="1009"/>
      <c r="TY222" s="1009"/>
      <c r="TZ222" s="1009"/>
      <c r="UA222" s="1009"/>
      <c r="UB222" s="1009"/>
      <c r="UC222" s="1009"/>
      <c r="UD222" s="1009"/>
      <c r="UE222" s="1009"/>
      <c r="UF222" s="1009"/>
      <c r="UG222" s="1009"/>
      <c r="UH222" s="1009"/>
      <c r="UI222" s="1009"/>
      <c r="UJ222" s="1009"/>
      <c r="UK222" s="1009"/>
      <c r="UL222" s="1009"/>
      <c r="UM222" s="1009"/>
      <c r="UN222" s="1009"/>
      <c r="UO222" s="1009"/>
      <c r="UP222" s="1009"/>
      <c r="UQ222" s="1009"/>
      <c r="UR222" s="1009"/>
      <c r="US222" s="1009"/>
      <c r="UT222" s="1009"/>
      <c r="UU222" s="1009"/>
      <c r="UV222" s="1009"/>
      <c r="UW222" s="1009"/>
      <c r="UX222" s="1009"/>
      <c r="UY222" s="1009"/>
      <c r="UZ222" s="1009"/>
      <c r="VA222" s="1009"/>
      <c r="VB222" s="1009"/>
      <c r="VC222" s="1009"/>
      <c r="VD222" s="1009"/>
      <c r="VE222" s="1009"/>
      <c r="VF222" s="1009"/>
      <c r="VG222" s="1009"/>
      <c r="VH222" s="1009"/>
      <c r="VI222" s="1009"/>
      <c r="VJ222" s="1009"/>
      <c r="VK222" s="1009"/>
      <c r="VL222" s="1009"/>
      <c r="VM222" s="1009"/>
      <c r="VN222" s="1009"/>
      <c r="VO222" s="1009"/>
      <c r="VP222" s="1009"/>
      <c r="VQ222" s="1009"/>
      <c r="VR222" s="1009"/>
      <c r="VS222" s="1009"/>
      <c r="VT222" s="1009"/>
      <c r="VU222" s="1009"/>
      <c r="VV222" s="1009"/>
      <c r="VW222" s="1009"/>
      <c r="VX222" s="1009"/>
      <c r="VY222" s="1009"/>
      <c r="VZ222" s="1009"/>
      <c r="WA222" s="1009"/>
      <c r="WB222" s="1009"/>
      <c r="WC222" s="1009"/>
      <c r="WD222" s="1009"/>
      <c r="WE222" s="1009"/>
      <c r="WF222" s="1009"/>
      <c r="WG222" s="1009"/>
      <c r="WH222" s="1009"/>
      <c r="WI222" s="1009"/>
      <c r="WJ222" s="1009"/>
      <c r="WK222" s="1009"/>
      <c r="WL222" s="1009"/>
      <c r="WM222" s="1009"/>
      <c r="WN222" s="1009"/>
      <c r="WO222" s="1009"/>
      <c r="WP222" s="1009"/>
      <c r="WQ222" s="1009"/>
      <c r="WR222" s="1009"/>
      <c r="WS222" s="1009"/>
      <c r="WT222" s="1009"/>
      <c r="WU222" s="1009"/>
      <c r="WV222" s="1009"/>
      <c r="WW222" s="1009"/>
      <c r="WX222" s="1009"/>
      <c r="WY222" s="1009"/>
      <c r="WZ222" s="1009"/>
      <c r="XA222" s="1009"/>
      <c r="XB222" s="1009"/>
      <c r="XC222" s="1009"/>
      <c r="XD222" s="1009"/>
      <c r="XE222" s="1009"/>
      <c r="XF222" s="1009"/>
      <c r="XG222" s="1009"/>
      <c r="XH222" s="1009"/>
      <c r="XI222" s="1009"/>
      <c r="XJ222" s="1009"/>
      <c r="XK222" s="1009"/>
      <c r="XL222" s="1009"/>
      <c r="XM222" s="1009"/>
      <c r="XN222" s="1009"/>
      <c r="XO222" s="1009"/>
      <c r="XP222" s="1009"/>
      <c r="XQ222" s="1009"/>
      <c r="XR222" s="1009"/>
      <c r="XS222" s="1009"/>
      <c r="XT222" s="1009"/>
      <c r="XU222" s="1009"/>
      <c r="XV222" s="1009"/>
      <c r="XW222" s="1009"/>
      <c r="XX222" s="1009"/>
      <c r="XY222" s="1009"/>
      <c r="XZ222" s="1009"/>
      <c r="YA222" s="1009"/>
      <c r="YB222" s="1009"/>
      <c r="YC222" s="1009"/>
      <c r="YD222" s="1009"/>
      <c r="YE222" s="1009"/>
      <c r="YF222" s="1009"/>
      <c r="YG222" s="1009"/>
      <c r="YH222" s="1009"/>
      <c r="YI222" s="1009"/>
      <c r="YJ222" s="1009"/>
      <c r="YK222" s="1009"/>
      <c r="YL222" s="1009"/>
      <c r="YM222" s="1009"/>
      <c r="YN222" s="1009"/>
      <c r="YO222" s="1009"/>
      <c r="YP222" s="1009"/>
      <c r="YQ222" s="1009"/>
      <c r="YR222" s="1009"/>
      <c r="YS222" s="1009"/>
      <c r="YT222" s="1009"/>
      <c r="YU222" s="1009"/>
      <c r="YV222" s="1009"/>
      <c r="YW222" s="1009"/>
      <c r="YX222" s="1009"/>
      <c r="YY222" s="1009"/>
      <c r="YZ222" s="1009"/>
      <c r="ZA222" s="1009"/>
      <c r="ZB222" s="1009"/>
      <c r="ZC222" s="1009"/>
      <c r="ZD222" s="1009"/>
      <c r="ZE222" s="1009"/>
      <c r="ZF222" s="1009"/>
      <c r="ZG222" s="1009"/>
      <c r="ZH222" s="1009"/>
      <c r="ZI222" s="1009"/>
      <c r="ZJ222" s="1009"/>
      <c r="ZK222" s="1009"/>
      <c r="ZL222" s="1009"/>
      <c r="ZM222" s="1009"/>
      <c r="ZN222" s="1009"/>
      <c r="ZO222" s="1009"/>
      <c r="ZP222" s="1009"/>
      <c r="ZQ222" s="1009"/>
      <c r="ZR222" s="1009"/>
      <c r="ZS222" s="1009"/>
      <c r="ZT222" s="1009"/>
      <c r="ZU222" s="1009"/>
      <c r="ZV222" s="1009"/>
      <c r="ZW222" s="1009"/>
      <c r="ZX222" s="1009"/>
      <c r="ZY222" s="1009"/>
      <c r="ZZ222" s="1009"/>
      <c r="AAA222" s="1009"/>
      <c r="AAB222" s="1009"/>
      <c r="AAC222" s="1009"/>
      <c r="AAD222" s="1009"/>
      <c r="AAE222" s="1009"/>
      <c r="AAF222" s="1009"/>
      <c r="AAG222" s="1009"/>
      <c r="AAH222" s="1009"/>
      <c r="AAI222" s="1009"/>
      <c r="AAJ222" s="1009"/>
      <c r="AAK222" s="1009"/>
      <c r="AAL222" s="1009"/>
      <c r="AAM222" s="1009"/>
      <c r="AAN222" s="1009"/>
      <c r="AAO222" s="1009"/>
      <c r="AAP222" s="1009"/>
      <c r="AAQ222" s="1009"/>
      <c r="AAR222" s="1009"/>
      <c r="AAS222" s="1009"/>
      <c r="AAT222" s="1009"/>
      <c r="AAU222" s="1009"/>
      <c r="AAV222" s="1009"/>
      <c r="AAW222" s="1009"/>
      <c r="AAX222" s="1009"/>
      <c r="AAY222" s="1009"/>
      <c r="AAZ222" s="1009"/>
      <c r="ABA222" s="1009"/>
      <c r="ABB222" s="1009"/>
      <c r="ABC222" s="1009"/>
      <c r="ABD222" s="1009"/>
      <c r="ABE222" s="1009"/>
      <c r="ABF222" s="1009"/>
      <c r="ABG222" s="1009"/>
      <c r="ABH222" s="1009"/>
      <c r="ABI222" s="1009"/>
      <c r="ABJ222" s="1009"/>
      <c r="ABK222" s="1009"/>
      <c r="ABL222" s="1009"/>
      <c r="ABM222" s="1009"/>
      <c r="ABN222" s="1009"/>
      <c r="ABO222" s="1009"/>
      <c r="ABP222" s="1009"/>
      <c r="ABQ222" s="1009"/>
      <c r="ABR222" s="1009"/>
    </row>
    <row r="223" spans="1:746" s="111" customFormat="1" ht="13.5" customHeight="1">
      <c r="A223" s="1758"/>
      <c r="B223" s="2637" t="s">
        <v>992</v>
      </c>
      <c r="C223" s="909"/>
      <c r="D223" s="909"/>
      <c r="E223" s="2643"/>
      <c r="F223" s="2644"/>
      <c r="G223" s="2643"/>
      <c r="H223" s="2645"/>
      <c r="I223" s="1765">
        <f>IF(fx!$C$61=1,fx!I450,IF(fx!$C$61=2,fx!I454,IF(fx!$C$63=4,fx!I456,IF(fx!$C$63=5,fx!I455,0))))</f>
        <v>0</v>
      </c>
      <c r="J223" s="1765">
        <f>IF(fx!$C$61=1,fx!J450,IF(fx!$C$61=2,fx!J454,IF(fx!$C$63=4,fx!J456,IF(fx!$C$63=5,fx!J455,0))))</f>
        <v>0</v>
      </c>
      <c r="K223" s="1765">
        <f>IF(fx!$C$61=1,fx!K450,IF(fx!$C$61=2,fx!K454,IF(fx!$C$63=4,fx!K456,IF(fx!$C$63=5,fx!K455,0))))</f>
        <v>0</v>
      </c>
      <c r="L223" s="1765">
        <f>IF(fx!$C$61=1,fx!L450,IF(fx!$C$61=2,fx!L454,IF(fx!$C$63=4,fx!L456,IF(fx!$C$63=5,fx!L455,0))))</f>
        <v>0</v>
      </c>
      <c r="M223" s="1765">
        <f>IF(fx!$C$61=1,fx!M450,IF(fx!$C$61=2,fx!M454,IF(fx!$C$63=4,fx!M456,IF(fx!$C$63=5,fx!M455,0))))</f>
        <v>0</v>
      </c>
      <c r="N223" s="1765">
        <f>IF(fx!$C$61=1,fx!N450,IF(fx!$C$61=2,fx!N454,IF(fx!$C$63=4,fx!N456,IF(fx!$C$63=5,fx!N455,0))))</f>
        <v>0</v>
      </c>
      <c r="O223" s="1765">
        <f>IF(fx!$C$61=1,fx!O450,IF(fx!$C$61=2,fx!O454,IF(fx!$C$63=4,fx!O456,IF(fx!$C$63=5,fx!O455,0))))</f>
        <v>0</v>
      </c>
      <c r="P223" s="1765">
        <f>IF(fx!$C$61=1,fx!P450,IF(fx!$C$61=2,fx!P454,IF(fx!$C$63=4,fx!P456,IF(fx!$C$63=5,fx!P455,0))))</f>
        <v>0</v>
      </c>
      <c r="Q223" s="1765">
        <f>IF(fx!$C$61=1,fx!Q450,IF(fx!$C$61=2,fx!Q454,IF(fx!$C$63=4,fx!Q456,IF(fx!$C$63=5,fx!Q455,0))))</f>
        <v>0</v>
      </c>
      <c r="R223" s="1765">
        <f>IF(fx!$C$61=1,fx!R450,IF(fx!$C$61=2,fx!R454,IF(fx!$C$63=4,fx!R456,IF(fx!$C$63=5,fx!R455,0))))</f>
        <v>0</v>
      </c>
      <c r="S223" s="1765">
        <f>IF(fx!$C$61=1,fx!S450,IF(fx!$C$61=2,fx!S454,IF(fx!$C$63=4,fx!S456,IF(fx!$C$63=5,fx!S455,0))))</f>
        <v>0</v>
      </c>
      <c r="T223" s="1765">
        <f>IF(fx!$C$61=1,fx!T450,IF(fx!$C$61=2,fx!T454,IF(fx!$C$63=4,fx!T456,IF(fx!$C$63=5,fx!T455,0))))</f>
        <v>0</v>
      </c>
      <c r="U223" s="1765">
        <f>IF(fx!$C$61=1,fx!U450,IF(fx!$C$61=2,fx!U454,IF(fx!$C$63=4,fx!U456,IF(fx!$C$63=5,fx!U455,0))))</f>
        <v>0</v>
      </c>
      <c r="V223" s="1765">
        <f>IF(fx!$C$61=1,fx!V450,IF(fx!$C$61=2,fx!V454,IF(fx!$C$63=4,fx!V456,IF(fx!$C$63=5,fx!V455,0))))</f>
        <v>0</v>
      </c>
      <c r="W223" s="1765">
        <f>IF(fx!$C$61=1,fx!W450,IF(fx!$C$61=2,fx!W454,IF(fx!$C$63=4,fx!W456,IF(fx!$C$63=5,fx!W455,0))))</f>
        <v>0</v>
      </c>
      <c r="X223" s="1765">
        <f>IF(fx!$C$61=1,fx!X450,IF(fx!$C$61=2,fx!X454,IF(fx!$C$63=4,fx!X456,IF(fx!$C$63=5,fx!X455,0))))</f>
        <v>0</v>
      </c>
      <c r="Y223" s="1765">
        <f>IF(fx!$C$61=1,fx!Y450,IF(fx!$C$61=2,fx!Y454,IF(fx!$C$63=4,fx!Y456,IF(fx!$C$63=5,fx!Y455,0))))</f>
        <v>0</v>
      </c>
      <c r="Z223" s="1765">
        <f>IF(fx!$C$61=1,fx!Z450,IF(fx!$C$61=2,fx!Z454,IF(fx!$C$63=4,fx!Z456,IF(fx!$C$63=5,fx!Z455,0))))</f>
        <v>0</v>
      </c>
      <c r="AA223" s="1765">
        <f>IF(fx!$C$61=1,fx!AA450,IF(fx!$C$61=2,fx!AA454,IF(fx!$C$63=4,fx!AA456,IF(fx!$C$63=5,fx!AA455,0))))</f>
        <v>0</v>
      </c>
      <c r="AB223" s="1765">
        <f>IF(fx!$C$61=1,fx!AB450,IF(fx!$C$61=2,SUM(fx!AB451:AB453),IF(fx!$C$63=4,fx!AB456,IF(fx!$C$63=5,fx!AB455,0))))</f>
        <v>0</v>
      </c>
      <c r="AC223" s="1765">
        <f>IF(fx!$C$61=1,fx!AC450,IF(fx!$C$61=2,SUM(fx!AC451:AC453),IF(fx!$C$63=4,fx!AC456,IF(fx!$C$63=5,fx!AC455,0))))</f>
        <v>0</v>
      </c>
      <c r="AD223" s="1765">
        <f>IF(fx!$C$61=1,fx!AD450,IF(fx!$C$61=2,SUM(fx!AD451:AD453),IF(fx!$C$63=4,fx!AD456,IF(fx!$C$63=5,fx!AD455,0))))</f>
        <v>0</v>
      </c>
      <c r="AE223" s="1765">
        <f>IF(fx!$C$61=1,fx!AE450,IF(fx!$C$61=2,SUM(fx!AE451:AE453),IF(fx!$C$63=4,fx!AE456,IF(fx!$C$63=5,fx!AE455,0))))</f>
        <v>0</v>
      </c>
      <c r="AF223" s="1765">
        <f>IF(fx!$C$61=1,fx!AF450,IF(fx!$C$61=2,SUM(fx!AF451:AF453),IF(fx!$C$63=4,fx!AF456,IF(fx!$C$63=5,fx!AF455,0))))</f>
        <v>0</v>
      </c>
      <c r="AG223" s="2221"/>
      <c r="AH223" s="336"/>
      <c r="AI223" s="336"/>
      <c r="AJ223" s="1044"/>
      <c r="AK223" s="1048"/>
      <c r="AL223" s="1046"/>
      <c r="AM223" s="1009"/>
      <c r="AN223" s="1026"/>
      <c r="AO223" s="1945"/>
      <c r="AP223" s="1935"/>
      <c r="AQ223" s="1936"/>
      <c r="AR223" s="2236"/>
      <c r="AS223" s="2236"/>
      <c r="AT223" s="2236"/>
      <c r="AU223" s="2236"/>
      <c r="AV223" s="2236"/>
      <c r="AW223" s="2236"/>
      <c r="AX223" s="2236"/>
      <c r="AY223" s="2236"/>
      <c r="AZ223" s="2236"/>
      <c r="BA223" s="2236"/>
      <c r="BB223" s="2236"/>
      <c r="BC223" s="2236"/>
      <c r="BD223" s="2236"/>
      <c r="BE223" s="2236"/>
      <c r="BF223" s="2236"/>
      <c r="BG223" s="2236"/>
      <c r="BH223" s="2236"/>
      <c r="BI223" s="2236"/>
      <c r="BJ223" s="2236"/>
      <c r="BK223" s="2236"/>
      <c r="BL223" s="2236"/>
      <c r="BM223" s="2236"/>
      <c r="BN223" s="2236"/>
      <c r="BO223" s="2236"/>
      <c r="BP223" s="1009"/>
      <c r="BQ223" s="1009"/>
      <c r="BR223" s="1009"/>
      <c r="BS223" s="1009"/>
      <c r="BT223" s="1009"/>
      <c r="BU223" s="1009"/>
      <c r="BV223" s="1009"/>
      <c r="BW223" s="1009"/>
      <c r="BX223" s="1009"/>
      <c r="BY223" s="1009"/>
      <c r="BZ223" s="1009"/>
      <c r="CA223" s="1009"/>
      <c r="CB223" s="1009"/>
      <c r="CC223" s="1009"/>
      <c r="CD223" s="1009"/>
      <c r="CE223" s="1009"/>
      <c r="CF223" s="1009"/>
      <c r="CG223" s="1009"/>
      <c r="CH223" s="1009"/>
      <c r="CI223" s="1009"/>
      <c r="CJ223" s="1009"/>
      <c r="CK223" s="1009"/>
      <c r="CL223" s="1009"/>
      <c r="CM223" s="1009"/>
      <c r="CN223" s="1009"/>
      <c r="CO223" s="1009"/>
      <c r="CP223" s="1009"/>
      <c r="CQ223" s="1009"/>
      <c r="CR223" s="1009"/>
      <c r="CS223" s="1009"/>
      <c r="CT223" s="1009"/>
      <c r="CU223" s="1009"/>
      <c r="CV223" s="1009"/>
      <c r="CW223" s="1009"/>
      <c r="CX223" s="1009"/>
      <c r="CY223" s="1009"/>
      <c r="CZ223" s="1009"/>
      <c r="DA223" s="1009"/>
      <c r="DB223" s="1009"/>
      <c r="DC223" s="1009"/>
      <c r="DD223" s="1009"/>
      <c r="DE223" s="1009"/>
      <c r="DF223" s="1009"/>
      <c r="DG223" s="1009"/>
      <c r="DH223" s="1009"/>
      <c r="DI223" s="1009"/>
      <c r="DJ223" s="1009"/>
      <c r="DK223" s="1009"/>
      <c r="DL223" s="1009"/>
      <c r="DM223" s="1009"/>
      <c r="DN223" s="1009"/>
      <c r="DO223" s="1009"/>
      <c r="DP223" s="1009"/>
      <c r="DQ223" s="1009"/>
      <c r="DR223" s="1009"/>
      <c r="DS223" s="1009"/>
      <c r="DT223" s="1009"/>
      <c r="DU223" s="1009"/>
      <c r="DV223" s="1009"/>
      <c r="DW223" s="1009"/>
      <c r="DX223" s="1009"/>
      <c r="DY223" s="1009"/>
      <c r="DZ223" s="1009"/>
      <c r="EA223" s="1009"/>
      <c r="EB223" s="1009"/>
      <c r="EC223" s="1009"/>
      <c r="ED223" s="1009"/>
      <c r="EE223" s="1009"/>
      <c r="EF223" s="1009"/>
      <c r="EG223" s="1009"/>
      <c r="EH223" s="1009"/>
      <c r="EI223" s="1009"/>
      <c r="EJ223" s="1009"/>
      <c r="EK223" s="1009"/>
      <c r="EL223" s="1009"/>
      <c r="EM223" s="1009"/>
      <c r="EN223" s="1009"/>
      <c r="EO223" s="1009"/>
      <c r="EP223" s="1009"/>
      <c r="EQ223" s="1009"/>
      <c r="ER223" s="1009"/>
      <c r="ES223" s="1009"/>
      <c r="ET223" s="1009"/>
      <c r="EU223" s="1009"/>
      <c r="EV223" s="1009"/>
      <c r="EW223" s="1009"/>
      <c r="EX223" s="1009"/>
      <c r="EY223" s="1009"/>
      <c r="EZ223" s="1009"/>
      <c r="FA223" s="1009"/>
      <c r="FB223" s="1009"/>
      <c r="FC223" s="1009"/>
      <c r="FD223" s="1009"/>
      <c r="FE223" s="1009"/>
      <c r="FF223" s="1009"/>
      <c r="FG223" s="1009"/>
      <c r="FH223" s="1009"/>
      <c r="FI223" s="1009"/>
      <c r="FJ223" s="1009"/>
      <c r="FK223" s="1009"/>
      <c r="FL223" s="1009"/>
      <c r="FM223" s="1009"/>
      <c r="FN223" s="1009"/>
      <c r="FO223" s="1009"/>
      <c r="FP223" s="1009"/>
      <c r="FQ223" s="1009"/>
      <c r="FR223" s="1009"/>
      <c r="FS223" s="1009"/>
      <c r="FT223" s="1009"/>
      <c r="FU223" s="1009"/>
      <c r="FV223" s="1009"/>
      <c r="FW223" s="1009"/>
      <c r="FX223" s="1009"/>
      <c r="FY223" s="1009"/>
      <c r="FZ223" s="1009"/>
      <c r="GA223" s="1009"/>
      <c r="GB223" s="1009"/>
      <c r="GC223" s="1009"/>
      <c r="GD223" s="1009"/>
      <c r="GE223" s="1009"/>
      <c r="GF223" s="1009"/>
      <c r="GG223" s="1009"/>
      <c r="GH223" s="1009"/>
      <c r="GI223" s="1009"/>
      <c r="GJ223" s="1009"/>
      <c r="GK223" s="1009"/>
      <c r="GL223" s="1009"/>
      <c r="GM223" s="1009"/>
      <c r="GN223" s="1009"/>
      <c r="GO223" s="1009"/>
      <c r="GP223" s="1009"/>
      <c r="GQ223" s="1009"/>
      <c r="GR223" s="1009"/>
      <c r="GS223" s="1009"/>
      <c r="GT223" s="1009"/>
      <c r="GU223" s="1009"/>
      <c r="GV223" s="1009"/>
      <c r="GW223" s="1009"/>
      <c r="GX223" s="1009"/>
      <c r="GY223" s="1009"/>
      <c r="GZ223" s="1009"/>
      <c r="HA223" s="1009"/>
      <c r="HB223" s="1009"/>
      <c r="HC223" s="1009"/>
      <c r="HD223" s="1009"/>
      <c r="HE223" s="1009"/>
      <c r="HF223" s="1009"/>
      <c r="HG223" s="1009"/>
      <c r="HH223" s="1009"/>
      <c r="HI223" s="1009"/>
      <c r="HJ223" s="1009"/>
      <c r="HK223" s="1009"/>
      <c r="HL223" s="1009"/>
      <c r="HM223" s="1009"/>
      <c r="HN223" s="1009"/>
      <c r="HO223" s="1009"/>
      <c r="HP223" s="1009"/>
      <c r="HQ223" s="1009"/>
      <c r="HR223" s="1009"/>
      <c r="HS223" s="1009"/>
      <c r="HT223" s="1009"/>
      <c r="HU223" s="1009"/>
      <c r="HV223" s="1009"/>
      <c r="HW223" s="1009"/>
      <c r="HX223" s="1009"/>
      <c r="HY223" s="1009"/>
      <c r="HZ223" s="1009"/>
      <c r="IA223" s="1009"/>
      <c r="IB223" s="1009"/>
      <c r="IC223" s="1009"/>
      <c r="ID223" s="1009"/>
      <c r="IE223" s="1009"/>
      <c r="IF223" s="1009"/>
      <c r="IG223" s="1009"/>
      <c r="IH223" s="1009"/>
      <c r="II223" s="1009"/>
      <c r="IJ223" s="1009"/>
      <c r="IK223" s="1009"/>
      <c r="IL223" s="1009"/>
      <c r="IM223" s="1009"/>
      <c r="IN223" s="1009"/>
      <c r="IO223" s="1009"/>
      <c r="IP223" s="1009"/>
      <c r="IQ223" s="1009"/>
      <c r="IR223" s="1009"/>
      <c r="IS223" s="1009"/>
      <c r="IT223" s="1009"/>
      <c r="IU223" s="1009"/>
      <c r="IV223" s="1009"/>
      <c r="IW223" s="1009"/>
      <c r="IX223" s="1009"/>
      <c r="IY223" s="1009"/>
      <c r="IZ223" s="1009"/>
      <c r="JA223" s="1009"/>
      <c r="JB223" s="1009"/>
      <c r="JC223" s="1009"/>
      <c r="JD223" s="1009"/>
      <c r="JE223" s="1009"/>
      <c r="JF223" s="1009"/>
      <c r="JG223" s="1009"/>
      <c r="JH223" s="1009"/>
      <c r="JI223" s="1009"/>
      <c r="JJ223" s="1009"/>
      <c r="JK223" s="1009"/>
      <c r="JL223" s="1009"/>
      <c r="JM223" s="1009"/>
      <c r="JN223" s="1009"/>
      <c r="JO223" s="1009"/>
      <c r="JP223" s="1009"/>
      <c r="JQ223" s="1009"/>
      <c r="JR223" s="1009"/>
      <c r="JS223" s="1009"/>
      <c r="JT223" s="1009"/>
      <c r="JU223" s="1009"/>
      <c r="JV223" s="1009"/>
      <c r="JW223" s="1009"/>
      <c r="JX223" s="1009"/>
      <c r="JY223" s="1009"/>
      <c r="JZ223" s="1009"/>
      <c r="KA223" s="1009"/>
      <c r="KB223" s="1009"/>
      <c r="KC223" s="1009"/>
      <c r="KD223" s="1009"/>
      <c r="KE223" s="1009"/>
      <c r="KF223" s="1009"/>
      <c r="KG223" s="1009"/>
      <c r="KH223" s="1009"/>
      <c r="KI223" s="1009"/>
      <c r="KJ223" s="1009"/>
      <c r="KK223" s="1009"/>
      <c r="KL223" s="1009"/>
      <c r="KM223" s="1009"/>
      <c r="KN223" s="1009"/>
      <c r="KO223" s="1009"/>
      <c r="KP223" s="1009"/>
      <c r="KQ223" s="1009"/>
      <c r="KR223" s="1009"/>
      <c r="KS223" s="1009"/>
      <c r="KT223" s="1009"/>
      <c r="KU223" s="1009"/>
      <c r="KV223" s="1009"/>
      <c r="KW223" s="1009"/>
      <c r="KX223" s="1009"/>
      <c r="KY223" s="1009"/>
      <c r="KZ223" s="1009"/>
      <c r="LA223" s="1009"/>
      <c r="LB223" s="1009"/>
      <c r="LC223" s="1009"/>
      <c r="LD223" s="1009"/>
      <c r="LE223" s="1009"/>
      <c r="LF223" s="1009"/>
      <c r="LG223" s="1009"/>
      <c r="LH223" s="1009"/>
      <c r="LI223" s="1009"/>
      <c r="LJ223" s="1009"/>
      <c r="LK223" s="1009"/>
      <c r="LL223" s="1009"/>
      <c r="LM223" s="1009"/>
      <c r="LN223" s="1009"/>
      <c r="LO223" s="1009"/>
      <c r="LP223" s="1009"/>
      <c r="LQ223" s="1009"/>
      <c r="LR223" s="1009"/>
      <c r="LS223" s="1009"/>
      <c r="LT223" s="1009"/>
      <c r="LU223" s="1009"/>
      <c r="LV223" s="1009"/>
      <c r="LW223" s="1009"/>
      <c r="LX223" s="1009"/>
      <c r="LY223" s="1009"/>
      <c r="LZ223" s="1009"/>
      <c r="MA223" s="1009"/>
      <c r="MB223" s="1009"/>
      <c r="MC223" s="1009"/>
      <c r="MD223" s="1009"/>
      <c r="ME223" s="1009"/>
      <c r="MF223" s="1009"/>
      <c r="MG223" s="1009"/>
      <c r="MH223" s="1009"/>
      <c r="MI223" s="1009"/>
      <c r="MJ223" s="1009"/>
      <c r="MK223" s="1009"/>
      <c r="ML223" s="1009"/>
      <c r="MM223" s="1009"/>
      <c r="MN223" s="1009"/>
      <c r="MO223" s="1009"/>
      <c r="MP223" s="1009"/>
      <c r="MQ223" s="1009"/>
      <c r="MR223" s="1009"/>
      <c r="MS223" s="1009"/>
      <c r="MT223" s="1009"/>
      <c r="MU223" s="1009"/>
      <c r="MV223" s="1009"/>
      <c r="MW223" s="1009"/>
      <c r="MX223" s="1009"/>
      <c r="MY223" s="1009"/>
      <c r="MZ223" s="1009"/>
      <c r="NA223" s="1009"/>
      <c r="NB223" s="1009"/>
      <c r="NC223" s="1009"/>
      <c r="ND223" s="1009"/>
      <c r="NE223" s="1009"/>
      <c r="NF223" s="1009"/>
      <c r="NG223" s="1009"/>
      <c r="NH223" s="1009"/>
      <c r="NI223" s="1009"/>
      <c r="NJ223" s="1009"/>
      <c r="NK223" s="1009"/>
      <c r="NL223" s="1009"/>
      <c r="NM223" s="1009"/>
      <c r="NN223" s="1009"/>
      <c r="NO223" s="1009"/>
      <c r="NP223" s="1009"/>
      <c r="NQ223" s="1009"/>
      <c r="NR223" s="1009"/>
      <c r="NS223" s="1009"/>
      <c r="NT223" s="1009"/>
      <c r="NU223" s="1009"/>
      <c r="NV223" s="1009"/>
      <c r="NW223" s="1009"/>
      <c r="NX223" s="1009"/>
      <c r="NY223" s="1009"/>
      <c r="NZ223" s="1009"/>
      <c r="OA223" s="1009"/>
      <c r="OB223" s="1009"/>
      <c r="OC223" s="1009"/>
      <c r="OD223" s="1009"/>
      <c r="OE223" s="1009"/>
      <c r="OF223" s="1009"/>
      <c r="OG223" s="1009"/>
      <c r="OH223" s="1009"/>
      <c r="OI223" s="1009"/>
      <c r="OJ223" s="1009"/>
      <c r="OK223" s="1009"/>
      <c r="OL223" s="1009"/>
      <c r="OM223" s="1009"/>
      <c r="ON223" s="1009"/>
      <c r="OO223" s="1009"/>
      <c r="OP223" s="1009"/>
      <c r="OQ223" s="1009"/>
      <c r="OR223" s="1009"/>
      <c r="OS223" s="1009"/>
      <c r="OT223" s="1009"/>
      <c r="OU223" s="1009"/>
      <c r="OV223" s="1009"/>
      <c r="OW223" s="1009"/>
      <c r="OX223" s="1009"/>
      <c r="OY223" s="1009"/>
      <c r="OZ223" s="1009"/>
      <c r="PA223" s="1009"/>
      <c r="PB223" s="1009"/>
      <c r="PC223" s="1009"/>
      <c r="PD223" s="1009"/>
      <c r="PE223" s="1009"/>
      <c r="PF223" s="1009"/>
      <c r="PG223" s="1009"/>
      <c r="PH223" s="1009"/>
      <c r="PI223" s="1009"/>
      <c r="PJ223" s="1009"/>
      <c r="PK223" s="1009"/>
      <c r="PL223" s="1009"/>
      <c r="PM223" s="1009"/>
      <c r="PN223" s="1009"/>
      <c r="PO223" s="1009"/>
      <c r="PP223" s="1009"/>
      <c r="PQ223" s="1009"/>
      <c r="PR223" s="1009"/>
      <c r="PS223" s="1009"/>
      <c r="PT223" s="1009"/>
      <c r="PU223" s="1009"/>
      <c r="PV223" s="1009"/>
      <c r="PW223" s="1009"/>
      <c r="PX223" s="1009"/>
      <c r="PY223" s="1009"/>
      <c r="PZ223" s="1009"/>
      <c r="QA223" s="1009"/>
      <c r="QB223" s="1009"/>
      <c r="QC223" s="1009"/>
      <c r="QD223" s="1009"/>
      <c r="QE223" s="1009"/>
      <c r="QF223" s="1009"/>
      <c r="QG223" s="1009"/>
      <c r="QH223" s="1009"/>
      <c r="QI223" s="1009"/>
      <c r="QJ223" s="1009"/>
      <c r="QK223" s="1009"/>
      <c r="QL223" s="1009"/>
      <c r="QM223" s="1009"/>
      <c r="QN223" s="1009"/>
      <c r="QO223" s="1009"/>
      <c r="QP223" s="1009"/>
      <c r="QQ223" s="1009"/>
      <c r="QR223" s="1009"/>
      <c r="QS223" s="1009"/>
      <c r="QT223" s="1009"/>
      <c r="QU223" s="1009"/>
      <c r="QV223" s="1009"/>
      <c r="QW223" s="1009"/>
      <c r="QX223" s="1009"/>
      <c r="QY223" s="1009"/>
      <c r="QZ223" s="1009"/>
      <c r="RA223" s="1009"/>
      <c r="RB223" s="1009"/>
      <c r="RC223" s="1009"/>
      <c r="RD223" s="1009"/>
      <c r="RE223" s="1009"/>
      <c r="RF223" s="1009"/>
      <c r="RG223" s="1009"/>
      <c r="RH223" s="1009"/>
      <c r="RI223" s="1009"/>
      <c r="RJ223" s="1009"/>
      <c r="RK223" s="1009"/>
      <c r="RL223" s="1009"/>
      <c r="RM223" s="1009"/>
      <c r="RN223" s="1009"/>
      <c r="RO223" s="1009"/>
      <c r="RP223" s="1009"/>
      <c r="RQ223" s="1009"/>
      <c r="RR223" s="1009"/>
      <c r="RS223" s="1009"/>
      <c r="RT223" s="1009"/>
      <c r="RU223" s="1009"/>
      <c r="RV223" s="1009"/>
      <c r="RW223" s="1009"/>
      <c r="RX223" s="1009"/>
      <c r="RY223" s="1009"/>
      <c r="RZ223" s="1009"/>
      <c r="SA223" s="1009"/>
      <c r="SB223" s="1009"/>
      <c r="SC223" s="1009"/>
      <c r="SD223" s="1009"/>
      <c r="SE223" s="1009"/>
      <c r="SF223" s="1009"/>
      <c r="SG223" s="1009"/>
      <c r="SH223" s="1009"/>
      <c r="SI223" s="1009"/>
      <c r="SJ223" s="1009"/>
      <c r="SK223" s="1009"/>
      <c r="SL223" s="1009"/>
      <c r="SM223" s="1009"/>
      <c r="SN223" s="1009"/>
      <c r="SO223" s="1009"/>
      <c r="SP223" s="1009"/>
      <c r="SQ223" s="1009"/>
      <c r="SR223" s="1009"/>
      <c r="SS223" s="1009"/>
      <c r="ST223" s="1009"/>
      <c r="SU223" s="1009"/>
      <c r="SV223" s="1009"/>
      <c r="SW223" s="1009"/>
      <c r="SX223" s="1009"/>
      <c r="SY223" s="1009"/>
      <c r="SZ223" s="1009"/>
      <c r="TA223" s="1009"/>
      <c r="TB223" s="1009"/>
      <c r="TC223" s="1009"/>
      <c r="TD223" s="1009"/>
      <c r="TE223" s="1009"/>
      <c r="TF223" s="1009"/>
      <c r="TG223" s="1009"/>
      <c r="TH223" s="1009"/>
      <c r="TI223" s="1009"/>
      <c r="TJ223" s="1009"/>
      <c r="TK223" s="1009"/>
      <c r="TL223" s="1009"/>
      <c r="TM223" s="1009"/>
      <c r="TN223" s="1009"/>
      <c r="TO223" s="1009"/>
      <c r="TP223" s="1009"/>
      <c r="TQ223" s="1009"/>
      <c r="TR223" s="1009"/>
      <c r="TS223" s="1009"/>
      <c r="TT223" s="1009"/>
      <c r="TU223" s="1009"/>
      <c r="TV223" s="1009"/>
      <c r="TW223" s="1009"/>
      <c r="TX223" s="1009"/>
      <c r="TY223" s="1009"/>
      <c r="TZ223" s="1009"/>
      <c r="UA223" s="1009"/>
      <c r="UB223" s="1009"/>
      <c r="UC223" s="1009"/>
      <c r="UD223" s="1009"/>
      <c r="UE223" s="1009"/>
      <c r="UF223" s="1009"/>
      <c r="UG223" s="1009"/>
      <c r="UH223" s="1009"/>
      <c r="UI223" s="1009"/>
      <c r="UJ223" s="1009"/>
      <c r="UK223" s="1009"/>
      <c r="UL223" s="1009"/>
      <c r="UM223" s="1009"/>
      <c r="UN223" s="1009"/>
      <c r="UO223" s="1009"/>
      <c r="UP223" s="1009"/>
      <c r="UQ223" s="1009"/>
      <c r="UR223" s="1009"/>
      <c r="US223" s="1009"/>
      <c r="UT223" s="1009"/>
      <c r="UU223" s="1009"/>
      <c r="UV223" s="1009"/>
      <c r="UW223" s="1009"/>
      <c r="UX223" s="1009"/>
      <c r="UY223" s="1009"/>
      <c r="UZ223" s="1009"/>
      <c r="VA223" s="1009"/>
      <c r="VB223" s="1009"/>
      <c r="VC223" s="1009"/>
      <c r="VD223" s="1009"/>
      <c r="VE223" s="1009"/>
      <c r="VF223" s="1009"/>
      <c r="VG223" s="1009"/>
      <c r="VH223" s="1009"/>
      <c r="VI223" s="1009"/>
      <c r="VJ223" s="1009"/>
      <c r="VK223" s="1009"/>
      <c r="VL223" s="1009"/>
      <c r="VM223" s="1009"/>
      <c r="VN223" s="1009"/>
      <c r="VO223" s="1009"/>
      <c r="VP223" s="1009"/>
      <c r="VQ223" s="1009"/>
      <c r="VR223" s="1009"/>
      <c r="VS223" s="1009"/>
      <c r="VT223" s="1009"/>
      <c r="VU223" s="1009"/>
      <c r="VV223" s="1009"/>
      <c r="VW223" s="1009"/>
      <c r="VX223" s="1009"/>
      <c r="VY223" s="1009"/>
      <c r="VZ223" s="1009"/>
      <c r="WA223" s="1009"/>
      <c r="WB223" s="1009"/>
      <c r="WC223" s="1009"/>
      <c r="WD223" s="1009"/>
      <c r="WE223" s="1009"/>
      <c r="WF223" s="1009"/>
      <c r="WG223" s="1009"/>
      <c r="WH223" s="1009"/>
      <c r="WI223" s="1009"/>
      <c r="WJ223" s="1009"/>
      <c r="WK223" s="1009"/>
      <c r="WL223" s="1009"/>
      <c r="WM223" s="1009"/>
      <c r="WN223" s="1009"/>
      <c r="WO223" s="1009"/>
      <c r="WP223" s="1009"/>
      <c r="WQ223" s="1009"/>
      <c r="WR223" s="1009"/>
      <c r="WS223" s="1009"/>
      <c r="WT223" s="1009"/>
      <c r="WU223" s="1009"/>
      <c r="WV223" s="1009"/>
      <c r="WW223" s="1009"/>
      <c r="WX223" s="1009"/>
      <c r="WY223" s="1009"/>
      <c r="WZ223" s="1009"/>
      <c r="XA223" s="1009"/>
      <c r="XB223" s="1009"/>
      <c r="XC223" s="1009"/>
      <c r="XD223" s="1009"/>
      <c r="XE223" s="1009"/>
      <c r="XF223" s="1009"/>
      <c r="XG223" s="1009"/>
      <c r="XH223" s="1009"/>
      <c r="XI223" s="1009"/>
      <c r="XJ223" s="1009"/>
      <c r="XK223" s="1009"/>
      <c r="XL223" s="1009"/>
      <c r="XM223" s="1009"/>
      <c r="XN223" s="1009"/>
      <c r="XO223" s="1009"/>
      <c r="XP223" s="1009"/>
      <c r="XQ223" s="1009"/>
      <c r="XR223" s="1009"/>
      <c r="XS223" s="1009"/>
      <c r="XT223" s="1009"/>
      <c r="XU223" s="1009"/>
      <c r="XV223" s="1009"/>
      <c r="XW223" s="1009"/>
      <c r="XX223" s="1009"/>
      <c r="XY223" s="1009"/>
      <c r="XZ223" s="1009"/>
      <c r="YA223" s="1009"/>
      <c r="YB223" s="1009"/>
      <c r="YC223" s="1009"/>
      <c r="YD223" s="1009"/>
      <c r="YE223" s="1009"/>
      <c r="YF223" s="1009"/>
      <c r="YG223" s="1009"/>
      <c r="YH223" s="1009"/>
      <c r="YI223" s="1009"/>
      <c r="YJ223" s="1009"/>
      <c r="YK223" s="1009"/>
      <c r="YL223" s="1009"/>
      <c r="YM223" s="1009"/>
      <c r="YN223" s="1009"/>
      <c r="YO223" s="1009"/>
      <c r="YP223" s="1009"/>
      <c r="YQ223" s="1009"/>
      <c r="YR223" s="1009"/>
      <c r="YS223" s="1009"/>
      <c r="YT223" s="1009"/>
      <c r="YU223" s="1009"/>
      <c r="YV223" s="1009"/>
      <c r="YW223" s="1009"/>
      <c r="YX223" s="1009"/>
      <c r="YY223" s="1009"/>
      <c r="YZ223" s="1009"/>
      <c r="ZA223" s="1009"/>
      <c r="ZB223" s="1009"/>
      <c r="ZC223" s="1009"/>
      <c r="ZD223" s="1009"/>
      <c r="ZE223" s="1009"/>
      <c r="ZF223" s="1009"/>
      <c r="ZG223" s="1009"/>
      <c r="ZH223" s="1009"/>
      <c r="ZI223" s="1009"/>
      <c r="ZJ223" s="1009"/>
      <c r="ZK223" s="1009"/>
      <c r="ZL223" s="1009"/>
      <c r="ZM223" s="1009"/>
      <c r="ZN223" s="1009"/>
      <c r="ZO223" s="1009"/>
      <c r="ZP223" s="1009"/>
      <c r="ZQ223" s="1009"/>
      <c r="ZR223" s="1009"/>
      <c r="ZS223" s="1009"/>
      <c r="ZT223" s="1009"/>
      <c r="ZU223" s="1009"/>
      <c r="ZV223" s="1009"/>
      <c r="ZW223" s="1009"/>
      <c r="ZX223" s="1009"/>
      <c r="ZY223" s="1009"/>
      <c r="ZZ223" s="1009"/>
      <c r="AAA223" s="1009"/>
      <c r="AAB223" s="1009"/>
      <c r="AAC223" s="1009"/>
      <c r="AAD223" s="1009"/>
      <c r="AAE223" s="1009"/>
      <c r="AAF223" s="1009"/>
      <c r="AAG223" s="1009"/>
      <c r="AAH223" s="1009"/>
      <c r="AAI223" s="1009"/>
      <c r="AAJ223" s="1009"/>
      <c r="AAK223" s="1009"/>
      <c r="AAL223" s="1009"/>
      <c r="AAM223" s="1009"/>
      <c r="AAN223" s="1009"/>
      <c r="AAO223" s="1009"/>
      <c r="AAP223" s="1009"/>
      <c r="AAQ223" s="1009"/>
      <c r="AAR223" s="1009"/>
      <c r="AAS223" s="1009"/>
      <c r="AAT223" s="1009"/>
      <c r="AAU223" s="1009"/>
      <c r="AAV223" s="1009"/>
      <c r="AAW223" s="1009"/>
      <c r="AAX223" s="1009"/>
      <c r="AAY223" s="1009"/>
      <c r="AAZ223" s="1009"/>
      <c r="ABA223" s="1009"/>
      <c r="ABB223" s="1009"/>
      <c r="ABC223" s="1009"/>
      <c r="ABD223" s="1009"/>
      <c r="ABE223" s="1009"/>
      <c r="ABF223" s="1009"/>
      <c r="ABG223" s="1009"/>
      <c r="ABH223" s="1009"/>
      <c r="ABI223" s="1009"/>
      <c r="ABJ223" s="1009"/>
      <c r="ABK223" s="1009"/>
      <c r="ABL223" s="1009"/>
      <c r="ABM223" s="1009"/>
      <c r="ABN223" s="1009"/>
      <c r="ABO223" s="1009"/>
      <c r="ABP223" s="1009"/>
      <c r="ABQ223" s="1009"/>
      <c r="ABR223" s="1009"/>
    </row>
    <row r="224" spans="1:746" s="111" customFormat="1" ht="12" customHeight="1">
      <c r="A224" s="1758"/>
      <c r="B224" s="2638" t="s">
        <v>975</v>
      </c>
      <c r="C224" s="2641"/>
      <c r="D224" s="909"/>
      <c r="E224" s="2617"/>
      <c r="F224" s="2617"/>
      <c r="G224" s="2617"/>
      <c r="H224" s="2646"/>
      <c r="I224" s="875">
        <f>I223</f>
        <v>0</v>
      </c>
      <c r="J224" s="380">
        <f t="shared" ref="J224:T224" si="26">J223</f>
        <v>0</v>
      </c>
      <c r="K224" s="380">
        <f t="shared" si="26"/>
        <v>0</v>
      </c>
      <c r="L224" s="380">
        <f t="shared" si="26"/>
        <v>0</v>
      </c>
      <c r="M224" s="380">
        <f t="shared" si="26"/>
        <v>0</v>
      </c>
      <c r="N224" s="380">
        <f t="shared" si="26"/>
        <v>0</v>
      </c>
      <c r="O224" s="380">
        <f t="shared" si="26"/>
        <v>0</v>
      </c>
      <c r="P224" s="380">
        <f t="shared" si="26"/>
        <v>0</v>
      </c>
      <c r="Q224" s="380">
        <f t="shared" si="26"/>
        <v>0</v>
      </c>
      <c r="R224" s="380">
        <f t="shared" si="26"/>
        <v>0</v>
      </c>
      <c r="S224" s="380">
        <f t="shared" si="26"/>
        <v>0</v>
      </c>
      <c r="T224" s="380">
        <f t="shared" si="26"/>
        <v>0</v>
      </c>
      <c r="U224" s="380">
        <f t="shared" ref="U224:AF224" si="27">U223</f>
        <v>0</v>
      </c>
      <c r="V224" s="380">
        <f t="shared" si="27"/>
        <v>0</v>
      </c>
      <c r="W224" s="380">
        <f t="shared" si="27"/>
        <v>0</v>
      </c>
      <c r="X224" s="380">
        <f t="shared" si="27"/>
        <v>0</v>
      </c>
      <c r="Y224" s="380">
        <f t="shared" si="27"/>
        <v>0</v>
      </c>
      <c r="Z224" s="380">
        <f t="shared" si="27"/>
        <v>0</v>
      </c>
      <c r="AA224" s="380">
        <f t="shared" si="27"/>
        <v>0</v>
      </c>
      <c r="AB224" s="380">
        <f t="shared" si="27"/>
        <v>0</v>
      </c>
      <c r="AC224" s="380">
        <f t="shared" si="27"/>
        <v>0</v>
      </c>
      <c r="AD224" s="380">
        <f t="shared" si="27"/>
        <v>0</v>
      </c>
      <c r="AE224" s="380">
        <f t="shared" si="27"/>
        <v>0</v>
      </c>
      <c r="AF224" s="380">
        <f t="shared" si="27"/>
        <v>0</v>
      </c>
      <c r="AG224" s="1042"/>
      <c r="AH224" s="336"/>
      <c r="AI224" s="336"/>
      <c r="AJ224" s="1048"/>
      <c r="AK224" s="1048"/>
      <c r="AL224" s="1009"/>
      <c r="AM224" s="1009"/>
      <c r="AN224" s="1921"/>
      <c r="AO224" s="1945"/>
      <c r="AP224" s="1935"/>
      <c r="AQ224" s="1936"/>
      <c r="AR224" s="2236"/>
      <c r="AS224" s="2236"/>
      <c r="AT224" s="2236"/>
      <c r="AU224" s="2236"/>
      <c r="AV224" s="2236"/>
      <c r="AW224" s="2236"/>
      <c r="AX224" s="2236"/>
      <c r="AY224" s="2236"/>
      <c r="AZ224" s="2236"/>
      <c r="BA224" s="2236"/>
      <c r="BB224" s="2236"/>
      <c r="BC224" s="2236"/>
      <c r="BD224" s="2236"/>
      <c r="BE224" s="2236"/>
      <c r="BF224" s="2236"/>
      <c r="BG224" s="2236"/>
      <c r="BH224" s="2236"/>
      <c r="BI224" s="2236"/>
      <c r="BJ224" s="2236"/>
      <c r="BK224" s="2236"/>
      <c r="BL224" s="2236"/>
      <c r="BM224" s="2236"/>
      <c r="BN224" s="2236"/>
      <c r="BO224" s="2236"/>
      <c r="BP224" s="1009"/>
      <c r="BQ224" s="1009"/>
      <c r="BR224" s="1009"/>
      <c r="BS224" s="1009"/>
      <c r="BT224" s="1009"/>
      <c r="BU224" s="1009"/>
      <c r="BV224" s="1009"/>
      <c r="BW224" s="1009"/>
      <c r="BX224" s="1009"/>
      <c r="BY224" s="1009"/>
      <c r="BZ224" s="1009"/>
      <c r="CA224" s="1009"/>
      <c r="CB224" s="1009"/>
      <c r="CC224" s="1009"/>
      <c r="CD224" s="1009"/>
      <c r="CE224" s="1009"/>
      <c r="CF224" s="1009"/>
      <c r="CG224" s="1009"/>
      <c r="CH224" s="1009"/>
      <c r="CI224" s="1009"/>
      <c r="CJ224" s="1009"/>
      <c r="CK224" s="1009"/>
      <c r="CL224" s="1009"/>
      <c r="CM224" s="1009"/>
      <c r="CN224" s="1009"/>
      <c r="CO224" s="1009"/>
      <c r="CP224" s="1009"/>
      <c r="CQ224" s="1009"/>
      <c r="CR224" s="1009"/>
      <c r="CS224" s="1009"/>
      <c r="CT224" s="1009"/>
      <c r="CU224" s="1009"/>
      <c r="CV224" s="1009"/>
      <c r="CW224" s="1009"/>
      <c r="CX224" s="1009"/>
      <c r="CY224" s="1009"/>
      <c r="CZ224" s="1009"/>
      <c r="DA224" s="1009"/>
      <c r="DB224" s="1009"/>
      <c r="DC224" s="1009"/>
      <c r="DD224" s="1009"/>
      <c r="DE224" s="1009"/>
      <c r="DF224" s="1009"/>
      <c r="DG224" s="1009"/>
      <c r="DH224" s="1009"/>
      <c r="DI224" s="1009"/>
      <c r="DJ224" s="1009"/>
      <c r="DK224" s="1009"/>
      <c r="DL224" s="1009"/>
      <c r="DM224" s="1009"/>
      <c r="DN224" s="1009"/>
      <c r="DO224" s="1009"/>
      <c r="DP224" s="1009"/>
      <c r="DQ224" s="1009"/>
      <c r="DR224" s="1009"/>
      <c r="DS224" s="1009"/>
      <c r="DT224" s="1009"/>
      <c r="DU224" s="1009"/>
      <c r="DV224" s="1009"/>
      <c r="DW224" s="1009"/>
      <c r="DX224" s="1009"/>
      <c r="DY224" s="1009"/>
      <c r="DZ224" s="1009"/>
      <c r="EA224" s="1009"/>
      <c r="EB224" s="1009"/>
      <c r="EC224" s="1009"/>
      <c r="ED224" s="1009"/>
      <c r="EE224" s="1009"/>
      <c r="EF224" s="1009"/>
      <c r="EG224" s="1009"/>
      <c r="EH224" s="1009"/>
      <c r="EI224" s="1009"/>
      <c r="EJ224" s="1009"/>
      <c r="EK224" s="1009"/>
      <c r="EL224" s="1009"/>
      <c r="EM224" s="1009"/>
      <c r="EN224" s="1009"/>
      <c r="EO224" s="1009"/>
      <c r="EP224" s="1009"/>
      <c r="EQ224" s="1009"/>
      <c r="ER224" s="1009"/>
      <c r="ES224" s="1009"/>
      <c r="ET224" s="1009"/>
      <c r="EU224" s="1009"/>
      <c r="EV224" s="1009"/>
      <c r="EW224" s="1009"/>
      <c r="EX224" s="1009"/>
      <c r="EY224" s="1009"/>
      <c r="EZ224" s="1009"/>
      <c r="FA224" s="1009"/>
      <c r="FB224" s="1009"/>
      <c r="FC224" s="1009"/>
      <c r="FD224" s="1009"/>
      <c r="FE224" s="1009"/>
      <c r="FF224" s="1009"/>
      <c r="FG224" s="1009"/>
      <c r="FH224" s="1009"/>
      <c r="FI224" s="1009"/>
      <c r="FJ224" s="1009"/>
      <c r="FK224" s="1009"/>
      <c r="FL224" s="1009"/>
      <c r="FM224" s="1009"/>
      <c r="FN224" s="1009"/>
      <c r="FO224" s="1009"/>
      <c r="FP224" s="1009"/>
      <c r="FQ224" s="1009"/>
      <c r="FR224" s="1009"/>
      <c r="FS224" s="1009"/>
      <c r="FT224" s="1009"/>
      <c r="FU224" s="1009"/>
      <c r="FV224" s="1009"/>
      <c r="FW224" s="1009"/>
      <c r="FX224" s="1009"/>
      <c r="FY224" s="1009"/>
      <c r="FZ224" s="1009"/>
      <c r="GA224" s="1009"/>
      <c r="GB224" s="1009"/>
      <c r="GC224" s="1009"/>
      <c r="GD224" s="1009"/>
      <c r="GE224" s="1009"/>
      <c r="GF224" s="1009"/>
      <c r="GG224" s="1009"/>
      <c r="GH224" s="1009"/>
      <c r="GI224" s="1009"/>
      <c r="GJ224" s="1009"/>
      <c r="GK224" s="1009"/>
      <c r="GL224" s="1009"/>
      <c r="GM224" s="1009"/>
      <c r="GN224" s="1009"/>
      <c r="GO224" s="1009"/>
      <c r="GP224" s="1009"/>
      <c r="GQ224" s="1009"/>
      <c r="GR224" s="1009"/>
      <c r="GS224" s="1009"/>
      <c r="GT224" s="1009"/>
      <c r="GU224" s="1009"/>
      <c r="GV224" s="1009"/>
      <c r="GW224" s="1009"/>
      <c r="GX224" s="1009"/>
      <c r="GY224" s="1009"/>
      <c r="GZ224" s="1009"/>
      <c r="HA224" s="1009"/>
      <c r="HB224" s="1009"/>
      <c r="HC224" s="1009"/>
      <c r="HD224" s="1009"/>
      <c r="HE224" s="1009"/>
      <c r="HF224" s="1009"/>
      <c r="HG224" s="1009"/>
      <c r="HH224" s="1009"/>
      <c r="HI224" s="1009"/>
      <c r="HJ224" s="1009"/>
      <c r="HK224" s="1009"/>
      <c r="HL224" s="1009"/>
      <c r="HM224" s="1009"/>
      <c r="HN224" s="1009"/>
      <c r="HO224" s="1009"/>
      <c r="HP224" s="1009"/>
      <c r="HQ224" s="1009"/>
      <c r="HR224" s="1009"/>
      <c r="HS224" s="1009"/>
      <c r="HT224" s="1009"/>
      <c r="HU224" s="1009"/>
      <c r="HV224" s="1009"/>
      <c r="HW224" s="1009"/>
      <c r="HX224" s="1009"/>
      <c r="HY224" s="1009"/>
      <c r="HZ224" s="1009"/>
      <c r="IA224" s="1009"/>
      <c r="IB224" s="1009"/>
      <c r="IC224" s="1009"/>
      <c r="ID224" s="1009"/>
      <c r="IE224" s="1009"/>
      <c r="IF224" s="1009"/>
      <c r="IG224" s="1009"/>
      <c r="IH224" s="1009"/>
      <c r="II224" s="1009"/>
      <c r="IJ224" s="1009"/>
      <c r="IK224" s="1009"/>
      <c r="IL224" s="1009"/>
      <c r="IM224" s="1009"/>
      <c r="IN224" s="1009"/>
      <c r="IO224" s="1009"/>
      <c r="IP224" s="1009"/>
      <c r="IQ224" s="1009"/>
      <c r="IR224" s="1009"/>
      <c r="IS224" s="1009"/>
      <c r="IT224" s="1009"/>
      <c r="IU224" s="1009"/>
      <c r="IV224" s="1009"/>
      <c r="IW224" s="1009"/>
      <c r="IX224" s="1009"/>
      <c r="IY224" s="1009"/>
      <c r="IZ224" s="1009"/>
      <c r="JA224" s="1009"/>
      <c r="JB224" s="1009"/>
      <c r="JC224" s="1009"/>
      <c r="JD224" s="1009"/>
      <c r="JE224" s="1009"/>
      <c r="JF224" s="1009"/>
      <c r="JG224" s="1009"/>
      <c r="JH224" s="1009"/>
      <c r="JI224" s="1009"/>
      <c r="JJ224" s="1009"/>
      <c r="JK224" s="1009"/>
      <c r="JL224" s="1009"/>
      <c r="JM224" s="1009"/>
      <c r="JN224" s="1009"/>
      <c r="JO224" s="1009"/>
      <c r="JP224" s="1009"/>
      <c r="JQ224" s="1009"/>
      <c r="JR224" s="1009"/>
      <c r="JS224" s="1009"/>
      <c r="JT224" s="1009"/>
      <c r="JU224" s="1009"/>
      <c r="JV224" s="1009"/>
      <c r="JW224" s="1009"/>
      <c r="JX224" s="1009"/>
      <c r="JY224" s="1009"/>
      <c r="JZ224" s="1009"/>
      <c r="KA224" s="1009"/>
      <c r="KB224" s="1009"/>
      <c r="KC224" s="1009"/>
      <c r="KD224" s="1009"/>
      <c r="KE224" s="1009"/>
      <c r="KF224" s="1009"/>
      <c r="KG224" s="1009"/>
      <c r="KH224" s="1009"/>
      <c r="KI224" s="1009"/>
      <c r="KJ224" s="1009"/>
      <c r="KK224" s="1009"/>
      <c r="KL224" s="1009"/>
      <c r="KM224" s="1009"/>
      <c r="KN224" s="1009"/>
      <c r="KO224" s="1009"/>
      <c r="KP224" s="1009"/>
      <c r="KQ224" s="1009"/>
      <c r="KR224" s="1009"/>
      <c r="KS224" s="1009"/>
      <c r="KT224" s="1009"/>
      <c r="KU224" s="1009"/>
      <c r="KV224" s="1009"/>
      <c r="KW224" s="1009"/>
      <c r="KX224" s="1009"/>
      <c r="KY224" s="1009"/>
      <c r="KZ224" s="1009"/>
      <c r="LA224" s="1009"/>
      <c r="LB224" s="1009"/>
      <c r="LC224" s="1009"/>
      <c r="LD224" s="1009"/>
      <c r="LE224" s="1009"/>
      <c r="LF224" s="1009"/>
      <c r="LG224" s="1009"/>
      <c r="LH224" s="1009"/>
      <c r="LI224" s="1009"/>
      <c r="LJ224" s="1009"/>
      <c r="LK224" s="1009"/>
      <c r="LL224" s="1009"/>
      <c r="LM224" s="1009"/>
      <c r="LN224" s="1009"/>
      <c r="LO224" s="1009"/>
      <c r="LP224" s="1009"/>
      <c r="LQ224" s="1009"/>
      <c r="LR224" s="1009"/>
      <c r="LS224" s="1009"/>
      <c r="LT224" s="1009"/>
      <c r="LU224" s="1009"/>
      <c r="LV224" s="1009"/>
      <c r="LW224" s="1009"/>
      <c r="LX224" s="1009"/>
      <c r="LY224" s="1009"/>
      <c r="LZ224" s="1009"/>
      <c r="MA224" s="1009"/>
      <c r="MB224" s="1009"/>
      <c r="MC224" s="1009"/>
      <c r="MD224" s="1009"/>
      <c r="ME224" s="1009"/>
      <c r="MF224" s="1009"/>
      <c r="MG224" s="1009"/>
      <c r="MH224" s="1009"/>
      <c r="MI224" s="1009"/>
      <c r="MJ224" s="1009"/>
      <c r="MK224" s="1009"/>
      <c r="ML224" s="1009"/>
      <c r="MM224" s="1009"/>
      <c r="MN224" s="1009"/>
      <c r="MO224" s="1009"/>
      <c r="MP224" s="1009"/>
      <c r="MQ224" s="1009"/>
      <c r="MR224" s="1009"/>
      <c r="MS224" s="1009"/>
      <c r="MT224" s="1009"/>
      <c r="MU224" s="1009"/>
      <c r="MV224" s="1009"/>
      <c r="MW224" s="1009"/>
      <c r="MX224" s="1009"/>
      <c r="MY224" s="1009"/>
      <c r="MZ224" s="1009"/>
      <c r="NA224" s="1009"/>
      <c r="NB224" s="1009"/>
      <c r="NC224" s="1009"/>
      <c r="ND224" s="1009"/>
      <c r="NE224" s="1009"/>
      <c r="NF224" s="1009"/>
      <c r="NG224" s="1009"/>
      <c r="NH224" s="1009"/>
      <c r="NI224" s="1009"/>
      <c r="NJ224" s="1009"/>
      <c r="NK224" s="1009"/>
      <c r="NL224" s="1009"/>
      <c r="NM224" s="1009"/>
      <c r="NN224" s="1009"/>
      <c r="NO224" s="1009"/>
      <c r="NP224" s="1009"/>
      <c r="NQ224" s="1009"/>
      <c r="NR224" s="1009"/>
      <c r="NS224" s="1009"/>
      <c r="NT224" s="1009"/>
      <c r="NU224" s="1009"/>
      <c r="NV224" s="1009"/>
      <c r="NW224" s="1009"/>
      <c r="NX224" s="1009"/>
      <c r="NY224" s="1009"/>
      <c r="NZ224" s="1009"/>
      <c r="OA224" s="1009"/>
      <c r="OB224" s="1009"/>
      <c r="OC224" s="1009"/>
      <c r="OD224" s="1009"/>
      <c r="OE224" s="1009"/>
      <c r="OF224" s="1009"/>
      <c r="OG224" s="1009"/>
      <c r="OH224" s="1009"/>
      <c r="OI224" s="1009"/>
      <c r="OJ224" s="1009"/>
      <c r="OK224" s="1009"/>
      <c r="OL224" s="1009"/>
      <c r="OM224" s="1009"/>
      <c r="ON224" s="1009"/>
      <c r="OO224" s="1009"/>
      <c r="OP224" s="1009"/>
      <c r="OQ224" s="1009"/>
      <c r="OR224" s="1009"/>
      <c r="OS224" s="1009"/>
      <c r="OT224" s="1009"/>
      <c r="OU224" s="1009"/>
      <c r="OV224" s="1009"/>
      <c r="OW224" s="1009"/>
      <c r="OX224" s="1009"/>
      <c r="OY224" s="1009"/>
      <c r="OZ224" s="1009"/>
      <c r="PA224" s="1009"/>
      <c r="PB224" s="1009"/>
      <c r="PC224" s="1009"/>
      <c r="PD224" s="1009"/>
      <c r="PE224" s="1009"/>
      <c r="PF224" s="1009"/>
      <c r="PG224" s="1009"/>
      <c r="PH224" s="1009"/>
      <c r="PI224" s="1009"/>
      <c r="PJ224" s="1009"/>
      <c r="PK224" s="1009"/>
      <c r="PL224" s="1009"/>
      <c r="PM224" s="1009"/>
      <c r="PN224" s="1009"/>
      <c r="PO224" s="1009"/>
      <c r="PP224" s="1009"/>
      <c r="PQ224" s="1009"/>
      <c r="PR224" s="1009"/>
      <c r="PS224" s="1009"/>
      <c r="PT224" s="1009"/>
      <c r="PU224" s="1009"/>
      <c r="PV224" s="1009"/>
      <c r="PW224" s="1009"/>
      <c r="PX224" s="1009"/>
      <c r="PY224" s="1009"/>
      <c r="PZ224" s="1009"/>
      <c r="QA224" s="1009"/>
      <c r="QB224" s="1009"/>
      <c r="QC224" s="1009"/>
      <c r="QD224" s="1009"/>
      <c r="QE224" s="1009"/>
      <c r="QF224" s="1009"/>
      <c r="QG224" s="1009"/>
      <c r="QH224" s="1009"/>
      <c r="QI224" s="1009"/>
      <c r="QJ224" s="1009"/>
      <c r="QK224" s="1009"/>
      <c r="QL224" s="1009"/>
      <c r="QM224" s="1009"/>
      <c r="QN224" s="1009"/>
      <c r="QO224" s="1009"/>
      <c r="QP224" s="1009"/>
      <c r="QQ224" s="1009"/>
      <c r="QR224" s="1009"/>
      <c r="QS224" s="1009"/>
      <c r="QT224" s="1009"/>
      <c r="QU224" s="1009"/>
      <c r="QV224" s="1009"/>
      <c r="QW224" s="1009"/>
      <c r="QX224" s="1009"/>
      <c r="QY224" s="1009"/>
      <c r="QZ224" s="1009"/>
      <c r="RA224" s="1009"/>
      <c r="RB224" s="1009"/>
      <c r="RC224" s="1009"/>
      <c r="RD224" s="1009"/>
      <c r="RE224" s="1009"/>
      <c r="RF224" s="1009"/>
      <c r="RG224" s="1009"/>
      <c r="RH224" s="1009"/>
      <c r="RI224" s="1009"/>
      <c r="RJ224" s="1009"/>
      <c r="RK224" s="1009"/>
      <c r="RL224" s="1009"/>
      <c r="RM224" s="1009"/>
      <c r="RN224" s="1009"/>
      <c r="RO224" s="1009"/>
      <c r="RP224" s="1009"/>
      <c r="RQ224" s="1009"/>
      <c r="RR224" s="1009"/>
      <c r="RS224" s="1009"/>
      <c r="RT224" s="1009"/>
      <c r="RU224" s="1009"/>
      <c r="RV224" s="1009"/>
      <c r="RW224" s="1009"/>
      <c r="RX224" s="1009"/>
      <c r="RY224" s="1009"/>
      <c r="RZ224" s="1009"/>
      <c r="SA224" s="1009"/>
      <c r="SB224" s="1009"/>
      <c r="SC224" s="1009"/>
      <c r="SD224" s="1009"/>
      <c r="SE224" s="1009"/>
      <c r="SF224" s="1009"/>
      <c r="SG224" s="1009"/>
      <c r="SH224" s="1009"/>
      <c r="SI224" s="1009"/>
      <c r="SJ224" s="1009"/>
      <c r="SK224" s="1009"/>
      <c r="SL224" s="1009"/>
      <c r="SM224" s="1009"/>
      <c r="SN224" s="1009"/>
      <c r="SO224" s="1009"/>
      <c r="SP224" s="1009"/>
      <c r="SQ224" s="1009"/>
      <c r="SR224" s="1009"/>
      <c r="SS224" s="1009"/>
      <c r="ST224" s="1009"/>
      <c r="SU224" s="1009"/>
      <c r="SV224" s="1009"/>
      <c r="SW224" s="1009"/>
      <c r="SX224" s="1009"/>
      <c r="SY224" s="1009"/>
      <c r="SZ224" s="1009"/>
      <c r="TA224" s="1009"/>
      <c r="TB224" s="1009"/>
      <c r="TC224" s="1009"/>
      <c r="TD224" s="1009"/>
      <c r="TE224" s="1009"/>
      <c r="TF224" s="1009"/>
      <c r="TG224" s="1009"/>
      <c r="TH224" s="1009"/>
      <c r="TI224" s="1009"/>
      <c r="TJ224" s="1009"/>
      <c r="TK224" s="1009"/>
      <c r="TL224" s="1009"/>
      <c r="TM224" s="1009"/>
      <c r="TN224" s="1009"/>
      <c r="TO224" s="1009"/>
      <c r="TP224" s="1009"/>
      <c r="TQ224" s="1009"/>
      <c r="TR224" s="1009"/>
      <c r="TS224" s="1009"/>
      <c r="TT224" s="1009"/>
      <c r="TU224" s="1009"/>
      <c r="TV224" s="1009"/>
      <c r="TW224" s="1009"/>
      <c r="TX224" s="1009"/>
      <c r="TY224" s="1009"/>
      <c r="TZ224" s="1009"/>
      <c r="UA224" s="1009"/>
      <c r="UB224" s="1009"/>
      <c r="UC224" s="1009"/>
      <c r="UD224" s="1009"/>
      <c r="UE224" s="1009"/>
      <c r="UF224" s="1009"/>
      <c r="UG224" s="1009"/>
      <c r="UH224" s="1009"/>
      <c r="UI224" s="1009"/>
      <c r="UJ224" s="1009"/>
      <c r="UK224" s="1009"/>
      <c r="UL224" s="1009"/>
      <c r="UM224" s="1009"/>
      <c r="UN224" s="1009"/>
      <c r="UO224" s="1009"/>
      <c r="UP224" s="1009"/>
      <c r="UQ224" s="1009"/>
      <c r="UR224" s="1009"/>
      <c r="US224" s="1009"/>
      <c r="UT224" s="1009"/>
      <c r="UU224" s="1009"/>
      <c r="UV224" s="1009"/>
      <c r="UW224" s="1009"/>
      <c r="UX224" s="1009"/>
      <c r="UY224" s="1009"/>
      <c r="UZ224" s="1009"/>
      <c r="VA224" s="1009"/>
      <c r="VB224" s="1009"/>
      <c r="VC224" s="1009"/>
      <c r="VD224" s="1009"/>
      <c r="VE224" s="1009"/>
      <c r="VF224" s="1009"/>
      <c r="VG224" s="1009"/>
      <c r="VH224" s="1009"/>
      <c r="VI224" s="1009"/>
      <c r="VJ224" s="1009"/>
      <c r="VK224" s="1009"/>
      <c r="VL224" s="1009"/>
      <c r="VM224" s="1009"/>
      <c r="VN224" s="1009"/>
      <c r="VO224" s="1009"/>
      <c r="VP224" s="1009"/>
      <c r="VQ224" s="1009"/>
      <c r="VR224" s="1009"/>
      <c r="VS224" s="1009"/>
      <c r="VT224" s="1009"/>
      <c r="VU224" s="1009"/>
      <c r="VV224" s="1009"/>
      <c r="VW224" s="1009"/>
      <c r="VX224" s="1009"/>
      <c r="VY224" s="1009"/>
      <c r="VZ224" s="1009"/>
      <c r="WA224" s="1009"/>
      <c r="WB224" s="1009"/>
      <c r="WC224" s="1009"/>
      <c r="WD224" s="1009"/>
      <c r="WE224" s="1009"/>
      <c r="WF224" s="1009"/>
      <c r="WG224" s="1009"/>
      <c r="WH224" s="1009"/>
      <c r="WI224" s="1009"/>
      <c r="WJ224" s="1009"/>
      <c r="WK224" s="1009"/>
      <c r="WL224" s="1009"/>
      <c r="WM224" s="1009"/>
      <c r="WN224" s="1009"/>
      <c r="WO224" s="1009"/>
      <c r="WP224" s="1009"/>
      <c r="WQ224" s="1009"/>
      <c r="WR224" s="1009"/>
      <c r="WS224" s="1009"/>
      <c r="WT224" s="1009"/>
      <c r="WU224" s="1009"/>
      <c r="WV224" s="1009"/>
      <c r="WW224" s="1009"/>
      <c r="WX224" s="1009"/>
      <c r="WY224" s="1009"/>
      <c r="WZ224" s="1009"/>
      <c r="XA224" s="1009"/>
      <c r="XB224" s="1009"/>
      <c r="XC224" s="1009"/>
      <c r="XD224" s="1009"/>
      <c r="XE224" s="1009"/>
      <c r="XF224" s="1009"/>
      <c r="XG224" s="1009"/>
      <c r="XH224" s="1009"/>
      <c r="XI224" s="1009"/>
      <c r="XJ224" s="1009"/>
      <c r="XK224" s="1009"/>
      <c r="XL224" s="1009"/>
      <c r="XM224" s="1009"/>
      <c r="XN224" s="1009"/>
      <c r="XO224" s="1009"/>
      <c r="XP224" s="1009"/>
      <c r="XQ224" s="1009"/>
      <c r="XR224" s="1009"/>
      <c r="XS224" s="1009"/>
      <c r="XT224" s="1009"/>
      <c r="XU224" s="1009"/>
      <c r="XV224" s="1009"/>
      <c r="XW224" s="1009"/>
      <c r="XX224" s="1009"/>
      <c r="XY224" s="1009"/>
      <c r="XZ224" s="1009"/>
      <c r="YA224" s="1009"/>
      <c r="YB224" s="1009"/>
      <c r="YC224" s="1009"/>
      <c r="YD224" s="1009"/>
      <c r="YE224" s="1009"/>
      <c r="YF224" s="1009"/>
      <c r="YG224" s="1009"/>
      <c r="YH224" s="1009"/>
      <c r="YI224" s="1009"/>
      <c r="YJ224" s="1009"/>
      <c r="YK224" s="1009"/>
      <c r="YL224" s="1009"/>
      <c r="YM224" s="1009"/>
      <c r="YN224" s="1009"/>
      <c r="YO224" s="1009"/>
      <c r="YP224" s="1009"/>
      <c r="YQ224" s="1009"/>
      <c r="YR224" s="1009"/>
      <c r="YS224" s="1009"/>
      <c r="YT224" s="1009"/>
      <c r="YU224" s="1009"/>
      <c r="YV224" s="1009"/>
      <c r="YW224" s="1009"/>
      <c r="YX224" s="1009"/>
      <c r="YY224" s="1009"/>
      <c r="YZ224" s="1009"/>
      <c r="ZA224" s="1009"/>
      <c r="ZB224" s="1009"/>
      <c r="ZC224" s="1009"/>
      <c r="ZD224" s="1009"/>
      <c r="ZE224" s="1009"/>
      <c r="ZF224" s="1009"/>
      <c r="ZG224" s="1009"/>
      <c r="ZH224" s="1009"/>
      <c r="ZI224" s="1009"/>
      <c r="ZJ224" s="1009"/>
      <c r="ZK224" s="1009"/>
      <c r="ZL224" s="1009"/>
      <c r="ZM224" s="1009"/>
      <c r="ZN224" s="1009"/>
      <c r="ZO224" s="1009"/>
      <c r="ZP224" s="1009"/>
      <c r="ZQ224" s="1009"/>
      <c r="ZR224" s="1009"/>
      <c r="ZS224" s="1009"/>
      <c r="ZT224" s="1009"/>
      <c r="ZU224" s="1009"/>
      <c r="ZV224" s="1009"/>
      <c r="ZW224" s="1009"/>
      <c r="ZX224" s="1009"/>
      <c r="ZY224" s="1009"/>
      <c r="ZZ224" s="1009"/>
      <c r="AAA224" s="1009"/>
      <c r="AAB224" s="1009"/>
      <c r="AAC224" s="1009"/>
      <c r="AAD224" s="1009"/>
      <c r="AAE224" s="1009"/>
      <c r="AAF224" s="1009"/>
      <c r="AAG224" s="1009"/>
      <c r="AAH224" s="1009"/>
      <c r="AAI224" s="1009"/>
      <c r="AAJ224" s="1009"/>
      <c r="AAK224" s="1009"/>
      <c r="AAL224" s="1009"/>
      <c r="AAM224" s="1009"/>
      <c r="AAN224" s="1009"/>
      <c r="AAO224" s="1009"/>
      <c r="AAP224" s="1009"/>
      <c r="AAQ224" s="1009"/>
      <c r="AAR224" s="1009"/>
      <c r="AAS224" s="1009"/>
      <c r="AAT224" s="1009"/>
      <c r="AAU224" s="1009"/>
      <c r="AAV224" s="1009"/>
      <c r="AAW224" s="1009"/>
      <c r="AAX224" s="1009"/>
      <c r="AAY224" s="1009"/>
      <c r="AAZ224" s="1009"/>
      <c r="ABA224" s="1009"/>
      <c r="ABB224" s="1009"/>
      <c r="ABC224" s="1009"/>
      <c r="ABD224" s="1009"/>
      <c r="ABE224" s="1009"/>
      <c r="ABF224" s="1009"/>
      <c r="ABG224" s="1009"/>
      <c r="ABH224" s="1009"/>
      <c r="ABI224" s="1009"/>
      <c r="ABJ224" s="1009"/>
      <c r="ABK224" s="1009"/>
      <c r="ABL224" s="1009"/>
      <c r="ABM224" s="1009"/>
      <c r="ABN224" s="1009"/>
      <c r="ABO224" s="1009"/>
      <c r="ABP224" s="1009"/>
      <c r="ABQ224" s="1009"/>
      <c r="ABR224" s="1009"/>
    </row>
    <row r="225" spans="1:746" s="111" customFormat="1" ht="12" customHeight="1">
      <c r="A225" s="1758"/>
      <c r="B225" s="2639" t="s">
        <v>809</v>
      </c>
      <c r="C225" s="2642"/>
      <c r="D225" s="2625"/>
      <c r="E225" s="2647"/>
      <c r="F225" s="2648"/>
      <c r="G225" s="2647"/>
      <c r="H225" s="2619"/>
      <c r="I225" s="345">
        <f>SUM(fx!$I436:I$436)-SUMIF(fx!$I$57:I$57,1,$I$224:I$224)</f>
        <v>0</v>
      </c>
      <c r="J225" s="345">
        <f>SUM(fx!$I436:J$436)-SUMIF(fx!$I$57:J$57,1,$I$224:J$224)</f>
        <v>0</v>
      </c>
      <c r="K225" s="345">
        <f>SUM(fx!$I436:K$436)-SUMIF(fx!$I$57:K$57,1,$I$224:K$224)</f>
        <v>0</v>
      </c>
      <c r="L225" s="345">
        <f>SUM(fx!$I436:L$436)-SUMIF(fx!$I$57:L$57,1,$I$224:L$224)</f>
        <v>0</v>
      </c>
      <c r="M225" s="345">
        <f>SUM(fx!$I436:M$436)-SUMIF(fx!$I$57:M$57,1,$I$224:M$224)</f>
        <v>0</v>
      </c>
      <c r="N225" s="345">
        <f>SUM(fx!$I436:N$436)-SUMIF(fx!$I$57:N$57,1,$I$224:N$224)</f>
        <v>0</v>
      </c>
      <c r="O225" s="345">
        <f>SUM(fx!$I436:O$436)-SUMIF(fx!$I$57:O$57,1,$I$224:O$224)</f>
        <v>0</v>
      </c>
      <c r="P225" s="345">
        <f>SUM(fx!$I436:P$436)-SUMIF(fx!$I$57:P$57,1,$I$224:P$224)</f>
        <v>0</v>
      </c>
      <c r="Q225" s="345">
        <f>SUM(fx!$I436:Q$436)-SUMIF(fx!$I$57:Q$57,1,$I$224:Q$224)</f>
        <v>0</v>
      </c>
      <c r="R225" s="345">
        <f>SUM(fx!$I436:R$436)-SUMIF(fx!$I$57:R$57,1,$I$224:R$224)</f>
        <v>0</v>
      </c>
      <c r="S225" s="345">
        <f>SUM(fx!$I436:S$436)-SUMIF(fx!$I$57:S$57,1,$I$224:S$224)</f>
        <v>0</v>
      </c>
      <c r="T225" s="345">
        <f>SUM(fx!$I436:T$436)-SUMIF(fx!$I$57:T$57,1,$I$224:T$224)</f>
        <v>0</v>
      </c>
      <c r="U225" s="345">
        <f>SUM(fx!$I436:U$436)-SUMIF(fx!$I$57:U$57,1,$I$224:U$224)</f>
        <v>0</v>
      </c>
      <c r="V225" s="345">
        <f>SUM(fx!$I436:V$436)-SUMIF(fx!$I$57:V$57,1,$I$224:V$224)</f>
        <v>0</v>
      </c>
      <c r="W225" s="345">
        <f>SUM(fx!$I436:W$436)-SUMIF(fx!$I$57:W$57,1,$I$224:W$224)</f>
        <v>0</v>
      </c>
      <c r="X225" s="345">
        <f>SUM(fx!$I436:X$436)-SUMIF(fx!$I$57:X$57,1,$I$224:X$224)</f>
        <v>0</v>
      </c>
      <c r="Y225" s="345">
        <f>SUM(fx!$I436:Y$436)-SUMIF(fx!$I$57:Y$57,1,$I$224:Y$224)</f>
        <v>0</v>
      </c>
      <c r="Z225" s="345">
        <f>SUM(fx!$I436:Z$436)-SUMIF(fx!$I$57:Z$57,1,$I$224:Z$224)</f>
        <v>0</v>
      </c>
      <c r="AA225" s="345">
        <f>SUM(fx!$I436:AA$436)-SUMIF(fx!$I$57:AA$57,1,$I$224:AA$224)</f>
        <v>0</v>
      </c>
      <c r="AB225" s="345">
        <f>SUM(fx!$I436:AB$436)-SUMIF(fx!$I$57:AB$57,1,$I$224:AB$224)</f>
        <v>0</v>
      </c>
      <c r="AC225" s="345">
        <f>SUM(fx!$I436:AC$436)-SUMIF(fx!$I$57:AC$57,1,$I$224:AC$224)</f>
        <v>0</v>
      </c>
      <c r="AD225" s="345">
        <f>SUM(fx!$I436:AD$436)-SUMIF(fx!$I$57:AD$57,1,$I$224:AD$224)</f>
        <v>0</v>
      </c>
      <c r="AE225" s="345">
        <f>SUM(fx!$I436:AE$436)-SUMIF(fx!$I$57:AE$57,1,$I$224:AE$224)</f>
        <v>0</v>
      </c>
      <c r="AF225" s="345">
        <f>SUM(fx!$I436:AF$436)-SUMIF(fx!$I$57:AF$57,1,$I$224:AF$224)</f>
        <v>0</v>
      </c>
      <c r="AG225" s="337"/>
      <c r="AH225" s="336"/>
      <c r="AI225" s="336"/>
      <c r="AJ225" s="1044"/>
      <c r="AK225" s="1048"/>
      <c r="AL225" s="1009"/>
      <c r="AM225" s="1009"/>
      <c r="AN225" s="1026"/>
      <c r="AO225" s="1945"/>
      <c r="AP225" s="1935"/>
      <c r="AQ225" s="1936"/>
      <c r="AR225" s="2236"/>
      <c r="AS225" s="2236"/>
      <c r="AT225" s="2236"/>
      <c r="AU225" s="2236"/>
      <c r="AV225" s="2236"/>
      <c r="AW225" s="2236"/>
      <c r="AX225" s="2236"/>
      <c r="AY225" s="2236"/>
      <c r="AZ225" s="2236"/>
      <c r="BA225" s="2236"/>
      <c r="BB225" s="2236"/>
      <c r="BC225" s="2236"/>
      <c r="BD225" s="2236"/>
      <c r="BE225" s="2236"/>
      <c r="BF225" s="2236"/>
      <c r="BG225" s="2236"/>
      <c r="BH225" s="2236"/>
      <c r="BI225" s="2236"/>
      <c r="BJ225" s="2236"/>
      <c r="BK225" s="2236"/>
      <c r="BL225" s="2236"/>
      <c r="BM225" s="2236"/>
      <c r="BN225" s="2236"/>
      <c r="BO225" s="2236"/>
      <c r="BP225" s="1009"/>
      <c r="BQ225" s="1009"/>
      <c r="BR225" s="1009"/>
      <c r="BS225" s="1009"/>
      <c r="BT225" s="1009"/>
      <c r="BU225" s="1009"/>
      <c r="BV225" s="1009"/>
      <c r="BW225" s="1009"/>
      <c r="BX225" s="1009"/>
      <c r="BY225" s="1009"/>
      <c r="BZ225" s="1009"/>
      <c r="CA225" s="1009"/>
      <c r="CB225" s="1009"/>
      <c r="CC225" s="1009"/>
      <c r="CD225" s="1009"/>
      <c r="CE225" s="1009"/>
      <c r="CF225" s="1009"/>
      <c r="CG225" s="1009"/>
      <c r="CH225" s="1009"/>
      <c r="CI225" s="1009"/>
      <c r="CJ225" s="1009"/>
      <c r="CK225" s="1009"/>
      <c r="CL225" s="1009"/>
      <c r="CM225" s="1009"/>
      <c r="CN225" s="1009"/>
      <c r="CO225" s="1009"/>
      <c r="CP225" s="1009"/>
      <c r="CQ225" s="1009"/>
      <c r="CR225" s="1009"/>
      <c r="CS225" s="1009"/>
      <c r="CT225" s="1009"/>
      <c r="CU225" s="1009"/>
      <c r="CV225" s="1009"/>
      <c r="CW225" s="1009"/>
      <c r="CX225" s="1009"/>
      <c r="CY225" s="1009"/>
      <c r="CZ225" s="1009"/>
      <c r="DA225" s="1009"/>
      <c r="DB225" s="1009"/>
      <c r="DC225" s="1009"/>
      <c r="DD225" s="1009"/>
      <c r="DE225" s="1009"/>
      <c r="DF225" s="1009"/>
      <c r="DG225" s="1009"/>
      <c r="DH225" s="1009"/>
      <c r="DI225" s="1009"/>
      <c r="DJ225" s="1009"/>
      <c r="DK225" s="1009"/>
      <c r="DL225" s="1009"/>
      <c r="DM225" s="1009"/>
      <c r="DN225" s="1009"/>
      <c r="DO225" s="1009"/>
      <c r="DP225" s="1009"/>
      <c r="DQ225" s="1009"/>
      <c r="DR225" s="1009"/>
      <c r="DS225" s="1009"/>
      <c r="DT225" s="1009"/>
      <c r="DU225" s="1009"/>
      <c r="DV225" s="1009"/>
      <c r="DW225" s="1009"/>
      <c r="DX225" s="1009"/>
      <c r="DY225" s="1009"/>
      <c r="DZ225" s="1009"/>
      <c r="EA225" s="1009"/>
      <c r="EB225" s="1009"/>
      <c r="EC225" s="1009"/>
      <c r="ED225" s="1009"/>
      <c r="EE225" s="1009"/>
      <c r="EF225" s="1009"/>
      <c r="EG225" s="1009"/>
      <c r="EH225" s="1009"/>
      <c r="EI225" s="1009"/>
      <c r="EJ225" s="1009"/>
      <c r="EK225" s="1009"/>
      <c r="EL225" s="1009"/>
      <c r="EM225" s="1009"/>
      <c r="EN225" s="1009"/>
      <c r="EO225" s="1009"/>
      <c r="EP225" s="1009"/>
      <c r="EQ225" s="1009"/>
      <c r="ER225" s="1009"/>
      <c r="ES225" s="1009"/>
      <c r="ET225" s="1009"/>
      <c r="EU225" s="1009"/>
      <c r="EV225" s="1009"/>
      <c r="EW225" s="1009"/>
      <c r="EX225" s="1009"/>
      <c r="EY225" s="1009"/>
      <c r="EZ225" s="1009"/>
      <c r="FA225" s="1009"/>
      <c r="FB225" s="1009"/>
      <c r="FC225" s="1009"/>
      <c r="FD225" s="1009"/>
      <c r="FE225" s="1009"/>
      <c r="FF225" s="1009"/>
      <c r="FG225" s="1009"/>
      <c r="FH225" s="1009"/>
      <c r="FI225" s="1009"/>
      <c r="FJ225" s="1009"/>
      <c r="FK225" s="1009"/>
      <c r="FL225" s="1009"/>
      <c r="FM225" s="1009"/>
      <c r="FN225" s="1009"/>
      <c r="FO225" s="1009"/>
      <c r="FP225" s="1009"/>
      <c r="FQ225" s="1009"/>
      <c r="FR225" s="1009"/>
      <c r="FS225" s="1009"/>
      <c r="FT225" s="1009"/>
      <c r="FU225" s="1009"/>
      <c r="FV225" s="1009"/>
      <c r="FW225" s="1009"/>
      <c r="FX225" s="1009"/>
      <c r="FY225" s="1009"/>
      <c r="FZ225" s="1009"/>
      <c r="GA225" s="1009"/>
      <c r="GB225" s="1009"/>
      <c r="GC225" s="1009"/>
      <c r="GD225" s="1009"/>
      <c r="GE225" s="1009"/>
      <c r="GF225" s="1009"/>
      <c r="GG225" s="1009"/>
      <c r="GH225" s="1009"/>
      <c r="GI225" s="1009"/>
      <c r="GJ225" s="1009"/>
      <c r="GK225" s="1009"/>
      <c r="GL225" s="1009"/>
      <c r="GM225" s="1009"/>
      <c r="GN225" s="1009"/>
      <c r="GO225" s="1009"/>
      <c r="GP225" s="1009"/>
      <c r="GQ225" s="1009"/>
      <c r="GR225" s="1009"/>
      <c r="GS225" s="1009"/>
      <c r="GT225" s="1009"/>
      <c r="GU225" s="1009"/>
      <c r="GV225" s="1009"/>
      <c r="GW225" s="1009"/>
      <c r="GX225" s="1009"/>
      <c r="GY225" s="1009"/>
      <c r="GZ225" s="1009"/>
      <c r="HA225" s="1009"/>
      <c r="HB225" s="1009"/>
      <c r="HC225" s="1009"/>
      <c r="HD225" s="1009"/>
      <c r="HE225" s="1009"/>
      <c r="HF225" s="1009"/>
      <c r="HG225" s="1009"/>
      <c r="HH225" s="1009"/>
      <c r="HI225" s="1009"/>
      <c r="HJ225" s="1009"/>
      <c r="HK225" s="1009"/>
      <c r="HL225" s="1009"/>
      <c r="HM225" s="1009"/>
      <c r="HN225" s="1009"/>
      <c r="HO225" s="1009"/>
      <c r="HP225" s="1009"/>
      <c r="HQ225" s="1009"/>
      <c r="HR225" s="1009"/>
      <c r="HS225" s="1009"/>
      <c r="HT225" s="1009"/>
      <c r="HU225" s="1009"/>
      <c r="HV225" s="1009"/>
      <c r="HW225" s="1009"/>
      <c r="HX225" s="1009"/>
      <c r="HY225" s="1009"/>
      <c r="HZ225" s="1009"/>
      <c r="IA225" s="1009"/>
      <c r="IB225" s="1009"/>
      <c r="IC225" s="1009"/>
      <c r="ID225" s="1009"/>
      <c r="IE225" s="1009"/>
      <c r="IF225" s="1009"/>
      <c r="IG225" s="1009"/>
      <c r="IH225" s="1009"/>
      <c r="II225" s="1009"/>
      <c r="IJ225" s="1009"/>
      <c r="IK225" s="1009"/>
      <c r="IL225" s="1009"/>
      <c r="IM225" s="1009"/>
      <c r="IN225" s="1009"/>
      <c r="IO225" s="1009"/>
      <c r="IP225" s="1009"/>
      <c r="IQ225" s="1009"/>
      <c r="IR225" s="1009"/>
      <c r="IS225" s="1009"/>
      <c r="IT225" s="1009"/>
      <c r="IU225" s="1009"/>
      <c r="IV225" s="1009"/>
      <c r="IW225" s="1009"/>
      <c r="IX225" s="1009"/>
      <c r="IY225" s="1009"/>
      <c r="IZ225" s="1009"/>
      <c r="JA225" s="1009"/>
      <c r="JB225" s="1009"/>
      <c r="JC225" s="1009"/>
      <c r="JD225" s="1009"/>
      <c r="JE225" s="1009"/>
      <c r="JF225" s="1009"/>
      <c r="JG225" s="1009"/>
      <c r="JH225" s="1009"/>
      <c r="JI225" s="1009"/>
      <c r="JJ225" s="1009"/>
      <c r="JK225" s="1009"/>
      <c r="JL225" s="1009"/>
      <c r="JM225" s="1009"/>
      <c r="JN225" s="1009"/>
      <c r="JO225" s="1009"/>
      <c r="JP225" s="1009"/>
      <c r="JQ225" s="1009"/>
      <c r="JR225" s="1009"/>
      <c r="JS225" s="1009"/>
      <c r="JT225" s="1009"/>
      <c r="JU225" s="1009"/>
      <c r="JV225" s="1009"/>
      <c r="JW225" s="1009"/>
      <c r="JX225" s="1009"/>
      <c r="JY225" s="1009"/>
      <c r="JZ225" s="1009"/>
      <c r="KA225" s="1009"/>
      <c r="KB225" s="1009"/>
      <c r="KC225" s="1009"/>
      <c r="KD225" s="1009"/>
      <c r="KE225" s="1009"/>
      <c r="KF225" s="1009"/>
      <c r="KG225" s="1009"/>
      <c r="KH225" s="1009"/>
      <c r="KI225" s="1009"/>
      <c r="KJ225" s="1009"/>
      <c r="KK225" s="1009"/>
      <c r="KL225" s="1009"/>
      <c r="KM225" s="1009"/>
      <c r="KN225" s="1009"/>
      <c r="KO225" s="1009"/>
      <c r="KP225" s="1009"/>
      <c r="KQ225" s="1009"/>
      <c r="KR225" s="1009"/>
      <c r="KS225" s="1009"/>
      <c r="KT225" s="1009"/>
      <c r="KU225" s="1009"/>
      <c r="KV225" s="1009"/>
      <c r="KW225" s="1009"/>
      <c r="KX225" s="1009"/>
      <c r="KY225" s="1009"/>
      <c r="KZ225" s="1009"/>
      <c r="LA225" s="1009"/>
      <c r="LB225" s="1009"/>
      <c r="LC225" s="1009"/>
      <c r="LD225" s="1009"/>
      <c r="LE225" s="1009"/>
      <c r="LF225" s="1009"/>
      <c r="LG225" s="1009"/>
      <c r="LH225" s="1009"/>
      <c r="LI225" s="1009"/>
      <c r="LJ225" s="1009"/>
      <c r="LK225" s="1009"/>
      <c r="LL225" s="1009"/>
      <c r="LM225" s="1009"/>
      <c r="LN225" s="1009"/>
      <c r="LO225" s="1009"/>
      <c r="LP225" s="1009"/>
      <c r="LQ225" s="1009"/>
      <c r="LR225" s="1009"/>
      <c r="LS225" s="1009"/>
      <c r="LT225" s="1009"/>
      <c r="LU225" s="1009"/>
      <c r="LV225" s="1009"/>
      <c r="LW225" s="1009"/>
      <c r="LX225" s="1009"/>
      <c r="LY225" s="1009"/>
      <c r="LZ225" s="1009"/>
      <c r="MA225" s="1009"/>
      <c r="MB225" s="1009"/>
      <c r="MC225" s="1009"/>
      <c r="MD225" s="1009"/>
      <c r="ME225" s="1009"/>
      <c r="MF225" s="1009"/>
      <c r="MG225" s="1009"/>
      <c r="MH225" s="1009"/>
      <c r="MI225" s="1009"/>
      <c r="MJ225" s="1009"/>
      <c r="MK225" s="1009"/>
      <c r="ML225" s="1009"/>
      <c r="MM225" s="1009"/>
      <c r="MN225" s="1009"/>
      <c r="MO225" s="1009"/>
      <c r="MP225" s="1009"/>
      <c r="MQ225" s="1009"/>
      <c r="MR225" s="1009"/>
      <c r="MS225" s="1009"/>
      <c r="MT225" s="1009"/>
      <c r="MU225" s="1009"/>
      <c r="MV225" s="1009"/>
      <c r="MW225" s="1009"/>
      <c r="MX225" s="1009"/>
      <c r="MY225" s="1009"/>
      <c r="MZ225" s="1009"/>
      <c r="NA225" s="1009"/>
      <c r="NB225" s="1009"/>
      <c r="NC225" s="1009"/>
      <c r="ND225" s="1009"/>
      <c r="NE225" s="1009"/>
      <c r="NF225" s="1009"/>
      <c r="NG225" s="1009"/>
      <c r="NH225" s="1009"/>
      <c r="NI225" s="1009"/>
      <c r="NJ225" s="1009"/>
      <c r="NK225" s="1009"/>
      <c r="NL225" s="1009"/>
      <c r="NM225" s="1009"/>
      <c r="NN225" s="1009"/>
      <c r="NO225" s="1009"/>
      <c r="NP225" s="1009"/>
      <c r="NQ225" s="1009"/>
      <c r="NR225" s="1009"/>
      <c r="NS225" s="1009"/>
      <c r="NT225" s="1009"/>
      <c r="NU225" s="1009"/>
      <c r="NV225" s="1009"/>
      <c r="NW225" s="1009"/>
      <c r="NX225" s="1009"/>
      <c r="NY225" s="1009"/>
      <c r="NZ225" s="1009"/>
      <c r="OA225" s="1009"/>
      <c r="OB225" s="1009"/>
      <c r="OC225" s="1009"/>
      <c r="OD225" s="1009"/>
      <c r="OE225" s="1009"/>
      <c r="OF225" s="1009"/>
      <c r="OG225" s="1009"/>
      <c r="OH225" s="1009"/>
      <c r="OI225" s="1009"/>
      <c r="OJ225" s="1009"/>
      <c r="OK225" s="1009"/>
      <c r="OL225" s="1009"/>
      <c r="OM225" s="1009"/>
      <c r="ON225" s="1009"/>
      <c r="OO225" s="1009"/>
      <c r="OP225" s="1009"/>
      <c r="OQ225" s="1009"/>
      <c r="OR225" s="1009"/>
      <c r="OS225" s="1009"/>
      <c r="OT225" s="1009"/>
      <c r="OU225" s="1009"/>
      <c r="OV225" s="1009"/>
      <c r="OW225" s="1009"/>
      <c r="OX225" s="1009"/>
      <c r="OY225" s="1009"/>
      <c r="OZ225" s="1009"/>
      <c r="PA225" s="1009"/>
      <c r="PB225" s="1009"/>
      <c r="PC225" s="1009"/>
      <c r="PD225" s="1009"/>
      <c r="PE225" s="1009"/>
      <c r="PF225" s="1009"/>
      <c r="PG225" s="1009"/>
      <c r="PH225" s="1009"/>
      <c r="PI225" s="1009"/>
      <c r="PJ225" s="1009"/>
      <c r="PK225" s="1009"/>
      <c r="PL225" s="1009"/>
      <c r="PM225" s="1009"/>
      <c r="PN225" s="1009"/>
      <c r="PO225" s="1009"/>
      <c r="PP225" s="1009"/>
      <c r="PQ225" s="1009"/>
      <c r="PR225" s="1009"/>
      <c r="PS225" s="1009"/>
      <c r="PT225" s="1009"/>
      <c r="PU225" s="1009"/>
      <c r="PV225" s="1009"/>
      <c r="PW225" s="1009"/>
      <c r="PX225" s="1009"/>
      <c r="PY225" s="1009"/>
      <c r="PZ225" s="1009"/>
      <c r="QA225" s="1009"/>
      <c r="QB225" s="1009"/>
      <c r="QC225" s="1009"/>
      <c r="QD225" s="1009"/>
      <c r="QE225" s="1009"/>
      <c r="QF225" s="1009"/>
      <c r="QG225" s="1009"/>
      <c r="QH225" s="1009"/>
      <c r="QI225" s="1009"/>
      <c r="QJ225" s="1009"/>
      <c r="QK225" s="1009"/>
      <c r="QL225" s="1009"/>
      <c r="QM225" s="1009"/>
      <c r="QN225" s="1009"/>
      <c r="QO225" s="1009"/>
      <c r="QP225" s="1009"/>
      <c r="QQ225" s="1009"/>
      <c r="QR225" s="1009"/>
      <c r="QS225" s="1009"/>
      <c r="QT225" s="1009"/>
      <c r="QU225" s="1009"/>
      <c r="QV225" s="1009"/>
      <c r="QW225" s="1009"/>
      <c r="QX225" s="1009"/>
      <c r="QY225" s="1009"/>
      <c r="QZ225" s="1009"/>
      <c r="RA225" s="1009"/>
      <c r="RB225" s="1009"/>
      <c r="RC225" s="1009"/>
      <c r="RD225" s="1009"/>
      <c r="RE225" s="1009"/>
      <c r="RF225" s="1009"/>
      <c r="RG225" s="1009"/>
      <c r="RH225" s="1009"/>
      <c r="RI225" s="1009"/>
      <c r="RJ225" s="1009"/>
      <c r="RK225" s="1009"/>
      <c r="RL225" s="1009"/>
      <c r="RM225" s="1009"/>
      <c r="RN225" s="1009"/>
      <c r="RO225" s="1009"/>
      <c r="RP225" s="1009"/>
      <c r="RQ225" s="1009"/>
      <c r="RR225" s="1009"/>
      <c r="RS225" s="1009"/>
      <c r="RT225" s="1009"/>
      <c r="RU225" s="1009"/>
      <c r="RV225" s="1009"/>
      <c r="RW225" s="1009"/>
      <c r="RX225" s="1009"/>
      <c r="RY225" s="1009"/>
      <c r="RZ225" s="1009"/>
      <c r="SA225" s="1009"/>
      <c r="SB225" s="1009"/>
      <c r="SC225" s="1009"/>
      <c r="SD225" s="1009"/>
      <c r="SE225" s="1009"/>
      <c r="SF225" s="1009"/>
      <c r="SG225" s="1009"/>
      <c r="SH225" s="1009"/>
      <c r="SI225" s="1009"/>
      <c r="SJ225" s="1009"/>
      <c r="SK225" s="1009"/>
      <c r="SL225" s="1009"/>
      <c r="SM225" s="1009"/>
      <c r="SN225" s="1009"/>
      <c r="SO225" s="1009"/>
      <c r="SP225" s="1009"/>
      <c r="SQ225" s="1009"/>
      <c r="SR225" s="1009"/>
      <c r="SS225" s="1009"/>
      <c r="ST225" s="1009"/>
      <c r="SU225" s="1009"/>
      <c r="SV225" s="1009"/>
      <c r="SW225" s="1009"/>
      <c r="SX225" s="1009"/>
      <c r="SY225" s="1009"/>
      <c r="SZ225" s="1009"/>
      <c r="TA225" s="1009"/>
      <c r="TB225" s="1009"/>
      <c r="TC225" s="1009"/>
      <c r="TD225" s="1009"/>
      <c r="TE225" s="1009"/>
      <c r="TF225" s="1009"/>
      <c r="TG225" s="1009"/>
      <c r="TH225" s="1009"/>
      <c r="TI225" s="1009"/>
      <c r="TJ225" s="1009"/>
      <c r="TK225" s="1009"/>
      <c r="TL225" s="1009"/>
      <c r="TM225" s="1009"/>
      <c r="TN225" s="1009"/>
      <c r="TO225" s="1009"/>
      <c r="TP225" s="1009"/>
      <c r="TQ225" s="1009"/>
      <c r="TR225" s="1009"/>
      <c r="TS225" s="1009"/>
      <c r="TT225" s="1009"/>
      <c r="TU225" s="1009"/>
      <c r="TV225" s="1009"/>
      <c r="TW225" s="1009"/>
      <c r="TX225" s="1009"/>
      <c r="TY225" s="1009"/>
      <c r="TZ225" s="1009"/>
      <c r="UA225" s="1009"/>
      <c r="UB225" s="1009"/>
      <c r="UC225" s="1009"/>
      <c r="UD225" s="1009"/>
      <c r="UE225" s="1009"/>
      <c r="UF225" s="1009"/>
      <c r="UG225" s="1009"/>
      <c r="UH225" s="1009"/>
      <c r="UI225" s="1009"/>
      <c r="UJ225" s="1009"/>
      <c r="UK225" s="1009"/>
      <c r="UL225" s="1009"/>
      <c r="UM225" s="1009"/>
      <c r="UN225" s="1009"/>
      <c r="UO225" s="1009"/>
      <c r="UP225" s="1009"/>
      <c r="UQ225" s="1009"/>
      <c r="UR225" s="1009"/>
      <c r="US225" s="1009"/>
      <c r="UT225" s="1009"/>
      <c r="UU225" s="1009"/>
      <c r="UV225" s="1009"/>
      <c r="UW225" s="1009"/>
      <c r="UX225" s="1009"/>
      <c r="UY225" s="1009"/>
      <c r="UZ225" s="1009"/>
      <c r="VA225" s="1009"/>
      <c r="VB225" s="1009"/>
      <c r="VC225" s="1009"/>
      <c r="VD225" s="1009"/>
      <c r="VE225" s="1009"/>
      <c r="VF225" s="1009"/>
      <c r="VG225" s="1009"/>
      <c r="VH225" s="1009"/>
      <c r="VI225" s="1009"/>
      <c r="VJ225" s="1009"/>
      <c r="VK225" s="1009"/>
      <c r="VL225" s="1009"/>
      <c r="VM225" s="1009"/>
      <c r="VN225" s="1009"/>
      <c r="VO225" s="1009"/>
      <c r="VP225" s="1009"/>
      <c r="VQ225" s="1009"/>
      <c r="VR225" s="1009"/>
      <c r="VS225" s="1009"/>
      <c r="VT225" s="1009"/>
      <c r="VU225" s="1009"/>
      <c r="VV225" s="1009"/>
      <c r="VW225" s="1009"/>
      <c r="VX225" s="1009"/>
      <c r="VY225" s="1009"/>
      <c r="VZ225" s="1009"/>
      <c r="WA225" s="1009"/>
      <c r="WB225" s="1009"/>
      <c r="WC225" s="1009"/>
      <c r="WD225" s="1009"/>
      <c r="WE225" s="1009"/>
      <c r="WF225" s="1009"/>
      <c r="WG225" s="1009"/>
      <c r="WH225" s="1009"/>
      <c r="WI225" s="1009"/>
      <c r="WJ225" s="1009"/>
      <c r="WK225" s="1009"/>
      <c r="WL225" s="1009"/>
      <c r="WM225" s="1009"/>
      <c r="WN225" s="1009"/>
      <c r="WO225" s="1009"/>
      <c r="WP225" s="1009"/>
      <c r="WQ225" s="1009"/>
      <c r="WR225" s="1009"/>
      <c r="WS225" s="1009"/>
      <c r="WT225" s="1009"/>
      <c r="WU225" s="1009"/>
      <c r="WV225" s="1009"/>
      <c r="WW225" s="1009"/>
      <c r="WX225" s="1009"/>
      <c r="WY225" s="1009"/>
      <c r="WZ225" s="1009"/>
      <c r="XA225" s="1009"/>
      <c r="XB225" s="1009"/>
      <c r="XC225" s="1009"/>
      <c r="XD225" s="1009"/>
      <c r="XE225" s="1009"/>
      <c r="XF225" s="1009"/>
      <c r="XG225" s="1009"/>
      <c r="XH225" s="1009"/>
      <c r="XI225" s="1009"/>
      <c r="XJ225" s="1009"/>
      <c r="XK225" s="1009"/>
      <c r="XL225" s="1009"/>
      <c r="XM225" s="1009"/>
      <c r="XN225" s="1009"/>
      <c r="XO225" s="1009"/>
      <c r="XP225" s="1009"/>
      <c r="XQ225" s="1009"/>
      <c r="XR225" s="1009"/>
      <c r="XS225" s="1009"/>
      <c r="XT225" s="1009"/>
      <c r="XU225" s="1009"/>
      <c r="XV225" s="1009"/>
      <c r="XW225" s="1009"/>
      <c r="XX225" s="1009"/>
      <c r="XY225" s="1009"/>
      <c r="XZ225" s="1009"/>
      <c r="YA225" s="1009"/>
      <c r="YB225" s="1009"/>
      <c r="YC225" s="1009"/>
      <c r="YD225" s="1009"/>
      <c r="YE225" s="1009"/>
      <c r="YF225" s="1009"/>
      <c r="YG225" s="1009"/>
      <c r="YH225" s="1009"/>
      <c r="YI225" s="1009"/>
      <c r="YJ225" s="1009"/>
      <c r="YK225" s="1009"/>
      <c r="YL225" s="1009"/>
      <c r="YM225" s="1009"/>
      <c r="YN225" s="1009"/>
      <c r="YO225" s="1009"/>
      <c r="YP225" s="1009"/>
      <c r="YQ225" s="1009"/>
      <c r="YR225" s="1009"/>
      <c r="YS225" s="1009"/>
      <c r="YT225" s="1009"/>
      <c r="YU225" s="1009"/>
      <c r="YV225" s="1009"/>
      <c r="YW225" s="1009"/>
      <c r="YX225" s="1009"/>
      <c r="YY225" s="1009"/>
      <c r="YZ225" s="1009"/>
      <c r="ZA225" s="1009"/>
      <c r="ZB225" s="1009"/>
      <c r="ZC225" s="1009"/>
      <c r="ZD225" s="1009"/>
      <c r="ZE225" s="1009"/>
      <c r="ZF225" s="1009"/>
      <c r="ZG225" s="1009"/>
      <c r="ZH225" s="1009"/>
      <c r="ZI225" s="1009"/>
      <c r="ZJ225" s="1009"/>
      <c r="ZK225" s="1009"/>
      <c r="ZL225" s="1009"/>
      <c r="ZM225" s="1009"/>
      <c r="ZN225" s="1009"/>
      <c r="ZO225" s="1009"/>
      <c r="ZP225" s="1009"/>
      <c r="ZQ225" s="1009"/>
      <c r="ZR225" s="1009"/>
      <c r="ZS225" s="1009"/>
      <c r="ZT225" s="1009"/>
      <c r="ZU225" s="1009"/>
      <c r="ZV225" s="1009"/>
      <c r="ZW225" s="1009"/>
      <c r="ZX225" s="1009"/>
      <c r="ZY225" s="1009"/>
      <c r="ZZ225" s="1009"/>
      <c r="AAA225" s="1009"/>
      <c r="AAB225" s="1009"/>
      <c r="AAC225" s="1009"/>
      <c r="AAD225" s="1009"/>
      <c r="AAE225" s="1009"/>
      <c r="AAF225" s="1009"/>
      <c r="AAG225" s="1009"/>
      <c r="AAH225" s="1009"/>
      <c r="AAI225" s="1009"/>
      <c r="AAJ225" s="1009"/>
      <c r="AAK225" s="1009"/>
      <c r="AAL225" s="1009"/>
      <c r="AAM225" s="1009"/>
      <c r="AAN225" s="1009"/>
      <c r="AAO225" s="1009"/>
      <c r="AAP225" s="1009"/>
      <c r="AAQ225" s="1009"/>
      <c r="AAR225" s="1009"/>
      <c r="AAS225" s="1009"/>
      <c r="AAT225" s="1009"/>
      <c r="AAU225" s="1009"/>
      <c r="AAV225" s="1009"/>
      <c r="AAW225" s="1009"/>
      <c r="AAX225" s="1009"/>
      <c r="AAY225" s="1009"/>
      <c r="AAZ225" s="1009"/>
      <c r="ABA225" s="1009"/>
      <c r="ABB225" s="1009"/>
      <c r="ABC225" s="1009"/>
      <c r="ABD225" s="1009"/>
      <c r="ABE225" s="1009"/>
      <c r="ABF225" s="1009"/>
      <c r="ABG225" s="1009"/>
      <c r="ABH225" s="1009"/>
      <c r="ABI225" s="1009"/>
      <c r="ABJ225" s="1009"/>
      <c r="ABK225" s="1009"/>
      <c r="ABL225" s="1009"/>
      <c r="ABM225" s="1009"/>
      <c r="ABN225" s="1009"/>
      <c r="ABO225" s="1009"/>
      <c r="ABP225" s="1009"/>
      <c r="ABQ225" s="1009"/>
      <c r="ABR225" s="1009"/>
    </row>
    <row r="226" spans="1:746" s="111" customFormat="1" ht="12" customHeight="1">
      <c r="A226" s="1758"/>
      <c r="B226" s="2650" t="s">
        <v>978</v>
      </c>
      <c r="C226" s="2651"/>
      <c r="D226" s="2652"/>
      <c r="E226" s="2966">
        <f>fx!C448</f>
        <v>0</v>
      </c>
      <c r="F226" s="2967"/>
      <c r="G226" s="2968"/>
      <c r="H226" s="2656"/>
      <c r="I226" s="2594" t="s">
        <v>1466</v>
      </c>
      <c r="J226" s="876"/>
      <c r="K226" s="876"/>
      <c r="L226" s="876"/>
      <c r="M226" s="876"/>
      <c r="N226" s="876"/>
      <c r="O226" s="876"/>
      <c r="P226" s="876"/>
      <c r="Q226" s="2308"/>
      <c r="R226" s="2309" t="s">
        <v>986</v>
      </c>
      <c r="S226" s="2309"/>
      <c r="T226" s="2309"/>
      <c r="U226" s="876"/>
      <c r="V226" s="876"/>
      <c r="W226" s="876"/>
      <c r="X226" s="876"/>
      <c r="Y226" s="876"/>
      <c r="Z226" s="876"/>
      <c r="AA226" s="876"/>
      <c r="AB226" s="876"/>
      <c r="AC226" s="876"/>
      <c r="AD226" s="876"/>
      <c r="AE226" s="876"/>
      <c r="AF226" s="877"/>
      <c r="AG226" s="337"/>
      <c r="AH226" s="336"/>
      <c r="AI226" s="336"/>
      <c r="AJ226" s="1044"/>
      <c r="AK226" s="1048"/>
      <c r="AL226" s="1009"/>
      <c r="AM226" s="1009"/>
      <c r="AN226" s="1026"/>
      <c r="AO226" s="1945"/>
      <c r="AP226" s="1935"/>
      <c r="AQ226" s="1936"/>
      <c r="AR226" s="2236"/>
      <c r="AS226" s="2236"/>
      <c r="AT226" s="2236"/>
      <c r="AU226" s="2236"/>
      <c r="AV226" s="2236"/>
      <c r="AW226" s="2236"/>
      <c r="AX226" s="2236"/>
      <c r="AY226" s="2236"/>
      <c r="AZ226" s="2236"/>
      <c r="BA226" s="2236"/>
      <c r="BB226" s="2236"/>
      <c r="BC226" s="2236"/>
      <c r="BD226" s="2236"/>
      <c r="BE226" s="2236"/>
      <c r="BF226" s="2236"/>
      <c r="BG226" s="2236"/>
      <c r="BH226" s="2236"/>
      <c r="BI226" s="2236"/>
      <c r="BJ226" s="2236"/>
      <c r="BK226" s="2236"/>
      <c r="BL226" s="2236"/>
      <c r="BM226" s="2236"/>
      <c r="BN226" s="2236"/>
      <c r="BO226" s="2236"/>
      <c r="BP226" s="1009"/>
      <c r="BQ226" s="1009"/>
      <c r="BR226" s="1009"/>
      <c r="BS226" s="1009"/>
      <c r="BT226" s="1009"/>
      <c r="BU226" s="1009"/>
      <c r="BV226" s="1009"/>
      <c r="BW226" s="1009"/>
      <c r="BX226" s="1009"/>
      <c r="BY226" s="1009"/>
      <c r="BZ226" s="1009"/>
      <c r="CA226" s="1009"/>
      <c r="CB226" s="1009"/>
      <c r="CC226" s="1009"/>
      <c r="CD226" s="1009"/>
      <c r="CE226" s="1009"/>
      <c r="CF226" s="1009"/>
      <c r="CG226" s="1009"/>
      <c r="CH226" s="1009"/>
      <c r="CI226" s="1009"/>
      <c r="CJ226" s="1009"/>
      <c r="CK226" s="1009"/>
      <c r="CL226" s="1009"/>
      <c r="CM226" s="1009"/>
      <c r="CN226" s="1009"/>
      <c r="CO226" s="1009"/>
      <c r="CP226" s="1009"/>
      <c r="CQ226" s="1009"/>
      <c r="CR226" s="1009"/>
      <c r="CS226" s="1009"/>
      <c r="CT226" s="1009"/>
      <c r="CU226" s="1009"/>
      <c r="CV226" s="1009"/>
      <c r="CW226" s="1009"/>
      <c r="CX226" s="1009"/>
      <c r="CY226" s="1009"/>
      <c r="CZ226" s="1009"/>
      <c r="DA226" s="1009"/>
      <c r="DB226" s="1009"/>
      <c r="DC226" s="1009"/>
      <c r="DD226" s="1009"/>
      <c r="DE226" s="1009"/>
      <c r="DF226" s="1009"/>
      <c r="DG226" s="1009"/>
      <c r="DH226" s="1009"/>
      <c r="DI226" s="1009"/>
      <c r="DJ226" s="1009"/>
      <c r="DK226" s="1009"/>
      <c r="DL226" s="1009"/>
      <c r="DM226" s="1009"/>
      <c r="DN226" s="1009"/>
      <c r="DO226" s="1009"/>
      <c r="DP226" s="1009"/>
      <c r="DQ226" s="1009"/>
      <c r="DR226" s="1009"/>
      <c r="DS226" s="1009"/>
      <c r="DT226" s="1009"/>
      <c r="DU226" s="1009"/>
      <c r="DV226" s="1009"/>
      <c r="DW226" s="1009"/>
      <c r="DX226" s="1009"/>
      <c r="DY226" s="1009"/>
      <c r="DZ226" s="1009"/>
      <c r="EA226" s="1009"/>
      <c r="EB226" s="1009"/>
      <c r="EC226" s="1009"/>
      <c r="ED226" s="1009"/>
      <c r="EE226" s="1009"/>
      <c r="EF226" s="1009"/>
      <c r="EG226" s="1009"/>
      <c r="EH226" s="1009"/>
      <c r="EI226" s="1009"/>
      <c r="EJ226" s="1009"/>
      <c r="EK226" s="1009"/>
      <c r="EL226" s="1009"/>
      <c r="EM226" s="1009"/>
      <c r="EN226" s="1009"/>
      <c r="EO226" s="1009"/>
      <c r="EP226" s="1009"/>
      <c r="EQ226" s="1009"/>
      <c r="ER226" s="1009"/>
      <c r="ES226" s="1009"/>
      <c r="ET226" s="1009"/>
      <c r="EU226" s="1009"/>
      <c r="EV226" s="1009"/>
      <c r="EW226" s="1009"/>
      <c r="EX226" s="1009"/>
      <c r="EY226" s="1009"/>
      <c r="EZ226" s="1009"/>
      <c r="FA226" s="1009"/>
      <c r="FB226" s="1009"/>
      <c r="FC226" s="1009"/>
      <c r="FD226" s="1009"/>
      <c r="FE226" s="1009"/>
      <c r="FF226" s="1009"/>
      <c r="FG226" s="1009"/>
      <c r="FH226" s="1009"/>
      <c r="FI226" s="1009"/>
      <c r="FJ226" s="1009"/>
      <c r="FK226" s="1009"/>
      <c r="FL226" s="1009"/>
      <c r="FM226" s="1009"/>
      <c r="FN226" s="1009"/>
      <c r="FO226" s="1009"/>
      <c r="FP226" s="1009"/>
      <c r="FQ226" s="1009"/>
      <c r="FR226" s="1009"/>
      <c r="FS226" s="1009"/>
      <c r="FT226" s="1009"/>
      <c r="FU226" s="1009"/>
      <c r="FV226" s="1009"/>
      <c r="FW226" s="1009"/>
      <c r="FX226" s="1009"/>
      <c r="FY226" s="1009"/>
      <c r="FZ226" s="1009"/>
      <c r="GA226" s="1009"/>
      <c r="GB226" s="1009"/>
      <c r="GC226" s="1009"/>
      <c r="GD226" s="1009"/>
      <c r="GE226" s="1009"/>
      <c r="GF226" s="1009"/>
      <c r="GG226" s="1009"/>
      <c r="GH226" s="1009"/>
      <c r="GI226" s="1009"/>
      <c r="GJ226" s="1009"/>
      <c r="GK226" s="1009"/>
      <c r="GL226" s="1009"/>
      <c r="GM226" s="1009"/>
      <c r="GN226" s="1009"/>
      <c r="GO226" s="1009"/>
      <c r="GP226" s="1009"/>
      <c r="GQ226" s="1009"/>
      <c r="GR226" s="1009"/>
      <c r="GS226" s="1009"/>
      <c r="GT226" s="1009"/>
      <c r="GU226" s="1009"/>
      <c r="GV226" s="1009"/>
      <c r="GW226" s="1009"/>
      <c r="GX226" s="1009"/>
      <c r="GY226" s="1009"/>
      <c r="GZ226" s="1009"/>
      <c r="HA226" s="1009"/>
      <c r="HB226" s="1009"/>
      <c r="HC226" s="1009"/>
      <c r="HD226" s="1009"/>
      <c r="HE226" s="1009"/>
      <c r="HF226" s="1009"/>
      <c r="HG226" s="1009"/>
      <c r="HH226" s="1009"/>
      <c r="HI226" s="1009"/>
      <c r="HJ226" s="1009"/>
      <c r="HK226" s="1009"/>
      <c r="HL226" s="1009"/>
      <c r="HM226" s="1009"/>
      <c r="HN226" s="1009"/>
      <c r="HO226" s="1009"/>
      <c r="HP226" s="1009"/>
      <c r="HQ226" s="1009"/>
      <c r="HR226" s="1009"/>
      <c r="HS226" s="1009"/>
      <c r="HT226" s="1009"/>
      <c r="HU226" s="1009"/>
      <c r="HV226" s="1009"/>
      <c r="HW226" s="1009"/>
      <c r="HX226" s="1009"/>
      <c r="HY226" s="1009"/>
      <c r="HZ226" s="1009"/>
      <c r="IA226" s="1009"/>
      <c r="IB226" s="1009"/>
      <c r="IC226" s="1009"/>
      <c r="ID226" s="1009"/>
      <c r="IE226" s="1009"/>
      <c r="IF226" s="1009"/>
      <c r="IG226" s="1009"/>
      <c r="IH226" s="1009"/>
      <c r="II226" s="1009"/>
      <c r="IJ226" s="1009"/>
      <c r="IK226" s="1009"/>
      <c r="IL226" s="1009"/>
      <c r="IM226" s="1009"/>
      <c r="IN226" s="1009"/>
      <c r="IO226" s="1009"/>
      <c r="IP226" s="1009"/>
      <c r="IQ226" s="1009"/>
      <c r="IR226" s="1009"/>
      <c r="IS226" s="1009"/>
      <c r="IT226" s="1009"/>
      <c r="IU226" s="1009"/>
      <c r="IV226" s="1009"/>
      <c r="IW226" s="1009"/>
      <c r="IX226" s="1009"/>
      <c r="IY226" s="1009"/>
      <c r="IZ226" s="1009"/>
      <c r="JA226" s="1009"/>
      <c r="JB226" s="1009"/>
      <c r="JC226" s="1009"/>
      <c r="JD226" s="1009"/>
      <c r="JE226" s="1009"/>
      <c r="JF226" s="1009"/>
      <c r="JG226" s="1009"/>
      <c r="JH226" s="1009"/>
      <c r="JI226" s="1009"/>
      <c r="JJ226" s="1009"/>
      <c r="JK226" s="1009"/>
      <c r="JL226" s="1009"/>
      <c r="JM226" s="1009"/>
      <c r="JN226" s="1009"/>
      <c r="JO226" s="1009"/>
      <c r="JP226" s="1009"/>
      <c r="JQ226" s="1009"/>
      <c r="JR226" s="1009"/>
      <c r="JS226" s="1009"/>
      <c r="JT226" s="1009"/>
      <c r="JU226" s="1009"/>
      <c r="JV226" s="1009"/>
      <c r="JW226" s="1009"/>
      <c r="JX226" s="1009"/>
      <c r="JY226" s="1009"/>
      <c r="JZ226" s="1009"/>
      <c r="KA226" s="1009"/>
      <c r="KB226" s="1009"/>
      <c r="KC226" s="1009"/>
      <c r="KD226" s="1009"/>
      <c r="KE226" s="1009"/>
      <c r="KF226" s="1009"/>
      <c r="KG226" s="1009"/>
      <c r="KH226" s="1009"/>
      <c r="KI226" s="1009"/>
      <c r="KJ226" s="1009"/>
      <c r="KK226" s="1009"/>
      <c r="KL226" s="1009"/>
      <c r="KM226" s="1009"/>
      <c r="KN226" s="1009"/>
      <c r="KO226" s="1009"/>
      <c r="KP226" s="1009"/>
      <c r="KQ226" s="1009"/>
      <c r="KR226" s="1009"/>
      <c r="KS226" s="1009"/>
      <c r="KT226" s="1009"/>
      <c r="KU226" s="1009"/>
      <c r="KV226" s="1009"/>
      <c r="KW226" s="1009"/>
      <c r="KX226" s="1009"/>
      <c r="KY226" s="1009"/>
      <c r="KZ226" s="1009"/>
      <c r="LA226" s="1009"/>
      <c r="LB226" s="1009"/>
      <c r="LC226" s="1009"/>
      <c r="LD226" s="1009"/>
      <c r="LE226" s="1009"/>
      <c r="LF226" s="1009"/>
      <c r="LG226" s="1009"/>
      <c r="LH226" s="1009"/>
      <c r="LI226" s="1009"/>
      <c r="LJ226" s="1009"/>
      <c r="LK226" s="1009"/>
      <c r="LL226" s="1009"/>
      <c r="LM226" s="1009"/>
      <c r="LN226" s="1009"/>
      <c r="LO226" s="1009"/>
      <c r="LP226" s="1009"/>
      <c r="LQ226" s="1009"/>
      <c r="LR226" s="1009"/>
      <c r="LS226" s="1009"/>
      <c r="LT226" s="1009"/>
      <c r="LU226" s="1009"/>
      <c r="LV226" s="1009"/>
      <c r="LW226" s="1009"/>
      <c r="LX226" s="1009"/>
      <c r="LY226" s="1009"/>
      <c r="LZ226" s="1009"/>
      <c r="MA226" s="1009"/>
      <c r="MB226" s="1009"/>
      <c r="MC226" s="1009"/>
      <c r="MD226" s="1009"/>
      <c r="ME226" s="1009"/>
      <c r="MF226" s="1009"/>
      <c r="MG226" s="1009"/>
      <c r="MH226" s="1009"/>
      <c r="MI226" s="1009"/>
      <c r="MJ226" s="1009"/>
      <c r="MK226" s="1009"/>
      <c r="ML226" s="1009"/>
      <c r="MM226" s="1009"/>
      <c r="MN226" s="1009"/>
      <c r="MO226" s="1009"/>
      <c r="MP226" s="1009"/>
      <c r="MQ226" s="1009"/>
      <c r="MR226" s="1009"/>
      <c r="MS226" s="1009"/>
      <c r="MT226" s="1009"/>
      <c r="MU226" s="1009"/>
      <c r="MV226" s="1009"/>
      <c r="MW226" s="1009"/>
      <c r="MX226" s="1009"/>
      <c r="MY226" s="1009"/>
      <c r="MZ226" s="1009"/>
      <c r="NA226" s="1009"/>
      <c r="NB226" s="1009"/>
      <c r="NC226" s="1009"/>
      <c r="ND226" s="1009"/>
      <c r="NE226" s="1009"/>
      <c r="NF226" s="1009"/>
      <c r="NG226" s="1009"/>
      <c r="NH226" s="1009"/>
      <c r="NI226" s="1009"/>
      <c r="NJ226" s="1009"/>
      <c r="NK226" s="1009"/>
      <c r="NL226" s="1009"/>
      <c r="NM226" s="1009"/>
      <c r="NN226" s="1009"/>
      <c r="NO226" s="1009"/>
      <c r="NP226" s="1009"/>
      <c r="NQ226" s="1009"/>
      <c r="NR226" s="1009"/>
      <c r="NS226" s="1009"/>
      <c r="NT226" s="1009"/>
      <c r="NU226" s="1009"/>
      <c r="NV226" s="1009"/>
      <c r="NW226" s="1009"/>
      <c r="NX226" s="1009"/>
      <c r="NY226" s="1009"/>
      <c r="NZ226" s="1009"/>
      <c r="OA226" s="1009"/>
      <c r="OB226" s="1009"/>
      <c r="OC226" s="1009"/>
      <c r="OD226" s="1009"/>
      <c r="OE226" s="1009"/>
      <c r="OF226" s="1009"/>
      <c r="OG226" s="1009"/>
      <c r="OH226" s="1009"/>
      <c r="OI226" s="1009"/>
      <c r="OJ226" s="1009"/>
      <c r="OK226" s="1009"/>
      <c r="OL226" s="1009"/>
      <c r="OM226" s="1009"/>
      <c r="ON226" s="1009"/>
      <c r="OO226" s="1009"/>
      <c r="OP226" s="1009"/>
      <c r="OQ226" s="1009"/>
      <c r="OR226" s="1009"/>
      <c r="OS226" s="1009"/>
      <c r="OT226" s="1009"/>
      <c r="OU226" s="1009"/>
      <c r="OV226" s="1009"/>
      <c r="OW226" s="1009"/>
      <c r="OX226" s="1009"/>
      <c r="OY226" s="1009"/>
      <c r="OZ226" s="1009"/>
      <c r="PA226" s="1009"/>
      <c r="PB226" s="1009"/>
      <c r="PC226" s="1009"/>
      <c r="PD226" s="1009"/>
      <c r="PE226" s="1009"/>
      <c r="PF226" s="1009"/>
      <c r="PG226" s="1009"/>
      <c r="PH226" s="1009"/>
      <c r="PI226" s="1009"/>
      <c r="PJ226" s="1009"/>
      <c r="PK226" s="1009"/>
      <c r="PL226" s="1009"/>
      <c r="PM226" s="1009"/>
      <c r="PN226" s="1009"/>
      <c r="PO226" s="1009"/>
      <c r="PP226" s="1009"/>
      <c r="PQ226" s="1009"/>
      <c r="PR226" s="1009"/>
      <c r="PS226" s="1009"/>
      <c r="PT226" s="1009"/>
      <c r="PU226" s="1009"/>
      <c r="PV226" s="1009"/>
      <c r="PW226" s="1009"/>
      <c r="PX226" s="1009"/>
      <c r="PY226" s="1009"/>
      <c r="PZ226" s="1009"/>
      <c r="QA226" s="1009"/>
      <c r="QB226" s="1009"/>
      <c r="QC226" s="1009"/>
      <c r="QD226" s="1009"/>
      <c r="QE226" s="1009"/>
      <c r="QF226" s="1009"/>
      <c r="QG226" s="1009"/>
      <c r="QH226" s="1009"/>
      <c r="QI226" s="1009"/>
      <c r="QJ226" s="1009"/>
      <c r="QK226" s="1009"/>
      <c r="QL226" s="1009"/>
      <c r="QM226" s="1009"/>
      <c r="QN226" s="1009"/>
      <c r="QO226" s="1009"/>
      <c r="QP226" s="1009"/>
      <c r="QQ226" s="1009"/>
      <c r="QR226" s="1009"/>
      <c r="QS226" s="1009"/>
      <c r="QT226" s="1009"/>
      <c r="QU226" s="1009"/>
      <c r="QV226" s="1009"/>
      <c r="QW226" s="1009"/>
      <c r="QX226" s="1009"/>
      <c r="QY226" s="1009"/>
      <c r="QZ226" s="1009"/>
      <c r="RA226" s="1009"/>
      <c r="RB226" s="1009"/>
      <c r="RC226" s="1009"/>
      <c r="RD226" s="1009"/>
      <c r="RE226" s="1009"/>
      <c r="RF226" s="1009"/>
      <c r="RG226" s="1009"/>
      <c r="RH226" s="1009"/>
      <c r="RI226" s="1009"/>
      <c r="RJ226" s="1009"/>
      <c r="RK226" s="1009"/>
      <c r="RL226" s="1009"/>
      <c r="RM226" s="1009"/>
      <c r="RN226" s="1009"/>
      <c r="RO226" s="1009"/>
      <c r="RP226" s="1009"/>
      <c r="RQ226" s="1009"/>
      <c r="RR226" s="1009"/>
      <c r="RS226" s="1009"/>
      <c r="RT226" s="1009"/>
      <c r="RU226" s="1009"/>
      <c r="RV226" s="1009"/>
      <c r="RW226" s="1009"/>
      <c r="RX226" s="1009"/>
      <c r="RY226" s="1009"/>
      <c r="RZ226" s="1009"/>
      <c r="SA226" s="1009"/>
      <c r="SB226" s="1009"/>
      <c r="SC226" s="1009"/>
      <c r="SD226" s="1009"/>
      <c r="SE226" s="1009"/>
      <c r="SF226" s="1009"/>
      <c r="SG226" s="1009"/>
      <c r="SH226" s="1009"/>
      <c r="SI226" s="1009"/>
      <c r="SJ226" s="1009"/>
      <c r="SK226" s="1009"/>
      <c r="SL226" s="1009"/>
      <c r="SM226" s="1009"/>
      <c r="SN226" s="1009"/>
      <c r="SO226" s="1009"/>
      <c r="SP226" s="1009"/>
      <c r="SQ226" s="1009"/>
      <c r="SR226" s="1009"/>
      <c r="SS226" s="1009"/>
      <c r="ST226" s="1009"/>
      <c r="SU226" s="1009"/>
      <c r="SV226" s="1009"/>
      <c r="SW226" s="1009"/>
      <c r="SX226" s="1009"/>
      <c r="SY226" s="1009"/>
      <c r="SZ226" s="1009"/>
      <c r="TA226" s="1009"/>
      <c r="TB226" s="1009"/>
      <c r="TC226" s="1009"/>
      <c r="TD226" s="1009"/>
      <c r="TE226" s="1009"/>
      <c r="TF226" s="1009"/>
      <c r="TG226" s="1009"/>
      <c r="TH226" s="1009"/>
      <c r="TI226" s="1009"/>
      <c r="TJ226" s="1009"/>
      <c r="TK226" s="1009"/>
      <c r="TL226" s="1009"/>
      <c r="TM226" s="1009"/>
      <c r="TN226" s="1009"/>
      <c r="TO226" s="1009"/>
      <c r="TP226" s="1009"/>
      <c r="TQ226" s="1009"/>
      <c r="TR226" s="1009"/>
      <c r="TS226" s="1009"/>
      <c r="TT226" s="1009"/>
      <c r="TU226" s="1009"/>
      <c r="TV226" s="1009"/>
      <c r="TW226" s="1009"/>
      <c r="TX226" s="1009"/>
      <c r="TY226" s="1009"/>
      <c r="TZ226" s="1009"/>
      <c r="UA226" s="1009"/>
      <c r="UB226" s="1009"/>
      <c r="UC226" s="1009"/>
      <c r="UD226" s="1009"/>
      <c r="UE226" s="1009"/>
      <c r="UF226" s="1009"/>
      <c r="UG226" s="1009"/>
      <c r="UH226" s="1009"/>
      <c r="UI226" s="1009"/>
      <c r="UJ226" s="1009"/>
      <c r="UK226" s="1009"/>
      <c r="UL226" s="1009"/>
      <c r="UM226" s="1009"/>
      <c r="UN226" s="1009"/>
      <c r="UO226" s="1009"/>
      <c r="UP226" s="1009"/>
      <c r="UQ226" s="1009"/>
      <c r="UR226" s="1009"/>
      <c r="US226" s="1009"/>
      <c r="UT226" s="1009"/>
      <c r="UU226" s="1009"/>
      <c r="UV226" s="1009"/>
      <c r="UW226" s="1009"/>
      <c r="UX226" s="1009"/>
      <c r="UY226" s="1009"/>
      <c r="UZ226" s="1009"/>
      <c r="VA226" s="1009"/>
      <c r="VB226" s="1009"/>
      <c r="VC226" s="1009"/>
      <c r="VD226" s="1009"/>
      <c r="VE226" s="1009"/>
      <c r="VF226" s="1009"/>
      <c r="VG226" s="1009"/>
      <c r="VH226" s="1009"/>
      <c r="VI226" s="1009"/>
      <c r="VJ226" s="1009"/>
      <c r="VK226" s="1009"/>
      <c r="VL226" s="1009"/>
      <c r="VM226" s="1009"/>
      <c r="VN226" s="1009"/>
      <c r="VO226" s="1009"/>
      <c r="VP226" s="1009"/>
      <c r="VQ226" s="1009"/>
      <c r="VR226" s="1009"/>
      <c r="VS226" s="1009"/>
      <c r="VT226" s="1009"/>
      <c r="VU226" s="1009"/>
      <c r="VV226" s="1009"/>
      <c r="VW226" s="1009"/>
      <c r="VX226" s="1009"/>
      <c r="VY226" s="1009"/>
      <c r="VZ226" s="1009"/>
      <c r="WA226" s="1009"/>
      <c r="WB226" s="1009"/>
      <c r="WC226" s="1009"/>
      <c r="WD226" s="1009"/>
      <c r="WE226" s="1009"/>
      <c r="WF226" s="1009"/>
      <c r="WG226" s="1009"/>
      <c r="WH226" s="1009"/>
      <c r="WI226" s="1009"/>
      <c r="WJ226" s="1009"/>
      <c r="WK226" s="1009"/>
      <c r="WL226" s="1009"/>
      <c r="WM226" s="1009"/>
      <c r="WN226" s="1009"/>
      <c r="WO226" s="1009"/>
      <c r="WP226" s="1009"/>
      <c r="WQ226" s="1009"/>
      <c r="WR226" s="1009"/>
      <c r="WS226" s="1009"/>
      <c r="WT226" s="1009"/>
      <c r="WU226" s="1009"/>
      <c r="WV226" s="1009"/>
      <c r="WW226" s="1009"/>
      <c r="WX226" s="1009"/>
      <c r="WY226" s="1009"/>
      <c r="WZ226" s="1009"/>
      <c r="XA226" s="1009"/>
      <c r="XB226" s="1009"/>
      <c r="XC226" s="1009"/>
      <c r="XD226" s="1009"/>
      <c r="XE226" s="1009"/>
      <c r="XF226" s="1009"/>
      <c r="XG226" s="1009"/>
      <c r="XH226" s="1009"/>
      <c r="XI226" s="1009"/>
      <c r="XJ226" s="1009"/>
      <c r="XK226" s="1009"/>
      <c r="XL226" s="1009"/>
      <c r="XM226" s="1009"/>
      <c r="XN226" s="1009"/>
      <c r="XO226" s="1009"/>
      <c r="XP226" s="1009"/>
      <c r="XQ226" s="1009"/>
      <c r="XR226" s="1009"/>
      <c r="XS226" s="1009"/>
      <c r="XT226" s="1009"/>
      <c r="XU226" s="1009"/>
      <c r="XV226" s="1009"/>
      <c r="XW226" s="1009"/>
      <c r="XX226" s="1009"/>
      <c r="XY226" s="1009"/>
      <c r="XZ226" s="1009"/>
      <c r="YA226" s="1009"/>
      <c r="YB226" s="1009"/>
      <c r="YC226" s="1009"/>
      <c r="YD226" s="1009"/>
      <c r="YE226" s="1009"/>
      <c r="YF226" s="1009"/>
      <c r="YG226" s="1009"/>
      <c r="YH226" s="1009"/>
      <c r="YI226" s="1009"/>
      <c r="YJ226" s="1009"/>
      <c r="YK226" s="1009"/>
      <c r="YL226" s="1009"/>
      <c r="YM226" s="1009"/>
      <c r="YN226" s="1009"/>
      <c r="YO226" s="1009"/>
      <c r="YP226" s="1009"/>
      <c r="YQ226" s="1009"/>
      <c r="YR226" s="1009"/>
      <c r="YS226" s="1009"/>
      <c r="YT226" s="1009"/>
      <c r="YU226" s="1009"/>
      <c r="YV226" s="1009"/>
      <c r="YW226" s="1009"/>
      <c r="YX226" s="1009"/>
      <c r="YY226" s="1009"/>
      <c r="YZ226" s="1009"/>
      <c r="ZA226" s="1009"/>
      <c r="ZB226" s="1009"/>
      <c r="ZC226" s="1009"/>
      <c r="ZD226" s="1009"/>
      <c r="ZE226" s="1009"/>
      <c r="ZF226" s="1009"/>
      <c r="ZG226" s="1009"/>
      <c r="ZH226" s="1009"/>
      <c r="ZI226" s="1009"/>
      <c r="ZJ226" s="1009"/>
      <c r="ZK226" s="1009"/>
      <c r="ZL226" s="1009"/>
      <c r="ZM226" s="1009"/>
      <c r="ZN226" s="1009"/>
      <c r="ZO226" s="1009"/>
      <c r="ZP226" s="1009"/>
      <c r="ZQ226" s="1009"/>
      <c r="ZR226" s="1009"/>
      <c r="ZS226" s="1009"/>
      <c r="ZT226" s="1009"/>
      <c r="ZU226" s="1009"/>
      <c r="ZV226" s="1009"/>
      <c r="ZW226" s="1009"/>
      <c r="ZX226" s="1009"/>
      <c r="ZY226" s="1009"/>
      <c r="ZZ226" s="1009"/>
      <c r="AAA226" s="1009"/>
      <c r="AAB226" s="1009"/>
      <c r="AAC226" s="1009"/>
      <c r="AAD226" s="1009"/>
      <c r="AAE226" s="1009"/>
      <c r="AAF226" s="1009"/>
      <c r="AAG226" s="1009"/>
      <c r="AAH226" s="1009"/>
      <c r="AAI226" s="1009"/>
      <c r="AAJ226" s="1009"/>
      <c r="AAK226" s="1009"/>
      <c r="AAL226" s="1009"/>
      <c r="AAM226" s="1009"/>
      <c r="AAN226" s="1009"/>
      <c r="AAO226" s="1009"/>
      <c r="AAP226" s="1009"/>
      <c r="AAQ226" s="1009"/>
      <c r="AAR226" s="1009"/>
      <c r="AAS226" s="1009"/>
      <c r="AAT226" s="1009"/>
      <c r="AAU226" s="1009"/>
      <c r="AAV226" s="1009"/>
      <c r="AAW226" s="1009"/>
      <c r="AAX226" s="1009"/>
      <c r="AAY226" s="1009"/>
      <c r="AAZ226" s="1009"/>
      <c r="ABA226" s="1009"/>
      <c r="ABB226" s="1009"/>
      <c r="ABC226" s="1009"/>
      <c r="ABD226" s="1009"/>
      <c r="ABE226" s="1009"/>
      <c r="ABF226" s="1009"/>
      <c r="ABG226" s="1009"/>
      <c r="ABH226" s="1009"/>
      <c r="ABI226" s="1009"/>
      <c r="ABJ226" s="1009"/>
      <c r="ABK226" s="1009"/>
      <c r="ABL226" s="1009"/>
      <c r="ABM226" s="1009"/>
      <c r="ABN226" s="1009"/>
      <c r="ABO226" s="1009"/>
      <c r="ABP226" s="1009"/>
      <c r="ABQ226" s="1009"/>
      <c r="ABR226" s="1009"/>
    </row>
    <row r="227" spans="1:746" s="111" customFormat="1" ht="12" customHeight="1">
      <c r="A227" s="1758"/>
      <c r="B227" s="2653" t="s">
        <v>976</v>
      </c>
      <c r="C227" s="2642"/>
      <c r="D227" s="2625"/>
      <c r="E227" s="2647"/>
      <c r="F227" s="2648"/>
      <c r="G227" s="2647"/>
      <c r="H227" s="2619"/>
      <c r="I227" s="1766">
        <f>IF(fx!$C$61=1,fx!I457,IF(fx!$C$61=2,fx!I461,IF(fx!$C$63=4,fx!I463,IF(fx!$C$63=5,fx!I462,0))))</f>
        <v>0</v>
      </c>
      <c r="J227" s="1766">
        <f>IF(fx!$C$61=1,fx!J457,IF(fx!$C$61=2,fx!J461,IF(fx!$C$63=4,fx!J463,IF(fx!$C$63=5,fx!J462,0))))</f>
        <v>0</v>
      </c>
      <c r="K227" s="1766">
        <f>IF(fx!$C$61=1,fx!K457,IF(fx!$C$61=2,fx!K461,IF(fx!$C$63=4,fx!K463,IF(fx!$C$63=5,fx!K462,0))))</f>
        <v>0</v>
      </c>
      <c r="L227" s="1766">
        <f>IF(fx!$C$61=1,fx!L457,IF(fx!$C$61=2,fx!L461,IF(fx!$C$63=4,fx!L463,IF(fx!$C$63=5,fx!L462,0))))</f>
        <v>0</v>
      </c>
      <c r="M227" s="1766">
        <f>IF(fx!$C$61=1,fx!M457,IF(fx!$C$61=2,fx!M461,IF(fx!$C$63=4,fx!M463,IF(fx!$C$63=5,fx!M462,0))))</f>
        <v>0</v>
      </c>
      <c r="N227" s="1766">
        <f>IF(fx!$C$61=1,fx!N457,IF(fx!$C$61=2,fx!N461,IF(fx!$C$63=4,fx!N463,IF(fx!$C$63=5,fx!N462,0))))</f>
        <v>0</v>
      </c>
      <c r="O227" s="1766">
        <f>IF(fx!$C$61=1,fx!O457,IF(fx!$C$61=2,fx!O461,IF(fx!$C$63=4,fx!O463,IF(fx!$C$63=5,fx!O462,0))))</f>
        <v>0</v>
      </c>
      <c r="P227" s="1766">
        <f>IF(fx!$C$61=1,fx!P457,IF(fx!$C$61=2,fx!P461,IF(fx!$C$63=4,fx!P463,IF(fx!$C$63=5,fx!P462,0))))</f>
        <v>0</v>
      </c>
      <c r="Q227" s="1766">
        <f>IF(fx!$C$61=1,fx!Q457,IF(fx!$C$61=2,fx!Q461,IF(fx!$C$63=4,fx!Q463,IF(fx!$C$63=5,fx!Q462,0))))</f>
        <v>0</v>
      </c>
      <c r="R227" s="2307">
        <f>IF(fx!$C$61=1,fx!R457,IF(fx!$C$61=2,fx!R461,IF(fx!$C$63=4,fx!R463,IF(fx!$C$63=5,fx!R462,0))))</f>
        <v>0</v>
      </c>
      <c r="S227" s="2307">
        <f>IF(fx!$C$61=1,fx!S457,IF(fx!$C$61=2,fx!S461,IF(fx!$C$63=4,fx!S463,IF(fx!$C$63=5,fx!S462,0))))</f>
        <v>0</v>
      </c>
      <c r="T227" s="1766">
        <f>IF(fx!$C$61=1,fx!T457,IF(fx!$C$61=2,fx!T461,IF(fx!$C$63=4,fx!T463,IF(fx!$C$63=5,fx!T462,0))))</f>
        <v>0</v>
      </c>
      <c r="U227" s="1766">
        <f>IF(fx!$C$61=1,fx!U457,IF(fx!$C$61=2,fx!U461,IF(fx!$C$63=4,fx!V462,IF(fx!$C$63=5,fx!U462,0))))</f>
        <v>0</v>
      </c>
      <c r="V227" s="1766">
        <f>IF(fx!$C$61=1,fx!V457,IF(fx!$C$61=2,fx!V461,IF(fx!$C$63=4,fx!V463,IF(fx!$C$63=5,fx!O459,0))))</f>
        <v>0</v>
      </c>
      <c r="W227" s="1766">
        <f>IF(fx!$C$61=1,fx!W457,IF(fx!$C$61=2,fx!W461,IF(fx!$C$63=4,fx!W463,IF(fx!$C$63=5,fx!W462,0))))</f>
        <v>0</v>
      </c>
      <c r="X227" s="1766">
        <f>IF(fx!$C$61=1,fx!X457,IF(fx!$C$61=2,fx!X461,IF(fx!$C$63=4,fx!X463,IF(fx!$C$63=5,fx!X462,0))))</f>
        <v>0</v>
      </c>
      <c r="Y227" s="1766">
        <f>IF(fx!$C$61=1,fx!Y457,IF(fx!$C$61=2,fx!Y461,IF(fx!$C$63=4,fx!Y463,IF(fx!$C$63=5,fx!Y462,0))))</f>
        <v>0</v>
      </c>
      <c r="Z227" s="1766">
        <f>IF(fx!$C$61=1,fx!Z457,IF(fx!$C$61=2,fx!Z461,IF(fx!$C$63=4,fx!Z463,IF(fx!$C$63=5,fx!Z462,0))))</f>
        <v>0</v>
      </c>
      <c r="AA227" s="1766">
        <f>IF(fx!$C$61=1,fx!AA457,IF(fx!$C$61=2,fx!AA461,IF(fx!$C$63=4,fx!AA463,IF(fx!$C$63=5,fx!AA462,0))))</f>
        <v>0</v>
      </c>
      <c r="AB227" s="1766">
        <f>IF(fx!$C$61=1,fx!AB457,IF(fx!$C$61=2,fx!AB461,IF(fx!$C$63=4,fx!AB463,IF(fx!$C$63=5,fx!AB462,0))))</f>
        <v>0</v>
      </c>
      <c r="AC227" s="1766">
        <f>IF(fx!$C$61=1,fx!AC457,IF(fx!$C$61=2,fx!AC461,IF(fx!$C$63=4,fx!AC463,IF(fx!$C$63=5,fx!AC462,0))))</f>
        <v>0</v>
      </c>
      <c r="AD227" s="1766">
        <f>IF(fx!$C$61=1,fx!AD457,IF(fx!$C$61=2,fx!AD461,IF(fx!$C$63=4,fx!AD463,IF(fx!$C$63=5,fx!AD462,0))))</f>
        <v>0</v>
      </c>
      <c r="AE227" s="1766">
        <f>IF(fx!$C$61=1,fx!AE457,IF(fx!$C$61=2,fx!AE461,IF(fx!$C$63=4,fx!AE463,IF(fx!$C$63=5,fx!AE462,0))))</f>
        <v>0</v>
      </c>
      <c r="AF227" s="1766">
        <f>IF(fx!$C$61=1,fx!AF457,IF(fx!$C$61=2,fx!AF461,IF(fx!$C$63=4,fx!AF463,IF(fx!$C$63=5,fx!AF462,0))))</f>
        <v>0</v>
      </c>
      <c r="AG227" s="2222"/>
      <c r="AH227" s="336"/>
      <c r="AI227" s="336"/>
      <c r="AJ227" s="1044"/>
      <c r="AK227" s="1048"/>
      <c r="AL227" s="1009"/>
      <c r="AM227" s="1009"/>
      <c r="AN227" s="1026"/>
      <c r="AO227" s="1945"/>
      <c r="AP227" s="1935"/>
      <c r="AQ227" s="1936"/>
      <c r="AR227" s="2236"/>
      <c r="AS227" s="2236"/>
      <c r="AT227" s="2236"/>
      <c r="AU227" s="2236"/>
      <c r="AV227" s="2236"/>
      <c r="AW227" s="2236"/>
      <c r="AX227" s="2236"/>
      <c r="AY227" s="2236"/>
      <c r="AZ227" s="2236"/>
      <c r="BA227" s="2236"/>
      <c r="BB227" s="2236"/>
      <c r="BC227" s="2236"/>
      <c r="BD227" s="2236"/>
      <c r="BE227" s="2236"/>
      <c r="BF227" s="2236"/>
      <c r="BG227" s="2236"/>
      <c r="BH227" s="2236"/>
      <c r="BI227" s="2236"/>
      <c r="BJ227" s="2236"/>
      <c r="BK227" s="2236"/>
      <c r="BL227" s="2236"/>
      <c r="BM227" s="2236"/>
      <c r="BN227" s="2236"/>
      <c r="BO227" s="2236"/>
      <c r="BP227" s="1009"/>
      <c r="BQ227" s="1009"/>
      <c r="BR227" s="1009"/>
      <c r="BS227" s="1009"/>
      <c r="BT227" s="1009"/>
      <c r="BU227" s="1009"/>
      <c r="BV227" s="1009"/>
      <c r="BW227" s="1009"/>
      <c r="BX227" s="1009"/>
      <c r="BY227" s="1009"/>
      <c r="BZ227" s="1009"/>
      <c r="CA227" s="1009"/>
      <c r="CB227" s="1009"/>
      <c r="CC227" s="1009"/>
      <c r="CD227" s="1009"/>
      <c r="CE227" s="1009"/>
      <c r="CF227" s="1009"/>
      <c r="CG227" s="1009"/>
      <c r="CH227" s="1009"/>
      <c r="CI227" s="1009"/>
      <c r="CJ227" s="1009"/>
      <c r="CK227" s="1009"/>
      <c r="CL227" s="1009"/>
      <c r="CM227" s="1009"/>
      <c r="CN227" s="1009"/>
      <c r="CO227" s="1009"/>
      <c r="CP227" s="1009"/>
      <c r="CQ227" s="1009"/>
      <c r="CR227" s="1009"/>
      <c r="CS227" s="1009"/>
      <c r="CT227" s="1009"/>
      <c r="CU227" s="1009"/>
      <c r="CV227" s="1009"/>
      <c r="CW227" s="1009"/>
      <c r="CX227" s="1009"/>
      <c r="CY227" s="1009"/>
      <c r="CZ227" s="1009"/>
      <c r="DA227" s="1009"/>
      <c r="DB227" s="1009"/>
      <c r="DC227" s="1009"/>
      <c r="DD227" s="1009"/>
      <c r="DE227" s="1009"/>
      <c r="DF227" s="1009"/>
      <c r="DG227" s="1009"/>
      <c r="DH227" s="1009"/>
      <c r="DI227" s="1009"/>
      <c r="DJ227" s="1009"/>
      <c r="DK227" s="1009"/>
      <c r="DL227" s="1009"/>
      <c r="DM227" s="1009"/>
      <c r="DN227" s="1009"/>
      <c r="DO227" s="1009"/>
      <c r="DP227" s="1009"/>
      <c r="DQ227" s="1009"/>
      <c r="DR227" s="1009"/>
      <c r="DS227" s="1009"/>
      <c r="DT227" s="1009"/>
      <c r="DU227" s="1009"/>
      <c r="DV227" s="1009"/>
      <c r="DW227" s="1009"/>
      <c r="DX227" s="1009"/>
      <c r="DY227" s="1009"/>
      <c r="DZ227" s="1009"/>
      <c r="EA227" s="1009"/>
      <c r="EB227" s="1009"/>
      <c r="EC227" s="1009"/>
      <c r="ED227" s="1009"/>
      <c r="EE227" s="1009"/>
      <c r="EF227" s="1009"/>
      <c r="EG227" s="1009"/>
      <c r="EH227" s="1009"/>
      <c r="EI227" s="1009"/>
      <c r="EJ227" s="1009"/>
      <c r="EK227" s="1009"/>
      <c r="EL227" s="1009"/>
      <c r="EM227" s="1009"/>
      <c r="EN227" s="1009"/>
      <c r="EO227" s="1009"/>
      <c r="EP227" s="1009"/>
      <c r="EQ227" s="1009"/>
      <c r="ER227" s="1009"/>
      <c r="ES227" s="1009"/>
      <c r="ET227" s="1009"/>
      <c r="EU227" s="1009"/>
      <c r="EV227" s="1009"/>
      <c r="EW227" s="1009"/>
      <c r="EX227" s="1009"/>
      <c r="EY227" s="1009"/>
      <c r="EZ227" s="1009"/>
      <c r="FA227" s="1009"/>
      <c r="FB227" s="1009"/>
      <c r="FC227" s="1009"/>
      <c r="FD227" s="1009"/>
      <c r="FE227" s="1009"/>
      <c r="FF227" s="1009"/>
      <c r="FG227" s="1009"/>
      <c r="FH227" s="1009"/>
      <c r="FI227" s="1009"/>
      <c r="FJ227" s="1009"/>
      <c r="FK227" s="1009"/>
      <c r="FL227" s="1009"/>
      <c r="FM227" s="1009"/>
      <c r="FN227" s="1009"/>
      <c r="FO227" s="1009"/>
      <c r="FP227" s="1009"/>
      <c r="FQ227" s="1009"/>
      <c r="FR227" s="1009"/>
      <c r="FS227" s="1009"/>
      <c r="FT227" s="1009"/>
      <c r="FU227" s="1009"/>
      <c r="FV227" s="1009"/>
      <c r="FW227" s="1009"/>
      <c r="FX227" s="1009"/>
      <c r="FY227" s="1009"/>
      <c r="FZ227" s="1009"/>
      <c r="GA227" s="1009"/>
      <c r="GB227" s="1009"/>
      <c r="GC227" s="1009"/>
      <c r="GD227" s="1009"/>
      <c r="GE227" s="1009"/>
      <c r="GF227" s="1009"/>
      <c r="GG227" s="1009"/>
      <c r="GH227" s="1009"/>
      <c r="GI227" s="1009"/>
      <c r="GJ227" s="1009"/>
      <c r="GK227" s="1009"/>
      <c r="GL227" s="1009"/>
      <c r="GM227" s="1009"/>
      <c r="GN227" s="1009"/>
      <c r="GO227" s="1009"/>
      <c r="GP227" s="1009"/>
      <c r="GQ227" s="1009"/>
      <c r="GR227" s="1009"/>
      <c r="GS227" s="1009"/>
      <c r="GT227" s="1009"/>
      <c r="GU227" s="1009"/>
      <c r="GV227" s="1009"/>
      <c r="GW227" s="1009"/>
      <c r="GX227" s="1009"/>
      <c r="GY227" s="1009"/>
      <c r="GZ227" s="1009"/>
      <c r="HA227" s="1009"/>
      <c r="HB227" s="1009"/>
      <c r="HC227" s="1009"/>
      <c r="HD227" s="1009"/>
      <c r="HE227" s="1009"/>
      <c r="HF227" s="1009"/>
      <c r="HG227" s="1009"/>
      <c r="HH227" s="1009"/>
      <c r="HI227" s="1009"/>
      <c r="HJ227" s="1009"/>
      <c r="HK227" s="1009"/>
      <c r="HL227" s="1009"/>
      <c r="HM227" s="1009"/>
      <c r="HN227" s="1009"/>
      <c r="HO227" s="1009"/>
      <c r="HP227" s="1009"/>
      <c r="HQ227" s="1009"/>
      <c r="HR227" s="1009"/>
      <c r="HS227" s="1009"/>
      <c r="HT227" s="1009"/>
      <c r="HU227" s="1009"/>
      <c r="HV227" s="1009"/>
      <c r="HW227" s="1009"/>
      <c r="HX227" s="1009"/>
      <c r="HY227" s="1009"/>
      <c r="HZ227" s="1009"/>
      <c r="IA227" s="1009"/>
      <c r="IB227" s="1009"/>
      <c r="IC227" s="1009"/>
      <c r="ID227" s="1009"/>
      <c r="IE227" s="1009"/>
      <c r="IF227" s="1009"/>
      <c r="IG227" s="1009"/>
      <c r="IH227" s="1009"/>
      <c r="II227" s="1009"/>
      <c r="IJ227" s="1009"/>
      <c r="IK227" s="1009"/>
      <c r="IL227" s="1009"/>
      <c r="IM227" s="1009"/>
      <c r="IN227" s="1009"/>
      <c r="IO227" s="1009"/>
      <c r="IP227" s="1009"/>
      <c r="IQ227" s="1009"/>
      <c r="IR227" s="1009"/>
      <c r="IS227" s="1009"/>
      <c r="IT227" s="1009"/>
      <c r="IU227" s="1009"/>
      <c r="IV227" s="1009"/>
      <c r="IW227" s="1009"/>
      <c r="IX227" s="1009"/>
      <c r="IY227" s="1009"/>
      <c r="IZ227" s="1009"/>
      <c r="JA227" s="1009"/>
      <c r="JB227" s="1009"/>
      <c r="JC227" s="1009"/>
      <c r="JD227" s="1009"/>
      <c r="JE227" s="1009"/>
      <c r="JF227" s="1009"/>
      <c r="JG227" s="1009"/>
      <c r="JH227" s="1009"/>
      <c r="JI227" s="1009"/>
      <c r="JJ227" s="1009"/>
      <c r="JK227" s="1009"/>
      <c r="JL227" s="1009"/>
      <c r="JM227" s="1009"/>
      <c r="JN227" s="1009"/>
      <c r="JO227" s="1009"/>
      <c r="JP227" s="1009"/>
      <c r="JQ227" s="1009"/>
      <c r="JR227" s="1009"/>
      <c r="JS227" s="1009"/>
      <c r="JT227" s="1009"/>
      <c r="JU227" s="1009"/>
      <c r="JV227" s="1009"/>
      <c r="JW227" s="1009"/>
      <c r="JX227" s="1009"/>
      <c r="JY227" s="1009"/>
      <c r="JZ227" s="1009"/>
      <c r="KA227" s="1009"/>
      <c r="KB227" s="1009"/>
      <c r="KC227" s="1009"/>
      <c r="KD227" s="1009"/>
      <c r="KE227" s="1009"/>
      <c r="KF227" s="1009"/>
      <c r="KG227" s="1009"/>
      <c r="KH227" s="1009"/>
      <c r="KI227" s="1009"/>
      <c r="KJ227" s="1009"/>
      <c r="KK227" s="1009"/>
      <c r="KL227" s="1009"/>
      <c r="KM227" s="1009"/>
      <c r="KN227" s="1009"/>
      <c r="KO227" s="1009"/>
      <c r="KP227" s="1009"/>
      <c r="KQ227" s="1009"/>
      <c r="KR227" s="1009"/>
      <c r="KS227" s="1009"/>
      <c r="KT227" s="1009"/>
      <c r="KU227" s="1009"/>
      <c r="KV227" s="1009"/>
      <c r="KW227" s="1009"/>
      <c r="KX227" s="1009"/>
      <c r="KY227" s="1009"/>
      <c r="KZ227" s="1009"/>
      <c r="LA227" s="1009"/>
      <c r="LB227" s="1009"/>
      <c r="LC227" s="1009"/>
      <c r="LD227" s="1009"/>
      <c r="LE227" s="1009"/>
      <c r="LF227" s="1009"/>
      <c r="LG227" s="1009"/>
      <c r="LH227" s="1009"/>
      <c r="LI227" s="1009"/>
      <c r="LJ227" s="1009"/>
      <c r="LK227" s="1009"/>
      <c r="LL227" s="1009"/>
      <c r="LM227" s="1009"/>
      <c r="LN227" s="1009"/>
      <c r="LO227" s="1009"/>
      <c r="LP227" s="1009"/>
      <c r="LQ227" s="1009"/>
      <c r="LR227" s="1009"/>
      <c r="LS227" s="1009"/>
      <c r="LT227" s="1009"/>
      <c r="LU227" s="1009"/>
      <c r="LV227" s="1009"/>
      <c r="LW227" s="1009"/>
      <c r="LX227" s="1009"/>
      <c r="LY227" s="1009"/>
      <c r="LZ227" s="1009"/>
      <c r="MA227" s="1009"/>
      <c r="MB227" s="1009"/>
      <c r="MC227" s="1009"/>
      <c r="MD227" s="1009"/>
      <c r="ME227" s="1009"/>
      <c r="MF227" s="1009"/>
      <c r="MG227" s="1009"/>
      <c r="MH227" s="1009"/>
      <c r="MI227" s="1009"/>
      <c r="MJ227" s="1009"/>
      <c r="MK227" s="1009"/>
      <c r="ML227" s="1009"/>
      <c r="MM227" s="1009"/>
      <c r="MN227" s="1009"/>
      <c r="MO227" s="1009"/>
      <c r="MP227" s="1009"/>
      <c r="MQ227" s="1009"/>
      <c r="MR227" s="1009"/>
      <c r="MS227" s="1009"/>
      <c r="MT227" s="1009"/>
      <c r="MU227" s="1009"/>
      <c r="MV227" s="1009"/>
      <c r="MW227" s="1009"/>
      <c r="MX227" s="1009"/>
      <c r="MY227" s="1009"/>
      <c r="MZ227" s="1009"/>
      <c r="NA227" s="1009"/>
      <c r="NB227" s="1009"/>
      <c r="NC227" s="1009"/>
      <c r="ND227" s="1009"/>
      <c r="NE227" s="1009"/>
      <c r="NF227" s="1009"/>
      <c r="NG227" s="1009"/>
      <c r="NH227" s="1009"/>
      <c r="NI227" s="1009"/>
      <c r="NJ227" s="1009"/>
      <c r="NK227" s="1009"/>
      <c r="NL227" s="1009"/>
      <c r="NM227" s="1009"/>
      <c r="NN227" s="1009"/>
      <c r="NO227" s="1009"/>
      <c r="NP227" s="1009"/>
      <c r="NQ227" s="1009"/>
      <c r="NR227" s="1009"/>
      <c r="NS227" s="1009"/>
      <c r="NT227" s="1009"/>
      <c r="NU227" s="1009"/>
      <c r="NV227" s="1009"/>
      <c r="NW227" s="1009"/>
      <c r="NX227" s="1009"/>
      <c r="NY227" s="1009"/>
      <c r="NZ227" s="1009"/>
      <c r="OA227" s="1009"/>
      <c r="OB227" s="1009"/>
      <c r="OC227" s="1009"/>
      <c r="OD227" s="1009"/>
      <c r="OE227" s="1009"/>
      <c r="OF227" s="1009"/>
      <c r="OG227" s="1009"/>
      <c r="OH227" s="1009"/>
      <c r="OI227" s="1009"/>
      <c r="OJ227" s="1009"/>
      <c r="OK227" s="1009"/>
      <c r="OL227" s="1009"/>
      <c r="OM227" s="1009"/>
      <c r="ON227" s="1009"/>
      <c r="OO227" s="1009"/>
      <c r="OP227" s="1009"/>
      <c r="OQ227" s="1009"/>
      <c r="OR227" s="1009"/>
      <c r="OS227" s="1009"/>
      <c r="OT227" s="1009"/>
      <c r="OU227" s="1009"/>
      <c r="OV227" s="1009"/>
      <c r="OW227" s="1009"/>
      <c r="OX227" s="1009"/>
      <c r="OY227" s="1009"/>
      <c r="OZ227" s="1009"/>
      <c r="PA227" s="1009"/>
      <c r="PB227" s="1009"/>
      <c r="PC227" s="1009"/>
      <c r="PD227" s="1009"/>
      <c r="PE227" s="1009"/>
      <c r="PF227" s="1009"/>
      <c r="PG227" s="1009"/>
      <c r="PH227" s="1009"/>
      <c r="PI227" s="1009"/>
      <c r="PJ227" s="1009"/>
      <c r="PK227" s="1009"/>
      <c r="PL227" s="1009"/>
      <c r="PM227" s="1009"/>
      <c r="PN227" s="1009"/>
      <c r="PO227" s="1009"/>
      <c r="PP227" s="1009"/>
      <c r="PQ227" s="1009"/>
      <c r="PR227" s="1009"/>
      <c r="PS227" s="1009"/>
      <c r="PT227" s="1009"/>
      <c r="PU227" s="1009"/>
      <c r="PV227" s="1009"/>
      <c r="PW227" s="1009"/>
      <c r="PX227" s="1009"/>
      <c r="PY227" s="1009"/>
      <c r="PZ227" s="1009"/>
      <c r="QA227" s="1009"/>
      <c r="QB227" s="1009"/>
      <c r="QC227" s="1009"/>
      <c r="QD227" s="1009"/>
      <c r="QE227" s="1009"/>
      <c r="QF227" s="1009"/>
      <c r="QG227" s="1009"/>
      <c r="QH227" s="1009"/>
      <c r="QI227" s="1009"/>
      <c r="QJ227" s="1009"/>
      <c r="QK227" s="1009"/>
      <c r="QL227" s="1009"/>
      <c r="QM227" s="1009"/>
      <c r="QN227" s="1009"/>
      <c r="QO227" s="1009"/>
      <c r="QP227" s="1009"/>
      <c r="QQ227" s="1009"/>
      <c r="QR227" s="1009"/>
      <c r="QS227" s="1009"/>
      <c r="QT227" s="1009"/>
      <c r="QU227" s="1009"/>
      <c r="QV227" s="1009"/>
      <c r="QW227" s="1009"/>
      <c r="QX227" s="1009"/>
      <c r="QY227" s="1009"/>
      <c r="QZ227" s="1009"/>
      <c r="RA227" s="1009"/>
      <c r="RB227" s="1009"/>
      <c r="RC227" s="1009"/>
      <c r="RD227" s="1009"/>
      <c r="RE227" s="1009"/>
      <c r="RF227" s="1009"/>
      <c r="RG227" s="1009"/>
      <c r="RH227" s="1009"/>
      <c r="RI227" s="1009"/>
      <c r="RJ227" s="1009"/>
      <c r="RK227" s="1009"/>
      <c r="RL227" s="1009"/>
      <c r="RM227" s="1009"/>
      <c r="RN227" s="1009"/>
      <c r="RO227" s="1009"/>
      <c r="RP227" s="1009"/>
      <c r="RQ227" s="1009"/>
      <c r="RR227" s="1009"/>
      <c r="RS227" s="1009"/>
      <c r="RT227" s="1009"/>
      <c r="RU227" s="1009"/>
      <c r="RV227" s="1009"/>
      <c r="RW227" s="1009"/>
      <c r="RX227" s="1009"/>
      <c r="RY227" s="1009"/>
      <c r="RZ227" s="1009"/>
      <c r="SA227" s="1009"/>
      <c r="SB227" s="1009"/>
      <c r="SC227" s="1009"/>
      <c r="SD227" s="1009"/>
      <c r="SE227" s="1009"/>
      <c r="SF227" s="1009"/>
      <c r="SG227" s="1009"/>
      <c r="SH227" s="1009"/>
      <c r="SI227" s="1009"/>
      <c r="SJ227" s="1009"/>
      <c r="SK227" s="1009"/>
      <c r="SL227" s="1009"/>
      <c r="SM227" s="1009"/>
      <c r="SN227" s="1009"/>
      <c r="SO227" s="1009"/>
      <c r="SP227" s="1009"/>
      <c r="SQ227" s="1009"/>
      <c r="SR227" s="1009"/>
      <c r="SS227" s="1009"/>
      <c r="ST227" s="1009"/>
      <c r="SU227" s="1009"/>
      <c r="SV227" s="1009"/>
      <c r="SW227" s="1009"/>
      <c r="SX227" s="1009"/>
      <c r="SY227" s="1009"/>
      <c r="SZ227" s="1009"/>
      <c r="TA227" s="1009"/>
      <c r="TB227" s="1009"/>
      <c r="TC227" s="1009"/>
      <c r="TD227" s="1009"/>
      <c r="TE227" s="1009"/>
      <c r="TF227" s="1009"/>
      <c r="TG227" s="1009"/>
      <c r="TH227" s="1009"/>
      <c r="TI227" s="1009"/>
      <c r="TJ227" s="1009"/>
      <c r="TK227" s="1009"/>
      <c r="TL227" s="1009"/>
      <c r="TM227" s="1009"/>
      <c r="TN227" s="1009"/>
      <c r="TO227" s="1009"/>
      <c r="TP227" s="1009"/>
      <c r="TQ227" s="1009"/>
      <c r="TR227" s="1009"/>
      <c r="TS227" s="1009"/>
      <c r="TT227" s="1009"/>
      <c r="TU227" s="1009"/>
      <c r="TV227" s="1009"/>
      <c r="TW227" s="1009"/>
      <c r="TX227" s="1009"/>
      <c r="TY227" s="1009"/>
      <c r="TZ227" s="1009"/>
      <c r="UA227" s="1009"/>
      <c r="UB227" s="1009"/>
      <c r="UC227" s="1009"/>
      <c r="UD227" s="1009"/>
      <c r="UE227" s="1009"/>
      <c r="UF227" s="1009"/>
      <c r="UG227" s="1009"/>
      <c r="UH227" s="1009"/>
      <c r="UI227" s="1009"/>
      <c r="UJ227" s="1009"/>
      <c r="UK227" s="1009"/>
      <c r="UL227" s="1009"/>
      <c r="UM227" s="1009"/>
      <c r="UN227" s="1009"/>
      <c r="UO227" s="1009"/>
      <c r="UP227" s="1009"/>
      <c r="UQ227" s="1009"/>
      <c r="UR227" s="1009"/>
      <c r="US227" s="1009"/>
      <c r="UT227" s="1009"/>
      <c r="UU227" s="1009"/>
      <c r="UV227" s="1009"/>
      <c r="UW227" s="1009"/>
      <c r="UX227" s="1009"/>
      <c r="UY227" s="1009"/>
      <c r="UZ227" s="1009"/>
      <c r="VA227" s="1009"/>
      <c r="VB227" s="1009"/>
      <c r="VC227" s="1009"/>
      <c r="VD227" s="1009"/>
      <c r="VE227" s="1009"/>
      <c r="VF227" s="1009"/>
      <c r="VG227" s="1009"/>
      <c r="VH227" s="1009"/>
      <c r="VI227" s="1009"/>
      <c r="VJ227" s="1009"/>
      <c r="VK227" s="1009"/>
      <c r="VL227" s="1009"/>
      <c r="VM227" s="1009"/>
      <c r="VN227" s="1009"/>
      <c r="VO227" s="1009"/>
      <c r="VP227" s="1009"/>
      <c r="VQ227" s="1009"/>
      <c r="VR227" s="1009"/>
      <c r="VS227" s="1009"/>
      <c r="VT227" s="1009"/>
      <c r="VU227" s="1009"/>
      <c r="VV227" s="1009"/>
      <c r="VW227" s="1009"/>
      <c r="VX227" s="1009"/>
      <c r="VY227" s="1009"/>
      <c r="VZ227" s="1009"/>
      <c r="WA227" s="1009"/>
      <c r="WB227" s="1009"/>
      <c r="WC227" s="1009"/>
      <c r="WD227" s="1009"/>
      <c r="WE227" s="1009"/>
      <c r="WF227" s="1009"/>
      <c r="WG227" s="1009"/>
      <c r="WH227" s="1009"/>
      <c r="WI227" s="1009"/>
      <c r="WJ227" s="1009"/>
      <c r="WK227" s="1009"/>
      <c r="WL227" s="1009"/>
      <c r="WM227" s="1009"/>
      <c r="WN227" s="1009"/>
      <c r="WO227" s="1009"/>
      <c r="WP227" s="1009"/>
      <c r="WQ227" s="1009"/>
      <c r="WR227" s="1009"/>
      <c r="WS227" s="1009"/>
      <c r="WT227" s="1009"/>
      <c r="WU227" s="1009"/>
      <c r="WV227" s="1009"/>
      <c r="WW227" s="1009"/>
      <c r="WX227" s="1009"/>
      <c r="WY227" s="1009"/>
      <c r="WZ227" s="1009"/>
      <c r="XA227" s="1009"/>
      <c r="XB227" s="1009"/>
      <c r="XC227" s="1009"/>
      <c r="XD227" s="1009"/>
      <c r="XE227" s="1009"/>
      <c r="XF227" s="1009"/>
      <c r="XG227" s="1009"/>
      <c r="XH227" s="1009"/>
      <c r="XI227" s="1009"/>
      <c r="XJ227" s="1009"/>
      <c r="XK227" s="1009"/>
      <c r="XL227" s="1009"/>
      <c r="XM227" s="1009"/>
      <c r="XN227" s="1009"/>
      <c r="XO227" s="1009"/>
      <c r="XP227" s="1009"/>
      <c r="XQ227" s="1009"/>
      <c r="XR227" s="1009"/>
      <c r="XS227" s="1009"/>
      <c r="XT227" s="1009"/>
      <c r="XU227" s="1009"/>
      <c r="XV227" s="1009"/>
      <c r="XW227" s="1009"/>
      <c r="XX227" s="1009"/>
      <c r="XY227" s="1009"/>
      <c r="XZ227" s="1009"/>
      <c r="YA227" s="1009"/>
      <c r="YB227" s="1009"/>
      <c r="YC227" s="1009"/>
      <c r="YD227" s="1009"/>
      <c r="YE227" s="1009"/>
      <c r="YF227" s="1009"/>
      <c r="YG227" s="1009"/>
      <c r="YH227" s="1009"/>
      <c r="YI227" s="1009"/>
      <c r="YJ227" s="1009"/>
      <c r="YK227" s="1009"/>
      <c r="YL227" s="1009"/>
      <c r="YM227" s="1009"/>
      <c r="YN227" s="1009"/>
      <c r="YO227" s="1009"/>
      <c r="YP227" s="1009"/>
      <c r="YQ227" s="1009"/>
      <c r="YR227" s="1009"/>
      <c r="YS227" s="1009"/>
      <c r="YT227" s="1009"/>
      <c r="YU227" s="1009"/>
      <c r="YV227" s="1009"/>
      <c r="YW227" s="1009"/>
      <c r="YX227" s="1009"/>
      <c r="YY227" s="1009"/>
      <c r="YZ227" s="1009"/>
      <c r="ZA227" s="1009"/>
      <c r="ZB227" s="1009"/>
      <c r="ZC227" s="1009"/>
      <c r="ZD227" s="1009"/>
      <c r="ZE227" s="1009"/>
      <c r="ZF227" s="1009"/>
      <c r="ZG227" s="1009"/>
      <c r="ZH227" s="1009"/>
      <c r="ZI227" s="1009"/>
      <c r="ZJ227" s="1009"/>
      <c r="ZK227" s="1009"/>
      <c r="ZL227" s="1009"/>
      <c r="ZM227" s="1009"/>
      <c r="ZN227" s="1009"/>
      <c r="ZO227" s="1009"/>
      <c r="ZP227" s="1009"/>
      <c r="ZQ227" s="1009"/>
      <c r="ZR227" s="1009"/>
      <c r="ZS227" s="1009"/>
      <c r="ZT227" s="1009"/>
      <c r="ZU227" s="1009"/>
      <c r="ZV227" s="1009"/>
      <c r="ZW227" s="1009"/>
      <c r="ZX227" s="1009"/>
      <c r="ZY227" s="1009"/>
      <c r="ZZ227" s="1009"/>
      <c r="AAA227" s="1009"/>
      <c r="AAB227" s="1009"/>
      <c r="AAC227" s="1009"/>
      <c r="AAD227" s="1009"/>
      <c r="AAE227" s="1009"/>
      <c r="AAF227" s="1009"/>
      <c r="AAG227" s="1009"/>
      <c r="AAH227" s="1009"/>
      <c r="AAI227" s="1009"/>
      <c r="AAJ227" s="1009"/>
      <c r="AAK227" s="1009"/>
      <c r="AAL227" s="1009"/>
      <c r="AAM227" s="1009"/>
      <c r="AAN227" s="1009"/>
      <c r="AAO227" s="1009"/>
      <c r="AAP227" s="1009"/>
      <c r="AAQ227" s="1009"/>
      <c r="AAR227" s="1009"/>
      <c r="AAS227" s="1009"/>
      <c r="AAT227" s="1009"/>
      <c r="AAU227" s="1009"/>
      <c r="AAV227" s="1009"/>
      <c r="AAW227" s="1009"/>
      <c r="AAX227" s="1009"/>
      <c r="AAY227" s="1009"/>
      <c r="AAZ227" s="1009"/>
      <c r="ABA227" s="1009"/>
      <c r="ABB227" s="1009"/>
      <c r="ABC227" s="1009"/>
      <c r="ABD227" s="1009"/>
      <c r="ABE227" s="1009"/>
      <c r="ABF227" s="1009"/>
      <c r="ABG227" s="1009"/>
      <c r="ABH227" s="1009"/>
      <c r="ABI227" s="1009"/>
      <c r="ABJ227" s="1009"/>
      <c r="ABK227" s="1009"/>
      <c r="ABL227" s="1009"/>
      <c r="ABM227" s="1009"/>
      <c r="ABN227" s="1009"/>
      <c r="ABO227" s="1009"/>
      <c r="ABP227" s="1009"/>
      <c r="ABQ227" s="1009"/>
      <c r="ABR227" s="1009"/>
    </row>
    <row r="228" spans="1:746" s="111" customFormat="1" ht="14.25" customHeight="1">
      <c r="A228" s="1758"/>
      <c r="B228" s="2654" t="s">
        <v>977</v>
      </c>
      <c r="C228" s="909"/>
      <c r="D228" s="909"/>
      <c r="E228" s="2617"/>
      <c r="F228" s="2617"/>
      <c r="G228" s="2617"/>
      <c r="H228" s="2657"/>
      <c r="I228" s="875">
        <f>I227</f>
        <v>0</v>
      </c>
      <c r="J228" s="380">
        <f t="shared" ref="J228:AF228" si="28">J227</f>
        <v>0</v>
      </c>
      <c r="K228" s="380">
        <f t="shared" si="28"/>
        <v>0</v>
      </c>
      <c r="L228" s="380">
        <f t="shared" si="28"/>
        <v>0</v>
      </c>
      <c r="M228" s="380">
        <f t="shared" si="28"/>
        <v>0</v>
      </c>
      <c r="N228" s="380">
        <f t="shared" si="28"/>
        <v>0</v>
      </c>
      <c r="O228" s="380">
        <f t="shared" si="28"/>
        <v>0</v>
      </c>
      <c r="P228" s="380">
        <f t="shared" si="28"/>
        <v>0</v>
      </c>
      <c r="Q228" s="380">
        <f t="shared" si="28"/>
        <v>0</v>
      </c>
      <c r="R228" s="380">
        <f t="shared" si="28"/>
        <v>0</v>
      </c>
      <c r="S228" s="380">
        <f t="shared" si="28"/>
        <v>0</v>
      </c>
      <c r="T228" s="380">
        <f t="shared" si="28"/>
        <v>0</v>
      </c>
      <c r="U228" s="380">
        <f t="shared" si="28"/>
        <v>0</v>
      </c>
      <c r="V228" s="380">
        <f t="shared" si="28"/>
        <v>0</v>
      </c>
      <c r="W228" s="380">
        <f t="shared" si="28"/>
        <v>0</v>
      </c>
      <c r="X228" s="380">
        <f t="shared" si="28"/>
        <v>0</v>
      </c>
      <c r="Y228" s="380">
        <f t="shared" si="28"/>
        <v>0</v>
      </c>
      <c r="Z228" s="380">
        <f t="shared" si="28"/>
        <v>0</v>
      </c>
      <c r="AA228" s="380">
        <f t="shared" si="28"/>
        <v>0</v>
      </c>
      <c r="AB228" s="380">
        <f t="shared" si="28"/>
        <v>0</v>
      </c>
      <c r="AC228" s="380">
        <f t="shared" si="28"/>
        <v>0</v>
      </c>
      <c r="AD228" s="380">
        <f t="shared" si="28"/>
        <v>0</v>
      </c>
      <c r="AE228" s="380">
        <f t="shared" si="28"/>
        <v>0</v>
      </c>
      <c r="AF228" s="380">
        <f t="shared" si="28"/>
        <v>0</v>
      </c>
      <c r="AG228" s="1042"/>
      <c r="AH228" s="336"/>
      <c r="AI228" s="336"/>
      <c r="AJ228" s="1048"/>
      <c r="AK228" s="1048"/>
      <c r="AL228" s="1009"/>
      <c r="AM228" s="1009"/>
      <c r="AN228" s="1921"/>
      <c r="AO228" s="1945"/>
      <c r="AP228" s="1935"/>
      <c r="AQ228" s="1936"/>
      <c r="AR228" s="1941"/>
      <c r="AS228" s="1941"/>
      <c r="AT228" s="1941"/>
      <c r="AU228" s="1941"/>
      <c r="AV228" s="1941"/>
      <c r="AW228" s="1941"/>
      <c r="AX228" s="1941"/>
      <c r="AY228" s="1941"/>
      <c r="AZ228" s="1941"/>
      <c r="BA228" s="1941"/>
      <c r="BB228" s="1941"/>
      <c r="BC228" s="1941"/>
      <c r="BD228" s="1941"/>
      <c r="BE228" s="1941"/>
      <c r="BF228" s="1941"/>
      <c r="BG228" s="1941"/>
      <c r="BH228" s="1941"/>
      <c r="BI228" s="1941"/>
      <c r="BJ228" s="1941"/>
      <c r="BK228" s="1941"/>
      <c r="BL228" s="1941"/>
      <c r="BM228" s="1941"/>
      <c r="BN228" s="1941"/>
      <c r="BO228" s="1941"/>
      <c r="BP228" s="1009"/>
      <c r="BQ228" s="1009"/>
      <c r="BR228" s="1009"/>
      <c r="BS228" s="1009"/>
      <c r="BT228" s="1009"/>
      <c r="BU228" s="1009"/>
      <c r="BV228" s="1009"/>
      <c r="BW228" s="1009"/>
      <c r="BX228" s="1009"/>
      <c r="BY228" s="1009"/>
      <c r="BZ228" s="1009"/>
      <c r="CA228" s="1009"/>
      <c r="CB228" s="1009"/>
      <c r="CC228" s="1009"/>
      <c r="CD228" s="1009"/>
      <c r="CE228" s="1009"/>
      <c r="CF228" s="1009"/>
      <c r="CG228" s="1009"/>
      <c r="CH228" s="1009"/>
      <c r="CI228" s="1009"/>
      <c r="CJ228" s="1009"/>
      <c r="CK228" s="1009"/>
      <c r="CL228" s="1009"/>
      <c r="CM228" s="1009"/>
      <c r="CN228" s="1009"/>
      <c r="CO228" s="1009"/>
      <c r="CP228" s="1009"/>
      <c r="CQ228" s="1009"/>
      <c r="CR228" s="1009"/>
      <c r="CS228" s="1009"/>
      <c r="CT228" s="1009"/>
      <c r="CU228" s="1009"/>
      <c r="CV228" s="1009"/>
      <c r="CW228" s="1009"/>
      <c r="CX228" s="1009"/>
      <c r="CY228" s="1009"/>
      <c r="CZ228" s="1009"/>
      <c r="DA228" s="1009"/>
      <c r="DB228" s="1009"/>
      <c r="DC228" s="1009"/>
      <c r="DD228" s="1009"/>
      <c r="DE228" s="1009"/>
      <c r="DF228" s="1009"/>
      <c r="DG228" s="1009"/>
      <c r="DH228" s="1009"/>
      <c r="DI228" s="1009"/>
      <c r="DJ228" s="1009"/>
      <c r="DK228" s="1009"/>
      <c r="DL228" s="1009"/>
      <c r="DM228" s="1009"/>
      <c r="DN228" s="1009"/>
      <c r="DO228" s="1009"/>
      <c r="DP228" s="1009"/>
      <c r="DQ228" s="1009"/>
      <c r="DR228" s="1009"/>
      <c r="DS228" s="1009"/>
      <c r="DT228" s="1009"/>
      <c r="DU228" s="1009"/>
      <c r="DV228" s="1009"/>
      <c r="DW228" s="1009"/>
      <c r="DX228" s="1009"/>
      <c r="DY228" s="1009"/>
      <c r="DZ228" s="1009"/>
      <c r="EA228" s="1009"/>
      <c r="EB228" s="1009"/>
      <c r="EC228" s="1009"/>
      <c r="ED228" s="1009"/>
      <c r="EE228" s="1009"/>
      <c r="EF228" s="1009"/>
      <c r="EG228" s="1009"/>
      <c r="EH228" s="1009"/>
      <c r="EI228" s="1009"/>
      <c r="EJ228" s="1009"/>
      <c r="EK228" s="1009"/>
      <c r="EL228" s="1009"/>
      <c r="EM228" s="1009"/>
      <c r="EN228" s="1009"/>
      <c r="EO228" s="1009"/>
      <c r="EP228" s="1009"/>
      <c r="EQ228" s="1009"/>
      <c r="ER228" s="1009"/>
      <c r="ES228" s="1009"/>
      <c r="ET228" s="1009"/>
      <c r="EU228" s="1009"/>
      <c r="EV228" s="1009"/>
      <c r="EW228" s="1009"/>
      <c r="EX228" s="1009"/>
      <c r="EY228" s="1009"/>
      <c r="EZ228" s="1009"/>
      <c r="FA228" s="1009"/>
      <c r="FB228" s="1009"/>
      <c r="FC228" s="1009"/>
      <c r="FD228" s="1009"/>
      <c r="FE228" s="1009"/>
      <c r="FF228" s="1009"/>
      <c r="FG228" s="1009"/>
      <c r="FH228" s="1009"/>
      <c r="FI228" s="1009"/>
      <c r="FJ228" s="1009"/>
      <c r="FK228" s="1009"/>
      <c r="FL228" s="1009"/>
      <c r="FM228" s="1009"/>
      <c r="FN228" s="1009"/>
      <c r="FO228" s="1009"/>
      <c r="FP228" s="1009"/>
      <c r="FQ228" s="1009"/>
      <c r="FR228" s="1009"/>
      <c r="FS228" s="1009"/>
      <c r="FT228" s="1009"/>
      <c r="FU228" s="1009"/>
      <c r="FV228" s="1009"/>
      <c r="FW228" s="1009"/>
      <c r="FX228" s="1009"/>
      <c r="FY228" s="1009"/>
      <c r="FZ228" s="1009"/>
      <c r="GA228" s="1009"/>
      <c r="GB228" s="1009"/>
      <c r="GC228" s="1009"/>
      <c r="GD228" s="1009"/>
      <c r="GE228" s="1009"/>
      <c r="GF228" s="1009"/>
      <c r="GG228" s="1009"/>
      <c r="GH228" s="1009"/>
      <c r="GI228" s="1009"/>
      <c r="GJ228" s="1009"/>
      <c r="GK228" s="1009"/>
      <c r="GL228" s="1009"/>
      <c r="GM228" s="1009"/>
      <c r="GN228" s="1009"/>
      <c r="GO228" s="1009"/>
      <c r="GP228" s="1009"/>
      <c r="GQ228" s="1009"/>
      <c r="GR228" s="1009"/>
      <c r="GS228" s="1009"/>
      <c r="GT228" s="1009"/>
      <c r="GU228" s="1009"/>
      <c r="GV228" s="1009"/>
      <c r="GW228" s="1009"/>
      <c r="GX228" s="1009"/>
      <c r="GY228" s="1009"/>
      <c r="GZ228" s="1009"/>
      <c r="HA228" s="1009"/>
      <c r="HB228" s="1009"/>
      <c r="HC228" s="1009"/>
      <c r="HD228" s="1009"/>
      <c r="HE228" s="1009"/>
      <c r="HF228" s="1009"/>
      <c r="HG228" s="1009"/>
      <c r="HH228" s="1009"/>
      <c r="HI228" s="1009"/>
      <c r="HJ228" s="1009"/>
      <c r="HK228" s="1009"/>
      <c r="HL228" s="1009"/>
      <c r="HM228" s="1009"/>
      <c r="HN228" s="1009"/>
      <c r="HO228" s="1009"/>
      <c r="HP228" s="1009"/>
      <c r="HQ228" s="1009"/>
      <c r="HR228" s="1009"/>
      <c r="HS228" s="1009"/>
      <c r="HT228" s="1009"/>
      <c r="HU228" s="1009"/>
      <c r="HV228" s="1009"/>
      <c r="HW228" s="1009"/>
      <c r="HX228" s="1009"/>
      <c r="HY228" s="1009"/>
      <c r="HZ228" s="1009"/>
      <c r="IA228" s="1009"/>
      <c r="IB228" s="1009"/>
      <c r="IC228" s="1009"/>
      <c r="ID228" s="1009"/>
      <c r="IE228" s="1009"/>
      <c r="IF228" s="1009"/>
      <c r="IG228" s="1009"/>
      <c r="IH228" s="1009"/>
      <c r="II228" s="1009"/>
      <c r="IJ228" s="1009"/>
      <c r="IK228" s="1009"/>
      <c r="IL228" s="1009"/>
      <c r="IM228" s="1009"/>
      <c r="IN228" s="1009"/>
      <c r="IO228" s="1009"/>
      <c r="IP228" s="1009"/>
      <c r="IQ228" s="1009"/>
      <c r="IR228" s="1009"/>
      <c r="IS228" s="1009"/>
      <c r="IT228" s="1009"/>
      <c r="IU228" s="1009"/>
      <c r="IV228" s="1009"/>
      <c r="IW228" s="1009"/>
      <c r="IX228" s="1009"/>
      <c r="IY228" s="1009"/>
      <c r="IZ228" s="1009"/>
      <c r="JA228" s="1009"/>
      <c r="JB228" s="1009"/>
      <c r="JC228" s="1009"/>
      <c r="JD228" s="1009"/>
      <c r="JE228" s="1009"/>
      <c r="JF228" s="1009"/>
      <c r="JG228" s="1009"/>
      <c r="JH228" s="1009"/>
      <c r="JI228" s="1009"/>
      <c r="JJ228" s="1009"/>
      <c r="JK228" s="1009"/>
      <c r="JL228" s="1009"/>
      <c r="JM228" s="1009"/>
      <c r="JN228" s="1009"/>
      <c r="JO228" s="1009"/>
      <c r="JP228" s="1009"/>
      <c r="JQ228" s="1009"/>
      <c r="JR228" s="1009"/>
      <c r="JS228" s="1009"/>
      <c r="JT228" s="1009"/>
      <c r="JU228" s="1009"/>
      <c r="JV228" s="1009"/>
      <c r="JW228" s="1009"/>
      <c r="JX228" s="1009"/>
      <c r="JY228" s="1009"/>
      <c r="JZ228" s="1009"/>
      <c r="KA228" s="1009"/>
      <c r="KB228" s="1009"/>
      <c r="KC228" s="1009"/>
      <c r="KD228" s="1009"/>
      <c r="KE228" s="1009"/>
      <c r="KF228" s="1009"/>
      <c r="KG228" s="1009"/>
      <c r="KH228" s="1009"/>
      <c r="KI228" s="1009"/>
      <c r="KJ228" s="1009"/>
      <c r="KK228" s="1009"/>
      <c r="KL228" s="1009"/>
      <c r="KM228" s="1009"/>
      <c r="KN228" s="1009"/>
      <c r="KO228" s="1009"/>
      <c r="KP228" s="1009"/>
      <c r="KQ228" s="1009"/>
      <c r="KR228" s="1009"/>
      <c r="KS228" s="1009"/>
      <c r="KT228" s="1009"/>
      <c r="KU228" s="1009"/>
      <c r="KV228" s="1009"/>
      <c r="KW228" s="1009"/>
      <c r="KX228" s="1009"/>
      <c r="KY228" s="1009"/>
      <c r="KZ228" s="1009"/>
      <c r="LA228" s="1009"/>
      <c r="LB228" s="1009"/>
      <c r="LC228" s="1009"/>
      <c r="LD228" s="1009"/>
      <c r="LE228" s="1009"/>
      <c r="LF228" s="1009"/>
      <c r="LG228" s="1009"/>
      <c r="LH228" s="1009"/>
      <c r="LI228" s="1009"/>
      <c r="LJ228" s="1009"/>
      <c r="LK228" s="1009"/>
      <c r="LL228" s="1009"/>
      <c r="LM228" s="1009"/>
      <c r="LN228" s="1009"/>
      <c r="LO228" s="1009"/>
      <c r="LP228" s="1009"/>
      <c r="LQ228" s="1009"/>
      <c r="LR228" s="1009"/>
      <c r="LS228" s="1009"/>
      <c r="LT228" s="1009"/>
      <c r="LU228" s="1009"/>
      <c r="LV228" s="1009"/>
      <c r="LW228" s="1009"/>
      <c r="LX228" s="1009"/>
      <c r="LY228" s="1009"/>
      <c r="LZ228" s="1009"/>
      <c r="MA228" s="1009"/>
      <c r="MB228" s="1009"/>
      <c r="MC228" s="1009"/>
      <c r="MD228" s="1009"/>
      <c r="ME228" s="1009"/>
      <c r="MF228" s="1009"/>
      <c r="MG228" s="1009"/>
      <c r="MH228" s="1009"/>
      <c r="MI228" s="1009"/>
      <c r="MJ228" s="1009"/>
      <c r="MK228" s="1009"/>
      <c r="ML228" s="1009"/>
      <c r="MM228" s="1009"/>
      <c r="MN228" s="1009"/>
      <c r="MO228" s="1009"/>
      <c r="MP228" s="1009"/>
      <c r="MQ228" s="1009"/>
      <c r="MR228" s="1009"/>
      <c r="MS228" s="1009"/>
      <c r="MT228" s="1009"/>
      <c r="MU228" s="1009"/>
      <c r="MV228" s="1009"/>
      <c r="MW228" s="1009"/>
      <c r="MX228" s="1009"/>
      <c r="MY228" s="1009"/>
      <c r="MZ228" s="1009"/>
      <c r="NA228" s="1009"/>
      <c r="NB228" s="1009"/>
      <c r="NC228" s="1009"/>
      <c r="ND228" s="1009"/>
      <c r="NE228" s="1009"/>
      <c r="NF228" s="1009"/>
      <c r="NG228" s="1009"/>
      <c r="NH228" s="1009"/>
      <c r="NI228" s="1009"/>
      <c r="NJ228" s="1009"/>
      <c r="NK228" s="1009"/>
      <c r="NL228" s="1009"/>
      <c r="NM228" s="1009"/>
      <c r="NN228" s="1009"/>
      <c r="NO228" s="1009"/>
      <c r="NP228" s="1009"/>
      <c r="NQ228" s="1009"/>
      <c r="NR228" s="1009"/>
      <c r="NS228" s="1009"/>
      <c r="NT228" s="1009"/>
      <c r="NU228" s="1009"/>
      <c r="NV228" s="1009"/>
      <c r="NW228" s="1009"/>
      <c r="NX228" s="1009"/>
      <c r="NY228" s="1009"/>
      <c r="NZ228" s="1009"/>
      <c r="OA228" s="1009"/>
      <c r="OB228" s="1009"/>
      <c r="OC228" s="1009"/>
      <c r="OD228" s="1009"/>
      <c r="OE228" s="1009"/>
      <c r="OF228" s="1009"/>
      <c r="OG228" s="1009"/>
      <c r="OH228" s="1009"/>
      <c r="OI228" s="1009"/>
      <c r="OJ228" s="1009"/>
      <c r="OK228" s="1009"/>
      <c r="OL228" s="1009"/>
      <c r="OM228" s="1009"/>
      <c r="ON228" s="1009"/>
      <c r="OO228" s="1009"/>
      <c r="OP228" s="1009"/>
      <c r="OQ228" s="1009"/>
      <c r="OR228" s="1009"/>
      <c r="OS228" s="1009"/>
      <c r="OT228" s="1009"/>
      <c r="OU228" s="1009"/>
      <c r="OV228" s="1009"/>
      <c r="OW228" s="1009"/>
      <c r="OX228" s="1009"/>
      <c r="OY228" s="1009"/>
      <c r="OZ228" s="1009"/>
      <c r="PA228" s="1009"/>
      <c r="PB228" s="1009"/>
      <c r="PC228" s="1009"/>
      <c r="PD228" s="1009"/>
      <c r="PE228" s="1009"/>
      <c r="PF228" s="1009"/>
      <c r="PG228" s="1009"/>
      <c r="PH228" s="1009"/>
      <c r="PI228" s="1009"/>
      <c r="PJ228" s="1009"/>
      <c r="PK228" s="1009"/>
      <c r="PL228" s="1009"/>
      <c r="PM228" s="1009"/>
      <c r="PN228" s="1009"/>
      <c r="PO228" s="1009"/>
      <c r="PP228" s="1009"/>
      <c r="PQ228" s="1009"/>
      <c r="PR228" s="1009"/>
      <c r="PS228" s="1009"/>
      <c r="PT228" s="1009"/>
      <c r="PU228" s="1009"/>
      <c r="PV228" s="1009"/>
      <c r="PW228" s="1009"/>
      <c r="PX228" s="1009"/>
      <c r="PY228" s="1009"/>
      <c r="PZ228" s="1009"/>
      <c r="QA228" s="1009"/>
      <c r="QB228" s="1009"/>
      <c r="QC228" s="1009"/>
      <c r="QD228" s="1009"/>
      <c r="QE228" s="1009"/>
      <c r="QF228" s="1009"/>
      <c r="QG228" s="1009"/>
      <c r="QH228" s="1009"/>
      <c r="QI228" s="1009"/>
      <c r="QJ228" s="1009"/>
      <c r="QK228" s="1009"/>
      <c r="QL228" s="1009"/>
      <c r="QM228" s="1009"/>
      <c r="QN228" s="1009"/>
      <c r="QO228" s="1009"/>
      <c r="QP228" s="1009"/>
      <c r="QQ228" s="1009"/>
      <c r="QR228" s="1009"/>
      <c r="QS228" s="1009"/>
      <c r="QT228" s="1009"/>
      <c r="QU228" s="1009"/>
      <c r="QV228" s="1009"/>
      <c r="QW228" s="1009"/>
      <c r="QX228" s="1009"/>
      <c r="QY228" s="1009"/>
      <c r="QZ228" s="1009"/>
      <c r="RA228" s="1009"/>
      <c r="RB228" s="1009"/>
      <c r="RC228" s="1009"/>
      <c r="RD228" s="1009"/>
      <c r="RE228" s="1009"/>
      <c r="RF228" s="1009"/>
      <c r="RG228" s="1009"/>
      <c r="RH228" s="1009"/>
      <c r="RI228" s="1009"/>
      <c r="RJ228" s="1009"/>
      <c r="RK228" s="1009"/>
      <c r="RL228" s="1009"/>
      <c r="RM228" s="1009"/>
      <c r="RN228" s="1009"/>
      <c r="RO228" s="1009"/>
      <c r="RP228" s="1009"/>
      <c r="RQ228" s="1009"/>
      <c r="RR228" s="1009"/>
      <c r="RS228" s="1009"/>
      <c r="RT228" s="1009"/>
      <c r="RU228" s="1009"/>
      <c r="RV228" s="1009"/>
      <c r="RW228" s="1009"/>
      <c r="RX228" s="1009"/>
      <c r="RY228" s="1009"/>
      <c r="RZ228" s="1009"/>
      <c r="SA228" s="1009"/>
      <c r="SB228" s="1009"/>
      <c r="SC228" s="1009"/>
      <c r="SD228" s="1009"/>
      <c r="SE228" s="1009"/>
      <c r="SF228" s="1009"/>
      <c r="SG228" s="1009"/>
      <c r="SH228" s="1009"/>
      <c r="SI228" s="1009"/>
      <c r="SJ228" s="1009"/>
      <c r="SK228" s="1009"/>
      <c r="SL228" s="1009"/>
      <c r="SM228" s="1009"/>
      <c r="SN228" s="1009"/>
      <c r="SO228" s="1009"/>
      <c r="SP228" s="1009"/>
      <c r="SQ228" s="1009"/>
      <c r="SR228" s="1009"/>
      <c r="SS228" s="1009"/>
      <c r="ST228" s="1009"/>
      <c r="SU228" s="1009"/>
      <c r="SV228" s="1009"/>
      <c r="SW228" s="1009"/>
      <c r="SX228" s="1009"/>
      <c r="SY228" s="1009"/>
      <c r="SZ228" s="1009"/>
      <c r="TA228" s="1009"/>
      <c r="TB228" s="1009"/>
      <c r="TC228" s="1009"/>
      <c r="TD228" s="1009"/>
      <c r="TE228" s="1009"/>
      <c r="TF228" s="1009"/>
      <c r="TG228" s="1009"/>
      <c r="TH228" s="1009"/>
      <c r="TI228" s="1009"/>
      <c r="TJ228" s="1009"/>
      <c r="TK228" s="1009"/>
      <c r="TL228" s="1009"/>
      <c r="TM228" s="1009"/>
      <c r="TN228" s="1009"/>
      <c r="TO228" s="1009"/>
      <c r="TP228" s="1009"/>
      <c r="TQ228" s="1009"/>
      <c r="TR228" s="1009"/>
      <c r="TS228" s="1009"/>
      <c r="TT228" s="1009"/>
      <c r="TU228" s="1009"/>
      <c r="TV228" s="1009"/>
      <c r="TW228" s="1009"/>
      <c r="TX228" s="1009"/>
      <c r="TY228" s="1009"/>
      <c r="TZ228" s="1009"/>
      <c r="UA228" s="1009"/>
      <c r="UB228" s="1009"/>
      <c r="UC228" s="1009"/>
      <c r="UD228" s="1009"/>
      <c r="UE228" s="1009"/>
      <c r="UF228" s="1009"/>
      <c r="UG228" s="1009"/>
      <c r="UH228" s="1009"/>
      <c r="UI228" s="1009"/>
      <c r="UJ228" s="1009"/>
      <c r="UK228" s="1009"/>
      <c r="UL228" s="1009"/>
      <c r="UM228" s="1009"/>
      <c r="UN228" s="1009"/>
      <c r="UO228" s="1009"/>
      <c r="UP228" s="1009"/>
      <c r="UQ228" s="1009"/>
      <c r="UR228" s="1009"/>
      <c r="US228" s="1009"/>
      <c r="UT228" s="1009"/>
      <c r="UU228" s="1009"/>
      <c r="UV228" s="1009"/>
      <c r="UW228" s="1009"/>
      <c r="UX228" s="1009"/>
      <c r="UY228" s="1009"/>
      <c r="UZ228" s="1009"/>
      <c r="VA228" s="1009"/>
      <c r="VB228" s="1009"/>
      <c r="VC228" s="1009"/>
      <c r="VD228" s="1009"/>
      <c r="VE228" s="1009"/>
      <c r="VF228" s="1009"/>
      <c r="VG228" s="1009"/>
      <c r="VH228" s="1009"/>
      <c r="VI228" s="1009"/>
      <c r="VJ228" s="1009"/>
      <c r="VK228" s="1009"/>
      <c r="VL228" s="1009"/>
      <c r="VM228" s="1009"/>
      <c r="VN228" s="1009"/>
      <c r="VO228" s="1009"/>
      <c r="VP228" s="1009"/>
      <c r="VQ228" s="1009"/>
      <c r="VR228" s="1009"/>
      <c r="VS228" s="1009"/>
      <c r="VT228" s="1009"/>
      <c r="VU228" s="1009"/>
      <c r="VV228" s="1009"/>
      <c r="VW228" s="1009"/>
      <c r="VX228" s="1009"/>
      <c r="VY228" s="1009"/>
      <c r="VZ228" s="1009"/>
      <c r="WA228" s="1009"/>
      <c r="WB228" s="1009"/>
      <c r="WC228" s="1009"/>
      <c r="WD228" s="1009"/>
      <c r="WE228" s="1009"/>
      <c r="WF228" s="1009"/>
      <c r="WG228" s="1009"/>
      <c r="WH228" s="1009"/>
      <c r="WI228" s="1009"/>
      <c r="WJ228" s="1009"/>
      <c r="WK228" s="1009"/>
      <c r="WL228" s="1009"/>
      <c r="WM228" s="1009"/>
      <c r="WN228" s="1009"/>
      <c r="WO228" s="1009"/>
      <c r="WP228" s="1009"/>
      <c r="WQ228" s="1009"/>
      <c r="WR228" s="1009"/>
      <c r="WS228" s="1009"/>
      <c r="WT228" s="1009"/>
      <c r="WU228" s="1009"/>
      <c r="WV228" s="1009"/>
      <c r="WW228" s="1009"/>
      <c r="WX228" s="1009"/>
      <c r="WY228" s="1009"/>
      <c r="WZ228" s="1009"/>
      <c r="XA228" s="1009"/>
      <c r="XB228" s="1009"/>
      <c r="XC228" s="1009"/>
      <c r="XD228" s="1009"/>
      <c r="XE228" s="1009"/>
      <c r="XF228" s="1009"/>
      <c r="XG228" s="1009"/>
      <c r="XH228" s="1009"/>
      <c r="XI228" s="1009"/>
      <c r="XJ228" s="1009"/>
      <c r="XK228" s="1009"/>
      <c r="XL228" s="1009"/>
      <c r="XM228" s="1009"/>
      <c r="XN228" s="1009"/>
      <c r="XO228" s="1009"/>
      <c r="XP228" s="1009"/>
      <c r="XQ228" s="1009"/>
      <c r="XR228" s="1009"/>
      <c r="XS228" s="1009"/>
      <c r="XT228" s="1009"/>
      <c r="XU228" s="1009"/>
      <c r="XV228" s="1009"/>
      <c r="XW228" s="1009"/>
      <c r="XX228" s="1009"/>
      <c r="XY228" s="1009"/>
      <c r="XZ228" s="1009"/>
      <c r="YA228" s="1009"/>
      <c r="YB228" s="1009"/>
      <c r="YC228" s="1009"/>
      <c r="YD228" s="1009"/>
      <c r="YE228" s="1009"/>
      <c r="YF228" s="1009"/>
      <c r="YG228" s="1009"/>
      <c r="YH228" s="1009"/>
      <c r="YI228" s="1009"/>
      <c r="YJ228" s="1009"/>
      <c r="YK228" s="1009"/>
      <c r="YL228" s="1009"/>
      <c r="YM228" s="1009"/>
      <c r="YN228" s="1009"/>
      <c r="YO228" s="1009"/>
      <c r="YP228" s="1009"/>
      <c r="YQ228" s="1009"/>
      <c r="YR228" s="1009"/>
      <c r="YS228" s="1009"/>
      <c r="YT228" s="1009"/>
      <c r="YU228" s="1009"/>
      <c r="YV228" s="1009"/>
      <c r="YW228" s="1009"/>
      <c r="YX228" s="1009"/>
      <c r="YY228" s="1009"/>
      <c r="YZ228" s="1009"/>
      <c r="ZA228" s="1009"/>
      <c r="ZB228" s="1009"/>
      <c r="ZC228" s="1009"/>
      <c r="ZD228" s="1009"/>
      <c r="ZE228" s="1009"/>
      <c r="ZF228" s="1009"/>
      <c r="ZG228" s="1009"/>
      <c r="ZH228" s="1009"/>
      <c r="ZI228" s="1009"/>
      <c r="ZJ228" s="1009"/>
      <c r="ZK228" s="1009"/>
      <c r="ZL228" s="1009"/>
      <c r="ZM228" s="1009"/>
      <c r="ZN228" s="1009"/>
      <c r="ZO228" s="1009"/>
      <c r="ZP228" s="1009"/>
      <c r="ZQ228" s="1009"/>
      <c r="ZR228" s="1009"/>
      <c r="ZS228" s="1009"/>
      <c r="ZT228" s="1009"/>
      <c r="ZU228" s="1009"/>
      <c r="ZV228" s="1009"/>
      <c r="ZW228" s="1009"/>
      <c r="ZX228" s="1009"/>
      <c r="ZY228" s="1009"/>
      <c r="ZZ228" s="1009"/>
      <c r="AAA228" s="1009"/>
      <c r="AAB228" s="1009"/>
      <c r="AAC228" s="1009"/>
      <c r="AAD228" s="1009"/>
      <c r="AAE228" s="1009"/>
      <c r="AAF228" s="1009"/>
      <c r="AAG228" s="1009"/>
      <c r="AAH228" s="1009"/>
      <c r="AAI228" s="1009"/>
      <c r="AAJ228" s="1009"/>
      <c r="AAK228" s="1009"/>
      <c r="AAL228" s="1009"/>
      <c r="AAM228" s="1009"/>
      <c r="AAN228" s="1009"/>
      <c r="AAO228" s="1009"/>
      <c r="AAP228" s="1009"/>
      <c r="AAQ228" s="1009"/>
      <c r="AAR228" s="1009"/>
      <c r="AAS228" s="1009"/>
      <c r="AAT228" s="1009"/>
      <c r="AAU228" s="1009"/>
      <c r="AAV228" s="1009"/>
      <c r="AAW228" s="1009"/>
      <c r="AAX228" s="1009"/>
      <c r="AAY228" s="1009"/>
      <c r="AAZ228" s="1009"/>
      <c r="ABA228" s="1009"/>
      <c r="ABB228" s="1009"/>
      <c r="ABC228" s="1009"/>
      <c r="ABD228" s="1009"/>
      <c r="ABE228" s="1009"/>
      <c r="ABF228" s="1009"/>
      <c r="ABG228" s="1009"/>
      <c r="ABH228" s="1009"/>
      <c r="ABI228" s="1009"/>
      <c r="ABJ228" s="1009"/>
      <c r="ABK228" s="1009"/>
      <c r="ABL228" s="1009"/>
      <c r="ABM228" s="1009"/>
      <c r="ABN228" s="1009"/>
      <c r="ABO228" s="1009"/>
      <c r="ABP228" s="1009"/>
      <c r="ABQ228" s="1009"/>
      <c r="ABR228" s="1009"/>
    </row>
    <row r="229" spans="1:746" s="111" customFormat="1" ht="12" customHeight="1">
      <c r="A229" s="1759"/>
      <c r="B229" s="968" t="s">
        <v>816</v>
      </c>
      <c r="C229" s="2655"/>
      <c r="D229" s="2655"/>
      <c r="E229" s="2658"/>
      <c r="F229" s="2659"/>
      <c r="G229" s="2658"/>
      <c r="H229" s="2552"/>
      <c r="I229" s="345">
        <f>SUM(fx!$I$448:I448)-SUMIF(fx!$I$57:I$57,1,$I$228:I$228)</f>
        <v>0</v>
      </c>
      <c r="J229" s="345">
        <f>SUM(fx!$I$448:J448)-SUMIF(fx!$I$57:J$57,1,$I$228:J$228)</f>
        <v>0</v>
      </c>
      <c r="K229" s="345">
        <f>SUM(fx!$I$448:K448)-SUMIF(fx!$I$57:K$57,1,$I$228:K$228)</f>
        <v>0</v>
      </c>
      <c r="L229" s="345">
        <f>SUM(fx!$I$448:L448)-SUMIF(fx!$I$57:L$57,1,$I$228:L$228)</f>
        <v>0</v>
      </c>
      <c r="M229" s="345">
        <f>SUM(fx!$I$448:M448)-SUMIF(fx!$I$57:M$57,1,$I$228:M$228)</f>
        <v>0</v>
      </c>
      <c r="N229" s="345">
        <f>SUM(fx!$I$448:N448)-SUMIF(fx!$I$57:N$57,1,$I$228:N$228)</f>
        <v>0</v>
      </c>
      <c r="O229" s="345">
        <f>SUM(fx!$I$448:O448)-SUMIF(fx!$I$57:O$57,1,$I$228:O$228)</f>
        <v>0</v>
      </c>
      <c r="P229" s="345">
        <f>SUM(fx!$I$448:P448)-SUMIF(fx!$I$57:P$57,1,$I$228:P$228)</f>
        <v>0</v>
      </c>
      <c r="Q229" s="345">
        <f>SUM(fx!$I$448:Q448)-SUMIF(fx!$I$57:Q$57,1,$I$228:Q$228)</f>
        <v>0</v>
      </c>
      <c r="R229" s="345">
        <f>SUM(fx!$I$448:R448)-SUMIF(fx!$I$57:R$57,1,$I$228:R$228)</f>
        <v>0</v>
      </c>
      <c r="S229" s="345">
        <f>SUM(fx!$I$448:S448)-SUMIF(fx!$I$57:S$57,1,$I$228:S$228)</f>
        <v>0</v>
      </c>
      <c r="T229" s="345">
        <f>SUM(fx!$I$448:T448)-SUMIF(fx!$I$57:T$57,1,$I$228:T$228)</f>
        <v>0</v>
      </c>
      <c r="U229" s="345">
        <f>SUM(fx!$I$448:U448)-SUMIF(fx!$I$57:U$57,1,$I$228:U$228)</f>
        <v>0</v>
      </c>
      <c r="V229" s="345">
        <f>SUM(fx!$I$448:V448)-SUMIF(fx!$I$57:V$57,1,$I$228:V$228)</f>
        <v>0</v>
      </c>
      <c r="W229" s="345">
        <f>SUM(fx!$I$448:W448)-SUMIF(fx!$I$57:W$57,1,$I$228:W$228)</f>
        <v>0</v>
      </c>
      <c r="X229" s="345">
        <f>SUM(fx!$I$448:X448)-SUMIF(fx!$I$57:X$57,1,$I$228:X$228)</f>
        <v>0</v>
      </c>
      <c r="Y229" s="345">
        <f>SUM(fx!$I$448:Y448)-SUMIF(fx!$I$57:Y$57,1,$I$228:Y$228)</f>
        <v>0</v>
      </c>
      <c r="Z229" s="345">
        <f>SUM(fx!$I$448:Z448)-SUMIF(fx!$I$57:Z$57,1,$I$228:Z$228)</f>
        <v>0</v>
      </c>
      <c r="AA229" s="345">
        <f>SUM(fx!$I$448:AA448)-SUMIF(fx!$I$57:AA$57,1,$I$228:AA$228)</f>
        <v>0</v>
      </c>
      <c r="AB229" s="345">
        <f>SUM(fx!$I$448:AB448)-SUMIF(fx!$I$57:AB$57,1,$I$228:AB$228)</f>
        <v>0</v>
      </c>
      <c r="AC229" s="345">
        <f>SUM(fx!$I$448:AC448)-SUMIF(fx!$I$57:AC$57,1,$I$228:AC$228)</f>
        <v>0</v>
      </c>
      <c r="AD229" s="345">
        <f>SUM(fx!$I$448:AD448)-SUMIF(fx!$I$57:AD$57,1,$I$228:AD$228)</f>
        <v>0</v>
      </c>
      <c r="AE229" s="345">
        <f>SUM(fx!$I$448:AE448)-SUMIF(fx!$I$57:AE$57,1,$I$228:AE$228)</f>
        <v>0</v>
      </c>
      <c r="AF229" s="345">
        <f>SUM(fx!$I$448:AF448)-SUMIF(fx!$I$57:AF$57,1,$I$228:AF$228)</f>
        <v>0</v>
      </c>
      <c r="AG229" s="337"/>
      <c r="AH229" s="336"/>
      <c r="AI229" s="336"/>
      <c r="AJ229" s="1044"/>
      <c r="AK229" s="1048"/>
      <c r="AL229" s="1046"/>
      <c r="AM229" s="1009"/>
      <c r="AN229" s="1026"/>
      <c r="AO229" s="1945"/>
      <c r="AP229" s="1935"/>
      <c r="AQ229" s="1936"/>
      <c r="AR229" s="1941"/>
      <c r="AS229" s="1941"/>
      <c r="AT229" s="1941"/>
      <c r="AU229" s="1941"/>
      <c r="AV229" s="1941"/>
      <c r="AW229" s="1941"/>
      <c r="AX229" s="1941"/>
      <c r="AY229" s="1941"/>
      <c r="AZ229" s="1941"/>
      <c r="BA229" s="1941"/>
      <c r="BB229" s="1941"/>
      <c r="BC229" s="1941"/>
      <c r="BD229" s="1941"/>
      <c r="BE229" s="1941"/>
      <c r="BF229" s="1941"/>
      <c r="BG229" s="1941"/>
      <c r="BH229" s="1941"/>
      <c r="BI229" s="1941"/>
      <c r="BJ229" s="1941"/>
      <c r="BK229" s="1941"/>
      <c r="BL229" s="1941"/>
      <c r="BM229" s="1941"/>
      <c r="BN229" s="1941"/>
      <c r="BO229" s="1941"/>
      <c r="BP229" s="1009"/>
      <c r="BQ229" s="1009"/>
      <c r="BR229" s="1009"/>
      <c r="BS229" s="1009"/>
      <c r="BT229" s="1009"/>
      <c r="BU229" s="1009"/>
      <c r="BV229" s="1009"/>
      <c r="BW229" s="1009"/>
      <c r="BX229" s="1009"/>
      <c r="BY229" s="1009"/>
      <c r="BZ229" s="1009"/>
      <c r="CA229" s="1009"/>
      <c r="CB229" s="1009"/>
      <c r="CC229" s="1009"/>
      <c r="CD229" s="1009"/>
      <c r="CE229" s="1009"/>
      <c r="CF229" s="1009"/>
      <c r="CG229" s="1009"/>
      <c r="CH229" s="1009"/>
      <c r="CI229" s="1009"/>
      <c r="CJ229" s="1009"/>
      <c r="CK229" s="1009"/>
      <c r="CL229" s="1009"/>
      <c r="CM229" s="1009"/>
      <c r="CN229" s="1009"/>
      <c r="CO229" s="1009"/>
      <c r="CP229" s="1009"/>
      <c r="CQ229" s="1009"/>
      <c r="CR229" s="1009"/>
      <c r="CS229" s="1009"/>
      <c r="CT229" s="1009"/>
      <c r="CU229" s="1009"/>
      <c r="CV229" s="1009"/>
      <c r="CW229" s="1009"/>
      <c r="CX229" s="1009"/>
      <c r="CY229" s="1009"/>
      <c r="CZ229" s="1009"/>
      <c r="DA229" s="1009"/>
      <c r="DB229" s="1009"/>
      <c r="DC229" s="1009"/>
      <c r="DD229" s="1009"/>
      <c r="DE229" s="1009"/>
      <c r="DF229" s="1009"/>
      <c r="DG229" s="1009"/>
      <c r="DH229" s="1009"/>
      <c r="DI229" s="1009"/>
      <c r="DJ229" s="1009"/>
      <c r="DK229" s="1009"/>
      <c r="DL229" s="1009"/>
      <c r="DM229" s="1009"/>
      <c r="DN229" s="1009"/>
      <c r="DO229" s="1009"/>
      <c r="DP229" s="1009"/>
      <c r="DQ229" s="1009"/>
      <c r="DR229" s="1009"/>
      <c r="DS229" s="1009"/>
      <c r="DT229" s="1009"/>
      <c r="DU229" s="1009"/>
      <c r="DV229" s="1009"/>
      <c r="DW229" s="1009"/>
      <c r="DX229" s="1009"/>
      <c r="DY229" s="1009"/>
      <c r="DZ229" s="1009"/>
      <c r="EA229" s="1009"/>
      <c r="EB229" s="1009"/>
      <c r="EC229" s="1009"/>
      <c r="ED229" s="1009"/>
      <c r="EE229" s="1009"/>
      <c r="EF229" s="1009"/>
      <c r="EG229" s="1009"/>
      <c r="EH229" s="1009"/>
      <c r="EI229" s="1009"/>
      <c r="EJ229" s="1009"/>
      <c r="EK229" s="1009"/>
      <c r="EL229" s="1009"/>
      <c r="EM229" s="1009"/>
      <c r="EN229" s="1009"/>
      <c r="EO229" s="1009"/>
      <c r="EP229" s="1009"/>
      <c r="EQ229" s="1009"/>
      <c r="ER229" s="1009"/>
      <c r="ES229" s="1009"/>
      <c r="ET229" s="1009"/>
      <c r="EU229" s="1009"/>
      <c r="EV229" s="1009"/>
      <c r="EW229" s="1009"/>
      <c r="EX229" s="1009"/>
      <c r="EY229" s="1009"/>
      <c r="EZ229" s="1009"/>
      <c r="FA229" s="1009"/>
      <c r="FB229" s="1009"/>
      <c r="FC229" s="1009"/>
      <c r="FD229" s="1009"/>
      <c r="FE229" s="1009"/>
      <c r="FF229" s="1009"/>
      <c r="FG229" s="1009"/>
      <c r="FH229" s="1009"/>
      <c r="FI229" s="1009"/>
      <c r="FJ229" s="1009"/>
      <c r="FK229" s="1009"/>
      <c r="FL229" s="1009"/>
      <c r="FM229" s="1009"/>
      <c r="FN229" s="1009"/>
      <c r="FO229" s="1009"/>
      <c r="FP229" s="1009"/>
      <c r="FQ229" s="1009"/>
      <c r="FR229" s="1009"/>
      <c r="FS229" s="1009"/>
      <c r="FT229" s="1009"/>
      <c r="FU229" s="1009"/>
      <c r="FV229" s="1009"/>
      <c r="FW229" s="1009"/>
      <c r="FX229" s="1009"/>
      <c r="FY229" s="1009"/>
      <c r="FZ229" s="1009"/>
      <c r="GA229" s="1009"/>
      <c r="GB229" s="1009"/>
      <c r="GC229" s="1009"/>
      <c r="GD229" s="1009"/>
      <c r="GE229" s="1009"/>
      <c r="GF229" s="1009"/>
      <c r="GG229" s="1009"/>
      <c r="GH229" s="1009"/>
      <c r="GI229" s="1009"/>
      <c r="GJ229" s="1009"/>
      <c r="GK229" s="1009"/>
      <c r="GL229" s="1009"/>
      <c r="GM229" s="1009"/>
      <c r="GN229" s="1009"/>
      <c r="GO229" s="1009"/>
      <c r="GP229" s="1009"/>
      <c r="GQ229" s="1009"/>
      <c r="GR229" s="1009"/>
      <c r="GS229" s="1009"/>
      <c r="GT229" s="1009"/>
      <c r="GU229" s="1009"/>
      <c r="GV229" s="1009"/>
      <c r="GW229" s="1009"/>
      <c r="GX229" s="1009"/>
      <c r="GY229" s="1009"/>
      <c r="GZ229" s="1009"/>
      <c r="HA229" s="1009"/>
      <c r="HB229" s="1009"/>
      <c r="HC229" s="1009"/>
      <c r="HD229" s="1009"/>
      <c r="HE229" s="1009"/>
      <c r="HF229" s="1009"/>
      <c r="HG229" s="1009"/>
      <c r="HH229" s="1009"/>
      <c r="HI229" s="1009"/>
      <c r="HJ229" s="1009"/>
      <c r="HK229" s="1009"/>
      <c r="HL229" s="1009"/>
      <c r="HM229" s="1009"/>
      <c r="HN229" s="1009"/>
      <c r="HO229" s="1009"/>
      <c r="HP229" s="1009"/>
      <c r="HQ229" s="1009"/>
      <c r="HR229" s="1009"/>
      <c r="HS229" s="1009"/>
      <c r="HT229" s="1009"/>
      <c r="HU229" s="1009"/>
      <c r="HV229" s="1009"/>
      <c r="HW229" s="1009"/>
      <c r="HX229" s="1009"/>
      <c r="HY229" s="1009"/>
      <c r="HZ229" s="1009"/>
      <c r="IA229" s="1009"/>
      <c r="IB229" s="1009"/>
      <c r="IC229" s="1009"/>
      <c r="ID229" s="1009"/>
      <c r="IE229" s="1009"/>
      <c r="IF229" s="1009"/>
      <c r="IG229" s="1009"/>
      <c r="IH229" s="1009"/>
      <c r="II229" s="1009"/>
      <c r="IJ229" s="1009"/>
      <c r="IK229" s="1009"/>
      <c r="IL229" s="1009"/>
      <c r="IM229" s="1009"/>
      <c r="IN229" s="1009"/>
      <c r="IO229" s="1009"/>
      <c r="IP229" s="1009"/>
      <c r="IQ229" s="1009"/>
      <c r="IR229" s="1009"/>
      <c r="IS229" s="1009"/>
      <c r="IT229" s="1009"/>
      <c r="IU229" s="1009"/>
      <c r="IV229" s="1009"/>
      <c r="IW229" s="1009"/>
      <c r="IX229" s="1009"/>
      <c r="IY229" s="1009"/>
      <c r="IZ229" s="1009"/>
      <c r="JA229" s="1009"/>
      <c r="JB229" s="1009"/>
      <c r="JC229" s="1009"/>
      <c r="JD229" s="1009"/>
      <c r="JE229" s="1009"/>
      <c r="JF229" s="1009"/>
      <c r="JG229" s="1009"/>
      <c r="JH229" s="1009"/>
      <c r="JI229" s="1009"/>
      <c r="JJ229" s="1009"/>
      <c r="JK229" s="1009"/>
      <c r="JL229" s="1009"/>
      <c r="JM229" s="1009"/>
      <c r="JN229" s="1009"/>
      <c r="JO229" s="1009"/>
      <c r="JP229" s="1009"/>
      <c r="JQ229" s="1009"/>
      <c r="JR229" s="1009"/>
      <c r="JS229" s="1009"/>
      <c r="JT229" s="1009"/>
      <c r="JU229" s="1009"/>
      <c r="JV229" s="1009"/>
      <c r="JW229" s="1009"/>
      <c r="JX229" s="1009"/>
      <c r="JY229" s="1009"/>
      <c r="JZ229" s="1009"/>
      <c r="KA229" s="1009"/>
      <c r="KB229" s="1009"/>
      <c r="KC229" s="1009"/>
      <c r="KD229" s="1009"/>
      <c r="KE229" s="1009"/>
      <c r="KF229" s="1009"/>
      <c r="KG229" s="1009"/>
      <c r="KH229" s="1009"/>
      <c r="KI229" s="1009"/>
      <c r="KJ229" s="1009"/>
      <c r="KK229" s="1009"/>
      <c r="KL229" s="1009"/>
      <c r="KM229" s="1009"/>
      <c r="KN229" s="1009"/>
      <c r="KO229" s="1009"/>
      <c r="KP229" s="1009"/>
      <c r="KQ229" s="1009"/>
      <c r="KR229" s="1009"/>
      <c r="KS229" s="1009"/>
      <c r="KT229" s="1009"/>
      <c r="KU229" s="1009"/>
      <c r="KV229" s="1009"/>
      <c r="KW229" s="1009"/>
      <c r="KX229" s="1009"/>
      <c r="KY229" s="1009"/>
      <c r="KZ229" s="1009"/>
      <c r="LA229" s="1009"/>
      <c r="LB229" s="1009"/>
      <c r="LC229" s="1009"/>
      <c r="LD229" s="1009"/>
      <c r="LE229" s="1009"/>
      <c r="LF229" s="1009"/>
      <c r="LG229" s="1009"/>
      <c r="LH229" s="1009"/>
      <c r="LI229" s="1009"/>
      <c r="LJ229" s="1009"/>
      <c r="LK229" s="1009"/>
      <c r="LL229" s="1009"/>
      <c r="LM229" s="1009"/>
      <c r="LN229" s="1009"/>
      <c r="LO229" s="1009"/>
      <c r="LP229" s="1009"/>
      <c r="LQ229" s="1009"/>
      <c r="LR229" s="1009"/>
      <c r="LS229" s="1009"/>
      <c r="LT229" s="1009"/>
      <c r="LU229" s="1009"/>
      <c r="LV229" s="1009"/>
      <c r="LW229" s="1009"/>
      <c r="LX229" s="1009"/>
      <c r="LY229" s="1009"/>
      <c r="LZ229" s="1009"/>
      <c r="MA229" s="1009"/>
      <c r="MB229" s="1009"/>
      <c r="MC229" s="1009"/>
      <c r="MD229" s="1009"/>
      <c r="ME229" s="1009"/>
      <c r="MF229" s="1009"/>
      <c r="MG229" s="1009"/>
      <c r="MH229" s="1009"/>
      <c r="MI229" s="1009"/>
      <c r="MJ229" s="1009"/>
      <c r="MK229" s="1009"/>
      <c r="ML229" s="1009"/>
      <c r="MM229" s="1009"/>
      <c r="MN229" s="1009"/>
      <c r="MO229" s="1009"/>
      <c r="MP229" s="1009"/>
      <c r="MQ229" s="1009"/>
      <c r="MR229" s="1009"/>
      <c r="MS229" s="1009"/>
      <c r="MT229" s="1009"/>
      <c r="MU229" s="1009"/>
      <c r="MV229" s="1009"/>
      <c r="MW229" s="1009"/>
      <c r="MX229" s="1009"/>
      <c r="MY229" s="1009"/>
      <c r="MZ229" s="1009"/>
      <c r="NA229" s="1009"/>
      <c r="NB229" s="1009"/>
      <c r="NC229" s="1009"/>
      <c r="ND229" s="1009"/>
      <c r="NE229" s="1009"/>
      <c r="NF229" s="1009"/>
      <c r="NG229" s="1009"/>
      <c r="NH229" s="1009"/>
      <c r="NI229" s="1009"/>
      <c r="NJ229" s="1009"/>
      <c r="NK229" s="1009"/>
      <c r="NL229" s="1009"/>
      <c r="NM229" s="1009"/>
      <c r="NN229" s="1009"/>
      <c r="NO229" s="1009"/>
      <c r="NP229" s="1009"/>
      <c r="NQ229" s="1009"/>
      <c r="NR229" s="1009"/>
      <c r="NS229" s="1009"/>
      <c r="NT229" s="1009"/>
      <c r="NU229" s="1009"/>
      <c r="NV229" s="1009"/>
      <c r="NW229" s="1009"/>
      <c r="NX229" s="1009"/>
      <c r="NY229" s="1009"/>
      <c r="NZ229" s="1009"/>
      <c r="OA229" s="1009"/>
      <c r="OB229" s="1009"/>
      <c r="OC229" s="1009"/>
      <c r="OD229" s="1009"/>
      <c r="OE229" s="1009"/>
      <c r="OF229" s="1009"/>
      <c r="OG229" s="1009"/>
      <c r="OH229" s="1009"/>
      <c r="OI229" s="1009"/>
      <c r="OJ229" s="1009"/>
      <c r="OK229" s="1009"/>
      <c r="OL229" s="1009"/>
      <c r="OM229" s="1009"/>
      <c r="ON229" s="1009"/>
      <c r="OO229" s="1009"/>
      <c r="OP229" s="1009"/>
      <c r="OQ229" s="1009"/>
      <c r="OR229" s="1009"/>
      <c r="OS229" s="1009"/>
      <c r="OT229" s="1009"/>
      <c r="OU229" s="1009"/>
      <c r="OV229" s="1009"/>
      <c r="OW229" s="1009"/>
      <c r="OX229" s="1009"/>
      <c r="OY229" s="1009"/>
      <c r="OZ229" s="1009"/>
      <c r="PA229" s="1009"/>
      <c r="PB229" s="1009"/>
      <c r="PC229" s="1009"/>
      <c r="PD229" s="1009"/>
      <c r="PE229" s="1009"/>
      <c r="PF229" s="1009"/>
      <c r="PG229" s="1009"/>
      <c r="PH229" s="1009"/>
      <c r="PI229" s="1009"/>
      <c r="PJ229" s="1009"/>
      <c r="PK229" s="1009"/>
      <c r="PL229" s="1009"/>
      <c r="PM229" s="1009"/>
      <c r="PN229" s="1009"/>
      <c r="PO229" s="1009"/>
      <c r="PP229" s="1009"/>
      <c r="PQ229" s="1009"/>
      <c r="PR229" s="1009"/>
      <c r="PS229" s="1009"/>
      <c r="PT229" s="1009"/>
      <c r="PU229" s="1009"/>
      <c r="PV229" s="1009"/>
      <c r="PW229" s="1009"/>
      <c r="PX229" s="1009"/>
      <c r="PY229" s="1009"/>
      <c r="PZ229" s="1009"/>
      <c r="QA229" s="1009"/>
      <c r="QB229" s="1009"/>
      <c r="QC229" s="1009"/>
      <c r="QD229" s="1009"/>
      <c r="QE229" s="1009"/>
      <c r="QF229" s="1009"/>
      <c r="QG229" s="1009"/>
      <c r="QH229" s="1009"/>
      <c r="QI229" s="1009"/>
      <c r="QJ229" s="1009"/>
      <c r="QK229" s="1009"/>
      <c r="QL229" s="1009"/>
      <c r="QM229" s="1009"/>
      <c r="QN229" s="1009"/>
      <c r="QO229" s="1009"/>
      <c r="QP229" s="1009"/>
      <c r="QQ229" s="1009"/>
      <c r="QR229" s="1009"/>
      <c r="QS229" s="1009"/>
      <c r="QT229" s="1009"/>
      <c r="QU229" s="1009"/>
      <c r="QV229" s="1009"/>
      <c r="QW229" s="1009"/>
      <c r="QX229" s="1009"/>
      <c r="QY229" s="1009"/>
      <c r="QZ229" s="1009"/>
      <c r="RA229" s="1009"/>
      <c r="RB229" s="1009"/>
      <c r="RC229" s="1009"/>
      <c r="RD229" s="1009"/>
      <c r="RE229" s="1009"/>
      <c r="RF229" s="1009"/>
      <c r="RG229" s="1009"/>
      <c r="RH229" s="1009"/>
      <c r="RI229" s="1009"/>
      <c r="RJ229" s="1009"/>
      <c r="RK229" s="1009"/>
      <c r="RL229" s="1009"/>
      <c r="RM229" s="1009"/>
      <c r="RN229" s="1009"/>
      <c r="RO229" s="1009"/>
      <c r="RP229" s="1009"/>
      <c r="RQ229" s="1009"/>
      <c r="RR229" s="1009"/>
      <c r="RS229" s="1009"/>
      <c r="RT229" s="1009"/>
      <c r="RU229" s="1009"/>
      <c r="RV229" s="1009"/>
      <c r="RW229" s="1009"/>
      <c r="RX229" s="1009"/>
      <c r="RY229" s="1009"/>
      <c r="RZ229" s="1009"/>
      <c r="SA229" s="1009"/>
      <c r="SB229" s="1009"/>
      <c r="SC229" s="1009"/>
      <c r="SD229" s="1009"/>
      <c r="SE229" s="1009"/>
      <c r="SF229" s="1009"/>
      <c r="SG229" s="1009"/>
      <c r="SH229" s="1009"/>
      <c r="SI229" s="1009"/>
      <c r="SJ229" s="1009"/>
      <c r="SK229" s="1009"/>
      <c r="SL229" s="1009"/>
      <c r="SM229" s="1009"/>
      <c r="SN229" s="1009"/>
      <c r="SO229" s="1009"/>
      <c r="SP229" s="1009"/>
      <c r="SQ229" s="1009"/>
      <c r="SR229" s="1009"/>
      <c r="SS229" s="1009"/>
      <c r="ST229" s="1009"/>
      <c r="SU229" s="1009"/>
      <c r="SV229" s="1009"/>
      <c r="SW229" s="1009"/>
      <c r="SX229" s="1009"/>
      <c r="SY229" s="1009"/>
      <c r="SZ229" s="1009"/>
      <c r="TA229" s="1009"/>
      <c r="TB229" s="1009"/>
      <c r="TC229" s="1009"/>
      <c r="TD229" s="1009"/>
      <c r="TE229" s="1009"/>
      <c r="TF229" s="1009"/>
      <c r="TG229" s="1009"/>
      <c r="TH229" s="1009"/>
      <c r="TI229" s="1009"/>
      <c r="TJ229" s="1009"/>
      <c r="TK229" s="1009"/>
      <c r="TL229" s="1009"/>
      <c r="TM229" s="1009"/>
      <c r="TN229" s="1009"/>
      <c r="TO229" s="1009"/>
      <c r="TP229" s="1009"/>
      <c r="TQ229" s="1009"/>
      <c r="TR229" s="1009"/>
      <c r="TS229" s="1009"/>
      <c r="TT229" s="1009"/>
      <c r="TU229" s="1009"/>
      <c r="TV229" s="1009"/>
      <c r="TW229" s="1009"/>
      <c r="TX229" s="1009"/>
      <c r="TY229" s="1009"/>
      <c r="TZ229" s="1009"/>
      <c r="UA229" s="1009"/>
      <c r="UB229" s="1009"/>
      <c r="UC229" s="1009"/>
      <c r="UD229" s="1009"/>
      <c r="UE229" s="1009"/>
      <c r="UF229" s="1009"/>
      <c r="UG229" s="1009"/>
      <c r="UH229" s="1009"/>
      <c r="UI229" s="1009"/>
      <c r="UJ229" s="1009"/>
      <c r="UK229" s="1009"/>
      <c r="UL229" s="1009"/>
      <c r="UM229" s="1009"/>
      <c r="UN229" s="1009"/>
      <c r="UO229" s="1009"/>
      <c r="UP229" s="1009"/>
      <c r="UQ229" s="1009"/>
      <c r="UR229" s="1009"/>
      <c r="US229" s="1009"/>
      <c r="UT229" s="1009"/>
      <c r="UU229" s="1009"/>
      <c r="UV229" s="1009"/>
      <c r="UW229" s="1009"/>
      <c r="UX229" s="1009"/>
      <c r="UY229" s="1009"/>
      <c r="UZ229" s="1009"/>
      <c r="VA229" s="1009"/>
      <c r="VB229" s="1009"/>
      <c r="VC229" s="1009"/>
      <c r="VD229" s="1009"/>
      <c r="VE229" s="1009"/>
      <c r="VF229" s="1009"/>
      <c r="VG229" s="1009"/>
      <c r="VH229" s="1009"/>
      <c r="VI229" s="1009"/>
      <c r="VJ229" s="1009"/>
      <c r="VK229" s="1009"/>
      <c r="VL229" s="1009"/>
      <c r="VM229" s="1009"/>
      <c r="VN229" s="1009"/>
      <c r="VO229" s="1009"/>
      <c r="VP229" s="1009"/>
      <c r="VQ229" s="1009"/>
      <c r="VR229" s="1009"/>
      <c r="VS229" s="1009"/>
      <c r="VT229" s="1009"/>
      <c r="VU229" s="1009"/>
      <c r="VV229" s="1009"/>
      <c r="VW229" s="1009"/>
      <c r="VX229" s="1009"/>
      <c r="VY229" s="1009"/>
      <c r="VZ229" s="1009"/>
      <c r="WA229" s="1009"/>
      <c r="WB229" s="1009"/>
      <c r="WC229" s="1009"/>
      <c r="WD229" s="1009"/>
      <c r="WE229" s="1009"/>
      <c r="WF229" s="1009"/>
      <c r="WG229" s="1009"/>
      <c r="WH229" s="1009"/>
      <c r="WI229" s="1009"/>
      <c r="WJ229" s="1009"/>
      <c r="WK229" s="1009"/>
      <c r="WL229" s="1009"/>
      <c r="WM229" s="1009"/>
      <c r="WN229" s="1009"/>
      <c r="WO229" s="1009"/>
      <c r="WP229" s="1009"/>
      <c r="WQ229" s="1009"/>
      <c r="WR229" s="1009"/>
      <c r="WS229" s="1009"/>
      <c r="WT229" s="1009"/>
      <c r="WU229" s="1009"/>
      <c r="WV229" s="1009"/>
      <c r="WW229" s="1009"/>
      <c r="WX229" s="1009"/>
      <c r="WY229" s="1009"/>
      <c r="WZ229" s="1009"/>
      <c r="XA229" s="1009"/>
      <c r="XB229" s="1009"/>
      <c r="XC229" s="1009"/>
      <c r="XD229" s="1009"/>
      <c r="XE229" s="1009"/>
      <c r="XF229" s="1009"/>
      <c r="XG229" s="1009"/>
      <c r="XH229" s="1009"/>
      <c r="XI229" s="1009"/>
      <c r="XJ229" s="1009"/>
      <c r="XK229" s="1009"/>
      <c r="XL229" s="1009"/>
      <c r="XM229" s="1009"/>
      <c r="XN229" s="1009"/>
      <c r="XO229" s="1009"/>
      <c r="XP229" s="1009"/>
      <c r="XQ229" s="1009"/>
      <c r="XR229" s="1009"/>
      <c r="XS229" s="1009"/>
      <c r="XT229" s="1009"/>
      <c r="XU229" s="1009"/>
      <c r="XV229" s="1009"/>
      <c r="XW229" s="1009"/>
      <c r="XX229" s="1009"/>
      <c r="XY229" s="1009"/>
      <c r="XZ229" s="1009"/>
      <c r="YA229" s="1009"/>
      <c r="YB229" s="1009"/>
      <c r="YC229" s="1009"/>
      <c r="YD229" s="1009"/>
      <c r="YE229" s="1009"/>
      <c r="YF229" s="1009"/>
      <c r="YG229" s="1009"/>
      <c r="YH229" s="1009"/>
      <c r="YI229" s="1009"/>
      <c r="YJ229" s="1009"/>
      <c r="YK229" s="1009"/>
      <c r="YL229" s="1009"/>
      <c r="YM229" s="1009"/>
      <c r="YN229" s="1009"/>
      <c r="YO229" s="1009"/>
      <c r="YP229" s="1009"/>
      <c r="YQ229" s="1009"/>
      <c r="YR229" s="1009"/>
      <c r="YS229" s="1009"/>
      <c r="YT229" s="1009"/>
      <c r="YU229" s="1009"/>
      <c r="YV229" s="1009"/>
      <c r="YW229" s="1009"/>
      <c r="YX229" s="1009"/>
      <c r="YY229" s="1009"/>
      <c r="YZ229" s="1009"/>
      <c r="ZA229" s="1009"/>
      <c r="ZB229" s="1009"/>
      <c r="ZC229" s="1009"/>
      <c r="ZD229" s="1009"/>
      <c r="ZE229" s="1009"/>
      <c r="ZF229" s="1009"/>
      <c r="ZG229" s="1009"/>
      <c r="ZH229" s="1009"/>
      <c r="ZI229" s="1009"/>
      <c r="ZJ229" s="1009"/>
      <c r="ZK229" s="1009"/>
      <c r="ZL229" s="1009"/>
      <c r="ZM229" s="1009"/>
      <c r="ZN229" s="1009"/>
      <c r="ZO229" s="1009"/>
      <c r="ZP229" s="1009"/>
      <c r="ZQ229" s="1009"/>
      <c r="ZR229" s="1009"/>
      <c r="ZS229" s="1009"/>
      <c r="ZT229" s="1009"/>
      <c r="ZU229" s="1009"/>
      <c r="ZV229" s="1009"/>
      <c r="ZW229" s="1009"/>
      <c r="ZX229" s="1009"/>
      <c r="ZY229" s="1009"/>
      <c r="ZZ229" s="1009"/>
      <c r="AAA229" s="1009"/>
      <c r="AAB229" s="1009"/>
      <c r="AAC229" s="1009"/>
      <c r="AAD229" s="1009"/>
      <c r="AAE229" s="1009"/>
      <c r="AAF229" s="1009"/>
      <c r="AAG229" s="1009"/>
      <c r="AAH229" s="1009"/>
      <c r="AAI229" s="1009"/>
      <c r="AAJ229" s="1009"/>
      <c r="AAK229" s="1009"/>
      <c r="AAL229" s="1009"/>
      <c r="AAM229" s="1009"/>
      <c r="AAN229" s="1009"/>
      <c r="AAO229" s="1009"/>
      <c r="AAP229" s="1009"/>
      <c r="AAQ229" s="1009"/>
      <c r="AAR229" s="1009"/>
      <c r="AAS229" s="1009"/>
      <c r="AAT229" s="1009"/>
      <c r="AAU229" s="1009"/>
      <c r="AAV229" s="1009"/>
      <c r="AAW229" s="1009"/>
      <c r="AAX229" s="1009"/>
      <c r="AAY229" s="1009"/>
      <c r="AAZ229" s="1009"/>
      <c r="ABA229" s="1009"/>
      <c r="ABB229" s="1009"/>
      <c r="ABC229" s="1009"/>
      <c r="ABD229" s="1009"/>
      <c r="ABE229" s="1009"/>
      <c r="ABF229" s="1009"/>
      <c r="ABG229" s="1009"/>
      <c r="ABH229" s="1009"/>
      <c r="ABI229" s="1009"/>
      <c r="ABJ229" s="1009"/>
      <c r="ABK229" s="1009"/>
      <c r="ABL229" s="1009"/>
      <c r="ABM229" s="1009"/>
      <c r="ABN229" s="1009"/>
      <c r="ABO229" s="1009"/>
      <c r="ABP229" s="1009"/>
      <c r="ABQ229" s="1009"/>
      <c r="ABR229" s="1009"/>
    </row>
    <row r="230" spans="1:746" s="111" customFormat="1" ht="12" customHeight="1">
      <c r="A230" s="1758"/>
      <c r="B230" s="1760"/>
      <c r="C230" s="1315"/>
      <c r="D230" s="1315"/>
      <c r="E230" s="1273"/>
      <c r="F230" s="1651"/>
      <c r="G230" s="1273"/>
      <c r="H230" s="1844"/>
      <c r="I230" s="2570" t="str">
        <f>IF(fx!I$57=0,"&gt;&gt;",IF($L$4=I$6,"","Välj 1-12 i P4"))</f>
        <v/>
      </c>
      <c r="J230" s="1843" t="str">
        <f>IF(fx!J$57=0,"&gt;&gt;",IF($L$4=J$6,"Startmånad",""))</f>
        <v/>
      </c>
      <c r="K230" s="1843" t="str">
        <f>IF(fx!K$57=0,"&gt;&gt;",IF($L$4=K$6,"Startmånad",""))</f>
        <v/>
      </c>
      <c r="L230" s="1843" t="str">
        <f>IF(fx!L$57=0,"&gt;&gt;",IF($L$4=L$6,"Startmånad",""))</f>
        <v/>
      </c>
      <c r="M230" s="1843" t="str">
        <f>IF(fx!M$57=0,"&gt;&gt;",IF($L$4=M$6,"Startmånad",""))</f>
        <v/>
      </c>
      <c r="N230" s="1843" t="str">
        <f>IF(fx!N$57=0,"&gt;&gt;",IF($L$4=N$6,"Startmånad",""))</f>
        <v/>
      </c>
      <c r="O230" s="1843" t="str">
        <f>IF(AND(fx!$C$57=1,fx!O$57=0),"&gt;&gt;",IF(AND(fx!$C$57=1,$L$4=$O$6),"Startmånad",IF(AND(fx!$C$57=2,$L$4&lt;7),"Välj 7-12 i P4",IF(AND(fx!$C$57=2,$L$4=$O$6),"Startmånad",IF(AND(fx!$C$57=2,$L$4&gt;$O$6),"&gt;&gt;","")))))</f>
        <v/>
      </c>
      <c r="P230" s="1843" t="str">
        <f>IF(fx!P$57=0,"&gt;&gt;",IF($L$4=P$6,"Startmånad",""))</f>
        <v/>
      </c>
      <c r="Q230" s="1843" t="str">
        <f>IF(fx!Q$57=0,"&gt;&gt;",IF($L$4=Q$6,"Startmånad",""))</f>
        <v/>
      </c>
      <c r="R230" s="1843" t="str">
        <f>IF(fx!R$57=0,"&gt;&gt;",IF($L$4=R$6,"Startmånad",""))</f>
        <v/>
      </c>
      <c r="S230" s="1843" t="str">
        <f>IF(fx!S$57=0,"&gt;&gt;",IF($L$4=S$6,"Startmånad",""))</f>
        <v/>
      </c>
      <c r="T230" s="2717" t="str">
        <f>IF(fx!T$57=0,"&gt;&gt;",IF($L$4=T$6,"Startmånad",""))</f>
        <v/>
      </c>
      <c r="U230" s="2718"/>
      <c r="V230" s="376"/>
      <c r="W230" s="376"/>
      <c r="X230" s="376"/>
      <c r="Y230" s="376"/>
      <c r="Z230" s="376"/>
      <c r="AA230" s="376"/>
      <c r="AB230" s="376"/>
      <c r="AC230" s="376"/>
      <c r="AD230" s="376"/>
      <c r="AE230" s="376"/>
      <c r="AF230" s="1805"/>
      <c r="AG230" s="376"/>
      <c r="AH230" s="336"/>
      <c r="AI230" s="336"/>
      <c r="AJ230" s="1044"/>
      <c r="AK230" s="1048"/>
      <c r="AL230" s="1046"/>
      <c r="AM230" s="1009"/>
      <c r="AN230" s="1026"/>
      <c r="AO230" s="1945"/>
      <c r="AP230" s="1935"/>
      <c r="AQ230" s="1936"/>
      <c r="AR230" s="1941"/>
      <c r="AS230" s="1941"/>
      <c r="AT230" s="1941"/>
      <c r="AU230" s="1941"/>
      <c r="AV230" s="1941"/>
      <c r="AW230" s="1941"/>
      <c r="AX230" s="1941"/>
      <c r="AY230" s="1941"/>
      <c r="AZ230" s="1941"/>
      <c r="BA230" s="1941"/>
      <c r="BB230" s="1941"/>
      <c r="BC230" s="1941"/>
      <c r="BD230" s="1941"/>
      <c r="BE230" s="1941"/>
      <c r="BF230" s="1941"/>
      <c r="BG230" s="1941"/>
      <c r="BH230" s="1941"/>
      <c r="BI230" s="1941"/>
      <c r="BJ230" s="1941"/>
      <c r="BK230" s="1941"/>
      <c r="BL230" s="1941"/>
      <c r="BM230" s="1941"/>
      <c r="BN230" s="1941"/>
      <c r="BO230" s="1941"/>
      <c r="BP230" s="1009"/>
      <c r="BQ230" s="1009"/>
      <c r="BR230" s="1009"/>
      <c r="BS230" s="1009"/>
      <c r="BT230" s="1009"/>
      <c r="BU230" s="1009"/>
      <c r="BV230" s="1009"/>
      <c r="BW230" s="1009"/>
      <c r="BX230" s="1009"/>
      <c r="BY230" s="1009"/>
      <c r="BZ230" s="1009"/>
      <c r="CA230" s="1009"/>
      <c r="CB230" s="1009"/>
      <c r="CC230" s="1009"/>
      <c r="CD230" s="1009"/>
      <c r="CE230" s="1009"/>
      <c r="CF230" s="1009"/>
      <c r="CG230" s="1009"/>
      <c r="CH230" s="1009"/>
      <c r="CI230" s="1009"/>
      <c r="CJ230" s="1009"/>
      <c r="CK230" s="1009"/>
      <c r="CL230" s="1009"/>
      <c r="CM230" s="1009"/>
      <c r="CN230" s="1009"/>
      <c r="CO230" s="1009"/>
      <c r="CP230" s="1009"/>
      <c r="CQ230" s="1009"/>
      <c r="CR230" s="1009"/>
      <c r="CS230" s="1009"/>
      <c r="CT230" s="1009"/>
      <c r="CU230" s="1009"/>
      <c r="CV230" s="1009"/>
      <c r="CW230" s="1009"/>
      <c r="CX230" s="1009"/>
      <c r="CY230" s="1009"/>
      <c r="CZ230" s="1009"/>
      <c r="DA230" s="1009"/>
      <c r="DB230" s="1009"/>
      <c r="DC230" s="1009"/>
      <c r="DD230" s="1009"/>
      <c r="DE230" s="1009"/>
      <c r="DF230" s="1009"/>
      <c r="DG230" s="1009"/>
      <c r="DH230" s="1009"/>
      <c r="DI230" s="1009"/>
      <c r="DJ230" s="1009"/>
      <c r="DK230" s="1009"/>
      <c r="DL230" s="1009"/>
      <c r="DM230" s="1009"/>
      <c r="DN230" s="1009"/>
      <c r="DO230" s="1009"/>
      <c r="DP230" s="1009"/>
      <c r="DQ230" s="1009"/>
      <c r="DR230" s="1009"/>
      <c r="DS230" s="1009"/>
      <c r="DT230" s="1009"/>
      <c r="DU230" s="1009"/>
      <c r="DV230" s="1009"/>
      <c r="DW230" s="1009"/>
      <c r="DX230" s="1009"/>
      <c r="DY230" s="1009"/>
      <c r="DZ230" s="1009"/>
      <c r="EA230" s="1009"/>
      <c r="EB230" s="1009"/>
      <c r="EC230" s="1009"/>
      <c r="ED230" s="1009"/>
      <c r="EE230" s="1009"/>
      <c r="EF230" s="1009"/>
      <c r="EG230" s="1009"/>
      <c r="EH230" s="1009"/>
      <c r="EI230" s="1009"/>
      <c r="EJ230" s="1009"/>
      <c r="EK230" s="1009"/>
      <c r="EL230" s="1009"/>
      <c r="EM230" s="1009"/>
      <c r="EN230" s="1009"/>
      <c r="EO230" s="1009"/>
      <c r="EP230" s="1009"/>
      <c r="EQ230" s="1009"/>
      <c r="ER230" s="1009"/>
      <c r="ES230" s="1009"/>
      <c r="ET230" s="1009"/>
      <c r="EU230" s="1009"/>
      <c r="EV230" s="1009"/>
      <c r="EW230" s="1009"/>
      <c r="EX230" s="1009"/>
      <c r="EY230" s="1009"/>
      <c r="EZ230" s="1009"/>
      <c r="FA230" s="1009"/>
      <c r="FB230" s="1009"/>
      <c r="FC230" s="1009"/>
      <c r="FD230" s="1009"/>
      <c r="FE230" s="1009"/>
      <c r="FF230" s="1009"/>
      <c r="FG230" s="1009"/>
      <c r="FH230" s="1009"/>
      <c r="FI230" s="1009"/>
      <c r="FJ230" s="1009"/>
      <c r="FK230" s="1009"/>
      <c r="FL230" s="1009"/>
      <c r="FM230" s="1009"/>
      <c r="FN230" s="1009"/>
      <c r="FO230" s="1009"/>
      <c r="FP230" s="1009"/>
      <c r="FQ230" s="1009"/>
      <c r="FR230" s="1009"/>
      <c r="FS230" s="1009"/>
      <c r="FT230" s="1009"/>
      <c r="FU230" s="1009"/>
      <c r="FV230" s="1009"/>
      <c r="FW230" s="1009"/>
      <c r="FX230" s="1009"/>
      <c r="FY230" s="1009"/>
      <c r="FZ230" s="1009"/>
      <c r="GA230" s="1009"/>
      <c r="GB230" s="1009"/>
      <c r="GC230" s="1009"/>
      <c r="GD230" s="1009"/>
      <c r="GE230" s="1009"/>
      <c r="GF230" s="1009"/>
      <c r="GG230" s="1009"/>
      <c r="GH230" s="1009"/>
      <c r="GI230" s="1009"/>
      <c r="GJ230" s="1009"/>
      <c r="GK230" s="1009"/>
      <c r="GL230" s="1009"/>
      <c r="GM230" s="1009"/>
      <c r="GN230" s="1009"/>
      <c r="GO230" s="1009"/>
      <c r="GP230" s="1009"/>
      <c r="GQ230" s="1009"/>
      <c r="GR230" s="1009"/>
      <c r="GS230" s="1009"/>
      <c r="GT230" s="1009"/>
      <c r="GU230" s="1009"/>
      <c r="GV230" s="1009"/>
      <c r="GW230" s="1009"/>
      <c r="GX230" s="1009"/>
      <c r="GY230" s="1009"/>
      <c r="GZ230" s="1009"/>
      <c r="HA230" s="1009"/>
      <c r="HB230" s="1009"/>
      <c r="HC230" s="1009"/>
      <c r="HD230" s="1009"/>
      <c r="HE230" s="1009"/>
      <c r="HF230" s="1009"/>
      <c r="HG230" s="1009"/>
      <c r="HH230" s="1009"/>
      <c r="HI230" s="1009"/>
      <c r="HJ230" s="1009"/>
      <c r="HK230" s="1009"/>
      <c r="HL230" s="1009"/>
      <c r="HM230" s="1009"/>
      <c r="HN230" s="1009"/>
      <c r="HO230" s="1009"/>
      <c r="HP230" s="1009"/>
      <c r="HQ230" s="1009"/>
      <c r="HR230" s="1009"/>
      <c r="HS230" s="1009"/>
      <c r="HT230" s="1009"/>
      <c r="HU230" s="1009"/>
      <c r="HV230" s="1009"/>
      <c r="HW230" s="1009"/>
      <c r="HX230" s="1009"/>
      <c r="HY230" s="1009"/>
      <c r="HZ230" s="1009"/>
      <c r="IA230" s="1009"/>
      <c r="IB230" s="1009"/>
      <c r="IC230" s="1009"/>
      <c r="ID230" s="1009"/>
      <c r="IE230" s="1009"/>
      <c r="IF230" s="1009"/>
      <c r="IG230" s="1009"/>
      <c r="IH230" s="1009"/>
      <c r="II230" s="1009"/>
      <c r="IJ230" s="1009"/>
      <c r="IK230" s="1009"/>
      <c r="IL230" s="1009"/>
      <c r="IM230" s="1009"/>
      <c r="IN230" s="1009"/>
      <c r="IO230" s="1009"/>
      <c r="IP230" s="1009"/>
      <c r="IQ230" s="1009"/>
      <c r="IR230" s="1009"/>
      <c r="IS230" s="1009"/>
      <c r="IT230" s="1009"/>
      <c r="IU230" s="1009"/>
      <c r="IV230" s="1009"/>
      <c r="IW230" s="1009"/>
      <c r="IX230" s="1009"/>
      <c r="IY230" s="1009"/>
      <c r="IZ230" s="1009"/>
      <c r="JA230" s="1009"/>
      <c r="JB230" s="1009"/>
      <c r="JC230" s="1009"/>
      <c r="JD230" s="1009"/>
      <c r="JE230" s="1009"/>
      <c r="JF230" s="1009"/>
      <c r="JG230" s="1009"/>
      <c r="JH230" s="1009"/>
      <c r="JI230" s="1009"/>
      <c r="JJ230" s="1009"/>
      <c r="JK230" s="1009"/>
      <c r="JL230" s="1009"/>
      <c r="JM230" s="1009"/>
      <c r="JN230" s="1009"/>
      <c r="JO230" s="1009"/>
      <c r="JP230" s="1009"/>
      <c r="JQ230" s="1009"/>
      <c r="JR230" s="1009"/>
      <c r="JS230" s="1009"/>
      <c r="JT230" s="1009"/>
      <c r="JU230" s="1009"/>
      <c r="JV230" s="1009"/>
      <c r="JW230" s="1009"/>
      <c r="JX230" s="1009"/>
      <c r="JY230" s="1009"/>
      <c r="JZ230" s="1009"/>
      <c r="KA230" s="1009"/>
      <c r="KB230" s="1009"/>
      <c r="KC230" s="1009"/>
      <c r="KD230" s="1009"/>
      <c r="KE230" s="1009"/>
      <c r="KF230" s="1009"/>
      <c r="KG230" s="1009"/>
      <c r="KH230" s="1009"/>
      <c r="KI230" s="1009"/>
      <c r="KJ230" s="1009"/>
      <c r="KK230" s="1009"/>
      <c r="KL230" s="1009"/>
      <c r="KM230" s="1009"/>
      <c r="KN230" s="1009"/>
      <c r="KO230" s="1009"/>
      <c r="KP230" s="1009"/>
      <c r="KQ230" s="1009"/>
      <c r="KR230" s="1009"/>
      <c r="KS230" s="1009"/>
      <c r="KT230" s="1009"/>
      <c r="KU230" s="1009"/>
      <c r="KV230" s="1009"/>
      <c r="KW230" s="1009"/>
      <c r="KX230" s="1009"/>
      <c r="KY230" s="1009"/>
      <c r="KZ230" s="1009"/>
      <c r="LA230" s="1009"/>
      <c r="LB230" s="1009"/>
      <c r="LC230" s="1009"/>
      <c r="LD230" s="1009"/>
      <c r="LE230" s="1009"/>
      <c r="LF230" s="1009"/>
      <c r="LG230" s="1009"/>
      <c r="LH230" s="1009"/>
      <c r="LI230" s="1009"/>
      <c r="LJ230" s="1009"/>
      <c r="LK230" s="1009"/>
      <c r="LL230" s="1009"/>
      <c r="LM230" s="1009"/>
      <c r="LN230" s="1009"/>
      <c r="LO230" s="1009"/>
      <c r="LP230" s="1009"/>
      <c r="LQ230" s="1009"/>
      <c r="LR230" s="1009"/>
      <c r="LS230" s="1009"/>
      <c r="LT230" s="1009"/>
      <c r="LU230" s="1009"/>
      <c r="LV230" s="1009"/>
      <c r="LW230" s="1009"/>
      <c r="LX230" s="1009"/>
      <c r="LY230" s="1009"/>
      <c r="LZ230" s="1009"/>
      <c r="MA230" s="1009"/>
      <c r="MB230" s="1009"/>
      <c r="MC230" s="1009"/>
      <c r="MD230" s="1009"/>
      <c r="ME230" s="1009"/>
      <c r="MF230" s="1009"/>
      <c r="MG230" s="1009"/>
      <c r="MH230" s="1009"/>
      <c r="MI230" s="1009"/>
      <c r="MJ230" s="1009"/>
      <c r="MK230" s="1009"/>
      <c r="ML230" s="1009"/>
      <c r="MM230" s="1009"/>
      <c r="MN230" s="1009"/>
      <c r="MO230" s="1009"/>
      <c r="MP230" s="1009"/>
      <c r="MQ230" s="1009"/>
      <c r="MR230" s="1009"/>
      <c r="MS230" s="1009"/>
      <c r="MT230" s="1009"/>
      <c r="MU230" s="1009"/>
      <c r="MV230" s="1009"/>
      <c r="MW230" s="1009"/>
      <c r="MX230" s="1009"/>
      <c r="MY230" s="1009"/>
      <c r="MZ230" s="1009"/>
      <c r="NA230" s="1009"/>
      <c r="NB230" s="1009"/>
      <c r="NC230" s="1009"/>
      <c r="ND230" s="1009"/>
      <c r="NE230" s="1009"/>
      <c r="NF230" s="1009"/>
      <c r="NG230" s="1009"/>
      <c r="NH230" s="1009"/>
      <c r="NI230" s="1009"/>
      <c r="NJ230" s="1009"/>
      <c r="NK230" s="1009"/>
      <c r="NL230" s="1009"/>
      <c r="NM230" s="1009"/>
      <c r="NN230" s="1009"/>
      <c r="NO230" s="1009"/>
      <c r="NP230" s="1009"/>
      <c r="NQ230" s="1009"/>
      <c r="NR230" s="1009"/>
      <c r="NS230" s="1009"/>
      <c r="NT230" s="1009"/>
      <c r="NU230" s="1009"/>
      <c r="NV230" s="1009"/>
      <c r="NW230" s="1009"/>
      <c r="NX230" s="1009"/>
      <c r="NY230" s="1009"/>
      <c r="NZ230" s="1009"/>
      <c r="OA230" s="1009"/>
      <c r="OB230" s="1009"/>
      <c r="OC230" s="1009"/>
      <c r="OD230" s="1009"/>
      <c r="OE230" s="1009"/>
      <c r="OF230" s="1009"/>
      <c r="OG230" s="1009"/>
      <c r="OH230" s="1009"/>
      <c r="OI230" s="1009"/>
      <c r="OJ230" s="1009"/>
      <c r="OK230" s="1009"/>
      <c r="OL230" s="1009"/>
      <c r="OM230" s="1009"/>
      <c r="ON230" s="1009"/>
      <c r="OO230" s="1009"/>
      <c r="OP230" s="1009"/>
      <c r="OQ230" s="1009"/>
      <c r="OR230" s="1009"/>
      <c r="OS230" s="1009"/>
      <c r="OT230" s="1009"/>
      <c r="OU230" s="1009"/>
      <c r="OV230" s="1009"/>
      <c r="OW230" s="1009"/>
      <c r="OX230" s="1009"/>
      <c r="OY230" s="1009"/>
      <c r="OZ230" s="1009"/>
      <c r="PA230" s="1009"/>
      <c r="PB230" s="1009"/>
      <c r="PC230" s="1009"/>
      <c r="PD230" s="1009"/>
      <c r="PE230" s="1009"/>
      <c r="PF230" s="1009"/>
      <c r="PG230" s="1009"/>
      <c r="PH230" s="1009"/>
      <c r="PI230" s="1009"/>
      <c r="PJ230" s="1009"/>
      <c r="PK230" s="1009"/>
      <c r="PL230" s="1009"/>
      <c r="PM230" s="1009"/>
      <c r="PN230" s="1009"/>
      <c r="PO230" s="1009"/>
      <c r="PP230" s="1009"/>
      <c r="PQ230" s="1009"/>
      <c r="PR230" s="1009"/>
      <c r="PS230" s="1009"/>
      <c r="PT230" s="1009"/>
      <c r="PU230" s="1009"/>
      <c r="PV230" s="1009"/>
      <c r="PW230" s="1009"/>
      <c r="PX230" s="1009"/>
      <c r="PY230" s="1009"/>
      <c r="PZ230" s="1009"/>
      <c r="QA230" s="1009"/>
      <c r="QB230" s="1009"/>
      <c r="QC230" s="1009"/>
      <c r="QD230" s="1009"/>
      <c r="QE230" s="1009"/>
      <c r="QF230" s="1009"/>
      <c r="QG230" s="1009"/>
      <c r="QH230" s="1009"/>
      <c r="QI230" s="1009"/>
      <c r="QJ230" s="1009"/>
      <c r="QK230" s="1009"/>
      <c r="QL230" s="1009"/>
      <c r="QM230" s="1009"/>
      <c r="QN230" s="1009"/>
      <c r="QO230" s="1009"/>
      <c r="QP230" s="1009"/>
      <c r="QQ230" s="1009"/>
      <c r="QR230" s="1009"/>
      <c r="QS230" s="1009"/>
      <c r="QT230" s="1009"/>
      <c r="QU230" s="1009"/>
      <c r="QV230" s="1009"/>
      <c r="QW230" s="1009"/>
      <c r="QX230" s="1009"/>
      <c r="QY230" s="1009"/>
      <c r="QZ230" s="1009"/>
      <c r="RA230" s="1009"/>
      <c r="RB230" s="1009"/>
      <c r="RC230" s="1009"/>
      <c r="RD230" s="1009"/>
      <c r="RE230" s="1009"/>
      <c r="RF230" s="1009"/>
      <c r="RG230" s="1009"/>
      <c r="RH230" s="1009"/>
      <c r="RI230" s="1009"/>
      <c r="RJ230" s="1009"/>
      <c r="RK230" s="1009"/>
      <c r="RL230" s="1009"/>
      <c r="RM230" s="1009"/>
      <c r="RN230" s="1009"/>
      <c r="RO230" s="1009"/>
      <c r="RP230" s="1009"/>
      <c r="RQ230" s="1009"/>
      <c r="RR230" s="1009"/>
      <c r="RS230" s="1009"/>
      <c r="RT230" s="1009"/>
      <c r="RU230" s="1009"/>
      <c r="RV230" s="1009"/>
      <c r="RW230" s="1009"/>
      <c r="RX230" s="1009"/>
      <c r="RY230" s="1009"/>
      <c r="RZ230" s="1009"/>
      <c r="SA230" s="1009"/>
      <c r="SB230" s="1009"/>
      <c r="SC230" s="1009"/>
      <c r="SD230" s="1009"/>
      <c r="SE230" s="1009"/>
      <c r="SF230" s="1009"/>
      <c r="SG230" s="1009"/>
      <c r="SH230" s="1009"/>
      <c r="SI230" s="1009"/>
      <c r="SJ230" s="1009"/>
      <c r="SK230" s="1009"/>
      <c r="SL230" s="1009"/>
      <c r="SM230" s="1009"/>
      <c r="SN230" s="1009"/>
      <c r="SO230" s="1009"/>
      <c r="SP230" s="1009"/>
      <c r="SQ230" s="1009"/>
      <c r="SR230" s="1009"/>
      <c r="SS230" s="1009"/>
      <c r="ST230" s="1009"/>
      <c r="SU230" s="1009"/>
      <c r="SV230" s="1009"/>
      <c r="SW230" s="1009"/>
      <c r="SX230" s="1009"/>
      <c r="SY230" s="1009"/>
      <c r="SZ230" s="1009"/>
      <c r="TA230" s="1009"/>
      <c r="TB230" s="1009"/>
      <c r="TC230" s="1009"/>
      <c r="TD230" s="1009"/>
      <c r="TE230" s="1009"/>
      <c r="TF230" s="1009"/>
      <c r="TG230" s="1009"/>
      <c r="TH230" s="1009"/>
      <c r="TI230" s="1009"/>
      <c r="TJ230" s="1009"/>
      <c r="TK230" s="1009"/>
      <c r="TL230" s="1009"/>
      <c r="TM230" s="1009"/>
      <c r="TN230" s="1009"/>
      <c r="TO230" s="1009"/>
      <c r="TP230" s="1009"/>
      <c r="TQ230" s="1009"/>
      <c r="TR230" s="1009"/>
      <c r="TS230" s="1009"/>
      <c r="TT230" s="1009"/>
      <c r="TU230" s="1009"/>
      <c r="TV230" s="1009"/>
      <c r="TW230" s="1009"/>
      <c r="TX230" s="1009"/>
      <c r="TY230" s="1009"/>
      <c r="TZ230" s="1009"/>
      <c r="UA230" s="1009"/>
      <c r="UB230" s="1009"/>
      <c r="UC230" s="1009"/>
      <c r="UD230" s="1009"/>
      <c r="UE230" s="1009"/>
      <c r="UF230" s="1009"/>
      <c r="UG230" s="1009"/>
      <c r="UH230" s="1009"/>
      <c r="UI230" s="1009"/>
      <c r="UJ230" s="1009"/>
      <c r="UK230" s="1009"/>
      <c r="UL230" s="1009"/>
      <c r="UM230" s="1009"/>
      <c r="UN230" s="1009"/>
      <c r="UO230" s="1009"/>
      <c r="UP230" s="1009"/>
      <c r="UQ230" s="1009"/>
      <c r="UR230" s="1009"/>
      <c r="US230" s="1009"/>
      <c r="UT230" s="1009"/>
      <c r="UU230" s="1009"/>
      <c r="UV230" s="1009"/>
      <c r="UW230" s="1009"/>
      <c r="UX230" s="1009"/>
      <c r="UY230" s="1009"/>
      <c r="UZ230" s="1009"/>
      <c r="VA230" s="1009"/>
      <c r="VB230" s="1009"/>
      <c r="VC230" s="1009"/>
      <c r="VD230" s="1009"/>
      <c r="VE230" s="1009"/>
      <c r="VF230" s="1009"/>
      <c r="VG230" s="1009"/>
      <c r="VH230" s="1009"/>
      <c r="VI230" s="1009"/>
      <c r="VJ230" s="1009"/>
      <c r="VK230" s="1009"/>
      <c r="VL230" s="1009"/>
      <c r="VM230" s="1009"/>
      <c r="VN230" s="1009"/>
      <c r="VO230" s="1009"/>
      <c r="VP230" s="1009"/>
      <c r="VQ230" s="1009"/>
      <c r="VR230" s="1009"/>
      <c r="VS230" s="1009"/>
      <c r="VT230" s="1009"/>
      <c r="VU230" s="1009"/>
      <c r="VV230" s="1009"/>
      <c r="VW230" s="1009"/>
      <c r="VX230" s="1009"/>
      <c r="VY230" s="1009"/>
      <c r="VZ230" s="1009"/>
      <c r="WA230" s="1009"/>
      <c r="WB230" s="1009"/>
      <c r="WC230" s="1009"/>
      <c r="WD230" s="1009"/>
      <c r="WE230" s="1009"/>
      <c r="WF230" s="1009"/>
      <c r="WG230" s="1009"/>
      <c r="WH230" s="1009"/>
      <c r="WI230" s="1009"/>
      <c r="WJ230" s="1009"/>
      <c r="WK230" s="1009"/>
      <c r="WL230" s="1009"/>
      <c r="WM230" s="1009"/>
      <c r="WN230" s="1009"/>
      <c r="WO230" s="1009"/>
      <c r="WP230" s="1009"/>
      <c r="WQ230" s="1009"/>
      <c r="WR230" s="1009"/>
      <c r="WS230" s="1009"/>
      <c r="WT230" s="1009"/>
      <c r="WU230" s="1009"/>
      <c r="WV230" s="1009"/>
      <c r="WW230" s="1009"/>
      <c r="WX230" s="1009"/>
      <c r="WY230" s="1009"/>
      <c r="WZ230" s="1009"/>
      <c r="XA230" s="1009"/>
      <c r="XB230" s="1009"/>
      <c r="XC230" s="1009"/>
      <c r="XD230" s="1009"/>
      <c r="XE230" s="1009"/>
      <c r="XF230" s="1009"/>
      <c r="XG230" s="1009"/>
      <c r="XH230" s="1009"/>
      <c r="XI230" s="1009"/>
      <c r="XJ230" s="1009"/>
      <c r="XK230" s="1009"/>
      <c r="XL230" s="1009"/>
      <c r="XM230" s="1009"/>
      <c r="XN230" s="1009"/>
      <c r="XO230" s="1009"/>
      <c r="XP230" s="1009"/>
      <c r="XQ230" s="1009"/>
      <c r="XR230" s="1009"/>
      <c r="XS230" s="1009"/>
      <c r="XT230" s="1009"/>
      <c r="XU230" s="1009"/>
      <c r="XV230" s="1009"/>
      <c r="XW230" s="1009"/>
      <c r="XX230" s="1009"/>
      <c r="XY230" s="1009"/>
      <c r="XZ230" s="1009"/>
      <c r="YA230" s="1009"/>
      <c r="YB230" s="1009"/>
      <c r="YC230" s="1009"/>
      <c r="YD230" s="1009"/>
      <c r="YE230" s="1009"/>
      <c r="YF230" s="1009"/>
      <c r="YG230" s="1009"/>
      <c r="YH230" s="1009"/>
      <c r="YI230" s="1009"/>
      <c r="YJ230" s="1009"/>
      <c r="YK230" s="1009"/>
      <c r="YL230" s="1009"/>
      <c r="YM230" s="1009"/>
      <c r="YN230" s="1009"/>
      <c r="YO230" s="1009"/>
      <c r="YP230" s="1009"/>
      <c r="YQ230" s="1009"/>
      <c r="YR230" s="1009"/>
      <c r="YS230" s="1009"/>
      <c r="YT230" s="1009"/>
      <c r="YU230" s="1009"/>
      <c r="YV230" s="1009"/>
      <c r="YW230" s="1009"/>
      <c r="YX230" s="1009"/>
      <c r="YY230" s="1009"/>
      <c r="YZ230" s="1009"/>
      <c r="ZA230" s="1009"/>
      <c r="ZB230" s="1009"/>
      <c r="ZC230" s="1009"/>
      <c r="ZD230" s="1009"/>
      <c r="ZE230" s="1009"/>
      <c r="ZF230" s="1009"/>
      <c r="ZG230" s="1009"/>
      <c r="ZH230" s="1009"/>
      <c r="ZI230" s="1009"/>
      <c r="ZJ230" s="1009"/>
      <c r="ZK230" s="1009"/>
      <c r="ZL230" s="1009"/>
      <c r="ZM230" s="1009"/>
      <c r="ZN230" s="1009"/>
      <c r="ZO230" s="1009"/>
      <c r="ZP230" s="1009"/>
      <c r="ZQ230" s="1009"/>
      <c r="ZR230" s="1009"/>
      <c r="ZS230" s="1009"/>
      <c r="ZT230" s="1009"/>
      <c r="ZU230" s="1009"/>
      <c r="ZV230" s="1009"/>
      <c r="ZW230" s="1009"/>
      <c r="ZX230" s="1009"/>
      <c r="ZY230" s="1009"/>
      <c r="ZZ230" s="1009"/>
      <c r="AAA230" s="1009"/>
      <c r="AAB230" s="1009"/>
      <c r="AAC230" s="1009"/>
      <c r="AAD230" s="1009"/>
      <c r="AAE230" s="1009"/>
      <c r="AAF230" s="1009"/>
      <c r="AAG230" s="1009"/>
      <c r="AAH230" s="1009"/>
      <c r="AAI230" s="1009"/>
      <c r="AAJ230" s="1009"/>
      <c r="AAK230" s="1009"/>
      <c r="AAL230" s="1009"/>
      <c r="AAM230" s="1009"/>
      <c r="AAN230" s="1009"/>
      <c r="AAO230" s="1009"/>
      <c r="AAP230" s="1009"/>
      <c r="AAQ230" s="1009"/>
      <c r="AAR230" s="1009"/>
      <c r="AAS230" s="1009"/>
      <c r="AAT230" s="1009"/>
      <c r="AAU230" s="1009"/>
      <c r="AAV230" s="1009"/>
      <c r="AAW230" s="1009"/>
      <c r="AAX230" s="1009"/>
      <c r="AAY230" s="1009"/>
      <c r="AAZ230" s="1009"/>
      <c r="ABA230" s="1009"/>
      <c r="ABB230" s="1009"/>
      <c r="ABC230" s="1009"/>
      <c r="ABD230" s="1009"/>
      <c r="ABE230" s="1009"/>
      <c r="ABF230" s="1009"/>
      <c r="ABG230" s="1009"/>
      <c r="ABH230" s="1009"/>
      <c r="ABI230" s="1009"/>
      <c r="ABJ230" s="1009"/>
      <c r="ABK230" s="1009"/>
      <c r="ABL230" s="1009"/>
      <c r="ABM230" s="1009"/>
      <c r="ABN230" s="1009"/>
      <c r="ABO230" s="1009"/>
      <c r="ABP230" s="1009"/>
      <c r="ABQ230" s="1009"/>
      <c r="ABR230" s="1009"/>
    </row>
    <row r="231" spans="1:746" s="111" customFormat="1" ht="12" customHeight="1">
      <c r="A231" s="1758"/>
      <c r="B231" s="2916" t="s">
        <v>1151</v>
      </c>
      <c r="C231" s="2917"/>
      <c r="D231" s="2917"/>
      <c r="E231" s="2917"/>
      <c r="F231" s="2917"/>
      <c r="G231" s="2917"/>
      <c r="H231" s="2918"/>
      <c r="I231" s="2596" t="s">
        <v>1155</v>
      </c>
      <c r="J231" s="867"/>
      <c r="K231" s="867"/>
      <c r="L231" s="867"/>
      <c r="M231" s="867"/>
      <c r="N231" s="867"/>
      <c r="O231" s="867"/>
      <c r="P231" s="867"/>
      <c r="Q231" s="867"/>
      <c r="R231" s="867"/>
      <c r="S231" s="867"/>
      <c r="T231" s="985"/>
      <c r="U231" s="994"/>
      <c r="V231" s="867"/>
      <c r="W231" s="867"/>
      <c r="X231" s="867"/>
      <c r="Y231" s="867"/>
      <c r="Z231" s="867"/>
      <c r="AA231" s="867"/>
      <c r="AB231" s="867"/>
      <c r="AC231" s="867"/>
      <c r="AD231" s="867"/>
      <c r="AE231" s="867"/>
      <c r="AF231" s="868"/>
      <c r="AG231" s="337"/>
      <c r="AH231" s="786"/>
      <c r="AI231" s="786"/>
      <c r="AJ231" s="1044"/>
      <c r="AK231" s="1047"/>
      <c r="AL231" s="1009"/>
      <c r="AM231" s="1009"/>
      <c r="AN231" s="1026"/>
      <c r="AO231" s="1945"/>
      <c r="AP231" s="1935"/>
      <c r="AQ231" s="1936"/>
      <c r="AR231" s="1941"/>
      <c r="AS231" s="1941"/>
      <c r="AT231" s="1941"/>
      <c r="AU231" s="1941"/>
      <c r="AV231" s="1941"/>
      <c r="AW231" s="1941"/>
      <c r="AX231" s="1941"/>
      <c r="AY231" s="1941"/>
      <c r="AZ231" s="1941"/>
      <c r="BA231" s="1941"/>
      <c r="BB231" s="1941"/>
      <c r="BC231" s="1941"/>
      <c r="BD231" s="1941"/>
      <c r="BE231" s="1941"/>
      <c r="BF231" s="1941"/>
      <c r="BG231" s="1941"/>
      <c r="BH231" s="1941"/>
      <c r="BI231" s="1941"/>
      <c r="BJ231" s="1941"/>
      <c r="BK231" s="1941"/>
      <c r="BL231" s="1941"/>
      <c r="BM231" s="1941"/>
      <c r="BN231" s="1941"/>
      <c r="BO231" s="1941"/>
      <c r="BP231" s="1009"/>
      <c r="BQ231" s="1009"/>
      <c r="BR231" s="1009"/>
      <c r="BS231" s="1009"/>
      <c r="BT231" s="1009"/>
      <c r="BU231" s="1009"/>
      <c r="BV231" s="1009"/>
      <c r="BW231" s="1009"/>
      <c r="BX231" s="1009"/>
      <c r="BY231" s="1009"/>
      <c r="BZ231" s="1009"/>
      <c r="CA231" s="1009"/>
      <c r="CB231" s="1009"/>
      <c r="CC231" s="1009"/>
      <c r="CD231" s="1009"/>
      <c r="CE231" s="1009"/>
      <c r="CF231" s="1009"/>
      <c r="CG231" s="1009"/>
      <c r="CH231" s="1009"/>
      <c r="CI231" s="1009"/>
      <c r="CJ231" s="1009"/>
      <c r="CK231" s="1009"/>
      <c r="CL231" s="1009"/>
      <c r="CM231" s="1009"/>
      <c r="CN231" s="1009"/>
      <c r="CO231" s="1009"/>
      <c r="CP231" s="1009"/>
      <c r="CQ231" s="1009"/>
      <c r="CR231" s="1009"/>
      <c r="CS231" s="1009"/>
      <c r="CT231" s="1009"/>
      <c r="CU231" s="1009"/>
      <c r="CV231" s="1009"/>
      <c r="CW231" s="1009"/>
      <c r="CX231" s="1009"/>
      <c r="CY231" s="1009"/>
      <c r="CZ231" s="1009"/>
      <c r="DA231" s="1009"/>
      <c r="DB231" s="1009"/>
      <c r="DC231" s="1009"/>
      <c r="DD231" s="1009"/>
      <c r="DE231" s="1009"/>
      <c r="DF231" s="1009"/>
      <c r="DG231" s="1009"/>
      <c r="DH231" s="1009"/>
      <c r="DI231" s="1009"/>
      <c r="DJ231" s="1009"/>
      <c r="DK231" s="1009"/>
      <c r="DL231" s="1009"/>
      <c r="DM231" s="1009"/>
      <c r="DN231" s="1009"/>
      <c r="DO231" s="1009"/>
      <c r="DP231" s="1009"/>
      <c r="DQ231" s="1009"/>
      <c r="DR231" s="1009"/>
      <c r="DS231" s="1009"/>
      <c r="DT231" s="1009"/>
      <c r="DU231" s="1009"/>
      <c r="DV231" s="1009"/>
      <c r="DW231" s="1009"/>
      <c r="DX231" s="1009"/>
      <c r="DY231" s="1009"/>
      <c r="DZ231" s="1009"/>
      <c r="EA231" s="1009"/>
      <c r="EB231" s="1009"/>
      <c r="EC231" s="1009"/>
      <c r="ED231" s="1009"/>
      <c r="EE231" s="1009"/>
      <c r="EF231" s="1009"/>
      <c r="EG231" s="1009"/>
      <c r="EH231" s="1009"/>
      <c r="EI231" s="1009"/>
      <c r="EJ231" s="1009"/>
      <c r="EK231" s="1009"/>
      <c r="EL231" s="1009"/>
      <c r="EM231" s="1009"/>
      <c r="EN231" s="1009"/>
      <c r="EO231" s="1009"/>
      <c r="EP231" s="1009"/>
      <c r="EQ231" s="1009"/>
      <c r="ER231" s="1009"/>
      <c r="ES231" s="1009"/>
      <c r="ET231" s="1009"/>
      <c r="EU231" s="1009"/>
      <c r="EV231" s="1009"/>
      <c r="EW231" s="1009"/>
      <c r="EX231" s="1009"/>
      <c r="EY231" s="1009"/>
      <c r="EZ231" s="1009"/>
      <c r="FA231" s="1009"/>
      <c r="FB231" s="1009"/>
      <c r="FC231" s="1009"/>
      <c r="FD231" s="1009"/>
      <c r="FE231" s="1009"/>
      <c r="FF231" s="1009"/>
      <c r="FG231" s="1009"/>
      <c r="FH231" s="1009"/>
      <c r="FI231" s="1009"/>
      <c r="FJ231" s="1009"/>
      <c r="FK231" s="1009"/>
      <c r="FL231" s="1009"/>
      <c r="FM231" s="1009"/>
      <c r="FN231" s="1009"/>
      <c r="FO231" s="1009"/>
      <c r="FP231" s="1009"/>
      <c r="FQ231" s="1009"/>
      <c r="FR231" s="1009"/>
      <c r="FS231" s="1009"/>
      <c r="FT231" s="1009"/>
      <c r="FU231" s="1009"/>
      <c r="FV231" s="1009"/>
      <c r="FW231" s="1009"/>
      <c r="FX231" s="1009"/>
      <c r="FY231" s="1009"/>
      <c r="FZ231" s="1009"/>
      <c r="GA231" s="1009"/>
      <c r="GB231" s="1009"/>
      <c r="GC231" s="1009"/>
      <c r="GD231" s="1009"/>
      <c r="GE231" s="1009"/>
      <c r="GF231" s="1009"/>
      <c r="GG231" s="1009"/>
      <c r="GH231" s="1009"/>
      <c r="GI231" s="1009"/>
      <c r="GJ231" s="1009"/>
      <c r="GK231" s="1009"/>
      <c r="GL231" s="1009"/>
      <c r="GM231" s="1009"/>
      <c r="GN231" s="1009"/>
      <c r="GO231" s="1009"/>
      <c r="GP231" s="1009"/>
      <c r="GQ231" s="1009"/>
      <c r="GR231" s="1009"/>
      <c r="GS231" s="1009"/>
      <c r="GT231" s="1009"/>
      <c r="GU231" s="1009"/>
      <c r="GV231" s="1009"/>
      <c r="GW231" s="1009"/>
      <c r="GX231" s="1009"/>
      <c r="GY231" s="1009"/>
      <c r="GZ231" s="1009"/>
      <c r="HA231" s="1009"/>
      <c r="HB231" s="1009"/>
      <c r="HC231" s="1009"/>
      <c r="HD231" s="1009"/>
      <c r="HE231" s="1009"/>
      <c r="HF231" s="1009"/>
      <c r="HG231" s="1009"/>
      <c r="HH231" s="1009"/>
      <c r="HI231" s="1009"/>
      <c r="HJ231" s="1009"/>
      <c r="HK231" s="1009"/>
      <c r="HL231" s="1009"/>
      <c r="HM231" s="1009"/>
      <c r="HN231" s="1009"/>
      <c r="HO231" s="1009"/>
      <c r="HP231" s="1009"/>
      <c r="HQ231" s="1009"/>
      <c r="HR231" s="1009"/>
      <c r="HS231" s="1009"/>
      <c r="HT231" s="1009"/>
      <c r="HU231" s="1009"/>
      <c r="HV231" s="1009"/>
      <c r="HW231" s="1009"/>
      <c r="HX231" s="1009"/>
      <c r="HY231" s="1009"/>
      <c r="HZ231" s="1009"/>
      <c r="IA231" s="1009"/>
      <c r="IB231" s="1009"/>
      <c r="IC231" s="1009"/>
      <c r="ID231" s="1009"/>
      <c r="IE231" s="1009"/>
      <c r="IF231" s="1009"/>
      <c r="IG231" s="1009"/>
      <c r="IH231" s="1009"/>
      <c r="II231" s="1009"/>
      <c r="IJ231" s="1009"/>
      <c r="IK231" s="1009"/>
      <c r="IL231" s="1009"/>
      <c r="IM231" s="1009"/>
      <c r="IN231" s="1009"/>
      <c r="IO231" s="1009"/>
      <c r="IP231" s="1009"/>
      <c r="IQ231" s="1009"/>
      <c r="IR231" s="1009"/>
      <c r="IS231" s="1009"/>
      <c r="IT231" s="1009"/>
      <c r="IU231" s="1009"/>
      <c r="IV231" s="1009"/>
      <c r="IW231" s="1009"/>
      <c r="IX231" s="1009"/>
      <c r="IY231" s="1009"/>
      <c r="IZ231" s="1009"/>
      <c r="JA231" s="1009"/>
      <c r="JB231" s="1009"/>
      <c r="JC231" s="1009"/>
      <c r="JD231" s="1009"/>
      <c r="JE231" s="1009"/>
      <c r="JF231" s="1009"/>
      <c r="JG231" s="1009"/>
      <c r="JH231" s="1009"/>
      <c r="JI231" s="1009"/>
      <c r="JJ231" s="1009"/>
      <c r="JK231" s="1009"/>
      <c r="JL231" s="1009"/>
      <c r="JM231" s="1009"/>
      <c r="JN231" s="1009"/>
      <c r="JO231" s="1009"/>
      <c r="JP231" s="1009"/>
      <c r="JQ231" s="1009"/>
      <c r="JR231" s="1009"/>
      <c r="JS231" s="1009"/>
      <c r="JT231" s="1009"/>
      <c r="JU231" s="1009"/>
      <c r="JV231" s="1009"/>
      <c r="JW231" s="1009"/>
      <c r="JX231" s="1009"/>
      <c r="JY231" s="1009"/>
      <c r="JZ231" s="1009"/>
      <c r="KA231" s="1009"/>
      <c r="KB231" s="1009"/>
      <c r="KC231" s="1009"/>
      <c r="KD231" s="1009"/>
      <c r="KE231" s="1009"/>
      <c r="KF231" s="1009"/>
      <c r="KG231" s="1009"/>
      <c r="KH231" s="1009"/>
      <c r="KI231" s="1009"/>
      <c r="KJ231" s="1009"/>
      <c r="KK231" s="1009"/>
      <c r="KL231" s="1009"/>
      <c r="KM231" s="1009"/>
      <c r="KN231" s="1009"/>
      <c r="KO231" s="1009"/>
      <c r="KP231" s="1009"/>
      <c r="KQ231" s="1009"/>
      <c r="KR231" s="1009"/>
      <c r="KS231" s="1009"/>
      <c r="KT231" s="1009"/>
      <c r="KU231" s="1009"/>
      <c r="KV231" s="1009"/>
      <c r="KW231" s="1009"/>
      <c r="KX231" s="1009"/>
      <c r="KY231" s="1009"/>
      <c r="KZ231" s="1009"/>
      <c r="LA231" s="1009"/>
      <c r="LB231" s="1009"/>
      <c r="LC231" s="1009"/>
      <c r="LD231" s="1009"/>
      <c r="LE231" s="1009"/>
      <c r="LF231" s="1009"/>
      <c r="LG231" s="1009"/>
      <c r="LH231" s="1009"/>
      <c r="LI231" s="1009"/>
      <c r="LJ231" s="1009"/>
      <c r="LK231" s="1009"/>
      <c r="LL231" s="1009"/>
      <c r="LM231" s="1009"/>
      <c r="LN231" s="1009"/>
      <c r="LO231" s="1009"/>
      <c r="LP231" s="1009"/>
      <c r="LQ231" s="1009"/>
      <c r="LR231" s="1009"/>
      <c r="LS231" s="1009"/>
      <c r="LT231" s="1009"/>
      <c r="LU231" s="1009"/>
      <c r="LV231" s="1009"/>
      <c r="LW231" s="1009"/>
      <c r="LX231" s="1009"/>
      <c r="LY231" s="1009"/>
      <c r="LZ231" s="1009"/>
      <c r="MA231" s="1009"/>
      <c r="MB231" s="1009"/>
      <c r="MC231" s="1009"/>
      <c r="MD231" s="1009"/>
      <c r="ME231" s="1009"/>
      <c r="MF231" s="1009"/>
      <c r="MG231" s="1009"/>
      <c r="MH231" s="1009"/>
      <c r="MI231" s="1009"/>
      <c r="MJ231" s="1009"/>
      <c r="MK231" s="1009"/>
      <c r="ML231" s="1009"/>
      <c r="MM231" s="1009"/>
      <c r="MN231" s="1009"/>
      <c r="MO231" s="1009"/>
      <c r="MP231" s="1009"/>
      <c r="MQ231" s="1009"/>
      <c r="MR231" s="1009"/>
      <c r="MS231" s="1009"/>
      <c r="MT231" s="1009"/>
      <c r="MU231" s="1009"/>
      <c r="MV231" s="1009"/>
      <c r="MW231" s="1009"/>
      <c r="MX231" s="1009"/>
      <c r="MY231" s="1009"/>
      <c r="MZ231" s="1009"/>
      <c r="NA231" s="1009"/>
      <c r="NB231" s="1009"/>
      <c r="NC231" s="1009"/>
      <c r="ND231" s="1009"/>
      <c r="NE231" s="1009"/>
      <c r="NF231" s="1009"/>
      <c r="NG231" s="1009"/>
      <c r="NH231" s="1009"/>
      <c r="NI231" s="1009"/>
      <c r="NJ231" s="1009"/>
      <c r="NK231" s="1009"/>
      <c r="NL231" s="1009"/>
      <c r="NM231" s="1009"/>
      <c r="NN231" s="1009"/>
      <c r="NO231" s="1009"/>
      <c r="NP231" s="1009"/>
      <c r="NQ231" s="1009"/>
      <c r="NR231" s="1009"/>
      <c r="NS231" s="1009"/>
      <c r="NT231" s="1009"/>
      <c r="NU231" s="1009"/>
      <c r="NV231" s="1009"/>
      <c r="NW231" s="1009"/>
      <c r="NX231" s="1009"/>
      <c r="NY231" s="1009"/>
      <c r="NZ231" s="1009"/>
      <c r="OA231" s="1009"/>
      <c r="OB231" s="1009"/>
      <c r="OC231" s="1009"/>
      <c r="OD231" s="1009"/>
      <c r="OE231" s="1009"/>
      <c r="OF231" s="1009"/>
      <c r="OG231" s="1009"/>
      <c r="OH231" s="1009"/>
      <c r="OI231" s="1009"/>
      <c r="OJ231" s="1009"/>
      <c r="OK231" s="1009"/>
      <c r="OL231" s="1009"/>
      <c r="OM231" s="1009"/>
      <c r="ON231" s="1009"/>
      <c r="OO231" s="1009"/>
      <c r="OP231" s="1009"/>
      <c r="OQ231" s="1009"/>
      <c r="OR231" s="1009"/>
      <c r="OS231" s="1009"/>
      <c r="OT231" s="1009"/>
      <c r="OU231" s="1009"/>
      <c r="OV231" s="1009"/>
      <c r="OW231" s="1009"/>
      <c r="OX231" s="1009"/>
      <c r="OY231" s="1009"/>
      <c r="OZ231" s="1009"/>
      <c r="PA231" s="1009"/>
      <c r="PB231" s="1009"/>
      <c r="PC231" s="1009"/>
      <c r="PD231" s="1009"/>
      <c r="PE231" s="1009"/>
      <c r="PF231" s="1009"/>
      <c r="PG231" s="1009"/>
      <c r="PH231" s="1009"/>
      <c r="PI231" s="1009"/>
      <c r="PJ231" s="1009"/>
      <c r="PK231" s="1009"/>
      <c r="PL231" s="1009"/>
      <c r="PM231" s="1009"/>
      <c r="PN231" s="1009"/>
      <c r="PO231" s="1009"/>
      <c r="PP231" s="1009"/>
      <c r="PQ231" s="1009"/>
      <c r="PR231" s="1009"/>
      <c r="PS231" s="1009"/>
      <c r="PT231" s="1009"/>
      <c r="PU231" s="1009"/>
      <c r="PV231" s="1009"/>
      <c r="PW231" s="1009"/>
      <c r="PX231" s="1009"/>
      <c r="PY231" s="1009"/>
      <c r="PZ231" s="1009"/>
      <c r="QA231" s="1009"/>
      <c r="QB231" s="1009"/>
      <c r="QC231" s="1009"/>
      <c r="QD231" s="1009"/>
      <c r="QE231" s="1009"/>
      <c r="QF231" s="1009"/>
      <c r="QG231" s="1009"/>
      <c r="QH231" s="1009"/>
      <c r="QI231" s="1009"/>
      <c r="QJ231" s="1009"/>
      <c r="QK231" s="1009"/>
      <c r="QL231" s="1009"/>
      <c r="QM231" s="1009"/>
      <c r="QN231" s="1009"/>
      <c r="QO231" s="1009"/>
      <c r="QP231" s="1009"/>
      <c r="QQ231" s="1009"/>
      <c r="QR231" s="1009"/>
      <c r="QS231" s="1009"/>
      <c r="QT231" s="1009"/>
      <c r="QU231" s="1009"/>
      <c r="QV231" s="1009"/>
      <c r="QW231" s="1009"/>
      <c r="QX231" s="1009"/>
      <c r="QY231" s="1009"/>
      <c r="QZ231" s="1009"/>
      <c r="RA231" s="1009"/>
      <c r="RB231" s="1009"/>
      <c r="RC231" s="1009"/>
      <c r="RD231" s="1009"/>
      <c r="RE231" s="1009"/>
      <c r="RF231" s="1009"/>
      <c r="RG231" s="1009"/>
      <c r="RH231" s="1009"/>
      <c r="RI231" s="1009"/>
      <c r="RJ231" s="1009"/>
      <c r="RK231" s="1009"/>
      <c r="RL231" s="1009"/>
      <c r="RM231" s="1009"/>
      <c r="RN231" s="1009"/>
      <c r="RO231" s="1009"/>
      <c r="RP231" s="1009"/>
      <c r="RQ231" s="1009"/>
      <c r="RR231" s="1009"/>
      <c r="RS231" s="1009"/>
      <c r="RT231" s="1009"/>
      <c r="RU231" s="1009"/>
      <c r="RV231" s="1009"/>
      <c r="RW231" s="1009"/>
      <c r="RX231" s="1009"/>
      <c r="RY231" s="1009"/>
      <c r="RZ231" s="1009"/>
      <c r="SA231" s="1009"/>
      <c r="SB231" s="1009"/>
      <c r="SC231" s="1009"/>
      <c r="SD231" s="1009"/>
      <c r="SE231" s="1009"/>
      <c r="SF231" s="1009"/>
      <c r="SG231" s="1009"/>
      <c r="SH231" s="1009"/>
      <c r="SI231" s="1009"/>
      <c r="SJ231" s="1009"/>
      <c r="SK231" s="1009"/>
      <c r="SL231" s="1009"/>
      <c r="SM231" s="1009"/>
      <c r="SN231" s="1009"/>
      <c r="SO231" s="1009"/>
      <c r="SP231" s="1009"/>
      <c r="SQ231" s="1009"/>
      <c r="SR231" s="1009"/>
      <c r="SS231" s="1009"/>
      <c r="ST231" s="1009"/>
      <c r="SU231" s="1009"/>
      <c r="SV231" s="1009"/>
      <c r="SW231" s="1009"/>
      <c r="SX231" s="1009"/>
      <c r="SY231" s="1009"/>
      <c r="SZ231" s="1009"/>
      <c r="TA231" s="1009"/>
      <c r="TB231" s="1009"/>
      <c r="TC231" s="1009"/>
      <c r="TD231" s="1009"/>
      <c r="TE231" s="1009"/>
      <c r="TF231" s="1009"/>
      <c r="TG231" s="1009"/>
      <c r="TH231" s="1009"/>
      <c r="TI231" s="1009"/>
      <c r="TJ231" s="1009"/>
      <c r="TK231" s="1009"/>
      <c r="TL231" s="1009"/>
      <c r="TM231" s="1009"/>
      <c r="TN231" s="1009"/>
      <c r="TO231" s="1009"/>
      <c r="TP231" s="1009"/>
      <c r="TQ231" s="1009"/>
      <c r="TR231" s="1009"/>
      <c r="TS231" s="1009"/>
      <c r="TT231" s="1009"/>
      <c r="TU231" s="1009"/>
      <c r="TV231" s="1009"/>
      <c r="TW231" s="1009"/>
      <c r="TX231" s="1009"/>
      <c r="TY231" s="1009"/>
      <c r="TZ231" s="1009"/>
      <c r="UA231" s="1009"/>
      <c r="UB231" s="1009"/>
      <c r="UC231" s="1009"/>
      <c r="UD231" s="1009"/>
      <c r="UE231" s="1009"/>
      <c r="UF231" s="1009"/>
      <c r="UG231" s="1009"/>
      <c r="UH231" s="1009"/>
      <c r="UI231" s="1009"/>
      <c r="UJ231" s="1009"/>
      <c r="UK231" s="1009"/>
      <c r="UL231" s="1009"/>
      <c r="UM231" s="1009"/>
      <c r="UN231" s="1009"/>
      <c r="UO231" s="1009"/>
      <c r="UP231" s="1009"/>
      <c r="UQ231" s="1009"/>
      <c r="UR231" s="1009"/>
      <c r="US231" s="1009"/>
      <c r="UT231" s="1009"/>
      <c r="UU231" s="1009"/>
      <c r="UV231" s="1009"/>
      <c r="UW231" s="1009"/>
      <c r="UX231" s="1009"/>
      <c r="UY231" s="1009"/>
      <c r="UZ231" s="1009"/>
      <c r="VA231" s="1009"/>
      <c r="VB231" s="1009"/>
      <c r="VC231" s="1009"/>
      <c r="VD231" s="1009"/>
      <c r="VE231" s="1009"/>
      <c r="VF231" s="1009"/>
      <c r="VG231" s="1009"/>
      <c r="VH231" s="1009"/>
      <c r="VI231" s="1009"/>
      <c r="VJ231" s="1009"/>
      <c r="VK231" s="1009"/>
      <c r="VL231" s="1009"/>
      <c r="VM231" s="1009"/>
      <c r="VN231" s="1009"/>
      <c r="VO231" s="1009"/>
      <c r="VP231" s="1009"/>
      <c r="VQ231" s="1009"/>
      <c r="VR231" s="1009"/>
      <c r="VS231" s="1009"/>
      <c r="VT231" s="1009"/>
      <c r="VU231" s="1009"/>
      <c r="VV231" s="1009"/>
      <c r="VW231" s="1009"/>
      <c r="VX231" s="1009"/>
      <c r="VY231" s="1009"/>
      <c r="VZ231" s="1009"/>
      <c r="WA231" s="1009"/>
      <c r="WB231" s="1009"/>
      <c r="WC231" s="1009"/>
      <c r="WD231" s="1009"/>
      <c r="WE231" s="1009"/>
      <c r="WF231" s="1009"/>
      <c r="WG231" s="1009"/>
      <c r="WH231" s="1009"/>
      <c r="WI231" s="1009"/>
      <c r="WJ231" s="1009"/>
      <c r="WK231" s="1009"/>
      <c r="WL231" s="1009"/>
      <c r="WM231" s="1009"/>
      <c r="WN231" s="1009"/>
      <c r="WO231" s="1009"/>
      <c r="WP231" s="1009"/>
      <c r="WQ231" s="1009"/>
      <c r="WR231" s="1009"/>
      <c r="WS231" s="1009"/>
      <c r="WT231" s="1009"/>
      <c r="WU231" s="1009"/>
      <c r="WV231" s="1009"/>
      <c r="WW231" s="1009"/>
      <c r="WX231" s="1009"/>
      <c r="WY231" s="1009"/>
      <c r="WZ231" s="1009"/>
      <c r="XA231" s="1009"/>
      <c r="XB231" s="1009"/>
      <c r="XC231" s="1009"/>
      <c r="XD231" s="1009"/>
      <c r="XE231" s="1009"/>
      <c r="XF231" s="1009"/>
      <c r="XG231" s="1009"/>
      <c r="XH231" s="1009"/>
      <c r="XI231" s="1009"/>
      <c r="XJ231" s="1009"/>
      <c r="XK231" s="1009"/>
      <c r="XL231" s="1009"/>
      <c r="XM231" s="1009"/>
      <c r="XN231" s="1009"/>
      <c r="XO231" s="1009"/>
      <c r="XP231" s="1009"/>
      <c r="XQ231" s="1009"/>
      <c r="XR231" s="1009"/>
      <c r="XS231" s="1009"/>
      <c r="XT231" s="1009"/>
      <c r="XU231" s="1009"/>
      <c r="XV231" s="1009"/>
      <c r="XW231" s="1009"/>
      <c r="XX231" s="1009"/>
      <c r="XY231" s="1009"/>
      <c r="XZ231" s="1009"/>
      <c r="YA231" s="1009"/>
      <c r="YB231" s="1009"/>
      <c r="YC231" s="1009"/>
      <c r="YD231" s="1009"/>
      <c r="YE231" s="1009"/>
      <c r="YF231" s="1009"/>
      <c r="YG231" s="1009"/>
      <c r="YH231" s="1009"/>
      <c r="YI231" s="1009"/>
      <c r="YJ231" s="1009"/>
      <c r="YK231" s="1009"/>
      <c r="YL231" s="1009"/>
      <c r="YM231" s="1009"/>
      <c r="YN231" s="1009"/>
      <c r="YO231" s="1009"/>
      <c r="YP231" s="1009"/>
      <c r="YQ231" s="1009"/>
      <c r="YR231" s="1009"/>
      <c r="YS231" s="1009"/>
      <c r="YT231" s="1009"/>
      <c r="YU231" s="1009"/>
      <c r="YV231" s="1009"/>
      <c r="YW231" s="1009"/>
      <c r="YX231" s="1009"/>
      <c r="YY231" s="1009"/>
      <c r="YZ231" s="1009"/>
      <c r="ZA231" s="1009"/>
      <c r="ZB231" s="1009"/>
      <c r="ZC231" s="1009"/>
      <c r="ZD231" s="1009"/>
      <c r="ZE231" s="1009"/>
      <c r="ZF231" s="1009"/>
      <c r="ZG231" s="1009"/>
      <c r="ZH231" s="1009"/>
      <c r="ZI231" s="1009"/>
      <c r="ZJ231" s="1009"/>
      <c r="ZK231" s="1009"/>
      <c r="ZL231" s="1009"/>
      <c r="ZM231" s="1009"/>
      <c r="ZN231" s="1009"/>
      <c r="ZO231" s="1009"/>
      <c r="ZP231" s="1009"/>
      <c r="ZQ231" s="1009"/>
      <c r="ZR231" s="1009"/>
      <c r="ZS231" s="1009"/>
      <c r="ZT231" s="1009"/>
      <c r="ZU231" s="1009"/>
      <c r="ZV231" s="1009"/>
      <c r="ZW231" s="1009"/>
      <c r="ZX231" s="1009"/>
      <c r="ZY231" s="1009"/>
      <c r="ZZ231" s="1009"/>
      <c r="AAA231" s="1009"/>
      <c r="AAB231" s="1009"/>
      <c r="AAC231" s="1009"/>
      <c r="AAD231" s="1009"/>
      <c r="AAE231" s="1009"/>
      <c r="AAF231" s="1009"/>
      <c r="AAG231" s="1009"/>
      <c r="AAH231" s="1009"/>
      <c r="AAI231" s="1009"/>
      <c r="AAJ231" s="1009"/>
      <c r="AAK231" s="1009"/>
      <c r="AAL231" s="1009"/>
      <c r="AAM231" s="1009"/>
      <c r="AAN231" s="1009"/>
      <c r="AAO231" s="1009"/>
      <c r="AAP231" s="1009"/>
      <c r="AAQ231" s="1009"/>
      <c r="AAR231" s="1009"/>
      <c r="AAS231" s="1009"/>
      <c r="AAT231" s="1009"/>
      <c r="AAU231" s="1009"/>
      <c r="AAV231" s="1009"/>
      <c r="AAW231" s="1009"/>
      <c r="AAX231" s="1009"/>
      <c r="AAY231" s="1009"/>
      <c r="AAZ231" s="1009"/>
      <c r="ABA231" s="1009"/>
      <c r="ABB231" s="1009"/>
      <c r="ABC231" s="1009"/>
      <c r="ABD231" s="1009"/>
      <c r="ABE231" s="1009"/>
      <c r="ABF231" s="1009"/>
      <c r="ABG231" s="1009"/>
      <c r="ABH231" s="1009"/>
      <c r="ABI231" s="1009"/>
      <c r="ABJ231" s="1009"/>
      <c r="ABK231" s="1009"/>
      <c r="ABL231" s="1009"/>
      <c r="ABM231" s="1009"/>
      <c r="ABN231" s="1009"/>
      <c r="ABO231" s="1009"/>
      <c r="ABP231" s="1009"/>
      <c r="ABQ231" s="1009"/>
      <c r="ABR231" s="1009"/>
    </row>
    <row r="232" spans="1:746" s="111" customFormat="1" ht="13.5" customHeight="1">
      <c r="A232" s="1758"/>
      <c r="B232" s="2499" t="s">
        <v>752</v>
      </c>
      <c r="C232" s="2321"/>
      <c r="D232" s="2321"/>
      <c r="E232" s="3011">
        <f>fx!C434</f>
        <v>0</v>
      </c>
      <c r="F232" s="3012"/>
      <c r="G232" s="3013"/>
      <c r="H232" s="2561"/>
      <c r="I232" s="2322" t="s">
        <v>1156</v>
      </c>
      <c r="J232" s="869"/>
      <c r="K232" s="869"/>
      <c r="L232" s="869"/>
      <c r="M232" s="869"/>
      <c r="N232" s="869"/>
      <c r="O232" s="869"/>
      <c r="P232" s="869"/>
      <c r="Q232" s="869"/>
      <c r="R232" s="869"/>
      <c r="S232" s="869"/>
      <c r="T232" s="986"/>
      <c r="U232" s="995"/>
      <c r="V232" s="869"/>
      <c r="W232" s="869"/>
      <c r="X232" s="869"/>
      <c r="Y232" s="869"/>
      <c r="Z232" s="869"/>
      <c r="AA232" s="869"/>
      <c r="AB232" s="869"/>
      <c r="AC232" s="869"/>
      <c r="AD232" s="869"/>
      <c r="AE232" s="869"/>
      <c r="AF232" s="344"/>
      <c r="AG232" s="337"/>
      <c r="AH232" s="786"/>
      <c r="AI232" s="786"/>
      <c r="AJ232" s="1044"/>
      <c r="AK232" s="1047"/>
      <c r="AL232" s="1009"/>
      <c r="AM232" s="1009"/>
      <c r="AN232" s="1026"/>
      <c r="AO232" s="1945"/>
      <c r="AP232" s="1935"/>
      <c r="AQ232" s="1936"/>
      <c r="AR232" s="1941"/>
      <c r="AS232" s="1941"/>
      <c r="AT232" s="1941"/>
      <c r="AU232" s="1941"/>
      <c r="AV232" s="1941"/>
      <c r="AW232" s="1941"/>
      <c r="AX232" s="1941"/>
      <c r="AY232" s="1941"/>
      <c r="AZ232" s="1941"/>
      <c r="BA232" s="1941"/>
      <c r="BB232" s="1941"/>
      <c r="BC232" s="1941"/>
      <c r="BD232" s="1941"/>
      <c r="BE232" s="1941"/>
      <c r="BF232" s="1941"/>
      <c r="BG232" s="1941"/>
      <c r="BH232" s="1941"/>
      <c r="BI232" s="1941"/>
      <c r="BJ232" s="1941"/>
      <c r="BK232" s="1941"/>
      <c r="BL232" s="1941"/>
      <c r="BM232" s="1941"/>
      <c r="BN232" s="1941"/>
      <c r="BO232" s="1941"/>
      <c r="BP232" s="1009"/>
      <c r="BQ232" s="1009"/>
      <c r="BR232" s="1009"/>
      <c r="BS232" s="1009"/>
      <c r="BT232" s="1009"/>
      <c r="BU232" s="1009"/>
      <c r="BV232" s="1009"/>
      <c r="BW232" s="1009"/>
      <c r="BX232" s="1009"/>
      <c r="BY232" s="1009"/>
      <c r="BZ232" s="1009"/>
      <c r="CA232" s="1009"/>
      <c r="CB232" s="1009"/>
      <c r="CC232" s="1009"/>
      <c r="CD232" s="1009"/>
      <c r="CE232" s="1009"/>
      <c r="CF232" s="1009"/>
      <c r="CG232" s="1009"/>
      <c r="CH232" s="1009"/>
      <c r="CI232" s="1009"/>
      <c r="CJ232" s="1009"/>
      <c r="CK232" s="1009"/>
      <c r="CL232" s="1009"/>
      <c r="CM232" s="1009"/>
      <c r="CN232" s="1009"/>
      <c r="CO232" s="1009"/>
      <c r="CP232" s="1009"/>
      <c r="CQ232" s="1009"/>
      <c r="CR232" s="1009"/>
      <c r="CS232" s="1009"/>
      <c r="CT232" s="1009"/>
      <c r="CU232" s="1009"/>
      <c r="CV232" s="1009"/>
      <c r="CW232" s="1009"/>
      <c r="CX232" s="1009"/>
      <c r="CY232" s="1009"/>
      <c r="CZ232" s="1009"/>
      <c r="DA232" s="1009"/>
      <c r="DB232" s="1009"/>
      <c r="DC232" s="1009"/>
      <c r="DD232" s="1009"/>
      <c r="DE232" s="1009"/>
      <c r="DF232" s="1009"/>
      <c r="DG232" s="1009"/>
      <c r="DH232" s="1009"/>
      <c r="DI232" s="1009"/>
      <c r="DJ232" s="1009"/>
      <c r="DK232" s="1009"/>
      <c r="DL232" s="1009"/>
      <c r="DM232" s="1009"/>
      <c r="DN232" s="1009"/>
      <c r="DO232" s="1009"/>
      <c r="DP232" s="1009"/>
      <c r="DQ232" s="1009"/>
      <c r="DR232" s="1009"/>
      <c r="DS232" s="1009"/>
      <c r="DT232" s="1009"/>
      <c r="DU232" s="1009"/>
      <c r="DV232" s="1009"/>
      <c r="DW232" s="1009"/>
      <c r="DX232" s="1009"/>
      <c r="DY232" s="1009"/>
      <c r="DZ232" s="1009"/>
      <c r="EA232" s="1009"/>
      <c r="EB232" s="1009"/>
      <c r="EC232" s="1009"/>
      <c r="ED232" s="1009"/>
      <c r="EE232" s="1009"/>
      <c r="EF232" s="1009"/>
      <c r="EG232" s="1009"/>
      <c r="EH232" s="1009"/>
      <c r="EI232" s="1009"/>
      <c r="EJ232" s="1009"/>
      <c r="EK232" s="1009"/>
      <c r="EL232" s="1009"/>
      <c r="EM232" s="1009"/>
      <c r="EN232" s="1009"/>
      <c r="EO232" s="1009"/>
      <c r="EP232" s="1009"/>
      <c r="EQ232" s="1009"/>
      <c r="ER232" s="1009"/>
      <c r="ES232" s="1009"/>
      <c r="ET232" s="1009"/>
      <c r="EU232" s="1009"/>
      <c r="EV232" s="1009"/>
      <c r="EW232" s="1009"/>
      <c r="EX232" s="1009"/>
      <c r="EY232" s="1009"/>
      <c r="EZ232" s="1009"/>
      <c r="FA232" s="1009"/>
      <c r="FB232" s="1009"/>
      <c r="FC232" s="1009"/>
      <c r="FD232" s="1009"/>
      <c r="FE232" s="1009"/>
      <c r="FF232" s="1009"/>
      <c r="FG232" s="1009"/>
      <c r="FH232" s="1009"/>
      <c r="FI232" s="1009"/>
      <c r="FJ232" s="1009"/>
      <c r="FK232" s="1009"/>
      <c r="FL232" s="1009"/>
      <c r="FM232" s="1009"/>
      <c r="FN232" s="1009"/>
      <c r="FO232" s="1009"/>
      <c r="FP232" s="1009"/>
      <c r="FQ232" s="1009"/>
      <c r="FR232" s="1009"/>
      <c r="FS232" s="1009"/>
      <c r="FT232" s="1009"/>
      <c r="FU232" s="1009"/>
      <c r="FV232" s="1009"/>
      <c r="FW232" s="1009"/>
      <c r="FX232" s="1009"/>
      <c r="FY232" s="1009"/>
      <c r="FZ232" s="1009"/>
      <c r="GA232" s="1009"/>
      <c r="GB232" s="1009"/>
      <c r="GC232" s="1009"/>
      <c r="GD232" s="1009"/>
      <c r="GE232" s="1009"/>
      <c r="GF232" s="1009"/>
      <c r="GG232" s="1009"/>
      <c r="GH232" s="1009"/>
      <c r="GI232" s="1009"/>
      <c r="GJ232" s="1009"/>
      <c r="GK232" s="1009"/>
      <c r="GL232" s="1009"/>
      <c r="GM232" s="1009"/>
      <c r="GN232" s="1009"/>
      <c r="GO232" s="1009"/>
      <c r="GP232" s="1009"/>
      <c r="GQ232" s="1009"/>
      <c r="GR232" s="1009"/>
      <c r="GS232" s="1009"/>
      <c r="GT232" s="1009"/>
      <c r="GU232" s="1009"/>
      <c r="GV232" s="1009"/>
      <c r="GW232" s="1009"/>
      <c r="GX232" s="1009"/>
      <c r="GY232" s="1009"/>
      <c r="GZ232" s="1009"/>
      <c r="HA232" s="1009"/>
      <c r="HB232" s="1009"/>
      <c r="HC232" s="1009"/>
      <c r="HD232" s="1009"/>
      <c r="HE232" s="1009"/>
      <c r="HF232" s="1009"/>
      <c r="HG232" s="1009"/>
      <c r="HH232" s="1009"/>
      <c r="HI232" s="1009"/>
      <c r="HJ232" s="1009"/>
      <c r="HK232" s="1009"/>
      <c r="HL232" s="1009"/>
      <c r="HM232" s="1009"/>
      <c r="HN232" s="1009"/>
      <c r="HO232" s="1009"/>
      <c r="HP232" s="1009"/>
      <c r="HQ232" s="1009"/>
      <c r="HR232" s="1009"/>
      <c r="HS232" s="1009"/>
      <c r="HT232" s="1009"/>
      <c r="HU232" s="1009"/>
      <c r="HV232" s="1009"/>
      <c r="HW232" s="1009"/>
      <c r="HX232" s="1009"/>
      <c r="HY232" s="1009"/>
      <c r="HZ232" s="1009"/>
      <c r="IA232" s="1009"/>
      <c r="IB232" s="1009"/>
      <c r="IC232" s="1009"/>
      <c r="ID232" s="1009"/>
      <c r="IE232" s="1009"/>
      <c r="IF232" s="1009"/>
      <c r="IG232" s="1009"/>
      <c r="IH232" s="1009"/>
      <c r="II232" s="1009"/>
      <c r="IJ232" s="1009"/>
      <c r="IK232" s="1009"/>
      <c r="IL232" s="1009"/>
      <c r="IM232" s="1009"/>
      <c r="IN232" s="1009"/>
      <c r="IO232" s="1009"/>
      <c r="IP232" s="1009"/>
      <c r="IQ232" s="1009"/>
      <c r="IR232" s="1009"/>
      <c r="IS232" s="1009"/>
      <c r="IT232" s="1009"/>
      <c r="IU232" s="1009"/>
      <c r="IV232" s="1009"/>
      <c r="IW232" s="1009"/>
      <c r="IX232" s="1009"/>
      <c r="IY232" s="1009"/>
      <c r="IZ232" s="1009"/>
      <c r="JA232" s="1009"/>
      <c r="JB232" s="1009"/>
      <c r="JC232" s="1009"/>
      <c r="JD232" s="1009"/>
      <c r="JE232" s="1009"/>
      <c r="JF232" s="1009"/>
      <c r="JG232" s="1009"/>
      <c r="JH232" s="1009"/>
      <c r="JI232" s="1009"/>
      <c r="JJ232" s="1009"/>
      <c r="JK232" s="1009"/>
      <c r="JL232" s="1009"/>
      <c r="JM232" s="1009"/>
      <c r="JN232" s="1009"/>
      <c r="JO232" s="1009"/>
      <c r="JP232" s="1009"/>
      <c r="JQ232" s="1009"/>
      <c r="JR232" s="1009"/>
      <c r="JS232" s="1009"/>
      <c r="JT232" s="1009"/>
      <c r="JU232" s="1009"/>
      <c r="JV232" s="1009"/>
      <c r="JW232" s="1009"/>
      <c r="JX232" s="1009"/>
      <c r="JY232" s="1009"/>
      <c r="JZ232" s="1009"/>
      <c r="KA232" s="1009"/>
      <c r="KB232" s="1009"/>
      <c r="KC232" s="1009"/>
      <c r="KD232" s="1009"/>
      <c r="KE232" s="1009"/>
      <c r="KF232" s="1009"/>
      <c r="KG232" s="1009"/>
      <c r="KH232" s="1009"/>
      <c r="KI232" s="1009"/>
      <c r="KJ232" s="1009"/>
      <c r="KK232" s="1009"/>
      <c r="KL232" s="1009"/>
      <c r="KM232" s="1009"/>
      <c r="KN232" s="1009"/>
      <c r="KO232" s="1009"/>
      <c r="KP232" s="1009"/>
      <c r="KQ232" s="1009"/>
      <c r="KR232" s="1009"/>
      <c r="KS232" s="1009"/>
      <c r="KT232" s="1009"/>
      <c r="KU232" s="1009"/>
      <c r="KV232" s="1009"/>
      <c r="KW232" s="1009"/>
      <c r="KX232" s="1009"/>
      <c r="KY232" s="1009"/>
      <c r="KZ232" s="1009"/>
      <c r="LA232" s="1009"/>
      <c r="LB232" s="1009"/>
      <c r="LC232" s="1009"/>
      <c r="LD232" s="1009"/>
      <c r="LE232" s="1009"/>
      <c r="LF232" s="1009"/>
      <c r="LG232" s="1009"/>
      <c r="LH232" s="1009"/>
      <c r="LI232" s="1009"/>
      <c r="LJ232" s="1009"/>
      <c r="LK232" s="1009"/>
      <c r="LL232" s="1009"/>
      <c r="LM232" s="1009"/>
      <c r="LN232" s="1009"/>
      <c r="LO232" s="1009"/>
      <c r="LP232" s="1009"/>
      <c r="LQ232" s="1009"/>
      <c r="LR232" s="1009"/>
      <c r="LS232" s="1009"/>
      <c r="LT232" s="1009"/>
      <c r="LU232" s="1009"/>
      <c r="LV232" s="1009"/>
      <c r="LW232" s="1009"/>
      <c r="LX232" s="1009"/>
      <c r="LY232" s="1009"/>
      <c r="LZ232" s="1009"/>
      <c r="MA232" s="1009"/>
      <c r="MB232" s="1009"/>
      <c r="MC232" s="1009"/>
      <c r="MD232" s="1009"/>
      <c r="ME232" s="1009"/>
      <c r="MF232" s="1009"/>
      <c r="MG232" s="1009"/>
      <c r="MH232" s="1009"/>
      <c r="MI232" s="1009"/>
      <c r="MJ232" s="1009"/>
      <c r="MK232" s="1009"/>
      <c r="ML232" s="1009"/>
      <c r="MM232" s="1009"/>
      <c r="MN232" s="1009"/>
      <c r="MO232" s="1009"/>
      <c r="MP232" s="1009"/>
      <c r="MQ232" s="1009"/>
      <c r="MR232" s="1009"/>
      <c r="MS232" s="1009"/>
      <c r="MT232" s="1009"/>
      <c r="MU232" s="1009"/>
      <c r="MV232" s="1009"/>
      <c r="MW232" s="1009"/>
      <c r="MX232" s="1009"/>
      <c r="MY232" s="1009"/>
      <c r="MZ232" s="1009"/>
      <c r="NA232" s="1009"/>
      <c r="NB232" s="1009"/>
      <c r="NC232" s="1009"/>
      <c r="ND232" s="1009"/>
      <c r="NE232" s="1009"/>
      <c r="NF232" s="1009"/>
      <c r="NG232" s="1009"/>
      <c r="NH232" s="1009"/>
      <c r="NI232" s="1009"/>
      <c r="NJ232" s="1009"/>
      <c r="NK232" s="1009"/>
      <c r="NL232" s="1009"/>
      <c r="NM232" s="1009"/>
      <c r="NN232" s="1009"/>
      <c r="NO232" s="1009"/>
      <c r="NP232" s="1009"/>
      <c r="NQ232" s="1009"/>
      <c r="NR232" s="1009"/>
      <c r="NS232" s="1009"/>
      <c r="NT232" s="1009"/>
      <c r="NU232" s="1009"/>
      <c r="NV232" s="1009"/>
      <c r="NW232" s="1009"/>
      <c r="NX232" s="1009"/>
      <c r="NY232" s="1009"/>
      <c r="NZ232" s="1009"/>
      <c r="OA232" s="1009"/>
      <c r="OB232" s="1009"/>
      <c r="OC232" s="1009"/>
      <c r="OD232" s="1009"/>
      <c r="OE232" s="1009"/>
      <c r="OF232" s="1009"/>
      <c r="OG232" s="1009"/>
      <c r="OH232" s="1009"/>
      <c r="OI232" s="1009"/>
      <c r="OJ232" s="1009"/>
      <c r="OK232" s="1009"/>
      <c r="OL232" s="1009"/>
      <c r="OM232" s="1009"/>
      <c r="ON232" s="1009"/>
      <c r="OO232" s="1009"/>
      <c r="OP232" s="1009"/>
      <c r="OQ232" s="1009"/>
      <c r="OR232" s="1009"/>
      <c r="OS232" s="1009"/>
      <c r="OT232" s="1009"/>
      <c r="OU232" s="1009"/>
      <c r="OV232" s="1009"/>
      <c r="OW232" s="1009"/>
      <c r="OX232" s="1009"/>
      <c r="OY232" s="1009"/>
      <c r="OZ232" s="1009"/>
      <c r="PA232" s="1009"/>
      <c r="PB232" s="1009"/>
      <c r="PC232" s="1009"/>
      <c r="PD232" s="1009"/>
      <c r="PE232" s="1009"/>
      <c r="PF232" s="1009"/>
      <c r="PG232" s="1009"/>
      <c r="PH232" s="1009"/>
      <c r="PI232" s="1009"/>
      <c r="PJ232" s="1009"/>
      <c r="PK232" s="1009"/>
      <c r="PL232" s="1009"/>
      <c r="PM232" s="1009"/>
      <c r="PN232" s="1009"/>
      <c r="PO232" s="1009"/>
      <c r="PP232" s="1009"/>
      <c r="PQ232" s="1009"/>
      <c r="PR232" s="1009"/>
      <c r="PS232" s="1009"/>
      <c r="PT232" s="1009"/>
      <c r="PU232" s="1009"/>
      <c r="PV232" s="1009"/>
      <c r="PW232" s="1009"/>
      <c r="PX232" s="1009"/>
      <c r="PY232" s="1009"/>
      <c r="PZ232" s="1009"/>
      <c r="QA232" s="1009"/>
      <c r="QB232" s="1009"/>
      <c r="QC232" s="1009"/>
      <c r="QD232" s="1009"/>
      <c r="QE232" s="1009"/>
      <c r="QF232" s="1009"/>
      <c r="QG232" s="1009"/>
      <c r="QH232" s="1009"/>
      <c r="QI232" s="1009"/>
      <c r="QJ232" s="1009"/>
      <c r="QK232" s="1009"/>
      <c r="QL232" s="1009"/>
      <c r="QM232" s="1009"/>
      <c r="QN232" s="1009"/>
      <c r="QO232" s="1009"/>
      <c r="QP232" s="1009"/>
      <c r="QQ232" s="1009"/>
      <c r="QR232" s="1009"/>
      <c r="QS232" s="1009"/>
      <c r="QT232" s="1009"/>
      <c r="QU232" s="1009"/>
      <c r="QV232" s="1009"/>
      <c r="QW232" s="1009"/>
      <c r="QX232" s="1009"/>
      <c r="QY232" s="1009"/>
      <c r="QZ232" s="1009"/>
      <c r="RA232" s="1009"/>
      <c r="RB232" s="1009"/>
      <c r="RC232" s="1009"/>
      <c r="RD232" s="1009"/>
      <c r="RE232" s="1009"/>
      <c r="RF232" s="1009"/>
      <c r="RG232" s="1009"/>
      <c r="RH232" s="1009"/>
      <c r="RI232" s="1009"/>
      <c r="RJ232" s="1009"/>
      <c r="RK232" s="1009"/>
      <c r="RL232" s="1009"/>
      <c r="RM232" s="1009"/>
      <c r="RN232" s="1009"/>
      <c r="RO232" s="1009"/>
      <c r="RP232" s="1009"/>
      <c r="RQ232" s="1009"/>
      <c r="RR232" s="1009"/>
      <c r="RS232" s="1009"/>
      <c r="RT232" s="1009"/>
      <c r="RU232" s="1009"/>
      <c r="RV232" s="1009"/>
      <c r="RW232" s="1009"/>
      <c r="RX232" s="1009"/>
      <c r="RY232" s="1009"/>
      <c r="RZ232" s="1009"/>
      <c r="SA232" s="1009"/>
      <c r="SB232" s="1009"/>
      <c r="SC232" s="1009"/>
      <c r="SD232" s="1009"/>
      <c r="SE232" s="1009"/>
      <c r="SF232" s="1009"/>
      <c r="SG232" s="1009"/>
      <c r="SH232" s="1009"/>
      <c r="SI232" s="1009"/>
      <c r="SJ232" s="1009"/>
      <c r="SK232" s="1009"/>
      <c r="SL232" s="1009"/>
      <c r="SM232" s="1009"/>
      <c r="SN232" s="1009"/>
      <c r="SO232" s="1009"/>
      <c r="SP232" s="1009"/>
      <c r="SQ232" s="1009"/>
      <c r="SR232" s="1009"/>
      <c r="SS232" s="1009"/>
      <c r="ST232" s="1009"/>
      <c r="SU232" s="1009"/>
      <c r="SV232" s="1009"/>
      <c r="SW232" s="1009"/>
      <c r="SX232" s="1009"/>
      <c r="SY232" s="1009"/>
      <c r="SZ232" s="1009"/>
      <c r="TA232" s="1009"/>
      <c r="TB232" s="1009"/>
      <c r="TC232" s="1009"/>
      <c r="TD232" s="1009"/>
      <c r="TE232" s="1009"/>
      <c r="TF232" s="1009"/>
      <c r="TG232" s="1009"/>
      <c r="TH232" s="1009"/>
      <c r="TI232" s="1009"/>
      <c r="TJ232" s="1009"/>
      <c r="TK232" s="1009"/>
      <c r="TL232" s="1009"/>
      <c r="TM232" s="1009"/>
      <c r="TN232" s="1009"/>
      <c r="TO232" s="1009"/>
      <c r="TP232" s="1009"/>
      <c r="TQ232" s="1009"/>
      <c r="TR232" s="1009"/>
      <c r="TS232" s="1009"/>
      <c r="TT232" s="1009"/>
      <c r="TU232" s="1009"/>
      <c r="TV232" s="1009"/>
      <c r="TW232" s="1009"/>
      <c r="TX232" s="1009"/>
      <c r="TY232" s="1009"/>
      <c r="TZ232" s="1009"/>
      <c r="UA232" s="1009"/>
      <c r="UB232" s="1009"/>
      <c r="UC232" s="1009"/>
      <c r="UD232" s="1009"/>
      <c r="UE232" s="1009"/>
      <c r="UF232" s="1009"/>
      <c r="UG232" s="1009"/>
      <c r="UH232" s="1009"/>
      <c r="UI232" s="1009"/>
      <c r="UJ232" s="1009"/>
      <c r="UK232" s="1009"/>
      <c r="UL232" s="1009"/>
      <c r="UM232" s="1009"/>
      <c r="UN232" s="1009"/>
      <c r="UO232" s="1009"/>
      <c r="UP232" s="1009"/>
      <c r="UQ232" s="1009"/>
      <c r="UR232" s="1009"/>
      <c r="US232" s="1009"/>
      <c r="UT232" s="1009"/>
      <c r="UU232" s="1009"/>
      <c r="UV232" s="1009"/>
      <c r="UW232" s="1009"/>
      <c r="UX232" s="1009"/>
      <c r="UY232" s="1009"/>
      <c r="UZ232" s="1009"/>
      <c r="VA232" s="1009"/>
      <c r="VB232" s="1009"/>
      <c r="VC232" s="1009"/>
      <c r="VD232" s="1009"/>
      <c r="VE232" s="1009"/>
      <c r="VF232" s="1009"/>
      <c r="VG232" s="1009"/>
      <c r="VH232" s="1009"/>
      <c r="VI232" s="1009"/>
      <c r="VJ232" s="1009"/>
      <c r="VK232" s="1009"/>
      <c r="VL232" s="1009"/>
      <c r="VM232" s="1009"/>
      <c r="VN232" s="1009"/>
      <c r="VO232" s="1009"/>
      <c r="VP232" s="1009"/>
      <c r="VQ232" s="1009"/>
      <c r="VR232" s="1009"/>
      <c r="VS232" s="1009"/>
      <c r="VT232" s="1009"/>
      <c r="VU232" s="1009"/>
      <c r="VV232" s="1009"/>
      <c r="VW232" s="1009"/>
      <c r="VX232" s="1009"/>
      <c r="VY232" s="1009"/>
      <c r="VZ232" s="1009"/>
      <c r="WA232" s="1009"/>
      <c r="WB232" s="1009"/>
      <c r="WC232" s="1009"/>
      <c r="WD232" s="1009"/>
      <c r="WE232" s="1009"/>
      <c r="WF232" s="1009"/>
      <c r="WG232" s="1009"/>
      <c r="WH232" s="1009"/>
      <c r="WI232" s="1009"/>
      <c r="WJ232" s="1009"/>
      <c r="WK232" s="1009"/>
      <c r="WL232" s="1009"/>
      <c r="WM232" s="1009"/>
      <c r="WN232" s="1009"/>
      <c r="WO232" s="1009"/>
      <c r="WP232" s="1009"/>
      <c r="WQ232" s="1009"/>
      <c r="WR232" s="1009"/>
      <c r="WS232" s="1009"/>
      <c r="WT232" s="1009"/>
      <c r="WU232" s="1009"/>
      <c r="WV232" s="1009"/>
      <c r="WW232" s="1009"/>
      <c r="WX232" s="1009"/>
      <c r="WY232" s="1009"/>
      <c r="WZ232" s="1009"/>
      <c r="XA232" s="1009"/>
      <c r="XB232" s="1009"/>
      <c r="XC232" s="1009"/>
      <c r="XD232" s="1009"/>
      <c r="XE232" s="1009"/>
      <c r="XF232" s="1009"/>
      <c r="XG232" s="1009"/>
      <c r="XH232" s="1009"/>
      <c r="XI232" s="1009"/>
      <c r="XJ232" s="1009"/>
      <c r="XK232" s="1009"/>
      <c r="XL232" s="1009"/>
      <c r="XM232" s="1009"/>
      <c r="XN232" s="1009"/>
      <c r="XO232" s="1009"/>
      <c r="XP232" s="1009"/>
      <c r="XQ232" s="1009"/>
      <c r="XR232" s="1009"/>
      <c r="XS232" s="1009"/>
      <c r="XT232" s="1009"/>
      <c r="XU232" s="1009"/>
      <c r="XV232" s="1009"/>
      <c r="XW232" s="1009"/>
      <c r="XX232" s="1009"/>
      <c r="XY232" s="1009"/>
      <c r="XZ232" s="1009"/>
      <c r="YA232" s="1009"/>
      <c r="YB232" s="1009"/>
      <c r="YC232" s="1009"/>
      <c r="YD232" s="1009"/>
      <c r="YE232" s="1009"/>
      <c r="YF232" s="1009"/>
      <c r="YG232" s="1009"/>
      <c r="YH232" s="1009"/>
      <c r="YI232" s="1009"/>
      <c r="YJ232" s="1009"/>
      <c r="YK232" s="1009"/>
      <c r="YL232" s="1009"/>
      <c r="YM232" s="1009"/>
      <c r="YN232" s="1009"/>
      <c r="YO232" s="1009"/>
      <c r="YP232" s="1009"/>
      <c r="YQ232" s="1009"/>
      <c r="YR232" s="1009"/>
      <c r="YS232" s="1009"/>
      <c r="YT232" s="1009"/>
      <c r="YU232" s="1009"/>
      <c r="YV232" s="1009"/>
      <c r="YW232" s="1009"/>
      <c r="YX232" s="1009"/>
      <c r="YY232" s="1009"/>
      <c r="YZ232" s="1009"/>
      <c r="ZA232" s="1009"/>
      <c r="ZB232" s="1009"/>
      <c r="ZC232" s="1009"/>
      <c r="ZD232" s="1009"/>
      <c r="ZE232" s="1009"/>
      <c r="ZF232" s="1009"/>
      <c r="ZG232" s="1009"/>
      <c r="ZH232" s="1009"/>
      <c r="ZI232" s="1009"/>
      <c r="ZJ232" s="1009"/>
      <c r="ZK232" s="1009"/>
      <c r="ZL232" s="1009"/>
      <c r="ZM232" s="1009"/>
      <c r="ZN232" s="1009"/>
      <c r="ZO232" s="1009"/>
      <c r="ZP232" s="1009"/>
      <c r="ZQ232" s="1009"/>
      <c r="ZR232" s="1009"/>
      <c r="ZS232" s="1009"/>
      <c r="ZT232" s="1009"/>
      <c r="ZU232" s="1009"/>
      <c r="ZV232" s="1009"/>
      <c r="ZW232" s="1009"/>
      <c r="ZX232" s="1009"/>
      <c r="ZY232" s="1009"/>
      <c r="ZZ232" s="1009"/>
      <c r="AAA232" s="1009"/>
      <c r="AAB232" s="1009"/>
      <c r="AAC232" s="1009"/>
      <c r="AAD232" s="1009"/>
      <c r="AAE232" s="1009"/>
      <c r="AAF232" s="1009"/>
      <c r="AAG232" s="1009"/>
      <c r="AAH232" s="1009"/>
      <c r="AAI232" s="1009"/>
      <c r="AAJ232" s="1009"/>
      <c r="AAK232" s="1009"/>
      <c r="AAL232" s="1009"/>
      <c r="AAM232" s="1009"/>
      <c r="AAN232" s="1009"/>
      <c r="AAO232" s="1009"/>
      <c r="AAP232" s="1009"/>
      <c r="AAQ232" s="1009"/>
      <c r="AAR232" s="1009"/>
      <c r="AAS232" s="1009"/>
      <c r="AAT232" s="1009"/>
      <c r="AAU232" s="1009"/>
      <c r="AAV232" s="1009"/>
      <c r="AAW232" s="1009"/>
      <c r="AAX232" s="1009"/>
      <c r="AAY232" s="1009"/>
      <c r="AAZ232" s="1009"/>
      <c r="ABA232" s="1009"/>
      <c r="ABB232" s="1009"/>
      <c r="ABC232" s="1009"/>
      <c r="ABD232" s="1009"/>
      <c r="ABE232" s="1009"/>
      <c r="ABF232" s="1009"/>
      <c r="ABG232" s="1009"/>
      <c r="ABH232" s="1009"/>
      <c r="ABI232" s="1009"/>
      <c r="ABJ232" s="1009"/>
      <c r="ABK232" s="1009"/>
      <c r="ABL232" s="1009"/>
      <c r="ABM232" s="1009"/>
      <c r="ABN232" s="1009"/>
      <c r="ABO232" s="1009"/>
      <c r="ABP232" s="1009"/>
      <c r="ABQ232" s="1009"/>
      <c r="ABR232" s="1009"/>
    </row>
    <row r="233" spans="1:746" s="111" customFormat="1" ht="12" customHeight="1">
      <c r="A233" s="2235"/>
      <c r="B233" s="2620" t="s">
        <v>1197</v>
      </c>
      <c r="C233" s="2621"/>
      <c r="D233" s="2622" t="s">
        <v>116</v>
      </c>
      <c r="E233" s="3000"/>
      <c r="F233" s="3001"/>
      <c r="G233" s="3002"/>
      <c r="H233" s="2501"/>
      <c r="I233" s="373"/>
      <c r="J233" s="2608"/>
      <c r="K233" s="2608"/>
      <c r="L233" s="2608"/>
      <c r="M233" s="2608"/>
      <c r="N233" s="2608"/>
      <c r="O233" s="2608"/>
      <c r="P233" s="2608"/>
      <c r="Q233" s="2608"/>
      <c r="R233" s="2608"/>
      <c r="S233" s="2608"/>
      <c r="T233" s="2608"/>
      <c r="U233" s="2324"/>
      <c r="V233" s="2324"/>
      <c r="W233" s="2324"/>
      <c r="X233" s="2324"/>
      <c r="Y233" s="2324"/>
      <c r="Z233" s="2324"/>
      <c r="AA233" s="2324"/>
      <c r="AB233" s="2324"/>
      <c r="AC233" s="2324"/>
      <c r="AD233" s="2324"/>
      <c r="AE233" s="358"/>
      <c r="AF233" s="358"/>
      <c r="AG233" s="1042"/>
      <c r="AH233" s="786"/>
      <c r="AI233" s="786"/>
      <c r="AJ233" s="1044"/>
      <c r="AK233" s="1047"/>
      <c r="AL233" s="1044"/>
      <c r="AM233" s="1009"/>
      <c r="AN233" s="1026"/>
      <c r="AO233" s="1945"/>
      <c r="AP233" s="1935"/>
      <c r="AQ233" s="1936"/>
      <c r="AR233" s="1941"/>
      <c r="AS233" s="1941"/>
      <c r="AT233" s="1941"/>
      <c r="AU233" s="1941"/>
      <c r="AV233" s="1941"/>
      <c r="AW233" s="1941"/>
      <c r="AX233" s="1941"/>
      <c r="AY233" s="1941"/>
      <c r="AZ233" s="1941"/>
      <c r="BA233" s="1941"/>
      <c r="BB233" s="1941"/>
      <c r="BC233" s="1941"/>
      <c r="BD233" s="1941"/>
      <c r="BE233" s="1941"/>
      <c r="BF233" s="1941"/>
      <c r="BG233" s="1941"/>
      <c r="BH233" s="1941"/>
      <c r="BI233" s="1941"/>
      <c r="BJ233" s="1941"/>
      <c r="BK233" s="1941"/>
      <c r="BL233" s="1941"/>
      <c r="BM233" s="1941"/>
      <c r="BN233" s="1941"/>
      <c r="BO233" s="1941"/>
      <c r="BP233" s="1009"/>
      <c r="BQ233" s="1009"/>
      <c r="BR233" s="1009"/>
      <c r="BS233" s="1009"/>
      <c r="BT233" s="1009"/>
      <c r="BU233" s="1009"/>
      <c r="BV233" s="1009"/>
      <c r="BW233" s="1009"/>
      <c r="BX233" s="1009"/>
      <c r="BY233" s="1009"/>
      <c r="BZ233" s="1009"/>
      <c r="CA233" s="1009"/>
      <c r="CB233" s="1009"/>
      <c r="CC233" s="1009"/>
      <c r="CD233" s="1009"/>
      <c r="CE233" s="1009"/>
      <c r="CF233" s="1009"/>
      <c r="CG233" s="1009"/>
      <c r="CH233" s="1009"/>
      <c r="CI233" s="1009"/>
      <c r="CJ233" s="1009"/>
      <c r="CK233" s="1009"/>
      <c r="CL233" s="1009"/>
      <c r="CM233" s="1009"/>
      <c r="CN233" s="1009"/>
      <c r="CO233" s="1009"/>
      <c r="CP233" s="1009"/>
      <c r="CQ233" s="1009"/>
      <c r="CR233" s="1009"/>
      <c r="CS233" s="1009"/>
      <c r="CT233" s="1009"/>
      <c r="CU233" s="1009"/>
      <c r="CV233" s="1009"/>
      <c r="CW233" s="1009"/>
      <c r="CX233" s="1009"/>
      <c r="CY233" s="1009"/>
      <c r="CZ233" s="1009"/>
      <c r="DA233" s="1009"/>
      <c r="DB233" s="1009"/>
      <c r="DC233" s="1009"/>
      <c r="DD233" s="1009"/>
      <c r="DE233" s="1009"/>
      <c r="DF233" s="1009"/>
      <c r="DG233" s="1009"/>
      <c r="DH233" s="1009"/>
      <c r="DI233" s="1009"/>
      <c r="DJ233" s="1009"/>
      <c r="DK233" s="1009"/>
      <c r="DL233" s="1009"/>
      <c r="DM233" s="1009"/>
      <c r="DN233" s="1009"/>
      <c r="DO233" s="1009"/>
      <c r="DP233" s="1009"/>
      <c r="DQ233" s="1009"/>
      <c r="DR233" s="1009"/>
      <c r="DS233" s="1009"/>
      <c r="DT233" s="1009"/>
      <c r="DU233" s="1009"/>
      <c r="DV233" s="1009"/>
      <c r="DW233" s="1009"/>
      <c r="DX233" s="1009"/>
      <c r="DY233" s="1009"/>
      <c r="DZ233" s="1009"/>
      <c r="EA233" s="1009"/>
      <c r="EB233" s="1009"/>
      <c r="EC233" s="1009"/>
      <c r="ED233" s="1009"/>
      <c r="EE233" s="1009"/>
      <c r="EF233" s="1009"/>
      <c r="EG233" s="1009"/>
      <c r="EH233" s="1009"/>
      <c r="EI233" s="1009"/>
      <c r="EJ233" s="1009"/>
      <c r="EK233" s="1009"/>
      <c r="EL233" s="1009"/>
      <c r="EM233" s="1009"/>
      <c r="EN233" s="1009"/>
      <c r="EO233" s="1009"/>
      <c r="EP233" s="1009"/>
      <c r="EQ233" s="1009"/>
      <c r="ER233" s="1009"/>
      <c r="ES233" s="1009"/>
      <c r="ET233" s="1009"/>
      <c r="EU233" s="1009"/>
      <c r="EV233" s="1009"/>
      <c r="EW233" s="1009"/>
      <c r="EX233" s="1009"/>
      <c r="EY233" s="1009"/>
      <c r="EZ233" s="1009"/>
      <c r="FA233" s="1009"/>
      <c r="FB233" s="1009"/>
      <c r="FC233" s="1009"/>
      <c r="FD233" s="1009"/>
      <c r="FE233" s="1009"/>
      <c r="FF233" s="1009"/>
      <c r="FG233" s="1009"/>
      <c r="FH233" s="1009"/>
      <c r="FI233" s="1009"/>
      <c r="FJ233" s="1009"/>
      <c r="FK233" s="1009"/>
      <c r="FL233" s="1009"/>
      <c r="FM233" s="1009"/>
      <c r="FN233" s="1009"/>
      <c r="FO233" s="1009"/>
      <c r="FP233" s="1009"/>
      <c r="FQ233" s="1009"/>
      <c r="FR233" s="1009"/>
      <c r="FS233" s="1009"/>
      <c r="FT233" s="1009"/>
      <c r="FU233" s="1009"/>
      <c r="FV233" s="1009"/>
      <c r="FW233" s="1009"/>
      <c r="FX233" s="1009"/>
      <c r="FY233" s="1009"/>
      <c r="FZ233" s="1009"/>
      <c r="GA233" s="1009"/>
      <c r="GB233" s="1009"/>
      <c r="GC233" s="1009"/>
      <c r="GD233" s="1009"/>
      <c r="GE233" s="1009"/>
      <c r="GF233" s="1009"/>
      <c r="GG233" s="1009"/>
      <c r="GH233" s="1009"/>
      <c r="GI233" s="1009"/>
      <c r="GJ233" s="1009"/>
      <c r="GK233" s="1009"/>
      <c r="GL233" s="1009"/>
      <c r="GM233" s="1009"/>
      <c r="GN233" s="1009"/>
      <c r="GO233" s="1009"/>
      <c r="GP233" s="1009"/>
      <c r="GQ233" s="1009"/>
      <c r="GR233" s="1009"/>
      <c r="GS233" s="1009"/>
      <c r="GT233" s="1009"/>
      <c r="GU233" s="1009"/>
      <c r="GV233" s="1009"/>
      <c r="GW233" s="1009"/>
      <c r="GX233" s="1009"/>
      <c r="GY233" s="1009"/>
      <c r="GZ233" s="1009"/>
      <c r="HA233" s="1009"/>
      <c r="HB233" s="1009"/>
      <c r="HC233" s="1009"/>
      <c r="HD233" s="1009"/>
      <c r="HE233" s="1009"/>
      <c r="HF233" s="1009"/>
      <c r="HG233" s="1009"/>
      <c r="HH233" s="1009"/>
      <c r="HI233" s="1009"/>
      <c r="HJ233" s="1009"/>
      <c r="HK233" s="1009"/>
      <c r="HL233" s="1009"/>
      <c r="HM233" s="1009"/>
      <c r="HN233" s="1009"/>
      <c r="HO233" s="1009"/>
      <c r="HP233" s="1009"/>
      <c r="HQ233" s="1009"/>
      <c r="HR233" s="1009"/>
      <c r="HS233" s="1009"/>
      <c r="HT233" s="1009"/>
      <c r="HU233" s="1009"/>
      <c r="HV233" s="1009"/>
      <c r="HW233" s="1009"/>
      <c r="HX233" s="1009"/>
      <c r="HY233" s="1009"/>
      <c r="HZ233" s="1009"/>
      <c r="IA233" s="1009"/>
      <c r="IB233" s="1009"/>
      <c r="IC233" s="1009"/>
      <c r="ID233" s="1009"/>
      <c r="IE233" s="1009"/>
      <c r="IF233" s="1009"/>
      <c r="IG233" s="1009"/>
      <c r="IH233" s="1009"/>
      <c r="II233" s="1009"/>
      <c r="IJ233" s="1009"/>
      <c r="IK233" s="1009"/>
      <c r="IL233" s="1009"/>
      <c r="IM233" s="1009"/>
      <c r="IN233" s="1009"/>
      <c r="IO233" s="1009"/>
      <c r="IP233" s="1009"/>
      <c r="IQ233" s="1009"/>
      <c r="IR233" s="1009"/>
      <c r="IS233" s="1009"/>
      <c r="IT233" s="1009"/>
      <c r="IU233" s="1009"/>
      <c r="IV233" s="1009"/>
      <c r="IW233" s="1009"/>
      <c r="IX233" s="1009"/>
      <c r="IY233" s="1009"/>
      <c r="IZ233" s="1009"/>
      <c r="JA233" s="1009"/>
      <c r="JB233" s="1009"/>
      <c r="JC233" s="1009"/>
      <c r="JD233" s="1009"/>
      <c r="JE233" s="1009"/>
      <c r="JF233" s="1009"/>
      <c r="JG233" s="1009"/>
      <c r="JH233" s="1009"/>
      <c r="JI233" s="1009"/>
      <c r="JJ233" s="1009"/>
      <c r="JK233" s="1009"/>
      <c r="JL233" s="1009"/>
      <c r="JM233" s="1009"/>
      <c r="JN233" s="1009"/>
      <c r="JO233" s="1009"/>
      <c r="JP233" s="1009"/>
      <c r="JQ233" s="1009"/>
      <c r="JR233" s="1009"/>
      <c r="JS233" s="1009"/>
      <c r="JT233" s="1009"/>
      <c r="JU233" s="1009"/>
      <c r="JV233" s="1009"/>
      <c r="JW233" s="1009"/>
      <c r="JX233" s="1009"/>
      <c r="JY233" s="1009"/>
      <c r="JZ233" s="1009"/>
      <c r="KA233" s="1009"/>
      <c r="KB233" s="1009"/>
      <c r="KC233" s="1009"/>
      <c r="KD233" s="1009"/>
      <c r="KE233" s="1009"/>
      <c r="KF233" s="1009"/>
      <c r="KG233" s="1009"/>
      <c r="KH233" s="1009"/>
      <c r="KI233" s="1009"/>
      <c r="KJ233" s="1009"/>
      <c r="KK233" s="1009"/>
      <c r="KL233" s="1009"/>
      <c r="KM233" s="1009"/>
      <c r="KN233" s="1009"/>
      <c r="KO233" s="1009"/>
      <c r="KP233" s="1009"/>
      <c r="KQ233" s="1009"/>
      <c r="KR233" s="1009"/>
      <c r="KS233" s="1009"/>
      <c r="KT233" s="1009"/>
      <c r="KU233" s="1009"/>
      <c r="KV233" s="1009"/>
      <c r="KW233" s="1009"/>
      <c r="KX233" s="1009"/>
      <c r="KY233" s="1009"/>
      <c r="KZ233" s="1009"/>
      <c r="LA233" s="1009"/>
      <c r="LB233" s="1009"/>
      <c r="LC233" s="1009"/>
      <c r="LD233" s="1009"/>
      <c r="LE233" s="1009"/>
      <c r="LF233" s="1009"/>
      <c r="LG233" s="1009"/>
      <c r="LH233" s="1009"/>
      <c r="LI233" s="1009"/>
      <c r="LJ233" s="1009"/>
      <c r="LK233" s="1009"/>
      <c r="LL233" s="1009"/>
      <c r="LM233" s="1009"/>
      <c r="LN233" s="1009"/>
      <c r="LO233" s="1009"/>
      <c r="LP233" s="1009"/>
      <c r="LQ233" s="1009"/>
      <c r="LR233" s="1009"/>
      <c r="LS233" s="1009"/>
      <c r="LT233" s="1009"/>
      <c r="LU233" s="1009"/>
      <c r="LV233" s="1009"/>
      <c r="LW233" s="1009"/>
      <c r="LX233" s="1009"/>
      <c r="LY233" s="1009"/>
      <c r="LZ233" s="1009"/>
      <c r="MA233" s="1009"/>
      <c r="MB233" s="1009"/>
      <c r="MC233" s="1009"/>
      <c r="MD233" s="1009"/>
      <c r="ME233" s="1009"/>
      <c r="MF233" s="1009"/>
      <c r="MG233" s="1009"/>
      <c r="MH233" s="1009"/>
      <c r="MI233" s="1009"/>
      <c r="MJ233" s="1009"/>
      <c r="MK233" s="1009"/>
      <c r="ML233" s="1009"/>
      <c r="MM233" s="1009"/>
      <c r="MN233" s="1009"/>
      <c r="MO233" s="1009"/>
      <c r="MP233" s="1009"/>
      <c r="MQ233" s="1009"/>
      <c r="MR233" s="1009"/>
      <c r="MS233" s="1009"/>
      <c r="MT233" s="1009"/>
      <c r="MU233" s="1009"/>
      <c r="MV233" s="1009"/>
      <c r="MW233" s="1009"/>
      <c r="MX233" s="1009"/>
      <c r="MY233" s="1009"/>
      <c r="MZ233" s="1009"/>
      <c r="NA233" s="1009"/>
      <c r="NB233" s="1009"/>
      <c r="NC233" s="1009"/>
      <c r="ND233" s="1009"/>
      <c r="NE233" s="1009"/>
      <c r="NF233" s="1009"/>
      <c r="NG233" s="1009"/>
      <c r="NH233" s="1009"/>
      <c r="NI233" s="1009"/>
      <c r="NJ233" s="1009"/>
      <c r="NK233" s="1009"/>
      <c r="NL233" s="1009"/>
      <c r="NM233" s="1009"/>
      <c r="NN233" s="1009"/>
      <c r="NO233" s="1009"/>
      <c r="NP233" s="1009"/>
      <c r="NQ233" s="1009"/>
      <c r="NR233" s="1009"/>
      <c r="NS233" s="1009"/>
      <c r="NT233" s="1009"/>
      <c r="NU233" s="1009"/>
      <c r="NV233" s="1009"/>
      <c r="NW233" s="1009"/>
      <c r="NX233" s="1009"/>
      <c r="NY233" s="1009"/>
      <c r="NZ233" s="1009"/>
      <c r="OA233" s="1009"/>
      <c r="OB233" s="1009"/>
      <c r="OC233" s="1009"/>
      <c r="OD233" s="1009"/>
      <c r="OE233" s="1009"/>
      <c r="OF233" s="1009"/>
      <c r="OG233" s="1009"/>
      <c r="OH233" s="1009"/>
      <c r="OI233" s="1009"/>
      <c r="OJ233" s="1009"/>
      <c r="OK233" s="1009"/>
      <c r="OL233" s="1009"/>
      <c r="OM233" s="1009"/>
      <c r="ON233" s="1009"/>
      <c r="OO233" s="1009"/>
      <c r="OP233" s="1009"/>
      <c r="OQ233" s="1009"/>
      <c r="OR233" s="1009"/>
      <c r="OS233" s="1009"/>
      <c r="OT233" s="1009"/>
      <c r="OU233" s="1009"/>
      <c r="OV233" s="1009"/>
      <c r="OW233" s="1009"/>
      <c r="OX233" s="1009"/>
      <c r="OY233" s="1009"/>
      <c r="OZ233" s="1009"/>
      <c r="PA233" s="1009"/>
      <c r="PB233" s="1009"/>
      <c r="PC233" s="1009"/>
      <c r="PD233" s="1009"/>
      <c r="PE233" s="1009"/>
      <c r="PF233" s="1009"/>
      <c r="PG233" s="1009"/>
      <c r="PH233" s="1009"/>
      <c r="PI233" s="1009"/>
      <c r="PJ233" s="1009"/>
      <c r="PK233" s="1009"/>
      <c r="PL233" s="1009"/>
      <c r="PM233" s="1009"/>
      <c r="PN233" s="1009"/>
      <c r="PO233" s="1009"/>
      <c r="PP233" s="1009"/>
      <c r="PQ233" s="1009"/>
      <c r="PR233" s="1009"/>
      <c r="PS233" s="1009"/>
      <c r="PT233" s="1009"/>
      <c r="PU233" s="1009"/>
      <c r="PV233" s="1009"/>
      <c r="PW233" s="1009"/>
      <c r="PX233" s="1009"/>
      <c r="PY233" s="1009"/>
      <c r="PZ233" s="1009"/>
      <c r="QA233" s="1009"/>
      <c r="QB233" s="1009"/>
      <c r="QC233" s="1009"/>
      <c r="QD233" s="1009"/>
      <c r="QE233" s="1009"/>
      <c r="QF233" s="1009"/>
      <c r="QG233" s="1009"/>
      <c r="QH233" s="1009"/>
      <c r="QI233" s="1009"/>
      <c r="QJ233" s="1009"/>
      <c r="QK233" s="1009"/>
      <c r="QL233" s="1009"/>
      <c r="QM233" s="1009"/>
      <c r="QN233" s="1009"/>
      <c r="QO233" s="1009"/>
      <c r="QP233" s="1009"/>
      <c r="QQ233" s="1009"/>
      <c r="QR233" s="1009"/>
      <c r="QS233" s="1009"/>
      <c r="QT233" s="1009"/>
      <c r="QU233" s="1009"/>
      <c r="QV233" s="1009"/>
      <c r="QW233" s="1009"/>
      <c r="QX233" s="1009"/>
      <c r="QY233" s="1009"/>
      <c r="QZ233" s="1009"/>
      <c r="RA233" s="1009"/>
      <c r="RB233" s="1009"/>
      <c r="RC233" s="1009"/>
      <c r="RD233" s="1009"/>
      <c r="RE233" s="1009"/>
      <c r="RF233" s="1009"/>
      <c r="RG233" s="1009"/>
      <c r="RH233" s="1009"/>
      <c r="RI233" s="1009"/>
      <c r="RJ233" s="1009"/>
      <c r="RK233" s="1009"/>
      <c r="RL233" s="1009"/>
      <c r="RM233" s="1009"/>
      <c r="RN233" s="1009"/>
      <c r="RO233" s="1009"/>
      <c r="RP233" s="1009"/>
      <c r="RQ233" s="1009"/>
      <c r="RR233" s="1009"/>
      <c r="RS233" s="1009"/>
      <c r="RT233" s="1009"/>
      <c r="RU233" s="1009"/>
      <c r="RV233" s="1009"/>
      <c r="RW233" s="1009"/>
      <c r="RX233" s="1009"/>
      <c r="RY233" s="1009"/>
      <c r="RZ233" s="1009"/>
      <c r="SA233" s="1009"/>
      <c r="SB233" s="1009"/>
      <c r="SC233" s="1009"/>
      <c r="SD233" s="1009"/>
      <c r="SE233" s="1009"/>
      <c r="SF233" s="1009"/>
      <c r="SG233" s="1009"/>
      <c r="SH233" s="1009"/>
      <c r="SI233" s="1009"/>
      <c r="SJ233" s="1009"/>
      <c r="SK233" s="1009"/>
      <c r="SL233" s="1009"/>
      <c r="SM233" s="1009"/>
      <c r="SN233" s="1009"/>
      <c r="SO233" s="1009"/>
      <c r="SP233" s="1009"/>
      <c r="SQ233" s="1009"/>
      <c r="SR233" s="1009"/>
      <c r="SS233" s="1009"/>
      <c r="ST233" s="1009"/>
      <c r="SU233" s="1009"/>
      <c r="SV233" s="1009"/>
      <c r="SW233" s="1009"/>
      <c r="SX233" s="1009"/>
      <c r="SY233" s="1009"/>
      <c r="SZ233" s="1009"/>
      <c r="TA233" s="1009"/>
      <c r="TB233" s="1009"/>
      <c r="TC233" s="1009"/>
      <c r="TD233" s="1009"/>
      <c r="TE233" s="1009"/>
      <c r="TF233" s="1009"/>
      <c r="TG233" s="1009"/>
      <c r="TH233" s="1009"/>
      <c r="TI233" s="1009"/>
      <c r="TJ233" s="1009"/>
      <c r="TK233" s="1009"/>
      <c r="TL233" s="1009"/>
      <c r="TM233" s="1009"/>
      <c r="TN233" s="1009"/>
      <c r="TO233" s="1009"/>
      <c r="TP233" s="1009"/>
      <c r="TQ233" s="1009"/>
      <c r="TR233" s="1009"/>
      <c r="TS233" s="1009"/>
      <c r="TT233" s="1009"/>
      <c r="TU233" s="1009"/>
      <c r="TV233" s="1009"/>
      <c r="TW233" s="1009"/>
      <c r="TX233" s="1009"/>
      <c r="TY233" s="1009"/>
      <c r="TZ233" s="1009"/>
      <c r="UA233" s="1009"/>
      <c r="UB233" s="1009"/>
      <c r="UC233" s="1009"/>
      <c r="UD233" s="1009"/>
      <c r="UE233" s="1009"/>
      <c r="UF233" s="1009"/>
      <c r="UG233" s="1009"/>
      <c r="UH233" s="1009"/>
      <c r="UI233" s="1009"/>
      <c r="UJ233" s="1009"/>
      <c r="UK233" s="1009"/>
      <c r="UL233" s="1009"/>
      <c r="UM233" s="1009"/>
      <c r="UN233" s="1009"/>
      <c r="UO233" s="1009"/>
      <c r="UP233" s="1009"/>
      <c r="UQ233" s="1009"/>
      <c r="UR233" s="1009"/>
      <c r="US233" s="1009"/>
      <c r="UT233" s="1009"/>
      <c r="UU233" s="1009"/>
      <c r="UV233" s="1009"/>
      <c r="UW233" s="1009"/>
      <c r="UX233" s="1009"/>
      <c r="UY233" s="1009"/>
      <c r="UZ233" s="1009"/>
      <c r="VA233" s="1009"/>
      <c r="VB233" s="1009"/>
      <c r="VC233" s="1009"/>
      <c r="VD233" s="1009"/>
      <c r="VE233" s="1009"/>
      <c r="VF233" s="1009"/>
      <c r="VG233" s="1009"/>
      <c r="VH233" s="1009"/>
      <c r="VI233" s="1009"/>
      <c r="VJ233" s="1009"/>
      <c r="VK233" s="1009"/>
      <c r="VL233" s="1009"/>
      <c r="VM233" s="1009"/>
      <c r="VN233" s="1009"/>
      <c r="VO233" s="1009"/>
      <c r="VP233" s="1009"/>
      <c r="VQ233" s="1009"/>
      <c r="VR233" s="1009"/>
      <c r="VS233" s="1009"/>
      <c r="VT233" s="1009"/>
      <c r="VU233" s="1009"/>
      <c r="VV233" s="1009"/>
      <c r="VW233" s="1009"/>
      <c r="VX233" s="1009"/>
      <c r="VY233" s="1009"/>
      <c r="VZ233" s="1009"/>
      <c r="WA233" s="1009"/>
      <c r="WB233" s="1009"/>
      <c r="WC233" s="1009"/>
      <c r="WD233" s="1009"/>
      <c r="WE233" s="1009"/>
      <c r="WF233" s="1009"/>
      <c r="WG233" s="1009"/>
      <c r="WH233" s="1009"/>
      <c r="WI233" s="1009"/>
      <c r="WJ233" s="1009"/>
      <c r="WK233" s="1009"/>
      <c r="WL233" s="1009"/>
      <c r="WM233" s="1009"/>
      <c r="WN233" s="1009"/>
      <c r="WO233" s="1009"/>
      <c r="WP233" s="1009"/>
      <c r="WQ233" s="1009"/>
      <c r="WR233" s="1009"/>
      <c r="WS233" s="1009"/>
      <c r="WT233" s="1009"/>
      <c r="WU233" s="1009"/>
      <c r="WV233" s="1009"/>
      <c r="WW233" s="1009"/>
      <c r="WX233" s="1009"/>
      <c r="WY233" s="1009"/>
      <c r="WZ233" s="1009"/>
      <c r="XA233" s="1009"/>
      <c r="XB233" s="1009"/>
      <c r="XC233" s="1009"/>
      <c r="XD233" s="1009"/>
      <c r="XE233" s="1009"/>
      <c r="XF233" s="1009"/>
      <c r="XG233" s="1009"/>
      <c r="XH233" s="1009"/>
      <c r="XI233" s="1009"/>
      <c r="XJ233" s="1009"/>
      <c r="XK233" s="1009"/>
      <c r="XL233" s="1009"/>
      <c r="XM233" s="1009"/>
      <c r="XN233" s="1009"/>
      <c r="XO233" s="1009"/>
      <c r="XP233" s="1009"/>
      <c r="XQ233" s="1009"/>
      <c r="XR233" s="1009"/>
      <c r="XS233" s="1009"/>
      <c r="XT233" s="1009"/>
      <c r="XU233" s="1009"/>
      <c r="XV233" s="1009"/>
      <c r="XW233" s="1009"/>
      <c r="XX233" s="1009"/>
      <c r="XY233" s="1009"/>
      <c r="XZ233" s="1009"/>
      <c r="YA233" s="1009"/>
      <c r="YB233" s="1009"/>
      <c r="YC233" s="1009"/>
      <c r="YD233" s="1009"/>
      <c r="YE233" s="1009"/>
      <c r="YF233" s="1009"/>
      <c r="YG233" s="1009"/>
      <c r="YH233" s="1009"/>
      <c r="YI233" s="1009"/>
      <c r="YJ233" s="1009"/>
      <c r="YK233" s="1009"/>
      <c r="YL233" s="1009"/>
      <c r="YM233" s="1009"/>
      <c r="YN233" s="1009"/>
      <c r="YO233" s="1009"/>
      <c r="YP233" s="1009"/>
      <c r="YQ233" s="1009"/>
      <c r="YR233" s="1009"/>
      <c r="YS233" s="1009"/>
      <c r="YT233" s="1009"/>
      <c r="YU233" s="1009"/>
      <c r="YV233" s="1009"/>
      <c r="YW233" s="1009"/>
      <c r="YX233" s="1009"/>
      <c r="YY233" s="1009"/>
      <c r="YZ233" s="1009"/>
      <c r="ZA233" s="1009"/>
      <c r="ZB233" s="1009"/>
      <c r="ZC233" s="1009"/>
      <c r="ZD233" s="1009"/>
      <c r="ZE233" s="1009"/>
      <c r="ZF233" s="1009"/>
      <c r="ZG233" s="1009"/>
      <c r="ZH233" s="1009"/>
      <c r="ZI233" s="1009"/>
      <c r="ZJ233" s="1009"/>
      <c r="ZK233" s="1009"/>
      <c r="ZL233" s="1009"/>
      <c r="ZM233" s="1009"/>
      <c r="ZN233" s="1009"/>
      <c r="ZO233" s="1009"/>
      <c r="ZP233" s="1009"/>
      <c r="ZQ233" s="1009"/>
      <c r="ZR233" s="1009"/>
      <c r="ZS233" s="1009"/>
      <c r="ZT233" s="1009"/>
      <c r="ZU233" s="1009"/>
      <c r="ZV233" s="1009"/>
      <c r="ZW233" s="1009"/>
      <c r="ZX233" s="1009"/>
      <c r="ZY233" s="1009"/>
      <c r="ZZ233" s="1009"/>
      <c r="AAA233" s="1009"/>
      <c r="AAB233" s="1009"/>
      <c r="AAC233" s="1009"/>
      <c r="AAD233" s="1009"/>
      <c r="AAE233" s="1009"/>
      <c r="AAF233" s="1009"/>
      <c r="AAG233" s="1009"/>
      <c r="AAH233" s="1009"/>
      <c r="AAI233" s="1009"/>
      <c r="AAJ233" s="1009"/>
      <c r="AAK233" s="1009"/>
      <c r="AAL233" s="1009"/>
      <c r="AAM233" s="1009"/>
      <c r="AAN233" s="1009"/>
      <c r="AAO233" s="1009"/>
      <c r="AAP233" s="1009"/>
      <c r="AAQ233" s="1009"/>
      <c r="AAR233" s="1009"/>
      <c r="AAS233" s="1009"/>
      <c r="AAT233" s="1009"/>
      <c r="AAU233" s="1009"/>
      <c r="AAV233" s="1009"/>
      <c r="AAW233" s="1009"/>
      <c r="AAX233" s="1009"/>
      <c r="AAY233" s="1009"/>
      <c r="AAZ233" s="1009"/>
      <c r="ABA233" s="1009"/>
      <c r="ABB233" s="1009"/>
      <c r="ABC233" s="1009"/>
      <c r="ABD233" s="1009"/>
      <c r="ABE233" s="1009"/>
      <c r="ABF233" s="1009"/>
      <c r="ABG233" s="1009"/>
      <c r="ABH233" s="1009"/>
      <c r="ABI233" s="1009"/>
      <c r="ABJ233" s="1009"/>
      <c r="ABK233" s="1009"/>
      <c r="ABL233" s="1009"/>
      <c r="ABM233" s="1009"/>
      <c r="ABN233" s="1009"/>
      <c r="ABO233" s="1009"/>
      <c r="ABP233" s="1009"/>
      <c r="ABQ233" s="1009"/>
      <c r="ABR233" s="1009"/>
    </row>
    <row r="234" spans="1:746" s="111" customFormat="1" ht="12" customHeight="1">
      <c r="A234" s="2235"/>
      <c r="B234" s="2623" t="s">
        <v>1198</v>
      </c>
      <c r="C234" s="2498"/>
      <c r="D234" s="2622" t="s">
        <v>116</v>
      </c>
      <c r="E234" s="2922"/>
      <c r="F234" s="2923"/>
      <c r="G234" s="2924"/>
      <c r="H234" s="2501"/>
      <c r="I234" s="2326"/>
      <c r="J234" s="2325"/>
      <c r="K234" s="2325"/>
      <c r="L234" s="2325"/>
      <c r="M234" s="2325"/>
      <c r="N234" s="2325"/>
      <c r="O234" s="2325"/>
      <c r="P234" s="2325"/>
      <c r="Q234" s="2325"/>
      <c r="R234" s="2325"/>
      <c r="S234" s="2325"/>
      <c r="T234" s="2325"/>
      <c r="U234" s="2326"/>
      <c r="V234" s="2326"/>
      <c r="W234" s="2326"/>
      <c r="X234" s="2326"/>
      <c r="Y234" s="2326"/>
      <c r="Z234" s="2326"/>
      <c r="AA234" s="2326"/>
      <c r="AB234" s="2326"/>
      <c r="AC234" s="2326"/>
      <c r="AD234" s="2326"/>
      <c r="AE234" s="794"/>
      <c r="AF234" s="794"/>
      <c r="AG234" s="1042"/>
      <c r="AH234" s="786"/>
      <c r="AI234" s="786"/>
      <c r="AJ234" s="1044"/>
      <c r="AK234" s="1047"/>
      <c r="AL234" s="1044"/>
      <c r="AM234" s="1009"/>
      <c r="AN234" s="1026"/>
      <c r="AO234" s="1945"/>
      <c r="AP234" s="1935"/>
      <c r="AQ234" s="1936"/>
      <c r="AR234" s="1941"/>
      <c r="AS234" s="1941"/>
      <c r="AT234" s="1941"/>
      <c r="AU234" s="1941"/>
      <c r="AV234" s="1941"/>
      <c r="AW234" s="1941"/>
      <c r="AX234" s="1941"/>
      <c r="AY234" s="1941"/>
      <c r="AZ234" s="1941"/>
      <c r="BA234" s="1941"/>
      <c r="BB234" s="1941"/>
      <c r="BC234" s="1941"/>
      <c r="BD234" s="1941"/>
      <c r="BE234" s="1941"/>
      <c r="BF234" s="1941"/>
      <c r="BG234" s="1941"/>
      <c r="BH234" s="1941"/>
      <c r="BI234" s="1941"/>
      <c r="BJ234" s="1941"/>
      <c r="BK234" s="1941"/>
      <c r="BL234" s="1941"/>
      <c r="BM234" s="1941"/>
      <c r="BN234" s="1941"/>
      <c r="BO234" s="1941"/>
      <c r="BP234" s="1009"/>
      <c r="BQ234" s="1009"/>
      <c r="BR234" s="1009"/>
      <c r="BS234" s="1009"/>
      <c r="BT234" s="1009"/>
      <c r="BU234" s="1009"/>
      <c r="BV234" s="1009"/>
      <c r="BW234" s="1009"/>
      <c r="BX234" s="1009"/>
      <c r="BY234" s="1009"/>
      <c r="BZ234" s="1009"/>
      <c r="CA234" s="1009"/>
      <c r="CB234" s="1009"/>
      <c r="CC234" s="1009"/>
      <c r="CD234" s="1009"/>
      <c r="CE234" s="1009"/>
      <c r="CF234" s="1009"/>
      <c r="CG234" s="1009"/>
      <c r="CH234" s="1009"/>
      <c r="CI234" s="1009"/>
      <c r="CJ234" s="1009"/>
      <c r="CK234" s="1009"/>
      <c r="CL234" s="1009"/>
      <c r="CM234" s="1009"/>
      <c r="CN234" s="1009"/>
      <c r="CO234" s="1009"/>
      <c r="CP234" s="1009"/>
      <c r="CQ234" s="1009"/>
      <c r="CR234" s="1009"/>
      <c r="CS234" s="1009"/>
      <c r="CT234" s="1009"/>
      <c r="CU234" s="1009"/>
      <c r="CV234" s="1009"/>
      <c r="CW234" s="1009"/>
      <c r="CX234" s="1009"/>
      <c r="CY234" s="1009"/>
      <c r="CZ234" s="1009"/>
      <c r="DA234" s="1009"/>
      <c r="DB234" s="1009"/>
      <c r="DC234" s="1009"/>
      <c r="DD234" s="1009"/>
      <c r="DE234" s="1009"/>
      <c r="DF234" s="1009"/>
      <c r="DG234" s="1009"/>
      <c r="DH234" s="1009"/>
      <c r="DI234" s="1009"/>
      <c r="DJ234" s="1009"/>
      <c r="DK234" s="1009"/>
      <c r="DL234" s="1009"/>
      <c r="DM234" s="1009"/>
      <c r="DN234" s="1009"/>
      <c r="DO234" s="1009"/>
      <c r="DP234" s="1009"/>
      <c r="DQ234" s="1009"/>
      <c r="DR234" s="1009"/>
      <c r="DS234" s="1009"/>
      <c r="DT234" s="1009"/>
      <c r="DU234" s="1009"/>
      <c r="DV234" s="1009"/>
      <c r="DW234" s="1009"/>
      <c r="DX234" s="1009"/>
      <c r="DY234" s="1009"/>
      <c r="DZ234" s="1009"/>
      <c r="EA234" s="1009"/>
      <c r="EB234" s="1009"/>
      <c r="EC234" s="1009"/>
      <c r="ED234" s="1009"/>
      <c r="EE234" s="1009"/>
      <c r="EF234" s="1009"/>
      <c r="EG234" s="1009"/>
      <c r="EH234" s="1009"/>
      <c r="EI234" s="1009"/>
      <c r="EJ234" s="1009"/>
      <c r="EK234" s="1009"/>
      <c r="EL234" s="1009"/>
      <c r="EM234" s="1009"/>
      <c r="EN234" s="1009"/>
      <c r="EO234" s="1009"/>
      <c r="EP234" s="1009"/>
      <c r="EQ234" s="1009"/>
      <c r="ER234" s="1009"/>
      <c r="ES234" s="1009"/>
      <c r="ET234" s="1009"/>
      <c r="EU234" s="1009"/>
      <c r="EV234" s="1009"/>
      <c r="EW234" s="1009"/>
      <c r="EX234" s="1009"/>
      <c r="EY234" s="1009"/>
      <c r="EZ234" s="1009"/>
      <c r="FA234" s="1009"/>
      <c r="FB234" s="1009"/>
      <c r="FC234" s="1009"/>
      <c r="FD234" s="1009"/>
      <c r="FE234" s="1009"/>
      <c r="FF234" s="1009"/>
      <c r="FG234" s="1009"/>
      <c r="FH234" s="1009"/>
      <c r="FI234" s="1009"/>
      <c r="FJ234" s="1009"/>
      <c r="FK234" s="1009"/>
      <c r="FL234" s="1009"/>
      <c r="FM234" s="1009"/>
      <c r="FN234" s="1009"/>
      <c r="FO234" s="1009"/>
      <c r="FP234" s="1009"/>
      <c r="FQ234" s="1009"/>
      <c r="FR234" s="1009"/>
      <c r="FS234" s="1009"/>
      <c r="FT234" s="1009"/>
      <c r="FU234" s="1009"/>
      <c r="FV234" s="1009"/>
      <c r="FW234" s="1009"/>
      <c r="FX234" s="1009"/>
      <c r="FY234" s="1009"/>
      <c r="FZ234" s="1009"/>
      <c r="GA234" s="1009"/>
      <c r="GB234" s="1009"/>
      <c r="GC234" s="1009"/>
      <c r="GD234" s="1009"/>
      <c r="GE234" s="1009"/>
      <c r="GF234" s="1009"/>
      <c r="GG234" s="1009"/>
      <c r="GH234" s="1009"/>
      <c r="GI234" s="1009"/>
      <c r="GJ234" s="1009"/>
      <c r="GK234" s="1009"/>
      <c r="GL234" s="1009"/>
      <c r="GM234" s="1009"/>
      <c r="GN234" s="1009"/>
      <c r="GO234" s="1009"/>
      <c r="GP234" s="1009"/>
      <c r="GQ234" s="1009"/>
      <c r="GR234" s="1009"/>
      <c r="GS234" s="1009"/>
      <c r="GT234" s="1009"/>
      <c r="GU234" s="1009"/>
      <c r="GV234" s="1009"/>
      <c r="GW234" s="1009"/>
      <c r="GX234" s="1009"/>
      <c r="GY234" s="1009"/>
      <c r="GZ234" s="1009"/>
      <c r="HA234" s="1009"/>
      <c r="HB234" s="1009"/>
      <c r="HC234" s="1009"/>
      <c r="HD234" s="1009"/>
      <c r="HE234" s="1009"/>
      <c r="HF234" s="1009"/>
      <c r="HG234" s="1009"/>
      <c r="HH234" s="1009"/>
      <c r="HI234" s="1009"/>
      <c r="HJ234" s="1009"/>
      <c r="HK234" s="1009"/>
      <c r="HL234" s="1009"/>
      <c r="HM234" s="1009"/>
      <c r="HN234" s="1009"/>
      <c r="HO234" s="1009"/>
      <c r="HP234" s="1009"/>
      <c r="HQ234" s="1009"/>
      <c r="HR234" s="1009"/>
      <c r="HS234" s="1009"/>
      <c r="HT234" s="1009"/>
      <c r="HU234" s="1009"/>
      <c r="HV234" s="1009"/>
      <c r="HW234" s="1009"/>
      <c r="HX234" s="1009"/>
      <c r="HY234" s="1009"/>
      <c r="HZ234" s="1009"/>
      <c r="IA234" s="1009"/>
      <c r="IB234" s="1009"/>
      <c r="IC234" s="1009"/>
      <c r="ID234" s="1009"/>
      <c r="IE234" s="1009"/>
      <c r="IF234" s="1009"/>
      <c r="IG234" s="1009"/>
      <c r="IH234" s="1009"/>
      <c r="II234" s="1009"/>
      <c r="IJ234" s="1009"/>
      <c r="IK234" s="1009"/>
      <c r="IL234" s="1009"/>
      <c r="IM234" s="1009"/>
      <c r="IN234" s="1009"/>
      <c r="IO234" s="1009"/>
      <c r="IP234" s="1009"/>
      <c r="IQ234" s="1009"/>
      <c r="IR234" s="1009"/>
      <c r="IS234" s="1009"/>
      <c r="IT234" s="1009"/>
      <c r="IU234" s="1009"/>
      <c r="IV234" s="1009"/>
      <c r="IW234" s="1009"/>
      <c r="IX234" s="1009"/>
      <c r="IY234" s="1009"/>
      <c r="IZ234" s="1009"/>
      <c r="JA234" s="1009"/>
      <c r="JB234" s="1009"/>
      <c r="JC234" s="1009"/>
      <c r="JD234" s="1009"/>
      <c r="JE234" s="1009"/>
      <c r="JF234" s="1009"/>
      <c r="JG234" s="1009"/>
      <c r="JH234" s="1009"/>
      <c r="JI234" s="1009"/>
      <c r="JJ234" s="1009"/>
      <c r="JK234" s="1009"/>
      <c r="JL234" s="1009"/>
      <c r="JM234" s="1009"/>
      <c r="JN234" s="1009"/>
      <c r="JO234" s="1009"/>
      <c r="JP234" s="1009"/>
      <c r="JQ234" s="1009"/>
      <c r="JR234" s="1009"/>
      <c r="JS234" s="1009"/>
      <c r="JT234" s="1009"/>
      <c r="JU234" s="1009"/>
      <c r="JV234" s="1009"/>
      <c r="JW234" s="1009"/>
      <c r="JX234" s="1009"/>
      <c r="JY234" s="1009"/>
      <c r="JZ234" s="1009"/>
      <c r="KA234" s="1009"/>
      <c r="KB234" s="1009"/>
      <c r="KC234" s="1009"/>
      <c r="KD234" s="1009"/>
      <c r="KE234" s="1009"/>
      <c r="KF234" s="1009"/>
      <c r="KG234" s="1009"/>
      <c r="KH234" s="1009"/>
      <c r="KI234" s="1009"/>
      <c r="KJ234" s="1009"/>
      <c r="KK234" s="1009"/>
      <c r="KL234" s="1009"/>
      <c r="KM234" s="1009"/>
      <c r="KN234" s="1009"/>
      <c r="KO234" s="1009"/>
      <c r="KP234" s="1009"/>
      <c r="KQ234" s="1009"/>
      <c r="KR234" s="1009"/>
      <c r="KS234" s="1009"/>
      <c r="KT234" s="1009"/>
      <c r="KU234" s="1009"/>
      <c r="KV234" s="1009"/>
      <c r="KW234" s="1009"/>
      <c r="KX234" s="1009"/>
      <c r="KY234" s="1009"/>
      <c r="KZ234" s="1009"/>
      <c r="LA234" s="1009"/>
      <c r="LB234" s="1009"/>
      <c r="LC234" s="1009"/>
      <c r="LD234" s="1009"/>
      <c r="LE234" s="1009"/>
      <c r="LF234" s="1009"/>
      <c r="LG234" s="1009"/>
      <c r="LH234" s="1009"/>
      <c r="LI234" s="1009"/>
      <c r="LJ234" s="1009"/>
      <c r="LK234" s="1009"/>
      <c r="LL234" s="1009"/>
      <c r="LM234" s="1009"/>
      <c r="LN234" s="1009"/>
      <c r="LO234" s="1009"/>
      <c r="LP234" s="1009"/>
      <c r="LQ234" s="1009"/>
      <c r="LR234" s="1009"/>
      <c r="LS234" s="1009"/>
      <c r="LT234" s="1009"/>
      <c r="LU234" s="1009"/>
      <c r="LV234" s="1009"/>
      <c r="LW234" s="1009"/>
      <c r="LX234" s="1009"/>
      <c r="LY234" s="1009"/>
      <c r="LZ234" s="1009"/>
      <c r="MA234" s="1009"/>
      <c r="MB234" s="1009"/>
      <c r="MC234" s="1009"/>
      <c r="MD234" s="1009"/>
      <c r="ME234" s="1009"/>
      <c r="MF234" s="1009"/>
      <c r="MG234" s="1009"/>
      <c r="MH234" s="1009"/>
      <c r="MI234" s="1009"/>
      <c r="MJ234" s="1009"/>
      <c r="MK234" s="1009"/>
      <c r="ML234" s="1009"/>
      <c r="MM234" s="1009"/>
      <c r="MN234" s="1009"/>
      <c r="MO234" s="1009"/>
      <c r="MP234" s="1009"/>
      <c r="MQ234" s="1009"/>
      <c r="MR234" s="1009"/>
      <c r="MS234" s="1009"/>
      <c r="MT234" s="1009"/>
      <c r="MU234" s="1009"/>
      <c r="MV234" s="1009"/>
      <c r="MW234" s="1009"/>
      <c r="MX234" s="1009"/>
      <c r="MY234" s="1009"/>
      <c r="MZ234" s="1009"/>
      <c r="NA234" s="1009"/>
      <c r="NB234" s="1009"/>
      <c r="NC234" s="1009"/>
      <c r="ND234" s="1009"/>
      <c r="NE234" s="1009"/>
      <c r="NF234" s="1009"/>
      <c r="NG234" s="1009"/>
      <c r="NH234" s="1009"/>
      <c r="NI234" s="1009"/>
      <c r="NJ234" s="1009"/>
      <c r="NK234" s="1009"/>
      <c r="NL234" s="1009"/>
      <c r="NM234" s="1009"/>
      <c r="NN234" s="1009"/>
      <c r="NO234" s="1009"/>
      <c r="NP234" s="1009"/>
      <c r="NQ234" s="1009"/>
      <c r="NR234" s="1009"/>
      <c r="NS234" s="1009"/>
      <c r="NT234" s="1009"/>
      <c r="NU234" s="1009"/>
      <c r="NV234" s="1009"/>
      <c r="NW234" s="1009"/>
      <c r="NX234" s="1009"/>
      <c r="NY234" s="1009"/>
      <c r="NZ234" s="1009"/>
      <c r="OA234" s="1009"/>
      <c r="OB234" s="1009"/>
      <c r="OC234" s="1009"/>
      <c r="OD234" s="1009"/>
      <c r="OE234" s="1009"/>
      <c r="OF234" s="1009"/>
      <c r="OG234" s="1009"/>
      <c r="OH234" s="1009"/>
      <c r="OI234" s="1009"/>
      <c r="OJ234" s="1009"/>
      <c r="OK234" s="1009"/>
      <c r="OL234" s="1009"/>
      <c r="OM234" s="1009"/>
      <c r="ON234" s="1009"/>
      <c r="OO234" s="1009"/>
      <c r="OP234" s="1009"/>
      <c r="OQ234" s="1009"/>
      <c r="OR234" s="1009"/>
      <c r="OS234" s="1009"/>
      <c r="OT234" s="1009"/>
      <c r="OU234" s="1009"/>
      <c r="OV234" s="1009"/>
      <c r="OW234" s="1009"/>
      <c r="OX234" s="1009"/>
      <c r="OY234" s="1009"/>
      <c r="OZ234" s="1009"/>
      <c r="PA234" s="1009"/>
      <c r="PB234" s="1009"/>
      <c r="PC234" s="1009"/>
      <c r="PD234" s="1009"/>
      <c r="PE234" s="1009"/>
      <c r="PF234" s="1009"/>
      <c r="PG234" s="1009"/>
      <c r="PH234" s="1009"/>
      <c r="PI234" s="1009"/>
      <c r="PJ234" s="1009"/>
      <c r="PK234" s="1009"/>
      <c r="PL234" s="1009"/>
      <c r="PM234" s="1009"/>
      <c r="PN234" s="1009"/>
      <c r="PO234" s="1009"/>
      <c r="PP234" s="1009"/>
      <c r="PQ234" s="1009"/>
      <c r="PR234" s="1009"/>
      <c r="PS234" s="1009"/>
      <c r="PT234" s="1009"/>
      <c r="PU234" s="1009"/>
      <c r="PV234" s="1009"/>
      <c r="PW234" s="1009"/>
      <c r="PX234" s="1009"/>
      <c r="PY234" s="1009"/>
      <c r="PZ234" s="1009"/>
      <c r="QA234" s="1009"/>
      <c r="QB234" s="1009"/>
      <c r="QC234" s="1009"/>
      <c r="QD234" s="1009"/>
      <c r="QE234" s="1009"/>
      <c r="QF234" s="1009"/>
      <c r="QG234" s="1009"/>
      <c r="QH234" s="1009"/>
      <c r="QI234" s="1009"/>
      <c r="QJ234" s="1009"/>
      <c r="QK234" s="1009"/>
      <c r="QL234" s="1009"/>
      <c r="QM234" s="1009"/>
      <c r="QN234" s="1009"/>
      <c r="QO234" s="1009"/>
      <c r="QP234" s="1009"/>
      <c r="QQ234" s="1009"/>
      <c r="QR234" s="1009"/>
      <c r="QS234" s="1009"/>
      <c r="QT234" s="1009"/>
      <c r="QU234" s="1009"/>
      <c r="QV234" s="1009"/>
      <c r="QW234" s="1009"/>
      <c r="QX234" s="1009"/>
      <c r="QY234" s="1009"/>
      <c r="QZ234" s="1009"/>
      <c r="RA234" s="1009"/>
      <c r="RB234" s="1009"/>
      <c r="RC234" s="1009"/>
      <c r="RD234" s="1009"/>
      <c r="RE234" s="1009"/>
      <c r="RF234" s="1009"/>
      <c r="RG234" s="1009"/>
      <c r="RH234" s="1009"/>
      <c r="RI234" s="1009"/>
      <c r="RJ234" s="1009"/>
      <c r="RK234" s="1009"/>
      <c r="RL234" s="1009"/>
      <c r="RM234" s="1009"/>
      <c r="RN234" s="1009"/>
      <c r="RO234" s="1009"/>
      <c r="RP234" s="1009"/>
      <c r="RQ234" s="1009"/>
      <c r="RR234" s="1009"/>
      <c r="RS234" s="1009"/>
      <c r="RT234" s="1009"/>
      <c r="RU234" s="1009"/>
      <c r="RV234" s="1009"/>
      <c r="RW234" s="1009"/>
      <c r="RX234" s="1009"/>
      <c r="RY234" s="1009"/>
      <c r="RZ234" s="1009"/>
      <c r="SA234" s="1009"/>
      <c r="SB234" s="1009"/>
      <c r="SC234" s="1009"/>
      <c r="SD234" s="1009"/>
      <c r="SE234" s="1009"/>
      <c r="SF234" s="1009"/>
      <c r="SG234" s="1009"/>
      <c r="SH234" s="1009"/>
      <c r="SI234" s="1009"/>
      <c r="SJ234" s="1009"/>
      <c r="SK234" s="1009"/>
      <c r="SL234" s="1009"/>
      <c r="SM234" s="1009"/>
      <c r="SN234" s="1009"/>
      <c r="SO234" s="1009"/>
      <c r="SP234" s="1009"/>
      <c r="SQ234" s="1009"/>
      <c r="SR234" s="1009"/>
      <c r="SS234" s="1009"/>
      <c r="ST234" s="1009"/>
      <c r="SU234" s="1009"/>
      <c r="SV234" s="1009"/>
      <c r="SW234" s="1009"/>
      <c r="SX234" s="1009"/>
      <c r="SY234" s="1009"/>
      <c r="SZ234" s="1009"/>
      <c r="TA234" s="1009"/>
      <c r="TB234" s="1009"/>
      <c r="TC234" s="1009"/>
      <c r="TD234" s="1009"/>
      <c r="TE234" s="1009"/>
      <c r="TF234" s="1009"/>
      <c r="TG234" s="1009"/>
      <c r="TH234" s="1009"/>
      <c r="TI234" s="1009"/>
      <c r="TJ234" s="1009"/>
      <c r="TK234" s="1009"/>
      <c r="TL234" s="1009"/>
      <c r="TM234" s="1009"/>
      <c r="TN234" s="1009"/>
      <c r="TO234" s="1009"/>
      <c r="TP234" s="1009"/>
      <c r="TQ234" s="1009"/>
      <c r="TR234" s="1009"/>
      <c r="TS234" s="1009"/>
      <c r="TT234" s="1009"/>
      <c r="TU234" s="1009"/>
      <c r="TV234" s="1009"/>
      <c r="TW234" s="1009"/>
      <c r="TX234" s="1009"/>
      <c r="TY234" s="1009"/>
      <c r="TZ234" s="1009"/>
      <c r="UA234" s="1009"/>
      <c r="UB234" s="1009"/>
      <c r="UC234" s="1009"/>
      <c r="UD234" s="1009"/>
      <c r="UE234" s="1009"/>
      <c r="UF234" s="1009"/>
      <c r="UG234" s="1009"/>
      <c r="UH234" s="1009"/>
      <c r="UI234" s="1009"/>
      <c r="UJ234" s="1009"/>
      <c r="UK234" s="1009"/>
      <c r="UL234" s="1009"/>
      <c r="UM234" s="1009"/>
      <c r="UN234" s="1009"/>
      <c r="UO234" s="1009"/>
      <c r="UP234" s="1009"/>
      <c r="UQ234" s="1009"/>
      <c r="UR234" s="1009"/>
      <c r="US234" s="1009"/>
      <c r="UT234" s="1009"/>
      <c r="UU234" s="1009"/>
      <c r="UV234" s="1009"/>
      <c r="UW234" s="1009"/>
      <c r="UX234" s="1009"/>
      <c r="UY234" s="1009"/>
      <c r="UZ234" s="1009"/>
      <c r="VA234" s="1009"/>
      <c r="VB234" s="1009"/>
      <c r="VC234" s="1009"/>
      <c r="VD234" s="1009"/>
      <c r="VE234" s="1009"/>
      <c r="VF234" s="1009"/>
      <c r="VG234" s="1009"/>
      <c r="VH234" s="1009"/>
      <c r="VI234" s="1009"/>
      <c r="VJ234" s="1009"/>
      <c r="VK234" s="1009"/>
      <c r="VL234" s="1009"/>
      <c r="VM234" s="1009"/>
      <c r="VN234" s="1009"/>
      <c r="VO234" s="1009"/>
      <c r="VP234" s="1009"/>
      <c r="VQ234" s="1009"/>
      <c r="VR234" s="1009"/>
      <c r="VS234" s="1009"/>
      <c r="VT234" s="1009"/>
      <c r="VU234" s="1009"/>
      <c r="VV234" s="1009"/>
      <c r="VW234" s="1009"/>
      <c r="VX234" s="1009"/>
      <c r="VY234" s="1009"/>
      <c r="VZ234" s="1009"/>
      <c r="WA234" s="1009"/>
      <c r="WB234" s="1009"/>
      <c r="WC234" s="1009"/>
      <c r="WD234" s="1009"/>
      <c r="WE234" s="1009"/>
      <c r="WF234" s="1009"/>
      <c r="WG234" s="1009"/>
      <c r="WH234" s="1009"/>
      <c r="WI234" s="1009"/>
      <c r="WJ234" s="1009"/>
      <c r="WK234" s="1009"/>
      <c r="WL234" s="1009"/>
      <c r="WM234" s="1009"/>
      <c r="WN234" s="1009"/>
      <c r="WO234" s="1009"/>
      <c r="WP234" s="1009"/>
      <c r="WQ234" s="1009"/>
      <c r="WR234" s="1009"/>
      <c r="WS234" s="1009"/>
      <c r="WT234" s="1009"/>
      <c r="WU234" s="1009"/>
      <c r="WV234" s="1009"/>
      <c r="WW234" s="1009"/>
      <c r="WX234" s="1009"/>
      <c r="WY234" s="1009"/>
      <c r="WZ234" s="1009"/>
      <c r="XA234" s="1009"/>
      <c r="XB234" s="1009"/>
      <c r="XC234" s="1009"/>
      <c r="XD234" s="1009"/>
      <c r="XE234" s="1009"/>
      <c r="XF234" s="1009"/>
      <c r="XG234" s="1009"/>
      <c r="XH234" s="1009"/>
      <c r="XI234" s="1009"/>
      <c r="XJ234" s="1009"/>
      <c r="XK234" s="1009"/>
      <c r="XL234" s="1009"/>
      <c r="XM234" s="1009"/>
      <c r="XN234" s="1009"/>
      <c r="XO234" s="1009"/>
      <c r="XP234" s="1009"/>
      <c r="XQ234" s="1009"/>
      <c r="XR234" s="1009"/>
      <c r="XS234" s="1009"/>
      <c r="XT234" s="1009"/>
      <c r="XU234" s="1009"/>
      <c r="XV234" s="1009"/>
      <c r="XW234" s="1009"/>
      <c r="XX234" s="1009"/>
      <c r="XY234" s="1009"/>
      <c r="XZ234" s="1009"/>
      <c r="YA234" s="1009"/>
      <c r="YB234" s="1009"/>
      <c r="YC234" s="1009"/>
      <c r="YD234" s="1009"/>
      <c r="YE234" s="1009"/>
      <c r="YF234" s="1009"/>
      <c r="YG234" s="1009"/>
      <c r="YH234" s="1009"/>
      <c r="YI234" s="1009"/>
      <c r="YJ234" s="1009"/>
      <c r="YK234" s="1009"/>
      <c r="YL234" s="1009"/>
      <c r="YM234" s="1009"/>
      <c r="YN234" s="1009"/>
      <c r="YO234" s="1009"/>
      <c r="YP234" s="1009"/>
      <c r="YQ234" s="1009"/>
      <c r="YR234" s="1009"/>
      <c r="YS234" s="1009"/>
      <c r="YT234" s="1009"/>
      <c r="YU234" s="1009"/>
      <c r="YV234" s="1009"/>
      <c r="YW234" s="1009"/>
      <c r="YX234" s="1009"/>
      <c r="YY234" s="1009"/>
      <c r="YZ234" s="1009"/>
      <c r="ZA234" s="1009"/>
      <c r="ZB234" s="1009"/>
      <c r="ZC234" s="1009"/>
      <c r="ZD234" s="1009"/>
      <c r="ZE234" s="1009"/>
      <c r="ZF234" s="1009"/>
      <c r="ZG234" s="1009"/>
      <c r="ZH234" s="1009"/>
      <c r="ZI234" s="1009"/>
      <c r="ZJ234" s="1009"/>
      <c r="ZK234" s="1009"/>
      <c r="ZL234" s="1009"/>
      <c r="ZM234" s="1009"/>
      <c r="ZN234" s="1009"/>
      <c r="ZO234" s="1009"/>
      <c r="ZP234" s="1009"/>
      <c r="ZQ234" s="1009"/>
      <c r="ZR234" s="1009"/>
      <c r="ZS234" s="1009"/>
      <c r="ZT234" s="1009"/>
      <c r="ZU234" s="1009"/>
      <c r="ZV234" s="1009"/>
      <c r="ZW234" s="1009"/>
      <c r="ZX234" s="1009"/>
      <c r="ZY234" s="1009"/>
      <c r="ZZ234" s="1009"/>
      <c r="AAA234" s="1009"/>
      <c r="AAB234" s="1009"/>
      <c r="AAC234" s="1009"/>
      <c r="AAD234" s="1009"/>
      <c r="AAE234" s="1009"/>
      <c r="AAF234" s="1009"/>
      <c r="AAG234" s="1009"/>
      <c r="AAH234" s="1009"/>
      <c r="AAI234" s="1009"/>
      <c r="AAJ234" s="1009"/>
      <c r="AAK234" s="1009"/>
      <c r="AAL234" s="1009"/>
      <c r="AAM234" s="1009"/>
      <c r="AAN234" s="1009"/>
      <c r="AAO234" s="1009"/>
      <c r="AAP234" s="1009"/>
      <c r="AAQ234" s="1009"/>
      <c r="AAR234" s="1009"/>
      <c r="AAS234" s="1009"/>
      <c r="AAT234" s="1009"/>
      <c r="AAU234" s="1009"/>
      <c r="AAV234" s="1009"/>
      <c r="AAW234" s="1009"/>
      <c r="AAX234" s="1009"/>
      <c r="AAY234" s="1009"/>
      <c r="AAZ234" s="1009"/>
      <c r="ABA234" s="1009"/>
      <c r="ABB234" s="1009"/>
      <c r="ABC234" s="1009"/>
      <c r="ABD234" s="1009"/>
      <c r="ABE234" s="1009"/>
      <c r="ABF234" s="1009"/>
      <c r="ABG234" s="1009"/>
      <c r="ABH234" s="1009"/>
      <c r="ABI234" s="1009"/>
      <c r="ABJ234" s="1009"/>
      <c r="ABK234" s="1009"/>
      <c r="ABL234" s="1009"/>
      <c r="ABM234" s="1009"/>
      <c r="ABN234" s="1009"/>
      <c r="ABO234" s="1009"/>
      <c r="ABP234" s="1009"/>
      <c r="ABQ234" s="1009"/>
      <c r="ABR234" s="1009"/>
    </row>
    <row r="235" spans="1:746" s="111" customFormat="1" ht="12" customHeight="1">
      <c r="A235" s="1758"/>
      <c r="B235" s="2660" t="s">
        <v>1199</v>
      </c>
      <c r="C235" s="2661"/>
      <c r="D235" s="2662" t="s">
        <v>116</v>
      </c>
      <c r="E235" s="2960"/>
      <c r="F235" s="2961"/>
      <c r="G235" s="2962"/>
      <c r="H235" s="2663"/>
      <c r="I235" s="2326"/>
      <c r="J235" s="2325"/>
      <c r="K235" s="2325"/>
      <c r="L235" s="2325"/>
      <c r="M235" s="2325"/>
      <c r="N235" s="2325"/>
      <c r="O235" s="2325"/>
      <c r="P235" s="2325"/>
      <c r="Q235" s="2325"/>
      <c r="R235" s="2325"/>
      <c r="S235" s="2325"/>
      <c r="T235" s="2325"/>
      <c r="U235" s="2325"/>
      <c r="V235" s="2325"/>
      <c r="W235" s="2325"/>
      <c r="X235" s="2325"/>
      <c r="Y235" s="2325"/>
      <c r="Z235" s="2325"/>
      <c r="AA235" s="2325"/>
      <c r="AB235" s="2325"/>
      <c r="AC235" s="2325"/>
      <c r="AD235" s="2325"/>
      <c r="AE235" s="2243"/>
      <c r="AF235" s="2243"/>
      <c r="AG235" s="1042"/>
      <c r="AH235" s="786"/>
      <c r="AI235" s="786"/>
      <c r="AJ235" s="1044"/>
      <c r="AK235" s="1047"/>
      <c r="AL235" s="1044"/>
      <c r="AM235" s="1009"/>
      <c r="AN235" s="1026"/>
      <c r="AO235" s="1945"/>
      <c r="AP235" s="1935"/>
      <c r="AQ235" s="1936"/>
      <c r="AR235" s="1941"/>
      <c r="AS235" s="1941"/>
      <c r="AT235" s="1941"/>
      <c r="AU235" s="1941"/>
      <c r="AV235" s="1941"/>
      <c r="AW235" s="1941"/>
      <c r="AX235" s="1941"/>
      <c r="AY235" s="1941"/>
      <c r="AZ235" s="1941"/>
      <c r="BA235" s="1941"/>
      <c r="BB235" s="1941"/>
      <c r="BC235" s="1941"/>
      <c r="BD235" s="1941"/>
      <c r="BE235" s="1941"/>
      <c r="BF235" s="1941"/>
      <c r="BG235" s="1941"/>
      <c r="BH235" s="1941"/>
      <c r="BI235" s="1941"/>
      <c r="BJ235" s="1941"/>
      <c r="BK235" s="1941"/>
      <c r="BL235" s="1941"/>
      <c r="BM235" s="1941"/>
      <c r="BN235" s="1941"/>
      <c r="BO235" s="1941"/>
      <c r="BP235" s="1009"/>
      <c r="BQ235" s="1009"/>
      <c r="BR235" s="1009"/>
      <c r="BS235" s="1009"/>
      <c r="BT235" s="1009"/>
      <c r="BU235" s="1009"/>
      <c r="BV235" s="1009"/>
      <c r="BW235" s="1009"/>
      <c r="BX235" s="1009"/>
      <c r="BY235" s="1009"/>
      <c r="BZ235" s="1009"/>
      <c r="CA235" s="1009"/>
      <c r="CB235" s="1009"/>
      <c r="CC235" s="1009"/>
      <c r="CD235" s="1009"/>
      <c r="CE235" s="1009"/>
      <c r="CF235" s="1009"/>
      <c r="CG235" s="1009"/>
      <c r="CH235" s="1009"/>
      <c r="CI235" s="1009"/>
      <c r="CJ235" s="1009"/>
      <c r="CK235" s="1009"/>
      <c r="CL235" s="1009"/>
      <c r="CM235" s="1009"/>
      <c r="CN235" s="1009"/>
      <c r="CO235" s="1009"/>
      <c r="CP235" s="1009"/>
      <c r="CQ235" s="1009"/>
      <c r="CR235" s="1009"/>
      <c r="CS235" s="1009"/>
      <c r="CT235" s="1009"/>
      <c r="CU235" s="1009"/>
      <c r="CV235" s="1009"/>
      <c r="CW235" s="1009"/>
      <c r="CX235" s="1009"/>
      <c r="CY235" s="1009"/>
      <c r="CZ235" s="1009"/>
      <c r="DA235" s="1009"/>
      <c r="DB235" s="1009"/>
      <c r="DC235" s="1009"/>
      <c r="DD235" s="1009"/>
      <c r="DE235" s="1009"/>
      <c r="DF235" s="1009"/>
      <c r="DG235" s="1009"/>
      <c r="DH235" s="1009"/>
      <c r="DI235" s="1009"/>
      <c r="DJ235" s="1009"/>
      <c r="DK235" s="1009"/>
      <c r="DL235" s="1009"/>
      <c r="DM235" s="1009"/>
      <c r="DN235" s="1009"/>
      <c r="DO235" s="1009"/>
      <c r="DP235" s="1009"/>
      <c r="DQ235" s="1009"/>
      <c r="DR235" s="1009"/>
      <c r="DS235" s="1009"/>
      <c r="DT235" s="1009"/>
      <c r="DU235" s="1009"/>
      <c r="DV235" s="1009"/>
      <c r="DW235" s="1009"/>
      <c r="DX235" s="1009"/>
      <c r="DY235" s="1009"/>
      <c r="DZ235" s="1009"/>
      <c r="EA235" s="1009"/>
      <c r="EB235" s="1009"/>
      <c r="EC235" s="1009"/>
      <c r="ED235" s="1009"/>
      <c r="EE235" s="1009"/>
      <c r="EF235" s="1009"/>
      <c r="EG235" s="1009"/>
      <c r="EH235" s="1009"/>
      <c r="EI235" s="1009"/>
      <c r="EJ235" s="1009"/>
      <c r="EK235" s="1009"/>
      <c r="EL235" s="1009"/>
      <c r="EM235" s="1009"/>
      <c r="EN235" s="1009"/>
      <c r="EO235" s="1009"/>
      <c r="EP235" s="1009"/>
      <c r="EQ235" s="1009"/>
      <c r="ER235" s="1009"/>
      <c r="ES235" s="1009"/>
      <c r="ET235" s="1009"/>
      <c r="EU235" s="1009"/>
      <c r="EV235" s="1009"/>
      <c r="EW235" s="1009"/>
      <c r="EX235" s="1009"/>
      <c r="EY235" s="1009"/>
      <c r="EZ235" s="1009"/>
      <c r="FA235" s="1009"/>
      <c r="FB235" s="1009"/>
      <c r="FC235" s="1009"/>
      <c r="FD235" s="1009"/>
      <c r="FE235" s="1009"/>
      <c r="FF235" s="1009"/>
      <c r="FG235" s="1009"/>
      <c r="FH235" s="1009"/>
      <c r="FI235" s="1009"/>
      <c r="FJ235" s="1009"/>
      <c r="FK235" s="1009"/>
      <c r="FL235" s="1009"/>
      <c r="FM235" s="1009"/>
      <c r="FN235" s="1009"/>
      <c r="FO235" s="1009"/>
      <c r="FP235" s="1009"/>
      <c r="FQ235" s="1009"/>
      <c r="FR235" s="1009"/>
      <c r="FS235" s="1009"/>
      <c r="FT235" s="1009"/>
      <c r="FU235" s="1009"/>
      <c r="FV235" s="1009"/>
      <c r="FW235" s="1009"/>
      <c r="FX235" s="1009"/>
      <c r="FY235" s="1009"/>
      <c r="FZ235" s="1009"/>
      <c r="GA235" s="1009"/>
      <c r="GB235" s="1009"/>
      <c r="GC235" s="1009"/>
      <c r="GD235" s="1009"/>
      <c r="GE235" s="1009"/>
      <c r="GF235" s="1009"/>
      <c r="GG235" s="1009"/>
      <c r="GH235" s="1009"/>
      <c r="GI235" s="1009"/>
      <c r="GJ235" s="1009"/>
      <c r="GK235" s="1009"/>
      <c r="GL235" s="1009"/>
      <c r="GM235" s="1009"/>
      <c r="GN235" s="1009"/>
      <c r="GO235" s="1009"/>
      <c r="GP235" s="1009"/>
      <c r="GQ235" s="1009"/>
      <c r="GR235" s="1009"/>
      <c r="GS235" s="1009"/>
      <c r="GT235" s="1009"/>
      <c r="GU235" s="1009"/>
      <c r="GV235" s="1009"/>
      <c r="GW235" s="1009"/>
      <c r="GX235" s="1009"/>
      <c r="GY235" s="1009"/>
      <c r="GZ235" s="1009"/>
      <c r="HA235" s="1009"/>
      <c r="HB235" s="1009"/>
      <c r="HC235" s="1009"/>
      <c r="HD235" s="1009"/>
      <c r="HE235" s="1009"/>
      <c r="HF235" s="1009"/>
      <c r="HG235" s="1009"/>
      <c r="HH235" s="1009"/>
      <c r="HI235" s="1009"/>
      <c r="HJ235" s="1009"/>
      <c r="HK235" s="1009"/>
      <c r="HL235" s="1009"/>
      <c r="HM235" s="1009"/>
      <c r="HN235" s="1009"/>
      <c r="HO235" s="1009"/>
      <c r="HP235" s="1009"/>
      <c r="HQ235" s="1009"/>
      <c r="HR235" s="1009"/>
      <c r="HS235" s="1009"/>
      <c r="HT235" s="1009"/>
      <c r="HU235" s="1009"/>
      <c r="HV235" s="1009"/>
      <c r="HW235" s="1009"/>
      <c r="HX235" s="1009"/>
      <c r="HY235" s="1009"/>
      <c r="HZ235" s="1009"/>
      <c r="IA235" s="1009"/>
      <c r="IB235" s="1009"/>
      <c r="IC235" s="1009"/>
      <c r="ID235" s="1009"/>
      <c r="IE235" s="1009"/>
      <c r="IF235" s="1009"/>
      <c r="IG235" s="1009"/>
      <c r="IH235" s="1009"/>
      <c r="II235" s="1009"/>
      <c r="IJ235" s="1009"/>
      <c r="IK235" s="1009"/>
      <c r="IL235" s="1009"/>
      <c r="IM235" s="1009"/>
      <c r="IN235" s="1009"/>
      <c r="IO235" s="1009"/>
      <c r="IP235" s="1009"/>
      <c r="IQ235" s="1009"/>
      <c r="IR235" s="1009"/>
      <c r="IS235" s="1009"/>
      <c r="IT235" s="1009"/>
      <c r="IU235" s="1009"/>
      <c r="IV235" s="1009"/>
      <c r="IW235" s="1009"/>
      <c r="IX235" s="1009"/>
      <c r="IY235" s="1009"/>
      <c r="IZ235" s="1009"/>
      <c r="JA235" s="1009"/>
      <c r="JB235" s="1009"/>
      <c r="JC235" s="1009"/>
      <c r="JD235" s="1009"/>
      <c r="JE235" s="1009"/>
      <c r="JF235" s="1009"/>
      <c r="JG235" s="1009"/>
      <c r="JH235" s="1009"/>
      <c r="JI235" s="1009"/>
      <c r="JJ235" s="1009"/>
      <c r="JK235" s="1009"/>
      <c r="JL235" s="1009"/>
      <c r="JM235" s="1009"/>
      <c r="JN235" s="1009"/>
      <c r="JO235" s="1009"/>
      <c r="JP235" s="1009"/>
      <c r="JQ235" s="1009"/>
      <c r="JR235" s="1009"/>
      <c r="JS235" s="1009"/>
      <c r="JT235" s="1009"/>
      <c r="JU235" s="1009"/>
      <c r="JV235" s="1009"/>
      <c r="JW235" s="1009"/>
      <c r="JX235" s="1009"/>
      <c r="JY235" s="1009"/>
      <c r="JZ235" s="1009"/>
      <c r="KA235" s="1009"/>
      <c r="KB235" s="1009"/>
      <c r="KC235" s="1009"/>
      <c r="KD235" s="1009"/>
      <c r="KE235" s="1009"/>
      <c r="KF235" s="1009"/>
      <c r="KG235" s="1009"/>
      <c r="KH235" s="1009"/>
      <c r="KI235" s="1009"/>
      <c r="KJ235" s="1009"/>
      <c r="KK235" s="1009"/>
      <c r="KL235" s="1009"/>
      <c r="KM235" s="1009"/>
      <c r="KN235" s="1009"/>
      <c r="KO235" s="1009"/>
      <c r="KP235" s="1009"/>
      <c r="KQ235" s="1009"/>
      <c r="KR235" s="1009"/>
      <c r="KS235" s="1009"/>
      <c r="KT235" s="1009"/>
      <c r="KU235" s="1009"/>
      <c r="KV235" s="1009"/>
      <c r="KW235" s="1009"/>
      <c r="KX235" s="1009"/>
      <c r="KY235" s="1009"/>
      <c r="KZ235" s="1009"/>
      <c r="LA235" s="1009"/>
      <c r="LB235" s="1009"/>
      <c r="LC235" s="1009"/>
      <c r="LD235" s="1009"/>
      <c r="LE235" s="1009"/>
      <c r="LF235" s="1009"/>
      <c r="LG235" s="1009"/>
      <c r="LH235" s="1009"/>
      <c r="LI235" s="1009"/>
      <c r="LJ235" s="1009"/>
      <c r="LK235" s="1009"/>
      <c r="LL235" s="1009"/>
      <c r="LM235" s="1009"/>
      <c r="LN235" s="1009"/>
      <c r="LO235" s="1009"/>
      <c r="LP235" s="1009"/>
      <c r="LQ235" s="1009"/>
      <c r="LR235" s="1009"/>
      <c r="LS235" s="1009"/>
      <c r="LT235" s="1009"/>
      <c r="LU235" s="1009"/>
      <c r="LV235" s="1009"/>
      <c r="LW235" s="1009"/>
      <c r="LX235" s="1009"/>
      <c r="LY235" s="1009"/>
      <c r="LZ235" s="1009"/>
      <c r="MA235" s="1009"/>
      <c r="MB235" s="1009"/>
      <c r="MC235" s="1009"/>
      <c r="MD235" s="1009"/>
      <c r="ME235" s="1009"/>
      <c r="MF235" s="1009"/>
      <c r="MG235" s="1009"/>
      <c r="MH235" s="1009"/>
      <c r="MI235" s="1009"/>
      <c r="MJ235" s="1009"/>
      <c r="MK235" s="1009"/>
      <c r="ML235" s="1009"/>
      <c r="MM235" s="1009"/>
      <c r="MN235" s="1009"/>
      <c r="MO235" s="1009"/>
      <c r="MP235" s="1009"/>
      <c r="MQ235" s="1009"/>
      <c r="MR235" s="1009"/>
      <c r="MS235" s="1009"/>
      <c r="MT235" s="1009"/>
      <c r="MU235" s="1009"/>
      <c r="MV235" s="1009"/>
      <c r="MW235" s="1009"/>
      <c r="MX235" s="1009"/>
      <c r="MY235" s="1009"/>
      <c r="MZ235" s="1009"/>
      <c r="NA235" s="1009"/>
      <c r="NB235" s="1009"/>
      <c r="NC235" s="1009"/>
      <c r="ND235" s="1009"/>
      <c r="NE235" s="1009"/>
      <c r="NF235" s="1009"/>
      <c r="NG235" s="1009"/>
      <c r="NH235" s="1009"/>
      <c r="NI235" s="1009"/>
      <c r="NJ235" s="1009"/>
      <c r="NK235" s="1009"/>
      <c r="NL235" s="1009"/>
      <c r="NM235" s="1009"/>
      <c r="NN235" s="1009"/>
      <c r="NO235" s="1009"/>
      <c r="NP235" s="1009"/>
      <c r="NQ235" s="1009"/>
      <c r="NR235" s="1009"/>
      <c r="NS235" s="1009"/>
      <c r="NT235" s="1009"/>
      <c r="NU235" s="1009"/>
      <c r="NV235" s="1009"/>
      <c r="NW235" s="1009"/>
      <c r="NX235" s="1009"/>
      <c r="NY235" s="1009"/>
      <c r="NZ235" s="1009"/>
      <c r="OA235" s="1009"/>
      <c r="OB235" s="1009"/>
      <c r="OC235" s="1009"/>
      <c r="OD235" s="1009"/>
      <c r="OE235" s="1009"/>
      <c r="OF235" s="1009"/>
      <c r="OG235" s="1009"/>
      <c r="OH235" s="1009"/>
      <c r="OI235" s="1009"/>
      <c r="OJ235" s="1009"/>
      <c r="OK235" s="1009"/>
      <c r="OL235" s="1009"/>
      <c r="OM235" s="1009"/>
      <c r="ON235" s="1009"/>
      <c r="OO235" s="1009"/>
      <c r="OP235" s="1009"/>
      <c r="OQ235" s="1009"/>
      <c r="OR235" s="1009"/>
      <c r="OS235" s="1009"/>
      <c r="OT235" s="1009"/>
      <c r="OU235" s="1009"/>
      <c r="OV235" s="1009"/>
      <c r="OW235" s="1009"/>
      <c r="OX235" s="1009"/>
      <c r="OY235" s="1009"/>
      <c r="OZ235" s="1009"/>
      <c r="PA235" s="1009"/>
      <c r="PB235" s="1009"/>
      <c r="PC235" s="1009"/>
      <c r="PD235" s="1009"/>
      <c r="PE235" s="1009"/>
      <c r="PF235" s="1009"/>
      <c r="PG235" s="1009"/>
      <c r="PH235" s="1009"/>
      <c r="PI235" s="1009"/>
      <c r="PJ235" s="1009"/>
      <c r="PK235" s="1009"/>
      <c r="PL235" s="1009"/>
      <c r="PM235" s="1009"/>
      <c r="PN235" s="1009"/>
      <c r="PO235" s="1009"/>
      <c r="PP235" s="1009"/>
      <c r="PQ235" s="1009"/>
      <c r="PR235" s="1009"/>
      <c r="PS235" s="1009"/>
      <c r="PT235" s="1009"/>
      <c r="PU235" s="1009"/>
      <c r="PV235" s="1009"/>
      <c r="PW235" s="1009"/>
      <c r="PX235" s="1009"/>
      <c r="PY235" s="1009"/>
      <c r="PZ235" s="1009"/>
      <c r="QA235" s="1009"/>
      <c r="QB235" s="1009"/>
      <c r="QC235" s="1009"/>
      <c r="QD235" s="1009"/>
      <c r="QE235" s="1009"/>
      <c r="QF235" s="1009"/>
      <c r="QG235" s="1009"/>
      <c r="QH235" s="1009"/>
      <c r="QI235" s="1009"/>
      <c r="QJ235" s="1009"/>
      <c r="QK235" s="1009"/>
      <c r="QL235" s="1009"/>
      <c r="QM235" s="1009"/>
      <c r="QN235" s="1009"/>
      <c r="QO235" s="1009"/>
      <c r="QP235" s="1009"/>
      <c r="QQ235" s="1009"/>
      <c r="QR235" s="1009"/>
      <c r="QS235" s="1009"/>
      <c r="QT235" s="1009"/>
      <c r="QU235" s="1009"/>
      <c r="QV235" s="1009"/>
      <c r="QW235" s="1009"/>
      <c r="QX235" s="1009"/>
      <c r="QY235" s="1009"/>
      <c r="QZ235" s="1009"/>
      <c r="RA235" s="1009"/>
      <c r="RB235" s="1009"/>
      <c r="RC235" s="1009"/>
      <c r="RD235" s="1009"/>
      <c r="RE235" s="1009"/>
      <c r="RF235" s="1009"/>
      <c r="RG235" s="1009"/>
      <c r="RH235" s="1009"/>
      <c r="RI235" s="1009"/>
      <c r="RJ235" s="1009"/>
      <c r="RK235" s="1009"/>
      <c r="RL235" s="1009"/>
      <c r="RM235" s="1009"/>
      <c r="RN235" s="1009"/>
      <c r="RO235" s="1009"/>
      <c r="RP235" s="1009"/>
      <c r="RQ235" s="1009"/>
      <c r="RR235" s="1009"/>
      <c r="RS235" s="1009"/>
      <c r="RT235" s="1009"/>
      <c r="RU235" s="1009"/>
      <c r="RV235" s="1009"/>
      <c r="RW235" s="1009"/>
      <c r="RX235" s="1009"/>
      <c r="RY235" s="1009"/>
      <c r="RZ235" s="1009"/>
      <c r="SA235" s="1009"/>
      <c r="SB235" s="1009"/>
      <c r="SC235" s="1009"/>
      <c r="SD235" s="1009"/>
      <c r="SE235" s="1009"/>
      <c r="SF235" s="1009"/>
      <c r="SG235" s="1009"/>
      <c r="SH235" s="1009"/>
      <c r="SI235" s="1009"/>
      <c r="SJ235" s="1009"/>
      <c r="SK235" s="1009"/>
      <c r="SL235" s="1009"/>
      <c r="SM235" s="1009"/>
      <c r="SN235" s="1009"/>
      <c r="SO235" s="1009"/>
      <c r="SP235" s="1009"/>
      <c r="SQ235" s="1009"/>
      <c r="SR235" s="1009"/>
      <c r="SS235" s="1009"/>
      <c r="ST235" s="1009"/>
      <c r="SU235" s="1009"/>
      <c r="SV235" s="1009"/>
      <c r="SW235" s="1009"/>
      <c r="SX235" s="1009"/>
      <c r="SY235" s="1009"/>
      <c r="SZ235" s="1009"/>
      <c r="TA235" s="1009"/>
      <c r="TB235" s="1009"/>
      <c r="TC235" s="1009"/>
      <c r="TD235" s="1009"/>
      <c r="TE235" s="1009"/>
      <c r="TF235" s="1009"/>
      <c r="TG235" s="1009"/>
      <c r="TH235" s="1009"/>
      <c r="TI235" s="1009"/>
      <c r="TJ235" s="1009"/>
      <c r="TK235" s="1009"/>
      <c r="TL235" s="1009"/>
      <c r="TM235" s="1009"/>
      <c r="TN235" s="1009"/>
      <c r="TO235" s="1009"/>
      <c r="TP235" s="1009"/>
      <c r="TQ235" s="1009"/>
      <c r="TR235" s="1009"/>
      <c r="TS235" s="1009"/>
      <c r="TT235" s="1009"/>
      <c r="TU235" s="1009"/>
      <c r="TV235" s="1009"/>
      <c r="TW235" s="1009"/>
      <c r="TX235" s="1009"/>
      <c r="TY235" s="1009"/>
      <c r="TZ235" s="1009"/>
      <c r="UA235" s="1009"/>
      <c r="UB235" s="1009"/>
      <c r="UC235" s="1009"/>
      <c r="UD235" s="1009"/>
      <c r="UE235" s="1009"/>
      <c r="UF235" s="1009"/>
      <c r="UG235" s="1009"/>
      <c r="UH235" s="1009"/>
      <c r="UI235" s="1009"/>
      <c r="UJ235" s="1009"/>
      <c r="UK235" s="1009"/>
      <c r="UL235" s="1009"/>
      <c r="UM235" s="1009"/>
      <c r="UN235" s="1009"/>
      <c r="UO235" s="1009"/>
      <c r="UP235" s="1009"/>
      <c r="UQ235" s="1009"/>
      <c r="UR235" s="1009"/>
      <c r="US235" s="1009"/>
      <c r="UT235" s="1009"/>
      <c r="UU235" s="1009"/>
      <c r="UV235" s="1009"/>
      <c r="UW235" s="1009"/>
      <c r="UX235" s="1009"/>
      <c r="UY235" s="1009"/>
      <c r="UZ235" s="1009"/>
      <c r="VA235" s="1009"/>
      <c r="VB235" s="1009"/>
      <c r="VC235" s="1009"/>
      <c r="VD235" s="1009"/>
      <c r="VE235" s="1009"/>
      <c r="VF235" s="1009"/>
      <c r="VG235" s="1009"/>
      <c r="VH235" s="1009"/>
      <c r="VI235" s="1009"/>
      <c r="VJ235" s="1009"/>
      <c r="VK235" s="1009"/>
      <c r="VL235" s="1009"/>
      <c r="VM235" s="1009"/>
      <c r="VN235" s="1009"/>
      <c r="VO235" s="1009"/>
      <c r="VP235" s="1009"/>
      <c r="VQ235" s="1009"/>
      <c r="VR235" s="1009"/>
      <c r="VS235" s="1009"/>
      <c r="VT235" s="1009"/>
      <c r="VU235" s="1009"/>
      <c r="VV235" s="1009"/>
      <c r="VW235" s="1009"/>
      <c r="VX235" s="1009"/>
      <c r="VY235" s="1009"/>
      <c r="VZ235" s="1009"/>
      <c r="WA235" s="1009"/>
      <c r="WB235" s="1009"/>
      <c r="WC235" s="1009"/>
      <c r="WD235" s="1009"/>
      <c r="WE235" s="1009"/>
      <c r="WF235" s="1009"/>
      <c r="WG235" s="1009"/>
      <c r="WH235" s="1009"/>
      <c r="WI235" s="1009"/>
      <c r="WJ235" s="1009"/>
      <c r="WK235" s="1009"/>
      <c r="WL235" s="1009"/>
      <c r="WM235" s="1009"/>
      <c r="WN235" s="1009"/>
      <c r="WO235" s="1009"/>
      <c r="WP235" s="1009"/>
      <c r="WQ235" s="1009"/>
      <c r="WR235" s="1009"/>
      <c r="WS235" s="1009"/>
      <c r="WT235" s="1009"/>
      <c r="WU235" s="1009"/>
      <c r="WV235" s="1009"/>
      <c r="WW235" s="1009"/>
      <c r="WX235" s="1009"/>
      <c r="WY235" s="1009"/>
      <c r="WZ235" s="1009"/>
      <c r="XA235" s="1009"/>
      <c r="XB235" s="1009"/>
      <c r="XC235" s="1009"/>
      <c r="XD235" s="1009"/>
      <c r="XE235" s="1009"/>
      <c r="XF235" s="1009"/>
      <c r="XG235" s="1009"/>
      <c r="XH235" s="1009"/>
      <c r="XI235" s="1009"/>
      <c r="XJ235" s="1009"/>
      <c r="XK235" s="1009"/>
      <c r="XL235" s="1009"/>
      <c r="XM235" s="1009"/>
      <c r="XN235" s="1009"/>
      <c r="XO235" s="1009"/>
      <c r="XP235" s="1009"/>
      <c r="XQ235" s="1009"/>
      <c r="XR235" s="1009"/>
      <c r="XS235" s="1009"/>
      <c r="XT235" s="1009"/>
      <c r="XU235" s="1009"/>
      <c r="XV235" s="1009"/>
      <c r="XW235" s="1009"/>
      <c r="XX235" s="1009"/>
      <c r="XY235" s="1009"/>
      <c r="XZ235" s="1009"/>
      <c r="YA235" s="1009"/>
      <c r="YB235" s="1009"/>
      <c r="YC235" s="1009"/>
      <c r="YD235" s="1009"/>
      <c r="YE235" s="1009"/>
      <c r="YF235" s="1009"/>
      <c r="YG235" s="1009"/>
      <c r="YH235" s="1009"/>
      <c r="YI235" s="1009"/>
      <c r="YJ235" s="1009"/>
      <c r="YK235" s="1009"/>
      <c r="YL235" s="1009"/>
      <c r="YM235" s="1009"/>
      <c r="YN235" s="1009"/>
      <c r="YO235" s="1009"/>
      <c r="YP235" s="1009"/>
      <c r="YQ235" s="1009"/>
      <c r="YR235" s="1009"/>
      <c r="YS235" s="1009"/>
      <c r="YT235" s="1009"/>
      <c r="YU235" s="1009"/>
      <c r="YV235" s="1009"/>
      <c r="YW235" s="1009"/>
      <c r="YX235" s="1009"/>
      <c r="YY235" s="1009"/>
      <c r="YZ235" s="1009"/>
      <c r="ZA235" s="1009"/>
      <c r="ZB235" s="1009"/>
      <c r="ZC235" s="1009"/>
      <c r="ZD235" s="1009"/>
      <c r="ZE235" s="1009"/>
      <c r="ZF235" s="1009"/>
      <c r="ZG235" s="1009"/>
      <c r="ZH235" s="1009"/>
      <c r="ZI235" s="1009"/>
      <c r="ZJ235" s="1009"/>
      <c r="ZK235" s="1009"/>
      <c r="ZL235" s="1009"/>
      <c r="ZM235" s="1009"/>
      <c r="ZN235" s="1009"/>
      <c r="ZO235" s="1009"/>
      <c r="ZP235" s="1009"/>
      <c r="ZQ235" s="1009"/>
      <c r="ZR235" s="1009"/>
      <c r="ZS235" s="1009"/>
      <c r="ZT235" s="1009"/>
      <c r="ZU235" s="1009"/>
      <c r="ZV235" s="1009"/>
      <c r="ZW235" s="1009"/>
      <c r="ZX235" s="1009"/>
      <c r="ZY235" s="1009"/>
      <c r="ZZ235" s="1009"/>
      <c r="AAA235" s="1009"/>
      <c r="AAB235" s="1009"/>
      <c r="AAC235" s="1009"/>
      <c r="AAD235" s="1009"/>
      <c r="AAE235" s="1009"/>
      <c r="AAF235" s="1009"/>
      <c r="AAG235" s="1009"/>
      <c r="AAH235" s="1009"/>
      <c r="AAI235" s="1009"/>
      <c r="AAJ235" s="1009"/>
      <c r="AAK235" s="1009"/>
      <c r="AAL235" s="1009"/>
      <c r="AAM235" s="1009"/>
      <c r="AAN235" s="1009"/>
      <c r="AAO235" s="1009"/>
      <c r="AAP235" s="1009"/>
      <c r="AAQ235" s="1009"/>
      <c r="AAR235" s="1009"/>
      <c r="AAS235" s="1009"/>
      <c r="AAT235" s="1009"/>
      <c r="AAU235" s="1009"/>
      <c r="AAV235" s="1009"/>
      <c r="AAW235" s="1009"/>
      <c r="AAX235" s="1009"/>
      <c r="AAY235" s="1009"/>
      <c r="AAZ235" s="1009"/>
      <c r="ABA235" s="1009"/>
      <c r="ABB235" s="1009"/>
      <c r="ABC235" s="1009"/>
      <c r="ABD235" s="1009"/>
      <c r="ABE235" s="1009"/>
      <c r="ABF235" s="1009"/>
      <c r="ABG235" s="1009"/>
      <c r="ABH235" s="1009"/>
      <c r="ABI235" s="1009"/>
      <c r="ABJ235" s="1009"/>
      <c r="ABK235" s="1009"/>
      <c r="ABL235" s="1009"/>
      <c r="ABM235" s="1009"/>
      <c r="ABN235" s="1009"/>
      <c r="ABO235" s="1009"/>
      <c r="ABP235" s="1009"/>
      <c r="ABQ235" s="1009"/>
      <c r="ABR235" s="1009"/>
    </row>
    <row r="236" spans="1:746" s="111" customFormat="1" ht="12" customHeight="1">
      <c r="A236" s="2235"/>
      <c r="B236" s="2624" t="s">
        <v>1066</v>
      </c>
      <c r="C236" s="2625"/>
      <c r="D236" s="2626" t="s">
        <v>117</v>
      </c>
      <c r="E236" s="2913" t="str">
        <f>IF(E232-E233-E234-E235=0,"0",E232-E233-E234-E235)</f>
        <v>0</v>
      </c>
      <c r="F236" s="2914"/>
      <c r="G236" s="2915"/>
      <c r="H236" s="2619"/>
      <c r="I236" s="975">
        <f>SUM(fx!$I$434:I434)-SUMIF(fx!$I$57:I$57,1,$I$233:I233)-SUMIF(fx!$I$57:I$57,1,$I$234:I234)-SUMIF(fx!$I$57:I$57,1,$I$235:I235)</f>
        <v>0</v>
      </c>
      <c r="J236" s="2237">
        <f>SUM(fx!$I$434:J434)-SUMIF(fx!$I$57:J$57,1,$I$233:J233)-SUMIF(fx!$I$57:J$57,1,$I$234:J234)-SUMIF(fx!$I$57:J$57,1,$I$235:J235)</f>
        <v>0</v>
      </c>
      <c r="K236" s="2237">
        <f>SUM(fx!$I$434:K434)-SUMIF(fx!$I$57:K$57,1,$I$233:K233)-SUMIF(fx!$I$57:K$57,1,$I$234:K234)-SUMIF(fx!$I$57:K$57,1,$I$235:K235)</f>
        <v>0</v>
      </c>
      <c r="L236" s="2237">
        <f>SUM(fx!$I$434:L434)-SUMIF(fx!$I$57:L$57,1,$I$233:L233)-SUMIF(fx!$I$57:L$57,1,$I$234:L234)-SUMIF(fx!$I$57:L$57,1,$I$235:L235)</f>
        <v>0</v>
      </c>
      <c r="M236" s="2237">
        <f>SUM(fx!$I$434:M434)-SUMIF(fx!$I$57:M$57,1,$I$233:M233)-SUMIF(fx!$I$57:M$57,1,$I$234:M234)-SUMIF(fx!$I$57:M$57,1,$I$235:M235)</f>
        <v>0</v>
      </c>
      <c r="N236" s="2237">
        <f>SUM(fx!$I$434:N434)-SUMIF(fx!$I$57:N$57,1,$I$233:N233)-SUMIF(fx!$I$57:N$57,1,$I$234:N234)-SUMIF(fx!$I$57:N$57,1,$I$235:N235)</f>
        <v>0</v>
      </c>
      <c r="O236" s="2237">
        <f>SUM(fx!$I$434:O434)-SUMIF(fx!$I$57:O$57,1,$I$233:O233)-SUMIF(fx!$I$57:O$57,1,$I$234:O234)-SUMIF(fx!$I$57:O$57,1,$I$235:O235)</f>
        <v>0</v>
      </c>
      <c r="P236" s="2237">
        <f>SUM(fx!$I$434:P434)-SUMIF(fx!$I$57:P$57,1,$I$233:P233)-SUMIF(fx!$I$57:P$57,1,$I$234:P234)-SUMIF(fx!$I$57:P$57,1,$I$235:P235)</f>
        <v>0</v>
      </c>
      <c r="Q236" s="2237">
        <f>SUM(fx!$I$434:Q434)-SUMIF(fx!$I$57:Q$57,1,$I$233:Q233)-SUMIF(fx!$I$57:Q$57,1,$I$234:Q234)-SUMIF(fx!$I$57:Q$57,1,$I$235:Q235)</f>
        <v>0</v>
      </c>
      <c r="R236" s="2237">
        <f>SUM(fx!$I$434:R434)-SUMIF(fx!$I$57:R$57,1,$I$233:R233)-SUMIF(fx!$I$57:R$57,1,$I$234:R234)-SUMIF(fx!$I$57:R$57,1,$I$235:R235)</f>
        <v>0</v>
      </c>
      <c r="S236" s="2237">
        <f>SUM(fx!$I$434:S434)-SUMIF(fx!$I$57:S$57,1,$I$233:S233)-SUMIF(fx!$I$57:S$57,1,$I$234:S234)-SUMIF(fx!$I$57:S$57,1,$I$235:S235)</f>
        <v>0</v>
      </c>
      <c r="T236" s="2237">
        <f>SUM(fx!$I$434:T434)-SUMIF(fx!$I$57:T$57,1,$I$233:T233)-SUMIF(fx!$I$57:T$57,1,$I$234:T234)-SUMIF(fx!$I$57:T$57,1,$I$235:T235)</f>
        <v>0</v>
      </c>
      <c r="U236" s="2237">
        <f>SUM(fx!$I$434:U434)-SUMIF(fx!$I$57:U$57,1,$I$233:U233)-SUMIF(fx!$I$57:U$57,1,$I$234:U234)-SUMIF(fx!$I$57:U$57,1,$I$235:U235)</f>
        <v>0</v>
      </c>
      <c r="V236" s="2237">
        <f>SUM(fx!$I$434:V434)-SUMIF(fx!$I$57:V$57,1,$I$233:V233)-SUMIF(fx!$I$57:V$57,1,$I$234:V234)-SUMIF(fx!$I$57:V$57,1,$I$235:V235)</f>
        <v>0</v>
      </c>
      <c r="W236" s="2237">
        <f>SUM(fx!$I$434:W434)-SUMIF(fx!$I$57:W$57,1,$I$233:W233)-SUMIF(fx!$I$57:W$57,1,$I$234:W234)-SUMIF(fx!$I$57:W$57,1,$I$235:W235)</f>
        <v>0</v>
      </c>
      <c r="X236" s="2237">
        <f>SUM(fx!$I$434:X434)-SUMIF(fx!$I$57:X$57,1,$I$233:X233)-SUMIF(fx!$I$57:X$57,1,$I$234:X234)-SUMIF(fx!$I$57:X$57,1,$I$235:X235)</f>
        <v>0</v>
      </c>
      <c r="Y236" s="2237">
        <f>SUM(fx!$I$434:Y434)-SUMIF(fx!$I$57:Y$57,1,$I$233:Y233)-SUMIF(fx!$I$57:Y$57,1,$I$234:Y234)-SUMIF(fx!$I$57:Y$57,1,$I$235:Y235)</f>
        <v>0</v>
      </c>
      <c r="Z236" s="2237">
        <f>SUM(fx!$I$434:Z434)-SUMIF(fx!$I$57:Z$57,1,$I$233:Z233)-SUMIF(fx!$I$57:Z$57,1,$I$234:Z234)-SUMIF(fx!$I$57:Z$57,1,$I$235:Z235)</f>
        <v>0</v>
      </c>
      <c r="AA236" s="2237">
        <f>SUM(fx!$I$434:AA434)-SUMIF(fx!$I$57:AA$57,1,$I$233:AA233)-SUMIF(fx!$I$57:AA$57,1,$I$234:AA234)-SUMIF(fx!$I$57:AA$57,1,$I$235:AA235)</f>
        <v>0</v>
      </c>
      <c r="AB236" s="2237">
        <f>SUM(fx!$I$434:AB434)-SUMIF(fx!$I$57:AB$57,1,$I$233:AB233)-SUMIF(fx!$I$57:AB$57,1,$I$234:AB234)-SUMIF(fx!$I$57:AB$57,1,$I$235:AB235)</f>
        <v>0</v>
      </c>
      <c r="AC236" s="2237">
        <f>SUM(fx!$I$434:AC434)-SUMIF(fx!$I$57:AC$57,1,$I$233:AC233)-SUMIF(fx!$I$57:AC$57,1,$I$234:AC234)-SUMIF(fx!$I$57:AC$57,1,$I$235:AC235)</f>
        <v>0</v>
      </c>
      <c r="AD236" s="2237">
        <f>SUM(fx!$I$434:AD434)-SUMIF(fx!$I$57:AD$57,1,$I$233:AD233)-SUMIF(fx!$I$57:AD$57,1,$I$234:AD234)-SUMIF(fx!$I$57:AD$57,1,$I$235:AD235)</f>
        <v>0</v>
      </c>
      <c r="AE236" s="2237">
        <f>SUM(fx!$I$434:AE434)-SUMIF(fx!$I$57:AE$57,1,$I$233:AE233)-SUMIF(fx!$I$57:AE$57,1,$I$234:AE234)-SUMIF(fx!$I$57:AE$57,1,$I$235:AE235)</f>
        <v>0</v>
      </c>
      <c r="AF236" s="2237">
        <f>SUM(fx!$I$434:AF434)-SUMIF(fx!$I$57:AF$57,1,$I$233:AF233)-SUMIF(fx!$I$57:AF$57,1,$I$234:AF234)-SUMIF(fx!$I$57:AF$57,1,$I$235:AF235)</f>
        <v>0</v>
      </c>
      <c r="AG236" s="1042"/>
      <c r="AH236" s="786"/>
      <c r="AI236" s="786"/>
      <c r="AJ236" s="1044"/>
      <c r="AK236" s="1047"/>
      <c r="AL236" s="1044"/>
      <c r="AM236" s="1009"/>
      <c r="AN236" s="1026"/>
      <c r="AO236" s="1945"/>
      <c r="AP236" s="1935"/>
      <c r="AQ236" s="1936"/>
      <c r="AR236" s="1941"/>
      <c r="AS236" s="1941"/>
      <c r="AT236" s="1941"/>
      <c r="AU236" s="1941"/>
      <c r="AV236" s="1941"/>
      <c r="AW236" s="1941"/>
      <c r="AX236" s="1941"/>
      <c r="AY236" s="1941"/>
      <c r="AZ236" s="1941"/>
      <c r="BA236" s="1941"/>
      <c r="BB236" s="1941"/>
      <c r="BC236" s="1941"/>
      <c r="BD236" s="1941"/>
      <c r="BE236" s="1941"/>
      <c r="BF236" s="1941"/>
      <c r="BG236" s="1941"/>
      <c r="BH236" s="1941"/>
      <c r="BI236" s="1941"/>
      <c r="BJ236" s="1941"/>
      <c r="BK236" s="1941"/>
      <c r="BL236" s="1941"/>
      <c r="BM236" s="1941"/>
      <c r="BN236" s="1941"/>
      <c r="BO236" s="1941"/>
      <c r="BP236" s="1009"/>
      <c r="BQ236" s="1009"/>
      <c r="BR236" s="1009"/>
      <c r="BS236" s="1009"/>
      <c r="BT236" s="1009"/>
      <c r="BU236" s="1009"/>
      <c r="BV236" s="1009"/>
      <c r="BW236" s="1009"/>
      <c r="BX236" s="1009"/>
      <c r="BY236" s="1009"/>
      <c r="BZ236" s="1009"/>
      <c r="CA236" s="1009"/>
      <c r="CB236" s="1009"/>
      <c r="CC236" s="1009"/>
      <c r="CD236" s="1009"/>
      <c r="CE236" s="1009"/>
      <c r="CF236" s="1009"/>
      <c r="CG236" s="1009"/>
      <c r="CH236" s="1009"/>
      <c r="CI236" s="1009"/>
      <c r="CJ236" s="1009"/>
      <c r="CK236" s="1009"/>
      <c r="CL236" s="1009"/>
      <c r="CM236" s="1009"/>
      <c r="CN236" s="1009"/>
      <c r="CO236" s="1009"/>
      <c r="CP236" s="1009"/>
      <c r="CQ236" s="1009"/>
      <c r="CR236" s="1009"/>
      <c r="CS236" s="1009"/>
      <c r="CT236" s="1009"/>
      <c r="CU236" s="1009"/>
      <c r="CV236" s="1009"/>
      <c r="CW236" s="1009"/>
      <c r="CX236" s="1009"/>
      <c r="CY236" s="1009"/>
      <c r="CZ236" s="1009"/>
      <c r="DA236" s="1009"/>
      <c r="DB236" s="1009"/>
      <c r="DC236" s="1009"/>
      <c r="DD236" s="1009"/>
      <c r="DE236" s="1009"/>
      <c r="DF236" s="1009"/>
      <c r="DG236" s="1009"/>
      <c r="DH236" s="1009"/>
      <c r="DI236" s="1009"/>
      <c r="DJ236" s="1009"/>
      <c r="DK236" s="1009"/>
      <c r="DL236" s="1009"/>
      <c r="DM236" s="1009"/>
      <c r="DN236" s="1009"/>
      <c r="DO236" s="1009"/>
      <c r="DP236" s="1009"/>
      <c r="DQ236" s="1009"/>
      <c r="DR236" s="1009"/>
      <c r="DS236" s="1009"/>
      <c r="DT236" s="1009"/>
      <c r="DU236" s="1009"/>
      <c r="DV236" s="1009"/>
      <c r="DW236" s="1009"/>
      <c r="DX236" s="1009"/>
      <c r="DY236" s="1009"/>
      <c r="DZ236" s="1009"/>
      <c r="EA236" s="1009"/>
      <c r="EB236" s="1009"/>
      <c r="EC236" s="1009"/>
      <c r="ED236" s="1009"/>
      <c r="EE236" s="1009"/>
      <c r="EF236" s="1009"/>
      <c r="EG236" s="1009"/>
      <c r="EH236" s="1009"/>
      <c r="EI236" s="1009"/>
      <c r="EJ236" s="1009"/>
      <c r="EK236" s="1009"/>
      <c r="EL236" s="1009"/>
      <c r="EM236" s="1009"/>
      <c r="EN236" s="1009"/>
      <c r="EO236" s="1009"/>
      <c r="EP236" s="1009"/>
      <c r="EQ236" s="1009"/>
      <c r="ER236" s="1009"/>
      <c r="ES236" s="1009"/>
      <c r="ET236" s="1009"/>
      <c r="EU236" s="1009"/>
      <c r="EV236" s="1009"/>
      <c r="EW236" s="1009"/>
      <c r="EX236" s="1009"/>
      <c r="EY236" s="1009"/>
      <c r="EZ236" s="1009"/>
      <c r="FA236" s="1009"/>
      <c r="FB236" s="1009"/>
      <c r="FC236" s="1009"/>
      <c r="FD236" s="1009"/>
      <c r="FE236" s="1009"/>
      <c r="FF236" s="1009"/>
      <c r="FG236" s="1009"/>
      <c r="FH236" s="1009"/>
      <c r="FI236" s="1009"/>
      <c r="FJ236" s="1009"/>
      <c r="FK236" s="1009"/>
      <c r="FL236" s="1009"/>
      <c r="FM236" s="1009"/>
      <c r="FN236" s="1009"/>
      <c r="FO236" s="1009"/>
      <c r="FP236" s="1009"/>
      <c r="FQ236" s="1009"/>
      <c r="FR236" s="1009"/>
      <c r="FS236" s="1009"/>
      <c r="FT236" s="1009"/>
      <c r="FU236" s="1009"/>
      <c r="FV236" s="1009"/>
      <c r="FW236" s="1009"/>
      <c r="FX236" s="1009"/>
      <c r="FY236" s="1009"/>
      <c r="FZ236" s="1009"/>
      <c r="GA236" s="1009"/>
      <c r="GB236" s="1009"/>
      <c r="GC236" s="1009"/>
      <c r="GD236" s="1009"/>
      <c r="GE236" s="1009"/>
      <c r="GF236" s="1009"/>
      <c r="GG236" s="1009"/>
      <c r="GH236" s="1009"/>
      <c r="GI236" s="1009"/>
      <c r="GJ236" s="1009"/>
      <c r="GK236" s="1009"/>
      <c r="GL236" s="1009"/>
      <c r="GM236" s="1009"/>
      <c r="GN236" s="1009"/>
      <c r="GO236" s="1009"/>
      <c r="GP236" s="1009"/>
      <c r="GQ236" s="1009"/>
      <c r="GR236" s="1009"/>
      <c r="GS236" s="1009"/>
      <c r="GT236" s="1009"/>
      <c r="GU236" s="1009"/>
      <c r="GV236" s="1009"/>
      <c r="GW236" s="1009"/>
      <c r="GX236" s="1009"/>
      <c r="GY236" s="1009"/>
      <c r="GZ236" s="1009"/>
      <c r="HA236" s="1009"/>
      <c r="HB236" s="1009"/>
      <c r="HC236" s="1009"/>
      <c r="HD236" s="1009"/>
      <c r="HE236" s="1009"/>
      <c r="HF236" s="1009"/>
      <c r="HG236" s="1009"/>
      <c r="HH236" s="1009"/>
      <c r="HI236" s="1009"/>
      <c r="HJ236" s="1009"/>
      <c r="HK236" s="1009"/>
      <c r="HL236" s="1009"/>
      <c r="HM236" s="1009"/>
      <c r="HN236" s="1009"/>
      <c r="HO236" s="1009"/>
      <c r="HP236" s="1009"/>
      <c r="HQ236" s="1009"/>
      <c r="HR236" s="1009"/>
      <c r="HS236" s="1009"/>
      <c r="HT236" s="1009"/>
      <c r="HU236" s="1009"/>
      <c r="HV236" s="1009"/>
      <c r="HW236" s="1009"/>
      <c r="HX236" s="1009"/>
      <c r="HY236" s="1009"/>
      <c r="HZ236" s="1009"/>
      <c r="IA236" s="1009"/>
      <c r="IB236" s="1009"/>
      <c r="IC236" s="1009"/>
      <c r="ID236" s="1009"/>
      <c r="IE236" s="1009"/>
      <c r="IF236" s="1009"/>
      <c r="IG236" s="1009"/>
      <c r="IH236" s="1009"/>
      <c r="II236" s="1009"/>
      <c r="IJ236" s="1009"/>
      <c r="IK236" s="1009"/>
      <c r="IL236" s="1009"/>
      <c r="IM236" s="1009"/>
      <c r="IN236" s="1009"/>
      <c r="IO236" s="1009"/>
      <c r="IP236" s="1009"/>
      <c r="IQ236" s="1009"/>
      <c r="IR236" s="1009"/>
      <c r="IS236" s="1009"/>
      <c r="IT236" s="1009"/>
      <c r="IU236" s="1009"/>
      <c r="IV236" s="1009"/>
      <c r="IW236" s="1009"/>
      <c r="IX236" s="1009"/>
      <c r="IY236" s="1009"/>
      <c r="IZ236" s="1009"/>
      <c r="JA236" s="1009"/>
      <c r="JB236" s="1009"/>
      <c r="JC236" s="1009"/>
      <c r="JD236" s="1009"/>
      <c r="JE236" s="1009"/>
      <c r="JF236" s="1009"/>
      <c r="JG236" s="1009"/>
      <c r="JH236" s="1009"/>
      <c r="JI236" s="1009"/>
      <c r="JJ236" s="1009"/>
      <c r="JK236" s="1009"/>
      <c r="JL236" s="1009"/>
      <c r="JM236" s="1009"/>
      <c r="JN236" s="1009"/>
      <c r="JO236" s="1009"/>
      <c r="JP236" s="1009"/>
      <c r="JQ236" s="1009"/>
      <c r="JR236" s="1009"/>
      <c r="JS236" s="1009"/>
      <c r="JT236" s="1009"/>
      <c r="JU236" s="1009"/>
      <c r="JV236" s="1009"/>
      <c r="JW236" s="1009"/>
      <c r="JX236" s="1009"/>
      <c r="JY236" s="1009"/>
      <c r="JZ236" s="1009"/>
      <c r="KA236" s="1009"/>
      <c r="KB236" s="1009"/>
      <c r="KC236" s="1009"/>
      <c r="KD236" s="1009"/>
      <c r="KE236" s="1009"/>
      <c r="KF236" s="1009"/>
      <c r="KG236" s="1009"/>
      <c r="KH236" s="1009"/>
      <c r="KI236" s="1009"/>
      <c r="KJ236" s="1009"/>
      <c r="KK236" s="1009"/>
      <c r="KL236" s="1009"/>
      <c r="KM236" s="1009"/>
      <c r="KN236" s="1009"/>
      <c r="KO236" s="1009"/>
      <c r="KP236" s="1009"/>
      <c r="KQ236" s="1009"/>
      <c r="KR236" s="1009"/>
      <c r="KS236" s="1009"/>
      <c r="KT236" s="1009"/>
      <c r="KU236" s="1009"/>
      <c r="KV236" s="1009"/>
      <c r="KW236" s="1009"/>
      <c r="KX236" s="1009"/>
      <c r="KY236" s="1009"/>
      <c r="KZ236" s="1009"/>
      <c r="LA236" s="1009"/>
      <c r="LB236" s="1009"/>
      <c r="LC236" s="1009"/>
      <c r="LD236" s="1009"/>
      <c r="LE236" s="1009"/>
      <c r="LF236" s="1009"/>
      <c r="LG236" s="1009"/>
      <c r="LH236" s="1009"/>
      <c r="LI236" s="1009"/>
      <c r="LJ236" s="1009"/>
      <c r="LK236" s="1009"/>
      <c r="LL236" s="1009"/>
      <c r="LM236" s="1009"/>
      <c r="LN236" s="1009"/>
      <c r="LO236" s="1009"/>
      <c r="LP236" s="1009"/>
      <c r="LQ236" s="1009"/>
      <c r="LR236" s="1009"/>
      <c r="LS236" s="1009"/>
      <c r="LT236" s="1009"/>
      <c r="LU236" s="1009"/>
      <c r="LV236" s="1009"/>
      <c r="LW236" s="1009"/>
      <c r="LX236" s="1009"/>
      <c r="LY236" s="1009"/>
      <c r="LZ236" s="1009"/>
      <c r="MA236" s="1009"/>
      <c r="MB236" s="1009"/>
      <c r="MC236" s="1009"/>
      <c r="MD236" s="1009"/>
      <c r="ME236" s="1009"/>
      <c r="MF236" s="1009"/>
      <c r="MG236" s="1009"/>
      <c r="MH236" s="1009"/>
      <c r="MI236" s="1009"/>
      <c r="MJ236" s="1009"/>
      <c r="MK236" s="1009"/>
      <c r="ML236" s="1009"/>
      <c r="MM236" s="1009"/>
      <c r="MN236" s="1009"/>
      <c r="MO236" s="1009"/>
      <c r="MP236" s="1009"/>
      <c r="MQ236" s="1009"/>
      <c r="MR236" s="1009"/>
      <c r="MS236" s="1009"/>
      <c r="MT236" s="1009"/>
      <c r="MU236" s="1009"/>
      <c r="MV236" s="1009"/>
      <c r="MW236" s="1009"/>
      <c r="MX236" s="1009"/>
      <c r="MY236" s="1009"/>
      <c r="MZ236" s="1009"/>
      <c r="NA236" s="1009"/>
      <c r="NB236" s="1009"/>
      <c r="NC236" s="1009"/>
      <c r="ND236" s="1009"/>
      <c r="NE236" s="1009"/>
      <c r="NF236" s="1009"/>
      <c r="NG236" s="1009"/>
      <c r="NH236" s="1009"/>
      <c r="NI236" s="1009"/>
      <c r="NJ236" s="1009"/>
      <c r="NK236" s="1009"/>
      <c r="NL236" s="1009"/>
      <c r="NM236" s="1009"/>
      <c r="NN236" s="1009"/>
      <c r="NO236" s="1009"/>
      <c r="NP236" s="1009"/>
      <c r="NQ236" s="1009"/>
      <c r="NR236" s="1009"/>
      <c r="NS236" s="1009"/>
      <c r="NT236" s="1009"/>
      <c r="NU236" s="1009"/>
      <c r="NV236" s="1009"/>
      <c r="NW236" s="1009"/>
      <c r="NX236" s="1009"/>
      <c r="NY236" s="1009"/>
      <c r="NZ236" s="1009"/>
      <c r="OA236" s="1009"/>
      <c r="OB236" s="1009"/>
      <c r="OC236" s="1009"/>
      <c r="OD236" s="1009"/>
      <c r="OE236" s="1009"/>
      <c r="OF236" s="1009"/>
      <c r="OG236" s="1009"/>
      <c r="OH236" s="1009"/>
      <c r="OI236" s="1009"/>
      <c r="OJ236" s="1009"/>
      <c r="OK236" s="1009"/>
      <c r="OL236" s="1009"/>
      <c r="OM236" s="1009"/>
      <c r="ON236" s="1009"/>
      <c r="OO236" s="1009"/>
      <c r="OP236" s="1009"/>
      <c r="OQ236" s="1009"/>
      <c r="OR236" s="1009"/>
      <c r="OS236" s="1009"/>
      <c r="OT236" s="1009"/>
      <c r="OU236" s="1009"/>
      <c r="OV236" s="1009"/>
      <c r="OW236" s="1009"/>
      <c r="OX236" s="1009"/>
      <c r="OY236" s="1009"/>
      <c r="OZ236" s="1009"/>
      <c r="PA236" s="1009"/>
      <c r="PB236" s="1009"/>
      <c r="PC236" s="1009"/>
      <c r="PD236" s="1009"/>
      <c r="PE236" s="1009"/>
      <c r="PF236" s="1009"/>
      <c r="PG236" s="1009"/>
      <c r="PH236" s="1009"/>
      <c r="PI236" s="1009"/>
      <c r="PJ236" s="1009"/>
      <c r="PK236" s="1009"/>
      <c r="PL236" s="1009"/>
      <c r="PM236" s="1009"/>
      <c r="PN236" s="1009"/>
      <c r="PO236" s="1009"/>
      <c r="PP236" s="1009"/>
      <c r="PQ236" s="1009"/>
      <c r="PR236" s="1009"/>
      <c r="PS236" s="1009"/>
      <c r="PT236" s="1009"/>
      <c r="PU236" s="1009"/>
      <c r="PV236" s="1009"/>
      <c r="PW236" s="1009"/>
      <c r="PX236" s="1009"/>
      <c r="PY236" s="1009"/>
      <c r="PZ236" s="1009"/>
      <c r="QA236" s="1009"/>
      <c r="QB236" s="1009"/>
      <c r="QC236" s="1009"/>
      <c r="QD236" s="1009"/>
      <c r="QE236" s="1009"/>
      <c r="QF236" s="1009"/>
      <c r="QG236" s="1009"/>
      <c r="QH236" s="1009"/>
      <c r="QI236" s="1009"/>
      <c r="QJ236" s="1009"/>
      <c r="QK236" s="1009"/>
      <c r="QL236" s="1009"/>
      <c r="QM236" s="1009"/>
      <c r="QN236" s="1009"/>
      <c r="QO236" s="1009"/>
      <c r="QP236" s="1009"/>
      <c r="QQ236" s="1009"/>
      <c r="QR236" s="1009"/>
      <c r="QS236" s="1009"/>
      <c r="QT236" s="1009"/>
      <c r="QU236" s="1009"/>
      <c r="QV236" s="1009"/>
      <c r="QW236" s="1009"/>
      <c r="QX236" s="1009"/>
      <c r="QY236" s="1009"/>
      <c r="QZ236" s="1009"/>
      <c r="RA236" s="1009"/>
      <c r="RB236" s="1009"/>
      <c r="RC236" s="1009"/>
      <c r="RD236" s="1009"/>
      <c r="RE236" s="1009"/>
      <c r="RF236" s="1009"/>
      <c r="RG236" s="1009"/>
      <c r="RH236" s="1009"/>
      <c r="RI236" s="1009"/>
      <c r="RJ236" s="1009"/>
      <c r="RK236" s="1009"/>
      <c r="RL236" s="1009"/>
      <c r="RM236" s="1009"/>
      <c r="RN236" s="1009"/>
      <c r="RO236" s="1009"/>
      <c r="RP236" s="1009"/>
      <c r="RQ236" s="1009"/>
      <c r="RR236" s="1009"/>
      <c r="RS236" s="1009"/>
      <c r="RT236" s="1009"/>
      <c r="RU236" s="1009"/>
      <c r="RV236" s="1009"/>
      <c r="RW236" s="1009"/>
      <c r="RX236" s="1009"/>
      <c r="RY236" s="1009"/>
      <c r="RZ236" s="1009"/>
      <c r="SA236" s="1009"/>
      <c r="SB236" s="1009"/>
      <c r="SC236" s="1009"/>
      <c r="SD236" s="1009"/>
      <c r="SE236" s="1009"/>
      <c r="SF236" s="1009"/>
      <c r="SG236" s="1009"/>
      <c r="SH236" s="1009"/>
      <c r="SI236" s="1009"/>
      <c r="SJ236" s="1009"/>
      <c r="SK236" s="1009"/>
      <c r="SL236" s="1009"/>
      <c r="SM236" s="1009"/>
      <c r="SN236" s="1009"/>
      <c r="SO236" s="1009"/>
      <c r="SP236" s="1009"/>
      <c r="SQ236" s="1009"/>
      <c r="SR236" s="1009"/>
      <c r="SS236" s="1009"/>
      <c r="ST236" s="1009"/>
      <c r="SU236" s="1009"/>
      <c r="SV236" s="1009"/>
      <c r="SW236" s="1009"/>
      <c r="SX236" s="1009"/>
      <c r="SY236" s="1009"/>
      <c r="SZ236" s="1009"/>
      <c r="TA236" s="1009"/>
      <c r="TB236" s="1009"/>
      <c r="TC236" s="1009"/>
      <c r="TD236" s="1009"/>
      <c r="TE236" s="1009"/>
      <c r="TF236" s="1009"/>
      <c r="TG236" s="1009"/>
      <c r="TH236" s="1009"/>
      <c r="TI236" s="1009"/>
      <c r="TJ236" s="1009"/>
      <c r="TK236" s="1009"/>
      <c r="TL236" s="1009"/>
      <c r="TM236" s="1009"/>
      <c r="TN236" s="1009"/>
      <c r="TO236" s="1009"/>
      <c r="TP236" s="1009"/>
      <c r="TQ236" s="1009"/>
      <c r="TR236" s="1009"/>
      <c r="TS236" s="1009"/>
      <c r="TT236" s="1009"/>
      <c r="TU236" s="1009"/>
      <c r="TV236" s="1009"/>
      <c r="TW236" s="1009"/>
      <c r="TX236" s="1009"/>
      <c r="TY236" s="1009"/>
      <c r="TZ236" s="1009"/>
      <c r="UA236" s="1009"/>
      <c r="UB236" s="1009"/>
      <c r="UC236" s="1009"/>
      <c r="UD236" s="1009"/>
      <c r="UE236" s="1009"/>
      <c r="UF236" s="1009"/>
      <c r="UG236" s="1009"/>
      <c r="UH236" s="1009"/>
      <c r="UI236" s="1009"/>
      <c r="UJ236" s="1009"/>
      <c r="UK236" s="1009"/>
      <c r="UL236" s="1009"/>
      <c r="UM236" s="1009"/>
      <c r="UN236" s="1009"/>
      <c r="UO236" s="1009"/>
      <c r="UP236" s="1009"/>
      <c r="UQ236" s="1009"/>
      <c r="UR236" s="1009"/>
      <c r="US236" s="1009"/>
      <c r="UT236" s="1009"/>
      <c r="UU236" s="1009"/>
      <c r="UV236" s="1009"/>
      <c r="UW236" s="1009"/>
      <c r="UX236" s="1009"/>
      <c r="UY236" s="1009"/>
      <c r="UZ236" s="1009"/>
      <c r="VA236" s="1009"/>
      <c r="VB236" s="1009"/>
      <c r="VC236" s="1009"/>
      <c r="VD236" s="1009"/>
      <c r="VE236" s="1009"/>
      <c r="VF236" s="1009"/>
      <c r="VG236" s="1009"/>
      <c r="VH236" s="1009"/>
      <c r="VI236" s="1009"/>
      <c r="VJ236" s="1009"/>
      <c r="VK236" s="1009"/>
      <c r="VL236" s="1009"/>
      <c r="VM236" s="1009"/>
      <c r="VN236" s="1009"/>
      <c r="VO236" s="1009"/>
      <c r="VP236" s="1009"/>
      <c r="VQ236" s="1009"/>
      <c r="VR236" s="1009"/>
      <c r="VS236" s="1009"/>
      <c r="VT236" s="1009"/>
      <c r="VU236" s="1009"/>
      <c r="VV236" s="1009"/>
      <c r="VW236" s="1009"/>
      <c r="VX236" s="1009"/>
      <c r="VY236" s="1009"/>
      <c r="VZ236" s="1009"/>
      <c r="WA236" s="1009"/>
      <c r="WB236" s="1009"/>
      <c r="WC236" s="1009"/>
      <c r="WD236" s="1009"/>
      <c r="WE236" s="1009"/>
      <c r="WF236" s="1009"/>
      <c r="WG236" s="1009"/>
      <c r="WH236" s="1009"/>
      <c r="WI236" s="1009"/>
      <c r="WJ236" s="1009"/>
      <c r="WK236" s="1009"/>
      <c r="WL236" s="1009"/>
      <c r="WM236" s="1009"/>
      <c r="WN236" s="1009"/>
      <c r="WO236" s="1009"/>
      <c r="WP236" s="1009"/>
      <c r="WQ236" s="1009"/>
      <c r="WR236" s="1009"/>
      <c r="WS236" s="1009"/>
      <c r="WT236" s="1009"/>
      <c r="WU236" s="1009"/>
      <c r="WV236" s="1009"/>
      <c r="WW236" s="1009"/>
      <c r="WX236" s="1009"/>
      <c r="WY236" s="1009"/>
      <c r="WZ236" s="1009"/>
      <c r="XA236" s="1009"/>
      <c r="XB236" s="1009"/>
      <c r="XC236" s="1009"/>
      <c r="XD236" s="1009"/>
      <c r="XE236" s="1009"/>
      <c r="XF236" s="1009"/>
      <c r="XG236" s="1009"/>
      <c r="XH236" s="1009"/>
      <c r="XI236" s="1009"/>
      <c r="XJ236" s="1009"/>
      <c r="XK236" s="1009"/>
      <c r="XL236" s="1009"/>
      <c r="XM236" s="1009"/>
      <c r="XN236" s="1009"/>
      <c r="XO236" s="1009"/>
      <c r="XP236" s="1009"/>
      <c r="XQ236" s="1009"/>
      <c r="XR236" s="1009"/>
      <c r="XS236" s="1009"/>
      <c r="XT236" s="1009"/>
      <c r="XU236" s="1009"/>
      <c r="XV236" s="1009"/>
      <c r="XW236" s="1009"/>
      <c r="XX236" s="1009"/>
      <c r="XY236" s="1009"/>
      <c r="XZ236" s="1009"/>
      <c r="YA236" s="1009"/>
      <c r="YB236" s="1009"/>
      <c r="YC236" s="1009"/>
      <c r="YD236" s="1009"/>
      <c r="YE236" s="1009"/>
      <c r="YF236" s="1009"/>
      <c r="YG236" s="1009"/>
      <c r="YH236" s="1009"/>
      <c r="YI236" s="1009"/>
      <c r="YJ236" s="1009"/>
      <c r="YK236" s="1009"/>
      <c r="YL236" s="1009"/>
      <c r="YM236" s="1009"/>
      <c r="YN236" s="1009"/>
      <c r="YO236" s="1009"/>
      <c r="YP236" s="1009"/>
      <c r="YQ236" s="1009"/>
      <c r="YR236" s="1009"/>
      <c r="YS236" s="1009"/>
      <c r="YT236" s="1009"/>
      <c r="YU236" s="1009"/>
      <c r="YV236" s="1009"/>
      <c r="YW236" s="1009"/>
      <c r="YX236" s="1009"/>
      <c r="YY236" s="1009"/>
      <c r="YZ236" s="1009"/>
      <c r="ZA236" s="1009"/>
      <c r="ZB236" s="1009"/>
      <c r="ZC236" s="1009"/>
      <c r="ZD236" s="1009"/>
      <c r="ZE236" s="1009"/>
      <c r="ZF236" s="1009"/>
      <c r="ZG236" s="1009"/>
      <c r="ZH236" s="1009"/>
      <c r="ZI236" s="1009"/>
      <c r="ZJ236" s="1009"/>
      <c r="ZK236" s="1009"/>
      <c r="ZL236" s="1009"/>
      <c r="ZM236" s="1009"/>
      <c r="ZN236" s="1009"/>
      <c r="ZO236" s="1009"/>
      <c r="ZP236" s="1009"/>
      <c r="ZQ236" s="1009"/>
      <c r="ZR236" s="1009"/>
      <c r="ZS236" s="1009"/>
      <c r="ZT236" s="1009"/>
      <c r="ZU236" s="1009"/>
      <c r="ZV236" s="1009"/>
      <c r="ZW236" s="1009"/>
      <c r="ZX236" s="1009"/>
      <c r="ZY236" s="1009"/>
      <c r="ZZ236" s="1009"/>
      <c r="AAA236" s="1009"/>
      <c r="AAB236" s="1009"/>
      <c r="AAC236" s="1009"/>
      <c r="AAD236" s="1009"/>
      <c r="AAE236" s="1009"/>
      <c r="AAF236" s="1009"/>
      <c r="AAG236" s="1009"/>
      <c r="AAH236" s="1009"/>
      <c r="AAI236" s="1009"/>
      <c r="AAJ236" s="1009"/>
      <c r="AAK236" s="1009"/>
      <c r="AAL236" s="1009"/>
      <c r="AAM236" s="1009"/>
      <c r="AAN236" s="1009"/>
      <c r="AAO236" s="1009"/>
      <c r="AAP236" s="1009"/>
      <c r="AAQ236" s="1009"/>
      <c r="AAR236" s="1009"/>
      <c r="AAS236" s="1009"/>
      <c r="AAT236" s="1009"/>
      <c r="AAU236" s="1009"/>
      <c r="AAV236" s="1009"/>
      <c r="AAW236" s="1009"/>
      <c r="AAX236" s="1009"/>
      <c r="AAY236" s="1009"/>
      <c r="AAZ236" s="1009"/>
      <c r="ABA236" s="1009"/>
      <c r="ABB236" s="1009"/>
      <c r="ABC236" s="1009"/>
      <c r="ABD236" s="1009"/>
      <c r="ABE236" s="1009"/>
      <c r="ABF236" s="1009"/>
      <c r="ABG236" s="1009"/>
      <c r="ABH236" s="1009"/>
      <c r="ABI236" s="1009"/>
      <c r="ABJ236" s="1009"/>
      <c r="ABK236" s="1009"/>
      <c r="ABL236" s="1009"/>
      <c r="ABM236" s="1009"/>
      <c r="ABN236" s="1009"/>
      <c r="ABO236" s="1009"/>
      <c r="ABP236" s="1009"/>
      <c r="ABQ236" s="1009"/>
      <c r="ABR236" s="1009"/>
    </row>
    <row r="237" spans="1:746" s="111" customFormat="1" ht="12" customHeight="1">
      <c r="A237" s="789"/>
      <c r="B237" s="1772"/>
      <c r="C237" s="2238"/>
      <c r="D237" s="2238"/>
      <c r="E237" s="2239"/>
      <c r="F237" s="2239"/>
      <c r="G237" s="2239"/>
      <c r="H237" s="2240"/>
      <c r="I237" s="2570" t="str">
        <f>IF(fx!I$57=0,"&gt;&gt;",IF($L$4=I$6,"","Välj 1-12 i P4"))</f>
        <v/>
      </c>
      <c r="J237" s="1843" t="str">
        <f>IF(fx!J$57=0,"&gt;&gt;",IF($L$4=J$6,"Startmånad",""))</f>
        <v/>
      </c>
      <c r="K237" s="1843" t="str">
        <f>IF(fx!K$57=0,"&gt;&gt;",IF($L$4=K$6,"Startmånad",""))</f>
        <v/>
      </c>
      <c r="L237" s="1843" t="str">
        <f>IF(fx!L$57=0,"&gt;&gt;",IF($L$4=L$6,"Startmånad",""))</f>
        <v/>
      </c>
      <c r="M237" s="1843" t="str">
        <f>IF(fx!M$57=0,"&gt;&gt;",IF($L$4=M$6,"Startmånad",""))</f>
        <v/>
      </c>
      <c r="N237" s="1843" t="str">
        <f>IF(fx!N$57=0,"&gt;&gt;",IF($L$4=N$6,"Startmånad",""))</f>
        <v/>
      </c>
      <c r="O237" s="1843" t="str">
        <f>IF(AND(fx!$C$57=1,fx!O$57=0),"&gt;&gt;",IF(AND(fx!$C$57=1,$L$4=$O$6),"Startmånad",IF(AND(fx!$C$57=2,$L$4&lt;7),"Välj 7-12 i P4",IF(AND(fx!$C$57=2,$L$4=$O$6),"Startmånad",IF(AND(fx!$C$57=2,$L$4&gt;$O$6),"&gt;&gt;","")))))</f>
        <v/>
      </c>
      <c r="P237" s="1843" t="str">
        <f>IF(fx!P$57=0,"&gt;&gt;",IF($L$4=P$6,"Startmånad",""))</f>
        <v/>
      </c>
      <c r="Q237" s="1843" t="str">
        <f>IF(fx!Q$57=0,"&gt;&gt;",IF($L$4=Q$6,"Startmånad",""))</f>
        <v/>
      </c>
      <c r="R237" s="1843" t="str">
        <f>IF(fx!R$57=0,"&gt;&gt;",IF($L$4=R$6,"Startmånad",""))</f>
        <v/>
      </c>
      <c r="S237" s="1843" t="str">
        <f>IF(fx!S$57=0,"&gt;&gt;",IF($L$4=S$6,"Startmånad",""))</f>
        <v/>
      </c>
      <c r="T237" s="2721" t="str">
        <f>IF(fx!T$57=0,"&gt;&gt;",IF($L$4=T$6,"Startmånad",""))</f>
        <v/>
      </c>
      <c r="U237" s="2722"/>
      <c r="V237" s="2241"/>
      <c r="W237" s="2241"/>
      <c r="X237" s="2241"/>
      <c r="Y237" s="2241"/>
      <c r="Z237" s="2241"/>
      <c r="AA237" s="2241"/>
      <c r="AB237" s="2241"/>
      <c r="AC237" s="2241"/>
      <c r="AD237" s="2241"/>
      <c r="AE237" s="2241"/>
      <c r="AF237" s="2242"/>
      <c r="AG237" s="337"/>
      <c r="AH237" s="786"/>
      <c r="AI237" s="786"/>
      <c r="AJ237" s="1044"/>
      <c r="AK237" s="1047"/>
      <c r="AL237" s="1044"/>
      <c r="AM237" s="1009"/>
      <c r="AN237" s="1026"/>
      <c r="AO237" s="1945"/>
      <c r="AP237" s="1935"/>
      <c r="AQ237" s="1936"/>
      <c r="AR237" s="1941"/>
      <c r="AS237" s="1941"/>
      <c r="AT237" s="1941"/>
      <c r="AU237" s="1941"/>
      <c r="AV237" s="1941"/>
      <c r="AW237" s="1941"/>
      <c r="AX237" s="1941"/>
      <c r="AY237" s="1941"/>
      <c r="AZ237" s="1941"/>
      <c r="BA237" s="1941"/>
      <c r="BB237" s="1941"/>
      <c r="BC237" s="1941"/>
      <c r="BD237" s="1941"/>
      <c r="BE237" s="1941"/>
      <c r="BF237" s="1941"/>
      <c r="BG237" s="1941"/>
      <c r="BH237" s="1941"/>
      <c r="BI237" s="1941"/>
      <c r="BJ237" s="1941"/>
      <c r="BK237" s="1941"/>
      <c r="BL237" s="1941"/>
      <c r="BM237" s="1941"/>
      <c r="BN237" s="1941"/>
      <c r="BO237" s="1941"/>
      <c r="BP237" s="1009"/>
      <c r="BQ237" s="1009"/>
      <c r="BR237" s="1009"/>
      <c r="BS237" s="1009"/>
      <c r="BT237" s="1009"/>
      <c r="BU237" s="1009"/>
      <c r="BV237" s="1009"/>
      <c r="BW237" s="1009"/>
      <c r="BX237" s="1009"/>
      <c r="BY237" s="1009"/>
      <c r="BZ237" s="1009"/>
      <c r="CA237" s="1009"/>
      <c r="CB237" s="1009"/>
      <c r="CC237" s="1009"/>
      <c r="CD237" s="1009"/>
      <c r="CE237" s="1009"/>
      <c r="CF237" s="1009"/>
      <c r="CG237" s="1009"/>
      <c r="CH237" s="1009"/>
      <c r="CI237" s="1009"/>
      <c r="CJ237" s="1009"/>
      <c r="CK237" s="1009"/>
      <c r="CL237" s="1009"/>
      <c r="CM237" s="1009"/>
      <c r="CN237" s="1009"/>
      <c r="CO237" s="1009"/>
      <c r="CP237" s="1009"/>
      <c r="CQ237" s="1009"/>
      <c r="CR237" s="1009"/>
      <c r="CS237" s="1009"/>
      <c r="CT237" s="1009"/>
      <c r="CU237" s="1009"/>
      <c r="CV237" s="1009"/>
      <c r="CW237" s="1009"/>
      <c r="CX237" s="1009"/>
      <c r="CY237" s="1009"/>
      <c r="CZ237" s="1009"/>
      <c r="DA237" s="1009"/>
      <c r="DB237" s="1009"/>
      <c r="DC237" s="1009"/>
      <c r="DD237" s="1009"/>
      <c r="DE237" s="1009"/>
      <c r="DF237" s="1009"/>
      <c r="DG237" s="1009"/>
      <c r="DH237" s="1009"/>
      <c r="DI237" s="1009"/>
      <c r="DJ237" s="1009"/>
      <c r="DK237" s="1009"/>
      <c r="DL237" s="1009"/>
      <c r="DM237" s="1009"/>
      <c r="DN237" s="1009"/>
      <c r="DO237" s="1009"/>
      <c r="DP237" s="1009"/>
      <c r="DQ237" s="1009"/>
      <c r="DR237" s="1009"/>
      <c r="DS237" s="1009"/>
      <c r="DT237" s="1009"/>
      <c r="DU237" s="1009"/>
      <c r="DV237" s="1009"/>
      <c r="DW237" s="1009"/>
      <c r="DX237" s="1009"/>
      <c r="DY237" s="1009"/>
      <c r="DZ237" s="1009"/>
      <c r="EA237" s="1009"/>
      <c r="EB237" s="1009"/>
      <c r="EC237" s="1009"/>
      <c r="ED237" s="1009"/>
      <c r="EE237" s="1009"/>
      <c r="EF237" s="1009"/>
      <c r="EG237" s="1009"/>
      <c r="EH237" s="1009"/>
      <c r="EI237" s="1009"/>
      <c r="EJ237" s="1009"/>
      <c r="EK237" s="1009"/>
      <c r="EL237" s="1009"/>
      <c r="EM237" s="1009"/>
      <c r="EN237" s="1009"/>
      <c r="EO237" s="1009"/>
      <c r="EP237" s="1009"/>
      <c r="EQ237" s="1009"/>
      <c r="ER237" s="1009"/>
      <c r="ES237" s="1009"/>
      <c r="ET237" s="1009"/>
      <c r="EU237" s="1009"/>
      <c r="EV237" s="1009"/>
      <c r="EW237" s="1009"/>
      <c r="EX237" s="1009"/>
      <c r="EY237" s="1009"/>
      <c r="EZ237" s="1009"/>
      <c r="FA237" s="1009"/>
      <c r="FB237" s="1009"/>
      <c r="FC237" s="1009"/>
      <c r="FD237" s="1009"/>
      <c r="FE237" s="1009"/>
      <c r="FF237" s="1009"/>
      <c r="FG237" s="1009"/>
      <c r="FH237" s="1009"/>
      <c r="FI237" s="1009"/>
      <c r="FJ237" s="1009"/>
      <c r="FK237" s="1009"/>
      <c r="FL237" s="1009"/>
      <c r="FM237" s="1009"/>
      <c r="FN237" s="1009"/>
      <c r="FO237" s="1009"/>
      <c r="FP237" s="1009"/>
      <c r="FQ237" s="1009"/>
      <c r="FR237" s="1009"/>
      <c r="FS237" s="1009"/>
      <c r="FT237" s="1009"/>
      <c r="FU237" s="1009"/>
      <c r="FV237" s="1009"/>
      <c r="FW237" s="1009"/>
      <c r="FX237" s="1009"/>
      <c r="FY237" s="1009"/>
      <c r="FZ237" s="1009"/>
      <c r="GA237" s="1009"/>
      <c r="GB237" s="1009"/>
      <c r="GC237" s="1009"/>
      <c r="GD237" s="1009"/>
      <c r="GE237" s="1009"/>
      <c r="GF237" s="1009"/>
      <c r="GG237" s="1009"/>
      <c r="GH237" s="1009"/>
      <c r="GI237" s="1009"/>
      <c r="GJ237" s="1009"/>
      <c r="GK237" s="1009"/>
      <c r="GL237" s="1009"/>
      <c r="GM237" s="1009"/>
      <c r="GN237" s="1009"/>
      <c r="GO237" s="1009"/>
      <c r="GP237" s="1009"/>
      <c r="GQ237" s="1009"/>
      <c r="GR237" s="1009"/>
      <c r="GS237" s="1009"/>
      <c r="GT237" s="1009"/>
      <c r="GU237" s="1009"/>
      <c r="GV237" s="1009"/>
      <c r="GW237" s="1009"/>
      <c r="GX237" s="1009"/>
      <c r="GY237" s="1009"/>
      <c r="GZ237" s="1009"/>
      <c r="HA237" s="1009"/>
      <c r="HB237" s="1009"/>
      <c r="HC237" s="1009"/>
      <c r="HD237" s="1009"/>
      <c r="HE237" s="1009"/>
      <c r="HF237" s="1009"/>
      <c r="HG237" s="1009"/>
      <c r="HH237" s="1009"/>
      <c r="HI237" s="1009"/>
      <c r="HJ237" s="1009"/>
      <c r="HK237" s="1009"/>
      <c r="HL237" s="1009"/>
      <c r="HM237" s="1009"/>
      <c r="HN237" s="1009"/>
      <c r="HO237" s="1009"/>
      <c r="HP237" s="1009"/>
      <c r="HQ237" s="1009"/>
      <c r="HR237" s="1009"/>
      <c r="HS237" s="1009"/>
      <c r="HT237" s="1009"/>
      <c r="HU237" s="1009"/>
      <c r="HV237" s="1009"/>
      <c r="HW237" s="1009"/>
      <c r="HX237" s="1009"/>
      <c r="HY237" s="1009"/>
      <c r="HZ237" s="1009"/>
      <c r="IA237" s="1009"/>
      <c r="IB237" s="1009"/>
      <c r="IC237" s="1009"/>
      <c r="ID237" s="1009"/>
      <c r="IE237" s="1009"/>
      <c r="IF237" s="1009"/>
      <c r="IG237" s="1009"/>
      <c r="IH237" s="1009"/>
      <c r="II237" s="1009"/>
      <c r="IJ237" s="1009"/>
      <c r="IK237" s="1009"/>
      <c r="IL237" s="1009"/>
      <c r="IM237" s="1009"/>
      <c r="IN237" s="1009"/>
      <c r="IO237" s="1009"/>
      <c r="IP237" s="1009"/>
      <c r="IQ237" s="1009"/>
      <c r="IR237" s="1009"/>
      <c r="IS237" s="1009"/>
      <c r="IT237" s="1009"/>
      <c r="IU237" s="1009"/>
      <c r="IV237" s="1009"/>
      <c r="IW237" s="1009"/>
      <c r="IX237" s="1009"/>
      <c r="IY237" s="1009"/>
      <c r="IZ237" s="1009"/>
      <c r="JA237" s="1009"/>
      <c r="JB237" s="1009"/>
      <c r="JC237" s="1009"/>
      <c r="JD237" s="1009"/>
      <c r="JE237" s="1009"/>
      <c r="JF237" s="1009"/>
      <c r="JG237" s="1009"/>
      <c r="JH237" s="1009"/>
      <c r="JI237" s="1009"/>
      <c r="JJ237" s="1009"/>
      <c r="JK237" s="1009"/>
      <c r="JL237" s="1009"/>
      <c r="JM237" s="1009"/>
      <c r="JN237" s="1009"/>
      <c r="JO237" s="1009"/>
      <c r="JP237" s="1009"/>
      <c r="JQ237" s="1009"/>
      <c r="JR237" s="1009"/>
      <c r="JS237" s="1009"/>
      <c r="JT237" s="1009"/>
      <c r="JU237" s="1009"/>
      <c r="JV237" s="1009"/>
      <c r="JW237" s="1009"/>
      <c r="JX237" s="1009"/>
      <c r="JY237" s="1009"/>
      <c r="JZ237" s="1009"/>
      <c r="KA237" s="1009"/>
      <c r="KB237" s="1009"/>
      <c r="KC237" s="1009"/>
      <c r="KD237" s="1009"/>
      <c r="KE237" s="1009"/>
      <c r="KF237" s="1009"/>
      <c r="KG237" s="1009"/>
      <c r="KH237" s="1009"/>
      <c r="KI237" s="1009"/>
      <c r="KJ237" s="1009"/>
      <c r="KK237" s="1009"/>
      <c r="KL237" s="1009"/>
      <c r="KM237" s="1009"/>
      <c r="KN237" s="1009"/>
      <c r="KO237" s="1009"/>
      <c r="KP237" s="1009"/>
      <c r="KQ237" s="1009"/>
      <c r="KR237" s="1009"/>
      <c r="KS237" s="1009"/>
      <c r="KT237" s="1009"/>
      <c r="KU237" s="1009"/>
      <c r="KV237" s="1009"/>
      <c r="KW237" s="1009"/>
      <c r="KX237" s="1009"/>
      <c r="KY237" s="1009"/>
      <c r="KZ237" s="1009"/>
      <c r="LA237" s="1009"/>
      <c r="LB237" s="1009"/>
      <c r="LC237" s="1009"/>
      <c r="LD237" s="1009"/>
      <c r="LE237" s="1009"/>
      <c r="LF237" s="1009"/>
      <c r="LG237" s="1009"/>
      <c r="LH237" s="1009"/>
      <c r="LI237" s="1009"/>
      <c r="LJ237" s="1009"/>
      <c r="LK237" s="1009"/>
      <c r="LL237" s="1009"/>
      <c r="LM237" s="1009"/>
      <c r="LN237" s="1009"/>
      <c r="LO237" s="1009"/>
      <c r="LP237" s="1009"/>
      <c r="LQ237" s="1009"/>
      <c r="LR237" s="1009"/>
      <c r="LS237" s="1009"/>
      <c r="LT237" s="1009"/>
      <c r="LU237" s="1009"/>
      <c r="LV237" s="1009"/>
      <c r="LW237" s="1009"/>
      <c r="LX237" s="1009"/>
      <c r="LY237" s="1009"/>
      <c r="LZ237" s="1009"/>
      <c r="MA237" s="1009"/>
      <c r="MB237" s="1009"/>
      <c r="MC237" s="1009"/>
      <c r="MD237" s="1009"/>
      <c r="ME237" s="1009"/>
      <c r="MF237" s="1009"/>
      <c r="MG237" s="1009"/>
      <c r="MH237" s="1009"/>
      <c r="MI237" s="1009"/>
      <c r="MJ237" s="1009"/>
      <c r="MK237" s="1009"/>
      <c r="ML237" s="1009"/>
      <c r="MM237" s="1009"/>
      <c r="MN237" s="1009"/>
      <c r="MO237" s="1009"/>
      <c r="MP237" s="1009"/>
      <c r="MQ237" s="1009"/>
      <c r="MR237" s="1009"/>
      <c r="MS237" s="1009"/>
      <c r="MT237" s="1009"/>
      <c r="MU237" s="1009"/>
      <c r="MV237" s="1009"/>
      <c r="MW237" s="1009"/>
      <c r="MX237" s="1009"/>
      <c r="MY237" s="1009"/>
      <c r="MZ237" s="1009"/>
      <c r="NA237" s="1009"/>
      <c r="NB237" s="1009"/>
      <c r="NC237" s="1009"/>
      <c r="ND237" s="1009"/>
      <c r="NE237" s="1009"/>
      <c r="NF237" s="1009"/>
      <c r="NG237" s="1009"/>
      <c r="NH237" s="1009"/>
      <c r="NI237" s="1009"/>
      <c r="NJ237" s="1009"/>
      <c r="NK237" s="1009"/>
      <c r="NL237" s="1009"/>
      <c r="NM237" s="1009"/>
      <c r="NN237" s="1009"/>
      <c r="NO237" s="1009"/>
      <c r="NP237" s="1009"/>
      <c r="NQ237" s="1009"/>
      <c r="NR237" s="1009"/>
      <c r="NS237" s="1009"/>
      <c r="NT237" s="1009"/>
      <c r="NU237" s="1009"/>
      <c r="NV237" s="1009"/>
      <c r="NW237" s="1009"/>
      <c r="NX237" s="1009"/>
      <c r="NY237" s="1009"/>
      <c r="NZ237" s="1009"/>
      <c r="OA237" s="1009"/>
      <c r="OB237" s="1009"/>
      <c r="OC237" s="1009"/>
      <c r="OD237" s="1009"/>
      <c r="OE237" s="1009"/>
      <c r="OF237" s="1009"/>
      <c r="OG237" s="1009"/>
      <c r="OH237" s="1009"/>
      <c r="OI237" s="1009"/>
      <c r="OJ237" s="1009"/>
      <c r="OK237" s="1009"/>
      <c r="OL237" s="1009"/>
      <c r="OM237" s="1009"/>
      <c r="ON237" s="1009"/>
      <c r="OO237" s="1009"/>
      <c r="OP237" s="1009"/>
      <c r="OQ237" s="1009"/>
      <c r="OR237" s="1009"/>
      <c r="OS237" s="1009"/>
      <c r="OT237" s="1009"/>
      <c r="OU237" s="1009"/>
      <c r="OV237" s="1009"/>
      <c r="OW237" s="1009"/>
      <c r="OX237" s="1009"/>
      <c r="OY237" s="1009"/>
      <c r="OZ237" s="1009"/>
      <c r="PA237" s="1009"/>
      <c r="PB237" s="1009"/>
      <c r="PC237" s="1009"/>
      <c r="PD237" s="1009"/>
      <c r="PE237" s="1009"/>
      <c r="PF237" s="1009"/>
      <c r="PG237" s="1009"/>
      <c r="PH237" s="1009"/>
      <c r="PI237" s="1009"/>
      <c r="PJ237" s="1009"/>
      <c r="PK237" s="1009"/>
      <c r="PL237" s="1009"/>
      <c r="PM237" s="1009"/>
      <c r="PN237" s="1009"/>
      <c r="PO237" s="1009"/>
      <c r="PP237" s="1009"/>
      <c r="PQ237" s="1009"/>
      <c r="PR237" s="1009"/>
      <c r="PS237" s="1009"/>
      <c r="PT237" s="1009"/>
      <c r="PU237" s="1009"/>
      <c r="PV237" s="1009"/>
      <c r="PW237" s="1009"/>
      <c r="PX237" s="1009"/>
      <c r="PY237" s="1009"/>
      <c r="PZ237" s="1009"/>
      <c r="QA237" s="1009"/>
      <c r="QB237" s="1009"/>
      <c r="QC237" s="1009"/>
      <c r="QD237" s="1009"/>
      <c r="QE237" s="1009"/>
      <c r="QF237" s="1009"/>
      <c r="QG237" s="1009"/>
      <c r="QH237" s="1009"/>
      <c r="QI237" s="1009"/>
      <c r="QJ237" s="1009"/>
      <c r="QK237" s="1009"/>
      <c r="QL237" s="1009"/>
      <c r="QM237" s="1009"/>
      <c r="QN237" s="1009"/>
      <c r="QO237" s="1009"/>
      <c r="QP237" s="1009"/>
      <c r="QQ237" s="1009"/>
      <c r="QR237" s="1009"/>
      <c r="QS237" s="1009"/>
      <c r="QT237" s="1009"/>
      <c r="QU237" s="1009"/>
      <c r="QV237" s="1009"/>
      <c r="QW237" s="1009"/>
      <c r="QX237" s="1009"/>
      <c r="QY237" s="1009"/>
      <c r="QZ237" s="1009"/>
      <c r="RA237" s="1009"/>
      <c r="RB237" s="1009"/>
      <c r="RC237" s="1009"/>
      <c r="RD237" s="1009"/>
      <c r="RE237" s="1009"/>
      <c r="RF237" s="1009"/>
      <c r="RG237" s="1009"/>
      <c r="RH237" s="1009"/>
      <c r="RI237" s="1009"/>
      <c r="RJ237" s="1009"/>
      <c r="RK237" s="1009"/>
      <c r="RL237" s="1009"/>
      <c r="RM237" s="1009"/>
      <c r="RN237" s="1009"/>
      <c r="RO237" s="1009"/>
      <c r="RP237" s="1009"/>
      <c r="RQ237" s="1009"/>
      <c r="RR237" s="1009"/>
      <c r="RS237" s="1009"/>
      <c r="RT237" s="1009"/>
      <c r="RU237" s="1009"/>
      <c r="RV237" s="1009"/>
      <c r="RW237" s="1009"/>
      <c r="RX237" s="1009"/>
      <c r="RY237" s="1009"/>
      <c r="RZ237" s="1009"/>
      <c r="SA237" s="1009"/>
      <c r="SB237" s="1009"/>
      <c r="SC237" s="1009"/>
      <c r="SD237" s="1009"/>
      <c r="SE237" s="1009"/>
      <c r="SF237" s="1009"/>
      <c r="SG237" s="1009"/>
      <c r="SH237" s="1009"/>
      <c r="SI237" s="1009"/>
      <c r="SJ237" s="1009"/>
      <c r="SK237" s="1009"/>
      <c r="SL237" s="1009"/>
      <c r="SM237" s="1009"/>
      <c r="SN237" s="1009"/>
      <c r="SO237" s="1009"/>
      <c r="SP237" s="1009"/>
      <c r="SQ237" s="1009"/>
      <c r="SR237" s="1009"/>
      <c r="SS237" s="1009"/>
      <c r="ST237" s="1009"/>
      <c r="SU237" s="1009"/>
      <c r="SV237" s="1009"/>
      <c r="SW237" s="1009"/>
      <c r="SX237" s="1009"/>
      <c r="SY237" s="1009"/>
      <c r="SZ237" s="1009"/>
      <c r="TA237" s="1009"/>
      <c r="TB237" s="1009"/>
      <c r="TC237" s="1009"/>
      <c r="TD237" s="1009"/>
      <c r="TE237" s="1009"/>
      <c r="TF237" s="1009"/>
      <c r="TG237" s="1009"/>
      <c r="TH237" s="1009"/>
      <c r="TI237" s="1009"/>
      <c r="TJ237" s="1009"/>
      <c r="TK237" s="1009"/>
      <c r="TL237" s="1009"/>
      <c r="TM237" s="1009"/>
      <c r="TN237" s="1009"/>
      <c r="TO237" s="1009"/>
      <c r="TP237" s="1009"/>
      <c r="TQ237" s="1009"/>
      <c r="TR237" s="1009"/>
      <c r="TS237" s="1009"/>
      <c r="TT237" s="1009"/>
      <c r="TU237" s="1009"/>
      <c r="TV237" s="1009"/>
      <c r="TW237" s="1009"/>
      <c r="TX237" s="1009"/>
      <c r="TY237" s="1009"/>
      <c r="TZ237" s="1009"/>
      <c r="UA237" s="1009"/>
      <c r="UB237" s="1009"/>
      <c r="UC237" s="1009"/>
      <c r="UD237" s="1009"/>
      <c r="UE237" s="1009"/>
      <c r="UF237" s="1009"/>
      <c r="UG237" s="1009"/>
      <c r="UH237" s="1009"/>
      <c r="UI237" s="1009"/>
      <c r="UJ237" s="1009"/>
      <c r="UK237" s="1009"/>
      <c r="UL237" s="1009"/>
      <c r="UM237" s="1009"/>
      <c r="UN237" s="1009"/>
      <c r="UO237" s="1009"/>
      <c r="UP237" s="1009"/>
      <c r="UQ237" s="1009"/>
      <c r="UR237" s="1009"/>
      <c r="US237" s="1009"/>
      <c r="UT237" s="1009"/>
      <c r="UU237" s="1009"/>
      <c r="UV237" s="1009"/>
      <c r="UW237" s="1009"/>
      <c r="UX237" s="1009"/>
      <c r="UY237" s="1009"/>
      <c r="UZ237" s="1009"/>
      <c r="VA237" s="1009"/>
      <c r="VB237" s="1009"/>
      <c r="VC237" s="1009"/>
      <c r="VD237" s="1009"/>
      <c r="VE237" s="1009"/>
      <c r="VF237" s="1009"/>
      <c r="VG237" s="1009"/>
      <c r="VH237" s="1009"/>
      <c r="VI237" s="1009"/>
      <c r="VJ237" s="1009"/>
      <c r="VK237" s="1009"/>
      <c r="VL237" s="1009"/>
      <c r="VM237" s="1009"/>
      <c r="VN237" s="1009"/>
      <c r="VO237" s="1009"/>
      <c r="VP237" s="1009"/>
      <c r="VQ237" s="1009"/>
      <c r="VR237" s="1009"/>
      <c r="VS237" s="1009"/>
      <c r="VT237" s="1009"/>
      <c r="VU237" s="1009"/>
      <c r="VV237" s="1009"/>
      <c r="VW237" s="1009"/>
      <c r="VX237" s="1009"/>
      <c r="VY237" s="1009"/>
      <c r="VZ237" s="1009"/>
      <c r="WA237" s="1009"/>
      <c r="WB237" s="1009"/>
      <c r="WC237" s="1009"/>
      <c r="WD237" s="1009"/>
      <c r="WE237" s="1009"/>
      <c r="WF237" s="1009"/>
      <c r="WG237" s="1009"/>
      <c r="WH237" s="1009"/>
      <c r="WI237" s="1009"/>
      <c r="WJ237" s="1009"/>
      <c r="WK237" s="1009"/>
      <c r="WL237" s="1009"/>
      <c r="WM237" s="1009"/>
      <c r="WN237" s="1009"/>
      <c r="WO237" s="1009"/>
      <c r="WP237" s="1009"/>
      <c r="WQ237" s="1009"/>
      <c r="WR237" s="1009"/>
      <c r="WS237" s="1009"/>
      <c r="WT237" s="1009"/>
      <c r="WU237" s="1009"/>
      <c r="WV237" s="1009"/>
      <c r="WW237" s="1009"/>
      <c r="WX237" s="1009"/>
      <c r="WY237" s="1009"/>
      <c r="WZ237" s="1009"/>
      <c r="XA237" s="1009"/>
      <c r="XB237" s="1009"/>
      <c r="XC237" s="1009"/>
      <c r="XD237" s="1009"/>
      <c r="XE237" s="1009"/>
      <c r="XF237" s="1009"/>
      <c r="XG237" s="1009"/>
      <c r="XH237" s="1009"/>
      <c r="XI237" s="1009"/>
      <c r="XJ237" s="1009"/>
      <c r="XK237" s="1009"/>
      <c r="XL237" s="1009"/>
      <c r="XM237" s="1009"/>
      <c r="XN237" s="1009"/>
      <c r="XO237" s="1009"/>
      <c r="XP237" s="1009"/>
      <c r="XQ237" s="1009"/>
      <c r="XR237" s="1009"/>
      <c r="XS237" s="1009"/>
      <c r="XT237" s="1009"/>
      <c r="XU237" s="1009"/>
      <c r="XV237" s="1009"/>
      <c r="XW237" s="1009"/>
      <c r="XX237" s="1009"/>
      <c r="XY237" s="1009"/>
      <c r="XZ237" s="1009"/>
      <c r="YA237" s="1009"/>
      <c r="YB237" s="1009"/>
      <c r="YC237" s="1009"/>
      <c r="YD237" s="1009"/>
      <c r="YE237" s="1009"/>
      <c r="YF237" s="1009"/>
      <c r="YG237" s="1009"/>
      <c r="YH237" s="1009"/>
      <c r="YI237" s="1009"/>
      <c r="YJ237" s="1009"/>
      <c r="YK237" s="1009"/>
      <c r="YL237" s="1009"/>
      <c r="YM237" s="1009"/>
      <c r="YN237" s="1009"/>
      <c r="YO237" s="1009"/>
      <c r="YP237" s="1009"/>
      <c r="YQ237" s="1009"/>
      <c r="YR237" s="1009"/>
      <c r="YS237" s="1009"/>
      <c r="YT237" s="1009"/>
      <c r="YU237" s="1009"/>
      <c r="YV237" s="1009"/>
      <c r="YW237" s="1009"/>
      <c r="YX237" s="1009"/>
      <c r="YY237" s="1009"/>
      <c r="YZ237" s="1009"/>
      <c r="ZA237" s="1009"/>
      <c r="ZB237" s="1009"/>
      <c r="ZC237" s="1009"/>
      <c r="ZD237" s="1009"/>
      <c r="ZE237" s="1009"/>
      <c r="ZF237" s="1009"/>
      <c r="ZG237" s="1009"/>
      <c r="ZH237" s="1009"/>
      <c r="ZI237" s="1009"/>
      <c r="ZJ237" s="1009"/>
      <c r="ZK237" s="1009"/>
      <c r="ZL237" s="1009"/>
      <c r="ZM237" s="1009"/>
      <c r="ZN237" s="1009"/>
      <c r="ZO237" s="1009"/>
      <c r="ZP237" s="1009"/>
      <c r="ZQ237" s="1009"/>
      <c r="ZR237" s="1009"/>
      <c r="ZS237" s="1009"/>
      <c r="ZT237" s="1009"/>
      <c r="ZU237" s="1009"/>
      <c r="ZV237" s="1009"/>
      <c r="ZW237" s="1009"/>
      <c r="ZX237" s="1009"/>
      <c r="ZY237" s="1009"/>
      <c r="ZZ237" s="1009"/>
      <c r="AAA237" s="1009"/>
      <c r="AAB237" s="1009"/>
      <c r="AAC237" s="1009"/>
      <c r="AAD237" s="1009"/>
      <c r="AAE237" s="1009"/>
      <c r="AAF237" s="1009"/>
      <c r="AAG237" s="1009"/>
      <c r="AAH237" s="1009"/>
      <c r="AAI237" s="1009"/>
      <c r="AAJ237" s="1009"/>
      <c r="AAK237" s="1009"/>
      <c r="AAL237" s="1009"/>
      <c r="AAM237" s="1009"/>
      <c r="AAN237" s="1009"/>
      <c r="AAO237" s="1009"/>
      <c r="AAP237" s="1009"/>
      <c r="AAQ237" s="1009"/>
      <c r="AAR237" s="1009"/>
      <c r="AAS237" s="1009"/>
      <c r="AAT237" s="1009"/>
      <c r="AAU237" s="1009"/>
      <c r="AAV237" s="1009"/>
      <c r="AAW237" s="1009"/>
      <c r="AAX237" s="1009"/>
      <c r="AAY237" s="1009"/>
      <c r="AAZ237" s="1009"/>
      <c r="ABA237" s="1009"/>
      <c r="ABB237" s="1009"/>
      <c r="ABC237" s="1009"/>
      <c r="ABD237" s="1009"/>
      <c r="ABE237" s="1009"/>
      <c r="ABF237" s="1009"/>
      <c r="ABG237" s="1009"/>
      <c r="ABH237" s="1009"/>
      <c r="ABI237" s="1009"/>
      <c r="ABJ237" s="1009"/>
      <c r="ABK237" s="1009"/>
      <c r="ABL237" s="1009"/>
      <c r="ABM237" s="1009"/>
      <c r="ABN237" s="1009"/>
      <c r="ABO237" s="1009"/>
      <c r="ABP237" s="1009"/>
      <c r="ABQ237" s="1009"/>
      <c r="ABR237" s="1009"/>
    </row>
    <row r="238" spans="1:746" s="111" customFormat="1" ht="12" customHeight="1" thickBot="1">
      <c r="A238" s="2244"/>
      <c r="B238" s="2998" t="s">
        <v>1232</v>
      </c>
      <c r="C238" s="2999"/>
      <c r="D238" s="2999"/>
      <c r="E238" s="2999"/>
      <c r="F238" s="2999"/>
      <c r="G238" s="2999"/>
      <c r="H238" s="2999"/>
      <c r="I238" s="2596" t="s">
        <v>1150</v>
      </c>
      <c r="J238" s="2248"/>
      <c r="K238" s="2248"/>
      <c r="L238" s="2248"/>
      <c r="M238" s="2248"/>
      <c r="N238" s="2248"/>
      <c r="O238" s="2248"/>
      <c r="P238" s="2248"/>
      <c r="Q238" s="2248"/>
      <c r="R238" s="2248"/>
      <c r="S238" s="2248"/>
      <c r="T238" s="2248"/>
      <c r="U238" s="2248"/>
      <c r="V238" s="2248"/>
      <c r="W238" s="2248"/>
      <c r="X238" s="2248"/>
      <c r="Y238" s="2248"/>
      <c r="Z238" s="2248"/>
      <c r="AA238" s="2248"/>
      <c r="AB238" s="2248"/>
      <c r="AC238" s="2248"/>
      <c r="AD238" s="2248"/>
      <c r="AE238" s="2248"/>
      <c r="AF238" s="2249"/>
      <c r="AG238" s="337"/>
      <c r="AH238" s="786"/>
      <c r="AI238" s="786"/>
      <c r="AJ238" s="1044"/>
      <c r="AK238" s="1047"/>
      <c r="AL238" s="1044"/>
      <c r="AM238" s="1009"/>
      <c r="AN238" s="1026"/>
      <c r="AO238" s="1945"/>
      <c r="AP238" s="1935"/>
      <c r="AQ238" s="1936"/>
      <c r="AR238" s="1941"/>
      <c r="AS238" s="1941"/>
      <c r="AT238" s="1941"/>
      <c r="AU238" s="1941"/>
      <c r="AV238" s="1941"/>
      <c r="AW238" s="1941"/>
      <c r="AX238" s="1941"/>
      <c r="AY238" s="1941"/>
      <c r="AZ238" s="1941"/>
      <c r="BA238" s="1941"/>
      <c r="BB238" s="1941"/>
      <c r="BC238" s="1941"/>
      <c r="BD238" s="1941"/>
      <c r="BE238" s="1941"/>
      <c r="BF238" s="1941"/>
      <c r="BG238" s="1941"/>
      <c r="BH238" s="1941"/>
      <c r="BI238" s="1941"/>
      <c r="BJ238" s="1941"/>
      <c r="BK238" s="1941"/>
      <c r="BL238" s="1941"/>
      <c r="BM238" s="1941"/>
      <c r="BN238" s="1941"/>
      <c r="BO238" s="1941"/>
      <c r="BP238" s="1009"/>
      <c r="BQ238" s="1009"/>
      <c r="BR238" s="1009"/>
      <c r="BS238" s="1009"/>
      <c r="BT238" s="1009"/>
      <c r="BU238" s="1009"/>
      <c r="BV238" s="1009"/>
      <c r="BW238" s="1009"/>
      <c r="BX238" s="1009"/>
      <c r="BY238" s="1009"/>
      <c r="BZ238" s="1009"/>
      <c r="CA238" s="1009"/>
      <c r="CB238" s="1009"/>
      <c r="CC238" s="1009"/>
      <c r="CD238" s="1009"/>
      <c r="CE238" s="1009"/>
      <c r="CF238" s="1009"/>
      <c r="CG238" s="1009"/>
      <c r="CH238" s="1009"/>
      <c r="CI238" s="1009"/>
      <c r="CJ238" s="1009"/>
      <c r="CK238" s="1009"/>
      <c r="CL238" s="1009"/>
      <c r="CM238" s="1009"/>
      <c r="CN238" s="1009"/>
      <c r="CO238" s="1009"/>
      <c r="CP238" s="1009"/>
      <c r="CQ238" s="1009"/>
      <c r="CR238" s="1009"/>
      <c r="CS238" s="1009"/>
      <c r="CT238" s="1009"/>
      <c r="CU238" s="1009"/>
      <c r="CV238" s="1009"/>
      <c r="CW238" s="1009"/>
      <c r="CX238" s="1009"/>
      <c r="CY238" s="1009"/>
      <c r="CZ238" s="1009"/>
      <c r="DA238" s="1009"/>
      <c r="DB238" s="1009"/>
      <c r="DC238" s="1009"/>
      <c r="DD238" s="1009"/>
      <c r="DE238" s="1009"/>
      <c r="DF238" s="1009"/>
      <c r="DG238" s="1009"/>
      <c r="DH238" s="1009"/>
      <c r="DI238" s="1009"/>
      <c r="DJ238" s="1009"/>
      <c r="DK238" s="1009"/>
      <c r="DL238" s="1009"/>
      <c r="DM238" s="1009"/>
      <c r="DN238" s="1009"/>
      <c r="DO238" s="1009"/>
      <c r="DP238" s="1009"/>
      <c r="DQ238" s="1009"/>
      <c r="DR238" s="1009"/>
      <c r="DS238" s="1009"/>
      <c r="DT238" s="1009"/>
      <c r="DU238" s="1009"/>
      <c r="DV238" s="1009"/>
      <c r="DW238" s="1009"/>
      <c r="DX238" s="1009"/>
      <c r="DY238" s="1009"/>
      <c r="DZ238" s="1009"/>
      <c r="EA238" s="1009"/>
      <c r="EB238" s="1009"/>
      <c r="EC238" s="1009"/>
      <c r="ED238" s="1009"/>
      <c r="EE238" s="1009"/>
      <c r="EF238" s="1009"/>
      <c r="EG238" s="1009"/>
      <c r="EH238" s="1009"/>
      <c r="EI238" s="1009"/>
      <c r="EJ238" s="1009"/>
      <c r="EK238" s="1009"/>
      <c r="EL238" s="1009"/>
      <c r="EM238" s="1009"/>
      <c r="EN238" s="1009"/>
      <c r="EO238" s="1009"/>
      <c r="EP238" s="1009"/>
      <c r="EQ238" s="1009"/>
      <c r="ER238" s="1009"/>
      <c r="ES238" s="1009"/>
      <c r="ET238" s="1009"/>
      <c r="EU238" s="1009"/>
      <c r="EV238" s="1009"/>
      <c r="EW238" s="1009"/>
      <c r="EX238" s="1009"/>
      <c r="EY238" s="1009"/>
      <c r="EZ238" s="1009"/>
      <c r="FA238" s="1009"/>
      <c r="FB238" s="1009"/>
      <c r="FC238" s="1009"/>
      <c r="FD238" s="1009"/>
      <c r="FE238" s="1009"/>
      <c r="FF238" s="1009"/>
      <c r="FG238" s="1009"/>
      <c r="FH238" s="1009"/>
      <c r="FI238" s="1009"/>
      <c r="FJ238" s="1009"/>
      <c r="FK238" s="1009"/>
      <c r="FL238" s="1009"/>
      <c r="FM238" s="1009"/>
      <c r="FN238" s="1009"/>
      <c r="FO238" s="1009"/>
      <c r="FP238" s="1009"/>
      <c r="FQ238" s="1009"/>
      <c r="FR238" s="1009"/>
      <c r="FS238" s="1009"/>
      <c r="FT238" s="1009"/>
      <c r="FU238" s="1009"/>
      <c r="FV238" s="1009"/>
      <c r="FW238" s="1009"/>
      <c r="FX238" s="1009"/>
      <c r="FY238" s="1009"/>
      <c r="FZ238" s="1009"/>
      <c r="GA238" s="1009"/>
      <c r="GB238" s="1009"/>
      <c r="GC238" s="1009"/>
      <c r="GD238" s="1009"/>
      <c r="GE238" s="1009"/>
      <c r="GF238" s="1009"/>
      <c r="GG238" s="1009"/>
      <c r="GH238" s="1009"/>
      <c r="GI238" s="1009"/>
      <c r="GJ238" s="1009"/>
      <c r="GK238" s="1009"/>
      <c r="GL238" s="1009"/>
      <c r="GM238" s="1009"/>
      <c r="GN238" s="1009"/>
      <c r="GO238" s="1009"/>
      <c r="GP238" s="1009"/>
      <c r="GQ238" s="1009"/>
      <c r="GR238" s="1009"/>
      <c r="GS238" s="1009"/>
      <c r="GT238" s="1009"/>
      <c r="GU238" s="1009"/>
      <c r="GV238" s="1009"/>
      <c r="GW238" s="1009"/>
      <c r="GX238" s="1009"/>
      <c r="GY238" s="1009"/>
      <c r="GZ238" s="1009"/>
      <c r="HA238" s="1009"/>
      <c r="HB238" s="1009"/>
      <c r="HC238" s="1009"/>
      <c r="HD238" s="1009"/>
      <c r="HE238" s="1009"/>
      <c r="HF238" s="1009"/>
      <c r="HG238" s="1009"/>
      <c r="HH238" s="1009"/>
      <c r="HI238" s="1009"/>
      <c r="HJ238" s="1009"/>
      <c r="HK238" s="1009"/>
      <c r="HL238" s="1009"/>
      <c r="HM238" s="1009"/>
      <c r="HN238" s="1009"/>
      <c r="HO238" s="1009"/>
      <c r="HP238" s="1009"/>
      <c r="HQ238" s="1009"/>
      <c r="HR238" s="1009"/>
      <c r="HS238" s="1009"/>
      <c r="HT238" s="1009"/>
      <c r="HU238" s="1009"/>
      <c r="HV238" s="1009"/>
      <c r="HW238" s="1009"/>
      <c r="HX238" s="1009"/>
      <c r="HY238" s="1009"/>
      <c r="HZ238" s="1009"/>
      <c r="IA238" s="1009"/>
      <c r="IB238" s="1009"/>
      <c r="IC238" s="1009"/>
      <c r="ID238" s="1009"/>
      <c r="IE238" s="1009"/>
      <c r="IF238" s="1009"/>
      <c r="IG238" s="1009"/>
      <c r="IH238" s="1009"/>
      <c r="II238" s="1009"/>
      <c r="IJ238" s="1009"/>
      <c r="IK238" s="1009"/>
      <c r="IL238" s="1009"/>
      <c r="IM238" s="1009"/>
      <c r="IN238" s="1009"/>
      <c r="IO238" s="1009"/>
      <c r="IP238" s="1009"/>
      <c r="IQ238" s="1009"/>
      <c r="IR238" s="1009"/>
      <c r="IS238" s="1009"/>
      <c r="IT238" s="1009"/>
      <c r="IU238" s="1009"/>
      <c r="IV238" s="1009"/>
      <c r="IW238" s="1009"/>
      <c r="IX238" s="1009"/>
      <c r="IY238" s="1009"/>
      <c r="IZ238" s="1009"/>
      <c r="JA238" s="1009"/>
      <c r="JB238" s="1009"/>
      <c r="JC238" s="1009"/>
      <c r="JD238" s="1009"/>
      <c r="JE238" s="1009"/>
      <c r="JF238" s="1009"/>
      <c r="JG238" s="1009"/>
      <c r="JH238" s="1009"/>
      <c r="JI238" s="1009"/>
      <c r="JJ238" s="1009"/>
      <c r="JK238" s="1009"/>
      <c r="JL238" s="1009"/>
      <c r="JM238" s="1009"/>
      <c r="JN238" s="1009"/>
      <c r="JO238" s="1009"/>
      <c r="JP238" s="1009"/>
      <c r="JQ238" s="1009"/>
      <c r="JR238" s="1009"/>
      <c r="JS238" s="1009"/>
      <c r="JT238" s="1009"/>
      <c r="JU238" s="1009"/>
      <c r="JV238" s="1009"/>
      <c r="JW238" s="1009"/>
      <c r="JX238" s="1009"/>
      <c r="JY238" s="1009"/>
      <c r="JZ238" s="1009"/>
      <c r="KA238" s="1009"/>
      <c r="KB238" s="1009"/>
      <c r="KC238" s="1009"/>
      <c r="KD238" s="1009"/>
      <c r="KE238" s="1009"/>
      <c r="KF238" s="1009"/>
      <c r="KG238" s="1009"/>
      <c r="KH238" s="1009"/>
      <c r="KI238" s="1009"/>
      <c r="KJ238" s="1009"/>
      <c r="KK238" s="1009"/>
      <c r="KL238" s="1009"/>
      <c r="KM238" s="1009"/>
      <c r="KN238" s="1009"/>
      <c r="KO238" s="1009"/>
      <c r="KP238" s="1009"/>
      <c r="KQ238" s="1009"/>
      <c r="KR238" s="1009"/>
      <c r="KS238" s="1009"/>
      <c r="KT238" s="1009"/>
      <c r="KU238" s="1009"/>
      <c r="KV238" s="1009"/>
      <c r="KW238" s="1009"/>
      <c r="KX238" s="1009"/>
      <c r="KY238" s="1009"/>
      <c r="KZ238" s="1009"/>
      <c r="LA238" s="1009"/>
      <c r="LB238" s="1009"/>
      <c r="LC238" s="1009"/>
      <c r="LD238" s="1009"/>
      <c r="LE238" s="1009"/>
      <c r="LF238" s="1009"/>
      <c r="LG238" s="1009"/>
      <c r="LH238" s="1009"/>
      <c r="LI238" s="1009"/>
      <c r="LJ238" s="1009"/>
      <c r="LK238" s="1009"/>
      <c r="LL238" s="1009"/>
      <c r="LM238" s="1009"/>
      <c r="LN238" s="1009"/>
      <c r="LO238" s="1009"/>
      <c r="LP238" s="1009"/>
      <c r="LQ238" s="1009"/>
      <c r="LR238" s="1009"/>
      <c r="LS238" s="1009"/>
      <c r="LT238" s="1009"/>
      <c r="LU238" s="1009"/>
      <c r="LV238" s="1009"/>
      <c r="LW238" s="1009"/>
      <c r="LX238" s="1009"/>
      <c r="LY238" s="1009"/>
      <c r="LZ238" s="1009"/>
      <c r="MA238" s="1009"/>
      <c r="MB238" s="1009"/>
      <c r="MC238" s="1009"/>
      <c r="MD238" s="1009"/>
      <c r="ME238" s="1009"/>
      <c r="MF238" s="1009"/>
      <c r="MG238" s="1009"/>
      <c r="MH238" s="1009"/>
      <c r="MI238" s="1009"/>
      <c r="MJ238" s="1009"/>
      <c r="MK238" s="1009"/>
      <c r="ML238" s="1009"/>
      <c r="MM238" s="1009"/>
      <c r="MN238" s="1009"/>
      <c r="MO238" s="1009"/>
      <c r="MP238" s="1009"/>
      <c r="MQ238" s="1009"/>
      <c r="MR238" s="1009"/>
      <c r="MS238" s="1009"/>
      <c r="MT238" s="1009"/>
      <c r="MU238" s="1009"/>
      <c r="MV238" s="1009"/>
      <c r="MW238" s="1009"/>
      <c r="MX238" s="1009"/>
      <c r="MY238" s="1009"/>
      <c r="MZ238" s="1009"/>
      <c r="NA238" s="1009"/>
      <c r="NB238" s="1009"/>
      <c r="NC238" s="1009"/>
      <c r="ND238" s="1009"/>
      <c r="NE238" s="1009"/>
      <c r="NF238" s="1009"/>
      <c r="NG238" s="1009"/>
      <c r="NH238" s="1009"/>
      <c r="NI238" s="1009"/>
      <c r="NJ238" s="1009"/>
      <c r="NK238" s="1009"/>
      <c r="NL238" s="1009"/>
      <c r="NM238" s="1009"/>
      <c r="NN238" s="1009"/>
      <c r="NO238" s="1009"/>
      <c r="NP238" s="1009"/>
      <c r="NQ238" s="1009"/>
      <c r="NR238" s="1009"/>
      <c r="NS238" s="1009"/>
      <c r="NT238" s="1009"/>
      <c r="NU238" s="1009"/>
      <c r="NV238" s="1009"/>
      <c r="NW238" s="1009"/>
      <c r="NX238" s="1009"/>
      <c r="NY238" s="1009"/>
      <c r="NZ238" s="1009"/>
      <c r="OA238" s="1009"/>
      <c r="OB238" s="1009"/>
      <c r="OC238" s="1009"/>
      <c r="OD238" s="1009"/>
      <c r="OE238" s="1009"/>
      <c r="OF238" s="1009"/>
      <c r="OG238" s="1009"/>
      <c r="OH238" s="1009"/>
      <c r="OI238" s="1009"/>
      <c r="OJ238" s="1009"/>
      <c r="OK238" s="1009"/>
      <c r="OL238" s="1009"/>
      <c r="OM238" s="1009"/>
      <c r="ON238" s="1009"/>
      <c r="OO238" s="1009"/>
      <c r="OP238" s="1009"/>
      <c r="OQ238" s="1009"/>
      <c r="OR238" s="1009"/>
      <c r="OS238" s="1009"/>
      <c r="OT238" s="1009"/>
      <c r="OU238" s="1009"/>
      <c r="OV238" s="1009"/>
      <c r="OW238" s="1009"/>
      <c r="OX238" s="1009"/>
      <c r="OY238" s="1009"/>
      <c r="OZ238" s="1009"/>
      <c r="PA238" s="1009"/>
      <c r="PB238" s="1009"/>
      <c r="PC238" s="1009"/>
      <c r="PD238" s="1009"/>
      <c r="PE238" s="1009"/>
      <c r="PF238" s="1009"/>
      <c r="PG238" s="1009"/>
      <c r="PH238" s="1009"/>
      <c r="PI238" s="1009"/>
      <c r="PJ238" s="1009"/>
      <c r="PK238" s="1009"/>
      <c r="PL238" s="1009"/>
      <c r="PM238" s="1009"/>
      <c r="PN238" s="1009"/>
      <c r="PO238" s="1009"/>
      <c r="PP238" s="1009"/>
      <c r="PQ238" s="1009"/>
      <c r="PR238" s="1009"/>
      <c r="PS238" s="1009"/>
      <c r="PT238" s="1009"/>
      <c r="PU238" s="1009"/>
      <c r="PV238" s="1009"/>
      <c r="PW238" s="1009"/>
      <c r="PX238" s="1009"/>
      <c r="PY238" s="1009"/>
      <c r="PZ238" s="1009"/>
      <c r="QA238" s="1009"/>
      <c r="QB238" s="1009"/>
      <c r="QC238" s="1009"/>
      <c r="QD238" s="1009"/>
      <c r="QE238" s="1009"/>
      <c r="QF238" s="1009"/>
      <c r="QG238" s="1009"/>
      <c r="QH238" s="1009"/>
      <c r="QI238" s="1009"/>
      <c r="QJ238" s="1009"/>
      <c r="QK238" s="1009"/>
      <c r="QL238" s="1009"/>
      <c r="QM238" s="1009"/>
      <c r="QN238" s="1009"/>
      <c r="QO238" s="1009"/>
      <c r="QP238" s="1009"/>
      <c r="QQ238" s="1009"/>
      <c r="QR238" s="1009"/>
      <c r="QS238" s="1009"/>
      <c r="QT238" s="1009"/>
      <c r="QU238" s="1009"/>
      <c r="QV238" s="1009"/>
      <c r="QW238" s="1009"/>
      <c r="QX238" s="1009"/>
      <c r="QY238" s="1009"/>
      <c r="QZ238" s="1009"/>
      <c r="RA238" s="1009"/>
      <c r="RB238" s="1009"/>
      <c r="RC238" s="1009"/>
      <c r="RD238" s="1009"/>
      <c r="RE238" s="1009"/>
      <c r="RF238" s="1009"/>
      <c r="RG238" s="1009"/>
      <c r="RH238" s="1009"/>
      <c r="RI238" s="1009"/>
      <c r="RJ238" s="1009"/>
      <c r="RK238" s="1009"/>
      <c r="RL238" s="1009"/>
      <c r="RM238" s="1009"/>
      <c r="RN238" s="1009"/>
      <c r="RO238" s="1009"/>
      <c r="RP238" s="1009"/>
      <c r="RQ238" s="1009"/>
      <c r="RR238" s="1009"/>
      <c r="RS238" s="1009"/>
      <c r="RT238" s="1009"/>
      <c r="RU238" s="1009"/>
      <c r="RV238" s="1009"/>
      <c r="RW238" s="1009"/>
      <c r="RX238" s="1009"/>
      <c r="RY238" s="1009"/>
      <c r="RZ238" s="1009"/>
      <c r="SA238" s="1009"/>
      <c r="SB238" s="1009"/>
      <c r="SC238" s="1009"/>
      <c r="SD238" s="1009"/>
      <c r="SE238" s="1009"/>
      <c r="SF238" s="1009"/>
      <c r="SG238" s="1009"/>
      <c r="SH238" s="1009"/>
      <c r="SI238" s="1009"/>
      <c r="SJ238" s="1009"/>
      <c r="SK238" s="1009"/>
      <c r="SL238" s="1009"/>
      <c r="SM238" s="1009"/>
      <c r="SN238" s="1009"/>
      <c r="SO238" s="1009"/>
      <c r="SP238" s="1009"/>
      <c r="SQ238" s="1009"/>
      <c r="SR238" s="1009"/>
      <c r="SS238" s="1009"/>
      <c r="ST238" s="1009"/>
      <c r="SU238" s="1009"/>
      <c r="SV238" s="1009"/>
      <c r="SW238" s="1009"/>
      <c r="SX238" s="1009"/>
      <c r="SY238" s="1009"/>
      <c r="SZ238" s="1009"/>
      <c r="TA238" s="1009"/>
      <c r="TB238" s="1009"/>
      <c r="TC238" s="1009"/>
      <c r="TD238" s="1009"/>
      <c r="TE238" s="1009"/>
      <c r="TF238" s="1009"/>
      <c r="TG238" s="1009"/>
      <c r="TH238" s="1009"/>
      <c r="TI238" s="1009"/>
      <c r="TJ238" s="1009"/>
      <c r="TK238" s="1009"/>
      <c r="TL238" s="1009"/>
      <c r="TM238" s="1009"/>
      <c r="TN238" s="1009"/>
      <c r="TO238" s="1009"/>
      <c r="TP238" s="1009"/>
      <c r="TQ238" s="1009"/>
      <c r="TR238" s="1009"/>
      <c r="TS238" s="1009"/>
      <c r="TT238" s="1009"/>
      <c r="TU238" s="1009"/>
      <c r="TV238" s="1009"/>
      <c r="TW238" s="1009"/>
      <c r="TX238" s="1009"/>
      <c r="TY238" s="1009"/>
      <c r="TZ238" s="1009"/>
      <c r="UA238" s="1009"/>
      <c r="UB238" s="1009"/>
      <c r="UC238" s="1009"/>
      <c r="UD238" s="1009"/>
      <c r="UE238" s="1009"/>
      <c r="UF238" s="1009"/>
      <c r="UG238" s="1009"/>
      <c r="UH238" s="1009"/>
      <c r="UI238" s="1009"/>
      <c r="UJ238" s="1009"/>
      <c r="UK238" s="1009"/>
      <c r="UL238" s="1009"/>
      <c r="UM238" s="1009"/>
      <c r="UN238" s="1009"/>
      <c r="UO238" s="1009"/>
      <c r="UP238" s="1009"/>
      <c r="UQ238" s="1009"/>
      <c r="UR238" s="1009"/>
      <c r="US238" s="1009"/>
      <c r="UT238" s="1009"/>
      <c r="UU238" s="1009"/>
      <c r="UV238" s="1009"/>
      <c r="UW238" s="1009"/>
      <c r="UX238" s="1009"/>
      <c r="UY238" s="1009"/>
      <c r="UZ238" s="1009"/>
      <c r="VA238" s="1009"/>
      <c r="VB238" s="1009"/>
      <c r="VC238" s="1009"/>
      <c r="VD238" s="1009"/>
      <c r="VE238" s="1009"/>
      <c r="VF238" s="1009"/>
      <c r="VG238" s="1009"/>
      <c r="VH238" s="1009"/>
      <c r="VI238" s="1009"/>
      <c r="VJ238" s="1009"/>
      <c r="VK238" s="1009"/>
      <c r="VL238" s="1009"/>
      <c r="VM238" s="1009"/>
      <c r="VN238" s="1009"/>
      <c r="VO238" s="1009"/>
      <c r="VP238" s="1009"/>
      <c r="VQ238" s="1009"/>
      <c r="VR238" s="1009"/>
      <c r="VS238" s="1009"/>
      <c r="VT238" s="1009"/>
      <c r="VU238" s="1009"/>
      <c r="VV238" s="1009"/>
      <c r="VW238" s="1009"/>
      <c r="VX238" s="1009"/>
      <c r="VY238" s="1009"/>
      <c r="VZ238" s="1009"/>
      <c r="WA238" s="1009"/>
      <c r="WB238" s="1009"/>
      <c r="WC238" s="1009"/>
      <c r="WD238" s="1009"/>
      <c r="WE238" s="1009"/>
      <c r="WF238" s="1009"/>
      <c r="WG238" s="1009"/>
      <c r="WH238" s="1009"/>
      <c r="WI238" s="1009"/>
      <c r="WJ238" s="1009"/>
      <c r="WK238" s="1009"/>
      <c r="WL238" s="1009"/>
      <c r="WM238" s="1009"/>
      <c r="WN238" s="1009"/>
      <c r="WO238" s="1009"/>
      <c r="WP238" s="1009"/>
      <c r="WQ238" s="1009"/>
      <c r="WR238" s="1009"/>
      <c r="WS238" s="1009"/>
      <c r="WT238" s="1009"/>
      <c r="WU238" s="1009"/>
      <c r="WV238" s="1009"/>
      <c r="WW238" s="1009"/>
      <c r="WX238" s="1009"/>
      <c r="WY238" s="1009"/>
      <c r="WZ238" s="1009"/>
      <c r="XA238" s="1009"/>
      <c r="XB238" s="1009"/>
      <c r="XC238" s="1009"/>
      <c r="XD238" s="1009"/>
      <c r="XE238" s="1009"/>
      <c r="XF238" s="1009"/>
      <c r="XG238" s="1009"/>
      <c r="XH238" s="1009"/>
      <c r="XI238" s="1009"/>
      <c r="XJ238" s="1009"/>
      <c r="XK238" s="1009"/>
      <c r="XL238" s="1009"/>
      <c r="XM238" s="1009"/>
      <c r="XN238" s="1009"/>
      <c r="XO238" s="1009"/>
      <c r="XP238" s="1009"/>
      <c r="XQ238" s="1009"/>
      <c r="XR238" s="1009"/>
      <c r="XS238" s="1009"/>
      <c r="XT238" s="1009"/>
      <c r="XU238" s="1009"/>
      <c r="XV238" s="1009"/>
      <c r="XW238" s="1009"/>
      <c r="XX238" s="1009"/>
      <c r="XY238" s="1009"/>
      <c r="XZ238" s="1009"/>
      <c r="YA238" s="1009"/>
      <c r="YB238" s="1009"/>
      <c r="YC238" s="1009"/>
      <c r="YD238" s="1009"/>
      <c r="YE238" s="1009"/>
      <c r="YF238" s="1009"/>
      <c r="YG238" s="1009"/>
      <c r="YH238" s="1009"/>
      <c r="YI238" s="1009"/>
      <c r="YJ238" s="1009"/>
      <c r="YK238" s="1009"/>
      <c r="YL238" s="1009"/>
      <c r="YM238" s="1009"/>
      <c r="YN238" s="1009"/>
      <c r="YO238" s="1009"/>
      <c r="YP238" s="1009"/>
      <c r="YQ238" s="1009"/>
      <c r="YR238" s="1009"/>
      <c r="YS238" s="1009"/>
      <c r="YT238" s="1009"/>
      <c r="YU238" s="1009"/>
      <c r="YV238" s="1009"/>
      <c r="YW238" s="1009"/>
      <c r="YX238" s="1009"/>
      <c r="YY238" s="1009"/>
      <c r="YZ238" s="1009"/>
      <c r="ZA238" s="1009"/>
      <c r="ZB238" s="1009"/>
      <c r="ZC238" s="1009"/>
      <c r="ZD238" s="1009"/>
      <c r="ZE238" s="1009"/>
      <c r="ZF238" s="1009"/>
      <c r="ZG238" s="1009"/>
      <c r="ZH238" s="1009"/>
      <c r="ZI238" s="1009"/>
      <c r="ZJ238" s="1009"/>
      <c r="ZK238" s="1009"/>
      <c r="ZL238" s="1009"/>
      <c r="ZM238" s="1009"/>
      <c r="ZN238" s="1009"/>
      <c r="ZO238" s="1009"/>
      <c r="ZP238" s="1009"/>
      <c r="ZQ238" s="1009"/>
      <c r="ZR238" s="1009"/>
      <c r="ZS238" s="1009"/>
      <c r="ZT238" s="1009"/>
      <c r="ZU238" s="1009"/>
      <c r="ZV238" s="1009"/>
      <c r="ZW238" s="1009"/>
      <c r="ZX238" s="1009"/>
      <c r="ZY238" s="1009"/>
      <c r="ZZ238" s="1009"/>
      <c r="AAA238" s="1009"/>
      <c r="AAB238" s="1009"/>
      <c r="AAC238" s="1009"/>
      <c r="AAD238" s="1009"/>
      <c r="AAE238" s="1009"/>
      <c r="AAF238" s="1009"/>
      <c r="AAG238" s="1009"/>
      <c r="AAH238" s="1009"/>
      <c r="AAI238" s="1009"/>
      <c r="AAJ238" s="1009"/>
      <c r="AAK238" s="1009"/>
      <c r="AAL238" s="1009"/>
      <c r="AAM238" s="1009"/>
      <c r="AAN238" s="1009"/>
      <c r="AAO238" s="1009"/>
      <c r="AAP238" s="1009"/>
      <c r="AAQ238" s="1009"/>
      <c r="AAR238" s="1009"/>
      <c r="AAS238" s="1009"/>
      <c r="AAT238" s="1009"/>
      <c r="AAU238" s="1009"/>
      <c r="AAV238" s="1009"/>
      <c r="AAW238" s="1009"/>
      <c r="AAX238" s="1009"/>
      <c r="AAY238" s="1009"/>
      <c r="AAZ238" s="1009"/>
      <c r="ABA238" s="1009"/>
      <c r="ABB238" s="1009"/>
      <c r="ABC238" s="1009"/>
      <c r="ABD238" s="1009"/>
      <c r="ABE238" s="1009"/>
      <c r="ABF238" s="1009"/>
      <c r="ABG238" s="1009"/>
      <c r="ABH238" s="1009"/>
      <c r="ABI238" s="1009"/>
      <c r="ABJ238" s="1009"/>
      <c r="ABK238" s="1009"/>
      <c r="ABL238" s="1009"/>
      <c r="ABM238" s="1009"/>
      <c r="ABN238" s="1009"/>
      <c r="ABO238" s="1009"/>
      <c r="ABP238" s="1009"/>
      <c r="ABQ238" s="1009"/>
      <c r="ABR238" s="1009"/>
    </row>
    <row r="239" spans="1:746" s="111" customFormat="1" ht="12" customHeight="1" thickBot="1">
      <c r="A239" s="2244"/>
      <c r="B239" s="3009" t="s">
        <v>1149</v>
      </c>
      <c r="C239" s="3010"/>
      <c r="D239" s="2664"/>
      <c r="E239" s="2283" t="s">
        <v>0</v>
      </c>
      <c r="F239" s="2670"/>
      <c r="G239" s="347">
        <v>0.25</v>
      </c>
      <c r="H239" s="2671"/>
      <c r="I239" s="2609"/>
      <c r="J239" s="2610"/>
      <c r="K239" s="2610"/>
      <c r="L239" s="2610"/>
      <c r="M239" s="2610"/>
      <c r="N239" s="2610"/>
      <c r="O239" s="2610"/>
      <c r="P239" s="2610"/>
      <c r="Q239" s="2610"/>
      <c r="R239" s="2610"/>
      <c r="S239" s="2610"/>
      <c r="T239" s="2610"/>
      <c r="U239" s="2274"/>
      <c r="V239" s="2324"/>
      <c r="W239" s="2274"/>
      <c r="X239" s="2324"/>
      <c r="Y239" s="2274"/>
      <c r="Z239" s="2324"/>
      <c r="AA239" s="2274"/>
      <c r="AB239" s="2324"/>
      <c r="AC239" s="2274"/>
      <c r="AD239" s="2324"/>
      <c r="AE239" s="2274"/>
      <c r="AF239" s="2324"/>
      <c r="AG239" s="1042"/>
      <c r="AH239" s="336"/>
      <c r="AI239" s="336"/>
      <c r="AJ239" s="418">
        <f>IF(fx!$C$57=1,SUMIF(fx!I$57:T$57,1,I239:T239),IF(fx!$C$57=2,SUMIF(fx!O$57:AF$57,1,O239:AF239)))</f>
        <v>0</v>
      </c>
      <c r="AK239" s="328"/>
      <c r="AL239" s="417">
        <f>IF(fx!$C$57=1,SUM(U239:AF239),0)</f>
        <v>0</v>
      </c>
      <c r="AM239" s="1009"/>
      <c r="AN239" s="1026"/>
      <c r="AO239" s="1945"/>
      <c r="AP239" s="1935"/>
      <c r="AQ239" s="1936"/>
      <c r="AR239" s="1941"/>
      <c r="AS239" s="1941"/>
      <c r="AT239" s="1941"/>
      <c r="AU239" s="1941"/>
      <c r="AV239" s="1941"/>
      <c r="AW239" s="1941"/>
      <c r="AX239" s="1941"/>
      <c r="AY239" s="1941"/>
      <c r="AZ239" s="1941"/>
      <c r="BA239" s="1941"/>
      <c r="BB239" s="1941"/>
      <c r="BC239" s="1941"/>
      <c r="BD239" s="1941"/>
      <c r="BE239" s="1941"/>
      <c r="BF239" s="1941"/>
      <c r="BG239" s="1941"/>
      <c r="BH239" s="1941"/>
      <c r="BI239" s="1941"/>
      <c r="BJ239" s="1941"/>
      <c r="BK239" s="1941"/>
      <c r="BL239" s="1941"/>
      <c r="BM239" s="1941"/>
      <c r="BN239" s="1941"/>
      <c r="BO239" s="1941"/>
      <c r="BP239" s="1009"/>
      <c r="BQ239" s="1009"/>
      <c r="BR239" s="1009"/>
      <c r="BS239" s="1009"/>
      <c r="BT239" s="1009"/>
      <c r="BU239" s="1009"/>
      <c r="BV239" s="1009"/>
      <c r="BW239" s="1009"/>
      <c r="BX239" s="1009"/>
      <c r="BY239" s="1009"/>
      <c r="BZ239" s="1009"/>
      <c r="CA239" s="1009"/>
      <c r="CB239" s="1009"/>
      <c r="CC239" s="1009"/>
      <c r="CD239" s="1009"/>
      <c r="CE239" s="1009"/>
      <c r="CF239" s="1009"/>
      <c r="CG239" s="1009"/>
      <c r="CH239" s="1009"/>
      <c r="CI239" s="1009"/>
      <c r="CJ239" s="1009"/>
      <c r="CK239" s="1009"/>
      <c r="CL239" s="1009"/>
      <c r="CM239" s="1009"/>
      <c r="CN239" s="1009"/>
      <c r="CO239" s="1009"/>
      <c r="CP239" s="1009"/>
      <c r="CQ239" s="1009"/>
      <c r="CR239" s="1009"/>
      <c r="CS239" s="1009"/>
      <c r="CT239" s="1009"/>
      <c r="CU239" s="1009"/>
      <c r="CV239" s="1009"/>
      <c r="CW239" s="1009"/>
      <c r="CX239" s="1009"/>
      <c r="CY239" s="1009"/>
      <c r="CZ239" s="1009"/>
      <c r="DA239" s="1009"/>
      <c r="DB239" s="1009"/>
      <c r="DC239" s="1009"/>
      <c r="DD239" s="1009"/>
      <c r="DE239" s="1009"/>
      <c r="DF239" s="1009"/>
      <c r="DG239" s="1009"/>
      <c r="DH239" s="1009"/>
      <c r="DI239" s="1009"/>
      <c r="DJ239" s="1009"/>
      <c r="DK239" s="1009"/>
      <c r="DL239" s="1009"/>
      <c r="DM239" s="1009"/>
      <c r="DN239" s="1009"/>
      <c r="DO239" s="1009"/>
      <c r="DP239" s="1009"/>
      <c r="DQ239" s="1009"/>
      <c r="DR239" s="1009"/>
      <c r="DS239" s="1009"/>
      <c r="DT239" s="1009"/>
      <c r="DU239" s="1009"/>
      <c r="DV239" s="1009"/>
      <c r="DW239" s="1009"/>
      <c r="DX239" s="1009"/>
      <c r="DY239" s="1009"/>
      <c r="DZ239" s="1009"/>
      <c r="EA239" s="1009"/>
      <c r="EB239" s="1009"/>
      <c r="EC239" s="1009"/>
      <c r="ED239" s="1009"/>
      <c r="EE239" s="1009"/>
      <c r="EF239" s="1009"/>
      <c r="EG239" s="1009"/>
      <c r="EH239" s="1009"/>
      <c r="EI239" s="1009"/>
      <c r="EJ239" s="1009"/>
      <c r="EK239" s="1009"/>
      <c r="EL239" s="1009"/>
      <c r="EM239" s="1009"/>
      <c r="EN239" s="1009"/>
      <c r="EO239" s="1009"/>
      <c r="EP239" s="1009"/>
      <c r="EQ239" s="1009"/>
      <c r="ER239" s="1009"/>
      <c r="ES239" s="1009"/>
      <c r="ET239" s="1009"/>
      <c r="EU239" s="1009"/>
      <c r="EV239" s="1009"/>
      <c r="EW239" s="1009"/>
      <c r="EX239" s="1009"/>
      <c r="EY239" s="1009"/>
      <c r="EZ239" s="1009"/>
      <c r="FA239" s="1009"/>
      <c r="FB239" s="1009"/>
      <c r="FC239" s="1009"/>
      <c r="FD239" s="1009"/>
      <c r="FE239" s="1009"/>
      <c r="FF239" s="1009"/>
      <c r="FG239" s="1009"/>
      <c r="FH239" s="1009"/>
      <c r="FI239" s="1009"/>
      <c r="FJ239" s="1009"/>
      <c r="FK239" s="1009"/>
      <c r="FL239" s="1009"/>
      <c r="FM239" s="1009"/>
      <c r="FN239" s="1009"/>
      <c r="FO239" s="1009"/>
      <c r="FP239" s="1009"/>
      <c r="FQ239" s="1009"/>
      <c r="FR239" s="1009"/>
      <c r="FS239" s="1009"/>
      <c r="FT239" s="1009"/>
      <c r="FU239" s="1009"/>
      <c r="FV239" s="1009"/>
      <c r="FW239" s="1009"/>
      <c r="FX239" s="1009"/>
      <c r="FY239" s="1009"/>
      <c r="FZ239" s="1009"/>
      <c r="GA239" s="1009"/>
      <c r="GB239" s="1009"/>
      <c r="GC239" s="1009"/>
      <c r="GD239" s="1009"/>
      <c r="GE239" s="1009"/>
      <c r="GF239" s="1009"/>
      <c r="GG239" s="1009"/>
      <c r="GH239" s="1009"/>
      <c r="GI239" s="1009"/>
      <c r="GJ239" s="1009"/>
      <c r="GK239" s="1009"/>
      <c r="GL239" s="1009"/>
      <c r="GM239" s="1009"/>
      <c r="GN239" s="1009"/>
      <c r="GO239" s="1009"/>
      <c r="GP239" s="1009"/>
      <c r="GQ239" s="1009"/>
      <c r="GR239" s="1009"/>
      <c r="GS239" s="1009"/>
      <c r="GT239" s="1009"/>
      <c r="GU239" s="1009"/>
      <c r="GV239" s="1009"/>
      <c r="GW239" s="1009"/>
      <c r="GX239" s="1009"/>
      <c r="GY239" s="1009"/>
      <c r="GZ239" s="1009"/>
      <c r="HA239" s="1009"/>
      <c r="HB239" s="1009"/>
      <c r="HC239" s="1009"/>
      <c r="HD239" s="1009"/>
      <c r="HE239" s="1009"/>
      <c r="HF239" s="1009"/>
      <c r="HG239" s="1009"/>
      <c r="HH239" s="1009"/>
      <c r="HI239" s="1009"/>
      <c r="HJ239" s="1009"/>
      <c r="HK239" s="1009"/>
      <c r="HL239" s="1009"/>
      <c r="HM239" s="1009"/>
      <c r="HN239" s="1009"/>
      <c r="HO239" s="1009"/>
      <c r="HP239" s="1009"/>
      <c r="HQ239" s="1009"/>
      <c r="HR239" s="1009"/>
      <c r="HS239" s="1009"/>
      <c r="HT239" s="1009"/>
      <c r="HU239" s="1009"/>
      <c r="HV239" s="1009"/>
      <c r="HW239" s="1009"/>
      <c r="HX239" s="1009"/>
      <c r="HY239" s="1009"/>
      <c r="HZ239" s="1009"/>
      <c r="IA239" s="1009"/>
      <c r="IB239" s="1009"/>
      <c r="IC239" s="1009"/>
      <c r="ID239" s="1009"/>
      <c r="IE239" s="1009"/>
      <c r="IF239" s="1009"/>
      <c r="IG239" s="1009"/>
      <c r="IH239" s="1009"/>
      <c r="II239" s="1009"/>
      <c r="IJ239" s="1009"/>
      <c r="IK239" s="1009"/>
      <c r="IL239" s="1009"/>
      <c r="IM239" s="1009"/>
      <c r="IN239" s="1009"/>
      <c r="IO239" s="1009"/>
      <c r="IP239" s="1009"/>
      <c r="IQ239" s="1009"/>
      <c r="IR239" s="1009"/>
      <c r="IS239" s="1009"/>
      <c r="IT239" s="1009"/>
      <c r="IU239" s="1009"/>
      <c r="IV239" s="1009"/>
      <c r="IW239" s="1009"/>
      <c r="IX239" s="1009"/>
      <c r="IY239" s="1009"/>
      <c r="IZ239" s="1009"/>
      <c r="JA239" s="1009"/>
      <c r="JB239" s="1009"/>
      <c r="JC239" s="1009"/>
      <c r="JD239" s="1009"/>
      <c r="JE239" s="1009"/>
      <c r="JF239" s="1009"/>
      <c r="JG239" s="1009"/>
      <c r="JH239" s="1009"/>
      <c r="JI239" s="1009"/>
      <c r="JJ239" s="1009"/>
      <c r="JK239" s="1009"/>
      <c r="JL239" s="1009"/>
      <c r="JM239" s="1009"/>
      <c r="JN239" s="1009"/>
      <c r="JO239" s="1009"/>
      <c r="JP239" s="1009"/>
      <c r="JQ239" s="1009"/>
      <c r="JR239" s="1009"/>
      <c r="JS239" s="1009"/>
      <c r="JT239" s="1009"/>
      <c r="JU239" s="1009"/>
      <c r="JV239" s="1009"/>
      <c r="JW239" s="1009"/>
      <c r="JX239" s="1009"/>
      <c r="JY239" s="1009"/>
      <c r="JZ239" s="1009"/>
      <c r="KA239" s="1009"/>
      <c r="KB239" s="1009"/>
      <c r="KC239" s="1009"/>
      <c r="KD239" s="1009"/>
      <c r="KE239" s="1009"/>
      <c r="KF239" s="1009"/>
      <c r="KG239" s="1009"/>
      <c r="KH239" s="1009"/>
      <c r="KI239" s="1009"/>
      <c r="KJ239" s="1009"/>
      <c r="KK239" s="1009"/>
      <c r="KL239" s="1009"/>
      <c r="KM239" s="1009"/>
      <c r="KN239" s="1009"/>
      <c r="KO239" s="1009"/>
      <c r="KP239" s="1009"/>
      <c r="KQ239" s="1009"/>
      <c r="KR239" s="1009"/>
      <c r="KS239" s="1009"/>
      <c r="KT239" s="1009"/>
      <c r="KU239" s="1009"/>
      <c r="KV239" s="1009"/>
      <c r="KW239" s="1009"/>
      <c r="KX239" s="1009"/>
      <c r="KY239" s="1009"/>
      <c r="KZ239" s="1009"/>
      <c r="LA239" s="1009"/>
      <c r="LB239" s="1009"/>
      <c r="LC239" s="1009"/>
      <c r="LD239" s="1009"/>
      <c r="LE239" s="1009"/>
      <c r="LF239" s="1009"/>
      <c r="LG239" s="1009"/>
      <c r="LH239" s="1009"/>
      <c r="LI239" s="1009"/>
      <c r="LJ239" s="1009"/>
      <c r="LK239" s="1009"/>
      <c r="LL239" s="1009"/>
      <c r="LM239" s="1009"/>
      <c r="LN239" s="1009"/>
      <c r="LO239" s="1009"/>
      <c r="LP239" s="1009"/>
      <c r="LQ239" s="1009"/>
      <c r="LR239" s="1009"/>
      <c r="LS239" s="1009"/>
      <c r="LT239" s="1009"/>
      <c r="LU239" s="1009"/>
      <c r="LV239" s="1009"/>
      <c r="LW239" s="1009"/>
      <c r="LX239" s="1009"/>
      <c r="LY239" s="1009"/>
      <c r="LZ239" s="1009"/>
      <c r="MA239" s="1009"/>
      <c r="MB239" s="1009"/>
      <c r="MC239" s="1009"/>
      <c r="MD239" s="1009"/>
      <c r="ME239" s="1009"/>
      <c r="MF239" s="1009"/>
      <c r="MG239" s="1009"/>
      <c r="MH239" s="1009"/>
      <c r="MI239" s="1009"/>
      <c r="MJ239" s="1009"/>
      <c r="MK239" s="1009"/>
      <c r="ML239" s="1009"/>
      <c r="MM239" s="1009"/>
      <c r="MN239" s="1009"/>
      <c r="MO239" s="1009"/>
      <c r="MP239" s="1009"/>
      <c r="MQ239" s="1009"/>
      <c r="MR239" s="1009"/>
      <c r="MS239" s="1009"/>
      <c r="MT239" s="1009"/>
      <c r="MU239" s="1009"/>
      <c r="MV239" s="1009"/>
      <c r="MW239" s="1009"/>
      <c r="MX239" s="1009"/>
      <c r="MY239" s="1009"/>
      <c r="MZ239" s="1009"/>
      <c r="NA239" s="1009"/>
      <c r="NB239" s="1009"/>
      <c r="NC239" s="1009"/>
      <c r="ND239" s="1009"/>
      <c r="NE239" s="1009"/>
      <c r="NF239" s="1009"/>
      <c r="NG239" s="1009"/>
      <c r="NH239" s="1009"/>
      <c r="NI239" s="1009"/>
      <c r="NJ239" s="1009"/>
      <c r="NK239" s="1009"/>
      <c r="NL239" s="1009"/>
      <c r="NM239" s="1009"/>
      <c r="NN239" s="1009"/>
      <c r="NO239" s="1009"/>
      <c r="NP239" s="1009"/>
      <c r="NQ239" s="1009"/>
      <c r="NR239" s="1009"/>
      <c r="NS239" s="1009"/>
      <c r="NT239" s="1009"/>
      <c r="NU239" s="1009"/>
      <c r="NV239" s="1009"/>
      <c r="NW239" s="1009"/>
      <c r="NX239" s="1009"/>
      <c r="NY239" s="1009"/>
      <c r="NZ239" s="1009"/>
      <c r="OA239" s="1009"/>
      <c r="OB239" s="1009"/>
      <c r="OC239" s="1009"/>
      <c r="OD239" s="1009"/>
      <c r="OE239" s="1009"/>
      <c r="OF239" s="1009"/>
      <c r="OG239" s="1009"/>
      <c r="OH239" s="1009"/>
      <c r="OI239" s="1009"/>
      <c r="OJ239" s="1009"/>
      <c r="OK239" s="1009"/>
      <c r="OL239" s="1009"/>
      <c r="OM239" s="1009"/>
      <c r="ON239" s="1009"/>
      <c r="OO239" s="1009"/>
      <c r="OP239" s="1009"/>
      <c r="OQ239" s="1009"/>
      <c r="OR239" s="1009"/>
      <c r="OS239" s="1009"/>
      <c r="OT239" s="1009"/>
      <c r="OU239" s="1009"/>
      <c r="OV239" s="1009"/>
      <c r="OW239" s="1009"/>
      <c r="OX239" s="1009"/>
      <c r="OY239" s="1009"/>
      <c r="OZ239" s="1009"/>
      <c r="PA239" s="1009"/>
      <c r="PB239" s="1009"/>
      <c r="PC239" s="1009"/>
      <c r="PD239" s="1009"/>
      <c r="PE239" s="1009"/>
      <c r="PF239" s="1009"/>
      <c r="PG239" s="1009"/>
      <c r="PH239" s="1009"/>
      <c r="PI239" s="1009"/>
      <c r="PJ239" s="1009"/>
      <c r="PK239" s="1009"/>
      <c r="PL239" s="1009"/>
      <c r="PM239" s="1009"/>
      <c r="PN239" s="1009"/>
      <c r="PO239" s="1009"/>
      <c r="PP239" s="1009"/>
      <c r="PQ239" s="1009"/>
      <c r="PR239" s="1009"/>
      <c r="PS239" s="1009"/>
      <c r="PT239" s="1009"/>
      <c r="PU239" s="1009"/>
      <c r="PV239" s="1009"/>
      <c r="PW239" s="1009"/>
      <c r="PX239" s="1009"/>
      <c r="PY239" s="1009"/>
      <c r="PZ239" s="1009"/>
      <c r="QA239" s="1009"/>
      <c r="QB239" s="1009"/>
      <c r="QC239" s="1009"/>
      <c r="QD239" s="1009"/>
      <c r="QE239" s="1009"/>
      <c r="QF239" s="1009"/>
      <c r="QG239" s="1009"/>
      <c r="QH239" s="1009"/>
      <c r="QI239" s="1009"/>
      <c r="QJ239" s="1009"/>
      <c r="QK239" s="1009"/>
      <c r="QL239" s="1009"/>
      <c r="QM239" s="1009"/>
      <c r="QN239" s="1009"/>
      <c r="QO239" s="1009"/>
      <c r="QP239" s="1009"/>
      <c r="QQ239" s="1009"/>
      <c r="QR239" s="1009"/>
      <c r="QS239" s="1009"/>
      <c r="QT239" s="1009"/>
      <c r="QU239" s="1009"/>
      <c r="QV239" s="1009"/>
      <c r="QW239" s="1009"/>
      <c r="QX239" s="1009"/>
      <c r="QY239" s="1009"/>
      <c r="QZ239" s="1009"/>
      <c r="RA239" s="1009"/>
      <c r="RB239" s="1009"/>
      <c r="RC239" s="1009"/>
      <c r="RD239" s="1009"/>
      <c r="RE239" s="1009"/>
      <c r="RF239" s="1009"/>
      <c r="RG239" s="1009"/>
      <c r="RH239" s="1009"/>
      <c r="RI239" s="1009"/>
      <c r="RJ239" s="1009"/>
      <c r="RK239" s="1009"/>
      <c r="RL239" s="1009"/>
      <c r="RM239" s="1009"/>
      <c r="RN239" s="1009"/>
      <c r="RO239" s="1009"/>
      <c r="RP239" s="1009"/>
      <c r="RQ239" s="1009"/>
      <c r="RR239" s="1009"/>
      <c r="RS239" s="1009"/>
      <c r="RT239" s="1009"/>
      <c r="RU239" s="1009"/>
      <c r="RV239" s="1009"/>
      <c r="RW239" s="1009"/>
      <c r="RX239" s="1009"/>
      <c r="RY239" s="1009"/>
      <c r="RZ239" s="1009"/>
      <c r="SA239" s="1009"/>
      <c r="SB239" s="1009"/>
      <c r="SC239" s="1009"/>
      <c r="SD239" s="1009"/>
      <c r="SE239" s="1009"/>
      <c r="SF239" s="1009"/>
      <c r="SG239" s="1009"/>
      <c r="SH239" s="1009"/>
      <c r="SI239" s="1009"/>
      <c r="SJ239" s="1009"/>
      <c r="SK239" s="1009"/>
      <c r="SL239" s="1009"/>
      <c r="SM239" s="1009"/>
      <c r="SN239" s="1009"/>
      <c r="SO239" s="1009"/>
      <c r="SP239" s="1009"/>
      <c r="SQ239" s="1009"/>
      <c r="SR239" s="1009"/>
      <c r="SS239" s="1009"/>
      <c r="ST239" s="1009"/>
      <c r="SU239" s="1009"/>
      <c r="SV239" s="1009"/>
      <c r="SW239" s="1009"/>
      <c r="SX239" s="1009"/>
      <c r="SY239" s="1009"/>
      <c r="SZ239" s="1009"/>
      <c r="TA239" s="1009"/>
      <c r="TB239" s="1009"/>
      <c r="TC239" s="1009"/>
      <c r="TD239" s="1009"/>
      <c r="TE239" s="1009"/>
      <c r="TF239" s="1009"/>
      <c r="TG239" s="1009"/>
      <c r="TH239" s="1009"/>
      <c r="TI239" s="1009"/>
      <c r="TJ239" s="1009"/>
      <c r="TK239" s="1009"/>
      <c r="TL239" s="1009"/>
      <c r="TM239" s="1009"/>
      <c r="TN239" s="1009"/>
      <c r="TO239" s="1009"/>
      <c r="TP239" s="1009"/>
      <c r="TQ239" s="1009"/>
      <c r="TR239" s="1009"/>
      <c r="TS239" s="1009"/>
      <c r="TT239" s="1009"/>
      <c r="TU239" s="1009"/>
      <c r="TV239" s="1009"/>
      <c r="TW239" s="1009"/>
      <c r="TX239" s="1009"/>
      <c r="TY239" s="1009"/>
      <c r="TZ239" s="1009"/>
      <c r="UA239" s="1009"/>
      <c r="UB239" s="1009"/>
      <c r="UC239" s="1009"/>
      <c r="UD239" s="1009"/>
      <c r="UE239" s="1009"/>
      <c r="UF239" s="1009"/>
      <c r="UG239" s="1009"/>
      <c r="UH239" s="1009"/>
      <c r="UI239" s="1009"/>
      <c r="UJ239" s="1009"/>
      <c r="UK239" s="1009"/>
      <c r="UL239" s="1009"/>
      <c r="UM239" s="1009"/>
      <c r="UN239" s="1009"/>
      <c r="UO239" s="1009"/>
      <c r="UP239" s="1009"/>
      <c r="UQ239" s="1009"/>
      <c r="UR239" s="1009"/>
      <c r="US239" s="1009"/>
      <c r="UT239" s="1009"/>
      <c r="UU239" s="1009"/>
      <c r="UV239" s="1009"/>
      <c r="UW239" s="1009"/>
      <c r="UX239" s="1009"/>
      <c r="UY239" s="1009"/>
      <c r="UZ239" s="1009"/>
      <c r="VA239" s="1009"/>
      <c r="VB239" s="1009"/>
      <c r="VC239" s="1009"/>
      <c r="VD239" s="1009"/>
      <c r="VE239" s="1009"/>
      <c r="VF239" s="1009"/>
      <c r="VG239" s="1009"/>
      <c r="VH239" s="1009"/>
      <c r="VI239" s="1009"/>
      <c r="VJ239" s="1009"/>
      <c r="VK239" s="1009"/>
      <c r="VL239" s="1009"/>
      <c r="VM239" s="1009"/>
      <c r="VN239" s="1009"/>
      <c r="VO239" s="1009"/>
      <c r="VP239" s="1009"/>
      <c r="VQ239" s="1009"/>
      <c r="VR239" s="1009"/>
      <c r="VS239" s="1009"/>
      <c r="VT239" s="1009"/>
      <c r="VU239" s="1009"/>
      <c r="VV239" s="1009"/>
      <c r="VW239" s="1009"/>
      <c r="VX239" s="1009"/>
      <c r="VY239" s="1009"/>
      <c r="VZ239" s="1009"/>
      <c r="WA239" s="1009"/>
      <c r="WB239" s="1009"/>
      <c r="WC239" s="1009"/>
      <c r="WD239" s="1009"/>
      <c r="WE239" s="1009"/>
      <c r="WF239" s="1009"/>
      <c r="WG239" s="1009"/>
      <c r="WH239" s="1009"/>
      <c r="WI239" s="1009"/>
      <c r="WJ239" s="1009"/>
      <c r="WK239" s="1009"/>
      <c r="WL239" s="1009"/>
      <c r="WM239" s="1009"/>
      <c r="WN239" s="1009"/>
      <c r="WO239" s="1009"/>
      <c r="WP239" s="1009"/>
      <c r="WQ239" s="1009"/>
      <c r="WR239" s="1009"/>
      <c r="WS239" s="1009"/>
      <c r="WT239" s="1009"/>
      <c r="WU239" s="1009"/>
      <c r="WV239" s="1009"/>
      <c r="WW239" s="1009"/>
      <c r="WX239" s="1009"/>
      <c r="WY239" s="1009"/>
      <c r="WZ239" s="1009"/>
      <c r="XA239" s="1009"/>
      <c r="XB239" s="1009"/>
      <c r="XC239" s="1009"/>
      <c r="XD239" s="1009"/>
      <c r="XE239" s="1009"/>
      <c r="XF239" s="1009"/>
      <c r="XG239" s="1009"/>
      <c r="XH239" s="1009"/>
      <c r="XI239" s="1009"/>
      <c r="XJ239" s="1009"/>
      <c r="XK239" s="1009"/>
      <c r="XL239" s="1009"/>
      <c r="XM239" s="1009"/>
      <c r="XN239" s="1009"/>
      <c r="XO239" s="1009"/>
      <c r="XP239" s="1009"/>
      <c r="XQ239" s="1009"/>
      <c r="XR239" s="1009"/>
      <c r="XS239" s="1009"/>
      <c r="XT239" s="1009"/>
      <c r="XU239" s="1009"/>
      <c r="XV239" s="1009"/>
      <c r="XW239" s="1009"/>
      <c r="XX239" s="1009"/>
      <c r="XY239" s="1009"/>
      <c r="XZ239" s="1009"/>
      <c r="YA239" s="1009"/>
      <c r="YB239" s="1009"/>
      <c r="YC239" s="1009"/>
      <c r="YD239" s="1009"/>
      <c r="YE239" s="1009"/>
      <c r="YF239" s="1009"/>
      <c r="YG239" s="1009"/>
      <c r="YH239" s="1009"/>
      <c r="YI239" s="1009"/>
      <c r="YJ239" s="1009"/>
      <c r="YK239" s="1009"/>
      <c r="YL239" s="1009"/>
      <c r="YM239" s="1009"/>
      <c r="YN239" s="1009"/>
      <c r="YO239" s="1009"/>
      <c r="YP239" s="1009"/>
      <c r="YQ239" s="1009"/>
      <c r="YR239" s="1009"/>
      <c r="YS239" s="1009"/>
      <c r="YT239" s="1009"/>
      <c r="YU239" s="1009"/>
      <c r="YV239" s="1009"/>
      <c r="YW239" s="1009"/>
      <c r="YX239" s="1009"/>
      <c r="YY239" s="1009"/>
      <c r="YZ239" s="1009"/>
      <c r="ZA239" s="1009"/>
      <c r="ZB239" s="1009"/>
      <c r="ZC239" s="1009"/>
      <c r="ZD239" s="1009"/>
      <c r="ZE239" s="1009"/>
      <c r="ZF239" s="1009"/>
      <c r="ZG239" s="1009"/>
      <c r="ZH239" s="1009"/>
      <c r="ZI239" s="1009"/>
      <c r="ZJ239" s="1009"/>
      <c r="ZK239" s="1009"/>
      <c r="ZL239" s="1009"/>
      <c r="ZM239" s="1009"/>
      <c r="ZN239" s="1009"/>
      <c r="ZO239" s="1009"/>
      <c r="ZP239" s="1009"/>
      <c r="ZQ239" s="1009"/>
      <c r="ZR239" s="1009"/>
      <c r="ZS239" s="1009"/>
      <c r="ZT239" s="1009"/>
      <c r="ZU239" s="1009"/>
      <c r="ZV239" s="1009"/>
      <c r="ZW239" s="1009"/>
      <c r="ZX239" s="1009"/>
      <c r="ZY239" s="1009"/>
      <c r="ZZ239" s="1009"/>
      <c r="AAA239" s="1009"/>
      <c r="AAB239" s="1009"/>
      <c r="AAC239" s="1009"/>
      <c r="AAD239" s="1009"/>
      <c r="AAE239" s="1009"/>
      <c r="AAF239" s="1009"/>
      <c r="AAG239" s="1009"/>
      <c r="AAH239" s="1009"/>
      <c r="AAI239" s="1009"/>
      <c r="AAJ239" s="1009"/>
      <c r="AAK239" s="1009"/>
      <c r="AAL239" s="1009"/>
      <c r="AAM239" s="1009"/>
      <c r="AAN239" s="1009"/>
      <c r="AAO239" s="1009"/>
      <c r="AAP239" s="1009"/>
      <c r="AAQ239" s="1009"/>
      <c r="AAR239" s="1009"/>
      <c r="AAS239" s="1009"/>
      <c r="AAT239" s="1009"/>
      <c r="AAU239" s="1009"/>
      <c r="AAV239" s="1009"/>
      <c r="AAW239" s="1009"/>
      <c r="AAX239" s="1009"/>
      <c r="AAY239" s="1009"/>
      <c r="AAZ239" s="1009"/>
      <c r="ABA239" s="1009"/>
      <c r="ABB239" s="1009"/>
      <c r="ABC239" s="1009"/>
      <c r="ABD239" s="1009"/>
      <c r="ABE239" s="1009"/>
      <c r="ABF239" s="1009"/>
      <c r="ABG239" s="1009"/>
      <c r="ABH239" s="1009"/>
      <c r="ABI239" s="1009"/>
      <c r="ABJ239" s="1009"/>
      <c r="ABK239" s="1009"/>
      <c r="ABL239" s="1009"/>
      <c r="ABM239" s="1009"/>
      <c r="ABN239" s="1009"/>
      <c r="ABO239" s="1009"/>
      <c r="ABP239" s="1009"/>
      <c r="ABQ239" s="1009"/>
      <c r="ABR239" s="1009"/>
    </row>
    <row r="240" spans="1:746" s="111" customFormat="1" ht="12" customHeight="1">
      <c r="A240" s="2282"/>
      <c r="B240" s="2665" t="s">
        <v>1489</v>
      </c>
      <c r="C240" s="2666"/>
      <c r="D240" s="2666"/>
      <c r="E240" s="2674"/>
      <c r="F240" s="2674"/>
      <c r="G240" s="2674"/>
      <c r="H240" s="2672"/>
      <c r="I240" s="2597"/>
      <c r="J240" s="2327"/>
      <c r="K240" s="2327"/>
      <c r="L240" s="2327"/>
      <c r="M240" s="2327"/>
      <c r="N240" s="2327"/>
      <c r="O240" s="2327"/>
      <c r="P240" s="2327"/>
      <c r="Q240" s="2327"/>
      <c r="R240" s="2327"/>
      <c r="S240" s="2327"/>
      <c r="T240" s="2327"/>
      <c r="U240" s="2327"/>
      <c r="V240" s="2327"/>
      <c r="W240" s="2327"/>
      <c r="X240" s="2327"/>
      <c r="Y240" s="2327"/>
      <c r="Z240" s="2327"/>
      <c r="AA240" s="2327"/>
      <c r="AB240" s="2327"/>
      <c r="AC240" s="2327"/>
      <c r="AD240" s="2327"/>
      <c r="AE240" s="2327"/>
      <c r="AF240" s="2327"/>
      <c r="AG240" s="337"/>
      <c r="AH240" s="786"/>
      <c r="AI240" s="786"/>
      <c r="AJ240" s="418">
        <f>IF(fx!$C$57=1,SUMIF(fx!I$57:T$57,1,I240:T240),IF(fx!$C$57=2,SUMIF(fx!O$57:AF$57,1,O240:AF240)))</f>
        <v>0</v>
      </c>
      <c r="AK240" s="328"/>
      <c r="AL240" s="417">
        <f>IF(fx!$C$57=1,SUM(U240:AF240),0)</f>
        <v>0</v>
      </c>
      <c r="AM240" s="1009"/>
      <c r="AN240" s="1026"/>
      <c r="AO240" s="1945"/>
      <c r="AP240" s="1935"/>
      <c r="AQ240" s="1936"/>
      <c r="AR240" s="1941"/>
      <c r="AS240" s="1941"/>
      <c r="AT240" s="1941"/>
      <c r="AU240" s="1941"/>
      <c r="AV240" s="1941"/>
      <c r="AW240" s="1941"/>
      <c r="AX240" s="1941"/>
      <c r="AY240" s="1941"/>
      <c r="AZ240" s="1941"/>
      <c r="BA240" s="1941"/>
      <c r="BB240" s="1941"/>
      <c r="BC240" s="1941"/>
      <c r="BD240" s="1941"/>
      <c r="BE240" s="1941"/>
      <c r="BF240" s="1941"/>
      <c r="BG240" s="1941"/>
      <c r="BH240" s="1941"/>
      <c r="BI240" s="1941"/>
      <c r="BJ240" s="1941"/>
      <c r="BK240" s="1941"/>
      <c r="BL240" s="1941"/>
      <c r="BM240" s="1941"/>
      <c r="BN240" s="1941"/>
      <c r="BO240" s="1941"/>
      <c r="BP240" s="1009"/>
      <c r="BQ240" s="1009"/>
      <c r="BR240" s="1009"/>
      <c r="BS240" s="1009"/>
      <c r="BT240" s="1009"/>
      <c r="BU240" s="1009"/>
      <c r="BV240" s="1009"/>
      <c r="BW240" s="1009"/>
      <c r="BX240" s="1009"/>
      <c r="BY240" s="1009"/>
      <c r="BZ240" s="1009"/>
      <c r="CA240" s="1009"/>
      <c r="CB240" s="1009"/>
      <c r="CC240" s="1009"/>
      <c r="CD240" s="1009"/>
      <c r="CE240" s="1009"/>
      <c r="CF240" s="1009"/>
      <c r="CG240" s="1009"/>
      <c r="CH240" s="1009"/>
      <c r="CI240" s="1009"/>
      <c r="CJ240" s="1009"/>
      <c r="CK240" s="1009"/>
      <c r="CL240" s="1009"/>
      <c r="CM240" s="1009"/>
      <c r="CN240" s="1009"/>
      <c r="CO240" s="1009"/>
      <c r="CP240" s="1009"/>
      <c r="CQ240" s="1009"/>
      <c r="CR240" s="1009"/>
      <c r="CS240" s="1009"/>
      <c r="CT240" s="1009"/>
      <c r="CU240" s="1009"/>
      <c r="CV240" s="1009"/>
      <c r="CW240" s="1009"/>
      <c r="CX240" s="1009"/>
      <c r="CY240" s="1009"/>
      <c r="CZ240" s="1009"/>
      <c r="DA240" s="1009"/>
      <c r="DB240" s="1009"/>
      <c r="DC240" s="1009"/>
      <c r="DD240" s="1009"/>
      <c r="DE240" s="1009"/>
      <c r="DF240" s="1009"/>
      <c r="DG240" s="1009"/>
      <c r="DH240" s="1009"/>
      <c r="DI240" s="1009"/>
      <c r="DJ240" s="1009"/>
      <c r="DK240" s="1009"/>
      <c r="DL240" s="1009"/>
      <c r="DM240" s="1009"/>
      <c r="DN240" s="1009"/>
      <c r="DO240" s="1009"/>
      <c r="DP240" s="1009"/>
      <c r="DQ240" s="1009"/>
      <c r="DR240" s="1009"/>
      <c r="DS240" s="1009"/>
      <c r="DT240" s="1009"/>
      <c r="DU240" s="1009"/>
      <c r="DV240" s="1009"/>
      <c r="DW240" s="1009"/>
      <c r="DX240" s="1009"/>
      <c r="DY240" s="1009"/>
      <c r="DZ240" s="1009"/>
      <c r="EA240" s="1009"/>
      <c r="EB240" s="1009"/>
      <c r="EC240" s="1009"/>
      <c r="ED240" s="1009"/>
      <c r="EE240" s="1009"/>
      <c r="EF240" s="1009"/>
      <c r="EG240" s="1009"/>
      <c r="EH240" s="1009"/>
      <c r="EI240" s="1009"/>
      <c r="EJ240" s="1009"/>
      <c r="EK240" s="1009"/>
      <c r="EL240" s="1009"/>
      <c r="EM240" s="1009"/>
      <c r="EN240" s="1009"/>
      <c r="EO240" s="1009"/>
      <c r="EP240" s="1009"/>
      <c r="EQ240" s="1009"/>
      <c r="ER240" s="1009"/>
      <c r="ES240" s="1009"/>
      <c r="ET240" s="1009"/>
      <c r="EU240" s="1009"/>
      <c r="EV240" s="1009"/>
      <c r="EW240" s="1009"/>
      <c r="EX240" s="1009"/>
      <c r="EY240" s="1009"/>
      <c r="EZ240" s="1009"/>
      <c r="FA240" s="1009"/>
      <c r="FB240" s="1009"/>
      <c r="FC240" s="1009"/>
      <c r="FD240" s="1009"/>
      <c r="FE240" s="1009"/>
      <c r="FF240" s="1009"/>
      <c r="FG240" s="1009"/>
      <c r="FH240" s="1009"/>
      <c r="FI240" s="1009"/>
      <c r="FJ240" s="1009"/>
      <c r="FK240" s="1009"/>
      <c r="FL240" s="1009"/>
      <c r="FM240" s="1009"/>
      <c r="FN240" s="1009"/>
      <c r="FO240" s="1009"/>
      <c r="FP240" s="1009"/>
      <c r="FQ240" s="1009"/>
      <c r="FR240" s="1009"/>
      <c r="FS240" s="1009"/>
      <c r="FT240" s="1009"/>
      <c r="FU240" s="1009"/>
      <c r="FV240" s="1009"/>
      <c r="FW240" s="1009"/>
      <c r="FX240" s="1009"/>
      <c r="FY240" s="1009"/>
      <c r="FZ240" s="1009"/>
      <c r="GA240" s="1009"/>
      <c r="GB240" s="1009"/>
      <c r="GC240" s="1009"/>
      <c r="GD240" s="1009"/>
      <c r="GE240" s="1009"/>
      <c r="GF240" s="1009"/>
      <c r="GG240" s="1009"/>
      <c r="GH240" s="1009"/>
      <c r="GI240" s="1009"/>
      <c r="GJ240" s="1009"/>
      <c r="GK240" s="1009"/>
      <c r="GL240" s="1009"/>
      <c r="GM240" s="1009"/>
      <c r="GN240" s="1009"/>
      <c r="GO240" s="1009"/>
      <c r="GP240" s="1009"/>
      <c r="GQ240" s="1009"/>
      <c r="GR240" s="1009"/>
      <c r="GS240" s="1009"/>
      <c r="GT240" s="1009"/>
      <c r="GU240" s="1009"/>
      <c r="GV240" s="1009"/>
      <c r="GW240" s="1009"/>
      <c r="GX240" s="1009"/>
      <c r="GY240" s="1009"/>
      <c r="GZ240" s="1009"/>
      <c r="HA240" s="1009"/>
      <c r="HB240" s="1009"/>
      <c r="HC240" s="1009"/>
      <c r="HD240" s="1009"/>
      <c r="HE240" s="1009"/>
      <c r="HF240" s="1009"/>
      <c r="HG240" s="1009"/>
      <c r="HH240" s="1009"/>
      <c r="HI240" s="1009"/>
      <c r="HJ240" s="1009"/>
      <c r="HK240" s="1009"/>
      <c r="HL240" s="1009"/>
      <c r="HM240" s="1009"/>
      <c r="HN240" s="1009"/>
      <c r="HO240" s="1009"/>
      <c r="HP240" s="1009"/>
      <c r="HQ240" s="1009"/>
      <c r="HR240" s="1009"/>
      <c r="HS240" s="1009"/>
      <c r="HT240" s="1009"/>
      <c r="HU240" s="1009"/>
      <c r="HV240" s="1009"/>
      <c r="HW240" s="1009"/>
      <c r="HX240" s="1009"/>
      <c r="HY240" s="1009"/>
      <c r="HZ240" s="1009"/>
      <c r="IA240" s="1009"/>
      <c r="IB240" s="1009"/>
      <c r="IC240" s="1009"/>
      <c r="ID240" s="1009"/>
      <c r="IE240" s="1009"/>
      <c r="IF240" s="1009"/>
      <c r="IG240" s="1009"/>
      <c r="IH240" s="1009"/>
      <c r="II240" s="1009"/>
      <c r="IJ240" s="1009"/>
      <c r="IK240" s="1009"/>
      <c r="IL240" s="1009"/>
      <c r="IM240" s="1009"/>
      <c r="IN240" s="1009"/>
      <c r="IO240" s="1009"/>
      <c r="IP240" s="1009"/>
      <c r="IQ240" s="1009"/>
      <c r="IR240" s="1009"/>
      <c r="IS240" s="1009"/>
      <c r="IT240" s="1009"/>
      <c r="IU240" s="1009"/>
      <c r="IV240" s="1009"/>
      <c r="IW240" s="1009"/>
      <c r="IX240" s="1009"/>
      <c r="IY240" s="1009"/>
      <c r="IZ240" s="1009"/>
      <c r="JA240" s="1009"/>
      <c r="JB240" s="1009"/>
      <c r="JC240" s="1009"/>
      <c r="JD240" s="1009"/>
      <c r="JE240" s="1009"/>
      <c r="JF240" s="1009"/>
      <c r="JG240" s="1009"/>
      <c r="JH240" s="1009"/>
      <c r="JI240" s="1009"/>
      <c r="JJ240" s="1009"/>
      <c r="JK240" s="1009"/>
      <c r="JL240" s="1009"/>
      <c r="JM240" s="1009"/>
      <c r="JN240" s="1009"/>
      <c r="JO240" s="1009"/>
      <c r="JP240" s="1009"/>
      <c r="JQ240" s="1009"/>
      <c r="JR240" s="1009"/>
      <c r="JS240" s="1009"/>
      <c r="JT240" s="1009"/>
      <c r="JU240" s="1009"/>
      <c r="JV240" s="1009"/>
      <c r="JW240" s="1009"/>
      <c r="JX240" s="1009"/>
      <c r="JY240" s="1009"/>
      <c r="JZ240" s="1009"/>
      <c r="KA240" s="1009"/>
      <c r="KB240" s="1009"/>
      <c r="KC240" s="1009"/>
      <c r="KD240" s="1009"/>
      <c r="KE240" s="1009"/>
      <c r="KF240" s="1009"/>
      <c r="KG240" s="1009"/>
      <c r="KH240" s="1009"/>
      <c r="KI240" s="1009"/>
      <c r="KJ240" s="1009"/>
      <c r="KK240" s="1009"/>
      <c r="KL240" s="1009"/>
      <c r="KM240" s="1009"/>
      <c r="KN240" s="1009"/>
      <c r="KO240" s="1009"/>
      <c r="KP240" s="1009"/>
      <c r="KQ240" s="1009"/>
      <c r="KR240" s="1009"/>
      <c r="KS240" s="1009"/>
      <c r="KT240" s="1009"/>
      <c r="KU240" s="1009"/>
      <c r="KV240" s="1009"/>
      <c r="KW240" s="1009"/>
      <c r="KX240" s="1009"/>
      <c r="KY240" s="1009"/>
      <c r="KZ240" s="1009"/>
      <c r="LA240" s="1009"/>
      <c r="LB240" s="1009"/>
      <c r="LC240" s="1009"/>
      <c r="LD240" s="1009"/>
      <c r="LE240" s="1009"/>
      <c r="LF240" s="1009"/>
      <c r="LG240" s="1009"/>
      <c r="LH240" s="1009"/>
      <c r="LI240" s="1009"/>
      <c r="LJ240" s="1009"/>
      <c r="LK240" s="1009"/>
      <c r="LL240" s="1009"/>
      <c r="LM240" s="1009"/>
      <c r="LN240" s="1009"/>
      <c r="LO240" s="1009"/>
      <c r="LP240" s="1009"/>
      <c r="LQ240" s="1009"/>
      <c r="LR240" s="1009"/>
      <c r="LS240" s="1009"/>
      <c r="LT240" s="1009"/>
      <c r="LU240" s="1009"/>
      <c r="LV240" s="1009"/>
      <c r="LW240" s="1009"/>
      <c r="LX240" s="1009"/>
      <c r="LY240" s="1009"/>
      <c r="LZ240" s="1009"/>
      <c r="MA240" s="1009"/>
      <c r="MB240" s="1009"/>
      <c r="MC240" s="1009"/>
      <c r="MD240" s="1009"/>
      <c r="ME240" s="1009"/>
      <c r="MF240" s="1009"/>
      <c r="MG240" s="1009"/>
      <c r="MH240" s="1009"/>
      <c r="MI240" s="1009"/>
      <c r="MJ240" s="1009"/>
      <c r="MK240" s="1009"/>
      <c r="ML240" s="1009"/>
      <c r="MM240" s="1009"/>
      <c r="MN240" s="1009"/>
      <c r="MO240" s="1009"/>
      <c r="MP240" s="1009"/>
      <c r="MQ240" s="1009"/>
      <c r="MR240" s="1009"/>
      <c r="MS240" s="1009"/>
      <c r="MT240" s="1009"/>
      <c r="MU240" s="1009"/>
      <c r="MV240" s="1009"/>
      <c r="MW240" s="1009"/>
      <c r="MX240" s="1009"/>
      <c r="MY240" s="1009"/>
      <c r="MZ240" s="1009"/>
      <c r="NA240" s="1009"/>
      <c r="NB240" s="1009"/>
      <c r="NC240" s="1009"/>
      <c r="ND240" s="1009"/>
      <c r="NE240" s="1009"/>
      <c r="NF240" s="1009"/>
      <c r="NG240" s="1009"/>
      <c r="NH240" s="1009"/>
      <c r="NI240" s="1009"/>
      <c r="NJ240" s="1009"/>
      <c r="NK240" s="1009"/>
      <c r="NL240" s="1009"/>
      <c r="NM240" s="1009"/>
      <c r="NN240" s="1009"/>
      <c r="NO240" s="1009"/>
      <c r="NP240" s="1009"/>
      <c r="NQ240" s="1009"/>
      <c r="NR240" s="1009"/>
      <c r="NS240" s="1009"/>
      <c r="NT240" s="1009"/>
      <c r="NU240" s="1009"/>
      <c r="NV240" s="1009"/>
      <c r="NW240" s="1009"/>
      <c r="NX240" s="1009"/>
      <c r="NY240" s="1009"/>
      <c r="NZ240" s="1009"/>
      <c r="OA240" s="1009"/>
      <c r="OB240" s="1009"/>
      <c r="OC240" s="1009"/>
      <c r="OD240" s="1009"/>
      <c r="OE240" s="1009"/>
      <c r="OF240" s="1009"/>
      <c r="OG240" s="1009"/>
      <c r="OH240" s="1009"/>
      <c r="OI240" s="1009"/>
      <c r="OJ240" s="1009"/>
      <c r="OK240" s="1009"/>
      <c r="OL240" s="1009"/>
      <c r="OM240" s="1009"/>
      <c r="ON240" s="1009"/>
      <c r="OO240" s="1009"/>
      <c r="OP240" s="1009"/>
      <c r="OQ240" s="1009"/>
      <c r="OR240" s="1009"/>
      <c r="OS240" s="1009"/>
      <c r="OT240" s="1009"/>
      <c r="OU240" s="1009"/>
      <c r="OV240" s="1009"/>
      <c r="OW240" s="1009"/>
      <c r="OX240" s="1009"/>
      <c r="OY240" s="1009"/>
      <c r="OZ240" s="1009"/>
      <c r="PA240" s="1009"/>
      <c r="PB240" s="1009"/>
      <c r="PC240" s="1009"/>
      <c r="PD240" s="1009"/>
      <c r="PE240" s="1009"/>
      <c r="PF240" s="1009"/>
      <c r="PG240" s="1009"/>
      <c r="PH240" s="1009"/>
      <c r="PI240" s="1009"/>
      <c r="PJ240" s="1009"/>
      <c r="PK240" s="1009"/>
      <c r="PL240" s="1009"/>
      <c r="PM240" s="1009"/>
      <c r="PN240" s="1009"/>
      <c r="PO240" s="1009"/>
      <c r="PP240" s="1009"/>
      <c r="PQ240" s="1009"/>
      <c r="PR240" s="1009"/>
      <c r="PS240" s="1009"/>
      <c r="PT240" s="1009"/>
      <c r="PU240" s="1009"/>
      <c r="PV240" s="1009"/>
      <c r="PW240" s="1009"/>
      <c r="PX240" s="1009"/>
      <c r="PY240" s="1009"/>
      <c r="PZ240" s="1009"/>
      <c r="QA240" s="1009"/>
      <c r="QB240" s="1009"/>
      <c r="QC240" s="1009"/>
      <c r="QD240" s="1009"/>
      <c r="QE240" s="1009"/>
      <c r="QF240" s="1009"/>
      <c r="QG240" s="1009"/>
      <c r="QH240" s="1009"/>
      <c r="QI240" s="1009"/>
      <c r="QJ240" s="1009"/>
      <c r="QK240" s="1009"/>
      <c r="QL240" s="1009"/>
      <c r="QM240" s="1009"/>
      <c r="QN240" s="1009"/>
      <c r="QO240" s="1009"/>
      <c r="QP240" s="1009"/>
      <c r="QQ240" s="1009"/>
      <c r="QR240" s="1009"/>
      <c r="QS240" s="1009"/>
      <c r="QT240" s="1009"/>
      <c r="QU240" s="1009"/>
      <c r="QV240" s="1009"/>
      <c r="QW240" s="1009"/>
      <c r="QX240" s="1009"/>
      <c r="QY240" s="1009"/>
      <c r="QZ240" s="1009"/>
      <c r="RA240" s="1009"/>
      <c r="RB240" s="1009"/>
      <c r="RC240" s="1009"/>
      <c r="RD240" s="1009"/>
      <c r="RE240" s="1009"/>
      <c r="RF240" s="1009"/>
      <c r="RG240" s="1009"/>
      <c r="RH240" s="1009"/>
      <c r="RI240" s="1009"/>
      <c r="RJ240" s="1009"/>
      <c r="RK240" s="1009"/>
      <c r="RL240" s="1009"/>
      <c r="RM240" s="1009"/>
      <c r="RN240" s="1009"/>
      <c r="RO240" s="1009"/>
      <c r="RP240" s="1009"/>
      <c r="RQ240" s="1009"/>
      <c r="RR240" s="1009"/>
      <c r="RS240" s="1009"/>
      <c r="RT240" s="1009"/>
      <c r="RU240" s="1009"/>
      <c r="RV240" s="1009"/>
      <c r="RW240" s="1009"/>
      <c r="RX240" s="1009"/>
      <c r="RY240" s="1009"/>
      <c r="RZ240" s="1009"/>
      <c r="SA240" s="1009"/>
      <c r="SB240" s="1009"/>
      <c r="SC240" s="1009"/>
      <c r="SD240" s="1009"/>
      <c r="SE240" s="1009"/>
      <c r="SF240" s="1009"/>
      <c r="SG240" s="1009"/>
      <c r="SH240" s="1009"/>
      <c r="SI240" s="1009"/>
      <c r="SJ240" s="1009"/>
      <c r="SK240" s="1009"/>
      <c r="SL240" s="1009"/>
      <c r="SM240" s="1009"/>
      <c r="SN240" s="1009"/>
      <c r="SO240" s="1009"/>
      <c r="SP240" s="1009"/>
      <c r="SQ240" s="1009"/>
      <c r="SR240" s="1009"/>
      <c r="SS240" s="1009"/>
      <c r="ST240" s="1009"/>
      <c r="SU240" s="1009"/>
      <c r="SV240" s="1009"/>
      <c r="SW240" s="1009"/>
      <c r="SX240" s="1009"/>
      <c r="SY240" s="1009"/>
      <c r="SZ240" s="1009"/>
      <c r="TA240" s="1009"/>
      <c r="TB240" s="1009"/>
      <c r="TC240" s="1009"/>
      <c r="TD240" s="1009"/>
      <c r="TE240" s="1009"/>
      <c r="TF240" s="1009"/>
      <c r="TG240" s="1009"/>
      <c r="TH240" s="1009"/>
      <c r="TI240" s="1009"/>
      <c r="TJ240" s="1009"/>
      <c r="TK240" s="1009"/>
      <c r="TL240" s="1009"/>
      <c r="TM240" s="1009"/>
      <c r="TN240" s="1009"/>
      <c r="TO240" s="1009"/>
      <c r="TP240" s="1009"/>
      <c r="TQ240" s="1009"/>
      <c r="TR240" s="1009"/>
      <c r="TS240" s="1009"/>
      <c r="TT240" s="1009"/>
      <c r="TU240" s="1009"/>
      <c r="TV240" s="1009"/>
      <c r="TW240" s="1009"/>
      <c r="TX240" s="1009"/>
      <c r="TY240" s="1009"/>
      <c r="TZ240" s="1009"/>
      <c r="UA240" s="1009"/>
      <c r="UB240" s="1009"/>
      <c r="UC240" s="1009"/>
      <c r="UD240" s="1009"/>
      <c r="UE240" s="1009"/>
      <c r="UF240" s="1009"/>
      <c r="UG240" s="1009"/>
      <c r="UH240" s="1009"/>
      <c r="UI240" s="1009"/>
      <c r="UJ240" s="1009"/>
      <c r="UK240" s="1009"/>
      <c r="UL240" s="1009"/>
      <c r="UM240" s="1009"/>
      <c r="UN240" s="1009"/>
      <c r="UO240" s="1009"/>
      <c r="UP240" s="1009"/>
      <c r="UQ240" s="1009"/>
      <c r="UR240" s="1009"/>
      <c r="US240" s="1009"/>
      <c r="UT240" s="1009"/>
      <c r="UU240" s="1009"/>
      <c r="UV240" s="1009"/>
      <c r="UW240" s="1009"/>
      <c r="UX240" s="1009"/>
      <c r="UY240" s="1009"/>
      <c r="UZ240" s="1009"/>
      <c r="VA240" s="1009"/>
      <c r="VB240" s="1009"/>
      <c r="VC240" s="1009"/>
      <c r="VD240" s="1009"/>
      <c r="VE240" s="1009"/>
      <c r="VF240" s="1009"/>
      <c r="VG240" s="1009"/>
      <c r="VH240" s="1009"/>
      <c r="VI240" s="1009"/>
      <c r="VJ240" s="1009"/>
      <c r="VK240" s="1009"/>
      <c r="VL240" s="1009"/>
      <c r="VM240" s="1009"/>
      <c r="VN240" s="1009"/>
      <c r="VO240" s="1009"/>
      <c r="VP240" s="1009"/>
      <c r="VQ240" s="1009"/>
      <c r="VR240" s="1009"/>
      <c r="VS240" s="1009"/>
      <c r="VT240" s="1009"/>
      <c r="VU240" s="1009"/>
      <c r="VV240" s="1009"/>
      <c r="VW240" s="1009"/>
      <c r="VX240" s="1009"/>
      <c r="VY240" s="1009"/>
      <c r="VZ240" s="1009"/>
      <c r="WA240" s="1009"/>
      <c r="WB240" s="1009"/>
      <c r="WC240" s="1009"/>
      <c r="WD240" s="1009"/>
      <c r="WE240" s="1009"/>
      <c r="WF240" s="1009"/>
      <c r="WG240" s="1009"/>
      <c r="WH240" s="1009"/>
      <c r="WI240" s="1009"/>
      <c r="WJ240" s="1009"/>
      <c r="WK240" s="1009"/>
      <c r="WL240" s="1009"/>
      <c r="WM240" s="1009"/>
      <c r="WN240" s="1009"/>
      <c r="WO240" s="1009"/>
      <c r="WP240" s="1009"/>
      <c r="WQ240" s="1009"/>
      <c r="WR240" s="1009"/>
      <c r="WS240" s="1009"/>
      <c r="WT240" s="1009"/>
      <c r="WU240" s="1009"/>
      <c r="WV240" s="1009"/>
      <c r="WW240" s="1009"/>
      <c r="WX240" s="1009"/>
      <c r="WY240" s="1009"/>
      <c r="WZ240" s="1009"/>
      <c r="XA240" s="1009"/>
      <c r="XB240" s="1009"/>
      <c r="XC240" s="1009"/>
      <c r="XD240" s="1009"/>
      <c r="XE240" s="1009"/>
      <c r="XF240" s="1009"/>
      <c r="XG240" s="1009"/>
      <c r="XH240" s="1009"/>
      <c r="XI240" s="1009"/>
      <c r="XJ240" s="1009"/>
      <c r="XK240" s="1009"/>
      <c r="XL240" s="1009"/>
      <c r="XM240" s="1009"/>
      <c r="XN240" s="1009"/>
      <c r="XO240" s="1009"/>
      <c r="XP240" s="1009"/>
      <c r="XQ240" s="1009"/>
      <c r="XR240" s="1009"/>
      <c r="XS240" s="1009"/>
      <c r="XT240" s="1009"/>
      <c r="XU240" s="1009"/>
      <c r="XV240" s="1009"/>
      <c r="XW240" s="1009"/>
      <c r="XX240" s="1009"/>
      <c r="XY240" s="1009"/>
      <c r="XZ240" s="1009"/>
      <c r="YA240" s="1009"/>
      <c r="YB240" s="1009"/>
      <c r="YC240" s="1009"/>
      <c r="YD240" s="1009"/>
      <c r="YE240" s="1009"/>
      <c r="YF240" s="1009"/>
      <c r="YG240" s="1009"/>
      <c r="YH240" s="1009"/>
      <c r="YI240" s="1009"/>
      <c r="YJ240" s="1009"/>
      <c r="YK240" s="1009"/>
      <c r="YL240" s="1009"/>
      <c r="YM240" s="1009"/>
      <c r="YN240" s="1009"/>
      <c r="YO240" s="1009"/>
      <c r="YP240" s="1009"/>
      <c r="YQ240" s="1009"/>
      <c r="YR240" s="1009"/>
      <c r="YS240" s="1009"/>
      <c r="YT240" s="1009"/>
      <c r="YU240" s="1009"/>
      <c r="YV240" s="1009"/>
      <c r="YW240" s="1009"/>
      <c r="YX240" s="1009"/>
      <c r="YY240" s="1009"/>
      <c r="YZ240" s="1009"/>
      <c r="ZA240" s="1009"/>
      <c r="ZB240" s="1009"/>
      <c r="ZC240" s="1009"/>
      <c r="ZD240" s="1009"/>
      <c r="ZE240" s="1009"/>
      <c r="ZF240" s="1009"/>
      <c r="ZG240" s="1009"/>
      <c r="ZH240" s="1009"/>
      <c r="ZI240" s="1009"/>
      <c r="ZJ240" s="1009"/>
      <c r="ZK240" s="1009"/>
      <c r="ZL240" s="1009"/>
      <c r="ZM240" s="1009"/>
      <c r="ZN240" s="1009"/>
      <c r="ZO240" s="1009"/>
      <c r="ZP240" s="1009"/>
      <c r="ZQ240" s="1009"/>
      <c r="ZR240" s="1009"/>
      <c r="ZS240" s="1009"/>
      <c r="ZT240" s="1009"/>
      <c r="ZU240" s="1009"/>
      <c r="ZV240" s="1009"/>
      <c r="ZW240" s="1009"/>
      <c r="ZX240" s="1009"/>
      <c r="ZY240" s="1009"/>
      <c r="ZZ240" s="1009"/>
      <c r="AAA240" s="1009"/>
      <c r="AAB240" s="1009"/>
      <c r="AAC240" s="1009"/>
      <c r="AAD240" s="1009"/>
      <c r="AAE240" s="1009"/>
      <c r="AAF240" s="1009"/>
      <c r="AAG240" s="1009"/>
      <c r="AAH240" s="1009"/>
      <c r="AAI240" s="1009"/>
      <c r="AAJ240" s="1009"/>
      <c r="AAK240" s="1009"/>
      <c r="AAL240" s="1009"/>
      <c r="AAM240" s="1009"/>
      <c r="AAN240" s="1009"/>
      <c r="AAO240" s="1009"/>
      <c r="AAP240" s="1009"/>
      <c r="AAQ240" s="1009"/>
      <c r="AAR240" s="1009"/>
      <c r="AAS240" s="1009"/>
      <c r="AAT240" s="1009"/>
      <c r="AAU240" s="1009"/>
      <c r="AAV240" s="1009"/>
      <c r="AAW240" s="1009"/>
      <c r="AAX240" s="1009"/>
      <c r="AAY240" s="1009"/>
      <c r="AAZ240" s="1009"/>
      <c r="ABA240" s="1009"/>
      <c r="ABB240" s="1009"/>
      <c r="ABC240" s="1009"/>
      <c r="ABD240" s="1009"/>
      <c r="ABE240" s="1009"/>
      <c r="ABF240" s="1009"/>
      <c r="ABG240" s="1009"/>
      <c r="ABH240" s="1009"/>
      <c r="ABI240" s="1009"/>
      <c r="ABJ240" s="1009"/>
      <c r="ABK240" s="1009"/>
      <c r="ABL240" s="1009"/>
      <c r="ABM240" s="1009"/>
      <c r="ABN240" s="1009"/>
      <c r="ABO240" s="1009"/>
      <c r="ABP240" s="1009"/>
      <c r="ABQ240" s="1009"/>
      <c r="ABR240" s="1009"/>
    </row>
    <row r="241" spans="1:746" s="111" customFormat="1" ht="12" customHeight="1">
      <c r="A241" s="2244"/>
      <c r="B241" s="2667" t="s">
        <v>1490</v>
      </c>
      <c r="C241" s="2668"/>
      <c r="D241" s="2669" t="s">
        <v>1161</v>
      </c>
      <c r="E241" s="3003">
        <f>E235</f>
        <v>0</v>
      </c>
      <c r="F241" s="3004"/>
      <c r="G241" s="3005"/>
      <c r="H241" s="2673"/>
      <c r="I241" s="345">
        <f>(I235+I240)*fx!I57</f>
        <v>0</v>
      </c>
      <c r="J241" s="344">
        <f>(J235+J240)*fx!J57</f>
        <v>0</v>
      </c>
      <c r="K241" s="344">
        <f>(K235+K240)*fx!K57</f>
        <v>0</v>
      </c>
      <c r="L241" s="344">
        <f>(L235+L240)*fx!L57</f>
        <v>0</v>
      </c>
      <c r="M241" s="344">
        <f>(M235+M240)*fx!M57</f>
        <v>0</v>
      </c>
      <c r="N241" s="344">
        <f>(N235+N240)*fx!N57</f>
        <v>0</v>
      </c>
      <c r="O241" s="344">
        <f>(O235+O240)*fx!O57</f>
        <v>0</v>
      </c>
      <c r="P241" s="344">
        <f>(P235+P240)*fx!P57</f>
        <v>0</v>
      </c>
      <c r="Q241" s="344">
        <f>(Q235+Q240)*fx!Q57</f>
        <v>0</v>
      </c>
      <c r="R241" s="344">
        <f>(R235+R240)*fx!R57</f>
        <v>0</v>
      </c>
      <c r="S241" s="344">
        <f>(S235+S240)*fx!S57</f>
        <v>0</v>
      </c>
      <c r="T241" s="344">
        <f>(T235+T240)*fx!T57</f>
        <v>0</v>
      </c>
      <c r="U241" s="344">
        <f>(U235+U240)*fx!U57</f>
        <v>0</v>
      </c>
      <c r="V241" s="344">
        <f>(V235+V240)*fx!V57</f>
        <v>0</v>
      </c>
      <c r="W241" s="344">
        <f>(W235+W240)*fx!W57</f>
        <v>0</v>
      </c>
      <c r="X241" s="344">
        <f>(X235+X240)*fx!X57</f>
        <v>0</v>
      </c>
      <c r="Y241" s="344">
        <f>(Y235+Y240)*fx!Y57</f>
        <v>0</v>
      </c>
      <c r="Z241" s="344">
        <f>(Z235+Z240)*fx!Z57</f>
        <v>0</v>
      </c>
      <c r="AA241" s="344">
        <f>(AA235+AA240)*fx!AA57</f>
        <v>0</v>
      </c>
      <c r="AB241" s="344">
        <f>(AB235+AB240)*fx!AB57</f>
        <v>0</v>
      </c>
      <c r="AC241" s="344">
        <f>(AC235+AC240)*fx!AC57</f>
        <v>0</v>
      </c>
      <c r="AD241" s="344">
        <f>(AD235+AD240)*fx!AD57</f>
        <v>0</v>
      </c>
      <c r="AE241" s="344">
        <f>(AE235+AE240)*fx!AE57</f>
        <v>0</v>
      </c>
      <c r="AF241" s="344">
        <f>(AF235+AF240)*fx!AF57</f>
        <v>0</v>
      </c>
      <c r="AG241" s="337"/>
      <c r="AH241" s="786"/>
      <c r="AI241" s="786"/>
      <c r="AJ241" s="418">
        <f>IF(fx!$C$57=1,SUMIF(fx!I$57:T$57,1,I241:T241),IF(fx!$C$57=2,SUMIF(fx!O$57:AF$57,1,O241:AF241)))</f>
        <v>0</v>
      </c>
      <c r="AK241" s="328"/>
      <c r="AL241" s="417">
        <f>IF(fx!$C$57=1,SUM(U241:AF241),0)</f>
        <v>0</v>
      </c>
      <c r="AM241" s="1009"/>
      <c r="AN241" s="1026"/>
      <c r="AO241" s="1945"/>
      <c r="AP241" s="1935"/>
      <c r="AQ241" s="1936"/>
      <c r="AR241" s="1941"/>
      <c r="AS241" s="1941"/>
      <c r="AT241" s="1941"/>
      <c r="AU241" s="1941"/>
      <c r="AV241" s="1941"/>
      <c r="AW241" s="1941"/>
      <c r="AX241" s="1941"/>
      <c r="AY241" s="1941"/>
      <c r="AZ241" s="1941"/>
      <c r="BA241" s="1941"/>
      <c r="BB241" s="1941"/>
      <c r="BC241" s="1941"/>
      <c r="BD241" s="1941"/>
      <c r="BE241" s="1941"/>
      <c r="BF241" s="1941"/>
      <c r="BG241" s="1941"/>
      <c r="BH241" s="1941"/>
      <c r="BI241" s="1941"/>
      <c r="BJ241" s="1941"/>
      <c r="BK241" s="1941"/>
      <c r="BL241" s="1941"/>
      <c r="BM241" s="1941"/>
      <c r="BN241" s="1941"/>
      <c r="BO241" s="1941"/>
      <c r="BP241" s="1009"/>
      <c r="BQ241" s="1009"/>
      <c r="BR241" s="1009"/>
      <c r="BS241" s="1009"/>
      <c r="BT241" s="1009"/>
      <c r="BU241" s="1009"/>
      <c r="BV241" s="1009"/>
      <c r="BW241" s="1009"/>
      <c r="BX241" s="1009"/>
      <c r="BY241" s="1009"/>
      <c r="BZ241" s="1009"/>
      <c r="CA241" s="1009"/>
      <c r="CB241" s="1009"/>
      <c r="CC241" s="1009"/>
      <c r="CD241" s="1009"/>
      <c r="CE241" s="1009"/>
      <c r="CF241" s="1009"/>
      <c r="CG241" s="1009"/>
      <c r="CH241" s="1009"/>
      <c r="CI241" s="1009"/>
      <c r="CJ241" s="1009"/>
      <c r="CK241" s="1009"/>
      <c r="CL241" s="1009"/>
      <c r="CM241" s="1009"/>
      <c r="CN241" s="1009"/>
      <c r="CO241" s="1009"/>
      <c r="CP241" s="1009"/>
      <c r="CQ241" s="1009"/>
      <c r="CR241" s="1009"/>
      <c r="CS241" s="1009"/>
      <c r="CT241" s="1009"/>
      <c r="CU241" s="1009"/>
      <c r="CV241" s="1009"/>
      <c r="CW241" s="1009"/>
      <c r="CX241" s="1009"/>
      <c r="CY241" s="1009"/>
      <c r="CZ241" s="1009"/>
      <c r="DA241" s="1009"/>
      <c r="DB241" s="1009"/>
      <c r="DC241" s="1009"/>
      <c r="DD241" s="1009"/>
      <c r="DE241" s="1009"/>
      <c r="DF241" s="1009"/>
      <c r="DG241" s="1009"/>
      <c r="DH241" s="1009"/>
      <c r="DI241" s="1009"/>
      <c r="DJ241" s="1009"/>
      <c r="DK241" s="1009"/>
      <c r="DL241" s="1009"/>
      <c r="DM241" s="1009"/>
      <c r="DN241" s="1009"/>
      <c r="DO241" s="1009"/>
      <c r="DP241" s="1009"/>
      <c r="DQ241" s="1009"/>
      <c r="DR241" s="1009"/>
      <c r="DS241" s="1009"/>
      <c r="DT241" s="1009"/>
      <c r="DU241" s="1009"/>
      <c r="DV241" s="1009"/>
      <c r="DW241" s="1009"/>
      <c r="DX241" s="1009"/>
      <c r="DY241" s="1009"/>
      <c r="DZ241" s="1009"/>
      <c r="EA241" s="1009"/>
      <c r="EB241" s="1009"/>
      <c r="EC241" s="1009"/>
      <c r="ED241" s="1009"/>
      <c r="EE241" s="1009"/>
      <c r="EF241" s="1009"/>
      <c r="EG241" s="1009"/>
      <c r="EH241" s="1009"/>
      <c r="EI241" s="1009"/>
      <c r="EJ241" s="1009"/>
      <c r="EK241" s="1009"/>
      <c r="EL241" s="1009"/>
      <c r="EM241" s="1009"/>
      <c r="EN241" s="1009"/>
      <c r="EO241" s="1009"/>
      <c r="EP241" s="1009"/>
      <c r="EQ241" s="1009"/>
      <c r="ER241" s="1009"/>
      <c r="ES241" s="1009"/>
      <c r="ET241" s="1009"/>
      <c r="EU241" s="1009"/>
      <c r="EV241" s="1009"/>
      <c r="EW241" s="1009"/>
      <c r="EX241" s="1009"/>
      <c r="EY241" s="1009"/>
      <c r="EZ241" s="1009"/>
      <c r="FA241" s="1009"/>
      <c r="FB241" s="1009"/>
      <c r="FC241" s="1009"/>
      <c r="FD241" s="1009"/>
      <c r="FE241" s="1009"/>
      <c r="FF241" s="1009"/>
      <c r="FG241" s="1009"/>
      <c r="FH241" s="1009"/>
      <c r="FI241" s="1009"/>
      <c r="FJ241" s="1009"/>
      <c r="FK241" s="1009"/>
      <c r="FL241" s="1009"/>
      <c r="FM241" s="1009"/>
      <c r="FN241" s="1009"/>
      <c r="FO241" s="1009"/>
      <c r="FP241" s="1009"/>
      <c r="FQ241" s="1009"/>
      <c r="FR241" s="1009"/>
      <c r="FS241" s="1009"/>
      <c r="FT241" s="1009"/>
      <c r="FU241" s="1009"/>
      <c r="FV241" s="1009"/>
      <c r="FW241" s="1009"/>
      <c r="FX241" s="1009"/>
      <c r="FY241" s="1009"/>
      <c r="FZ241" s="1009"/>
      <c r="GA241" s="1009"/>
      <c r="GB241" s="1009"/>
      <c r="GC241" s="1009"/>
      <c r="GD241" s="1009"/>
      <c r="GE241" s="1009"/>
      <c r="GF241" s="1009"/>
      <c r="GG241" s="1009"/>
      <c r="GH241" s="1009"/>
      <c r="GI241" s="1009"/>
      <c r="GJ241" s="1009"/>
      <c r="GK241" s="1009"/>
      <c r="GL241" s="1009"/>
      <c r="GM241" s="1009"/>
      <c r="GN241" s="1009"/>
      <c r="GO241" s="1009"/>
      <c r="GP241" s="1009"/>
      <c r="GQ241" s="1009"/>
      <c r="GR241" s="1009"/>
      <c r="GS241" s="1009"/>
      <c r="GT241" s="1009"/>
      <c r="GU241" s="1009"/>
      <c r="GV241" s="1009"/>
      <c r="GW241" s="1009"/>
      <c r="GX241" s="1009"/>
      <c r="GY241" s="1009"/>
      <c r="GZ241" s="1009"/>
      <c r="HA241" s="1009"/>
      <c r="HB241" s="1009"/>
      <c r="HC241" s="1009"/>
      <c r="HD241" s="1009"/>
      <c r="HE241" s="1009"/>
      <c r="HF241" s="1009"/>
      <c r="HG241" s="1009"/>
      <c r="HH241" s="1009"/>
      <c r="HI241" s="1009"/>
      <c r="HJ241" s="1009"/>
      <c r="HK241" s="1009"/>
      <c r="HL241" s="1009"/>
      <c r="HM241" s="1009"/>
      <c r="HN241" s="1009"/>
      <c r="HO241" s="1009"/>
      <c r="HP241" s="1009"/>
      <c r="HQ241" s="1009"/>
      <c r="HR241" s="1009"/>
      <c r="HS241" s="1009"/>
      <c r="HT241" s="1009"/>
      <c r="HU241" s="1009"/>
      <c r="HV241" s="1009"/>
      <c r="HW241" s="1009"/>
      <c r="HX241" s="1009"/>
      <c r="HY241" s="1009"/>
      <c r="HZ241" s="1009"/>
      <c r="IA241" s="1009"/>
      <c r="IB241" s="1009"/>
      <c r="IC241" s="1009"/>
      <c r="ID241" s="1009"/>
      <c r="IE241" s="1009"/>
      <c r="IF241" s="1009"/>
      <c r="IG241" s="1009"/>
      <c r="IH241" s="1009"/>
      <c r="II241" s="1009"/>
      <c r="IJ241" s="1009"/>
      <c r="IK241" s="1009"/>
      <c r="IL241" s="1009"/>
      <c r="IM241" s="1009"/>
      <c r="IN241" s="1009"/>
      <c r="IO241" s="1009"/>
      <c r="IP241" s="1009"/>
      <c r="IQ241" s="1009"/>
      <c r="IR241" s="1009"/>
      <c r="IS241" s="1009"/>
      <c r="IT241" s="1009"/>
      <c r="IU241" s="1009"/>
      <c r="IV241" s="1009"/>
      <c r="IW241" s="1009"/>
      <c r="IX241" s="1009"/>
      <c r="IY241" s="1009"/>
      <c r="IZ241" s="1009"/>
      <c r="JA241" s="1009"/>
      <c r="JB241" s="1009"/>
      <c r="JC241" s="1009"/>
      <c r="JD241" s="1009"/>
      <c r="JE241" s="1009"/>
      <c r="JF241" s="1009"/>
      <c r="JG241" s="1009"/>
      <c r="JH241" s="1009"/>
      <c r="JI241" s="1009"/>
      <c r="JJ241" s="1009"/>
      <c r="JK241" s="1009"/>
      <c r="JL241" s="1009"/>
      <c r="JM241" s="1009"/>
      <c r="JN241" s="1009"/>
      <c r="JO241" s="1009"/>
      <c r="JP241" s="1009"/>
      <c r="JQ241" s="1009"/>
      <c r="JR241" s="1009"/>
      <c r="JS241" s="1009"/>
      <c r="JT241" s="1009"/>
      <c r="JU241" s="1009"/>
      <c r="JV241" s="1009"/>
      <c r="JW241" s="1009"/>
      <c r="JX241" s="1009"/>
      <c r="JY241" s="1009"/>
      <c r="JZ241" s="1009"/>
      <c r="KA241" s="1009"/>
      <c r="KB241" s="1009"/>
      <c r="KC241" s="1009"/>
      <c r="KD241" s="1009"/>
      <c r="KE241" s="1009"/>
      <c r="KF241" s="1009"/>
      <c r="KG241" s="1009"/>
      <c r="KH241" s="1009"/>
      <c r="KI241" s="1009"/>
      <c r="KJ241" s="1009"/>
      <c r="KK241" s="1009"/>
      <c r="KL241" s="1009"/>
      <c r="KM241" s="1009"/>
      <c r="KN241" s="1009"/>
      <c r="KO241" s="1009"/>
      <c r="KP241" s="1009"/>
      <c r="KQ241" s="1009"/>
      <c r="KR241" s="1009"/>
      <c r="KS241" s="1009"/>
      <c r="KT241" s="1009"/>
      <c r="KU241" s="1009"/>
      <c r="KV241" s="1009"/>
      <c r="KW241" s="1009"/>
      <c r="KX241" s="1009"/>
      <c r="KY241" s="1009"/>
      <c r="KZ241" s="1009"/>
      <c r="LA241" s="1009"/>
      <c r="LB241" s="1009"/>
      <c r="LC241" s="1009"/>
      <c r="LD241" s="1009"/>
      <c r="LE241" s="1009"/>
      <c r="LF241" s="1009"/>
      <c r="LG241" s="1009"/>
      <c r="LH241" s="1009"/>
      <c r="LI241" s="1009"/>
      <c r="LJ241" s="1009"/>
      <c r="LK241" s="1009"/>
      <c r="LL241" s="1009"/>
      <c r="LM241" s="1009"/>
      <c r="LN241" s="1009"/>
      <c r="LO241" s="1009"/>
      <c r="LP241" s="1009"/>
      <c r="LQ241" s="1009"/>
      <c r="LR241" s="1009"/>
      <c r="LS241" s="1009"/>
      <c r="LT241" s="1009"/>
      <c r="LU241" s="1009"/>
      <c r="LV241" s="1009"/>
      <c r="LW241" s="1009"/>
      <c r="LX241" s="1009"/>
      <c r="LY241" s="1009"/>
      <c r="LZ241" s="1009"/>
      <c r="MA241" s="1009"/>
      <c r="MB241" s="1009"/>
      <c r="MC241" s="1009"/>
      <c r="MD241" s="1009"/>
      <c r="ME241" s="1009"/>
      <c r="MF241" s="1009"/>
      <c r="MG241" s="1009"/>
      <c r="MH241" s="1009"/>
      <c r="MI241" s="1009"/>
      <c r="MJ241" s="1009"/>
      <c r="MK241" s="1009"/>
      <c r="ML241" s="1009"/>
      <c r="MM241" s="1009"/>
      <c r="MN241" s="1009"/>
      <c r="MO241" s="1009"/>
      <c r="MP241" s="1009"/>
      <c r="MQ241" s="1009"/>
      <c r="MR241" s="1009"/>
      <c r="MS241" s="1009"/>
      <c r="MT241" s="1009"/>
      <c r="MU241" s="1009"/>
      <c r="MV241" s="1009"/>
      <c r="MW241" s="1009"/>
      <c r="MX241" s="1009"/>
      <c r="MY241" s="1009"/>
      <c r="MZ241" s="1009"/>
      <c r="NA241" s="1009"/>
      <c r="NB241" s="1009"/>
      <c r="NC241" s="1009"/>
      <c r="ND241" s="1009"/>
      <c r="NE241" s="1009"/>
      <c r="NF241" s="1009"/>
      <c r="NG241" s="1009"/>
      <c r="NH241" s="1009"/>
      <c r="NI241" s="1009"/>
      <c r="NJ241" s="1009"/>
      <c r="NK241" s="1009"/>
      <c r="NL241" s="1009"/>
      <c r="NM241" s="1009"/>
      <c r="NN241" s="1009"/>
      <c r="NO241" s="1009"/>
      <c r="NP241" s="1009"/>
      <c r="NQ241" s="1009"/>
      <c r="NR241" s="1009"/>
      <c r="NS241" s="1009"/>
      <c r="NT241" s="1009"/>
      <c r="NU241" s="1009"/>
      <c r="NV241" s="1009"/>
      <c r="NW241" s="1009"/>
      <c r="NX241" s="1009"/>
      <c r="NY241" s="1009"/>
      <c r="NZ241" s="1009"/>
      <c r="OA241" s="1009"/>
      <c r="OB241" s="1009"/>
      <c r="OC241" s="1009"/>
      <c r="OD241" s="1009"/>
      <c r="OE241" s="1009"/>
      <c r="OF241" s="1009"/>
      <c r="OG241" s="1009"/>
      <c r="OH241" s="1009"/>
      <c r="OI241" s="1009"/>
      <c r="OJ241" s="1009"/>
      <c r="OK241" s="1009"/>
      <c r="OL241" s="1009"/>
      <c r="OM241" s="1009"/>
      <c r="ON241" s="1009"/>
      <c r="OO241" s="1009"/>
      <c r="OP241" s="1009"/>
      <c r="OQ241" s="1009"/>
      <c r="OR241" s="1009"/>
      <c r="OS241" s="1009"/>
      <c r="OT241" s="1009"/>
      <c r="OU241" s="1009"/>
      <c r="OV241" s="1009"/>
      <c r="OW241" s="1009"/>
      <c r="OX241" s="1009"/>
      <c r="OY241" s="1009"/>
      <c r="OZ241" s="1009"/>
      <c r="PA241" s="1009"/>
      <c r="PB241" s="1009"/>
      <c r="PC241" s="1009"/>
      <c r="PD241" s="1009"/>
      <c r="PE241" s="1009"/>
      <c r="PF241" s="1009"/>
      <c r="PG241" s="1009"/>
      <c r="PH241" s="1009"/>
      <c r="PI241" s="1009"/>
      <c r="PJ241" s="1009"/>
      <c r="PK241" s="1009"/>
      <c r="PL241" s="1009"/>
      <c r="PM241" s="1009"/>
      <c r="PN241" s="1009"/>
      <c r="PO241" s="1009"/>
      <c r="PP241" s="1009"/>
      <c r="PQ241" s="1009"/>
      <c r="PR241" s="1009"/>
      <c r="PS241" s="1009"/>
      <c r="PT241" s="1009"/>
      <c r="PU241" s="1009"/>
      <c r="PV241" s="1009"/>
      <c r="PW241" s="1009"/>
      <c r="PX241" s="1009"/>
      <c r="PY241" s="1009"/>
      <c r="PZ241" s="1009"/>
      <c r="QA241" s="1009"/>
      <c r="QB241" s="1009"/>
      <c r="QC241" s="1009"/>
      <c r="QD241" s="1009"/>
      <c r="QE241" s="1009"/>
      <c r="QF241" s="1009"/>
      <c r="QG241" s="1009"/>
      <c r="QH241" s="1009"/>
      <c r="QI241" s="1009"/>
      <c r="QJ241" s="1009"/>
      <c r="QK241" s="1009"/>
      <c r="QL241" s="1009"/>
      <c r="QM241" s="1009"/>
      <c r="QN241" s="1009"/>
      <c r="QO241" s="1009"/>
      <c r="QP241" s="1009"/>
      <c r="QQ241" s="1009"/>
      <c r="QR241" s="1009"/>
      <c r="QS241" s="1009"/>
      <c r="QT241" s="1009"/>
      <c r="QU241" s="1009"/>
      <c r="QV241" s="1009"/>
      <c r="QW241" s="1009"/>
      <c r="QX241" s="1009"/>
      <c r="QY241" s="1009"/>
      <c r="QZ241" s="1009"/>
      <c r="RA241" s="1009"/>
      <c r="RB241" s="1009"/>
      <c r="RC241" s="1009"/>
      <c r="RD241" s="1009"/>
      <c r="RE241" s="1009"/>
      <c r="RF241" s="1009"/>
      <c r="RG241" s="1009"/>
      <c r="RH241" s="1009"/>
      <c r="RI241" s="1009"/>
      <c r="RJ241" s="1009"/>
      <c r="RK241" s="1009"/>
      <c r="RL241" s="1009"/>
      <c r="RM241" s="1009"/>
      <c r="RN241" s="1009"/>
      <c r="RO241" s="1009"/>
      <c r="RP241" s="1009"/>
      <c r="RQ241" s="1009"/>
      <c r="RR241" s="1009"/>
      <c r="RS241" s="1009"/>
      <c r="RT241" s="1009"/>
      <c r="RU241" s="1009"/>
      <c r="RV241" s="1009"/>
      <c r="RW241" s="1009"/>
      <c r="RX241" s="1009"/>
      <c r="RY241" s="1009"/>
      <c r="RZ241" s="1009"/>
      <c r="SA241" s="1009"/>
      <c r="SB241" s="1009"/>
      <c r="SC241" s="1009"/>
      <c r="SD241" s="1009"/>
      <c r="SE241" s="1009"/>
      <c r="SF241" s="1009"/>
      <c r="SG241" s="1009"/>
      <c r="SH241" s="1009"/>
      <c r="SI241" s="1009"/>
      <c r="SJ241" s="1009"/>
      <c r="SK241" s="1009"/>
      <c r="SL241" s="1009"/>
      <c r="SM241" s="1009"/>
      <c r="SN241" s="1009"/>
      <c r="SO241" s="1009"/>
      <c r="SP241" s="1009"/>
      <c r="SQ241" s="1009"/>
      <c r="SR241" s="1009"/>
      <c r="SS241" s="1009"/>
      <c r="ST241" s="1009"/>
      <c r="SU241" s="1009"/>
      <c r="SV241" s="1009"/>
      <c r="SW241" s="1009"/>
      <c r="SX241" s="1009"/>
      <c r="SY241" s="1009"/>
      <c r="SZ241" s="1009"/>
      <c r="TA241" s="1009"/>
      <c r="TB241" s="1009"/>
      <c r="TC241" s="1009"/>
      <c r="TD241" s="1009"/>
      <c r="TE241" s="1009"/>
      <c r="TF241" s="1009"/>
      <c r="TG241" s="1009"/>
      <c r="TH241" s="1009"/>
      <c r="TI241" s="1009"/>
      <c r="TJ241" s="1009"/>
      <c r="TK241" s="1009"/>
      <c r="TL241" s="1009"/>
      <c r="TM241" s="1009"/>
      <c r="TN241" s="1009"/>
      <c r="TO241" s="1009"/>
      <c r="TP241" s="1009"/>
      <c r="TQ241" s="1009"/>
      <c r="TR241" s="1009"/>
      <c r="TS241" s="1009"/>
      <c r="TT241" s="1009"/>
      <c r="TU241" s="1009"/>
      <c r="TV241" s="1009"/>
      <c r="TW241" s="1009"/>
      <c r="TX241" s="1009"/>
      <c r="TY241" s="1009"/>
      <c r="TZ241" s="1009"/>
      <c r="UA241" s="1009"/>
      <c r="UB241" s="1009"/>
      <c r="UC241" s="1009"/>
      <c r="UD241" s="1009"/>
      <c r="UE241" s="1009"/>
      <c r="UF241" s="1009"/>
      <c r="UG241" s="1009"/>
      <c r="UH241" s="1009"/>
      <c r="UI241" s="1009"/>
      <c r="UJ241" s="1009"/>
      <c r="UK241" s="1009"/>
      <c r="UL241" s="1009"/>
      <c r="UM241" s="1009"/>
      <c r="UN241" s="1009"/>
      <c r="UO241" s="1009"/>
      <c r="UP241" s="1009"/>
      <c r="UQ241" s="1009"/>
      <c r="UR241" s="1009"/>
      <c r="US241" s="1009"/>
      <c r="UT241" s="1009"/>
      <c r="UU241" s="1009"/>
      <c r="UV241" s="1009"/>
      <c r="UW241" s="1009"/>
      <c r="UX241" s="1009"/>
      <c r="UY241" s="1009"/>
      <c r="UZ241" s="1009"/>
      <c r="VA241" s="1009"/>
      <c r="VB241" s="1009"/>
      <c r="VC241" s="1009"/>
      <c r="VD241" s="1009"/>
      <c r="VE241" s="1009"/>
      <c r="VF241" s="1009"/>
      <c r="VG241" s="1009"/>
      <c r="VH241" s="1009"/>
      <c r="VI241" s="1009"/>
      <c r="VJ241" s="1009"/>
      <c r="VK241" s="1009"/>
      <c r="VL241" s="1009"/>
      <c r="VM241" s="1009"/>
      <c r="VN241" s="1009"/>
      <c r="VO241" s="1009"/>
      <c r="VP241" s="1009"/>
      <c r="VQ241" s="1009"/>
      <c r="VR241" s="1009"/>
      <c r="VS241" s="1009"/>
      <c r="VT241" s="1009"/>
      <c r="VU241" s="1009"/>
      <c r="VV241" s="1009"/>
      <c r="VW241" s="1009"/>
      <c r="VX241" s="1009"/>
      <c r="VY241" s="1009"/>
      <c r="VZ241" s="1009"/>
      <c r="WA241" s="1009"/>
      <c r="WB241" s="1009"/>
      <c r="WC241" s="1009"/>
      <c r="WD241" s="1009"/>
      <c r="WE241" s="1009"/>
      <c r="WF241" s="1009"/>
      <c r="WG241" s="1009"/>
      <c r="WH241" s="1009"/>
      <c r="WI241" s="1009"/>
      <c r="WJ241" s="1009"/>
      <c r="WK241" s="1009"/>
      <c r="WL241" s="1009"/>
      <c r="WM241" s="1009"/>
      <c r="WN241" s="1009"/>
      <c r="WO241" s="1009"/>
      <c r="WP241" s="1009"/>
      <c r="WQ241" s="1009"/>
      <c r="WR241" s="1009"/>
      <c r="WS241" s="1009"/>
      <c r="WT241" s="1009"/>
      <c r="WU241" s="1009"/>
      <c r="WV241" s="1009"/>
      <c r="WW241" s="1009"/>
      <c r="WX241" s="1009"/>
      <c r="WY241" s="1009"/>
      <c r="WZ241" s="1009"/>
      <c r="XA241" s="1009"/>
      <c r="XB241" s="1009"/>
      <c r="XC241" s="1009"/>
      <c r="XD241" s="1009"/>
      <c r="XE241" s="1009"/>
      <c r="XF241" s="1009"/>
      <c r="XG241" s="1009"/>
      <c r="XH241" s="1009"/>
      <c r="XI241" s="1009"/>
      <c r="XJ241" s="1009"/>
      <c r="XK241" s="1009"/>
      <c r="XL241" s="1009"/>
      <c r="XM241" s="1009"/>
      <c r="XN241" s="1009"/>
      <c r="XO241" s="1009"/>
      <c r="XP241" s="1009"/>
      <c r="XQ241" s="1009"/>
      <c r="XR241" s="1009"/>
      <c r="XS241" s="1009"/>
      <c r="XT241" s="1009"/>
      <c r="XU241" s="1009"/>
      <c r="XV241" s="1009"/>
      <c r="XW241" s="1009"/>
      <c r="XX241" s="1009"/>
      <c r="XY241" s="1009"/>
      <c r="XZ241" s="1009"/>
      <c r="YA241" s="1009"/>
      <c r="YB241" s="1009"/>
      <c r="YC241" s="1009"/>
      <c r="YD241" s="1009"/>
      <c r="YE241" s="1009"/>
      <c r="YF241" s="1009"/>
      <c r="YG241" s="1009"/>
      <c r="YH241" s="1009"/>
      <c r="YI241" s="1009"/>
      <c r="YJ241" s="1009"/>
      <c r="YK241" s="1009"/>
      <c r="YL241" s="1009"/>
      <c r="YM241" s="1009"/>
      <c r="YN241" s="1009"/>
      <c r="YO241" s="1009"/>
      <c r="YP241" s="1009"/>
      <c r="YQ241" s="1009"/>
      <c r="YR241" s="1009"/>
      <c r="YS241" s="1009"/>
      <c r="YT241" s="1009"/>
      <c r="YU241" s="1009"/>
      <c r="YV241" s="1009"/>
      <c r="YW241" s="1009"/>
      <c r="YX241" s="1009"/>
      <c r="YY241" s="1009"/>
      <c r="YZ241" s="1009"/>
      <c r="ZA241" s="1009"/>
      <c r="ZB241" s="1009"/>
      <c r="ZC241" s="1009"/>
      <c r="ZD241" s="1009"/>
      <c r="ZE241" s="1009"/>
      <c r="ZF241" s="1009"/>
      <c r="ZG241" s="1009"/>
      <c r="ZH241" s="1009"/>
      <c r="ZI241" s="1009"/>
      <c r="ZJ241" s="1009"/>
      <c r="ZK241" s="1009"/>
      <c r="ZL241" s="1009"/>
      <c r="ZM241" s="1009"/>
      <c r="ZN241" s="1009"/>
      <c r="ZO241" s="1009"/>
      <c r="ZP241" s="1009"/>
      <c r="ZQ241" s="1009"/>
      <c r="ZR241" s="1009"/>
      <c r="ZS241" s="1009"/>
      <c r="ZT241" s="1009"/>
      <c r="ZU241" s="1009"/>
      <c r="ZV241" s="1009"/>
      <c r="ZW241" s="1009"/>
      <c r="ZX241" s="1009"/>
      <c r="ZY241" s="1009"/>
      <c r="ZZ241" s="1009"/>
      <c r="AAA241" s="1009"/>
      <c r="AAB241" s="1009"/>
      <c r="AAC241" s="1009"/>
      <c r="AAD241" s="1009"/>
      <c r="AAE241" s="1009"/>
      <c r="AAF241" s="1009"/>
      <c r="AAG241" s="1009"/>
      <c r="AAH241" s="1009"/>
      <c r="AAI241" s="1009"/>
      <c r="AAJ241" s="1009"/>
      <c r="AAK241" s="1009"/>
      <c r="AAL241" s="1009"/>
      <c r="AAM241" s="1009"/>
      <c r="AAN241" s="1009"/>
      <c r="AAO241" s="1009"/>
      <c r="AAP241" s="1009"/>
      <c r="AAQ241" s="1009"/>
      <c r="AAR241" s="1009"/>
      <c r="AAS241" s="1009"/>
      <c r="AAT241" s="1009"/>
      <c r="AAU241" s="1009"/>
      <c r="AAV241" s="1009"/>
      <c r="AAW241" s="1009"/>
      <c r="AAX241" s="1009"/>
      <c r="AAY241" s="1009"/>
      <c r="AAZ241" s="1009"/>
      <c r="ABA241" s="1009"/>
      <c r="ABB241" s="1009"/>
      <c r="ABC241" s="1009"/>
      <c r="ABD241" s="1009"/>
      <c r="ABE241" s="1009"/>
      <c r="ABF241" s="1009"/>
      <c r="ABG241" s="1009"/>
      <c r="ABH241" s="1009"/>
      <c r="ABI241" s="1009"/>
      <c r="ABJ241" s="1009"/>
      <c r="ABK241" s="1009"/>
      <c r="ABL241" s="1009"/>
      <c r="ABM241" s="1009"/>
      <c r="ABN241" s="1009"/>
      <c r="ABO241" s="1009"/>
      <c r="ABP241" s="1009"/>
      <c r="ABQ241" s="1009"/>
      <c r="ABR241" s="1009"/>
    </row>
    <row r="242" spans="1:746" s="111" customFormat="1" ht="12" customHeight="1">
      <c r="A242" s="789"/>
      <c r="B242" s="1772"/>
      <c r="C242" s="1315"/>
      <c r="D242" s="1315"/>
      <c r="E242" s="2245"/>
      <c r="F242" s="2245"/>
      <c r="G242" s="2245"/>
      <c r="H242" s="2246"/>
      <c r="I242" s="2570" t="str">
        <f>IF(fx!I$57=0,"&gt;&gt;",IF($L$4=I$6,"","Välj 1-12 i P4"))</f>
        <v/>
      </c>
      <c r="J242" s="1843" t="str">
        <f>IF(fx!J$57=0,"&gt;&gt;",IF($L$4=J$6,"Startmånad",""))</f>
        <v/>
      </c>
      <c r="K242" s="1843" t="str">
        <f>IF(fx!K$57=0,"&gt;&gt;",IF($L$4=K$6,"Startmånad",""))</f>
        <v/>
      </c>
      <c r="L242" s="1843" t="str">
        <f>IF(fx!L$57=0,"&gt;&gt;",IF($L$4=L$6,"Startmånad",""))</f>
        <v/>
      </c>
      <c r="M242" s="1843" t="str">
        <f>IF(fx!M$57=0,"&gt;&gt;",IF($L$4=M$6,"Startmånad",""))</f>
        <v/>
      </c>
      <c r="N242" s="1843" t="str">
        <f>IF(fx!N$57=0,"&gt;&gt;",IF($L$4=N$6,"Startmånad",""))</f>
        <v/>
      </c>
      <c r="O242" s="1843" t="str">
        <f>IF(AND(fx!$C$57=1,fx!O$57=0),"&gt;&gt;",IF(AND(fx!$C$57=1,$L$4=$O$6),"Startmånad",IF(AND(fx!$C$57=2,$L$4&lt;7),"Välj 7-12 i P4",IF(AND(fx!$C$57=2,$L$4=$O$6),"Startmånad",IF(AND(fx!$C$57=2,$L$4&gt;$O$6),"&gt;&gt;","")))))</f>
        <v/>
      </c>
      <c r="P242" s="1843" t="str">
        <f>IF(fx!P$57=0,"&gt;&gt;",IF($L$4=P$6,"Startmånad",""))</f>
        <v/>
      </c>
      <c r="Q242" s="1843" t="str">
        <f>IF(fx!Q$57=0,"&gt;&gt;",IF($L$4=Q$6,"Startmånad",""))</f>
        <v/>
      </c>
      <c r="R242" s="1843" t="str">
        <f>IF(fx!R$57=0,"&gt;&gt;",IF($L$4=R$6,"Startmånad",""))</f>
        <v/>
      </c>
      <c r="S242" s="1843" t="str">
        <f>IF(fx!S$57=0,"&gt;&gt;",IF($L$4=S$6,"Startmånad",""))</f>
        <v/>
      </c>
      <c r="T242" s="2721" t="str">
        <f>IF(fx!T$57=0,"&gt;&gt;",IF($L$4=T$6,"Startmånad",""))</f>
        <v/>
      </c>
      <c r="U242" s="2722"/>
      <c r="V242" s="337"/>
      <c r="W242" s="337"/>
      <c r="X242" s="337"/>
      <c r="Y242" s="337"/>
      <c r="Z242" s="337"/>
      <c r="AA242" s="337"/>
      <c r="AB242" s="337"/>
      <c r="AC242" s="337"/>
      <c r="AD242" s="337"/>
      <c r="AE242" s="337"/>
      <c r="AF242" s="2247"/>
      <c r="AG242" s="337"/>
      <c r="AH242" s="786"/>
      <c r="AI242" s="786"/>
      <c r="AJ242" s="1044"/>
      <c r="AK242" s="1047"/>
      <c r="AL242" s="1044"/>
      <c r="AM242" s="1009"/>
      <c r="AN242" s="1026"/>
      <c r="AO242" s="1945"/>
      <c r="AP242" s="1935"/>
      <c r="AQ242" s="1936"/>
      <c r="AR242" s="1941"/>
      <c r="AS242" s="1941"/>
      <c r="AT242" s="1941"/>
      <c r="AU242" s="1941"/>
      <c r="AV242" s="1941"/>
      <c r="AW242" s="1941"/>
      <c r="AX242" s="1941"/>
      <c r="AY242" s="1941"/>
      <c r="AZ242" s="1941"/>
      <c r="BA242" s="1941"/>
      <c r="BB242" s="1941"/>
      <c r="BC242" s="1941"/>
      <c r="BD242" s="1941"/>
      <c r="BE242" s="1941"/>
      <c r="BF242" s="1941"/>
      <c r="BG242" s="1941"/>
      <c r="BH242" s="1941"/>
      <c r="BI242" s="1941"/>
      <c r="BJ242" s="1941"/>
      <c r="BK242" s="1941"/>
      <c r="BL242" s="1941"/>
      <c r="BM242" s="1941"/>
      <c r="BN242" s="1941"/>
      <c r="BO242" s="1941"/>
      <c r="BP242" s="1009"/>
      <c r="BQ242" s="1009"/>
      <c r="BR242" s="1009"/>
      <c r="BS242" s="1009"/>
      <c r="BT242" s="1009"/>
      <c r="BU242" s="1009"/>
      <c r="BV242" s="1009"/>
      <c r="BW242" s="1009"/>
      <c r="BX242" s="1009"/>
      <c r="BY242" s="1009"/>
      <c r="BZ242" s="1009"/>
      <c r="CA242" s="1009"/>
      <c r="CB242" s="1009"/>
      <c r="CC242" s="1009"/>
      <c r="CD242" s="1009"/>
      <c r="CE242" s="1009"/>
      <c r="CF242" s="1009"/>
      <c r="CG242" s="1009"/>
      <c r="CH242" s="1009"/>
      <c r="CI242" s="1009"/>
      <c r="CJ242" s="1009"/>
      <c r="CK242" s="1009"/>
      <c r="CL242" s="1009"/>
      <c r="CM242" s="1009"/>
      <c r="CN242" s="1009"/>
      <c r="CO242" s="1009"/>
      <c r="CP242" s="1009"/>
      <c r="CQ242" s="1009"/>
      <c r="CR242" s="1009"/>
      <c r="CS242" s="1009"/>
      <c r="CT242" s="1009"/>
      <c r="CU242" s="1009"/>
      <c r="CV242" s="1009"/>
      <c r="CW242" s="1009"/>
      <c r="CX242" s="1009"/>
      <c r="CY242" s="1009"/>
      <c r="CZ242" s="1009"/>
      <c r="DA242" s="1009"/>
      <c r="DB242" s="1009"/>
      <c r="DC242" s="1009"/>
      <c r="DD242" s="1009"/>
      <c r="DE242" s="1009"/>
      <c r="DF242" s="1009"/>
      <c r="DG242" s="1009"/>
      <c r="DH242" s="1009"/>
      <c r="DI242" s="1009"/>
      <c r="DJ242" s="1009"/>
      <c r="DK242" s="1009"/>
      <c r="DL242" s="1009"/>
      <c r="DM242" s="1009"/>
      <c r="DN242" s="1009"/>
      <c r="DO242" s="1009"/>
      <c r="DP242" s="1009"/>
      <c r="DQ242" s="1009"/>
      <c r="DR242" s="1009"/>
      <c r="DS242" s="1009"/>
      <c r="DT242" s="1009"/>
      <c r="DU242" s="1009"/>
      <c r="DV242" s="1009"/>
      <c r="DW242" s="1009"/>
      <c r="DX242" s="1009"/>
      <c r="DY242" s="1009"/>
      <c r="DZ242" s="1009"/>
      <c r="EA242" s="1009"/>
      <c r="EB242" s="1009"/>
      <c r="EC242" s="1009"/>
      <c r="ED242" s="1009"/>
      <c r="EE242" s="1009"/>
      <c r="EF242" s="1009"/>
      <c r="EG242" s="1009"/>
      <c r="EH242" s="1009"/>
      <c r="EI242" s="1009"/>
      <c r="EJ242" s="1009"/>
      <c r="EK242" s="1009"/>
      <c r="EL242" s="1009"/>
      <c r="EM242" s="1009"/>
      <c r="EN242" s="1009"/>
      <c r="EO242" s="1009"/>
      <c r="EP242" s="1009"/>
      <c r="EQ242" s="1009"/>
      <c r="ER242" s="1009"/>
      <c r="ES242" s="1009"/>
      <c r="ET242" s="1009"/>
      <c r="EU242" s="1009"/>
      <c r="EV242" s="1009"/>
      <c r="EW242" s="1009"/>
      <c r="EX242" s="1009"/>
      <c r="EY242" s="1009"/>
      <c r="EZ242" s="1009"/>
      <c r="FA242" s="1009"/>
      <c r="FB242" s="1009"/>
      <c r="FC242" s="1009"/>
      <c r="FD242" s="1009"/>
      <c r="FE242" s="1009"/>
      <c r="FF242" s="1009"/>
      <c r="FG242" s="1009"/>
      <c r="FH242" s="1009"/>
      <c r="FI242" s="1009"/>
      <c r="FJ242" s="1009"/>
      <c r="FK242" s="1009"/>
      <c r="FL242" s="1009"/>
      <c r="FM242" s="1009"/>
      <c r="FN242" s="1009"/>
      <c r="FO242" s="1009"/>
      <c r="FP242" s="1009"/>
      <c r="FQ242" s="1009"/>
      <c r="FR242" s="1009"/>
      <c r="FS242" s="1009"/>
      <c r="FT242" s="1009"/>
      <c r="FU242" s="1009"/>
      <c r="FV242" s="1009"/>
      <c r="FW242" s="1009"/>
      <c r="FX242" s="1009"/>
      <c r="FY242" s="1009"/>
      <c r="FZ242" s="1009"/>
      <c r="GA242" s="1009"/>
      <c r="GB242" s="1009"/>
      <c r="GC242" s="1009"/>
      <c r="GD242" s="1009"/>
      <c r="GE242" s="1009"/>
      <c r="GF242" s="1009"/>
      <c r="GG242" s="1009"/>
      <c r="GH242" s="1009"/>
      <c r="GI242" s="1009"/>
      <c r="GJ242" s="1009"/>
      <c r="GK242" s="1009"/>
      <c r="GL242" s="1009"/>
      <c r="GM242" s="1009"/>
      <c r="GN242" s="1009"/>
      <c r="GO242" s="1009"/>
      <c r="GP242" s="1009"/>
      <c r="GQ242" s="1009"/>
      <c r="GR242" s="1009"/>
      <c r="GS242" s="1009"/>
      <c r="GT242" s="1009"/>
      <c r="GU242" s="1009"/>
      <c r="GV242" s="1009"/>
      <c r="GW242" s="1009"/>
      <c r="GX242" s="1009"/>
      <c r="GY242" s="1009"/>
      <c r="GZ242" s="1009"/>
      <c r="HA242" s="1009"/>
      <c r="HB242" s="1009"/>
      <c r="HC242" s="1009"/>
      <c r="HD242" s="1009"/>
      <c r="HE242" s="1009"/>
      <c r="HF242" s="1009"/>
      <c r="HG242" s="1009"/>
      <c r="HH242" s="1009"/>
      <c r="HI242" s="1009"/>
      <c r="HJ242" s="1009"/>
      <c r="HK242" s="1009"/>
      <c r="HL242" s="1009"/>
      <c r="HM242" s="1009"/>
      <c r="HN242" s="1009"/>
      <c r="HO242" s="1009"/>
      <c r="HP242" s="1009"/>
      <c r="HQ242" s="1009"/>
      <c r="HR242" s="1009"/>
      <c r="HS242" s="1009"/>
      <c r="HT242" s="1009"/>
      <c r="HU242" s="1009"/>
      <c r="HV242" s="1009"/>
      <c r="HW242" s="1009"/>
      <c r="HX242" s="1009"/>
      <c r="HY242" s="1009"/>
      <c r="HZ242" s="1009"/>
      <c r="IA242" s="1009"/>
      <c r="IB242" s="1009"/>
      <c r="IC242" s="1009"/>
      <c r="ID242" s="1009"/>
      <c r="IE242" s="1009"/>
      <c r="IF242" s="1009"/>
      <c r="IG242" s="1009"/>
      <c r="IH242" s="1009"/>
      <c r="II242" s="1009"/>
      <c r="IJ242" s="1009"/>
      <c r="IK242" s="1009"/>
      <c r="IL242" s="1009"/>
      <c r="IM242" s="1009"/>
      <c r="IN242" s="1009"/>
      <c r="IO242" s="1009"/>
      <c r="IP242" s="1009"/>
      <c r="IQ242" s="1009"/>
      <c r="IR242" s="1009"/>
      <c r="IS242" s="1009"/>
      <c r="IT242" s="1009"/>
      <c r="IU242" s="1009"/>
      <c r="IV242" s="1009"/>
      <c r="IW242" s="1009"/>
      <c r="IX242" s="1009"/>
      <c r="IY242" s="1009"/>
      <c r="IZ242" s="1009"/>
      <c r="JA242" s="1009"/>
      <c r="JB242" s="1009"/>
      <c r="JC242" s="1009"/>
      <c r="JD242" s="1009"/>
      <c r="JE242" s="1009"/>
      <c r="JF242" s="1009"/>
      <c r="JG242" s="1009"/>
      <c r="JH242" s="1009"/>
      <c r="JI242" s="1009"/>
      <c r="JJ242" s="1009"/>
      <c r="JK242" s="1009"/>
      <c r="JL242" s="1009"/>
      <c r="JM242" s="1009"/>
      <c r="JN242" s="1009"/>
      <c r="JO242" s="1009"/>
      <c r="JP242" s="1009"/>
      <c r="JQ242" s="1009"/>
      <c r="JR242" s="1009"/>
      <c r="JS242" s="1009"/>
      <c r="JT242" s="1009"/>
      <c r="JU242" s="1009"/>
      <c r="JV242" s="1009"/>
      <c r="JW242" s="1009"/>
      <c r="JX242" s="1009"/>
      <c r="JY242" s="1009"/>
      <c r="JZ242" s="1009"/>
      <c r="KA242" s="1009"/>
      <c r="KB242" s="1009"/>
      <c r="KC242" s="1009"/>
      <c r="KD242" s="1009"/>
      <c r="KE242" s="1009"/>
      <c r="KF242" s="1009"/>
      <c r="KG242" s="1009"/>
      <c r="KH242" s="1009"/>
      <c r="KI242" s="1009"/>
      <c r="KJ242" s="1009"/>
      <c r="KK242" s="1009"/>
      <c r="KL242" s="1009"/>
      <c r="KM242" s="1009"/>
      <c r="KN242" s="1009"/>
      <c r="KO242" s="1009"/>
      <c r="KP242" s="1009"/>
      <c r="KQ242" s="1009"/>
      <c r="KR242" s="1009"/>
      <c r="KS242" s="1009"/>
      <c r="KT242" s="1009"/>
      <c r="KU242" s="1009"/>
      <c r="KV242" s="1009"/>
      <c r="KW242" s="1009"/>
      <c r="KX242" s="1009"/>
      <c r="KY242" s="1009"/>
      <c r="KZ242" s="1009"/>
      <c r="LA242" s="1009"/>
      <c r="LB242" s="1009"/>
      <c r="LC242" s="1009"/>
      <c r="LD242" s="1009"/>
      <c r="LE242" s="1009"/>
      <c r="LF242" s="1009"/>
      <c r="LG242" s="1009"/>
      <c r="LH242" s="1009"/>
      <c r="LI242" s="1009"/>
      <c r="LJ242" s="1009"/>
      <c r="LK242" s="1009"/>
      <c r="LL242" s="1009"/>
      <c r="LM242" s="1009"/>
      <c r="LN242" s="1009"/>
      <c r="LO242" s="1009"/>
      <c r="LP242" s="1009"/>
      <c r="LQ242" s="1009"/>
      <c r="LR242" s="1009"/>
      <c r="LS242" s="1009"/>
      <c r="LT242" s="1009"/>
      <c r="LU242" s="1009"/>
      <c r="LV242" s="1009"/>
      <c r="LW242" s="1009"/>
      <c r="LX242" s="1009"/>
      <c r="LY242" s="1009"/>
      <c r="LZ242" s="1009"/>
      <c r="MA242" s="1009"/>
      <c r="MB242" s="1009"/>
      <c r="MC242" s="1009"/>
      <c r="MD242" s="1009"/>
      <c r="ME242" s="1009"/>
      <c r="MF242" s="1009"/>
      <c r="MG242" s="1009"/>
      <c r="MH242" s="1009"/>
      <c r="MI242" s="1009"/>
      <c r="MJ242" s="1009"/>
      <c r="MK242" s="1009"/>
      <c r="ML242" s="1009"/>
      <c r="MM242" s="1009"/>
      <c r="MN242" s="1009"/>
      <c r="MO242" s="1009"/>
      <c r="MP242" s="1009"/>
      <c r="MQ242" s="1009"/>
      <c r="MR242" s="1009"/>
      <c r="MS242" s="1009"/>
      <c r="MT242" s="1009"/>
      <c r="MU242" s="1009"/>
      <c r="MV242" s="1009"/>
      <c r="MW242" s="1009"/>
      <c r="MX242" s="1009"/>
      <c r="MY242" s="1009"/>
      <c r="MZ242" s="1009"/>
      <c r="NA242" s="1009"/>
      <c r="NB242" s="1009"/>
      <c r="NC242" s="1009"/>
      <c r="ND242" s="1009"/>
      <c r="NE242" s="1009"/>
      <c r="NF242" s="1009"/>
      <c r="NG242" s="1009"/>
      <c r="NH242" s="1009"/>
      <c r="NI242" s="1009"/>
      <c r="NJ242" s="1009"/>
      <c r="NK242" s="1009"/>
      <c r="NL242" s="1009"/>
      <c r="NM242" s="1009"/>
      <c r="NN242" s="1009"/>
      <c r="NO242" s="1009"/>
      <c r="NP242" s="1009"/>
      <c r="NQ242" s="1009"/>
      <c r="NR242" s="1009"/>
      <c r="NS242" s="1009"/>
      <c r="NT242" s="1009"/>
      <c r="NU242" s="1009"/>
      <c r="NV242" s="1009"/>
      <c r="NW242" s="1009"/>
      <c r="NX242" s="1009"/>
      <c r="NY242" s="1009"/>
      <c r="NZ242" s="1009"/>
      <c r="OA242" s="1009"/>
      <c r="OB242" s="1009"/>
      <c r="OC242" s="1009"/>
      <c r="OD242" s="1009"/>
      <c r="OE242" s="1009"/>
      <c r="OF242" s="1009"/>
      <c r="OG242" s="1009"/>
      <c r="OH242" s="1009"/>
      <c r="OI242" s="1009"/>
      <c r="OJ242" s="1009"/>
      <c r="OK242" s="1009"/>
      <c r="OL242" s="1009"/>
      <c r="OM242" s="1009"/>
      <c r="ON242" s="1009"/>
      <c r="OO242" s="1009"/>
      <c r="OP242" s="1009"/>
      <c r="OQ242" s="1009"/>
      <c r="OR242" s="1009"/>
      <c r="OS242" s="1009"/>
      <c r="OT242" s="1009"/>
      <c r="OU242" s="1009"/>
      <c r="OV242" s="1009"/>
      <c r="OW242" s="1009"/>
      <c r="OX242" s="1009"/>
      <c r="OY242" s="1009"/>
      <c r="OZ242" s="1009"/>
      <c r="PA242" s="1009"/>
      <c r="PB242" s="1009"/>
      <c r="PC242" s="1009"/>
      <c r="PD242" s="1009"/>
      <c r="PE242" s="1009"/>
      <c r="PF242" s="1009"/>
      <c r="PG242" s="1009"/>
      <c r="PH242" s="1009"/>
      <c r="PI242" s="1009"/>
      <c r="PJ242" s="1009"/>
      <c r="PK242" s="1009"/>
      <c r="PL242" s="1009"/>
      <c r="PM242" s="1009"/>
      <c r="PN242" s="1009"/>
      <c r="PO242" s="1009"/>
      <c r="PP242" s="1009"/>
      <c r="PQ242" s="1009"/>
      <c r="PR242" s="1009"/>
      <c r="PS242" s="1009"/>
      <c r="PT242" s="1009"/>
      <c r="PU242" s="1009"/>
      <c r="PV242" s="1009"/>
      <c r="PW242" s="1009"/>
      <c r="PX242" s="1009"/>
      <c r="PY242" s="1009"/>
      <c r="PZ242" s="1009"/>
      <c r="QA242" s="1009"/>
      <c r="QB242" s="1009"/>
      <c r="QC242" s="1009"/>
      <c r="QD242" s="1009"/>
      <c r="QE242" s="1009"/>
      <c r="QF242" s="1009"/>
      <c r="QG242" s="1009"/>
      <c r="QH242" s="1009"/>
      <c r="QI242" s="1009"/>
      <c r="QJ242" s="1009"/>
      <c r="QK242" s="1009"/>
      <c r="QL242" s="1009"/>
      <c r="QM242" s="1009"/>
      <c r="QN242" s="1009"/>
      <c r="QO242" s="1009"/>
      <c r="QP242" s="1009"/>
      <c r="QQ242" s="1009"/>
      <c r="QR242" s="1009"/>
      <c r="QS242" s="1009"/>
      <c r="QT242" s="1009"/>
      <c r="QU242" s="1009"/>
      <c r="QV242" s="1009"/>
      <c r="QW242" s="1009"/>
      <c r="QX242" s="1009"/>
      <c r="QY242" s="1009"/>
      <c r="QZ242" s="1009"/>
      <c r="RA242" s="1009"/>
      <c r="RB242" s="1009"/>
      <c r="RC242" s="1009"/>
      <c r="RD242" s="1009"/>
      <c r="RE242" s="1009"/>
      <c r="RF242" s="1009"/>
      <c r="RG242" s="1009"/>
      <c r="RH242" s="1009"/>
      <c r="RI242" s="1009"/>
      <c r="RJ242" s="1009"/>
      <c r="RK242" s="1009"/>
      <c r="RL242" s="1009"/>
      <c r="RM242" s="1009"/>
      <c r="RN242" s="1009"/>
      <c r="RO242" s="1009"/>
      <c r="RP242" s="1009"/>
      <c r="RQ242" s="1009"/>
      <c r="RR242" s="1009"/>
      <c r="RS242" s="1009"/>
      <c r="RT242" s="1009"/>
      <c r="RU242" s="1009"/>
      <c r="RV242" s="1009"/>
      <c r="RW242" s="1009"/>
      <c r="RX242" s="1009"/>
      <c r="RY242" s="1009"/>
      <c r="RZ242" s="1009"/>
      <c r="SA242" s="1009"/>
      <c r="SB242" s="1009"/>
      <c r="SC242" s="1009"/>
      <c r="SD242" s="1009"/>
      <c r="SE242" s="1009"/>
      <c r="SF242" s="1009"/>
      <c r="SG242" s="1009"/>
      <c r="SH242" s="1009"/>
      <c r="SI242" s="1009"/>
      <c r="SJ242" s="1009"/>
      <c r="SK242" s="1009"/>
      <c r="SL242" s="1009"/>
      <c r="SM242" s="1009"/>
      <c r="SN242" s="1009"/>
      <c r="SO242" s="1009"/>
      <c r="SP242" s="1009"/>
      <c r="SQ242" s="1009"/>
      <c r="SR242" s="1009"/>
      <c r="SS242" s="1009"/>
      <c r="ST242" s="1009"/>
      <c r="SU242" s="1009"/>
      <c r="SV242" s="1009"/>
      <c r="SW242" s="1009"/>
      <c r="SX242" s="1009"/>
      <c r="SY242" s="1009"/>
      <c r="SZ242" s="1009"/>
      <c r="TA242" s="1009"/>
      <c r="TB242" s="1009"/>
      <c r="TC242" s="1009"/>
      <c r="TD242" s="1009"/>
      <c r="TE242" s="1009"/>
      <c r="TF242" s="1009"/>
      <c r="TG242" s="1009"/>
      <c r="TH242" s="1009"/>
      <c r="TI242" s="1009"/>
      <c r="TJ242" s="1009"/>
      <c r="TK242" s="1009"/>
      <c r="TL242" s="1009"/>
      <c r="TM242" s="1009"/>
      <c r="TN242" s="1009"/>
      <c r="TO242" s="1009"/>
      <c r="TP242" s="1009"/>
      <c r="TQ242" s="1009"/>
      <c r="TR242" s="1009"/>
      <c r="TS242" s="1009"/>
      <c r="TT242" s="1009"/>
      <c r="TU242" s="1009"/>
      <c r="TV242" s="1009"/>
      <c r="TW242" s="1009"/>
      <c r="TX242" s="1009"/>
      <c r="TY242" s="1009"/>
      <c r="TZ242" s="1009"/>
      <c r="UA242" s="1009"/>
      <c r="UB242" s="1009"/>
      <c r="UC242" s="1009"/>
      <c r="UD242" s="1009"/>
      <c r="UE242" s="1009"/>
      <c r="UF242" s="1009"/>
      <c r="UG242" s="1009"/>
      <c r="UH242" s="1009"/>
      <c r="UI242" s="1009"/>
      <c r="UJ242" s="1009"/>
      <c r="UK242" s="1009"/>
      <c r="UL242" s="1009"/>
      <c r="UM242" s="1009"/>
      <c r="UN242" s="1009"/>
      <c r="UO242" s="1009"/>
      <c r="UP242" s="1009"/>
      <c r="UQ242" s="1009"/>
      <c r="UR242" s="1009"/>
      <c r="US242" s="1009"/>
      <c r="UT242" s="1009"/>
      <c r="UU242" s="1009"/>
      <c r="UV242" s="1009"/>
      <c r="UW242" s="1009"/>
      <c r="UX242" s="1009"/>
      <c r="UY242" s="1009"/>
      <c r="UZ242" s="1009"/>
      <c r="VA242" s="1009"/>
      <c r="VB242" s="1009"/>
      <c r="VC242" s="1009"/>
      <c r="VD242" s="1009"/>
      <c r="VE242" s="1009"/>
      <c r="VF242" s="1009"/>
      <c r="VG242" s="1009"/>
      <c r="VH242" s="1009"/>
      <c r="VI242" s="1009"/>
      <c r="VJ242" s="1009"/>
      <c r="VK242" s="1009"/>
      <c r="VL242" s="1009"/>
      <c r="VM242" s="1009"/>
      <c r="VN242" s="1009"/>
      <c r="VO242" s="1009"/>
      <c r="VP242" s="1009"/>
      <c r="VQ242" s="1009"/>
      <c r="VR242" s="1009"/>
      <c r="VS242" s="1009"/>
      <c r="VT242" s="1009"/>
      <c r="VU242" s="1009"/>
      <c r="VV242" s="1009"/>
      <c r="VW242" s="1009"/>
      <c r="VX242" s="1009"/>
      <c r="VY242" s="1009"/>
      <c r="VZ242" s="1009"/>
      <c r="WA242" s="1009"/>
      <c r="WB242" s="1009"/>
      <c r="WC242" s="1009"/>
      <c r="WD242" s="1009"/>
      <c r="WE242" s="1009"/>
      <c r="WF242" s="1009"/>
      <c r="WG242" s="1009"/>
      <c r="WH242" s="1009"/>
      <c r="WI242" s="1009"/>
      <c r="WJ242" s="1009"/>
      <c r="WK242" s="1009"/>
      <c r="WL242" s="1009"/>
      <c r="WM242" s="1009"/>
      <c r="WN242" s="1009"/>
      <c r="WO242" s="1009"/>
      <c r="WP242" s="1009"/>
      <c r="WQ242" s="1009"/>
      <c r="WR242" s="1009"/>
      <c r="WS242" s="1009"/>
      <c r="WT242" s="1009"/>
      <c r="WU242" s="1009"/>
      <c r="WV242" s="1009"/>
      <c r="WW242" s="1009"/>
      <c r="WX242" s="1009"/>
      <c r="WY242" s="1009"/>
      <c r="WZ242" s="1009"/>
      <c r="XA242" s="1009"/>
      <c r="XB242" s="1009"/>
      <c r="XC242" s="1009"/>
      <c r="XD242" s="1009"/>
      <c r="XE242" s="1009"/>
      <c r="XF242" s="1009"/>
      <c r="XG242" s="1009"/>
      <c r="XH242" s="1009"/>
      <c r="XI242" s="1009"/>
      <c r="XJ242" s="1009"/>
      <c r="XK242" s="1009"/>
      <c r="XL242" s="1009"/>
      <c r="XM242" s="1009"/>
      <c r="XN242" s="1009"/>
      <c r="XO242" s="1009"/>
      <c r="XP242" s="1009"/>
      <c r="XQ242" s="1009"/>
      <c r="XR242" s="1009"/>
      <c r="XS242" s="1009"/>
      <c r="XT242" s="1009"/>
      <c r="XU242" s="1009"/>
      <c r="XV242" s="1009"/>
      <c r="XW242" s="1009"/>
      <c r="XX242" s="1009"/>
      <c r="XY242" s="1009"/>
      <c r="XZ242" s="1009"/>
      <c r="YA242" s="1009"/>
      <c r="YB242" s="1009"/>
      <c r="YC242" s="1009"/>
      <c r="YD242" s="1009"/>
      <c r="YE242" s="1009"/>
      <c r="YF242" s="1009"/>
      <c r="YG242" s="1009"/>
      <c r="YH242" s="1009"/>
      <c r="YI242" s="1009"/>
      <c r="YJ242" s="1009"/>
      <c r="YK242" s="1009"/>
      <c r="YL242" s="1009"/>
      <c r="YM242" s="1009"/>
      <c r="YN242" s="1009"/>
      <c r="YO242" s="1009"/>
      <c r="YP242" s="1009"/>
      <c r="YQ242" s="1009"/>
      <c r="YR242" s="1009"/>
      <c r="YS242" s="1009"/>
      <c r="YT242" s="1009"/>
      <c r="YU242" s="1009"/>
      <c r="YV242" s="1009"/>
      <c r="YW242" s="1009"/>
      <c r="YX242" s="1009"/>
      <c r="YY242" s="1009"/>
      <c r="YZ242" s="1009"/>
      <c r="ZA242" s="1009"/>
      <c r="ZB242" s="1009"/>
      <c r="ZC242" s="1009"/>
      <c r="ZD242" s="1009"/>
      <c r="ZE242" s="1009"/>
      <c r="ZF242" s="1009"/>
      <c r="ZG242" s="1009"/>
      <c r="ZH242" s="1009"/>
      <c r="ZI242" s="1009"/>
      <c r="ZJ242" s="1009"/>
      <c r="ZK242" s="1009"/>
      <c r="ZL242" s="1009"/>
      <c r="ZM242" s="1009"/>
      <c r="ZN242" s="1009"/>
      <c r="ZO242" s="1009"/>
      <c r="ZP242" s="1009"/>
      <c r="ZQ242" s="1009"/>
      <c r="ZR242" s="1009"/>
      <c r="ZS242" s="1009"/>
      <c r="ZT242" s="1009"/>
      <c r="ZU242" s="1009"/>
      <c r="ZV242" s="1009"/>
      <c r="ZW242" s="1009"/>
      <c r="ZX242" s="1009"/>
      <c r="ZY242" s="1009"/>
      <c r="ZZ242" s="1009"/>
      <c r="AAA242" s="1009"/>
      <c r="AAB242" s="1009"/>
      <c r="AAC242" s="1009"/>
      <c r="AAD242" s="1009"/>
      <c r="AAE242" s="1009"/>
      <c r="AAF242" s="1009"/>
      <c r="AAG242" s="1009"/>
      <c r="AAH242" s="1009"/>
      <c r="AAI242" s="1009"/>
      <c r="AAJ242" s="1009"/>
      <c r="AAK242" s="1009"/>
      <c r="AAL242" s="1009"/>
      <c r="AAM242" s="1009"/>
      <c r="AAN242" s="1009"/>
      <c r="AAO242" s="1009"/>
      <c r="AAP242" s="1009"/>
      <c r="AAQ242" s="1009"/>
      <c r="AAR242" s="1009"/>
      <c r="AAS242" s="1009"/>
      <c r="AAT242" s="1009"/>
      <c r="AAU242" s="1009"/>
      <c r="AAV242" s="1009"/>
      <c r="AAW242" s="1009"/>
      <c r="AAX242" s="1009"/>
      <c r="AAY242" s="1009"/>
      <c r="AAZ242" s="1009"/>
      <c r="ABA242" s="1009"/>
      <c r="ABB242" s="1009"/>
      <c r="ABC242" s="1009"/>
      <c r="ABD242" s="1009"/>
      <c r="ABE242" s="1009"/>
      <c r="ABF242" s="1009"/>
      <c r="ABG242" s="1009"/>
      <c r="ABH242" s="1009"/>
      <c r="ABI242" s="1009"/>
      <c r="ABJ242" s="1009"/>
      <c r="ABK242" s="1009"/>
      <c r="ABL242" s="1009"/>
      <c r="ABM242" s="1009"/>
      <c r="ABN242" s="1009"/>
      <c r="ABO242" s="1009"/>
      <c r="ABP242" s="1009"/>
      <c r="ABQ242" s="1009"/>
      <c r="ABR242" s="1009"/>
    </row>
    <row r="243" spans="1:746" s="111" customFormat="1" ht="12" customHeight="1">
      <c r="A243" s="2250"/>
      <c r="B243" s="2916" t="s">
        <v>1152</v>
      </c>
      <c r="C243" s="2917"/>
      <c r="D243" s="2917"/>
      <c r="E243" s="2917"/>
      <c r="F243" s="2917"/>
      <c r="G243" s="2917"/>
      <c r="H243" s="2918"/>
      <c r="I243" s="2596" t="s">
        <v>1154</v>
      </c>
      <c r="J243" s="867"/>
      <c r="K243" s="867"/>
      <c r="L243" s="867"/>
      <c r="M243" s="867"/>
      <c r="N243" s="867"/>
      <c r="O243" s="867"/>
      <c r="P243" s="867"/>
      <c r="Q243" s="867"/>
      <c r="R243" s="867"/>
      <c r="S243" s="867"/>
      <c r="T243" s="985"/>
      <c r="U243" s="994"/>
      <c r="V243" s="867"/>
      <c r="W243" s="867"/>
      <c r="X243" s="867"/>
      <c r="Y243" s="867"/>
      <c r="Z243" s="867"/>
      <c r="AA243" s="867"/>
      <c r="AB243" s="867"/>
      <c r="AC243" s="867"/>
      <c r="AD243" s="867"/>
      <c r="AE243" s="867"/>
      <c r="AF243" s="868"/>
      <c r="AG243" s="337"/>
      <c r="AH243" s="786"/>
      <c r="AI243" s="786"/>
      <c r="AJ243" s="1044"/>
      <c r="AK243" s="1047"/>
      <c r="AL243" s="1044"/>
      <c r="AM243" s="1009"/>
      <c r="AN243" s="1026"/>
      <c r="AO243" s="1945"/>
      <c r="AP243" s="1935"/>
      <c r="AQ243" s="1936"/>
      <c r="AR243" s="1941"/>
      <c r="AS243" s="1941"/>
      <c r="AT243" s="1941"/>
      <c r="AU243" s="1941"/>
      <c r="AV243" s="1941"/>
      <c r="AW243" s="1941"/>
      <c r="AX243" s="1941"/>
      <c r="AY243" s="1941"/>
      <c r="AZ243" s="1941"/>
      <c r="BA243" s="1941"/>
      <c r="BB243" s="1941"/>
      <c r="BC243" s="1941"/>
      <c r="BD243" s="1941"/>
      <c r="BE243" s="1941"/>
      <c r="BF243" s="1941"/>
      <c r="BG243" s="1941"/>
      <c r="BH243" s="1941"/>
      <c r="BI243" s="1941"/>
      <c r="BJ243" s="1941"/>
      <c r="BK243" s="1941"/>
      <c r="BL243" s="1941"/>
      <c r="BM243" s="1941"/>
      <c r="BN243" s="1941"/>
      <c r="BO243" s="1941"/>
      <c r="BP243" s="1009"/>
      <c r="BQ243" s="1009"/>
      <c r="BR243" s="1009"/>
      <c r="BS243" s="1009"/>
      <c r="BT243" s="1009"/>
      <c r="BU243" s="1009"/>
      <c r="BV243" s="1009"/>
      <c r="BW243" s="1009"/>
      <c r="BX243" s="1009"/>
      <c r="BY243" s="1009"/>
      <c r="BZ243" s="1009"/>
      <c r="CA243" s="1009"/>
      <c r="CB243" s="1009"/>
      <c r="CC243" s="1009"/>
      <c r="CD243" s="1009"/>
      <c r="CE243" s="1009"/>
      <c r="CF243" s="1009"/>
      <c r="CG243" s="1009"/>
      <c r="CH243" s="1009"/>
      <c r="CI243" s="1009"/>
      <c r="CJ243" s="1009"/>
      <c r="CK243" s="1009"/>
      <c r="CL243" s="1009"/>
      <c r="CM243" s="1009"/>
      <c r="CN243" s="1009"/>
      <c r="CO243" s="1009"/>
      <c r="CP243" s="1009"/>
      <c r="CQ243" s="1009"/>
      <c r="CR243" s="1009"/>
      <c r="CS243" s="1009"/>
      <c r="CT243" s="1009"/>
      <c r="CU243" s="1009"/>
      <c r="CV243" s="1009"/>
      <c r="CW243" s="1009"/>
      <c r="CX243" s="1009"/>
      <c r="CY243" s="1009"/>
      <c r="CZ243" s="1009"/>
      <c r="DA243" s="1009"/>
      <c r="DB243" s="1009"/>
      <c r="DC243" s="1009"/>
      <c r="DD243" s="1009"/>
      <c r="DE243" s="1009"/>
      <c r="DF243" s="1009"/>
      <c r="DG243" s="1009"/>
      <c r="DH243" s="1009"/>
      <c r="DI243" s="1009"/>
      <c r="DJ243" s="1009"/>
      <c r="DK243" s="1009"/>
      <c r="DL243" s="1009"/>
      <c r="DM243" s="1009"/>
      <c r="DN243" s="1009"/>
      <c r="DO243" s="1009"/>
      <c r="DP243" s="1009"/>
      <c r="DQ243" s="1009"/>
      <c r="DR243" s="1009"/>
      <c r="DS243" s="1009"/>
      <c r="DT243" s="1009"/>
      <c r="DU243" s="1009"/>
      <c r="DV243" s="1009"/>
      <c r="DW243" s="1009"/>
      <c r="DX243" s="1009"/>
      <c r="DY243" s="1009"/>
      <c r="DZ243" s="1009"/>
      <c r="EA243" s="1009"/>
      <c r="EB243" s="1009"/>
      <c r="EC243" s="1009"/>
      <c r="ED243" s="1009"/>
      <c r="EE243" s="1009"/>
      <c r="EF243" s="1009"/>
      <c r="EG243" s="1009"/>
      <c r="EH243" s="1009"/>
      <c r="EI243" s="1009"/>
      <c r="EJ243" s="1009"/>
      <c r="EK243" s="1009"/>
      <c r="EL243" s="1009"/>
      <c r="EM243" s="1009"/>
      <c r="EN243" s="1009"/>
      <c r="EO243" s="1009"/>
      <c r="EP243" s="1009"/>
      <c r="EQ243" s="1009"/>
      <c r="ER243" s="1009"/>
      <c r="ES243" s="1009"/>
      <c r="ET243" s="1009"/>
      <c r="EU243" s="1009"/>
      <c r="EV243" s="1009"/>
      <c r="EW243" s="1009"/>
      <c r="EX243" s="1009"/>
      <c r="EY243" s="1009"/>
      <c r="EZ243" s="1009"/>
      <c r="FA243" s="1009"/>
      <c r="FB243" s="1009"/>
      <c r="FC243" s="1009"/>
      <c r="FD243" s="1009"/>
      <c r="FE243" s="1009"/>
      <c r="FF243" s="1009"/>
      <c r="FG243" s="1009"/>
      <c r="FH243" s="1009"/>
      <c r="FI243" s="1009"/>
      <c r="FJ243" s="1009"/>
      <c r="FK243" s="1009"/>
      <c r="FL243" s="1009"/>
      <c r="FM243" s="1009"/>
      <c r="FN243" s="1009"/>
      <c r="FO243" s="1009"/>
      <c r="FP243" s="1009"/>
      <c r="FQ243" s="1009"/>
      <c r="FR243" s="1009"/>
      <c r="FS243" s="1009"/>
      <c r="FT243" s="1009"/>
      <c r="FU243" s="1009"/>
      <c r="FV243" s="1009"/>
      <c r="FW243" s="1009"/>
      <c r="FX243" s="1009"/>
      <c r="FY243" s="1009"/>
      <c r="FZ243" s="1009"/>
      <c r="GA243" s="1009"/>
      <c r="GB243" s="1009"/>
      <c r="GC243" s="1009"/>
      <c r="GD243" s="1009"/>
      <c r="GE243" s="1009"/>
      <c r="GF243" s="1009"/>
      <c r="GG243" s="1009"/>
      <c r="GH243" s="1009"/>
      <c r="GI243" s="1009"/>
      <c r="GJ243" s="1009"/>
      <c r="GK243" s="1009"/>
      <c r="GL243" s="1009"/>
      <c r="GM243" s="1009"/>
      <c r="GN243" s="1009"/>
      <c r="GO243" s="1009"/>
      <c r="GP243" s="1009"/>
      <c r="GQ243" s="1009"/>
      <c r="GR243" s="1009"/>
      <c r="GS243" s="1009"/>
      <c r="GT243" s="1009"/>
      <c r="GU243" s="1009"/>
      <c r="GV243" s="1009"/>
      <c r="GW243" s="1009"/>
      <c r="GX243" s="1009"/>
      <c r="GY243" s="1009"/>
      <c r="GZ243" s="1009"/>
      <c r="HA243" s="1009"/>
      <c r="HB243" s="1009"/>
      <c r="HC243" s="1009"/>
      <c r="HD243" s="1009"/>
      <c r="HE243" s="1009"/>
      <c r="HF243" s="1009"/>
      <c r="HG243" s="1009"/>
      <c r="HH243" s="1009"/>
      <c r="HI243" s="1009"/>
      <c r="HJ243" s="1009"/>
      <c r="HK243" s="1009"/>
      <c r="HL243" s="1009"/>
      <c r="HM243" s="1009"/>
      <c r="HN243" s="1009"/>
      <c r="HO243" s="1009"/>
      <c r="HP243" s="1009"/>
      <c r="HQ243" s="1009"/>
      <c r="HR243" s="1009"/>
      <c r="HS243" s="1009"/>
      <c r="HT243" s="1009"/>
      <c r="HU243" s="1009"/>
      <c r="HV243" s="1009"/>
      <c r="HW243" s="1009"/>
      <c r="HX243" s="1009"/>
      <c r="HY243" s="1009"/>
      <c r="HZ243" s="1009"/>
      <c r="IA243" s="1009"/>
      <c r="IB243" s="1009"/>
      <c r="IC243" s="1009"/>
      <c r="ID243" s="1009"/>
      <c r="IE243" s="1009"/>
      <c r="IF243" s="1009"/>
      <c r="IG243" s="1009"/>
      <c r="IH243" s="1009"/>
      <c r="II243" s="1009"/>
      <c r="IJ243" s="1009"/>
      <c r="IK243" s="1009"/>
      <c r="IL243" s="1009"/>
      <c r="IM243" s="1009"/>
      <c r="IN243" s="1009"/>
      <c r="IO243" s="1009"/>
      <c r="IP243" s="1009"/>
      <c r="IQ243" s="1009"/>
      <c r="IR243" s="1009"/>
      <c r="IS243" s="1009"/>
      <c r="IT243" s="1009"/>
      <c r="IU243" s="1009"/>
      <c r="IV243" s="1009"/>
      <c r="IW243" s="1009"/>
      <c r="IX243" s="1009"/>
      <c r="IY243" s="1009"/>
      <c r="IZ243" s="1009"/>
      <c r="JA243" s="1009"/>
      <c r="JB243" s="1009"/>
      <c r="JC243" s="1009"/>
      <c r="JD243" s="1009"/>
      <c r="JE243" s="1009"/>
      <c r="JF243" s="1009"/>
      <c r="JG243" s="1009"/>
      <c r="JH243" s="1009"/>
      <c r="JI243" s="1009"/>
      <c r="JJ243" s="1009"/>
      <c r="JK243" s="1009"/>
      <c r="JL243" s="1009"/>
      <c r="JM243" s="1009"/>
      <c r="JN243" s="1009"/>
      <c r="JO243" s="1009"/>
      <c r="JP243" s="1009"/>
      <c r="JQ243" s="1009"/>
      <c r="JR243" s="1009"/>
      <c r="JS243" s="1009"/>
      <c r="JT243" s="1009"/>
      <c r="JU243" s="1009"/>
      <c r="JV243" s="1009"/>
      <c r="JW243" s="1009"/>
      <c r="JX243" s="1009"/>
      <c r="JY243" s="1009"/>
      <c r="JZ243" s="1009"/>
      <c r="KA243" s="1009"/>
      <c r="KB243" s="1009"/>
      <c r="KC243" s="1009"/>
      <c r="KD243" s="1009"/>
      <c r="KE243" s="1009"/>
      <c r="KF243" s="1009"/>
      <c r="KG243" s="1009"/>
      <c r="KH243" s="1009"/>
      <c r="KI243" s="1009"/>
      <c r="KJ243" s="1009"/>
      <c r="KK243" s="1009"/>
      <c r="KL243" s="1009"/>
      <c r="KM243" s="1009"/>
      <c r="KN243" s="1009"/>
      <c r="KO243" s="1009"/>
      <c r="KP243" s="1009"/>
      <c r="KQ243" s="1009"/>
      <c r="KR243" s="1009"/>
      <c r="KS243" s="1009"/>
      <c r="KT243" s="1009"/>
      <c r="KU243" s="1009"/>
      <c r="KV243" s="1009"/>
      <c r="KW243" s="1009"/>
      <c r="KX243" s="1009"/>
      <c r="KY243" s="1009"/>
      <c r="KZ243" s="1009"/>
      <c r="LA243" s="1009"/>
      <c r="LB243" s="1009"/>
      <c r="LC243" s="1009"/>
      <c r="LD243" s="1009"/>
      <c r="LE243" s="1009"/>
      <c r="LF243" s="1009"/>
      <c r="LG243" s="1009"/>
      <c r="LH243" s="1009"/>
      <c r="LI243" s="1009"/>
      <c r="LJ243" s="1009"/>
      <c r="LK243" s="1009"/>
      <c r="LL243" s="1009"/>
      <c r="LM243" s="1009"/>
      <c r="LN243" s="1009"/>
      <c r="LO243" s="1009"/>
      <c r="LP243" s="1009"/>
      <c r="LQ243" s="1009"/>
      <c r="LR243" s="1009"/>
      <c r="LS243" s="1009"/>
      <c r="LT243" s="1009"/>
      <c r="LU243" s="1009"/>
      <c r="LV243" s="1009"/>
      <c r="LW243" s="1009"/>
      <c r="LX243" s="1009"/>
      <c r="LY243" s="1009"/>
      <c r="LZ243" s="1009"/>
      <c r="MA243" s="1009"/>
      <c r="MB243" s="1009"/>
      <c r="MC243" s="1009"/>
      <c r="MD243" s="1009"/>
      <c r="ME243" s="1009"/>
      <c r="MF243" s="1009"/>
      <c r="MG243" s="1009"/>
      <c r="MH243" s="1009"/>
      <c r="MI243" s="1009"/>
      <c r="MJ243" s="1009"/>
      <c r="MK243" s="1009"/>
      <c r="ML243" s="1009"/>
      <c r="MM243" s="1009"/>
      <c r="MN243" s="1009"/>
      <c r="MO243" s="1009"/>
      <c r="MP243" s="1009"/>
      <c r="MQ243" s="1009"/>
      <c r="MR243" s="1009"/>
      <c r="MS243" s="1009"/>
      <c r="MT243" s="1009"/>
      <c r="MU243" s="1009"/>
      <c r="MV243" s="1009"/>
      <c r="MW243" s="1009"/>
      <c r="MX243" s="1009"/>
      <c r="MY243" s="1009"/>
      <c r="MZ243" s="1009"/>
      <c r="NA243" s="1009"/>
      <c r="NB243" s="1009"/>
      <c r="NC243" s="1009"/>
      <c r="ND243" s="1009"/>
      <c r="NE243" s="1009"/>
      <c r="NF243" s="1009"/>
      <c r="NG243" s="1009"/>
      <c r="NH243" s="1009"/>
      <c r="NI243" s="1009"/>
      <c r="NJ243" s="1009"/>
      <c r="NK243" s="1009"/>
      <c r="NL243" s="1009"/>
      <c r="NM243" s="1009"/>
      <c r="NN243" s="1009"/>
      <c r="NO243" s="1009"/>
      <c r="NP243" s="1009"/>
      <c r="NQ243" s="1009"/>
      <c r="NR243" s="1009"/>
      <c r="NS243" s="1009"/>
      <c r="NT243" s="1009"/>
      <c r="NU243" s="1009"/>
      <c r="NV243" s="1009"/>
      <c r="NW243" s="1009"/>
      <c r="NX243" s="1009"/>
      <c r="NY243" s="1009"/>
      <c r="NZ243" s="1009"/>
      <c r="OA243" s="1009"/>
      <c r="OB243" s="1009"/>
      <c r="OC243" s="1009"/>
      <c r="OD243" s="1009"/>
      <c r="OE243" s="1009"/>
      <c r="OF243" s="1009"/>
      <c r="OG243" s="1009"/>
      <c r="OH243" s="1009"/>
      <c r="OI243" s="1009"/>
      <c r="OJ243" s="1009"/>
      <c r="OK243" s="1009"/>
      <c r="OL243" s="1009"/>
      <c r="OM243" s="1009"/>
      <c r="ON243" s="1009"/>
      <c r="OO243" s="1009"/>
      <c r="OP243" s="1009"/>
      <c r="OQ243" s="1009"/>
      <c r="OR243" s="1009"/>
      <c r="OS243" s="1009"/>
      <c r="OT243" s="1009"/>
      <c r="OU243" s="1009"/>
      <c r="OV243" s="1009"/>
      <c r="OW243" s="1009"/>
      <c r="OX243" s="1009"/>
      <c r="OY243" s="1009"/>
      <c r="OZ243" s="1009"/>
      <c r="PA243" s="1009"/>
      <c r="PB243" s="1009"/>
      <c r="PC243" s="1009"/>
      <c r="PD243" s="1009"/>
      <c r="PE243" s="1009"/>
      <c r="PF243" s="1009"/>
      <c r="PG243" s="1009"/>
      <c r="PH243" s="1009"/>
      <c r="PI243" s="1009"/>
      <c r="PJ243" s="1009"/>
      <c r="PK243" s="1009"/>
      <c r="PL243" s="1009"/>
      <c r="PM243" s="1009"/>
      <c r="PN243" s="1009"/>
      <c r="PO243" s="1009"/>
      <c r="PP243" s="1009"/>
      <c r="PQ243" s="1009"/>
      <c r="PR243" s="1009"/>
      <c r="PS243" s="1009"/>
      <c r="PT243" s="1009"/>
      <c r="PU243" s="1009"/>
      <c r="PV243" s="1009"/>
      <c r="PW243" s="1009"/>
      <c r="PX243" s="1009"/>
      <c r="PY243" s="1009"/>
      <c r="PZ243" s="1009"/>
      <c r="QA243" s="1009"/>
      <c r="QB243" s="1009"/>
      <c r="QC243" s="1009"/>
      <c r="QD243" s="1009"/>
      <c r="QE243" s="1009"/>
      <c r="QF243" s="1009"/>
      <c r="QG243" s="1009"/>
      <c r="QH243" s="1009"/>
      <c r="QI243" s="1009"/>
      <c r="QJ243" s="1009"/>
      <c r="QK243" s="1009"/>
      <c r="QL243" s="1009"/>
      <c r="QM243" s="1009"/>
      <c r="QN243" s="1009"/>
      <c r="QO243" s="1009"/>
      <c r="QP243" s="1009"/>
      <c r="QQ243" s="1009"/>
      <c r="QR243" s="1009"/>
      <c r="QS243" s="1009"/>
      <c r="QT243" s="1009"/>
      <c r="QU243" s="1009"/>
      <c r="QV243" s="1009"/>
      <c r="QW243" s="1009"/>
      <c r="QX243" s="1009"/>
      <c r="QY243" s="1009"/>
      <c r="QZ243" s="1009"/>
      <c r="RA243" s="1009"/>
      <c r="RB243" s="1009"/>
      <c r="RC243" s="1009"/>
      <c r="RD243" s="1009"/>
      <c r="RE243" s="1009"/>
      <c r="RF243" s="1009"/>
      <c r="RG243" s="1009"/>
      <c r="RH243" s="1009"/>
      <c r="RI243" s="1009"/>
      <c r="RJ243" s="1009"/>
      <c r="RK243" s="1009"/>
      <c r="RL243" s="1009"/>
      <c r="RM243" s="1009"/>
      <c r="RN243" s="1009"/>
      <c r="RO243" s="1009"/>
      <c r="RP243" s="1009"/>
      <c r="RQ243" s="1009"/>
      <c r="RR243" s="1009"/>
      <c r="RS243" s="1009"/>
      <c r="RT243" s="1009"/>
      <c r="RU243" s="1009"/>
      <c r="RV243" s="1009"/>
      <c r="RW243" s="1009"/>
      <c r="RX243" s="1009"/>
      <c r="RY243" s="1009"/>
      <c r="RZ243" s="1009"/>
      <c r="SA243" s="1009"/>
      <c r="SB243" s="1009"/>
      <c r="SC243" s="1009"/>
      <c r="SD243" s="1009"/>
      <c r="SE243" s="1009"/>
      <c r="SF243" s="1009"/>
      <c r="SG243" s="1009"/>
      <c r="SH243" s="1009"/>
      <c r="SI243" s="1009"/>
      <c r="SJ243" s="1009"/>
      <c r="SK243" s="1009"/>
      <c r="SL243" s="1009"/>
      <c r="SM243" s="1009"/>
      <c r="SN243" s="1009"/>
      <c r="SO243" s="1009"/>
      <c r="SP243" s="1009"/>
      <c r="SQ243" s="1009"/>
      <c r="SR243" s="1009"/>
      <c r="SS243" s="1009"/>
      <c r="ST243" s="1009"/>
      <c r="SU243" s="1009"/>
      <c r="SV243" s="1009"/>
      <c r="SW243" s="1009"/>
      <c r="SX243" s="1009"/>
      <c r="SY243" s="1009"/>
      <c r="SZ243" s="1009"/>
      <c r="TA243" s="1009"/>
      <c r="TB243" s="1009"/>
      <c r="TC243" s="1009"/>
      <c r="TD243" s="1009"/>
      <c r="TE243" s="1009"/>
      <c r="TF243" s="1009"/>
      <c r="TG243" s="1009"/>
      <c r="TH243" s="1009"/>
      <c r="TI243" s="1009"/>
      <c r="TJ243" s="1009"/>
      <c r="TK243" s="1009"/>
      <c r="TL243" s="1009"/>
      <c r="TM243" s="1009"/>
      <c r="TN243" s="1009"/>
      <c r="TO243" s="1009"/>
      <c r="TP243" s="1009"/>
      <c r="TQ243" s="1009"/>
      <c r="TR243" s="1009"/>
      <c r="TS243" s="1009"/>
      <c r="TT243" s="1009"/>
      <c r="TU243" s="1009"/>
      <c r="TV243" s="1009"/>
      <c r="TW243" s="1009"/>
      <c r="TX243" s="1009"/>
      <c r="TY243" s="1009"/>
      <c r="TZ243" s="1009"/>
      <c r="UA243" s="1009"/>
      <c r="UB243" s="1009"/>
      <c r="UC243" s="1009"/>
      <c r="UD243" s="1009"/>
      <c r="UE243" s="1009"/>
      <c r="UF243" s="1009"/>
      <c r="UG243" s="1009"/>
      <c r="UH243" s="1009"/>
      <c r="UI243" s="1009"/>
      <c r="UJ243" s="1009"/>
      <c r="UK243" s="1009"/>
      <c r="UL243" s="1009"/>
      <c r="UM243" s="1009"/>
      <c r="UN243" s="1009"/>
      <c r="UO243" s="1009"/>
      <c r="UP243" s="1009"/>
      <c r="UQ243" s="1009"/>
      <c r="UR243" s="1009"/>
      <c r="US243" s="1009"/>
      <c r="UT243" s="1009"/>
      <c r="UU243" s="1009"/>
      <c r="UV243" s="1009"/>
      <c r="UW243" s="1009"/>
      <c r="UX243" s="1009"/>
      <c r="UY243" s="1009"/>
      <c r="UZ243" s="1009"/>
      <c r="VA243" s="1009"/>
      <c r="VB243" s="1009"/>
      <c r="VC243" s="1009"/>
      <c r="VD243" s="1009"/>
      <c r="VE243" s="1009"/>
      <c r="VF243" s="1009"/>
      <c r="VG243" s="1009"/>
      <c r="VH243" s="1009"/>
      <c r="VI243" s="1009"/>
      <c r="VJ243" s="1009"/>
      <c r="VK243" s="1009"/>
      <c r="VL243" s="1009"/>
      <c r="VM243" s="1009"/>
      <c r="VN243" s="1009"/>
      <c r="VO243" s="1009"/>
      <c r="VP243" s="1009"/>
      <c r="VQ243" s="1009"/>
      <c r="VR243" s="1009"/>
      <c r="VS243" s="1009"/>
      <c r="VT243" s="1009"/>
      <c r="VU243" s="1009"/>
      <c r="VV243" s="1009"/>
      <c r="VW243" s="1009"/>
      <c r="VX243" s="1009"/>
      <c r="VY243" s="1009"/>
      <c r="VZ243" s="1009"/>
      <c r="WA243" s="1009"/>
      <c r="WB243" s="1009"/>
      <c r="WC243" s="1009"/>
      <c r="WD243" s="1009"/>
      <c r="WE243" s="1009"/>
      <c r="WF243" s="1009"/>
      <c r="WG243" s="1009"/>
      <c r="WH243" s="1009"/>
      <c r="WI243" s="1009"/>
      <c r="WJ243" s="1009"/>
      <c r="WK243" s="1009"/>
      <c r="WL243" s="1009"/>
      <c r="WM243" s="1009"/>
      <c r="WN243" s="1009"/>
      <c r="WO243" s="1009"/>
      <c r="WP243" s="1009"/>
      <c r="WQ243" s="1009"/>
      <c r="WR243" s="1009"/>
      <c r="WS243" s="1009"/>
      <c r="WT243" s="1009"/>
      <c r="WU243" s="1009"/>
      <c r="WV243" s="1009"/>
      <c r="WW243" s="1009"/>
      <c r="WX243" s="1009"/>
      <c r="WY243" s="1009"/>
      <c r="WZ243" s="1009"/>
      <c r="XA243" s="1009"/>
      <c r="XB243" s="1009"/>
      <c r="XC243" s="1009"/>
      <c r="XD243" s="1009"/>
      <c r="XE243" s="1009"/>
      <c r="XF243" s="1009"/>
      <c r="XG243" s="1009"/>
      <c r="XH243" s="1009"/>
      <c r="XI243" s="1009"/>
      <c r="XJ243" s="1009"/>
      <c r="XK243" s="1009"/>
      <c r="XL243" s="1009"/>
      <c r="XM243" s="1009"/>
      <c r="XN243" s="1009"/>
      <c r="XO243" s="1009"/>
      <c r="XP243" s="1009"/>
      <c r="XQ243" s="1009"/>
      <c r="XR243" s="1009"/>
      <c r="XS243" s="1009"/>
      <c r="XT243" s="1009"/>
      <c r="XU243" s="1009"/>
      <c r="XV243" s="1009"/>
      <c r="XW243" s="1009"/>
      <c r="XX243" s="1009"/>
      <c r="XY243" s="1009"/>
      <c r="XZ243" s="1009"/>
      <c r="YA243" s="1009"/>
      <c r="YB243" s="1009"/>
      <c r="YC243" s="1009"/>
      <c r="YD243" s="1009"/>
      <c r="YE243" s="1009"/>
      <c r="YF243" s="1009"/>
      <c r="YG243" s="1009"/>
      <c r="YH243" s="1009"/>
      <c r="YI243" s="1009"/>
      <c r="YJ243" s="1009"/>
      <c r="YK243" s="1009"/>
      <c r="YL243" s="1009"/>
      <c r="YM243" s="1009"/>
      <c r="YN243" s="1009"/>
      <c r="YO243" s="1009"/>
      <c r="YP243" s="1009"/>
      <c r="YQ243" s="1009"/>
      <c r="YR243" s="1009"/>
      <c r="YS243" s="1009"/>
      <c r="YT243" s="1009"/>
      <c r="YU243" s="1009"/>
      <c r="YV243" s="1009"/>
      <c r="YW243" s="1009"/>
      <c r="YX243" s="1009"/>
      <c r="YY243" s="1009"/>
      <c r="YZ243" s="1009"/>
      <c r="ZA243" s="1009"/>
      <c r="ZB243" s="1009"/>
      <c r="ZC243" s="1009"/>
      <c r="ZD243" s="1009"/>
      <c r="ZE243" s="1009"/>
      <c r="ZF243" s="1009"/>
      <c r="ZG243" s="1009"/>
      <c r="ZH243" s="1009"/>
      <c r="ZI243" s="1009"/>
      <c r="ZJ243" s="1009"/>
      <c r="ZK243" s="1009"/>
      <c r="ZL243" s="1009"/>
      <c r="ZM243" s="1009"/>
      <c r="ZN243" s="1009"/>
      <c r="ZO243" s="1009"/>
      <c r="ZP243" s="1009"/>
      <c r="ZQ243" s="1009"/>
      <c r="ZR243" s="1009"/>
      <c r="ZS243" s="1009"/>
      <c r="ZT243" s="1009"/>
      <c r="ZU243" s="1009"/>
      <c r="ZV243" s="1009"/>
      <c r="ZW243" s="1009"/>
      <c r="ZX243" s="1009"/>
      <c r="ZY243" s="1009"/>
      <c r="ZZ243" s="1009"/>
      <c r="AAA243" s="1009"/>
      <c r="AAB243" s="1009"/>
      <c r="AAC243" s="1009"/>
      <c r="AAD243" s="1009"/>
      <c r="AAE243" s="1009"/>
      <c r="AAF243" s="1009"/>
      <c r="AAG243" s="1009"/>
      <c r="AAH243" s="1009"/>
      <c r="AAI243" s="1009"/>
      <c r="AAJ243" s="1009"/>
      <c r="AAK243" s="1009"/>
      <c r="AAL243" s="1009"/>
      <c r="AAM243" s="1009"/>
      <c r="AAN243" s="1009"/>
      <c r="AAO243" s="1009"/>
      <c r="AAP243" s="1009"/>
      <c r="AAQ243" s="1009"/>
      <c r="AAR243" s="1009"/>
      <c r="AAS243" s="1009"/>
      <c r="AAT243" s="1009"/>
      <c r="AAU243" s="1009"/>
      <c r="AAV243" s="1009"/>
      <c r="AAW243" s="1009"/>
      <c r="AAX243" s="1009"/>
      <c r="AAY243" s="1009"/>
      <c r="AAZ243" s="1009"/>
      <c r="ABA243" s="1009"/>
      <c r="ABB243" s="1009"/>
      <c r="ABC243" s="1009"/>
      <c r="ABD243" s="1009"/>
      <c r="ABE243" s="1009"/>
      <c r="ABF243" s="1009"/>
      <c r="ABG243" s="1009"/>
      <c r="ABH243" s="1009"/>
      <c r="ABI243" s="1009"/>
      <c r="ABJ243" s="1009"/>
      <c r="ABK243" s="1009"/>
      <c r="ABL243" s="1009"/>
      <c r="ABM243" s="1009"/>
      <c r="ABN243" s="1009"/>
      <c r="ABO243" s="1009"/>
      <c r="ABP243" s="1009"/>
      <c r="ABQ243" s="1009"/>
      <c r="ABR243" s="1009"/>
    </row>
    <row r="244" spans="1:746" s="1239" customFormat="1" ht="14.25" customHeight="1">
      <c r="A244" s="2250"/>
      <c r="B244" s="2499" t="s">
        <v>1153</v>
      </c>
      <c r="C244" s="2321"/>
      <c r="D244" s="2321"/>
      <c r="E244" s="2990">
        <f>fx!C442</f>
        <v>0</v>
      </c>
      <c r="F244" s="2991"/>
      <c r="G244" s="2992"/>
      <c r="H244" s="2561"/>
      <c r="I244" s="2322" t="s">
        <v>1164</v>
      </c>
      <c r="J244" s="869"/>
      <c r="K244" s="869"/>
      <c r="L244" s="869"/>
      <c r="M244" s="869"/>
      <c r="N244" s="869"/>
      <c r="O244" s="869"/>
      <c r="P244" s="869"/>
      <c r="Q244" s="869"/>
      <c r="R244" s="869"/>
      <c r="S244" s="869"/>
      <c r="T244" s="986"/>
      <c r="U244" s="995"/>
      <c r="V244" s="869"/>
      <c r="W244" s="869"/>
      <c r="X244" s="869"/>
      <c r="Y244" s="869"/>
      <c r="Z244" s="869"/>
      <c r="AA244" s="869"/>
      <c r="AB244" s="869"/>
      <c r="AC244" s="869"/>
      <c r="AD244" s="869"/>
      <c r="AE244" s="869"/>
      <c r="AF244" s="344"/>
      <c r="AG244" s="337"/>
      <c r="AH244" s="786"/>
      <c r="AI244" s="786"/>
      <c r="AJ244" s="1044"/>
      <c r="AK244" s="1047"/>
      <c r="AL244" s="1044"/>
      <c r="AM244" s="1009"/>
      <c r="AN244" s="1026"/>
      <c r="AO244" s="1945"/>
      <c r="AP244" s="1935"/>
      <c r="AQ244" s="1936"/>
      <c r="AR244" s="1941"/>
      <c r="AS244" s="1941"/>
      <c r="AT244" s="1941"/>
      <c r="AU244" s="1941"/>
      <c r="AV244" s="1941"/>
      <c r="AW244" s="1941"/>
      <c r="AX244" s="1941"/>
      <c r="AY244" s="1941"/>
      <c r="AZ244" s="1941"/>
      <c r="BA244" s="1941"/>
      <c r="BB244" s="1941"/>
      <c r="BC244" s="1941"/>
      <c r="BD244" s="1941"/>
      <c r="BE244" s="1941"/>
      <c r="BF244" s="1941"/>
      <c r="BG244" s="1941"/>
      <c r="BH244" s="1941"/>
      <c r="BI244" s="1941"/>
      <c r="BJ244" s="1941"/>
      <c r="BK244" s="1941"/>
      <c r="BL244" s="1941"/>
      <c r="BM244" s="1941"/>
      <c r="BN244" s="1941"/>
      <c r="BO244" s="1941"/>
      <c r="BP244" s="1237"/>
      <c r="BQ244" s="1237"/>
      <c r="BR244" s="1237"/>
      <c r="BS244" s="1237"/>
      <c r="BT244" s="1237"/>
      <c r="BU244" s="1237"/>
      <c r="BV244" s="1237"/>
      <c r="BW244" s="1237"/>
      <c r="BX244" s="1237"/>
      <c r="BY244" s="1237"/>
      <c r="BZ244" s="1237"/>
      <c r="CA244" s="1237"/>
      <c r="CB244" s="1237"/>
      <c r="CC244" s="1237"/>
      <c r="CD244" s="1237"/>
      <c r="CE244" s="1237"/>
      <c r="CF244" s="1237"/>
      <c r="CG244" s="1237"/>
      <c r="CH244" s="1237"/>
      <c r="CI244" s="1237"/>
      <c r="CJ244" s="1237"/>
      <c r="CK244" s="1237"/>
      <c r="CL244" s="1237"/>
      <c r="CM244" s="1237"/>
      <c r="CN244" s="1237"/>
      <c r="CO244" s="1237"/>
      <c r="CP244" s="1237"/>
      <c r="CQ244" s="1237"/>
      <c r="CR244" s="1237"/>
      <c r="CS244" s="1237"/>
      <c r="CT244" s="1237"/>
      <c r="CU244" s="1237"/>
      <c r="CV244" s="1237"/>
      <c r="CW244" s="1237"/>
      <c r="CX244" s="1237"/>
      <c r="CY244" s="1237"/>
      <c r="CZ244" s="1237"/>
      <c r="DA244" s="1237"/>
      <c r="DB244" s="1237"/>
      <c r="DC244" s="1237"/>
      <c r="DD244" s="1237"/>
      <c r="DE244" s="1237"/>
      <c r="DF244" s="1237"/>
      <c r="DG244" s="1237"/>
      <c r="DH244" s="1237"/>
      <c r="DI244" s="1237"/>
      <c r="DJ244" s="1237"/>
      <c r="DK244" s="1237"/>
      <c r="DL244" s="1237"/>
      <c r="DM244" s="1237"/>
      <c r="DN244" s="1237"/>
      <c r="DO244" s="1237"/>
      <c r="DP244" s="1237"/>
      <c r="DQ244" s="1237"/>
      <c r="DR244" s="1237"/>
      <c r="DS244" s="1237"/>
      <c r="DT244" s="1237"/>
      <c r="DU244" s="1237"/>
      <c r="DV244" s="1237"/>
      <c r="DW244" s="1237"/>
      <c r="DX244" s="1237"/>
      <c r="DY244" s="1237"/>
      <c r="DZ244" s="1237"/>
      <c r="EA244" s="1237"/>
      <c r="EB244" s="1237"/>
      <c r="EC244" s="1237"/>
      <c r="ED244" s="1237"/>
      <c r="EE244" s="1237"/>
      <c r="EF244" s="1237"/>
      <c r="EG244" s="1237"/>
      <c r="EH244" s="1237"/>
      <c r="EI244" s="1237"/>
      <c r="EJ244" s="1237"/>
      <c r="EK244" s="1237"/>
      <c r="EL244" s="1237"/>
      <c r="EM244" s="1237"/>
      <c r="EN244" s="1237"/>
      <c r="EO244" s="1237"/>
      <c r="EP244" s="1237"/>
      <c r="EQ244" s="1237"/>
      <c r="ER244" s="1237"/>
      <c r="ES244" s="1237"/>
      <c r="ET244" s="1237"/>
      <c r="EU244" s="1237"/>
      <c r="EV244" s="1237"/>
      <c r="EW244" s="1237"/>
      <c r="EX244" s="1237"/>
      <c r="EY244" s="1237"/>
      <c r="EZ244" s="1237"/>
      <c r="FA244" s="1237"/>
      <c r="FB244" s="1237"/>
      <c r="FC244" s="1237"/>
      <c r="FD244" s="1237"/>
      <c r="FE244" s="1237"/>
      <c r="FF244" s="1237"/>
      <c r="FG244" s="1237"/>
      <c r="FH244" s="1237"/>
      <c r="FI244" s="1237"/>
      <c r="FJ244" s="1237"/>
      <c r="FK244" s="1237"/>
      <c r="FL244" s="1237"/>
      <c r="FM244" s="1237"/>
      <c r="FN244" s="1237"/>
      <c r="FO244" s="1237"/>
      <c r="FP244" s="1237"/>
      <c r="FQ244" s="1237"/>
      <c r="FR244" s="1237"/>
      <c r="FS244" s="1237"/>
      <c r="FT244" s="1237"/>
      <c r="FU244" s="1237"/>
      <c r="FV244" s="1237"/>
      <c r="FW244" s="1237"/>
      <c r="FX244" s="1237"/>
      <c r="FY244" s="1237"/>
      <c r="FZ244" s="1237"/>
      <c r="GA244" s="1237"/>
      <c r="GB244" s="1237"/>
      <c r="GC244" s="1237"/>
      <c r="GD244" s="1237"/>
      <c r="GE244" s="1237"/>
      <c r="GF244" s="1237"/>
      <c r="GG244" s="1237"/>
      <c r="GH244" s="1237"/>
      <c r="GI244" s="1237"/>
      <c r="GJ244" s="1237"/>
      <c r="GK244" s="1237"/>
      <c r="GL244" s="1237"/>
      <c r="GM244" s="1237"/>
      <c r="GN244" s="1237"/>
      <c r="GO244" s="1237"/>
      <c r="GP244" s="1237"/>
      <c r="GQ244" s="1237"/>
      <c r="GR244" s="1237"/>
      <c r="GS244" s="1237"/>
      <c r="GT244" s="1237"/>
      <c r="GU244" s="1237"/>
      <c r="GV244" s="1237"/>
      <c r="GW244" s="1237"/>
      <c r="GX244" s="1237"/>
      <c r="GY244" s="1237"/>
      <c r="GZ244" s="1237"/>
      <c r="HA244" s="1237"/>
      <c r="HB244" s="1237"/>
      <c r="HC244" s="1237"/>
      <c r="HD244" s="1237"/>
      <c r="HE244" s="1237"/>
      <c r="HF244" s="1237"/>
      <c r="HG244" s="1237"/>
      <c r="HH244" s="1237"/>
      <c r="HI244" s="1237"/>
      <c r="HJ244" s="1237"/>
      <c r="HK244" s="1237"/>
      <c r="HL244" s="1237"/>
      <c r="HM244" s="1237"/>
      <c r="HN244" s="1237"/>
      <c r="HO244" s="1237"/>
      <c r="HP244" s="1237"/>
      <c r="HQ244" s="1237"/>
      <c r="HR244" s="1237"/>
      <c r="HS244" s="1237"/>
      <c r="HT244" s="1237"/>
      <c r="HU244" s="1237"/>
      <c r="HV244" s="1237"/>
      <c r="HW244" s="1237"/>
      <c r="HX244" s="1237"/>
      <c r="HY244" s="1237"/>
      <c r="HZ244" s="1237"/>
      <c r="IA244" s="1237"/>
      <c r="IB244" s="1237"/>
      <c r="IC244" s="1237"/>
      <c r="ID244" s="1237"/>
      <c r="IE244" s="1237"/>
      <c r="IF244" s="1237"/>
      <c r="IG244" s="1237"/>
      <c r="IH244" s="1237"/>
      <c r="II244" s="1237"/>
      <c r="IJ244" s="1237"/>
      <c r="IK244" s="1237"/>
      <c r="IL244" s="1237"/>
      <c r="IM244" s="1237"/>
      <c r="IN244" s="1237"/>
      <c r="IO244" s="1237"/>
      <c r="IP244" s="1237"/>
      <c r="IQ244" s="1237"/>
      <c r="IR244" s="1237"/>
      <c r="IS244" s="1237"/>
      <c r="IT244" s="1237"/>
      <c r="IU244" s="1237"/>
      <c r="IV244" s="1237"/>
      <c r="IW244" s="1237"/>
      <c r="IX244" s="1237"/>
      <c r="IY244" s="1237"/>
      <c r="IZ244" s="1237"/>
      <c r="JA244" s="1237"/>
      <c r="JB244" s="1237"/>
      <c r="JC244" s="1237"/>
      <c r="JD244" s="1237"/>
      <c r="JE244" s="1237"/>
      <c r="JF244" s="1237"/>
      <c r="JG244" s="1237"/>
      <c r="JH244" s="1237"/>
      <c r="JI244" s="1237"/>
      <c r="JJ244" s="1237"/>
      <c r="JK244" s="1237"/>
      <c r="JL244" s="1237"/>
      <c r="JM244" s="1237"/>
      <c r="JN244" s="1237"/>
      <c r="JO244" s="1237"/>
      <c r="JP244" s="1237"/>
      <c r="JQ244" s="1237"/>
      <c r="JR244" s="1237"/>
      <c r="JS244" s="1237"/>
      <c r="JT244" s="1237"/>
      <c r="JU244" s="1237"/>
      <c r="JV244" s="1237"/>
      <c r="JW244" s="1237"/>
      <c r="JX244" s="1237"/>
      <c r="JY244" s="1237"/>
      <c r="JZ244" s="1237"/>
      <c r="KA244" s="1237"/>
      <c r="KB244" s="1237"/>
      <c r="KC244" s="1237"/>
      <c r="KD244" s="1237"/>
      <c r="KE244" s="1237"/>
      <c r="KF244" s="1237"/>
      <c r="KG244" s="1237"/>
      <c r="KH244" s="1237"/>
      <c r="KI244" s="1237"/>
      <c r="KJ244" s="1237"/>
      <c r="KK244" s="1237"/>
      <c r="KL244" s="1237"/>
      <c r="KM244" s="1237"/>
      <c r="KN244" s="1237"/>
      <c r="KO244" s="1237"/>
      <c r="KP244" s="1237"/>
      <c r="KQ244" s="1237"/>
      <c r="KR244" s="1237"/>
      <c r="KS244" s="1237"/>
      <c r="KT244" s="1237"/>
      <c r="KU244" s="1237"/>
      <c r="KV244" s="1237"/>
      <c r="KW244" s="1237"/>
      <c r="KX244" s="1237"/>
      <c r="KY244" s="1237"/>
      <c r="KZ244" s="1237"/>
      <c r="LA244" s="1237"/>
      <c r="LB244" s="1237"/>
      <c r="LC244" s="1237"/>
      <c r="LD244" s="1237"/>
      <c r="LE244" s="1237"/>
      <c r="LF244" s="1237"/>
      <c r="LG244" s="1237"/>
      <c r="LH244" s="1237"/>
      <c r="LI244" s="1237"/>
      <c r="LJ244" s="1237"/>
      <c r="LK244" s="1237"/>
      <c r="LL244" s="1237"/>
      <c r="LM244" s="1237"/>
      <c r="LN244" s="1237"/>
      <c r="LO244" s="1237"/>
      <c r="LP244" s="1237"/>
      <c r="LQ244" s="1237"/>
      <c r="LR244" s="1237"/>
      <c r="LS244" s="1237"/>
      <c r="LT244" s="1237"/>
      <c r="LU244" s="1237"/>
      <c r="LV244" s="1237"/>
      <c r="LW244" s="1237"/>
      <c r="LX244" s="1237"/>
      <c r="LY244" s="1237"/>
      <c r="LZ244" s="1237"/>
      <c r="MA244" s="1237"/>
      <c r="MB244" s="1237"/>
      <c r="MC244" s="1237"/>
      <c r="MD244" s="1237"/>
      <c r="ME244" s="1237"/>
      <c r="MF244" s="1237"/>
      <c r="MG244" s="1237"/>
      <c r="MH244" s="1237"/>
      <c r="MI244" s="1237"/>
      <c r="MJ244" s="1237"/>
      <c r="MK244" s="1237"/>
      <c r="ML244" s="1237"/>
      <c r="MM244" s="1237"/>
      <c r="MN244" s="1237"/>
      <c r="MO244" s="1237"/>
      <c r="MP244" s="1237"/>
      <c r="MQ244" s="1237"/>
      <c r="MR244" s="1237"/>
      <c r="MS244" s="1237"/>
      <c r="MT244" s="1237"/>
      <c r="MU244" s="1237"/>
      <c r="MV244" s="1237"/>
      <c r="MW244" s="1237"/>
      <c r="MX244" s="1237"/>
      <c r="MY244" s="1237"/>
      <c r="MZ244" s="1237"/>
      <c r="NA244" s="1237"/>
      <c r="NB244" s="1237"/>
      <c r="NC244" s="1237"/>
      <c r="ND244" s="1237"/>
      <c r="NE244" s="1237"/>
      <c r="NF244" s="1237"/>
      <c r="NG244" s="1237"/>
      <c r="NH244" s="1237"/>
      <c r="NI244" s="1237"/>
      <c r="NJ244" s="1237"/>
      <c r="NK244" s="1237"/>
      <c r="NL244" s="1237"/>
      <c r="NM244" s="1237"/>
      <c r="NN244" s="1237"/>
      <c r="NO244" s="1237"/>
      <c r="NP244" s="1237"/>
      <c r="NQ244" s="1237"/>
      <c r="NR244" s="1237"/>
      <c r="NS244" s="1237"/>
      <c r="NT244" s="1237"/>
      <c r="NU244" s="1237"/>
      <c r="NV244" s="1237"/>
      <c r="NW244" s="1237"/>
      <c r="NX244" s="1237"/>
      <c r="NY244" s="1237"/>
      <c r="NZ244" s="1237"/>
      <c r="OA244" s="1237"/>
      <c r="OB244" s="1237"/>
      <c r="OC244" s="1237"/>
      <c r="OD244" s="1237"/>
      <c r="OE244" s="1237"/>
      <c r="OF244" s="1237"/>
      <c r="OG244" s="1237"/>
      <c r="OH244" s="1237"/>
      <c r="OI244" s="1237"/>
      <c r="OJ244" s="1237"/>
      <c r="OK244" s="1237"/>
      <c r="OL244" s="1237"/>
      <c r="OM244" s="1237"/>
      <c r="ON244" s="1237"/>
      <c r="OO244" s="1237"/>
      <c r="OP244" s="1237"/>
      <c r="OQ244" s="1237"/>
      <c r="OR244" s="1237"/>
      <c r="OS244" s="1237"/>
      <c r="OT244" s="1237"/>
      <c r="OU244" s="1237"/>
      <c r="OV244" s="1237"/>
      <c r="OW244" s="1237"/>
      <c r="OX244" s="1237"/>
      <c r="OY244" s="1237"/>
      <c r="OZ244" s="1237"/>
      <c r="PA244" s="1237"/>
      <c r="PB244" s="1237"/>
      <c r="PC244" s="1237"/>
      <c r="PD244" s="1237"/>
      <c r="PE244" s="1237"/>
      <c r="PF244" s="1237"/>
      <c r="PG244" s="1237"/>
      <c r="PH244" s="1237"/>
      <c r="PI244" s="1237"/>
      <c r="PJ244" s="1237"/>
      <c r="PK244" s="1237"/>
      <c r="PL244" s="1237"/>
      <c r="PM244" s="1237"/>
      <c r="PN244" s="1237"/>
      <c r="PO244" s="1237"/>
      <c r="PP244" s="1237"/>
      <c r="PQ244" s="1237"/>
      <c r="PR244" s="1237"/>
      <c r="PS244" s="1237"/>
      <c r="PT244" s="1237"/>
      <c r="PU244" s="1237"/>
      <c r="PV244" s="1237"/>
      <c r="PW244" s="1237"/>
      <c r="PX244" s="1237"/>
      <c r="PY244" s="1237"/>
      <c r="PZ244" s="1237"/>
      <c r="QA244" s="1237"/>
      <c r="QB244" s="1237"/>
      <c r="QC244" s="1237"/>
      <c r="QD244" s="1237"/>
      <c r="QE244" s="1237"/>
      <c r="QF244" s="1237"/>
      <c r="QG244" s="1237"/>
      <c r="QH244" s="1237"/>
      <c r="QI244" s="1237"/>
      <c r="QJ244" s="1237"/>
      <c r="QK244" s="1237"/>
      <c r="QL244" s="1237"/>
      <c r="QM244" s="1237"/>
      <c r="QN244" s="1237"/>
      <c r="QO244" s="1237"/>
      <c r="QP244" s="1237"/>
      <c r="QQ244" s="1237"/>
      <c r="QR244" s="1237"/>
      <c r="QS244" s="1237"/>
      <c r="QT244" s="1237"/>
      <c r="QU244" s="1237"/>
      <c r="QV244" s="1237"/>
      <c r="QW244" s="1237"/>
      <c r="QX244" s="1237"/>
      <c r="QY244" s="1237"/>
      <c r="QZ244" s="1237"/>
      <c r="RA244" s="1237"/>
      <c r="RB244" s="1237"/>
      <c r="RC244" s="1237"/>
      <c r="RD244" s="1237"/>
      <c r="RE244" s="1237"/>
      <c r="RF244" s="1237"/>
      <c r="RG244" s="1237"/>
      <c r="RH244" s="1237"/>
      <c r="RI244" s="1237"/>
      <c r="RJ244" s="1237"/>
      <c r="RK244" s="1237"/>
      <c r="RL244" s="1237"/>
      <c r="RM244" s="1237"/>
      <c r="RN244" s="1237"/>
      <c r="RO244" s="1237"/>
      <c r="RP244" s="1237"/>
      <c r="RQ244" s="1237"/>
      <c r="RR244" s="1237"/>
      <c r="RS244" s="1237"/>
      <c r="RT244" s="1237"/>
      <c r="RU244" s="1237"/>
      <c r="RV244" s="1237"/>
      <c r="RW244" s="1237"/>
      <c r="RX244" s="1237"/>
      <c r="RY244" s="1237"/>
      <c r="RZ244" s="1237"/>
      <c r="SA244" s="1237"/>
      <c r="SB244" s="1237"/>
      <c r="SC244" s="1237"/>
      <c r="SD244" s="1237"/>
      <c r="SE244" s="1237"/>
      <c r="SF244" s="1237"/>
      <c r="SG244" s="1237"/>
      <c r="SH244" s="1237"/>
      <c r="SI244" s="1237"/>
      <c r="SJ244" s="1237"/>
      <c r="SK244" s="1237"/>
      <c r="SL244" s="1237"/>
      <c r="SM244" s="1237"/>
      <c r="SN244" s="1237"/>
      <c r="SO244" s="1237"/>
      <c r="SP244" s="1237"/>
      <c r="SQ244" s="1237"/>
      <c r="SR244" s="1237"/>
      <c r="SS244" s="1237"/>
      <c r="ST244" s="1237"/>
      <c r="SU244" s="1237"/>
      <c r="SV244" s="1237"/>
      <c r="SW244" s="1237"/>
      <c r="SX244" s="1237"/>
      <c r="SY244" s="1237"/>
      <c r="SZ244" s="1237"/>
      <c r="TA244" s="1237"/>
      <c r="TB244" s="1237"/>
      <c r="TC244" s="1237"/>
      <c r="TD244" s="1237"/>
      <c r="TE244" s="1237"/>
      <c r="TF244" s="1237"/>
      <c r="TG244" s="1237"/>
      <c r="TH244" s="1237"/>
      <c r="TI244" s="1237"/>
      <c r="TJ244" s="1237"/>
      <c r="TK244" s="1237"/>
      <c r="TL244" s="1237"/>
      <c r="TM244" s="1237"/>
      <c r="TN244" s="1237"/>
      <c r="TO244" s="1237"/>
      <c r="TP244" s="1237"/>
      <c r="TQ244" s="1237"/>
      <c r="TR244" s="1237"/>
      <c r="TS244" s="1237"/>
      <c r="TT244" s="1237"/>
      <c r="TU244" s="1237"/>
      <c r="TV244" s="1237"/>
      <c r="TW244" s="1237"/>
      <c r="TX244" s="1237"/>
      <c r="TY244" s="1237"/>
      <c r="TZ244" s="1237"/>
      <c r="UA244" s="1237"/>
      <c r="UB244" s="1237"/>
      <c r="UC244" s="1237"/>
      <c r="UD244" s="1237"/>
      <c r="UE244" s="1237"/>
      <c r="UF244" s="1237"/>
      <c r="UG244" s="1237"/>
      <c r="UH244" s="1237"/>
      <c r="UI244" s="1237"/>
      <c r="UJ244" s="1237"/>
      <c r="UK244" s="1237"/>
      <c r="UL244" s="1237"/>
      <c r="UM244" s="1237"/>
      <c r="UN244" s="1237"/>
      <c r="UO244" s="1237"/>
      <c r="UP244" s="1237"/>
      <c r="UQ244" s="1237"/>
      <c r="UR244" s="1237"/>
      <c r="US244" s="1237"/>
      <c r="UT244" s="1237"/>
      <c r="UU244" s="1237"/>
      <c r="UV244" s="1237"/>
      <c r="UW244" s="1237"/>
      <c r="UX244" s="1237"/>
      <c r="UY244" s="1237"/>
      <c r="UZ244" s="1237"/>
      <c r="VA244" s="1237"/>
      <c r="VB244" s="1237"/>
      <c r="VC244" s="1237"/>
      <c r="VD244" s="1237"/>
      <c r="VE244" s="1237"/>
      <c r="VF244" s="1237"/>
      <c r="VG244" s="1237"/>
      <c r="VH244" s="1237"/>
      <c r="VI244" s="1237"/>
      <c r="VJ244" s="1237"/>
      <c r="VK244" s="1237"/>
      <c r="VL244" s="1237"/>
      <c r="VM244" s="1237"/>
      <c r="VN244" s="1237"/>
      <c r="VO244" s="1237"/>
      <c r="VP244" s="1237"/>
      <c r="VQ244" s="1237"/>
      <c r="VR244" s="1237"/>
      <c r="VS244" s="1237"/>
      <c r="VT244" s="1237"/>
      <c r="VU244" s="1237"/>
      <c r="VV244" s="1237"/>
      <c r="VW244" s="1237"/>
      <c r="VX244" s="1237"/>
      <c r="VY244" s="1237"/>
      <c r="VZ244" s="1237"/>
      <c r="WA244" s="1237"/>
      <c r="WB244" s="1237"/>
      <c r="WC244" s="1237"/>
      <c r="WD244" s="1237"/>
      <c r="WE244" s="1237"/>
      <c r="WF244" s="1237"/>
      <c r="WG244" s="1237"/>
      <c r="WH244" s="1237"/>
      <c r="WI244" s="1237"/>
      <c r="WJ244" s="1237"/>
      <c r="WK244" s="1237"/>
      <c r="WL244" s="1237"/>
      <c r="WM244" s="1237"/>
      <c r="WN244" s="1237"/>
      <c r="WO244" s="1237"/>
      <c r="WP244" s="1237"/>
      <c r="WQ244" s="1237"/>
      <c r="WR244" s="1237"/>
      <c r="WS244" s="1237"/>
      <c r="WT244" s="1237"/>
      <c r="WU244" s="1237"/>
      <c r="WV244" s="1237"/>
      <c r="WW244" s="1237"/>
      <c r="WX244" s="1237"/>
      <c r="WY244" s="1237"/>
      <c r="WZ244" s="1237"/>
      <c r="XA244" s="1237"/>
      <c r="XB244" s="1237"/>
      <c r="XC244" s="1237"/>
      <c r="XD244" s="1237"/>
      <c r="XE244" s="1237"/>
      <c r="XF244" s="1237"/>
      <c r="XG244" s="1237"/>
      <c r="XH244" s="1237"/>
      <c r="XI244" s="1237"/>
      <c r="XJ244" s="1237"/>
      <c r="XK244" s="1237"/>
      <c r="XL244" s="1237"/>
      <c r="XM244" s="1237"/>
      <c r="XN244" s="1237"/>
      <c r="XO244" s="1237"/>
      <c r="XP244" s="1237"/>
      <c r="XQ244" s="1237"/>
      <c r="XR244" s="1237"/>
      <c r="XS244" s="1237"/>
      <c r="XT244" s="1237"/>
      <c r="XU244" s="1237"/>
      <c r="XV244" s="1237"/>
      <c r="XW244" s="1237"/>
      <c r="XX244" s="1237"/>
      <c r="XY244" s="1237"/>
      <c r="XZ244" s="1237"/>
      <c r="YA244" s="1237"/>
      <c r="YB244" s="1237"/>
      <c r="YC244" s="1237"/>
      <c r="YD244" s="1237"/>
      <c r="YE244" s="1237"/>
      <c r="YF244" s="1237"/>
      <c r="YG244" s="1237"/>
      <c r="YH244" s="1237"/>
      <c r="YI244" s="1237"/>
      <c r="YJ244" s="1237"/>
      <c r="YK244" s="1237"/>
      <c r="YL244" s="1237"/>
      <c r="YM244" s="1237"/>
      <c r="YN244" s="1237"/>
      <c r="YO244" s="1237"/>
      <c r="YP244" s="1237"/>
      <c r="YQ244" s="1237"/>
      <c r="YR244" s="1237"/>
      <c r="YS244" s="1237"/>
      <c r="YT244" s="1237"/>
      <c r="YU244" s="1237"/>
      <c r="YV244" s="1237"/>
      <c r="YW244" s="1237"/>
      <c r="YX244" s="1237"/>
      <c r="YY244" s="1237"/>
      <c r="YZ244" s="1237"/>
      <c r="ZA244" s="1237"/>
      <c r="ZB244" s="1237"/>
      <c r="ZC244" s="1237"/>
      <c r="ZD244" s="1237"/>
      <c r="ZE244" s="1237"/>
      <c r="ZF244" s="1237"/>
      <c r="ZG244" s="1237"/>
      <c r="ZH244" s="1237"/>
      <c r="ZI244" s="1237"/>
      <c r="ZJ244" s="1237"/>
      <c r="ZK244" s="1237"/>
      <c r="ZL244" s="1237"/>
      <c r="ZM244" s="1237"/>
      <c r="ZN244" s="1237"/>
      <c r="ZO244" s="1237"/>
      <c r="ZP244" s="1237"/>
      <c r="ZQ244" s="1237"/>
      <c r="ZR244" s="1237"/>
      <c r="ZS244" s="1237"/>
      <c r="ZT244" s="1237"/>
      <c r="ZU244" s="1237"/>
      <c r="ZV244" s="1237"/>
      <c r="ZW244" s="1237"/>
      <c r="ZX244" s="1237"/>
      <c r="ZY244" s="1237"/>
      <c r="ZZ244" s="1237"/>
      <c r="AAA244" s="1237"/>
      <c r="AAB244" s="1237"/>
      <c r="AAC244" s="1237"/>
      <c r="AAD244" s="1237"/>
      <c r="AAE244" s="1237"/>
      <c r="AAF244" s="1237"/>
      <c r="AAG244" s="1237"/>
      <c r="AAH244" s="1237"/>
      <c r="AAI244" s="1237"/>
      <c r="AAJ244" s="1237"/>
      <c r="AAK244" s="1237"/>
      <c r="AAL244" s="1237"/>
      <c r="AAM244" s="1237"/>
      <c r="AAN244" s="1237"/>
      <c r="AAO244" s="1237"/>
      <c r="AAP244" s="1237"/>
      <c r="AAQ244" s="1237"/>
      <c r="AAR244" s="1237"/>
      <c r="AAS244" s="1237"/>
      <c r="AAT244" s="1237"/>
      <c r="AAU244" s="1237"/>
      <c r="AAV244" s="1237"/>
      <c r="AAW244" s="1237"/>
      <c r="AAX244" s="1237"/>
      <c r="AAY244" s="1237"/>
      <c r="AAZ244" s="1237"/>
      <c r="ABA244" s="1237"/>
      <c r="ABB244" s="1237"/>
      <c r="ABC244" s="1237"/>
      <c r="ABD244" s="1237"/>
      <c r="ABE244" s="1237"/>
      <c r="ABF244" s="1237"/>
      <c r="ABG244" s="1237"/>
      <c r="ABH244" s="1237"/>
      <c r="ABI244" s="1237"/>
      <c r="ABJ244" s="1237"/>
      <c r="ABK244" s="1237"/>
      <c r="ABL244" s="1237"/>
      <c r="ABM244" s="1237"/>
      <c r="ABN244" s="1237"/>
      <c r="ABO244" s="1237"/>
      <c r="ABP244" s="1237"/>
      <c r="ABQ244" s="1237"/>
      <c r="ABR244" s="1237"/>
    </row>
    <row r="245" spans="1:746" s="111" customFormat="1" ht="12" customHeight="1">
      <c r="A245" s="2244"/>
      <c r="B245" s="2620" t="s">
        <v>1195</v>
      </c>
      <c r="C245" s="2621"/>
      <c r="D245" s="2500"/>
      <c r="E245" s="3000"/>
      <c r="F245" s="3001"/>
      <c r="G245" s="3002"/>
      <c r="H245" s="2501"/>
      <c r="I245" s="373"/>
      <c r="J245" s="2608"/>
      <c r="K245" s="2608"/>
      <c r="L245" s="2608"/>
      <c r="M245" s="2608"/>
      <c r="N245" s="2608"/>
      <c r="O245" s="2608"/>
      <c r="P245" s="2608"/>
      <c r="Q245" s="2608"/>
      <c r="R245" s="2608"/>
      <c r="S245" s="2608"/>
      <c r="T245" s="2608"/>
      <c r="U245" s="2274"/>
      <c r="V245" s="2274"/>
      <c r="W245" s="2274"/>
      <c r="X245" s="2274"/>
      <c r="Y245" s="2274"/>
      <c r="Z245" s="2274"/>
      <c r="AA245" s="2274"/>
      <c r="AB245" s="2274"/>
      <c r="AC245" s="2274"/>
      <c r="AD245" s="2274"/>
      <c r="AE245" s="2274"/>
      <c r="AF245" s="2274"/>
      <c r="AG245" s="337"/>
      <c r="AH245" s="786"/>
      <c r="AI245" s="786"/>
      <c r="AJ245" s="1044"/>
      <c r="AK245" s="1047"/>
      <c r="AL245" s="1044"/>
      <c r="AM245" s="1009"/>
      <c r="AN245" s="1026"/>
      <c r="AO245" s="1945"/>
      <c r="AP245" s="1935"/>
      <c r="AQ245" s="1936"/>
      <c r="AR245" s="1941"/>
      <c r="AS245" s="1941"/>
      <c r="AT245" s="1941"/>
      <c r="AU245" s="1941"/>
      <c r="AV245" s="1941"/>
      <c r="AW245" s="1941"/>
      <c r="AX245" s="1941"/>
      <c r="AY245" s="1941"/>
      <c r="AZ245" s="1941"/>
      <c r="BA245" s="1941"/>
      <c r="BB245" s="1941"/>
      <c r="BC245" s="1941"/>
      <c r="BD245" s="1941"/>
      <c r="BE245" s="1941"/>
      <c r="BF245" s="1941"/>
      <c r="BG245" s="1941"/>
      <c r="BH245" s="1941"/>
      <c r="BI245" s="1941"/>
      <c r="BJ245" s="1941"/>
      <c r="BK245" s="1941"/>
      <c r="BL245" s="1941"/>
      <c r="BM245" s="1941"/>
      <c r="BN245" s="1941"/>
      <c r="BO245" s="1941"/>
      <c r="BP245" s="1009"/>
      <c r="BQ245" s="1009"/>
      <c r="BR245" s="1009"/>
      <c r="BS245" s="1009"/>
      <c r="BT245" s="1009"/>
      <c r="BU245" s="1009"/>
      <c r="BV245" s="1009"/>
      <c r="BW245" s="1009"/>
      <c r="BX245" s="1009"/>
      <c r="BY245" s="1009"/>
      <c r="BZ245" s="1009"/>
      <c r="CA245" s="1009"/>
      <c r="CB245" s="1009"/>
      <c r="CC245" s="1009"/>
      <c r="CD245" s="1009"/>
      <c r="CE245" s="1009"/>
      <c r="CF245" s="1009"/>
      <c r="CG245" s="1009"/>
      <c r="CH245" s="1009"/>
      <c r="CI245" s="1009"/>
      <c r="CJ245" s="1009"/>
      <c r="CK245" s="1009"/>
      <c r="CL245" s="1009"/>
      <c r="CM245" s="1009"/>
      <c r="CN245" s="1009"/>
      <c r="CO245" s="1009"/>
      <c r="CP245" s="1009"/>
      <c r="CQ245" s="1009"/>
      <c r="CR245" s="1009"/>
      <c r="CS245" s="1009"/>
      <c r="CT245" s="1009"/>
      <c r="CU245" s="1009"/>
      <c r="CV245" s="1009"/>
      <c r="CW245" s="1009"/>
      <c r="CX245" s="1009"/>
      <c r="CY245" s="1009"/>
      <c r="CZ245" s="1009"/>
      <c r="DA245" s="1009"/>
      <c r="DB245" s="1009"/>
      <c r="DC245" s="1009"/>
      <c r="DD245" s="1009"/>
      <c r="DE245" s="1009"/>
      <c r="DF245" s="1009"/>
      <c r="DG245" s="1009"/>
      <c r="DH245" s="1009"/>
      <c r="DI245" s="1009"/>
      <c r="DJ245" s="1009"/>
      <c r="DK245" s="1009"/>
      <c r="DL245" s="1009"/>
      <c r="DM245" s="1009"/>
      <c r="DN245" s="1009"/>
      <c r="DO245" s="1009"/>
      <c r="DP245" s="1009"/>
      <c r="DQ245" s="1009"/>
      <c r="DR245" s="1009"/>
      <c r="DS245" s="1009"/>
      <c r="DT245" s="1009"/>
      <c r="DU245" s="1009"/>
      <c r="DV245" s="1009"/>
      <c r="DW245" s="1009"/>
      <c r="DX245" s="1009"/>
      <c r="DY245" s="1009"/>
      <c r="DZ245" s="1009"/>
      <c r="EA245" s="1009"/>
      <c r="EB245" s="1009"/>
      <c r="EC245" s="1009"/>
      <c r="ED245" s="1009"/>
      <c r="EE245" s="1009"/>
      <c r="EF245" s="1009"/>
      <c r="EG245" s="1009"/>
      <c r="EH245" s="1009"/>
      <c r="EI245" s="1009"/>
      <c r="EJ245" s="1009"/>
      <c r="EK245" s="1009"/>
      <c r="EL245" s="1009"/>
      <c r="EM245" s="1009"/>
      <c r="EN245" s="1009"/>
      <c r="EO245" s="1009"/>
      <c r="EP245" s="1009"/>
      <c r="EQ245" s="1009"/>
      <c r="ER245" s="1009"/>
      <c r="ES245" s="1009"/>
      <c r="ET245" s="1009"/>
      <c r="EU245" s="1009"/>
      <c r="EV245" s="1009"/>
      <c r="EW245" s="1009"/>
      <c r="EX245" s="1009"/>
      <c r="EY245" s="1009"/>
      <c r="EZ245" s="1009"/>
      <c r="FA245" s="1009"/>
      <c r="FB245" s="1009"/>
      <c r="FC245" s="1009"/>
      <c r="FD245" s="1009"/>
      <c r="FE245" s="1009"/>
      <c r="FF245" s="1009"/>
      <c r="FG245" s="1009"/>
      <c r="FH245" s="1009"/>
      <c r="FI245" s="1009"/>
      <c r="FJ245" s="1009"/>
      <c r="FK245" s="1009"/>
      <c r="FL245" s="1009"/>
      <c r="FM245" s="1009"/>
      <c r="FN245" s="1009"/>
      <c r="FO245" s="1009"/>
      <c r="FP245" s="1009"/>
      <c r="FQ245" s="1009"/>
      <c r="FR245" s="1009"/>
      <c r="FS245" s="1009"/>
      <c r="FT245" s="1009"/>
      <c r="FU245" s="1009"/>
      <c r="FV245" s="1009"/>
      <c r="FW245" s="1009"/>
      <c r="FX245" s="1009"/>
      <c r="FY245" s="1009"/>
      <c r="FZ245" s="1009"/>
      <c r="GA245" s="1009"/>
      <c r="GB245" s="1009"/>
      <c r="GC245" s="1009"/>
      <c r="GD245" s="1009"/>
      <c r="GE245" s="1009"/>
      <c r="GF245" s="1009"/>
      <c r="GG245" s="1009"/>
      <c r="GH245" s="1009"/>
      <c r="GI245" s="1009"/>
      <c r="GJ245" s="1009"/>
      <c r="GK245" s="1009"/>
      <c r="GL245" s="1009"/>
      <c r="GM245" s="1009"/>
      <c r="GN245" s="1009"/>
      <c r="GO245" s="1009"/>
      <c r="GP245" s="1009"/>
      <c r="GQ245" s="1009"/>
      <c r="GR245" s="1009"/>
      <c r="GS245" s="1009"/>
      <c r="GT245" s="1009"/>
      <c r="GU245" s="1009"/>
      <c r="GV245" s="1009"/>
      <c r="GW245" s="1009"/>
      <c r="GX245" s="1009"/>
      <c r="GY245" s="1009"/>
      <c r="GZ245" s="1009"/>
      <c r="HA245" s="1009"/>
      <c r="HB245" s="1009"/>
      <c r="HC245" s="1009"/>
      <c r="HD245" s="1009"/>
      <c r="HE245" s="1009"/>
      <c r="HF245" s="1009"/>
      <c r="HG245" s="1009"/>
      <c r="HH245" s="1009"/>
      <c r="HI245" s="1009"/>
      <c r="HJ245" s="1009"/>
      <c r="HK245" s="1009"/>
      <c r="HL245" s="1009"/>
      <c r="HM245" s="1009"/>
      <c r="HN245" s="1009"/>
      <c r="HO245" s="1009"/>
      <c r="HP245" s="1009"/>
      <c r="HQ245" s="1009"/>
      <c r="HR245" s="1009"/>
      <c r="HS245" s="1009"/>
      <c r="HT245" s="1009"/>
      <c r="HU245" s="1009"/>
      <c r="HV245" s="1009"/>
      <c r="HW245" s="1009"/>
      <c r="HX245" s="1009"/>
      <c r="HY245" s="1009"/>
      <c r="HZ245" s="1009"/>
      <c r="IA245" s="1009"/>
      <c r="IB245" s="1009"/>
      <c r="IC245" s="1009"/>
      <c r="ID245" s="1009"/>
      <c r="IE245" s="1009"/>
      <c r="IF245" s="1009"/>
      <c r="IG245" s="1009"/>
      <c r="IH245" s="1009"/>
      <c r="II245" s="1009"/>
      <c r="IJ245" s="1009"/>
      <c r="IK245" s="1009"/>
      <c r="IL245" s="1009"/>
      <c r="IM245" s="1009"/>
      <c r="IN245" s="1009"/>
      <c r="IO245" s="1009"/>
      <c r="IP245" s="1009"/>
      <c r="IQ245" s="1009"/>
      <c r="IR245" s="1009"/>
      <c r="IS245" s="1009"/>
      <c r="IT245" s="1009"/>
      <c r="IU245" s="1009"/>
      <c r="IV245" s="1009"/>
      <c r="IW245" s="1009"/>
      <c r="IX245" s="1009"/>
      <c r="IY245" s="1009"/>
      <c r="IZ245" s="1009"/>
      <c r="JA245" s="1009"/>
      <c r="JB245" s="1009"/>
      <c r="JC245" s="1009"/>
      <c r="JD245" s="1009"/>
      <c r="JE245" s="1009"/>
      <c r="JF245" s="1009"/>
      <c r="JG245" s="1009"/>
      <c r="JH245" s="1009"/>
      <c r="JI245" s="1009"/>
      <c r="JJ245" s="1009"/>
      <c r="JK245" s="1009"/>
      <c r="JL245" s="1009"/>
      <c r="JM245" s="1009"/>
      <c r="JN245" s="1009"/>
      <c r="JO245" s="1009"/>
      <c r="JP245" s="1009"/>
      <c r="JQ245" s="1009"/>
      <c r="JR245" s="1009"/>
      <c r="JS245" s="1009"/>
      <c r="JT245" s="1009"/>
      <c r="JU245" s="1009"/>
      <c r="JV245" s="1009"/>
      <c r="JW245" s="1009"/>
      <c r="JX245" s="1009"/>
      <c r="JY245" s="1009"/>
      <c r="JZ245" s="1009"/>
      <c r="KA245" s="1009"/>
      <c r="KB245" s="1009"/>
      <c r="KC245" s="1009"/>
      <c r="KD245" s="1009"/>
      <c r="KE245" s="1009"/>
      <c r="KF245" s="1009"/>
      <c r="KG245" s="1009"/>
      <c r="KH245" s="1009"/>
      <c r="KI245" s="1009"/>
      <c r="KJ245" s="1009"/>
      <c r="KK245" s="1009"/>
      <c r="KL245" s="1009"/>
      <c r="KM245" s="1009"/>
      <c r="KN245" s="1009"/>
      <c r="KO245" s="1009"/>
      <c r="KP245" s="1009"/>
      <c r="KQ245" s="1009"/>
      <c r="KR245" s="1009"/>
      <c r="KS245" s="1009"/>
      <c r="KT245" s="1009"/>
      <c r="KU245" s="1009"/>
      <c r="KV245" s="1009"/>
      <c r="KW245" s="1009"/>
      <c r="KX245" s="1009"/>
      <c r="KY245" s="1009"/>
      <c r="KZ245" s="1009"/>
      <c r="LA245" s="1009"/>
      <c r="LB245" s="1009"/>
      <c r="LC245" s="1009"/>
      <c r="LD245" s="1009"/>
      <c r="LE245" s="1009"/>
      <c r="LF245" s="1009"/>
      <c r="LG245" s="1009"/>
      <c r="LH245" s="1009"/>
      <c r="LI245" s="1009"/>
      <c r="LJ245" s="1009"/>
      <c r="LK245" s="1009"/>
      <c r="LL245" s="1009"/>
      <c r="LM245" s="1009"/>
      <c r="LN245" s="1009"/>
      <c r="LO245" s="1009"/>
      <c r="LP245" s="1009"/>
      <c r="LQ245" s="1009"/>
      <c r="LR245" s="1009"/>
      <c r="LS245" s="1009"/>
      <c r="LT245" s="1009"/>
      <c r="LU245" s="1009"/>
      <c r="LV245" s="1009"/>
      <c r="LW245" s="1009"/>
      <c r="LX245" s="1009"/>
      <c r="LY245" s="1009"/>
      <c r="LZ245" s="1009"/>
      <c r="MA245" s="1009"/>
      <c r="MB245" s="1009"/>
      <c r="MC245" s="1009"/>
      <c r="MD245" s="1009"/>
      <c r="ME245" s="1009"/>
      <c r="MF245" s="1009"/>
      <c r="MG245" s="1009"/>
      <c r="MH245" s="1009"/>
      <c r="MI245" s="1009"/>
      <c r="MJ245" s="1009"/>
      <c r="MK245" s="1009"/>
      <c r="ML245" s="1009"/>
      <c r="MM245" s="1009"/>
      <c r="MN245" s="1009"/>
      <c r="MO245" s="1009"/>
      <c r="MP245" s="1009"/>
      <c r="MQ245" s="1009"/>
      <c r="MR245" s="1009"/>
      <c r="MS245" s="1009"/>
      <c r="MT245" s="1009"/>
      <c r="MU245" s="1009"/>
      <c r="MV245" s="1009"/>
      <c r="MW245" s="1009"/>
      <c r="MX245" s="1009"/>
      <c r="MY245" s="1009"/>
      <c r="MZ245" s="1009"/>
      <c r="NA245" s="1009"/>
      <c r="NB245" s="1009"/>
      <c r="NC245" s="1009"/>
      <c r="ND245" s="1009"/>
      <c r="NE245" s="1009"/>
      <c r="NF245" s="1009"/>
      <c r="NG245" s="1009"/>
      <c r="NH245" s="1009"/>
      <c r="NI245" s="1009"/>
      <c r="NJ245" s="1009"/>
      <c r="NK245" s="1009"/>
      <c r="NL245" s="1009"/>
      <c r="NM245" s="1009"/>
      <c r="NN245" s="1009"/>
      <c r="NO245" s="1009"/>
      <c r="NP245" s="1009"/>
      <c r="NQ245" s="1009"/>
      <c r="NR245" s="1009"/>
      <c r="NS245" s="1009"/>
      <c r="NT245" s="1009"/>
      <c r="NU245" s="1009"/>
      <c r="NV245" s="1009"/>
      <c r="NW245" s="1009"/>
      <c r="NX245" s="1009"/>
      <c r="NY245" s="1009"/>
      <c r="NZ245" s="1009"/>
      <c r="OA245" s="1009"/>
      <c r="OB245" s="1009"/>
      <c r="OC245" s="1009"/>
      <c r="OD245" s="1009"/>
      <c r="OE245" s="1009"/>
      <c r="OF245" s="1009"/>
      <c r="OG245" s="1009"/>
      <c r="OH245" s="1009"/>
      <c r="OI245" s="1009"/>
      <c r="OJ245" s="1009"/>
      <c r="OK245" s="1009"/>
      <c r="OL245" s="1009"/>
      <c r="OM245" s="1009"/>
      <c r="ON245" s="1009"/>
      <c r="OO245" s="1009"/>
      <c r="OP245" s="1009"/>
      <c r="OQ245" s="1009"/>
      <c r="OR245" s="1009"/>
      <c r="OS245" s="1009"/>
      <c r="OT245" s="1009"/>
      <c r="OU245" s="1009"/>
      <c r="OV245" s="1009"/>
      <c r="OW245" s="1009"/>
      <c r="OX245" s="1009"/>
      <c r="OY245" s="1009"/>
      <c r="OZ245" s="1009"/>
      <c r="PA245" s="1009"/>
      <c r="PB245" s="1009"/>
      <c r="PC245" s="1009"/>
      <c r="PD245" s="1009"/>
      <c r="PE245" s="1009"/>
      <c r="PF245" s="1009"/>
      <c r="PG245" s="1009"/>
      <c r="PH245" s="1009"/>
      <c r="PI245" s="1009"/>
      <c r="PJ245" s="1009"/>
      <c r="PK245" s="1009"/>
      <c r="PL245" s="1009"/>
      <c r="PM245" s="1009"/>
      <c r="PN245" s="1009"/>
      <c r="PO245" s="1009"/>
      <c r="PP245" s="1009"/>
      <c r="PQ245" s="1009"/>
      <c r="PR245" s="1009"/>
      <c r="PS245" s="1009"/>
      <c r="PT245" s="1009"/>
      <c r="PU245" s="1009"/>
      <c r="PV245" s="1009"/>
      <c r="PW245" s="1009"/>
      <c r="PX245" s="1009"/>
      <c r="PY245" s="1009"/>
      <c r="PZ245" s="1009"/>
      <c r="QA245" s="1009"/>
      <c r="QB245" s="1009"/>
      <c r="QC245" s="1009"/>
      <c r="QD245" s="1009"/>
      <c r="QE245" s="1009"/>
      <c r="QF245" s="1009"/>
      <c r="QG245" s="1009"/>
      <c r="QH245" s="1009"/>
      <c r="QI245" s="1009"/>
      <c r="QJ245" s="1009"/>
      <c r="QK245" s="1009"/>
      <c r="QL245" s="1009"/>
      <c r="QM245" s="1009"/>
      <c r="QN245" s="1009"/>
      <c r="QO245" s="1009"/>
      <c r="QP245" s="1009"/>
      <c r="QQ245" s="1009"/>
      <c r="QR245" s="1009"/>
      <c r="QS245" s="1009"/>
      <c r="QT245" s="1009"/>
      <c r="QU245" s="1009"/>
      <c r="QV245" s="1009"/>
      <c r="QW245" s="1009"/>
      <c r="QX245" s="1009"/>
      <c r="QY245" s="1009"/>
      <c r="QZ245" s="1009"/>
      <c r="RA245" s="1009"/>
      <c r="RB245" s="1009"/>
      <c r="RC245" s="1009"/>
      <c r="RD245" s="1009"/>
      <c r="RE245" s="1009"/>
      <c r="RF245" s="1009"/>
      <c r="RG245" s="1009"/>
      <c r="RH245" s="1009"/>
      <c r="RI245" s="1009"/>
      <c r="RJ245" s="1009"/>
      <c r="RK245" s="1009"/>
      <c r="RL245" s="1009"/>
      <c r="RM245" s="1009"/>
      <c r="RN245" s="1009"/>
      <c r="RO245" s="1009"/>
      <c r="RP245" s="1009"/>
      <c r="RQ245" s="1009"/>
      <c r="RR245" s="1009"/>
      <c r="RS245" s="1009"/>
      <c r="RT245" s="1009"/>
      <c r="RU245" s="1009"/>
      <c r="RV245" s="1009"/>
      <c r="RW245" s="1009"/>
      <c r="RX245" s="1009"/>
      <c r="RY245" s="1009"/>
      <c r="RZ245" s="1009"/>
      <c r="SA245" s="1009"/>
      <c r="SB245" s="1009"/>
      <c r="SC245" s="1009"/>
      <c r="SD245" s="1009"/>
      <c r="SE245" s="1009"/>
      <c r="SF245" s="1009"/>
      <c r="SG245" s="1009"/>
      <c r="SH245" s="1009"/>
      <c r="SI245" s="1009"/>
      <c r="SJ245" s="1009"/>
      <c r="SK245" s="1009"/>
      <c r="SL245" s="1009"/>
      <c r="SM245" s="1009"/>
      <c r="SN245" s="1009"/>
      <c r="SO245" s="1009"/>
      <c r="SP245" s="1009"/>
      <c r="SQ245" s="1009"/>
      <c r="SR245" s="1009"/>
      <c r="SS245" s="1009"/>
      <c r="ST245" s="1009"/>
      <c r="SU245" s="1009"/>
      <c r="SV245" s="1009"/>
      <c r="SW245" s="1009"/>
      <c r="SX245" s="1009"/>
      <c r="SY245" s="1009"/>
      <c r="SZ245" s="1009"/>
      <c r="TA245" s="1009"/>
      <c r="TB245" s="1009"/>
      <c r="TC245" s="1009"/>
      <c r="TD245" s="1009"/>
      <c r="TE245" s="1009"/>
      <c r="TF245" s="1009"/>
      <c r="TG245" s="1009"/>
      <c r="TH245" s="1009"/>
      <c r="TI245" s="1009"/>
      <c r="TJ245" s="1009"/>
      <c r="TK245" s="1009"/>
      <c r="TL245" s="1009"/>
      <c r="TM245" s="1009"/>
      <c r="TN245" s="1009"/>
      <c r="TO245" s="1009"/>
      <c r="TP245" s="1009"/>
      <c r="TQ245" s="1009"/>
      <c r="TR245" s="1009"/>
      <c r="TS245" s="1009"/>
      <c r="TT245" s="1009"/>
      <c r="TU245" s="1009"/>
      <c r="TV245" s="1009"/>
      <c r="TW245" s="1009"/>
      <c r="TX245" s="1009"/>
      <c r="TY245" s="1009"/>
      <c r="TZ245" s="1009"/>
      <c r="UA245" s="1009"/>
      <c r="UB245" s="1009"/>
      <c r="UC245" s="1009"/>
      <c r="UD245" s="1009"/>
      <c r="UE245" s="1009"/>
      <c r="UF245" s="1009"/>
      <c r="UG245" s="1009"/>
      <c r="UH245" s="1009"/>
      <c r="UI245" s="1009"/>
      <c r="UJ245" s="1009"/>
      <c r="UK245" s="1009"/>
      <c r="UL245" s="1009"/>
      <c r="UM245" s="1009"/>
      <c r="UN245" s="1009"/>
      <c r="UO245" s="1009"/>
      <c r="UP245" s="1009"/>
      <c r="UQ245" s="1009"/>
      <c r="UR245" s="1009"/>
      <c r="US245" s="1009"/>
      <c r="UT245" s="1009"/>
      <c r="UU245" s="1009"/>
      <c r="UV245" s="1009"/>
      <c r="UW245" s="1009"/>
      <c r="UX245" s="1009"/>
      <c r="UY245" s="1009"/>
      <c r="UZ245" s="1009"/>
      <c r="VA245" s="1009"/>
      <c r="VB245" s="1009"/>
      <c r="VC245" s="1009"/>
      <c r="VD245" s="1009"/>
      <c r="VE245" s="1009"/>
      <c r="VF245" s="1009"/>
      <c r="VG245" s="1009"/>
      <c r="VH245" s="1009"/>
      <c r="VI245" s="1009"/>
      <c r="VJ245" s="1009"/>
      <c r="VK245" s="1009"/>
      <c r="VL245" s="1009"/>
      <c r="VM245" s="1009"/>
      <c r="VN245" s="1009"/>
      <c r="VO245" s="1009"/>
      <c r="VP245" s="1009"/>
      <c r="VQ245" s="1009"/>
      <c r="VR245" s="1009"/>
      <c r="VS245" s="1009"/>
      <c r="VT245" s="1009"/>
      <c r="VU245" s="1009"/>
      <c r="VV245" s="1009"/>
      <c r="VW245" s="1009"/>
      <c r="VX245" s="1009"/>
      <c r="VY245" s="1009"/>
      <c r="VZ245" s="1009"/>
      <c r="WA245" s="1009"/>
      <c r="WB245" s="1009"/>
      <c r="WC245" s="1009"/>
      <c r="WD245" s="1009"/>
      <c r="WE245" s="1009"/>
      <c r="WF245" s="1009"/>
      <c r="WG245" s="1009"/>
      <c r="WH245" s="1009"/>
      <c r="WI245" s="1009"/>
      <c r="WJ245" s="1009"/>
      <c r="WK245" s="1009"/>
      <c r="WL245" s="1009"/>
      <c r="WM245" s="1009"/>
      <c r="WN245" s="1009"/>
      <c r="WO245" s="1009"/>
      <c r="WP245" s="1009"/>
      <c r="WQ245" s="1009"/>
      <c r="WR245" s="1009"/>
      <c r="WS245" s="1009"/>
      <c r="WT245" s="1009"/>
      <c r="WU245" s="1009"/>
      <c r="WV245" s="1009"/>
      <c r="WW245" s="1009"/>
      <c r="WX245" s="1009"/>
      <c r="WY245" s="1009"/>
      <c r="WZ245" s="1009"/>
      <c r="XA245" s="1009"/>
      <c r="XB245" s="1009"/>
      <c r="XC245" s="1009"/>
      <c r="XD245" s="1009"/>
      <c r="XE245" s="1009"/>
      <c r="XF245" s="1009"/>
      <c r="XG245" s="1009"/>
      <c r="XH245" s="1009"/>
      <c r="XI245" s="1009"/>
      <c r="XJ245" s="1009"/>
      <c r="XK245" s="1009"/>
      <c r="XL245" s="1009"/>
      <c r="XM245" s="1009"/>
      <c r="XN245" s="1009"/>
      <c r="XO245" s="1009"/>
      <c r="XP245" s="1009"/>
      <c r="XQ245" s="1009"/>
      <c r="XR245" s="1009"/>
      <c r="XS245" s="1009"/>
      <c r="XT245" s="1009"/>
      <c r="XU245" s="1009"/>
      <c r="XV245" s="1009"/>
      <c r="XW245" s="1009"/>
      <c r="XX245" s="1009"/>
      <c r="XY245" s="1009"/>
      <c r="XZ245" s="1009"/>
      <c r="YA245" s="1009"/>
      <c r="YB245" s="1009"/>
      <c r="YC245" s="1009"/>
      <c r="YD245" s="1009"/>
      <c r="YE245" s="1009"/>
      <c r="YF245" s="1009"/>
      <c r="YG245" s="1009"/>
      <c r="YH245" s="1009"/>
      <c r="YI245" s="1009"/>
      <c r="YJ245" s="1009"/>
      <c r="YK245" s="1009"/>
      <c r="YL245" s="1009"/>
      <c r="YM245" s="1009"/>
      <c r="YN245" s="1009"/>
      <c r="YO245" s="1009"/>
      <c r="YP245" s="1009"/>
      <c r="YQ245" s="1009"/>
      <c r="YR245" s="1009"/>
      <c r="YS245" s="1009"/>
      <c r="YT245" s="1009"/>
      <c r="YU245" s="1009"/>
      <c r="YV245" s="1009"/>
      <c r="YW245" s="1009"/>
      <c r="YX245" s="1009"/>
      <c r="YY245" s="1009"/>
      <c r="YZ245" s="1009"/>
      <c r="ZA245" s="1009"/>
      <c r="ZB245" s="1009"/>
      <c r="ZC245" s="1009"/>
      <c r="ZD245" s="1009"/>
      <c r="ZE245" s="1009"/>
      <c r="ZF245" s="1009"/>
      <c r="ZG245" s="1009"/>
      <c r="ZH245" s="1009"/>
      <c r="ZI245" s="1009"/>
      <c r="ZJ245" s="1009"/>
      <c r="ZK245" s="1009"/>
      <c r="ZL245" s="1009"/>
      <c r="ZM245" s="1009"/>
      <c r="ZN245" s="1009"/>
      <c r="ZO245" s="1009"/>
      <c r="ZP245" s="1009"/>
      <c r="ZQ245" s="1009"/>
      <c r="ZR245" s="1009"/>
      <c r="ZS245" s="1009"/>
      <c r="ZT245" s="1009"/>
      <c r="ZU245" s="1009"/>
      <c r="ZV245" s="1009"/>
      <c r="ZW245" s="1009"/>
      <c r="ZX245" s="1009"/>
      <c r="ZY245" s="1009"/>
      <c r="ZZ245" s="1009"/>
      <c r="AAA245" s="1009"/>
      <c r="AAB245" s="1009"/>
      <c r="AAC245" s="1009"/>
      <c r="AAD245" s="1009"/>
      <c r="AAE245" s="1009"/>
      <c r="AAF245" s="1009"/>
      <c r="AAG245" s="1009"/>
      <c r="AAH245" s="1009"/>
      <c r="AAI245" s="1009"/>
      <c r="AAJ245" s="1009"/>
      <c r="AAK245" s="1009"/>
      <c r="AAL245" s="1009"/>
      <c r="AAM245" s="1009"/>
      <c r="AAN245" s="1009"/>
      <c r="AAO245" s="1009"/>
      <c r="AAP245" s="1009"/>
      <c r="AAQ245" s="1009"/>
      <c r="AAR245" s="1009"/>
      <c r="AAS245" s="1009"/>
      <c r="AAT245" s="1009"/>
      <c r="AAU245" s="1009"/>
      <c r="AAV245" s="1009"/>
      <c r="AAW245" s="1009"/>
      <c r="AAX245" s="1009"/>
      <c r="AAY245" s="1009"/>
      <c r="AAZ245" s="1009"/>
      <c r="ABA245" s="1009"/>
      <c r="ABB245" s="1009"/>
      <c r="ABC245" s="1009"/>
      <c r="ABD245" s="1009"/>
      <c r="ABE245" s="1009"/>
      <c r="ABF245" s="1009"/>
      <c r="ABG245" s="1009"/>
      <c r="ABH245" s="1009"/>
      <c r="ABI245" s="1009"/>
      <c r="ABJ245" s="1009"/>
      <c r="ABK245" s="1009"/>
      <c r="ABL245" s="1009"/>
      <c r="ABM245" s="1009"/>
      <c r="ABN245" s="1009"/>
      <c r="ABO245" s="1009"/>
      <c r="ABP245" s="1009"/>
      <c r="ABQ245" s="1009"/>
      <c r="ABR245" s="1009"/>
    </row>
    <row r="246" spans="1:746" s="111" customFormat="1" ht="12" customHeight="1">
      <c r="A246" s="1758"/>
      <c r="B246" s="2693" t="s">
        <v>1196</v>
      </c>
      <c r="C246" s="2675"/>
      <c r="D246" s="2675"/>
      <c r="E246" s="2922"/>
      <c r="F246" s="2923"/>
      <c r="G246" s="2924"/>
      <c r="H246" s="2501"/>
      <c r="I246" s="2326"/>
      <c r="J246" s="2325"/>
      <c r="K246" s="2325"/>
      <c r="L246" s="2325"/>
      <c r="M246" s="2325"/>
      <c r="N246" s="2325"/>
      <c r="O246" s="2325"/>
      <c r="P246" s="2325"/>
      <c r="Q246" s="2325"/>
      <c r="R246" s="2325"/>
      <c r="S246" s="2325"/>
      <c r="T246" s="2325"/>
      <c r="U246" s="2325"/>
      <c r="V246" s="2325"/>
      <c r="W246" s="2325"/>
      <c r="X246" s="2325"/>
      <c r="Y246" s="2325"/>
      <c r="Z246" s="2325"/>
      <c r="AA246" s="2325"/>
      <c r="AB246" s="2325"/>
      <c r="AC246" s="2325"/>
      <c r="AD246" s="2325"/>
      <c r="AE246" s="2325"/>
      <c r="AF246" s="2325"/>
      <c r="AG246" s="337"/>
      <c r="AH246" s="786"/>
      <c r="AI246" s="786"/>
      <c r="AJ246" s="1044"/>
      <c r="AK246" s="1047"/>
      <c r="AL246" s="1044"/>
      <c r="AM246" s="1009"/>
      <c r="AN246" s="1026"/>
      <c r="AO246" s="1945"/>
      <c r="AP246" s="1935"/>
      <c r="AQ246" s="1936"/>
      <c r="AR246" s="1941"/>
      <c r="AS246" s="1941"/>
      <c r="AT246" s="1941"/>
      <c r="AU246" s="1941"/>
      <c r="AV246" s="1941"/>
      <c r="AW246" s="1941"/>
      <c r="AX246" s="1941"/>
      <c r="AY246" s="1941"/>
      <c r="AZ246" s="1941"/>
      <c r="BA246" s="1941"/>
      <c r="BB246" s="1941"/>
      <c r="BC246" s="1941"/>
      <c r="BD246" s="1941"/>
      <c r="BE246" s="1941"/>
      <c r="BF246" s="1941"/>
      <c r="BG246" s="1941"/>
      <c r="BH246" s="1941"/>
      <c r="BI246" s="1941"/>
      <c r="BJ246" s="1941"/>
      <c r="BK246" s="1941"/>
      <c r="BL246" s="1941"/>
      <c r="BM246" s="1941"/>
      <c r="BN246" s="1941"/>
      <c r="BO246" s="1941"/>
      <c r="BP246" s="1009"/>
      <c r="BQ246" s="1009"/>
      <c r="BR246" s="1009"/>
      <c r="BS246" s="1009"/>
      <c r="BT246" s="1009"/>
      <c r="BU246" s="1009"/>
      <c r="BV246" s="1009"/>
      <c r="BW246" s="1009"/>
      <c r="BX246" s="1009"/>
      <c r="BY246" s="1009"/>
      <c r="BZ246" s="1009"/>
      <c r="CA246" s="1009"/>
      <c r="CB246" s="1009"/>
      <c r="CC246" s="1009"/>
      <c r="CD246" s="1009"/>
      <c r="CE246" s="1009"/>
      <c r="CF246" s="1009"/>
      <c r="CG246" s="1009"/>
      <c r="CH246" s="1009"/>
      <c r="CI246" s="1009"/>
      <c r="CJ246" s="1009"/>
      <c r="CK246" s="1009"/>
      <c r="CL246" s="1009"/>
      <c r="CM246" s="1009"/>
      <c r="CN246" s="1009"/>
      <c r="CO246" s="1009"/>
      <c r="CP246" s="1009"/>
      <c r="CQ246" s="1009"/>
      <c r="CR246" s="1009"/>
      <c r="CS246" s="1009"/>
      <c r="CT246" s="1009"/>
      <c r="CU246" s="1009"/>
      <c r="CV246" s="1009"/>
      <c r="CW246" s="1009"/>
      <c r="CX246" s="1009"/>
      <c r="CY246" s="1009"/>
      <c r="CZ246" s="1009"/>
      <c r="DA246" s="1009"/>
      <c r="DB246" s="1009"/>
      <c r="DC246" s="1009"/>
      <c r="DD246" s="1009"/>
      <c r="DE246" s="1009"/>
      <c r="DF246" s="1009"/>
      <c r="DG246" s="1009"/>
      <c r="DH246" s="1009"/>
      <c r="DI246" s="1009"/>
      <c r="DJ246" s="1009"/>
      <c r="DK246" s="1009"/>
      <c r="DL246" s="1009"/>
      <c r="DM246" s="1009"/>
      <c r="DN246" s="1009"/>
      <c r="DO246" s="1009"/>
      <c r="DP246" s="1009"/>
      <c r="DQ246" s="1009"/>
      <c r="DR246" s="1009"/>
      <c r="DS246" s="1009"/>
      <c r="DT246" s="1009"/>
      <c r="DU246" s="1009"/>
      <c r="DV246" s="1009"/>
      <c r="DW246" s="1009"/>
      <c r="DX246" s="1009"/>
      <c r="DY246" s="1009"/>
      <c r="DZ246" s="1009"/>
      <c r="EA246" s="1009"/>
      <c r="EB246" s="1009"/>
      <c r="EC246" s="1009"/>
      <c r="ED246" s="1009"/>
      <c r="EE246" s="1009"/>
      <c r="EF246" s="1009"/>
      <c r="EG246" s="1009"/>
      <c r="EH246" s="1009"/>
      <c r="EI246" s="1009"/>
      <c r="EJ246" s="1009"/>
      <c r="EK246" s="1009"/>
      <c r="EL246" s="1009"/>
      <c r="EM246" s="1009"/>
      <c r="EN246" s="1009"/>
      <c r="EO246" s="1009"/>
      <c r="EP246" s="1009"/>
      <c r="EQ246" s="1009"/>
      <c r="ER246" s="1009"/>
      <c r="ES246" s="1009"/>
      <c r="ET246" s="1009"/>
      <c r="EU246" s="1009"/>
      <c r="EV246" s="1009"/>
      <c r="EW246" s="1009"/>
      <c r="EX246" s="1009"/>
      <c r="EY246" s="1009"/>
      <c r="EZ246" s="1009"/>
      <c r="FA246" s="1009"/>
      <c r="FB246" s="1009"/>
      <c r="FC246" s="1009"/>
      <c r="FD246" s="1009"/>
      <c r="FE246" s="1009"/>
      <c r="FF246" s="1009"/>
      <c r="FG246" s="1009"/>
      <c r="FH246" s="1009"/>
      <c r="FI246" s="1009"/>
      <c r="FJ246" s="1009"/>
      <c r="FK246" s="1009"/>
      <c r="FL246" s="1009"/>
      <c r="FM246" s="1009"/>
      <c r="FN246" s="1009"/>
      <c r="FO246" s="1009"/>
      <c r="FP246" s="1009"/>
      <c r="FQ246" s="1009"/>
      <c r="FR246" s="1009"/>
      <c r="FS246" s="1009"/>
      <c r="FT246" s="1009"/>
      <c r="FU246" s="1009"/>
      <c r="FV246" s="1009"/>
      <c r="FW246" s="1009"/>
      <c r="FX246" s="1009"/>
      <c r="FY246" s="1009"/>
      <c r="FZ246" s="1009"/>
      <c r="GA246" s="1009"/>
      <c r="GB246" s="1009"/>
      <c r="GC246" s="1009"/>
      <c r="GD246" s="1009"/>
      <c r="GE246" s="1009"/>
      <c r="GF246" s="1009"/>
      <c r="GG246" s="1009"/>
      <c r="GH246" s="1009"/>
      <c r="GI246" s="1009"/>
      <c r="GJ246" s="1009"/>
      <c r="GK246" s="1009"/>
      <c r="GL246" s="1009"/>
      <c r="GM246" s="1009"/>
      <c r="GN246" s="1009"/>
      <c r="GO246" s="1009"/>
      <c r="GP246" s="1009"/>
      <c r="GQ246" s="1009"/>
      <c r="GR246" s="1009"/>
      <c r="GS246" s="1009"/>
      <c r="GT246" s="1009"/>
      <c r="GU246" s="1009"/>
      <c r="GV246" s="1009"/>
      <c r="GW246" s="1009"/>
      <c r="GX246" s="1009"/>
      <c r="GY246" s="1009"/>
      <c r="GZ246" s="1009"/>
      <c r="HA246" s="1009"/>
      <c r="HB246" s="1009"/>
      <c r="HC246" s="1009"/>
      <c r="HD246" s="1009"/>
      <c r="HE246" s="1009"/>
      <c r="HF246" s="1009"/>
      <c r="HG246" s="1009"/>
      <c r="HH246" s="1009"/>
      <c r="HI246" s="1009"/>
      <c r="HJ246" s="1009"/>
      <c r="HK246" s="1009"/>
      <c r="HL246" s="1009"/>
      <c r="HM246" s="1009"/>
      <c r="HN246" s="1009"/>
      <c r="HO246" s="1009"/>
      <c r="HP246" s="1009"/>
      <c r="HQ246" s="1009"/>
      <c r="HR246" s="1009"/>
      <c r="HS246" s="1009"/>
      <c r="HT246" s="1009"/>
      <c r="HU246" s="1009"/>
      <c r="HV246" s="1009"/>
      <c r="HW246" s="1009"/>
      <c r="HX246" s="1009"/>
      <c r="HY246" s="1009"/>
      <c r="HZ246" s="1009"/>
      <c r="IA246" s="1009"/>
      <c r="IB246" s="1009"/>
      <c r="IC246" s="1009"/>
      <c r="ID246" s="1009"/>
      <c r="IE246" s="1009"/>
      <c r="IF246" s="1009"/>
      <c r="IG246" s="1009"/>
      <c r="IH246" s="1009"/>
      <c r="II246" s="1009"/>
      <c r="IJ246" s="1009"/>
      <c r="IK246" s="1009"/>
      <c r="IL246" s="1009"/>
      <c r="IM246" s="1009"/>
      <c r="IN246" s="1009"/>
      <c r="IO246" s="1009"/>
      <c r="IP246" s="1009"/>
      <c r="IQ246" s="1009"/>
      <c r="IR246" s="1009"/>
      <c r="IS246" s="1009"/>
      <c r="IT246" s="1009"/>
      <c r="IU246" s="1009"/>
      <c r="IV246" s="1009"/>
      <c r="IW246" s="1009"/>
      <c r="IX246" s="1009"/>
      <c r="IY246" s="1009"/>
      <c r="IZ246" s="1009"/>
      <c r="JA246" s="1009"/>
      <c r="JB246" s="1009"/>
      <c r="JC246" s="1009"/>
      <c r="JD246" s="1009"/>
      <c r="JE246" s="1009"/>
      <c r="JF246" s="1009"/>
      <c r="JG246" s="1009"/>
      <c r="JH246" s="1009"/>
      <c r="JI246" s="1009"/>
      <c r="JJ246" s="1009"/>
      <c r="JK246" s="1009"/>
      <c r="JL246" s="1009"/>
      <c r="JM246" s="1009"/>
      <c r="JN246" s="1009"/>
      <c r="JO246" s="1009"/>
      <c r="JP246" s="1009"/>
      <c r="JQ246" s="1009"/>
      <c r="JR246" s="1009"/>
      <c r="JS246" s="1009"/>
      <c r="JT246" s="1009"/>
      <c r="JU246" s="1009"/>
      <c r="JV246" s="1009"/>
      <c r="JW246" s="1009"/>
      <c r="JX246" s="1009"/>
      <c r="JY246" s="1009"/>
      <c r="JZ246" s="1009"/>
      <c r="KA246" s="1009"/>
      <c r="KB246" s="1009"/>
      <c r="KC246" s="1009"/>
      <c r="KD246" s="1009"/>
      <c r="KE246" s="1009"/>
      <c r="KF246" s="1009"/>
      <c r="KG246" s="1009"/>
      <c r="KH246" s="1009"/>
      <c r="KI246" s="1009"/>
      <c r="KJ246" s="1009"/>
      <c r="KK246" s="1009"/>
      <c r="KL246" s="1009"/>
      <c r="KM246" s="1009"/>
      <c r="KN246" s="1009"/>
      <c r="KO246" s="1009"/>
      <c r="KP246" s="1009"/>
      <c r="KQ246" s="1009"/>
      <c r="KR246" s="1009"/>
      <c r="KS246" s="1009"/>
      <c r="KT246" s="1009"/>
      <c r="KU246" s="1009"/>
      <c r="KV246" s="1009"/>
      <c r="KW246" s="1009"/>
      <c r="KX246" s="1009"/>
      <c r="KY246" s="1009"/>
      <c r="KZ246" s="1009"/>
      <c r="LA246" s="1009"/>
      <c r="LB246" s="1009"/>
      <c r="LC246" s="1009"/>
      <c r="LD246" s="1009"/>
      <c r="LE246" s="1009"/>
      <c r="LF246" s="1009"/>
      <c r="LG246" s="1009"/>
      <c r="LH246" s="1009"/>
      <c r="LI246" s="1009"/>
      <c r="LJ246" s="1009"/>
      <c r="LK246" s="1009"/>
      <c r="LL246" s="1009"/>
      <c r="LM246" s="1009"/>
      <c r="LN246" s="1009"/>
      <c r="LO246" s="1009"/>
      <c r="LP246" s="1009"/>
      <c r="LQ246" s="1009"/>
      <c r="LR246" s="1009"/>
      <c r="LS246" s="1009"/>
      <c r="LT246" s="1009"/>
      <c r="LU246" s="1009"/>
      <c r="LV246" s="1009"/>
      <c r="LW246" s="1009"/>
      <c r="LX246" s="1009"/>
      <c r="LY246" s="1009"/>
      <c r="LZ246" s="1009"/>
      <c r="MA246" s="1009"/>
      <c r="MB246" s="1009"/>
      <c r="MC246" s="1009"/>
      <c r="MD246" s="1009"/>
      <c r="ME246" s="1009"/>
      <c r="MF246" s="1009"/>
      <c r="MG246" s="1009"/>
      <c r="MH246" s="1009"/>
      <c r="MI246" s="1009"/>
      <c r="MJ246" s="1009"/>
      <c r="MK246" s="1009"/>
      <c r="ML246" s="1009"/>
      <c r="MM246" s="1009"/>
      <c r="MN246" s="1009"/>
      <c r="MO246" s="1009"/>
      <c r="MP246" s="1009"/>
      <c r="MQ246" s="1009"/>
      <c r="MR246" s="1009"/>
      <c r="MS246" s="1009"/>
      <c r="MT246" s="1009"/>
      <c r="MU246" s="1009"/>
      <c r="MV246" s="1009"/>
      <c r="MW246" s="1009"/>
      <c r="MX246" s="1009"/>
      <c r="MY246" s="1009"/>
      <c r="MZ246" s="1009"/>
      <c r="NA246" s="1009"/>
      <c r="NB246" s="1009"/>
      <c r="NC246" s="1009"/>
      <c r="ND246" s="1009"/>
      <c r="NE246" s="1009"/>
      <c r="NF246" s="1009"/>
      <c r="NG246" s="1009"/>
      <c r="NH246" s="1009"/>
      <c r="NI246" s="1009"/>
      <c r="NJ246" s="1009"/>
      <c r="NK246" s="1009"/>
      <c r="NL246" s="1009"/>
      <c r="NM246" s="1009"/>
      <c r="NN246" s="1009"/>
      <c r="NO246" s="1009"/>
      <c r="NP246" s="1009"/>
      <c r="NQ246" s="1009"/>
      <c r="NR246" s="1009"/>
      <c r="NS246" s="1009"/>
      <c r="NT246" s="1009"/>
      <c r="NU246" s="1009"/>
      <c r="NV246" s="1009"/>
      <c r="NW246" s="1009"/>
      <c r="NX246" s="1009"/>
      <c r="NY246" s="1009"/>
      <c r="NZ246" s="1009"/>
      <c r="OA246" s="1009"/>
      <c r="OB246" s="1009"/>
      <c r="OC246" s="1009"/>
      <c r="OD246" s="1009"/>
      <c r="OE246" s="1009"/>
      <c r="OF246" s="1009"/>
      <c r="OG246" s="1009"/>
      <c r="OH246" s="1009"/>
      <c r="OI246" s="1009"/>
      <c r="OJ246" s="1009"/>
      <c r="OK246" s="1009"/>
      <c r="OL246" s="1009"/>
      <c r="OM246" s="1009"/>
      <c r="ON246" s="1009"/>
      <c r="OO246" s="1009"/>
      <c r="OP246" s="1009"/>
      <c r="OQ246" s="1009"/>
      <c r="OR246" s="1009"/>
      <c r="OS246" s="1009"/>
      <c r="OT246" s="1009"/>
      <c r="OU246" s="1009"/>
      <c r="OV246" s="1009"/>
      <c r="OW246" s="1009"/>
      <c r="OX246" s="1009"/>
      <c r="OY246" s="1009"/>
      <c r="OZ246" s="1009"/>
      <c r="PA246" s="1009"/>
      <c r="PB246" s="1009"/>
      <c r="PC246" s="1009"/>
      <c r="PD246" s="1009"/>
      <c r="PE246" s="1009"/>
      <c r="PF246" s="1009"/>
      <c r="PG246" s="1009"/>
      <c r="PH246" s="1009"/>
      <c r="PI246" s="1009"/>
      <c r="PJ246" s="1009"/>
      <c r="PK246" s="1009"/>
      <c r="PL246" s="1009"/>
      <c r="PM246" s="1009"/>
      <c r="PN246" s="1009"/>
      <c r="PO246" s="1009"/>
      <c r="PP246" s="1009"/>
      <c r="PQ246" s="1009"/>
      <c r="PR246" s="1009"/>
      <c r="PS246" s="1009"/>
      <c r="PT246" s="1009"/>
      <c r="PU246" s="1009"/>
      <c r="PV246" s="1009"/>
      <c r="PW246" s="1009"/>
      <c r="PX246" s="1009"/>
      <c r="PY246" s="1009"/>
      <c r="PZ246" s="1009"/>
      <c r="QA246" s="1009"/>
      <c r="QB246" s="1009"/>
      <c r="QC246" s="1009"/>
      <c r="QD246" s="1009"/>
      <c r="QE246" s="1009"/>
      <c r="QF246" s="1009"/>
      <c r="QG246" s="1009"/>
      <c r="QH246" s="1009"/>
      <c r="QI246" s="1009"/>
      <c r="QJ246" s="1009"/>
      <c r="QK246" s="1009"/>
      <c r="QL246" s="1009"/>
      <c r="QM246" s="1009"/>
      <c r="QN246" s="1009"/>
      <c r="QO246" s="1009"/>
      <c r="QP246" s="1009"/>
      <c r="QQ246" s="1009"/>
      <c r="QR246" s="1009"/>
      <c r="QS246" s="1009"/>
      <c r="QT246" s="1009"/>
      <c r="QU246" s="1009"/>
      <c r="QV246" s="1009"/>
      <c r="QW246" s="1009"/>
      <c r="QX246" s="1009"/>
      <c r="QY246" s="1009"/>
      <c r="QZ246" s="1009"/>
      <c r="RA246" s="1009"/>
      <c r="RB246" s="1009"/>
      <c r="RC246" s="1009"/>
      <c r="RD246" s="1009"/>
      <c r="RE246" s="1009"/>
      <c r="RF246" s="1009"/>
      <c r="RG246" s="1009"/>
      <c r="RH246" s="1009"/>
      <c r="RI246" s="1009"/>
      <c r="RJ246" s="1009"/>
      <c r="RK246" s="1009"/>
      <c r="RL246" s="1009"/>
      <c r="RM246" s="1009"/>
      <c r="RN246" s="1009"/>
      <c r="RO246" s="1009"/>
      <c r="RP246" s="1009"/>
      <c r="RQ246" s="1009"/>
      <c r="RR246" s="1009"/>
      <c r="RS246" s="1009"/>
      <c r="RT246" s="1009"/>
      <c r="RU246" s="1009"/>
      <c r="RV246" s="1009"/>
      <c r="RW246" s="1009"/>
      <c r="RX246" s="1009"/>
      <c r="RY246" s="1009"/>
      <c r="RZ246" s="1009"/>
      <c r="SA246" s="1009"/>
      <c r="SB246" s="1009"/>
      <c r="SC246" s="1009"/>
      <c r="SD246" s="1009"/>
      <c r="SE246" s="1009"/>
      <c r="SF246" s="1009"/>
      <c r="SG246" s="1009"/>
      <c r="SH246" s="1009"/>
      <c r="SI246" s="1009"/>
      <c r="SJ246" s="1009"/>
      <c r="SK246" s="1009"/>
      <c r="SL246" s="1009"/>
      <c r="SM246" s="1009"/>
      <c r="SN246" s="1009"/>
      <c r="SO246" s="1009"/>
      <c r="SP246" s="1009"/>
      <c r="SQ246" s="1009"/>
      <c r="SR246" s="1009"/>
      <c r="SS246" s="1009"/>
      <c r="ST246" s="1009"/>
      <c r="SU246" s="1009"/>
      <c r="SV246" s="1009"/>
      <c r="SW246" s="1009"/>
      <c r="SX246" s="1009"/>
      <c r="SY246" s="1009"/>
      <c r="SZ246" s="1009"/>
      <c r="TA246" s="1009"/>
      <c r="TB246" s="1009"/>
      <c r="TC246" s="1009"/>
      <c r="TD246" s="1009"/>
      <c r="TE246" s="1009"/>
      <c r="TF246" s="1009"/>
      <c r="TG246" s="1009"/>
      <c r="TH246" s="1009"/>
      <c r="TI246" s="1009"/>
      <c r="TJ246" s="1009"/>
      <c r="TK246" s="1009"/>
      <c r="TL246" s="1009"/>
      <c r="TM246" s="1009"/>
      <c r="TN246" s="1009"/>
      <c r="TO246" s="1009"/>
      <c r="TP246" s="1009"/>
      <c r="TQ246" s="1009"/>
      <c r="TR246" s="1009"/>
      <c r="TS246" s="1009"/>
      <c r="TT246" s="1009"/>
      <c r="TU246" s="1009"/>
      <c r="TV246" s="1009"/>
      <c r="TW246" s="1009"/>
      <c r="TX246" s="1009"/>
      <c r="TY246" s="1009"/>
      <c r="TZ246" s="1009"/>
      <c r="UA246" s="1009"/>
      <c r="UB246" s="1009"/>
      <c r="UC246" s="1009"/>
      <c r="UD246" s="1009"/>
      <c r="UE246" s="1009"/>
      <c r="UF246" s="1009"/>
      <c r="UG246" s="1009"/>
      <c r="UH246" s="1009"/>
      <c r="UI246" s="1009"/>
      <c r="UJ246" s="1009"/>
      <c r="UK246" s="1009"/>
      <c r="UL246" s="1009"/>
      <c r="UM246" s="1009"/>
      <c r="UN246" s="1009"/>
      <c r="UO246" s="1009"/>
      <c r="UP246" s="1009"/>
      <c r="UQ246" s="1009"/>
      <c r="UR246" s="1009"/>
      <c r="US246" s="1009"/>
      <c r="UT246" s="1009"/>
      <c r="UU246" s="1009"/>
      <c r="UV246" s="1009"/>
      <c r="UW246" s="1009"/>
      <c r="UX246" s="1009"/>
      <c r="UY246" s="1009"/>
      <c r="UZ246" s="1009"/>
      <c r="VA246" s="1009"/>
      <c r="VB246" s="1009"/>
      <c r="VC246" s="1009"/>
      <c r="VD246" s="1009"/>
      <c r="VE246" s="1009"/>
      <c r="VF246" s="1009"/>
      <c r="VG246" s="1009"/>
      <c r="VH246" s="1009"/>
      <c r="VI246" s="1009"/>
      <c r="VJ246" s="1009"/>
      <c r="VK246" s="1009"/>
      <c r="VL246" s="1009"/>
      <c r="VM246" s="1009"/>
      <c r="VN246" s="1009"/>
      <c r="VO246" s="1009"/>
      <c r="VP246" s="1009"/>
      <c r="VQ246" s="1009"/>
      <c r="VR246" s="1009"/>
      <c r="VS246" s="1009"/>
      <c r="VT246" s="1009"/>
      <c r="VU246" s="1009"/>
      <c r="VV246" s="1009"/>
      <c r="VW246" s="1009"/>
      <c r="VX246" s="1009"/>
      <c r="VY246" s="1009"/>
      <c r="VZ246" s="1009"/>
      <c r="WA246" s="1009"/>
      <c r="WB246" s="1009"/>
      <c r="WC246" s="1009"/>
      <c r="WD246" s="1009"/>
      <c r="WE246" s="1009"/>
      <c r="WF246" s="1009"/>
      <c r="WG246" s="1009"/>
      <c r="WH246" s="1009"/>
      <c r="WI246" s="1009"/>
      <c r="WJ246" s="1009"/>
      <c r="WK246" s="1009"/>
      <c r="WL246" s="1009"/>
      <c r="WM246" s="1009"/>
      <c r="WN246" s="1009"/>
      <c r="WO246" s="1009"/>
      <c r="WP246" s="1009"/>
      <c r="WQ246" s="1009"/>
      <c r="WR246" s="1009"/>
      <c r="WS246" s="1009"/>
      <c r="WT246" s="1009"/>
      <c r="WU246" s="1009"/>
      <c r="WV246" s="1009"/>
      <c r="WW246" s="1009"/>
      <c r="WX246" s="1009"/>
      <c r="WY246" s="1009"/>
      <c r="WZ246" s="1009"/>
      <c r="XA246" s="1009"/>
      <c r="XB246" s="1009"/>
      <c r="XC246" s="1009"/>
      <c r="XD246" s="1009"/>
      <c r="XE246" s="1009"/>
      <c r="XF246" s="1009"/>
      <c r="XG246" s="1009"/>
      <c r="XH246" s="1009"/>
      <c r="XI246" s="1009"/>
      <c r="XJ246" s="1009"/>
      <c r="XK246" s="1009"/>
      <c r="XL246" s="1009"/>
      <c r="XM246" s="1009"/>
      <c r="XN246" s="1009"/>
      <c r="XO246" s="1009"/>
      <c r="XP246" s="1009"/>
      <c r="XQ246" s="1009"/>
      <c r="XR246" s="1009"/>
      <c r="XS246" s="1009"/>
      <c r="XT246" s="1009"/>
      <c r="XU246" s="1009"/>
      <c r="XV246" s="1009"/>
      <c r="XW246" s="1009"/>
      <c r="XX246" s="1009"/>
      <c r="XY246" s="1009"/>
      <c r="XZ246" s="1009"/>
      <c r="YA246" s="1009"/>
      <c r="YB246" s="1009"/>
      <c r="YC246" s="1009"/>
      <c r="YD246" s="1009"/>
      <c r="YE246" s="1009"/>
      <c r="YF246" s="1009"/>
      <c r="YG246" s="1009"/>
      <c r="YH246" s="1009"/>
      <c r="YI246" s="1009"/>
      <c r="YJ246" s="1009"/>
      <c r="YK246" s="1009"/>
      <c r="YL246" s="1009"/>
      <c r="YM246" s="1009"/>
      <c r="YN246" s="1009"/>
      <c r="YO246" s="1009"/>
      <c r="YP246" s="1009"/>
      <c r="YQ246" s="1009"/>
      <c r="YR246" s="1009"/>
      <c r="YS246" s="1009"/>
      <c r="YT246" s="1009"/>
      <c r="YU246" s="1009"/>
      <c r="YV246" s="1009"/>
      <c r="YW246" s="1009"/>
      <c r="YX246" s="1009"/>
      <c r="YY246" s="1009"/>
      <c r="YZ246" s="1009"/>
      <c r="ZA246" s="1009"/>
      <c r="ZB246" s="1009"/>
      <c r="ZC246" s="1009"/>
      <c r="ZD246" s="1009"/>
      <c r="ZE246" s="1009"/>
      <c r="ZF246" s="1009"/>
      <c r="ZG246" s="1009"/>
      <c r="ZH246" s="1009"/>
      <c r="ZI246" s="1009"/>
      <c r="ZJ246" s="1009"/>
      <c r="ZK246" s="1009"/>
      <c r="ZL246" s="1009"/>
      <c r="ZM246" s="1009"/>
      <c r="ZN246" s="1009"/>
      <c r="ZO246" s="1009"/>
      <c r="ZP246" s="1009"/>
      <c r="ZQ246" s="1009"/>
      <c r="ZR246" s="1009"/>
      <c r="ZS246" s="1009"/>
      <c r="ZT246" s="1009"/>
      <c r="ZU246" s="1009"/>
      <c r="ZV246" s="1009"/>
      <c r="ZW246" s="1009"/>
      <c r="ZX246" s="1009"/>
      <c r="ZY246" s="1009"/>
      <c r="ZZ246" s="1009"/>
      <c r="AAA246" s="1009"/>
      <c r="AAB246" s="1009"/>
      <c r="AAC246" s="1009"/>
      <c r="AAD246" s="1009"/>
      <c r="AAE246" s="1009"/>
      <c r="AAF246" s="1009"/>
      <c r="AAG246" s="1009"/>
      <c r="AAH246" s="1009"/>
      <c r="AAI246" s="1009"/>
      <c r="AAJ246" s="1009"/>
      <c r="AAK246" s="1009"/>
      <c r="AAL246" s="1009"/>
      <c r="AAM246" s="1009"/>
      <c r="AAN246" s="1009"/>
      <c r="AAO246" s="1009"/>
      <c r="AAP246" s="1009"/>
      <c r="AAQ246" s="1009"/>
      <c r="AAR246" s="1009"/>
      <c r="AAS246" s="1009"/>
      <c r="AAT246" s="1009"/>
      <c r="AAU246" s="1009"/>
      <c r="AAV246" s="1009"/>
      <c r="AAW246" s="1009"/>
      <c r="AAX246" s="1009"/>
      <c r="AAY246" s="1009"/>
      <c r="AAZ246" s="1009"/>
      <c r="ABA246" s="1009"/>
      <c r="ABB246" s="1009"/>
      <c r="ABC246" s="1009"/>
      <c r="ABD246" s="1009"/>
      <c r="ABE246" s="1009"/>
      <c r="ABF246" s="1009"/>
      <c r="ABG246" s="1009"/>
      <c r="ABH246" s="1009"/>
      <c r="ABI246" s="1009"/>
      <c r="ABJ246" s="1009"/>
      <c r="ABK246" s="1009"/>
      <c r="ABL246" s="1009"/>
      <c r="ABM246" s="1009"/>
      <c r="ABN246" s="1009"/>
      <c r="ABO246" s="1009"/>
      <c r="ABP246" s="1009"/>
      <c r="ABQ246" s="1009"/>
      <c r="ABR246" s="1009"/>
    </row>
    <row r="247" spans="1:746" s="111" customFormat="1" ht="12" customHeight="1">
      <c r="A247" s="1758"/>
      <c r="B247" s="2677" t="s">
        <v>1207</v>
      </c>
      <c r="C247" s="2678"/>
      <c r="D247" s="2678"/>
      <c r="E247" s="2960"/>
      <c r="F247" s="2961"/>
      <c r="G247" s="2962"/>
      <c r="H247" s="2679"/>
      <c r="I247" s="2326"/>
      <c r="J247" s="2325"/>
      <c r="K247" s="2325"/>
      <c r="L247" s="2325"/>
      <c r="M247" s="2325"/>
      <c r="N247" s="2325"/>
      <c r="O247" s="2325"/>
      <c r="P247" s="2325"/>
      <c r="Q247" s="2325"/>
      <c r="R247" s="2325"/>
      <c r="S247" s="2325"/>
      <c r="T247" s="2325"/>
      <c r="U247" s="2325"/>
      <c r="V247" s="2325"/>
      <c r="W247" s="2325"/>
      <c r="X247" s="2325"/>
      <c r="Y247" s="2325"/>
      <c r="Z247" s="2325"/>
      <c r="AA247" s="2325"/>
      <c r="AB247" s="2325"/>
      <c r="AC247" s="2325"/>
      <c r="AD247" s="2325"/>
      <c r="AE247" s="2325"/>
      <c r="AF247" s="2325"/>
      <c r="AG247" s="1042"/>
      <c r="AH247" s="786"/>
      <c r="AI247" s="786"/>
      <c r="AJ247" s="1044"/>
      <c r="AK247" s="1047"/>
      <c r="AL247" s="1044"/>
      <c r="AM247" s="1009"/>
      <c r="AN247" s="1026"/>
      <c r="AO247" s="1945"/>
      <c r="AP247" s="1935"/>
      <c r="AQ247" s="1936"/>
      <c r="AR247" s="1941"/>
      <c r="AS247" s="1941"/>
      <c r="AT247" s="1941"/>
      <c r="AU247" s="1941"/>
      <c r="AV247" s="1941"/>
      <c r="AW247" s="1941"/>
      <c r="AX247" s="1941"/>
      <c r="AY247" s="1941"/>
      <c r="AZ247" s="1941"/>
      <c r="BA247" s="1941"/>
      <c r="BB247" s="1941"/>
      <c r="BC247" s="1941"/>
      <c r="BD247" s="1941"/>
      <c r="BE247" s="1941"/>
      <c r="BF247" s="1941"/>
      <c r="BG247" s="1941"/>
      <c r="BH247" s="1941"/>
      <c r="BI247" s="1941"/>
      <c r="BJ247" s="1941"/>
      <c r="BK247" s="1941"/>
      <c r="BL247" s="1941"/>
      <c r="BM247" s="1941"/>
      <c r="BN247" s="1941"/>
      <c r="BO247" s="1941"/>
      <c r="BP247" s="1009"/>
      <c r="BQ247" s="1009"/>
      <c r="BR247" s="1009"/>
      <c r="BS247" s="1009"/>
      <c r="BT247" s="1009"/>
      <c r="BU247" s="1009"/>
      <c r="BV247" s="1009"/>
      <c r="BW247" s="1009"/>
      <c r="BX247" s="1009"/>
      <c r="BY247" s="1009"/>
      <c r="BZ247" s="1009"/>
      <c r="CA247" s="1009"/>
      <c r="CB247" s="1009"/>
      <c r="CC247" s="1009"/>
      <c r="CD247" s="1009"/>
      <c r="CE247" s="1009"/>
      <c r="CF247" s="1009"/>
      <c r="CG247" s="1009"/>
      <c r="CH247" s="1009"/>
      <c r="CI247" s="1009"/>
      <c r="CJ247" s="1009"/>
      <c r="CK247" s="1009"/>
      <c r="CL247" s="1009"/>
      <c r="CM247" s="1009"/>
      <c r="CN247" s="1009"/>
      <c r="CO247" s="1009"/>
      <c r="CP247" s="1009"/>
      <c r="CQ247" s="1009"/>
      <c r="CR247" s="1009"/>
      <c r="CS247" s="1009"/>
      <c r="CT247" s="1009"/>
      <c r="CU247" s="1009"/>
      <c r="CV247" s="1009"/>
      <c r="CW247" s="1009"/>
      <c r="CX247" s="1009"/>
      <c r="CY247" s="1009"/>
      <c r="CZ247" s="1009"/>
      <c r="DA247" s="1009"/>
      <c r="DB247" s="1009"/>
      <c r="DC247" s="1009"/>
      <c r="DD247" s="1009"/>
      <c r="DE247" s="1009"/>
      <c r="DF247" s="1009"/>
      <c r="DG247" s="1009"/>
      <c r="DH247" s="1009"/>
      <c r="DI247" s="1009"/>
      <c r="DJ247" s="1009"/>
      <c r="DK247" s="1009"/>
      <c r="DL247" s="1009"/>
      <c r="DM247" s="1009"/>
      <c r="DN247" s="1009"/>
      <c r="DO247" s="1009"/>
      <c r="DP247" s="1009"/>
      <c r="DQ247" s="1009"/>
      <c r="DR247" s="1009"/>
      <c r="DS247" s="1009"/>
      <c r="DT247" s="1009"/>
      <c r="DU247" s="1009"/>
      <c r="DV247" s="1009"/>
      <c r="DW247" s="1009"/>
      <c r="DX247" s="1009"/>
      <c r="DY247" s="1009"/>
      <c r="DZ247" s="1009"/>
      <c r="EA247" s="1009"/>
      <c r="EB247" s="1009"/>
      <c r="EC247" s="1009"/>
      <c r="ED247" s="1009"/>
      <c r="EE247" s="1009"/>
      <c r="EF247" s="1009"/>
      <c r="EG247" s="1009"/>
      <c r="EH247" s="1009"/>
      <c r="EI247" s="1009"/>
      <c r="EJ247" s="1009"/>
      <c r="EK247" s="1009"/>
      <c r="EL247" s="1009"/>
      <c r="EM247" s="1009"/>
      <c r="EN247" s="1009"/>
      <c r="EO247" s="1009"/>
      <c r="EP247" s="1009"/>
      <c r="EQ247" s="1009"/>
      <c r="ER247" s="1009"/>
      <c r="ES247" s="1009"/>
      <c r="ET247" s="1009"/>
      <c r="EU247" s="1009"/>
      <c r="EV247" s="1009"/>
      <c r="EW247" s="1009"/>
      <c r="EX247" s="1009"/>
      <c r="EY247" s="1009"/>
      <c r="EZ247" s="1009"/>
      <c r="FA247" s="1009"/>
      <c r="FB247" s="1009"/>
      <c r="FC247" s="1009"/>
      <c r="FD247" s="1009"/>
      <c r="FE247" s="1009"/>
      <c r="FF247" s="1009"/>
      <c r="FG247" s="1009"/>
      <c r="FH247" s="1009"/>
      <c r="FI247" s="1009"/>
      <c r="FJ247" s="1009"/>
      <c r="FK247" s="1009"/>
      <c r="FL247" s="1009"/>
      <c r="FM247" s="1009"/>
      <c r="FN247" s="1009"/>
      <c r="FO247" s="1009"/>
      <c r="FP247" s="1009"/>
      <c r="FQ247" s="1009"/>
      <c r="FR247" s="1009"/>
      <c r="FS247" s="1009"/>
      <c r="FT247" s="1009"/>
      <c r="FU247" s="1009"/>
      <c r="FV247" s="1009"/>
      <c r="FW247" s="1009"/>
      <c r="FX247" s="1009"/>
      <c r="FY247" s="1009"/>
      <c r="FZ247" s="1009"/>
      <c r="GA247" s="1009"/>
      <c r="GB247" s="1009"/>
      <c r="GC247" s="1009"/>
      <c r="GD247" s="1009"/>
      <c r="GE247" s="1009"/>
      <c r="GF247" s="1009"/>
      <c r="GG247" s="1009"/>
      <c r="GH247" s="1009"/>
      <c r="GI247" s="1009"/>
      <c r="GJ247" s="1009"/>
      <c r="GK247" s="1009"/>
      <c r="GL247" s="1009"/>
      <c r="GM247" s="1009"/>
      <c r="GN247" s="1009"/>
      <c r="GO247" s="1009"/>
      <c r="GP247" s="1009"/>
      <c r="GQ247" s="1009"/>
      <c r="GR247" s="1009"/>
      <c r="GS247" s="1009"/>
      <c r="GT247" s="1009"/>
      <c r="GU247" s="1009"/>
      <c r="GV247" s="1009"/>
      <c r="GW247" s="1009"/>
      <c r="GX247" s="1009"/>
      <c r="GY247" s="1009"/>
      <c r="GZ247" s="1009"/>
      <c r="HA247" s="1009"/>
      <c r="HB247" s="1009"/>
      <c r="HC247" s="1009"/>
      <c r="HD247" s="1009"/>
      <c r="HE247" s="1009"/>
      <c r="HF247" s="1009"/>
      <c r="HG247" s="1009"/>
      <c r="HH247" s="1009"/>
      <c r="HI247" s="1009"/>
      <c r="HJ247" s="1009"/>
      <c r="HK247" s="1009"/>
      <c r="HL247" s="1009"/>
      <c r="HM247" s="1009"/>
      <c r="HN247" s="1009"/>
      <c r="HO247" s="1009"/>
      <c r="HP247" s="1009"/>
      <c r="HQ247" s="1009"/>
      <c r="HR247" s="1009"/>
      <c r="HS247" s="1009"/>
      <c r="HT247" s="1009"/>
      <c r="HU247" s="1009"/>
      <c r="HV247" s="1009"/>
      <c r="HW247" s="1009"/>
      <c r="HX247" s="1009"/>
      <c r="HY247" s="1009"/>
      <c r="HZ247" s="1009"/>
      <c r="IA247" s="1009"/>
      <c r="IB247" s="1009"/>
      <c r="IC247" s="1009"/>
      <c r="ID247" s="1009"/>
      <c r="IE247" s="1009"/>
      <c r="IF247" s="1009"/>
      <c r="IG247" s="1009"/>
      <c r="IH247" s="1009"/>
      <c r="II247" s="1009"/>
      <c r="IJ247" s="1009"/>
      <c r="IK247" s="1009"/>
      <c r="IL247" s="1009"/>
      <c r="IM247" s="1009"/>
      <c r="IN247" s="1009"/>
      <c r="IO247" s="1009"/>
      <c r="IP247" s="1009"/>
      <c r="IQ247" s="1009"/>
      <c r="IR247" s="1009"/>
      <c r="IS247" s="1009"/>
      <c r="IT247" s="1009"/>
      <c r="IU247" s="1009"/>
      <c r="IV247" s="1009"/>
      <c r="IW247" s="1009"/>
      <c r="IX247" s="1009"/>
      <c r="IY247" s="1009"/>
      <c r="IZ247" s="1009"/>
      <c r="JA247" s="1009"/>
      <c r="JB247" s="1009"/>
      <c r="JC247" s="1009"/>
      <c r="JD247" s="1009"/>
      <c r="JE247" s="1009"/>
      <c r="JF247" s="1009"/>
      <c r="JG247" s="1009"/>
      <c r="JH247" s="1009"/>
      <c r="JI247" s="1009"/>
      <c r="JJ247" s="1009"/>
      <c r="JK247" s="1009"/>
      <c r="JL247" s="1009"/>
      <c r="JM247" s="1009"/>
      <c r="JN247" s="1009"/>
      <c r="JO247" s="1009"/>
      <c r="JP247" s="1009"/>
      <c r="JQ247" s="1009"/>
      <c r="JR247" s="1009"/>
      <c r="JS247" s="1009"/>
      <c r="JT247" s="1009"/>
      <c r="JU247" s="1009"/>
      <c r="JV247" s="1009"/>
      <c r="JW247" s="1009"/>
      <c r="JX247" s="1009"/>
      <c r="JY247" s="1009"/>
      <c r="JZ247" s="1009"/>
      <c r="KA247" s="1009"/>
      <c r="KB247" s="1009"/>
      <c r="KC247" s="1009"/>
      <c r="KD247" s="1009"/>
      <c r="KE247" s="1009"/>
      <c r="KF247" s="1009"/>
      <c r="KG247" s="1009"/>
      <c r="KH247" s="1009"/>
      <c r="KI247" s="1009"/>
      <c r="KJ247" s="1009"/>
      <c r="KK247" s="1009"/>
      <c r="KL247" s="1009"/>
      <c r="KM247" s="1009"/>
      <c r="KN247" s="1009"/>
      <c r="KO247" s="1009"/>
      <c r="KP247" s="1009"/>
      <c r="KQ247" s="1009"/>
      <c r="KR247" s="1009"/>
      <c r="KS247" s="1009"/>
      <c r="KT247" s="1009"/>
      <c r="KU247" s="1009"/>
      <c r="KV247" s="1009"/>
      <c r="KW247" s="1009"/>
      <c r="KX247" s="1009"/>
      <c r="KY247" s="1009"/>
      <c r="KZ247" s="1009"/>
      <c r="LA247" s="1009"/>
      <c r="LB247" s="1009"/>
      <c r="LC247" s="1009"/>
      <c r="LD247" s="1009"/>
      <c r="LE247" s="1009"/>
      <c r="LF247" s="1009"/>
      <c r="LG247" s="1009"/>
      <c r="LH247" s="1009"/>
      <c r="LI247" s="1009"/>
      <c r="LJ247" s="1009"/>
      <c r="LK247" s="1009"/>
      <c r="LL247" s="1009"/>
      <c r="LM247" s="1009"/>
      <c r="LN247" s="1009"/>
      <c r="LO247" s="1009"/>
      <c r="LP247" s="1009"/>
      <c r="LQ247" s="1009"/>
      <c r="LR247" s="1009"/>
      <c r="LS247" s="1009"/>
      <c r="LT247" s="1009"/>
      <c r="LU247" s="1009"/>
      <c r="LV247" s="1009"/>
      <c r="LW247" s="1009"/>
      <c r="LX247" s="1009"/>
      <c r="LY247" s="1009"/>
      <c r="LZ247" s="1009"/>
      <c r="MA247" s="1009"/>
      <c r="MB247" s="1009"/>
      <c r="MC247" s="1009"/>
      <c r="MD247" s="1009"/>
      <c r="ME247" s="1009"/>
      <c r="MF247" s="1009"/>
      <c r="MG247" s="1009"/>
      <c r="MH247" s="1009"/>
      <c r="MI247" s="1009"/>
      <c r="MJ247" s="1009"/>
      <c r="MK247" s="1009"/>
      <c r="ML247" s="1009"/>
      <c r="MM247" s="1009"/>
      <c r="MN247" s="1009"/>
      <c r="MO247" s="1009"/>
      <c r="MP247" s="1009"/>
      <c r="MQ247" s="1009"/>
      <c r="MR247" s="1009"/>
      <c r="MS247" s="1009"/>
      <c r="MT247" s="1009"/>
      <c r="MU247" s="1009"/>
      <c r="MV247" s="1009"/>
      <c r="MW247" s="1009"/>
      <c r="MX247" s="1009"/>
      <c r="MY247" s="1009"/>
      <c r="MZ247" s="1009"/>
      <c r="NA247" s="1009"/>
      <c r="NB247" s="1009"/>
      <c r="NC247" s="1009"/>
      <c r="ND247" s="1009"/>
      <c r="NE247" s="1009"/>
      <c r="NF247" s="1009"/>
      <c r="NG247" s="1009"/>
      <c r="NH247" s="1009"/>
      <c r="NI247" s="1009"/>
      <c r="NJ247" s="1009"/>
      <c r="NK247" s="1009"/>
      <c r="NL247" s="1009"/>
      <c r="NM247" s="1009"/>
      <c r="NN247" s="1009"/>
      <c r="NO247" s="1009"/>
      <c r="NP247" s="1009"/>
      <c r="NQ247" s="1009"/>
      <c r="NR247" s="1009"/>
      <c r="NS247" s="1009"/>
      <c r="NT247" s="1009"/>
      <c r="NU247" s="1009"/>
      <c r="NV247" s="1009"/>
      <c r="NW247" s="1009"/>
      <c r="NX247" s="1009"/>
      <c r="NY247" s="1009"/>
      <c r="NZ247" s="1009"/>
      <c r="OA247" s="1009"/>
      <c r="OB247" s="1009"/>
      <c r="OC247" s="1009"/>
      <c r="OD247" s="1009"/>
      <c r="OE247" s="1009"/>
      <c r="OF247" s="1009"/>
      <c r="OG247" s="1009"/>
      <c r="OH247" s="1009"/>
      <c r="OI247" s="1009"/>
      <c r="OJ247" s="1009"/>
      <c r="OK247" s="1009"/>
      <c r="OL247" s="1009"/>
      <c r="OM247" s="1009"/>
      <c r="ON247" s="1009"/>
      <c r="OO247" s="1009"/>
      <c r="OP247" s="1009"/>
      <c r="OQ247" s="1009"/>
      <c r="OR247" s="1009"/>
      <c r="OS247" s="1009"/>
      <c r="OT247" s="1009"/>
      <c r="OU247" s="1009"/>
      <c r="OV247" s="1009"/>
      <c r="OW247" s="1009"/>
      <c r="OX247" s="1009"/>
      <c r="OY247" s="1009"/>
      <c r="OZ247" s="1009"/>
      <c r="PA247" s="1009"/>
      <c r="PB247" s="1009"/>
      <c r="PC247" s="1009"/>
      <c r="PD247" s="1009"/>
      <c r="PE247" s="1009"/>
      <c r="PF247" s="1009"/>
      <c r="PG247" s="1009"/>
      <c r="PH247" s="1009"/>
      <c r="PI247" s="1009"/>
      <c r="PJ247" s="1009"/>
      <c r="PK247" s="1009"/>
      <c r="PL247" s="1009"/>
      <c r="PM247" s="1009"/>
      <c r="PN247" s="1009"/>
      <c r="PO247" s="1009"/>
      <c r="PP247" s="1009"/>
      <c r="PQ247" s="1009"/>
      <c r="PR247" s="1009"/>
      <c r="PS247" s="1009"/>
      <c r="PT247" s="1009"/>
      <c r="PU247" s="1009"/>
      <c r="PV247" s="1009"/>
      <c r="PW247" s="1009"/>
      <c r="PX247" s="1009"/>
      <c r="PY247" s="1009"/>
      <c r="PZ247" s="1009"/>
      <c r="QA247" s="1009"/>
      <c r="QB247" s="1009"/>
      <c r="QC247" s="1009"/>
      <c r="QD247" s="1009"/>
      <c r="QE247" s="1009"/>
      <c r="QF247" s="1009"/>
      <c r="QG247" s="1009"/>
      <c r="QH247" s="1009"/>
      <c r="QI247" s="1009"/>
      <c r="QJ247" s="1009"/>
      <c r="QK247" s="1009"/>
      <c r="QL247" s="1009"/>
      <c r="QM247" s="1009"/>
      <c r="QN247" s="1009"/>
      <c r="QO247" s="1009"/>
      <c r="QP247" s="1009"/>
      <c r="QQ247" s="1009"/>
      <c r="QR247" s="1009"/>
      <c r="QS247" s="1009"/>
      <c r="QT247" s="1009"/>
      <c r="QU247" s="1009"/>
      <c r="QV247" s="1009"/>
      <c r="QW247" s="1009"/>
      <c r="QX247" s="1009"/>
      <c r="QY247" s="1009"/>
      <c r="QZ247" s="1009"/>
      <c r="RA247" s="1009"/>
      <c r="RB247" s="1009"/>
      <c r="RC247" s="1009"/>
      <c r="RD247" s="1009"/>
      <c r="RE247" s="1009"/>
      <c r="RF247" s="1009"/>
      <c r="RG247" s="1009"/>
      <c r="RH247" s="1009"/>
      <c r="RI247" s="1009"/>
      <c r="RJ247" s="1009"/>
      <c r="RK247" s="1009"/>
      <c r="RL247" s="1009"/>
      <c r="RM247" s="1009"/>
      <c r="RN247" s="1009"/>
      <c r="RO247" s="1009"/>
      <c r="RP247" s="1009"/>
      <c r="RQ247" s="1009"/>
      <c r="RR247" s="1009"/>
      <c r="RS247" s="1009"/>
      <c r="RT247" s="1009"/>
      <c r="RU247" s="1009"/>
      <c r="RV247" s="1009"/>
      <c r="RW247" s="1009"/>
      <c r="RX247" s="1009"/>
      <c r="RY247" s="1009"/>
      <c r="RZ247" s="1009"/>
      <c r="SA247" s="1009"/>
      <c r="SB247" s="1009"/>
      <c r="SC247" s="1009"/>
      <c r="SD247" s="1009"/>
      <c r="SE247" s="1009"/>
      <c r="SF247" s="1009"/>
      <c r="SG247" s="1009"/>
      <c r="SH247" s="1009"/>
      <c r="SI247" s="1009"/>
      <c r="SJ247" s="1009"/>
      <c r="SK247" s="1009"/>
      <c r="SL247" s="1009"/>
      <c r="SM247" s="1009"/>
      <c r="SN247" s="1009"/>
      <c r="SO247" s="1009"/>
      <c r="SP247" s="1009"/>
      <c r="SQ247" s="1009"/>
      <c r="SR247" s="1009"/>
      <c r="SS247" s="1009"/>
      <c r="ST247" s="1009"/>
      <c r="SU247" s="1009"/>
      <c r="SV247" s="1009"/>
      <c r="SW247" s="1009"/>
      <c r="SX247" s="1009"/>
      <c r="SY247" s="1009"/>
      <c r="SZ247" s="1009"/>
      <c r="TA247" s="1009"/>
      <c r="TB247" s="1009"/>
      <c r="TC247" s="1009"/>
      <c r="TD247" s="1009"/>
      <c r="TE247" s="1009"/>
      <c r="TF247" s="1009"/>
      <c r="TG247" s="1009"/>
      <c r="TH247" s="1009"/>
      <c r="TI247" s="1009"/>
      <c r="TJ247" s="1009"/>
      <c r="TK247" s="1009"/>
      <c r="TL247" s="1009"/>
      <c r="TM247" s="1009"/>
      <c r="TN247" s="1009"/>
      <c r="TO247" s="1009"/>
      <c r="TP247" s="1009"/>
      <c r="TQ247" s="1009"/>
      <c r="TR247" s="1009"/>
      <c r="TS247" s="1009"/>
      <c r="TT247" s="1009"/>
      <c r="TU247" s="1009"/>
      <c r="TV247" s="1009"/>
      <c r="TW247" s="1009"/>
      <c r="TX247" s="1009"/>
      <c r="TY247" s="1009"/>
      <c r="TZ247" s="1009"/>
      <c r="UA247" s="1009"/>
      <c r="UB247" s="1009"/>
      <c r="UC247" s="1009"/>
      <c r="UD247" s="1009"/>
      <c r="UE247" s="1009"/>
      <c r="UF247" s="1009"/>
      <c r="UG247" s="1009"/>
      <c r="UH247" s="1009"/>
      <c r="UI247" s="1009"/>
      <c r="UJ247" s="1009"/>
      <c r="UK247" s="1009"/>
      <c r="UL247" s="1009"/>
      <c r="UM247" s="1009"/>
      <c r="UN247" s="1009"/>
      <c r="UO247" s="1009"/>
      <c r="UP247" s="1009"/>
      <c r="UQ247" s="1009"/>
      <c r="UR247" s="1009"/>
      <c r="US247" s="1009"/>
      <c r="UT247" s="1009"/>
      <c r="UU247" s="1009"/>
      <c r="UV247" s="1009"/>
      <c r="UW247" s="1009"/>
      <c r="UX247" s="1009"/>
      <c r="UY247" s="1009"/>
      <c r="UZ247" s="1009"/>
      <c r="VA247" s="1009"/>
      <c r="VB247" s="1009"/>
      <c r="VC247" s="1009"/>
      <c r="VD247" s="1009"/>
      <c r="VE247" s="1009"/>
      <c r="VF247" s="1009"/>
      <c r="VG247" s="1009"/>
      <c r="VH247" s="1009"/>
      <c r="VI247" s="1009"/>
      <c r="VJ247" s="1009"/>
      <c r="VK247" s="1009"/>
      <c r="VL247" s="1009"/>
      <c r="VM247" s="1009"/>
      <c r="VN247" s="1009"/>
      <c r="VO247" s="1009"/>
      <c r="VP247" s="1009"/>
      <c r="VQ247" s="1009"/>
      <c r="VR247" s="1009"/>
      <c r="VS247" s="1009"/>
      <c r="VT247" s="1009"/>
      <c r="VU247" s="1009"/>
      <c r="VV247" s="1009"/>
      <c r="VW247" s="1009"/>
      <c r="VX247" s="1009"/>
      <c r="VY247" s="1009"/>
      <c r="VZ247" s="1009"/>
      <c r="WA247" s="1009"/>
      <c r="WB247" s="1009"/>
      <c r="WC247" s="1009"/>
      <c r="WD247" s="1009"/>
      <c r="WE247" s="1009"/>
      <c r="WF247" s="1009"/>
      <c r="WG247" s="1009"/>
      <c r="WH247" s="1009"/>
      <c r="WI247" s="1009"/>
      <c r="WJ247" s="1009"/>
      <c r="WK247" s="1009"/>
      <c r="WL247" s="1009"/>
      <c r="WM247" s="1009"/>
      <c r="WN247" s="1009"/>
      <c r="WO247" s="1009"/>
      <c r="WP247" s="1009"/>
      <c r="WQ247" s="1009"/>
      <c r="WR247" s="1009"/>
      <c r="WS247" s="1009"/>
      <c r="WT247" s="1009"/>
      <c r="WU247" s="1009"/>
      <c r="WV247" s="1009"/>
      <c r="WW247" s="1009"/>
      <c r="WX247" s="1009"/>
      <c r="WY247" s="1009"/>
      <c r="WZ247" s="1009"/>
      <c r="XA247" s="1009"/>
      <c r="XB247" s="1009"/>
      <c r="XC247" s="1009"/>
      <c r="XD247" s="1009"/>
      <c r="XE247" s="1009"/>
      <c r="XF247" s="1009"/>
      <c r="XG247" s="1009"/>
      <c r="XH247" s="1009"/>
      <c r="XI247" s="1009"/>
      <c r="XJ247" s="1009"/>
      <c r="XK247" s="1009"/>
      <c r="XL247" s="1009"/>
      <c r="XM247" s="1009"/>
      <c r="XN247" s="1009"/>
      <c r="XO247" s="1009"/>
      <c r="XP247" s="1009"/>
      <c r="XQ247" s="1009"/>
      <c r="XR247" s="1009"/>
      <c r="XS247" s="1009"/>
      <c r="XT247" s="1009"/>
      <c r="XU247" s="1009"/>
      <c r="XV247" s="1009"/>
      <c r="XW247" s="1009"/>
      <c r="XX247" s="1009"/>
      <c r="XY247" s="1009"/>
      <c r="XZ247" s="1009"/>
      <c r="YA247" s="1009"/>
      <c r="YB247" s="1009"/>
      <c r="YC247" s="1009"/>
      <c r="YD247" s="1009"/>
      <c r="YE247" s="1009"/>
      <c r="YF247" s="1009"/>
      <c r="YG247" s="1009"/>
      <c r="YH247" s="1009"/>
      <c r="YI247" s="1009"/>
      <c r="YJ247" s="1009"/>
      <c r="YK247" s="1009"/>
      <c r="YL247" s="1009"/>
      <c r="YM247" s="1009"/>
      <c r="YN247" s="1009"/>
      <c r="YO247" s="1009"/>
      <c r="YP247" s="1009"/>
      <c r="YQ247" s="1009"/>
      <c r="YR247" s="1009"/>
      <c r="YS247" s="1009"/>
      <c r="YT247" s="1009"/>
      <c r="YU247" s="1009"/>
      <c r="YV247" s="1009"/>
      <c r="YW247" s="1009"/>
      <c r="YX247" s="1009"/>
      <c r="YY247" s="1009"/>
      <c r="YZ247" s="1009"/>
      <c r="ZA247" s="1009"/>
      <c r="ZB247" s="1009"/>
      <c r="ZC247" s="1009"/>
      <c r="ZD247" s="1009"/>
      <c r="ZE247" s="1009"/>
      <c r="ZF247" s="1009"/>
      <c r="ZG247" s="1009"/>
      <c r="ZH247" s="1009"/>
      <c r="ZI247" s="1009"/>
      <c r="ZJ247" s="1009"/>
      <c r="ZK247" s="1009"/>
      <c r="ZL247" s="1009"/>
      <c r="ZM247" s="1009"/>
      <c r="ZN247" s="1009"/>
      <c r="ZO247" s="1009"/>
      <c r="ZP247" s="1009"/>
      <c r="ZQ247" s="1009"/>
      <c r="ZR247" s="1009"/>
      <c r="ZS247" s="1009"/>
      <c r="ZT247" s="1009"/>
      <c r="ZU247" s="1009"/>
      <c r="ZV247" s="1009"/>
      <c r="ZW247" s="1009"/>
      <c r="ZX247" s="1009"/>
      <c r="ZY247" s="1009"/>
      <c r="ZZ247" s="1009"/>
      <c r="AAA247" s="1009"/>
      <c r="AAB247" s="1009"/>
      <c r="AAC247" s="1009"/>
      <c r="AAD247" s="1009"/>
      <c r="AAE247" s="1009"/>
      <c r="AAF247" s="1009"/>
      <c r="AAG247" s="1009"/>
      <c r="AAH247" s="1009"/>
      <c r="AAI247" s="1009"/>
      <c r="AAJ247" s="1009"/>
      <c r="AAK247" s="1009"/>
      <c r="AAL247" s="1009"/>
      <c r="AAM247" s="1009"/>
      <c r="AAN247" s="1009"/>
      <c r="AAO247" s="1009"/>
      <c r="AAP247" s="1009"/>
      <c r="AAQ247" s="1009"/>
      <c r="AAR247" s="1009"/>
      <c r="AAS247" s="1009"/>
      <c r="AAT247" s="1009"/>
      <c r="AAU247" s="1009"/>
      <c r="AAV247" s="1009"/>
      <c r="AAW247" s="1009"/>
      <c r="AAX247" s="1009"/>
      <c r="AAY247" s="1009"/>
      <c r="AAZ247" s="1009"/>
      <c r="ABA247" s="1009"/>
      <c r="ABB247" s="1009"/>
      <c r="ABC247" s="1009"/>
      <c r="ABD247" s="1009"/>
      <c r="ABE247" s="1009"/>
      <c r="ABF247" s="1009"/>
      <c r="ABG247" s="1009"/>
      <c r="ABH247" s="1009"/>
      <c r="ABI247" s="1009"/>
      <c r="ABJ247" s="1009"/>
      <c r="ABK247" s="1009"/>
      <c r="ABL247" s="1009"/>
      <c r="ABM247" s="1009"/>
      <c r="ABN247" s="1009"/>
      <c r="ABO247" s="1009"/>
      <c r="ABP247" s="1009"/>
      <c r="ABQ247" s="1009"/>
      <c r="ABR247" s="1009"/>
    </row>
    <row r="248" spans="1:746" s="111" customFormat="1" ht="12" customHeight="1">
      <c r="A248" s="1758"/>
      <c r="B248" s="910" t="s">
        <v>1162</v>
      </c>
      <c r="C248" s="911"/>
      <c r="D248" s="911"/>
      <c r="E248" s="2913" t="str">
        <f>IF(E244-E245-E246-E247=0,"0",E244-E245-E246-E247)</f>
        <v>0</v>
      </c>
      <c r="F248" s="2914"/>
      <c r="G248" s="2915"/>
      <c r="H248" s="2552"/>
      <c r="I248" s="345">
        <f>SUM(fx!$I$442:I442)-SUMIF(fx!$I$57:I$57,1,$I$245:I245)-SUMIF(fx!$I$57:I$57,1,$I$246:I246)-SUMIF(fx!$I$57:I$57,1,$I$247:I247)</f>
        <v>0</v>
      </c>
      <c r="J248" s="345">
        <f>SUM(fx!$I$442:J442)-SUMIF(fx!$I$57:J$57,1,$I$245:J245)-SUMIF(fx!$I$57:J$57,1,$I$246:J246)-SUMIF(fx!$I$57:J$57,1,$I$247:J247)</f>
        <v>0</v>
      </c>
      <c r="K248" s="345">
        <f>SUM(fx!$I$442:K442)-SUMIF(fx!$I$57:K$57,1,$I$245:K245)-SUMIF(fx!$I$57:K$57,1,$I$246:K246)-SUMIF(fx!$I$57:K$57,1,$I$247:K247)</f>
        <v>0</v>
      </c>
      <c r="L248" s="345">
        <f>SUM(fx!$I$442:L442)-SUMIF(fx!$I$57:L$57,1,$I$245:L245)-SUMIF(fx!$I$57:L$57,1,$I$246:L246)-SUMIF(fx!$I$57:L$57,1,$I$247:L247)</f>
        <v>0</v>
      </c>
      <c r="M248" s="345">
        <f>SUM(fx!$I$442:M442)-SUMIF(fx!$I$57:M$57,1,$I$245:M245)-SUMIF(fx!$I$57:M$57,1,$I$246:M246)-SUMIF(fx!$I$57:M$57,1,$I$247:M247)</f>
        <v>0</v>
      </c>
      <c r="N248" s="345">
        <f>SUM(fx!$I$442:N442)-SUMIF(fx!$I$57:N$57,1,$I$245:N245)-SUMIF(fx!$I$57:N$57,1,$I$246:N246)-SUMIF(fx!$I$57:N$57,1,$I$247:N247)</f>
        <v>0</v>
      </c>
      <c r="O248" s="345">
        <f>SUM(fx!$I$442:O442)-SUMIF(fx!$I$57:O$57,1,$I$245:O245)-SUMIF(fx!$I$57:O$57,1,$I$246:O246)-SUMIF(fx!$I$57:O$57,1,$I$247:O247)</f>
        <v>0</v>
      </c>
      <c r="P248" s="345">
        <f>SUM(fx!$I$442:P442)-SUMIF(fx!$I$57:P$57,1,$I$245:P245)-SUMIF(fx!$I$57:P$57,1,$I$246:P246)-SUMIF(fx!$I$57:P$57,1,$I$247:P247)</f>
        <v>0</v>
      </c>
      <c r="Q248" s="345">
        <f>SUM(fx!$I$442:Q442)-SUMIF(fx!$I$57:Q$57,1,$I$245:Q245)-SUMIF(fx!$I$57:Q$57,1,$I$246:Q246)-SUMIF(fx!$I$57:Q$57,1,$I$247:Q247)</f>
        <v>0</v>
      </c>
      <c r="R248" s="345">
        <f>SUM(fx!$I$442:R442)-SUMIF(fx!$I$57:R$57,1,$I$245:R245)-SUMIF(fx!$I$57:R$57,1,$I$246:R246)-SUMIF(fx!$I$57:R$57,1,$I$247:R247)</f>
        <v>0</v>
      </c>
      <c r="S248" s="345">
        <f>SUM(fx!$I$442:S442)-SUMIF(fx!$I$57:S$57,1,$I$245:S245)-SUMIF(fx!$I$57:S$57,1,$I$246:S246)-SUMIF(fx!$I$57:S$57,1,$I$247:S247)</f>
        <v>0</v>
      </c>
      <c r="T248" s="345">
        <f>SUM(fx!$I$442:T442)-SUMIF(fx!$I$57:T$57,1,$I$245:T245)-SUMIF(fx!$I$57:T$57,1,$I$246:T246)-SUMIF(fx!$I$57:T$57,1,$I$247:T247)</f>
        <v>0</v>
      </c>
      <c r="U248" s="345">
        <f>SUM(fx!$I$442:U442)-SUMIF(fx!$I$57:U$57,1,$I$245:U245)-SUMIF(fx!$I$57:U$57,1,$I$246:U246)-SUMIF(fx!$I$57:U$57,1,$I$247:U247)</f>
        <v>0</v>
      </c>
      <c r="V248" s="345">
        <f>SUM(fx!$I$442:V442)-SUMIF(fx!$I$57:V$57,1,$I$245:V245)-SUMIF(fx!$I$57:V$57,1,$I$246:V246)-SUMIF(fx!$I$57:V$57,1,$I$247:V247)</f>
        <v>0</v>
      </c>
      <c r="W248" s="345">
        <f>SUM(fx!$I$442:W442)-SUMIF(fx!$I$57:W$57,1,$I$245:W245)-SUMIF(fx!$I$57:W$57,1,$I$246:W246)-SUMIF(fx!$I$57:W$57,1,$I$247:W247)</f>
        <v>0</v>
      </c>
      <c r="X248" s="345">
        <f>SUM(fx!$I$442:X442)-SUMIF(fx!$I$57:X$57,1,$I$245:X245)-SUMIF(fx!$I$57:X$57,1,$I$246:X246)-SUMIF(fx!$I$57:X$57,1,$I$247:X247)</f>
        <v>0</v>
      </c>
      <c r="Y248" s="345">
        <f>SUM(fx!$I$442:Y442)-SUMIF(fx!$I$57:Y$57,1,$I$245:Y245)-SUMIF(fx!$I$57:Y$57,1,$I$246:Y246)-SUMIF(fx!$I$57:Y$57,1,$I$247:Y247)</f>
        <v>0</v>
      </c>
      <c r="Z248" s="345">
        <f>SUM(fx!$I$442:Z442)-SUMIF(fx!$I$57:Z$57,1,$I$245:Z245)-SUMIF(fx!$I$57:Z$57,1,$I$246:Z246)-SUMIF(fx!$I$57:Z$57,1,$I$247:Z247)</f>
        <v>0</v>
      </c>
      <c r="AA248" s="345">
        <f>SUM(fx!$I$442:AA442)-SUMIF(fx!$I$57:AA$57,1,$I$245:AA245)-SUMIF(fx!$I$57:AA$57,1,$I$246:AA246)-SUMIF(fx!$I$57:AA$57,1,$I$247:AA247)</f>
        <v>0</v>
      </c>
      <c r="AB248" s="345">
        <f>SUM(fx!$I$442:AB442)-SUMIF(fx!$I$57:AB$57,1,$I$245:AB245)-SUMIF(fx!$I$57:AB$57,1,$I$246:AB246)-SUMIF(fx!$I$57:AB$57,1,$I$247:AB247)</f>
        <v>0</v>
      </c>
      <c r="AC248" s="345">
        <f>SUM(fx!$I$442:AC442)-SUMIF(fx!$I$57:AC$57,1,$I$245:AC245)-SUMIF(fx!$I$57:AC$57,1,$I$246:AC246)-SUMIF(fx!$I$57:AC$57,1,$I$247:AC247)</f>
        <v>0</v>
      </c>
      <c r="AD248" s="345">
        <f>SUM(fx!$I$442:AD442)-SUMIF(fx!$I$57:AD$57,1,$I$245:AD245)-SUMIF(fx!$I$57:AD$57,1,$I$246:AD246)-SUMIF(fx!$I$57:AD$57,1,$I$247:AD247)</f>
        <v>0</v>
      </c>
      <c r="AE248" s="345">
        <f>SUM(fx!$I$442:AE442)-SUMIF(fx!$I$57:AE$57,1,$I$245:AE245)-SUMIF(fx!$I$57:AE$57,1,$I$246:AE246)-SUMIF(fx!$I$57:AE$57,1,$I$247:AE247)</f>
        <v>0</v>
      </c>
      <c r="AF248" s="345">
        <f>SUM(fx!$I$442:AF442)-SUMIF(fx!$I$57:AF$57,1,$I$245:AF245)-SUMIF(fx!$I$57:AF$57,1,$I$246:AF246)-SUMIF(fx!$I$57:AF$57,1,$I$247:AF247)</f>
        <v>0</v>
      </c>
      <c r="AG248" s="337"/>
      <c r="AH248" s="786"/>
      <c r="AI248" s="786"/>
      <c r="AJ248" s="1044"/>
      <c r="AK248" s="1047"/>
      <c r="AL248" s="1044"/>
      <c r="AM248" s="1009"/>
      <c r="AN248" s="1026"/>
      <c r="AO248" s="1945"/>
      <c r="AP248" s="1935"/>
      <c r="AQ248" s="1936"/>
      <c r="AR248" s="1941"/>
      <c r="AS248" s="1941"/>
      <c r="AT248" s="1941"/>
      <c r="AU248" s="1941"/>
      <c r="AV248" s="1941"/>
      <c r="AW248" s="1941"/>
      <c r="AX248" s="1941"/>
      <c r="AY248" s="1941"/>
      <c r="AZ248" s="1941"/>
      <c r="BA248" s="1941"/>
      <c r="BB248" s="1941"/>
      <c r="BC248" s="1941"/>
      <c r="BD248" s="1941"/>
      <c r="BE248" s="1941"/>
      <c r="BF248" s="1941"/>
      <c r="BG248" s="1941"/>
      <c r="BH248" s="1941"/>
      <c r="BI248" s="1941"/>
      <c r="BJ248" s="1941"/>
      <c r="BK248" s="1941"/>
      <c r="BL248" s="1941"/>
      <c r="BM248" s="1941"/>
      <c r="BN248" s="1941"/>
      <c r="BO248" s="1941"/>
      <c r="BP248" s="1009"/>
      <c r="BQ248" s="1009"/>
      <c r="BR248" s="1009"/>
      <c r="BS248" s="1009"/>
      <c r="BT248" s="1009"/>
      <c r="BU248" s="1009"/>
      <c r="BV248" s="1009"/>
      <c r="BW248" s="1009"/>
      <c r="BX248" s="1009"/>
      <c r="BY248" s="1009"/>
      <c r="BZ248" s="1009"/>
      <c r="CA248" s="1009"/>
      <c r="CB248" s="1009"/>
      <c r="CC248" s="1009"/>
      <c r="CD248" s="1009"/>
      <c r="CE248" s="1009"/>
      <c r="CF248" s="1009"/>
      <c r="CG248" s="1009"/>
      <c r="CH248" s="1009"/>
      <c r="CI248" s="1009"/>
      <c r="CJ248" s="1009"/>
      <c r="CK248" s="1009"/>
      <c r="CL248" s="1009"/>
      <c r="CM248" s="1009"/>
      <c r="CN248" s="1009"/>
      <c r="CO248" s="1009"/>
      <c r="CP248" s="1009"/>
      <c r="CQ248" s="1009"/>
      <c r="CR248" s="1009"/>
      <c r="CS248" s="1009"/>
      <c r="CT248" s="1009"/>
      <c r="CU248" s="1009"/>
      <c r="CV248" s="1009"/>
      <c r="CW248" s="1009"/>
      <c r="CX248" s="1009"/>
      <c r="CY248" s="1009"/>
      <c r="CZ248" s="1009"/>
      <c r="DA248" s="1009"/>
      <c r="DB248" s="1009"/>
      <c r="DC248" s="1009"/>
      <c r="DD248" s="1009"/>
      <c r="DE248" s="1009"/>
      <c r="DF248" s="1009"/>
      <c r="DG248" s="1009"/>
      <c r="DH248" s="1009"/>
      <c r="DI248" s="1009"/>
      <c r="DJ248" s="1009"/>
      <c r="DK248" s="1009"/>
      <c r="DL248" s="1009"/>
      <c r="DM248" s="1009"/>
      <c r="DN248" s="1009"/>
      <c r="DO248" s="1009"/>
      <c r="DP248" s="1009"/>
      <c r="DQ248" s="1009"/>
      <c r="DR248" s="1009"/>
      <c r="DS248" s="1009"/>
      <c r="DT248" s="1009"/>
      <c r="DU248" s="1009"/>
      <c r="DV248" s="1009"/>
      <c r="DW248" s="1009"/>
      <c r="DX248" s="1009"/>
      <c r="DY248" s="1009"/>
      <c r="DZ248" s="1009"/>
      <c r="EA248" s="1009"/>
      <c r="EB248" s="1009"/>
      <c r="EC248" s="1009"/>
      <c r="ED248" s="1009"/>
      <c r="EE248" s="1009"/>
      <c r="EF248" s="1009"/>
      <c r="EG248" s="1009"/>
      <c r="EH248" s="1009"/>
      <c r="EI248" s="1009"/>
      <c r="EJ248" s="1009"/>
      <c r="EK248" s="1009"/>
      <c r="EL248" s="1009"/>
      <c r="EM248" s="1009"/>
      <c r="EN248" s="1009"/>
      <c r="EO248" s="1009"/>
      <c r="EP248" s="1009"/>
      <c r="EQ248" s="1009"/>
      <c r="ER248" s="1009"/>
      <c r="ES248" s="1009"/>
      <c r="ET248" s="1009"/>
      <c r="EU248" s="1009"/>
      <c r="EV248" s="1009"/>
      <c r="EW248" s="1009"/>
      <c r="EX248" s="1009"/>
      <c r="EY248" s="1009"/>
      <c r="EZ248" s="1009"/>
      <c r="FA248" s="1009"/>
      <c r="FB248" s="1009"/>
      <c r="FC248" s="1009"/>
      <c r="FD248" s="1009"/>
      <c r="FE248" s="1009"/>
      <c r="FF248" s="1009"/>
      <c r="FG248" s="1009"/>
      <c r="FH248" s="1009"/>
      <c r="FI248" s="1009"/>
      <c r="FJ248" s="1009"/>
      <c r="FK248" s="1009"/>
      <c r="FL248" s="1009"/>
      <c r="FM248" s="1009"/>
      <c r="FN248" s="1009"/>
      <c r="FO248" s="1009"/>
      <c r="FP248" s="1009"/>
      <c r="FQ248" s="1009"/>
      <c r="FR248" s="1009"/>
      <c r="FS248" s="1009"/>
      <c r="FT248" s="1009"/>
      <c r="FU248" s="1009"/>
      <c r="FV248" s="1009"/>
      <c r="FW248" s="1009"/>
      <c r="FX248" s="1009"/>
      <c r="FY248" s="1009"/>
      <c r="FZ248" s="1009"/>
      <c r="GA248" s="1009"/>
      <c r="GB248" s="1009"/>
      <c r="GC248" s="1009"/>
      <c r="GD248" s="1009"/>
      <c r="GE248" s="1009"/>
      <c r="GF248" s="1009"/>
      <c r="GG248" s="1009"/>
      <c r="GH248" s="1009"/>
      <c r="GI248" s="1009"/>
      <c r="GJ248" s="1009"/>
      <c r="GK248" s="1009"/>
      <c r="GL248" s="1009"/>
      <c r="GM248" s="1009"/>
      <c r="GN248" s="1009"/>
      <c r="GO248" s="1009"/>
      <c r="GP248" s="1009"/>
      <c r="GQ248" s="1009"/>
      <c r="GR248" s="1009"/>
      <c r="GS248" s="1009"/>
      <c r="GT248" s="1009"/>
      <c r="GU248" s="1009"/>
      <c r="GV248" s="1009"/>
      <c r="GW248" s="1009"/>
      <c r="GX248" s="1009"/>
      <c r="GY248" s="1009"/>
      <c r="GZ248" s="1009"/>
      <c r="HA248" s="1009"/>
      <c r="HB248" s="1009"/>
      <c r="HC248" s="1009"/>
      <c r="HD248" s="1009"/>
      <c r="HE248" s="1009"/>
      <c r="HF248" s="1009"/>
      <c r="HG248" s="1009"/>
      <c r="HH248" s="1009"/>
      <c r="HI248" s="1009"/>
      <c r="HJ248" s="1009"/>
      <c r="HK248" s="1009"/>
      <c r="HL248" s="1009"/>
      <c r="HM248" s="1009"/>
      <c r="HN248" s="1009"/>
      <c r="HO248" s="1009"/>
      <c r="HP248" s="1009"/>
      <c r="HQ248" s="1009"/>
      <c r="HR248" s="1009"/>
      <c r="HS248" s="1009"/>
      <c r="HT248" s="1009"/>
      <c r="HU248" s="1009"/>
      <c r="HV248" s="1009"/>
      <c r="HW248" s="1009"/>
      <c r="HX248" s="1009"/>
      <c r="HY248" s="1009"/>
      <c r="HZ248" s="1009"/>
      <c r="IA248" s="1009"/>
      <c r="IB248" s="1009"/>
      <c r="IC248" s="1009"/>
      <c r="ID248" s="1009"/>
      <c r="IE248" s="1009"/>
      <c r="IF248" s="1009"/>
      <c r="IG248" s="1009"/>
      <c r="IH248" s="1009"/>
      <c r="II248" s="1009"/>
      <c r="IJ248" s="1009"/>
      <c r="IK248" s="1009"/>
      <c r="IL248" s="1009"/>
      <c r="IM248" s="1009"/>
      <c r="IN248" s="1009"/>
      <c r="IO248" s="1009"/>
      <c r="IP248" s="1009"/>
      <c r="IQ248" s="1009"/>
      <c r="IR248" s="1009"/>
      <c r="IS248" s="1009"/>
      <c r="IT248" s="1009"/>
      <c r="IU248" s="1009"/>
      <c r="IV248" s="1009"/>
      <c r="IW248" s="1009"/>
      <c r="IX248" s="1009"/>
      <c r="IY248" s="1009"/>
      <c r="IZ248" s="1009"/>
      <c r="JA248" s="1009"/>
      <c r="JB248" s="1009"/>
      <c r="JC248" s="1009"/>
      <c r="JD248" s="1009"/>
      <c r="JE248" s="1009"/>
      <c r="JF248" s="1009"/>
      <c r="JG248" s="1009"/>
      <c r="JH248" s="1009"/>
      <c r="JI248" s="1009"/>
      <c r="JJ248" s="1009"/>
      <c r="JK248" s="1009"/>
      <c r="JL248" s="1009"/>
      <c r="JM248" s="1009"/>
      <c r="JN248" s="1009"/>
      <c r="JO248" s="1009"/>
      <c r="JP248" s="1009"/>
      <c r="JQ248" s="1009"/>
      <c r="JR248" s="1009"/>
      <c r="JS248" s="1009"/>
      <c r="JT248" s="1009"/>
      <c r="JU248" s="1009"/>
      <c r="JV248" s="1009"/>
      <c r="JW248" s="1009"/>
      <c r="JX248" s="1009"/>
      <c r="JY248" s="1009"/>
      <c r="JZ248" s="1009"/>
      <c r="KA248" s="1009"/>
      <c r="KB248" s="1009"/>
      <c r="KC248" s="1009"/>
      <c r="KD248" s="1009"/>
      <c r="KE248" s="1009"/>
      <c r="KF248" s="1009"/>
      <c r="KG248" s="1009"/>
      <c r="KH248" s="1009"/>
      <c r="KI248" s="1009"/>
      <c r="KJ248" s="1009"/>
      <c r="KK248" s="1009"/>
      <c r="KL248" s="1009"/>
      <c r="KM248" s="1009"/>
      <c r="KN248" s="1009"/>
      <c r="KO248" s="1009"/>
      <c r="KP248" s="1009"/>
      <c r="KQ248" s="1009"/>
      <c r="KR248" s="1009"/>
      <c r="KS248" s="1009"/>
      <c r="KT248" s="1009"/>
      <c r="KU248" s="1009"/>
      <c r="KV248" s="1009"/>
      <c r="KW248" s="1009"/>
      <c r="KX248" s="1009"/>
      <c r="KY248" s="1009"/>
      <c r="KZ248" s="1009"/>
      <c r="LA248" s="1009"/>
      <c r="LB248" s="1009"/>
      <c r="LC248" s="1009"/>
      <c r="LD248" s="1009"/>
      <c r="LE248" s="1009"/>
      <c r="LF248" s="1009"/>
      <c r="LG248" s="1009"/>
      <c r="LH248" s="1009"/>
      <c r="LI248" s="1009"/>
      <c r="LJ248" s="1009"/>
      <c r="LK248" s="1009"/>
      <c r="LL248" s="1009"/>
      <c r="LM248" s="1009"/>
      <c r="LN248" s="1009"/>
      <c r="LO248" s="1009"/>
      <c r="LP248" s="1009"/>
      <c r="LQ248" s="1009"/>
      <c r="LR248" s="1009"/>
      <c r="LS248" s="1009"/>
      <c r="LT248" s="1009"/>
      <c r="LU248" s="1009"/>
      <c r="LV248" s="1009"/>
      <c r="LW248" s="1009"/>
      <c r="LX248" s="1009"/>
      <c r="LY248" s="1009"/>
      <c r="LZ248" s="1009"/>
      <c r="MA248" s="1009"/>
      <c r="MB248" s="1009"/>
      <c r="MC248" s="1009"/>
      <c r="MD248" s="1009"/>
      <c r="ME248" s="1009"/>
      <c r="MF248" s="1009"/>
      <c r="MG248" s="1009"/>
      <c r="MH248" s="1009"/>
      <c r="MI248" s="1009"/>
      <c r="MJ248" s="1009"/>
      <c r="MK248" s="1009"/>
      <c r="ML248" s="1009"/>
      <c r="MM248" s="1009"/>
      <c r="MN248" s="1009"/>
      <c r="MO248" s="1009"/>
      <c r="MP248" s="1009"/>
      <c r="MQ248" s="1009"/>
      <c r="MR248" s="1009"/>
      <c r="MS248" s="1009"/>
      <c r="MT248" s="1009"/>
      <c r="MU248" s="1009"/>
      <c r="MV248" s="1009"/>
      <c r="MW248" s="1009"/>
      <c r="MX248" s="1009"/>
      <c r="MY248" s="1009"/>
      <c r="MZ248" s="1009"/>
      <c r="NA248" s="1009"/>
      <c r="NB248" s="1009"/>
      <c r="NC248" s="1009"/>
      <c r="ND248" s="1009"/>
      <c r="NE248" s="1009"/>
      <c r="NF248" s="1009"/>
      <c r="NG248" s="1009"/>
      <c r="NH248" s="1009"/>
      <c r="NI248" s="1009"/>
      <c r="NJ248" s="1009"/>
      <c r="NK248" s="1009"/>
      <c r="NL248" s="1009"/>
      <c r="NM248" s="1009"/>
      <c r="NN248" s="1009"/>
      <c r="NO248" s="1009"/>
      <c r="NP248" s="1009"/>
      <c r="NQ248" s="1009"/>
      <c r="NR248" s="1009"/>
      <c r="NS248" s="1009"/>
      <c r="NT248" s="1009"/>
      <c r="NU248" s="1009"/>
      <c r="NV248" s="1009"/>
      <c r="NW248" s="1009"/>
      <c r="NX248" s="1009"/>
      <c r="NY248" s="1009"/>
      <c r="NZ248" s="1009"/>
      <c r="OA248" s="1009"/>
      <c r="OB248" s="1009"/>
      <c r="OC248" s="1009"/>
      <c r="OD248" s="1009"/>
      <c r="OE248" s="1009"/>
      <c r="OF248" s="1009"/>
      <c r="OG248" s="1009"/>
      <c r="OH248" s="1009"/>
      <c r="OI248" s="1009"/>
      <c r="OJ248" s="1009"/>
      <c r="OK248" s="1009"/>
      <c r="OL248" s="1009"/>
      <c r="OM248" s="1009"/>
      <c r="ON248" s="1009"/>
      <c r="OO248" s="1009"/>
      <c r="OP248" s="1009"/>
      <c r="OQ248" s="1009"/>
      <c r="OR248" s="1009"/>
      <c r="OS248" s="1009"/>
      <c r="OT248" s="1009"/>
      <c r="OU248" s="1009"/>
      <c r="OV248" s="1009"/>
      <c r="OW248" s="1009"/>
      <c r="OX248" s="1009"/>
      <c r="OY248" s="1009"/>
      <c r="OZ248" s="1009"/>
      <c r="PA248" s="1009"/>
      <c r="PB248" s="1009"/>
      <c r="PC248" s="1009"/>
      <c r="PD248" s="1009"/>
      <c r="PE248" s="1009"/>
      <c r="PF248" s="1009"/>
      <c r="PG248" s="1009"/>
      <c r="PH248" s="1009"/>
      <c r="PI248" s="1009"/>
      <c r="PJ248" s="1009"/>
      <c r="PK248" s="1009"/>
      <c r="PL248" s="1009"/>
      <c r="PM248" s="1009"/>
      <c r="PN248" s="1009"/>
      <c r="PO248" s="1009"/>
      <c r="PP248" s="1009"/>
      <c r="PQ248" s="1009"/>
      <c r="PR248" s="1009"/>
      <c r="PS248" s="1009"/>
      <c r="PT248" s="1009"/>
      <c r="PU248" s="1009"/>
      <c r="PV248" s="1009"/>
      <c r="PW248" s="1009"/>
      <c r="PX248" s="1009"/>
      <c r="PY248" s="1009"/>
      <c r="PZ248" s="1009"/>
      <c r="QA248" s="1009"/>
      <c r="QB248" s="1009"/>
      <c r="QC248" s="1009"/>
      <c r="QD248" s="1009"/>
      <c r="QE248" s="1009"/>
      <c r="QF248" s="1009"/>
      <c r="QG248" s="1009"/>
      <c r="QH248" s="1009"/>
      <c r="QI248" s="1009"/>
      <c r="QJ248" s="1009"/>
      <c r="QK248" s="1009"/>
      <c r="QL248" s="1009"/>
      <c r="QM248" s="1009"/>
      <c r="QN248" s="1009"/>
      <c r="QO248" s="1009"/>
      <c r="QP248" s="1009"/>
      <c r="QQ248" s="1009"/>
      <c r="QR248" s="1009"/>
      <c r="QS248" s="1009"/>
      <c r="QT248" s="1009"/>
      <c r="QU248" s="1009"/>
      <c r="QV248" s="1009"/>
      <c r="QW248" s="1009"/>
      <c r="QX248" s="1009"/>
      <c r="QY248" s="1009"/>
      <c r="QZ248" s="1009"/>
      <c r="RA248" s="1009"/>
      <c r="RB248" s="1009"/>
      <c r="RC248" s="1009"/>
      <c r="RD248" s="1009"/>
      <c r="RE248" s="1009"/>
      <c r="RF248" s="1009"/>
      <c r="RG248" s="1009"/>
      <c r="RH248" s="1009"/>
      <c r="RI248" s="1009"/>
      <c r="RJ248" s="1009"/>
      <c r="RK248" s="1009"/>
      <c r="RL248" s="1009"/>
      <c r="RM248" s="1009"/>
      <c r="RN248" s="1009"/>
      <c r="RO248" s="1009"/>
      <c r="RP248" s="1009"/>
      <c r="RQ248" s="1009"/>
      <c r="RR248" s="1009"/>
      <c r="RS248" s="1009"/>
      <c r="RT248" s="1009"/>
      <c r="RU248" s="1009"/>
      <c r="RV248" s="1009"/>
      <c r="RW248" s="1009"/>
      <c r="RX248" s="1009"/>
      <c r="RY248" s="1009"/>
      <c r="RZ248" s="1009"/>
      <c r="SA248" s="1009"/>
      <c r="SB248" s="1009"/>
      <c r="SC248" s="1009"/>
      <c r="SD248" s="1009"/>
      <c r="SE248" s="1009"/>
      <c r="SF248" s="1009"/>
      <c r="SG248" s="1009"/>
      <c r="SH248" s="1009"/>
      <c r="SI248" s="1009"/>
      <c r="SJ248" s="1009"/>
      <c r="SK248" s="1009"/>
      <c r="SL248" s="1009"/>
      <c r="SM248" s="1009"/>
      <c r="SN248" s="1009"/>
      <c r="SO248" s="1009"/>
      <c r="SP248" s="1009"/>
      <c r="SQ248" s="1009"/>
      <c r="SR248" s="1009"/>
      <c r="SS248" s="1009"/>
      <c r="ST248" s="1009"/>
      <c r="SU248" s="1009"/>
      <c r="SV248" s="1009"/>
      <c r="SW248" s="1009"/>
      <c r="SX248" s="1009"/>
      <c r="SY248" s="1009"/>
      <c r="SZ248" s="1009"/>
      <c r="TA248" s="1009"/>
      <c r="TB248" s="1009"/>
      <c r="TC248" s="1009"/>
      <c r="TD248" s="1009"/>
      <c r="TE248" s="1009"/>
      <c r="TF248" s="1009"/>
      <c r="TG248" s="1009"/>
      <c r="TH248" s="1009"/>
      <c r="TI248" s="1009"/>
      <c r="TJ248" s="1009"/>
      <c r="TK248" s="1009"/>
      <c r="TL248" s="1009"/>
      <c r="TM248" s="1009"/>
      <c r="TN248" s="1009"/>
      <c r="TO248" s="1009"/>
      <c r="TP248" s="1009"/>
      <c r="TQ248" s="1009"/>
      <c r="TR248" s="1009"/>
      <c r="TS248" s="1009"/>
      <c r="TT248" s="1009"/>
      <c r="TU248" s="1009"/>
      <c r="TV248" s="1009"/>
      <c r="TW248" s="1009"/>
      <c r="TX248" s="1009"/>
      <c r="TY248" s="1009"/>
      <c r="TZ248" s="1009"/>
      <c r="UA248" s="1009"/>
      <c r="UB248" s="1009"/>
      <c r="UC248" s="1009"/>
      <c r="UD248" s="1009"/>
      <c r="UE248" s="1009"/>
      <c r="UF248" s="1009"/>
      <c r="UG248" s="1009"/>
      <c r="UH248" s="1009"/>
      <c r="UI248" s="1009"/>
      <c r="UJ248" s="1009"/>
      <c r="UK248" s="1009"/>
      <c r="UL248" s="1009"/>
      <c r="UM248" s="1009"/>
      <c r="UN248" s="1009"/>
      <c r="UO248" s="1009"/>
      <c r="UP248" s="1009"/>
      <c r="UQ248" s="1009"/>
      <c r="UR248" s="1009"/>
      <c r="US248" s="1009"/>
      <c r="UT248" s="1009"/>
      <c r="UU248" s="1009"/>
      <c r="UV248" s="1009"/>
      <c r="UW248" s="1009"/>
      <c r="UX248" s="1009"/>
      <c r="UY248" s="1009"/>
      <c r="UZ248" s="1009"/>
      <c r="VA248" s="1009"/>
      <c r="VB248" s="1009"/>
      <c r="VC248" s="1009"/>
      <c r="VD248" s="1009"/>
      <c r="VE248" s="1009"/>
      <c r="VF248" s="1009"/>
      <c r="VG248" s="1009"/>
      <c r="VH248" s="1009"/>
      <c r="VI248" s="1009"/>
      <c r="VJ248" s="1009"/>
      <c r="VK248" s="1009"/>
      <c r="VL248" s="1009"/>
      <c r="VM248" s="1009"/>
      <c r="VN248" s="1009"/>
      <c r="VO248" s="1009"/>
      <c r="VP248" s="1009"/>
      <c r="VQ248" s="1009"/>
      <c r="VR248" s="1009"/>
      <c r="VS248" s="1009"/>
      <c r="VT248" s="1009"/>
      <c r="VU248" s="1009"/>
      <c r="VV248" s="1009"/>
      <c r="VW248" s="1009"/>
      <c r="VX248" s="1009"/>
      <c r="VY248" s="1009"/>
      <c r="VZ248" s="1009"/>
      <c r="WA248" s="1009"/>
      <c r="WB248" s="1009"/>
      <c r="WC248" s="1009"/>
      <c r="WD248" s="1009"/>
      <c r="WE248" s="1009"/>
      <c r="WF248" s="1009"/>
      <c r="WG248" s="1009"/>
      <c r="WH248" s="1009"/>
      <c r="WI248" s="1009"/>
      <c r="WJ248" s="1009"/>
      <c r="WK248" s="1009"/>
      <c r="WL248" s="1009"/>
      <c r="WM248" s="1009"/>
      <c r="WN248" s="1009"/>
      <c r="WO248" s="1009"/>
      <c r="WP248" s="1009"/>
      <c r="WQ248" s="1009"/>
      <c r="WR248" s="1009"/>
      <c r="WS248" s="1009"/>
      <c r="WT248" s="1009"/>
      <c r="WU248" s="1009"/>
      <c r="WV248" s="1009"/>
      <c r="WW248" s="1009"/>
      <c r="WX248" s="1009"/>
      <c r="WY248" s="1009"/>
      <c r="WZ248" s="1009"/>
      <c r="XA248" s="1009"/>
      <c r="XB248" s="1009"/>
      <c r="XC248" s="1009"/>
      <c r="XD248" s="1009"/>
      <c r="XE248" s="1009"/>
      <c r="XF248" s="1009"/>
      <c r="XG248" s="1009"/>
      <c r="XH248" s="1009"/>
      <c r="XI248" s="1009"/>
      <c r="XJ248" s="1009"/>
      <c r="XK248" s="1009"/>
      <c r="XL248" s="1009"/>
      <c r="XM248" s="1009"/>
      <c r="XN248" s="1009"/>
      <c r="XO248" s="1009"/>
      <c r="XP248" s="1009"/>
      <c r="XQ248" s="1009"/>
      <c r="XR248" s="1009"/>
      <c r="XS248" s="1009"/>
      <c r="XT248" s="1009"/>
      <c r="XU248" s="1009"/>
      <c r="XV248" s="1009"/>
      <c r="XW248" s="1009"/>
      <c r="XX248" s="1009"/>
      <c r="XY248" s="1009"/>
      <c r="XZ248" s="1009"/>
      <c r="YA248" s="1009"/>
      <c r="YB248" s="1009"/>
      <c r="YC248" s="1009"/>
      <c r="YD248" s="1009"/>
      <c r="YE248" s="1009"/>
      <c r="YF248" s="1009"/>
      <c r="YG248" s="1009"/>
      <c r="YH248" s="1009"/>
      <c r="YI248" s="1009"/>
      <c r="YJ248" s="1009"/>
      <c r="YK248" s="1009"/>
      <c r="YL248" s="1009"/>
      <c r="YM248" s="1009"/>
      <c r="YN248" s="1009"/>
      <c r="YO248" s="1009"/>
      <c r="YP248" s="1009"/>
      <c r="YQ248" s="1009"/>
      <c r="YR248" s="1009"/>
      <c r="YS248" s="1009"/>
      <c r="YT248" s="1009"/>
      <c r="YU248" s="1009"/>
      <c r="YV248" s="1009"/>
      <c r="YW248" s="1009"/>
      <c r="YX248" s="1009"/>
      <c r="YY248" s="1009"/>
      <c r="YZ248" s="1009"/>
      <c r="ZA248" s="1009"/>
      <c r="ZB248" s="1009"/>
      <c r="ZC248" s="1009"/>
      <c r="ZD248" s="1009"/>
      <c r="ZE248" s="1009"/>
      <c r="ZF248" s="1009"/>
      <c r="ZG248" s="1009"/>
      <c r="ZH248" s="1009"/>
      <c r="ZI248" s="1009"/>
      <c r="ZJ248" s="1009"/>
      <c r="ZK248" s="1009"/>
      <c r="ZL248" s="1009"/>
      <c r="ZM248" s="1009"/>
      <c r="ZN248" s="1009"/>
      <c r="ZO248" s="1009"/>
      <c r="ZP248" s="1009"/>
      <c r="ZQ248" s="1009"/>
      <c r="ZR248" s="1009"/>
      <c r="ZS248" s="1009"/>
      <c r="ZT248" s="1009"/>
      <c r="ZU248" s="1009"/>
      <c r="ZV248" s="1009"/>
      <c r="ZW248" s="1009"/>
      <c r="ZX248" s="1009"/>
      <c r="ZY248" s="1009"/>
      <c r="ZZ248" s="1009"/>
      <c r="AAA248" s="1009"/>
      <c r="AAB248" s="1009"/>
      <c r="AAC248" s="1009"/>
      <c r="AAD248" s="1009"/>
      <c r="AAE248" s="1009"/>
      <c r="AAF248" s="1009"/>
      <c r="AAG248" s="1009"/>
      <c r="AAH248" s="1009"/>
      <c r="AAI248" s="1009"/>
      <c r="AAJ248" s="1009"/>
      <c r="AAK248" s="1009"/>
      <c r="AAL248" s="1009"/>
      <c r="AAM248" s="1009"/>
      <c r="AAN248" s="1009"/>
      <c r="AAO248" s="1009"/>
      <c r="AAP248" s="1009"/>
      <c r="AAQ248" s="1009"/>
      <c r="AAR248" s="1009"/>
      <c r="AAS248" s="1009"/>
      <c r="AAT248" s="1009"/>
      <c r="AAU248" s="1009"/>
      <c r="AAV248" s="1009"/>
      <c r="AAW248" s="1009"/>
      <c r="AAX248" s="1009"/>
      <c r="AAY248" s="1009"/>
      <c r="AAZ248" s="1009"/>
      <c r="ABA248" s="1009"/>
      <c r="ABB248" s="1009"/>
      <c r="ABC248" s="1009"/>
      <c r="ABD248" s="1009"/>
      <c r="ABE248" s="1009"/>
      <c r="ABF248" s="1009"/>
      <c r="ABG248" s="1009"/>
      <c r="ABH248" s="1009"/>
      <c r="ABI248" s="1009"/>
      <c r="ABJ248" s="1009"/>
      <c r="ABK248" s="1009"/>
      <c r="ABL248" s="1009"/>
      <c r="ABM248" s="1009"/>
      <c r="ABN248" s="1009"/>
      <c r="ABO248" s="1009"/>
      <c r="ABP248" s="1009"/>
      <c r="ABQ248" s="1009"/>
      <c r="ABR248" s="1009"/>
    </row>
    <row r="249" spans="1:746" s="111" customFormat="1" ht="12" customHeight="1">
      <c r="A249" s="789"/>
      <c r="B249" s="2502"/>
      <c r="C249" s="1806"/>
      <c r="D249" s="1806"/>
      <c r="E249" s="1807"/>
      <c r="F249" s="1808"/>
      <c r="G249" s="1807"/>
      <c r="H249" s="2165"/>
      <c r="I249" s="2570" t="str">
        <f>IF(fx!I$57=0,"&gt;&gt;",IF($L$4=I$6,"","Välj 1-12 i P4"))</f>
        <v/>
      </c>
      <c r="J249" s="1843" t="str">
        <f>IF(fx!J$57=0,"&gt;&gt;",IF($L$4=J$6,"Startmånad",""))</f>
        <v/>
      </c>
      <c r="K249" s="1843" t="str">
        <f>IF(fx!K$57=0,"&gt;&gt;",IF($L$4=K$6,"Startmånad",""))</f>
        <v/>
      </c>
      <c r="L249" s="1843" t="str">
        <f>IF(fx!L$57=0,"&gt;&gt;",IF($L$4=L$6,"Startmånad",""))</f>
        <v/>
      </c>
      <c r="M249" s="1843" t="str">
        <f>IF(fx!M$57=0,"&gt;&gt;",IF($L$4=M$6,"Startmånad",""))</f>
        <v/>
      </c>
      <c r="N249" s="1843" t="str">
        <f>IF(fx!N$57=0,"&gt;&gt;",IF($L$4=N$6,"Startmånad",""))</f>
        <v/>
      </c>
      <c r="O249" s="1843" t="str">
        <f>IF(AND(fx!$C$57=1,fx!O$57=0),"&gt;&gt;",IF(AND(fx!$C$57=1,$L$4=$O$6),"Startmånad",IF(AND(fx!$C$57=2,$L$4&lt;7),"Välj 7-12 i P4",IF(AND(fx!$C$57=2,$L$4=$O$6),"Startmånad",IF(AND(fx!$C$57=2,$L$4&gt;$O$6),"&gt;&gt;","")))))</f>
        <v/>
      </c>
      <c r="P249" s="1843" t="str">
        <f>IF(fx!P$57=0,"&gt;&gt;",IF($L$4=P$6,"Startmånad",""))</f>
        <v/>
      </c>
      <c r="Q249" s="1843" t="str">
        <f>IF(fx!Q$57=0,"&gt;&gt;",IF($L$4=Q$6,"Startmånad",""))</f>
        <v/>
      </c>
      <c r="R249" s="1843" t="str">
        <f>IF(fx!R$57=0,"&gt;&gt;",IF($L$4=R$6,"Startmånad",""))</f>
        <v/>
      </c>
      <c r="S249" s="1843" t="str">
        <f>IF(fx!S$57=0,"&gt;&gt;",IF($L$4=S$6,"Startmånad",""))</f>
        <v/>
      </c>
      <c r="T249" s="2717" t="str">
        <f>IF(fx!T$57=0,"&gt;&gt;",IF($L$4=T$6,"Startmånad",""))</f>
        <v/>
      </c>
      <c r="U249" s="2718"/>
      <c r="V249" s="1783"/>
      <c r="W249" s="1783"/>
      <c r="X249" s="1783"/>
      <c r="Y249" s="1783"/>
      <c r="Z249" s="1783"/>
      <c r="AA249" s="1783"/>
      <c r="AB249" s="1783"/>
      <c r="AC249" s="1783"/>
      <c r="AD249" s="1783"/>
      <c r="AE249" s="1783"/>
      <c r="AF249" s="1783"/>
      <c r="AG249" s="376"/>
      <c r="AH249" s="786"/>
      <c r="AI249" s="786"/>
      <c r="AJ249" s="1044"/>
      <c r="AK249" s="1047"/>
      <c r="AL249" s="1044"/>
      <c r="AM249" s="1009"/>
      <c r="AN249" s="1026"/>
      <c r="AO249" s="1945"/>
      <c r="AP249" s="1935"/>
      <c r="AQ249" s="1936"/>
      <c r="AR249" s="1941"/>
      <c r="AS249" s="1941"/>
      <c r="AT249" s="1941"/>
      <c r="AU249" s="1941"/>
      <c r="AV249" s="1941"/>
      <c r="AW249" s="1941"/>
      <c r="AX249" s="1941"/>
      <c r="AY249" s="1941"/>
      <c r="AZ249" s="1941"/>
      <c r="BA249" s="1941"/>
      <c r="BB249" s="1941"/>
      <c r="BC249" s="1941"/>
      <c r="BD249" s="1941"/>
      <c r="BE249" s="1941"/>
      <c r="BF249" s="1941"/>
      <c r="BG249" s="1941"/>
      <c r="BH249" s="1941"/>
      <c r="BI249" s="1941"/>
      <c r="BJ249" s="1941"/>
      <c r="BK249" s="1941"/>
      <c r="BL249" s="1941"/>
      <c r="BM249" s="1941"/>
      <c r="BN249" s="1941"/>
      <c r="BO249" s="1941"/>
      <c r="BP249" s="1009"/>
      <c r="BQ249" s="1009"/>
      <c r="BR249" s="1009"/>
      <c r="BS249" s="1009"/>
      <c r="BT249" s="1009"/>
      <c r="BU249" s="1009"/>
      <c r="BV249" s="1009"/>
      <c r="BW249" s="1009"/>
      <c r="BX249" s="1009"/>
      <c r="BY249" s="1009"/>
      <c r="BZ249" s="1009"/>
      <c r="CA249" s="1009"/>
      <c r="CB249" s="1009"/>
      <c r="CC249" s="1009"/>
      <c r="CD249" s="1009"/>
      <c r="CE249" s="1009"/>
      <c r="CF249" s="1009"/>
      <c r="CG249" s="1009"/>
      <c r="CH249" s="1009"/>
      <c r="CI249" s="1009"/>
      <c r="CJ249" s="1009"/>
      <c r="CK249" s="1009"/>
      <c r="CL249" s="1009"/>
      <c r="CM249" s="1009"/>
      <c r="CN249" s="1009"/>
      <c r="CO249" s="1009"/>
      <c r="CP249" s="1009"/>
      <c r="CQ249" s="1009"/>
      <c r="CR249" s="1009"/>
      <c r="CS249" s="1009"/>
      <c r="CT249" s="1009"/>
      <c r="CU249" s="1009"/>
      <c r="CV249" s="1009"/>
      <c r="CW249" s="1009"/>
      <c r="CX249" s="1009"/>
      <c r="CY249" s="1009"/>
      <c r="CZ249" s="1009"/>
      <c r="DA249" s="1009"/>
      <c r="DB249" s="1009"/>
      <c r="DC249" s="1009"/>
      <c r="DD249" s="1009"/>
      <c r="DE249" s="1009"/>
      <c r="DF249" s="1009"/>
      <c r="DG249" s="1009"/>
      <c r="DH249" s="1009"/>
      <c r="DI249" s="1009"/>
      <c r="DJ249" s="1009"/>
      <c r="DK249" s="1009"/>
      <c r="DL249" s="1009"/>
      <c r="DM249" s="1009"/>
      <c r="DN249" s="1009"/>
      <c r="DO249" s="1009"/>
      <c r="DP249" s="1009"/>
      <c r="DQ249" s="1009"/>
      <c r="DR249" s="1009"/>
      <c r="DS249" s="1009"/>
      <c r="DT249" s="1009"/>
      <c r="DU249" s="1009"/>
      <c r="DV249" s="1009"/>
      <c r="DW249" s="1009"/>
      <c r="DX249" s="1009"/>
      <c r="DY249" s="1009"/>
      <c r="DZ249" s="1009"/>
      <c r="EA249" s="1009"/>
      <c r="EB249" s="1009"/>
      <c r="EC249" s="1009"/>
      <c r="ED249" s="1009"/>
      <c r="EE249" s="1009"/>
      <c r="EF249" s="1009"/>
      <c r="EG249" s="1009"/>
      <c r="EH249" s="1009"/>
      <c r="EI249" s="1009"/>
      <c r="EJ249" s="1009"/>
      <c r="EK249" s="1009"/>
      <c r="EL249" s="1009"/>
      <c r="EM249" s="1009"/>
      <c r="EN249" s="1009"/>
      <c r="EO249" s="1009"/>
      <c r="EP249" s="1009"/>
      <c r="EQ249" s="1009"/>
      <c r="ER249" s="1009"/>
      <c r="ES249" s="1009"/>
      <c r="ET249" s="1009"/>
      <c r="EU249" s="1009"/>
      <c r="EV249" s="1009"/>
      <c r="EW249" s="1009"/>
      <c r="EX249" s="1009"/>
      <c r="EY249" s="1009"/>
      <c r="EZ249" s="1009"/>
      <c r="FA249" s="1009"/>
      <c r="FB249" s="1009"/>
      <c r="FC249" s="1009"/>
      <c r="FD249" s="1009"/>
      <c r="FE249" s="1009"/>
      <c r="FF249" s="1009"/>
      <c r="FG249" s="1009"/>
      <c r="FH249" s="1009"/>
      <c r="FI249" s="1009"/>
      <c r="FJ249" s="1009"/>
      <c r="FK249" s="1009"/>
      <c r="FL249" s="1009"/>
      <c r="FM249" s="1009"/>
      <c r="FN249" s="1009"/>
      <c r="FO249" s="1009"/>
      <c r="FP249" s="1009"/>
      <c r="FQ249" s="1009"/>
      <c r="FR249" s="1009"/>
      <c r="FS249" s="1009"/>
      <c r="FT249" s="1009"/>
      <c r="FU249" s="1009"/>
      <c r="FV249" s="1009"/>
      <c r="FW249" s="1009"/>
      <c r="FX249" s="1009"/>
      <c r="FY249" s="1009"/>
      <c r="FZ249" s="1009"/>
      <c r="GA249" s="1009"/>
      <c r="GB249" s="1009"/>
      <c r="GC249" s="1009"/>
      <c r="GD249" s="1009"/>
      <c r="GE249" s="1009"/>
      <c r="GF249" s="1009"/>
      <c r="GG249" s="1009"/>
      <c r="GH249" s="1009"/>
      <c r="GI249" s="1009"/>
      <c r="GJ249" s="1009"/>
      <c r="GK249" s="1009"/>
      <c r="GL249" s="1009"/>
      <c r="GM249" s="1009"/>
      <c r="GN249" s="1009"/>
      <c r="GO249" s="1009"/>
      <c r="GP249" s="1009"/>
      <c r="GQ249" s="1009"/>
      <c r="GR249" s="1009"/>
      <c r="GS249" s="1009"/>
      <c r="GT249" s="1009"/>
      <c r="GU249" s="1009"/>
      <c r="GV249" s="1009"/>
      <c r="GW249" s="1009"/>
      <c r="GX249" s="1009"/>
      <c r="GY249" s="1009"/>
      <c r="GZ249" s="1009"/>
      <c r="HA249" s="1009"/>
      <c r="HB249" s="1009"/>
      <c r="HC249" s="1009"/>
      <c r="HD249" s="1009"/>
      <c r="HE249" s="1009"/>
      <c r="HF249" s="1009"/>
      <c r="HG249" s="1009"/>
      <c r="HH249" s="1009"/>
      <c r="HI249" s="1009"/>
      <c r="HJ249" s="1009"/>
      <c r="HK249" s="1009"/>
      <c r="HL249" s="1009"/>
      <c r="HM249" s="1009"/>
      <c r="HN249" s="1009"/>
      <c r="HO249" s="1009"/>
      <c r="HP249" s="1009"/>
      <c r="HQ249" s="1009"/>
      <c r="HR249" s="1009"/>
      <c r="HS249" s="1009"/>
      <c r="HT249" s="1009"/>
      <c r="HU249" s="1009"/>
      <c r="HV249" s="1009"/>
      <c r="HW249" s="1009"/>
      <c r="HX249" s="1009"/>
      <c r="HY249" s="1009"/>
      <c r="HZ249" s="1009"/>
      <c r="IA249" s="1009"/>
      <c r="IB249" s="1009"/>
      <c r="IC249" s="1009"/>
      <c r="ID249" s="1009"/>
      <c r="IE249" s="1009"/>
      <c r="IF249" s="1009"/>
      <c r="IG249" s="1009"/>
      <c r="IH249" s="1009"/>
      <c r="II249" s="1009"/>
      <c r="IJ249" s="1009"/>
      <c r="IK249" s="1009"/>
      <c r="IL249" s="1009"/>
      <c r="IM249" s="1009"/>
      <c r="IN249" s="1009"/>
      <c r="IO249" s="1009"/>
      <c r="IP249" s="1009"/>
      <c r="IQ249" s="1009"/>
      <c r="IR249" s="1009"/>
      <c r="IS249" s="1009"/>
      <c r="IT249" s="1009"/>
      <c r="IU249" s="1009"/>
      <c r="IV249" s="1009"/>
      <c r="IW249" s="1009"/>
      <c r="IX249" s="1009"/>
      <c r="IY249" s="1009"/>
      <c r="IZ249" s="1009"/>
      <c r="JA249" s="1009"/>
      <c r="JB249" s="1009"/>
      <c r="JC249" s="1009"/>
      <c r="JD249" s="1009"/>
      <c r="JE249" s="1009"/>
      <c r="JF249" s="1009"/>
      <c r="JG249" s="1009"/>
      <c r="JH249" s="1009"/>
      <c r="JI249" s="1009"/>
      <c r="JJ249" s="1009"/>
      <c r="JK249" s="1009"/>
      <c r="JL249" s="1009"/>
      <c r="JM249" s="1009"/>
      <c r="JN249" s="1009"/>
      <c r="JO249" s="1009"/>
      <c r="JP249" s="1009"/>
      <c r="JQ249" s="1009"/>
      <c r="JR249" s="1009"/>
      <c r="JS249" s="1009"/>
      <c r="JT249" s="1009"/>
      <c r="JU249" s="1009"/>
      <c r="JV249" s="1009"/>
      <c r="JW249" s="1009"/>
      <c r="JX249" s="1009"/>
      <c r="JY249" s="1009"/>
      <c r="JZ249" s="1009"/>
      <c r="KA249" s="1009"/>
      <c r="KB249" s="1009"/>
      <c r="KC249" s="1009"/>
      <c r="KD249" s="1009"/>
      <c r="KE249" s="1009"/>
      <c r="KF249" s="1009"/>
      <c r="KG249" s="1009"/>
      <c r="KH249" s="1009"/>
      <c r="KI249" s="1009"/>
      <c r="KJ249" s="1009"/>
      <c r="KK249" s="1009"/>
      <c r="KL249" s="1009"/>
      <c r="KM249" s="1009"/>
      <c r="KN249" s="1009"/>
      <c r="KO249" s="1009"/>
      <c r="KP249" s="1009"/>
      <c r="KQ249" s="1009"/>
      <c r="KR249" s="1009"/>
      <c r="KS249" s="1009"/>
      <c r="KT249" s="1009"/>
      <c r="KU249" s="1009"/>
      <c r="KV249" s="1009"/>
      <c r="KW249" s="1009"/>
      <c r="KX249" s="1009"/>
      <c r="KY249" s="1009"/>
      <c r="KZ249" s="1009"/>
      <c r="LA249" s="1009"/>
      <c r="LB249" s="1009"/>
      <c r="LC249" s="1009"/>
      <c r="LD249" s="1009"/>
      <c r="LE249" s="1009"/>
      <c r="LF249" s="1009"/>
      <c r="LG249" s="1009"/>
      <c r="LH249" s="1009"/>
      <c r="LI249" s="1009"/>
      <c r="LJ249" s="1009"/>
      <c r="LK249" s="1009"/>
      <c r="LL249" s="1009"/>
      <c r="LM249" s="1009"/>
      <c r="LN249" s="1009"/>
      <c r="LO249" s="1009"/>
      <c r="LP249" s="1009"/>
      <c r="LQ249" s="1009"/>
      <c r="LR249" s="1009"/>
      <c r="LS249" s="1009"/>
      <c r="LT249" s="1009"/>
      <c r="LU249" s="1009"/>
      <c r="LV249" s="1009"/>
      <c r="LW249" s="1009"/>
      <c r="LX249" s="1009"/>
      <c r="LY249" s="1009"/>
      <c r="LZ249" s="1009"/>
      <c r="MA249" s="1009"/>
      <c r="MB249" s="1009"/>
      <c r="MC249" s="1009"/>
      <c r="MD249" s="1009"/>
      <c r="ME249" s="1009"/>
      <c r="MF249" s="1009"/>
      <c r="MG249" s="1009"/>
      <c r="MH249" s="1009"/>
      <c r="MI249" s="1009"/>
      <c r="MJ249" s="1009"/>
      <c r="MK249" s="1009"/>
      <c r="ML249" s="1009"/>
      <c r="MM249" s="1009"/>
      <c r="MN249" s="1009"/>
      <c r="MO249" s="1009"/>
      <c r="MP249" s="1009"/>
      <c r="MQ249" s="1009"/>
      <c r="MR249" s="1009"/>
      <c r="MS249" s="1009"/>
      <c r="MT249" s="1009"/>
      <c r="MU249" s="1009"/>
      <c r="MV249" s="1009"/>
      <c r="MW249" s="1009"/>
      <c r="MX249" s="1009"/>
      <c r="MY249" s="1009"/>
      <c r="MZ249" s="1009"/>
      <c r="NA249" s="1009"/>
      <c r="NB249" s="1009"/>
      <c r="NC249" s="1009"/>
      <c r="ND249" s="1009"/>
      <c r="NE249" s="1009"/>
      <c r="NF249" s="1009"/>
      <c r="NG249" s="1009"/>
      <c r="NH249" s="1009"/>
      <c r="NI249" s="1009"/>
      <c r="NJ249" s="1009"/>
      <c r="NK249" s="1009"/>
      <c r="NL249" s="1009"/>
      <c r="NM249" s="1009"/>
      <c r="NN249" s="1009"/>
      <c r="NO249" s="1009"/>
      <c r="NP249" s="1009"/>
      <c r="NQ249" s="1009"/>
      <c r="NR249" s="1009"/>
      <c r="NS249" s="1009"/>
      <c r="NT249" s="1009"/>
      <c r="NU249" s="1009"/>
      <c r="NV249" s="1009"/>
      <c r="NW249" s="1009"/>
      <c r="NX249" s="1009"/>
      <c r="NY249" s="1009"/>
      <c r="NZ249" s="1009"/>
      <c r="OA249" s="1009"/>
      <c r="OB249" s="1009"/>
      <c r="OC249" s="1009"/>
      <c r="OD249" s="1009"/>
      <c r="OE249" s="1009"/>
      <c r="OF249" s="1009"/>
      <c r="OG249" s="1009"/>
      <c r="OH249" s="1009"/>
      <c r="OI249" s="1009"/>
      <c r="OJ249" s="1009"/>
      <c r="OK249" s="1009"/>
      <c r="OL249" s="1009"/>
      <c r="OM249" s="1009"/>
      <c r="ON249" s="1009"/>
      <c r="OO249" s="1009"/>
      <c r="OP249" s="1009"/>
      <c r="OQ249" s="1009"/>
      <c r="OR249" s="1009"/>
      <c r="OS249" s="1009"/>
      <c r="OT249" s="1009"/>
      <c r="OU249" s="1009"/>
      <c r="OV249" s="1009"/>
      <c r="OW249" s="1009"/>
      <c r="OX249" s="1009"/>
      <c r="OY249" s="1009"/>
      <c r="OZ249" s="1009"/>
      <c r="PA249" s="1009"/>
      <c r="PB249" s="1009"/>
      <c r="PC249" s="1009"/>
      <c r="PD249" s="1009"/>
      <c r="PE249" s="1009"/>
      <c r="PF249" s="1009"/>
      <c r="PG249" s="1009"/>
      <c r="PH249" s="1009"/>
      <c r="PI249" s="1009"/>
      <c r="PJ249" s="1009"/>
      <c r="PK249" s="1009"/>
      <c r="PL249" s="1009"/>
      <c r="PM249" s="1009"/>
      <c r="PN249" s="1009"/>
      <c r="PO249" s="1009"/>
      <c r="PP249" s="1009"/>
      <c r="PQ249" s="1009"/>
      <c r="PR249" s="1009"/>
      <c r="PS249" s="1009"/>
      <c r="PT249" s="1009"/>
      <c r="PU249" s="1009"/>
      <c r="PV249" s="1009"/>
      <c r="PW249" s="1009"/>
      <c r="PX249" s="1009"/>
      <c r="PY249" s="1009"/>
      <c r="PZ249" s="1009"/>
      <c r="QA249" s="1009"/>
      <c r="QB249" s="1009"/>
      <c r="QC249" s="1009"/>
      <c r="QD249" s="1009"/>
      <c r="QE249" s="1009"/>
      <c r="QF249" s="1009"/>
      <c r="QG249" s="1009"/>
      <c r="QH249" s="1009"/>
      <c r="QI249" s="1009"/>
      <c r="QJ249" s="1009"/>
      <c r="QK249" s="1009"/>
      <c r="QL249" s="1009"/>
      <c r="QM249" s="1009"/>
      <c r="QN249" s="1009"/>
      <c r="QO249" s="1009"/>
      <c r="QP249" s="1009"/>
      <c r="QQ249" s="1009"/>
      <c r="QR249" s="1009"/>
      <c r="QS249" s="1009"/>
      <c r="QT249" s="1009"/>
      <c r="QU249" s="1009"/>
      <c r="QV249" s="1009"/>
      <c r="QW249" s="1009"/>
      <c r="QX249" s="1009"/>
      <c r="QY249" s="1009"/>
      <c r="QZ249" s="1009"/>
      <c r="RA249" s="1009"/>
      <c r="RB249" s="1009"/>
      <c r="RC249" s="1009"/>
      <c r="RD249" s="1009"/>
      <c r="RE249" s="1009"/>
      <c r="RF249" s="1009"/>
      <c r="RG249" s="1009"/>
      <c r="RH249" s="1009"/>
      <c r="RI249" s="1009"/>
      <c r="RJ249" s="1009"/>
      <c r="RK249" s="1009"/>
      <c r="RL249" s="1009"/>
      <c r="RM249" s="1009"/>
      <c r="RN249" s="1009"/>
      <c r="RO249" s="1009"/>
      <c r="RP249" s="1009"/>
      <c r="RQ249" s="1009"/>
      <c r="RR249" s="1009"/>
      <c r="RS249" s="1009"/>
      <c r="RT249" s="1009"/>
      <c r="RU249" s="1009"/>
      <c r="RV249" s="1009"/>
      <c r="RW249" s="1009"/>
      <c r="RX249" s="1009"/>
      <c r="RY249" s="1009"/>
      <c r="RZ249" s="1009"/>
      <c r="SA249" s="1009"/>
      <c r="SB249" s="1009"/>
      <c r="SC249" s="1009"/>
      <c r="SD249" s="1009"/>
      <c r="SE249" s="1009"/>
      <c r="SF249" s="1009"/>
      <c r="SG249" s="1009"/>
      <c r="SH249" s="1009"/>
      <c r="SI249" s="1009"/>
      <c r="SJ249" s="1009"/>
      <c r="SK249" s="1009"/>
      <c r="SL249" s="1009"/>
      <c r="SM249" s="1009"/>
      <c r="SN249" s="1009"/>
      <c r="SO249" s="1009"/>
      <c r="SP249" s="1009"/>
      <c r="SQ249" s="1009"/>
      <c r="SR249" s="1009"/>
      <c r="SS249" s="1009"/>
      <c r="ST249" s="1009"/>
      <c r="SU249" s="1009"/>
      <c r="SV249" s="1009"/>
      <c r="SW249" s="1009"/>
      <c r="SX249" s="1009"/>
      <c r="SY249" s="1009"/>
      <c r="SZ249" s="1009"/>
      <c r="TA249" s="1009"/>
      <c r="TB249" s="1009"/>
      <c r="TC249" s="1009"/>
      <c r="TD249" s="1009"/>
      <c r="TE249" s="1009"/>
      <c r="TF249" s="1009"/>
      <c r="TG249" s="1009"/>
      <c r="TH249" s="1009"/>
      <c r="TI249" s="1009"/>
      <c r="TJ249" s="1009"/>
      <c r="TK249" s="1009"/>
      <c r="TL249" s="1009"/>
      <c r="TM249" s="1009"/>
      <c r="TN249" s="1009"/>
      <c r="TO249" s="1009"/>
      <c r="TP249" s="1009"/>
      <c r="TQ249" s="1009"/>
      <c r="TR249" s="1009"/>
      <c r="TS249" s="1009"/>
      <c r="TT249" s="1009"/>
      <c r="TU249" s="1009"/>
      <c r="TV249" s="1009"/>
      <c r="TW249" s="1009"/>
      <c r="TX249" s="1009"/>
      <c r="TY249" s="1009"/>
      <c r="TZ249" s="1009"/>
      <c r="UA249" s="1009"/>
      <c r="UB249" s="1009"/>
      <c r="UC249" s="1009"/>
      <c r="UD249" s="1009"/>
      <c r="UE249" s="1009"/>
      <c r="UF249" s="1009"/>
      <c r="UG249" s="1009"/>
      <c r="UH249" s="1009"/>
      <c r="UI249" s="1009"/>
      <c r="UJ249" s="1009"/>
      <c r="UK249" s="1009"/>
      <c r="UL249" s="1009"/>
      <c r="UM249" s="1009"/>
      <c r="UN249" s="1009"/>
      <c r="UO249" s="1009"/>
      <c r="UP249" s="1009"/>
      <c r="UQ249" s="1009"/>
      <c r="UR249" s="1009"/>
      <c r="US249" s="1009"/>
      <c r="UT249" s="1009"/>
      <c r="UU249" s="1009"/>
      <c r="UV249" s="1009"/>
      <c r="UW249" s="1009"/>
      <c r="UX249" s="1009"/>
      <c r="UY249" s="1009"/>
      <c r="UZ249" s="1009"/>
      <c r="VA249" s="1009"/>
      <c r="VB249" s="1009"/>
      <c r="VC249" s="1009"/>
      <c r="VD249" s="1009"/>
      <c r="VE249" s="1009"/>
      <c r="VF249" s="1009"/>
      <c r="VG249" s="1009"/>
      <c r="VH249" s="1009"/>
      <c r="VI249" s="1009"/>
      <c r="VJ249" s="1009"/>
      <c r="VK249" s="1009"/>
      <c r="VL249" s="1009"/>
      <c r="VM249" s="1009"/>
      <c r="VN249" s="1009"/>
      <c r="VO249" s="1009"/>
      <c r="VP249" s="1009"/>
      <c r="VQ249" s="1009"/>
      <c r="VR249" s="1009"/>
      <c r="VS249" s="1009"/>
      <c r="VT249" s="1009"/>
      <c r="VU249" s="1009"/>
      <c r="VV249" s="1009"/>
      <c r="VW249" s="1009"/>
      <c r="VX249" s="1009"/>
      <c r="VY249" s="1009"/>
      <c r="VZ249" s="1009"/>
      <c r="WA249" s="1009"/>
      <c r="WB249" s="1009"/>
      <c r="WC249" s="1009"/>
      <c r="WD249" s="1009"/>
      <c r="WE249" s="1009"/>
      <c r="WF249" s="1009"/>
      <c r="WG249" s="1009"/>
      <c r="WH249" s="1009"/>
      <c r="WI249" s="1009"/>
      <c r="WJ249" s="1009"/>
      <c r="WK249" s="1009"/>
      <c r="WL249" s="1009"/>
      <c r="WM249" s="1009"/>
      <c r="WN249" s="1009"/>
      <c r="WO249" s="1009"/>
      <c r="WP249" s="1009"/>
      <c r="WQ249" s="1009"/>
      <c r="WR249" s="1009"/>
      <c r="WS249" s="1009"/>
      <c r="WT249" s="1009"/>
      <c r="WU249" s="1009"/>
      <c r="WV249" s="1009"/>
      <c r="WW249" s="1009"/>
      <c r="WX249" s="1009"/>
      <c r="WY249" s="1009"/>
      <c r="WZ249" s="1009"/>
      <c r="XA249" s="1009"/>
      <c r="XB249" s="1009"/>
      <c r="XC249" s="1009"/>
      <c r="XD249" s="1009"/>
      <c r="XE249" s="1009"/>
      <c r="XF249" s="1009"/>
      <c r="XG249" s="1009"/>
      <c r="XH249" s="1009"/>
      <c r="XI249" s="1009"/>
      <c r="XJ249" s="1009"/>
      <c r="XK249" s="1009"/>
      <c r="XL249" s="1009"/>
      <c r="XM249" s="1009"/>
      <c r="XN249" s="1009"/>
      <c r="XO249" s="1009"/>
      <c r="XP249" s="1009"/>
      <c r="XQ249" s="1009"/>
      <c r="XR249" s="1009"/>
      <c r="XS249" s="1009"/>
      <c r="XT249" s="1009"/>
      <c r="XU249" s="1009"/>
      <c r="XV249" s="1009"/>
      <c r="XW249" s="1009"/>
      <c r="XX249" s="1009"/>
      <c r="XY249" s="1009"/>
      <c r="XZ249" s="1009"/>
      <c r="YA249" s="1009"/>
      <c r="YB249" s="1009"/>
      <c r="YC249" s="1009"/>
      <c r="YD249" s="1009"/>
      <c r="YE249" s="1009"/>
      <c r="YF249" s="1009"/>
      <c r="YG249" s="1009"/>
      <c r="YH249" s="1009"/>
      <c r="YI249" s="1009"/>
      <c r="YJ249" s="1009"/>
      <c r="YK249" s="1009"/>
      <c r="YL249" s="1009"/>
      <c r="YM249" s="1009"/>
      <c r="YN249" s="1009"/>
      <c r="YO249" s="1009"/>
      <c r="YP249" s="1009"/>
      <c r="YQ249" s="1009"/>
      <c r="YR249" s="1009"/>
      <c r="YS249" s="1009"/>
      <c r="YT249" s="1009"/>
      <c r="YU249" s="1009"/>
      <c r="YV249" s="1009"/>
      <c r="YW249" s="1009"/>
      <c r="YX249" s="1009"/>
      <c r="YY249" s="1009"/>
      <c r="YZ249" s="1009"/>
      <c r="ZA249" s="1009"/>
      <c r="ZB249" s="1009"/>
      <c r="ZC249" s="1009"/>
      <c r="ZD249" s="1009"/>
      <c r="ZE249" s="1009"/>
      <c r="ZF249" s="1009"/>
      <c r="ZG249" s="1009"/>
      <c r="ZH249" s="1009"/>
      <c r="ZI249" s="1009"/>
      <c r="ZJ249" s="1009"/>
      <c r="ZK249" s="1009"/>
      <c r="ZL249" s="1009"/>
      <c r="ZM249" s="1009"/>
      <c r="ZN249" s="1009"/>
      <c r="ZO249" s="1009"/>
      <c r="ZP249" s="1009"/>
      <c r="ZQ249" s="1009"/>
      <c r="ZR249" s="1009"/>
      <c r="ZS249" s="1009"/>
      <c r="ZT249" s="1009"/>
      <c r="ZU249" s="1009"/>
      <c r="ZV249" s="1009"/>
      <c r="ZW249" s="1009"/>
      <c r="ZX249" s="1009"/>
      <c r="ZY249" s="1009"/>
      <c r="ZZ249" s="1009"/>
      <c r="AAA249" s="1009"/>
      <c r="AAB249" s="1009"/>
      <c r="AAC249" s="1009"/>
      <c r="AAD249" s="1009"/>
      <c r="AAE249" s="1009"/>
      <c r="AAF249" s="1009"/>
      <c r="AAG249" s="1009"/>
      <c r="AAH249" s="1009"/>
      <c r="AAI249" s="1009"/>
      <c r="AAJ249" s="1009"/>
      <c r="AAK249" s="1009"/>
      <c r="AAL249" s="1009"/>
      <c r="AAM249" s="1009"/>
      <c r="AAN249" s="1009"/>
      <c r="AAO249" s="1009"/>
      <c r="AAP249" s="1009"/>
      <c r="AAQ249" s="1009"/>
      <c r="AAR249" s="1009"/>
      <c r="AAS249" s="1009"/>
      <c r="AAT249" s="1009"/>
      <c r="AAU249" s="1009"/>
      <c r="AAV249" s="1009"/>
      <c r="AAW249" s="1009"/>
      <c r="AAX249" s="1009"/>
      <c r="AAY249" s="1009"/>
      <c r="AAZ249" s="1009"/>
      <c r="ABA249" s="1009"/>
      <c r="ABB249" s="1009"/>
      <c r="ABC249" s="1009"/>
      <c r="ABD249" s="1009"/>
      <c r="ABE249" s="1009"/>
      <c r="ABF249" s="1009"/>
      <c r="ABG249" s="1009"/>
      <c r="ABH249" s="1009"/>
      <c r="ABI249" s="1009"/>
      <c r="ABJ249" s="1009"/>
      <c r="ABK249" s="1009"/>
      <c r="ABL249" s="1009"/>
      <c r="ABM249" s="1009"/>
      <c r="ABN249" s="1009"/>
      <c r="ABO249" s="1009"/>
      <c r="ABP249" s="1009"/>
      <c r="ABQ249" s="1009"/>
      <c r="ABR249" s="1009"/>
    </row>
    <row r="250" spans="1:746" s="111" customFormat="1" ht="12" customHeight="1">
      <c r="A250" s="2282"/>
      <c r="B250" s="3014" t="s">
        <v>1233</v>
      </c>
      <c r="C250" s="3015"/>
      <c r="D250" s="3015"/>
      <c r="E250" s="3015"/>
      <c r="F250" s="3015"/>
      <c r="G250" s="3015"/>
      <c r="H250" s="3015"/>
      <c r="I250" s="2596" t="s">
        <v>1468</v>
      </c>
      <c r="J250" s="2248"/>
      <c r="K250" s="2248"/>
      <c r="L250" s="2248"/>
      <c r="M250" s="2248"/>
      <c r="N250" s="2248"/>
      <c r="O250" s="2248"/>
      <c r="P250" s="2248"/>
      <c r="Q250" s="2248"/>
      <c r="R250" s="2248"/>
      <c r="S250" s="2248"/>
      <c r="T250" s="2248"/>
      <c r="U250" s="2248"/>
      <c r="V250" s="2248"/>
      <c r="W250" s="2248"/>
      <c r="X250" s="2248"/>
      <c r="Y250" s="2248"/>
      <c r="Z250" s="2248"/>
      <c r="AA250" s="2248"/>
      <c r="AB250" s="2248"/>
      <c r="AC250" s="2248"/>
      <c r="AD250" s="2248"/>
      <c r="AE250" s="2248"/>
      <c r="AF250" s="2249"/>
      <c r="AG250" s="376"/>
      <c r="AH250" s="786"/>
      <c r="AI250" s="786"/>
      <c r="AJ250" s="1044"/>
      <c r="AK250" s="1047"/>
      <c r="AL250" s="1044"/>
      <c r="AM250" s="1009"/>
      <c r="AN250" s="1026"/>
      <c r="AO250" s="1945"/>
      <c r="AP250" s="1935"/>
      <c r="AQ250" s="1936"/>
      <c r="AR250" s="1941"/>
      <c r="AS250" s="1941"/>
      <c r="AT250" s="1941"/>
      <c r="AU250" s="1941"/>
      <c r="AV250" s="1941"/>
      <c r="AW250" s="1941"/>
      <c r="AX250" s="1941"/>
      <c r="AY250" s="1941"/>
      <c r="AZ250" s="1941"/>
      <c r="BA250" s="1941"/>
      <c r="BB250" s="1941"/>
      <c r="BC250" s="1941"/>
      <c r="BD250" s="1941"/>
      <c r="BE250" s="1941"/>
      <c r="BF250" s="1941"/>
      <c r="BG250" s="1941"/>
      <c r="BH250" s="1941"/>
      <c r="BI250" s="1941"/>
      <c r="BJ250" s="1941"/>
      <c r="BK250" s="1941"/>
      <c r="BL250" s="1941"/>
      <c r="BM250" s="1941"/>
      <c r="BN250" s="1941"/>
      <c r="BO250" s="1941"/>
      <c r="BP250" s="1009"/>
      <c r="BQ250" s="1009"/>
      <c r="BR250" s="1009"/>
      <c r="BS250" s="1009"/>
      <c r="BT250" s="1009"/>
      <c r="BU250" s="1009"/>
      <c r="BV250" s="1009"/>
      <c r="BW250" s="1009"/>
      <c r="BX250" s="1009"/>
      <c r="BY250" s="1009"/>
      <c r="BZ250" s="1009"/>
      <c r="CA250" s="1009"/>
      <c r="CB250" s="1009"/>
      <c r="CC250" s="1009"/>
      <c r="CD250" s="1009"/>
      <c r="CE250" s="1009"/>
      <c r="CF250" s="1009"/>
      <c r="CG250" s="1009"/>
      <c r="CH250" s="1009"/>
      <c r="CI250" s="1009"/>
      <c r="CJ250" s="1009"/>
      <c r="CK250" s="1009"/>
      <c r="CL250" s="1009"/>
      <c r="CM250" s="1009"/>
      <c r="CN250" s="1009"/>
      <c r="CO250" s="1009"/>
      <c r="CP250" s="1009"/>
      <c r="CQ250" s="1009"/>
      <c r="CR250" s="1009"/>
      <c r="CS250" s="1009"/>
      <c r="CT250" s="1009"/>
      <c r="CU250" s="1009"/>
      <c r="CV250" s="1009"/>
      <c r="CW250" s="1009"/>
      <c r="CX250" s="1009"/>
      <c r="CY250" s="1009"/>
      <c r="CZ250" s="1009"/>
      <c r="DA250" s="1009"/>
      <c r="DB250" s="1009"/>
      <c r="DC250" s="1009"/>
      <c r="DD250" s="1009"/>
      <c r="DE250" s="1009"/>
      <c r="DF250" s="1009"/>
      <c r="DG250" s="1009"/>
      <c r="DH250" s="1009"/>
      <c r="DI250" s="1009"/>
      <c r="DJ250" s="1009"/>
      <c r="DK250" s="1009"/>
      <c r="DL250" s="1009"/>
      <c r="DM250" s="1009"/>
      <c r="DN250" s="1009"/>
      <c r="DO250" s="1009"/>
      <c r="DP250" s="1009"/>
      <c r="DQ250" s="1009"/>
      <c r="DR250" s="1009"/>
      <c r="DS250" s="1009"/>
      <c r="DT250" s="1009"/>
      <c r="DU250" s="1009"/>
      <c r="DV250" s="1009"/>
      <c r="DW250" s="1009"/>
      <c r="DX250" s="1009"/>
      <c r="DY250" s="1009"/>
      <c r="DZ250" s="1009"/>
      <c r="EA250" s="1009"/>
      <c r="EB250" s="1009"/>
      <c r="EC250" s="1009"/>
      <c r="ED250" s="1009"/>
      <c r="EE250" s="1009"/>
      <c r="EF250" s="1009"/>
      <c r="EG250" s="1009"/>
      <c r="EH250" s="1009"/>
      <c r="EI250" s="1009"/>
      <c r="EJ250" s="1009"/>
      <c r="EK250" s="1009"/>
      <c r="EL250" s="1009"/>
      <c r="EM250" s="1009"/>
      <c r="EN250" s="1009"/>
      <c r="EO250" s="1009"/>
      <c r="EP250" s="1009"/>
      <c r="EQ250" s="1009"/>
      <c r="ER250" s="1009"/>
      <c r="ES250" s="1009"/>
      <c r="ET250" s="1009"/>
      <c r="EU250" s="1009"/>
      <c r="EV250" s="1009"/>
      <c r="EW250" s="1009"/>
      <c r="EX250" s="1009"/>
      <c r="EY250" s="1009"/>
      <c r="EZ250" s="1009"/>
      <c r="FA250" s="1009"/>
      <c r="FB250" s="1009"/>
      <c r="FC250" s="1009"/>
      <c r="FD250" s="1009"/>
      <c r="FE250" s="1009"/>
      <c r="FF250" s="1009"/>
      <c r="FG250" s="1009"/>
      <c r="FH250" s="1009"/>
      <c r="FI250" s="1009"/>
      <c r="FJ250" s="1009"/>
      <c r="FK250" s="1009"/>
      <c r="FL250" s="1009"/>
      <c r="FM250" s="1009"/>
      <c r="FN250" s="1009"/>
      <c r="FO250" s="1009"/>
      <c r="FP250" s="1009"/>
      <c r="FQ250" s="1009"/>
      <c r="FR250" s="1009"/>
      <c r="FS250" s="1009"/>
      <c r="FT250" s="1009"/>
      <c r="FU250" s="1009"/>
      <c r="FV250" s="1009"/>
      <c r="FW250" s="1009"/>
      <c r="FX250" s="1009"/>
      <c r="FY250" s="1009"/>
      <c r="FZ250" s="1009"/>
      <c r="GA250" s="1009"/>
      <c r="GB250" s="1009"/>
      <c r="GC250" s="1009"/>
      <c r="GD250" s="1009"/>
      <c r="GE250" s="1009"/>
      <c r="GF250" s="1009"/>
      <c r="GG250" s="1009"/>
      <c r="GH250" s="1009"/>
      <c r="GI250" s="1009"/>
      <c r="GJ250" s="1009"/>
      <c r="GK250" s="1009"/>
      <c r="GL250" s="1009"/>
      <c r="GM250" s="1009"/>
      <c r="GN250" s="1009"/>
      <c r="GO250" s="1009"/>
      <c r="GP250" s="1009"/>
      <c r="GQ250" s="1009"/>
      <c r="GR250" s="1009"/>
      <c r="GS250" s="1009"/>
      <c r="GT250" s="1009"/>
      <c r="GU250" s="1009"/>
      <c r="GV250" s="1009"/>
      <c r="GW250" s="1009"/>
      <c r="GX250" s="1009"/>
      <c r="GY250" s="1009"/>
      <c r="GZ250" s="1009"/>
      <c r="HA250" s="1009"/>
      <c r="HB250" s="1009"/>
      <c r="HC250" s="1009"/>
      <c r="HD250" s="1009"/>
      <c r="HE250" s="1009"/>
      <c r="HF250" s="1009"/>
      <c r="HG250" s="1009"/>
      <c r="HH250" s="1009"/>
      <c r="HI250" s="1009"/>
      <c r="HJ250" s="1009"/>
      <c r="HK250" s="1009"/>
      <c r="HL250" s="1009"/>
      <c r="HM250" s="1009"/>
      <c r="HN250" s="1009"/>
      <c r="HO250" s="1009"/>
      <c r="HP250" s="1009"/>
      <c r="HQ250" s="1009"/>
      <c r="HR250" s="1009"/>
      <c r="HS250" s="1009"/>
      <c r="HT250" s="1009"/>
      <c r="HU250" s="1009"/>
      <c r="HV250" s="1009"/>
      <c r="HW250" s="1009"/>
      <c r="HX250" s="1009"/>
      <c r="HY250" s="1009"/>
      <c r="HZ250" s="1009"/>
      <c r="IA250" s="1009"/>
      <c r="IB250" s="1009"/>
      <c r="IC250" s="1009"/>
      <c r="ID250" s="1009"/>
      <c r="IE250" s="1009"/>
      <c r="IF250" s="1009"/>
      <c r="IG250" s="1009"/>
      <c r="IH250" s="1009"/>
      <c r="II250" s="1009"/>
      <c r="IJ250" s="1009"/>
      <c r="IK250" s="1009"/>
      <c r="IL250" s="1009"/>
      <c r="IM250" s="1009"/>
      <c r="IN250" s="1009"/>
      <c r="IO250" s="1009"/>
      <c r="IP250" s="1009"/>
      <c r="IQ250" s="1009"/>
      <c r="IR250" s="1009"/>
      <c r="IS250" s="1009"/>
      <c r="IT250" s="1009"/>
      <c r="IU250" s="1009"/>
      <c r="IV250" s="1009"/>
      <c r="IW250" s="1009"/>
      <c r="IX250" s="1009"/>
      <c r="IY250" s="1009"/>
      <c r="IZ250" s="1009"/>
      <c r="JA250" s="1009"/>
      <c r="JB250" s="1009"/>
      <c r="JC250" s="1009"/>
      <c r="JD250" s="1009"/>
      <c r="JE250" s="1009"/>
      <c r="JF250" s="1009"/>
      <c r="JG250" s="1009"/>
      <c r="JH250" s="1009"/>
      <c r="JI250" s="1009"/>
      <c r="JJ250" s="1009"/>
      <c r="JK250" s="1009"/>
      <c r="JL250" s="1009"/>
      <c r="JM250" s="1009"/>
      <c r="JN250" s="1009"/>
      <c r="JO250" s="1009"/>
      <c r="JP250" s="1009"/>
      <c r="JQ250" s="1009"/>
      <c r="JR250" s="1009"/>
      <c r="JS250" s="1009"/>
      <c r="JT250" s="1009"/>
      <c r="JU250" s="1009"/>
      <c r="JV250" s="1009"/>
      <c r="JW250" s="1009"/>
      <c r="JX250" s="1009"/>
      <c r="JY250" s="1009"/>
      <c r="JZ250" s="1009"/>
      <c r="KA250" s="1009"/>
      <c r="KB250" s="1009"/>
      <c r="KC250" s="1009"/>
      <c r="KD250" s="1009"/>
      <c r="KE250" s="1009"/>
      <c r="KF250" s="1009"/>
      <c r="KG250" s="1009"/>
      <c r="KH250" s="1009"/>
      <c r="KI250" s="1009"/>
      <c r="KJ250" s="1009"/>
      <c r="KK250" s="1009"/>
      <c r="KL250" s="1009"/>
      <c r="KM250" s="1009"/>
      <c r="KN250" s="1009"/>
      <c r="KO250" s="1009"/>
      <c r="KP250" s="1009"/>
      <c r="KQ250" s="1009"/>
      <c r="KR250" s="1009"/>
      <c r="KS250" s="1009"/>
      <c r="KT250" s="1009"/>
      <c r="KU250" s="1009"/>
      <c r="KV250" s="1009"/>
      <c r="KW250" s="1009"/>
      <c r="KX250" s="1009"/>
      <c r="KY250" s="1009"/>
      <c r="KZ250" s="1009"/>
      <c r="LA250" s="1009"/>
      <c r="LB250" s="1009"/>
      <c r="LC250" s="1009"/>
      <c r="LD250" s="1009"/>
      <c r="LE250" s="1009"/>
      <c r="LF250" s="1009"/>
      <c r="LG250" s="1009"/>
      <c r="LH250" s="1009"/>
      <c r="LI250" s="1009"/>
      <c r="LJ250" s="1009"/>
      <c r="LK250" s="1009"/>
      <c r="LL250" s="1009"/>
      <c r="LM250" s="1009"/>
      <c r="LN250" s="1009"/>
      <c r="LO250" s="1009"/>
      <c r="LP250" s="1009"/>
      <c r="LQ250" s="1009"/>
      <c r="LR250" s="1009"/>
      <c r="LS250" s="1009"/>
      <c r="LT250" s="1009"/>
      <c r="LU250" s="1009"/>
      <c r="LV250" s="1009"/>
      <c r="LW250" s="1009"/>
      <c r="LX250" s="1009"/>
      <c r="LY250" s="1009"/>
      <c r="LZ250" s="1009"/>
      <c r="MA250" s="1009"/>
      <c r="MB250" s="1009"/>
      <c r="MC250" s="1009"/>
      <c r="MD250" s="1009"/>
      <c r="ME250" s="1009"/>
      <c r="MF250" s="1009"/>
      <c r="MG250" s="1009"/>
      <c r="MH250" s="1009"/>
      <c r="MI250" s="1009"/>
      <c r="MJ250" s="1009"/>
      <c r="MK250" s="1009"/>
      <c r="ML250" s="1009"/>
      <c r="MM250" s="1009"/>
      <c r="MN250" s="1009"/>
      <c r="MO250" s="1009"/>
      <c r="MP250" s="1009"/>
      <c r="MQ250" s="1009"/>
      <c r="MR250" s="1009"/>
      <c r="MS250" s="1009"/>
      <c r="MT250" s="1009"/>
      <c r="MU250" s="1009"/>
      <c r="MV250" s="1009"/>
      <c r="MW250" s="1009"/>
      <c r="MX250" s="1009"/>
      <c r="MY250" s="1009"/>
      <c r="MZ250" s="1009"/>
      <c r="NA250" s="1009"/>
      <c r="NB250" s="1009"/>
      <c r="NC250" s="1009"/>
      <c r="ND250" s="1009"/>
      <c r="NE250" s="1009"/>
      <c r="NF250" s="1009"/>
      <c r="NG250" s="1009"/>
      <c r="NH250" s="1009"/>
      <c r="NI250" s="1009"/>
      <c r="NJ250" s="1009"/>
      <c r="NK250" s="1009"/>
      <c r="NL250" s="1009"/>
      <c r="NM250" s="1009"/>
      <c r="NN250" s="1009"/>
      <c r="NO250" s="1009"/>
      <c r="NP250" s="1009"/>
      <c r="NQ250" s="1009"/>
      <c r="NR250" s="1009"/>
      <c r="NS250" s="1009"/>
      <c r="NT250" s="1009"/>
      <c r="NU250" s="1009"/>
      <c r="NV250" s="1009"/>
      <c r="NW250" s="1009"/>
      <c r="NX250" s="1009"/>
      <c r="NY250" s="1009"/>
      <c r="NZ250" s="1009"/>
      <c r="OA250" s="1009"/>
      <c r="OB250" s="1009"/>
      <c r="OC250" s="1009"/>
      <c r="OD250" s="1009"/>
      <c r="OE250" s="1009"/>
      <c r="OF250" s="1009"/>
      <c r="OG250" s="1009"/>
      <c r="OH250" s="1009"/>
      <c r="OI250" s="1009"/>
      <c r="OJ250" s="1009"/>
      <c r="OK250" s="1009"/>
      <c r="OL250" s="1009"/>
      <c r="OM250" s="1009"/>
      <c r="ON250" s="1009"/>
      <c r="OO250" s="1009"/>
      <c r="OP250" s="1009"/>
      <c r="OQ250" s="1009"/>
      <c r="OR250" s="1009"/>
      <c r="OS250" s="1009"/>
      <c r="OT250" s="1009"/>
      <c r="OU250" s="1009"/>
      <c r="OV250" s="1009"/>
      <c r="OW250" s="1009"/>
      <c r="OX250" s="1009"/>
      <c r="OY250" s="1009"/>
      <c r="OZ250" s="1009"/>
      <c r="PA250" s="1009"/>
      <c r="PB250" s="1009"/>
      <c r="PC250" s="1009"/>
      <c r="PD250" s="1009"/>
      <c r="PE250" s="1009"/>
      <c r="PF250" s="1009"/>
      <c r="PG250" s="1009"/>
      <c r="PH250" s="1009"/>
      <c r="PI250" s="1009"/>
      <c r="PJ250" s="1009"/>
      <c r="PK250" s="1009"/>
      <c r="PL250" s="1009"/>
      <c r="PM250" s="1009"/>
      <c r="PN250" s="1009"/>
      <c r="PO250" s="1009"/>
      <c r="PP250" s="1009"/>
      <c r="PQ250" s="1009"/>
      <c r="PR250" s="1009"/>
      <c r="PS250" s="1009"/>
      <c r="PT250" s="1009"/>
      <c r="PU250" s="1009"/>
      <c r="PV250" s="1009"/>
      <c r="PW250" s="1009"/>
      <c r="PX250" s="1009"/>
      <c r="PY250" s="1009"/>
      <c r="PZ250" s="1009"/>
      <c r="QA250" s="1009"/>
      <c r="QB250" s="1009"/>
      <c r="QC250" s="1009"/>
      <c r="QD250" s="1009"/>
      <c r="QE250" s="1009"/>
      <c r="QF250" s="1009"/>
      <c r="QG250" s="1009"/>
      <c r="QH250" s="1009"/>
      <c r="QI250" s="1009"/>
      <c r="QJ250" s="1009"/>
      <c r="QK250" s="1009"/>
      <c r="QL250" s="1009"/>
      <c r="QM250" s="1009"/>
      <c r="QN250" s="1009"/>
      <c r="QO250" s="1009"/>
      <c r="QP250" s="1009"/>
      <c r="QQ250" s="1009"/>
      <c r="QR250" s="1009"/>
      <c r="QS250" s="1009"/>
      <c r="QT250" s="1009"/>
      <c r="QU250" s="1009"/>
      <c r="QV250" s="1009"/>
      <c r="QW250" s="1009"/>
      <c r="QX250" s="1009"/>
      <c r="QY250" s="1009"/>
      <c r="QZ250" s="1009"/>
      <c r="RA250" s="1009"/>
      <c r="RB250" s="1009"/>
      <c r="RC250" s="1009"/>
      <c r="RD250" s="1009"/>
      <c r="RE250" s="1009"/>
      <c r="RF250" s="1009"/>
      <c r="RG250" s="1009"/>
      <c r="RH250" s="1009"/>
      <c r="RI250" s="1009"/>
      <c r="RJ250" s="1009"/>
      <c r="RK250" s="1009"/>
      <c r="RL250" s="1009"/>
      <c r="RM250" s="1009"/>
      <c r="RN250" s="1009"/>
      <c r="RO250" s="1009"/>
      <c r="RP250" s="1009"/>
      <c r="RQ250" s="1009"/>
      <c r="RR250" s="1009"/>
      <c r="RS250" s="1009"/>
      <c r="RT250" s="1009"/>
      <c r="RU250" s="1009"/>
      <c r="RV250" s="1009"/>
      <c r="RW250" s="1009"/>
      <c r="RX250" s="1009"/>
      <c r="RY250" s="1009"/>
      <c r="RZ250" s="1009"/>
      <c r="SA250" s="1009"/>
      <c r="SB250" s="1009"/>
      <c r="SC250" s="1009"/>
      <c r="SD250" s="1009"/>
      <c r="SE250" s="1009"/>
      <c r="SF250" s="1009"/>
      <c r="SG250" s="1009"/>
      <c r="SH250" s="1009"/>
      <c r="SI250" s="1009"/>
      <c r="SJ250" s="1009"/>
      <c r="SK250" s="1009"/>
      <c r="SL250" s="1009"/>
      <c r="SM250" s="1009"/>
      <c r="SN250" s="1009"/>
      <c r="SO250" s="1009"/>
      <c r="SP250" s="1009"/>
      <c r="SQ250" s="1009"/>
      <c r="SR250" s="1009"/>
      <c r="SS250" s="1009"/>
      <c r="ST250" s="1009"/>
      <c r="SU250" s="1009"/>
      <c r="SV250" s="1009"/>
      <c r="SW250" s="1009"/>
      <c r="SX250" s="1009"/>
      <c r="SY250" s="1009"/>
      <c r="SZ250" s="1009"/>
      <c r="TA250" s="1009"/>
      <c r="TB250" s="1009"/>
      <c r="TC250" s="1009"/>
      <c r="TD250" s="1009"/>
      <c r="TE250" s="1009"/>
      <c r="TF250" s="1009"/>
      <c r="TG250" s="1009"/>
      <c r="TH250" s="1009"/>
      <c r="TI250" s="1009"/>
      <c r="TJ250" s="1009"/>
      <c r="TK250" s="1009"/>
      <c r="TL250" s="1009"/>
      <c r="TM250" s="1009"/>
      <c r="TN250" s="1009"/>
      <c r="TO250" s="1009"/>
      <c r="TP250" s="1009"/>
      <c r="TQ250" s="1009"/>
      <c r="TR250" s="1009"/>
      <c r="TS250" s="1009"/>
      <c r="TT250" s="1009"/>
      <c r="TU250" s="1009"/>
      <c r="TV250" s="1009"/>
      <c r="TW250" s="1009"/>
      <c r="TX250" s="1009"/>
      <c r="TY250" s="1009"/>
      <c r="TZ250" s="1009"/>
      <c r="UA250" s="1009"/>
      <c r="UB250" s="1009"/>
      <c r="UC250" s="1009"/>
      <c r="UD250" s="1009"/>
      <c r="UE250" s="1009"/>
      <c r="UF250" s="1009"/>
      <c r="UG250" s="1009"/>
      <c r="UH250" s="1009"/>
      <c r="UI250" s="1009"/>
      <c r="UJ250" s="1009"/>
      <c r="UK250" s="1009"/>
      <c r="UL250" s="1009"/>
      <c r="UM250" s="1009"/>
      <c r="UN250" s="1009"/>
      <c r="UO250" s="1009"/>
      <c r="UP250" s="1009"/>
      <c r="UQ250" s="1009"/>
      <c r="UR250" s="1009"/>
      <c r="US250" s="1009"/>
      <c r="UT250" s="1009"/>
      <c r="UU250" s="1009"/>
      <c r="UV250" s="1009"/>
      <c r="UW250" s="1009"/>
      <c r="UX250" s="1009"/>
      <c r="UY250" s="1009"/>
      <c r="UZ250" s="1009"/>
      <c r="VA250" s="1009"/>
      <c r="VB250" s="1009"/>
      <c r="VC250" s="1009"/>
      <c r="VD250" s="1009"/>
      <c r="VE250" s="1009"/>
      <c r="VF250" s="1009"/>
      <c r="VG250" s="1009"/>
      <c r="VH250" s="1009"/>
      <c r="VI250" s="1009"/>
      <c r="VJ250" s="1009"/>
      <c r="VK250" s="1009"/>
      <c r="VL250" s="1009"/>
      <c r="VM250" s="1009"/>
      <c r="VN250" s="1009"/>
      <c r="VO250" s="1009"/>
      <c r="VP250" s="1009"/>
      <c r="VQ250" s="1009"/>
      <c r="VR250" s="1009"/>
      <c r="VS250" s="1009"/>
      <c r="VT250" s="1009"/>
      <c r="VU250" s="1009"/>
      <c r="VV250" s="1009"/>
      <c r="VW250" s="1009"/>
      <c r="VX250" s="1009"/>
      <c r="VY250" s="1009"/>
      <c r="VZ250" s="1009"/>
      <c r="WA250" s="1009"/>
      <c r="WB250" s="1009"/>
      <c r="WC250" s="1009"/>
      <c r="WD250" s="1009"/>
      <c r="WE250" s="1009"/>
      <c r="WF250" s="1009"/>
      <c r="WG250" s="1009"/>
      <c r="WH250" s="1009"/>
      <c r="WI250" s="1009"/>
      <c r="WJ250" s="1009"/>
      <c r="WK250" s="1009"/>
      <c r="WL250" s="1009"/>
      <c r="WM250" s="1009"/>
      <c r="WN250" s="1009"/>
      <c r="WO250" s="1009"/>
      <c r="WP250" s="1009"/>
      <c r="WQ250" s="1009"/>
      <c r="WR250" s="1009"/>
      <c r="WS250" s="1009"/>
      <c r="WT250" s="1009"/>
      <c r="WU250" s="1009"/>
      <c r="WV250" s="1009"/>
      <c r="WW250" s="1009"/>
      <c r="WX250" s="1009"/>
      <c r="WY250" s="1009"/>
      <c r="WZ250" s="1009"/>
      <c r="XA250" s="1009"/>
      <c r="XB250" s="1009"/>
      <c r="XC250" s="1009"/>
      <c r="XD250" s="1009"/>
      <c r="XE250" s="1009"/>
      <c r="XF250" s="1009"/>
      <c r="XG250" s="1009"/>
      <c r="XH250" s="1009"/>
      <c r="XI250" s="1009"/>
      <c r="XJ250" s="1009"/>
      <c r="XK250" s="1009"/>
      <c r="XL250" s="1009"/>
      <c r="XM250" s="1009"/>
      <c r="XN250" s="1009"/>
      <c r="XO250" s="1009"/>
      <c r="XP250" s="1009"/>
      <c r="XQ250" s="1009"/>
      <c r="XR250" s="1009"/>
      <c r="XS250" s="1009"/>
      <c r="XT250" s="1009"/>
      <c r="XU250" s="1009"/>
      <c r="XV250" s="1009"/>
      <c r="XW250" s="1009"/>
      <c r="XX250" s="1009"/>
      <c r="XY250" s="1009"/>
      <c r="XZ250" s="1009"/>
      <c r="YA250" s="1009"/>
      <c r="YB250" s="1009"/>
      <c r="YC250" s="1009"/>
      <c r="YD250" s="1009"/>
      <c r="YE250" s="1009"/>
      <c r="YF250" s="1009"/>
      <c r="YG250" s="1009"/>
      <c r="YH250" s="1009"/>
      <c r="YI250" s="1009"/>
      <c r="YJ250" s="1009"/>
      <c r="YK250" s="1009"/>
      <c r="YL250" s="1009"/>
      <c r="YM250" s="1009"/>
      <c r="YN250" s="1009"/>
      <c r="YO250" s="1009"/>
      <c r="YP250" s="1009"/>
      <c r="YQ250" s="1009"/>
      <c r="YR250" s="1009"/>
      <c r="YS250" s="1009"/>
      <c r="YT250" s="1009"/>
      <c r="YU250" s="1009"/>
      <c r="YV250" s="1009"/>
      <c r="YW250" s="1009"/>
      <c r="YX250" s="1009"/>
      <c r="YY250" s="1009"/>
      <c r="YZ250" s="1009"/>
      <c r="ZA250" s="1009"/>
      <c r="ZB250" s="1009"/>
      <c r="ZC250" s="1009"/>
      <c r="ZD250" s="1009"/>
      <c r="ZE250" s="1009"/>
      <c r="ZF250" s="1009"/>
      <c r="ZG250" s="1009"/>
      <c r="ZH250" s="1009"/>
      <c r="ZI250" s="1009"/>
      <c r="ZJ250" s="1009"/>
      <c r="ZK250" s="1009"/>
      <c r="ZL250" s="1009"/>
      <c r="ZM250" s="1009"/>
      <c r="ZN250" s="1009"/>
      <c r="ZO250" s="1009"/>
      <c r="ZP250" s="1009"/>
      <c r="ZQ250" s="1009"/>
      <c r="ZR250" s="1009"/>
      <c r="ZS250" s="1009"/>
      <c r="ZT250" s="1009"/>
      <c r="ZU250" s="1009"/>
      <c r="ZV250" s="1009"/>
      <c r="ZW250" s="1009"/>
      <c r="ZX250" s="1009"/>
      <c r="ZY250" s="1009"/>
      <c r="ZZ250" s="1009"/>
      <c r="AAA250" s="1009"/>
      <c r="AAB250" s="1009"/>
      <c r="AAC250" s="1009"/>
      <c r="AAD250" s="1009"/>
      <c r="AAE250" s="1009"/>
      <c r="AAF250" s="1009"/>
      <c r="AAG250" s="1009"/>
      <c r="AAH250" s="1009"/>
      <c r="AAI250" s="1009"/>
      <c r="AAJ250" s="1009"/>
      <c r="AAK250" s="1009"/>
      <c r="AAL250" s="1009"/>
      <c r="AAM250" s="1009"/>
      <c r="AAN250" s="1009"/>
      <c r="AAO250" s="1009"/>
      <c r="AAP250" s="1009"/>
      <c r="AAQ250" s="1009"/>
      <c r="AAR250" s="1009"/>
      <c r="AAS250" s="1009"/>
      <c r="AAT250" s="1009"/>
      <c r="AAU250" s="1009"/>
      <c r="AAV250" s="1009"/>
      <c r="AAW250" s="1009"/>
      <c r="AAX250" s="1009"/>
      <c r="AAY250" s="1009"/>
      <c r="AAZ250" s="1009"/>
      <c r="ABA250" s="1009"/>
      <c r="ABB250" s="1009"/>
      <c r="ABC250" s="1009"/>
      <c r="ABD250" s="1009"/>
      <c r="ABE250" s="1009"/>
      <c r="ABF250" s="1009"/>
      <c r="ABG250" s="1009"/>
      <c r="ABH250" s="1009"/>
      <c r="ABI250" s="1009"/>
      <c r="ABJ250" s="1009"/>
      <c r="ABK250" s="1009"/>
      <c r="ABL250" s="1009"/>
      <c r="ABM250" s="1009"/>
      <c r="ABN250" s="1009"/>
      <c r="ABO250" s="1009"/>
      <c r="ABP250" s="1009"/>
      <c r="ABQ250" s="1009"/>
      <c r="ABR250" s="1009"/>
    </row>
    <row r="251" spans="1:746" s="111" customFormat="1" ht="12" customHeight="1" thickBot="1">
      <c r="A251" s="2282"/>
      <c r="B251" s="2694" t="s">
        <v>1234</v>
      </c>
      <c r="C251" s="2695"/>
      <c r="D251" s="2695"/>
      <c r="E251" s="2695"/>
      <c r="F251" s="2695"/>
      <c r="G251" s="2695"/>
      <c r="H251" s="2696"/>
      <c r="I251" s="2322" t="s">
        <v>1467</v>
      </c>
      <c r="J251" s="2323"/>
      <c r="K251" s="2323"/>
      <c r="L251" s="2323"/>
      <c r="M251" s="2323"/>
      <c r="N251" s="2323"/>
      <c r="O251" s="2323"/>
      <c r="P251" s="2323"/>
      <c r="Q251" s="2323"/>
      <c r="R251" s="2323"/>
      <c r="S251" s="2323"/>
      <c r="T251" s="2323"/>
      <c r="U251" s="2323"/>
      <c r="V251" s="2323"/>
      <c r="W251" s="2323"/>
      <c r="X251" s="2323"/>
      <c r="Y251" s="2323"/>
      <c r="Z251" s="2323"/>
      <c r="AA251" s="2323"/>
      <c r="AB251" s="2323"/>
      <c r="AC251" s="2323"/>
      <c r="AD251" s="2323"/>
      <c r="AE251" s="2323"/>
      <c r="AF251" s="344"/>
      <c r="AG251" s="376"/>
      <c r="AH251" s="786"/>
      <c r="AI251" s="786"/>
      <c r="AJ251" s="1044"/>
      <c r="AK251" s="1047"/>
      <c r="AL251" s="1044"/>
      <c r="AM251" s="1009"/>
      <c r="AN251" s="1026"/>
      <c r="AO251" s="1034"/>
      <c r="AP251" s="1084"/>
      <c r="AQ251" s="1084"/>
      <c r="AR251" s="1084"/>
      <c r="AS251" s="1084"/>
      <c r="AT251" s="1084"/>
      <c r="AU251" s="1084"/>
      <c r="AV251" s="1084"/>
      <c r="AW251" s="1084"/>
      <c r="AX251" s="1084"/>
      <c r="AY251" s="1084"/>
      <c r="AZ251" s="1084"/>
      <c r="BA251" s="1084"/>
      <c r="BB251" s="1084"/>
      <c r="BC251" s="1084"/>
      <c r="BD251" s="1084"/>
      <c r="BE251" s="1084"/>
      <c r="BF251" s="1084"/>
      <c r="BG251" s="1084"/>
      <c r="BH251" s="1084"/>
      <c r="BI251" s="1084"/>
      <c r="BJ251" s="1084"/>
      <c r="BK251" s="1084"/>
      <c r="BL251" s="1084"/>
      <c r="BM251" s="1084"/>
      <c r="BN251" s="1084"/>
      <c r="BO251" s="1084"/>
      <c r="BP251" s="1009"/>
      <c r="BQ251" s="1009"/>
      <c r="BR251" s="1009"/>
      <c r="BS251" s="1009"/>
      <c r="BT251" s="1009"/>
      <c r="BU251" s="1009"/>
      <c r="BV251" s="1009"/>
      <c r="BW251" s="1009"/>
      <c r="BX251" s="1009"/>
      <c r="BY251" s="1009"/>
      <c r="BZ251" s="1009"/>
      <c r="CA251" s="1009"/>
      <c r="CB251" s="1009"/>
      <c r="CC251" s="1009"/>
      <c r="CD251" s="1009"/>
      <c r="CE251" s="1009"/>
      <c r="CF251" s="1009"/>
      <c r="CG251" s="1009"/>
      <c r="CH251" s="1009"/>
      <c r="CI251" s="1009"/>
      <c r="CJ251" s="1009"/>
      <c r="CK251" s="1009"/>
      <c r="CL251" s="1009"/>
      <c r="CM251" s="1009"/>
      <c r="CN251" s="1009"/>
      <c r="CO251" s="1009"/>
      <c r="CP251" s="1009"/>
      <c r="CQ251" s="1009"/>
      <c r="CR251" s="1009"/>
      <c r="CS251" s="1009"/>
      <c r="CT251" s="1009"/>
      <c r="CU251" s="1009"/>
      <c r="CV251" s="1009"/>
      <c r="CW251" s="1009"/>
      <c r="CX251" s="1009"/>
      <c r="CY251" s="1009"/>
      <c r="CZ251" s="1009"/>
      <c r="DA251" s="1009"/>
      <c r="DB251" s="1009"/>
      <c r="DC251" s="1009"/>
      <c r="DD251" s="1009"/>
      <c r="DE251" s="1009"/>
      <c r="DF251" s="1009"/>
      <c r="DG251" s="1009"/>
      <c r="DH251" s="1009"/>
      <c r="DI251" s="1009"/>
      <c r="DJ251" s="1009"/>
      <c r="DK251" s="1009"/>
      <c r="DL251" s="1009"/>
      <c r="DM251" s="1009"/>
      <c r="DN251" s="1009"/>
      <c r="DO251" s="1009"/>
      <c r="DP251" s="1009"/>
      <c r="DQ251" s="1009"/>
      <c r="DR251" s="1009"/>
      <c r="DS251" s="1009"/>
      <c r="DT251" s="1009"/>
      <c r="DU251" s="1009"/>
      <c r="DV251" s="1009"/>
      <c r="DW251" s="1009"/>
      <c r="DX251" s="1009"/>
      <c r="DY251" s="1009"/>
      <c r="DZ251" s="1009"/>
      <c r="EA251" s="1009"/>
      <c r="EB251" s="1009"/>
      <c r="EC251" s="1009"/>
      <c r="ED251" s="1009"/>
      <c r="EE251" s="1009"/>
      <c r="EF251" s="1009"/>
      <c r="EG251" s="1009"/>
      <c r="EH251" s="1009"/>
      <c r="EI251" s="1009"/>
      <c r="EJ251" s="1009"/>
      <c r="EK251" s="1009"/>
      <c r="EL251" s="1009"/>
      <c r="EM251" s="1009"/>
      <c r="EN251" s="1009"/>
      <c r="EO251" s="1009"/>
      <c r="EP251" s="1009"/>
      <c r="EQ251" s="1009"/>
      <c r="ER251" s="1009"/>
      <c r="ES251" s="1009"/>
      <c r="ET251" s="1009"/>
      <c r="EU251" s="1009"/>
      <c r="EV251" s="1009"/>
      <c r="EW251" s="1009"/>
      <c r="EX251" s="1009"/>
      <c r="EY251" s="1009"/>
      <c r="EZ251" s="1009"/>
      <c r="FA251" s="1009"/>
      <c r="FB251" s="1009"/>
      <c r="FC251" s="1009"/>
      <c r="FD251" s="1009"/>
      <c r="FE251" s="1009"/>
      <c r="FF251" s="1009"/>
      <c r="FG251" s="1009"/>
      <c r="FH251" s="1009"/>
      <c r="FI251" s="1009"/>
      <c r="FJ251" s="1009"/>
      <c r="FK251" s="1009"/>
      <c r="FL251" s="1009"/>
      <c r="FM251" s="1009"/>
      <c r="FN251" s="1009"/>
      <c r="FO251" s="1009"/>
      <c r="FP251" s="1009"/>
      <c r="FQ251" s="1009"/>
      <c r="FR251" s="1009"/>
      <c r="FS251" s="1009"/>
      <c r="FT251" s="1009"/>
      <c r="FU251" s="1009"/>
      <c r="FV251" s="1009"/>
      <c r="FW251" s="1009"/>
      <c r="FX251" s="1009"/>
      <c r="FY251" s="1009"/>
      <c r="FZ251" s="1009"/>
      <c r="GA251" s="1009"/>
      <c r="GB251" s="1009"/>
      <c r="GC251" s="1009"/>
      <c r="GD251" s="1009"/>
      <c r="GE251" s="1009"/>
      <c r="GF251" s="1009"/>
      <c r="GG251" s="1009"/>
      <c r="GH251" s="1009"/>
      <c r="GI251" s="1009"/>
      <c r="GJ251" s="1009"/>
      <c r="GK251" s="1009"/>
      <c r="GL251" s="1009"/>
      <c r="GM251" s="1009"/>
      <c r="GN251" s="1009"/>
      <c r="GO251" s="1009"/>
      <c r="GP251" s="1009"/>
      <c r="GQ251" s="1009"/>
      <c r="GR251" s="1009"/>
      <c r="GS251" s="1009"/>
      <c r="GT251" s="1009"/>
      <c r="GU251" s="1009"/>
      <c r="GV251" s="1009"/>
      <c r="GW251" s="1009"/>
      <c r="GX251" s="1009"/>
      <c r="GY251" s="1009"/>
      <c r="GZ251" s="1009"/>
      <c r="HA251" s="1009"/>
      <c r="HB251" s="1009"/>
      <c r="HC251" s="1009"/>
      <c r="HD251" s="1009"/>
      <c r="HE251" s="1009"/>
      <c r="HF251" s="1009"/>
      <c r="HG251" s="1009"/>
      <c r="HH251" s="1009"/>
      <c r="HI251" s="1009"/>
      <c r="HJ251" s="1009"/>
      <c r="HK251" s="1009"/>
      <c r="HL251" s="1009"/>
      <c r="HM251" s="1009"/>
      <c r="HN251" s="1009"/>
      <c r="HO251" s="1009"/>
      <c r="HP251" s="1009"/>
      <c r="HQ251" s="1009"/>
      <c r="HR251" s="1009"/>
      <c r="HS251" s="1009"/>
      <c r="HT251" s="1009"/>
      <c r="HU251" s="1009"/>
      <c r="HV251" s="1009"/>
      <c r="HW251" s="1009"/>
      <c r="HX251" s="1009"/>
      <c r="HY251" s="1009"/>
      <c r="HZ251" s="1009"/>
      <c r="IA251" s="1009"/>
      <c r="IB251" s="1009"/>
      <c r="IC251" s="1009"/>
      <c r="ID251" s="1009"/>
      <c r="IE251" s="1009"/>
      <c r="IF251" s="1009"/>
      <c r="IG251" s="1009"/>
      <c r="IH251" s="1009"/>
      <c r="II251" s="1009"/>
      <c r="IJ251" s="1009"/>
      <c r="IK251" s="1009"/>
      <c r="IL251" s="1009"/>
      <c r="IM251" s="1009"/>
      <c r="IN251" s="1009"/>
      <c r="IO251" s="1009"/>
      <c r="IP251" s="1009"/>
      <c r="IQ251" s="1009"/>
      <c r="IR251" s="1009"/>
      <c r="IS251" s="1009"/>
      <c r="IT251" s="1009"/>
      <c r="IU251" s="1009"/>
      <c r="IV251" s="1009"/>
      <c r="IW251" s="1009"/>
      <c r="IX251" s="1009"/>
      <c r="IY251" s="1009"/>
      <c r="IZ251" s="1009"/>
      <c r="JA251" s="1009"/>
      <c r="JB251" s="1009"/>
      <c r="JC251" s="1009"/>
      <c r="JD251" s="1009"/>
      <c r="JE251" s="1009"/>
      <c r="JF251" s="1009"/>
      <c r="JG251" s="1009"/>
      <c r="JH251" s="1009"/>
      <c r="JI251" s="1009"/>
      <c r="JJ251" s="1009"/>
      <c r="JK251" s="1009"/>
      <c r="JL251" s="1009"/>
      <c r="JM251" s="1009"/>
      <c r="JN251" s="1009"/>
      <c r="JO251" s="1009"/>
      <c r="JP251" s="1009"/>
      <c r="JQ251" s="1009"/>
      <c r="JR251" s="1009"/>
      <c r="JS251" s="1009"/>
      <c r="JT251" s="1009"/>
      <c r="JU251" s="1009"/>
      <c r="JV251" s="1009"/>
      <c r="JW251" s="1009"/>
      <c r="JX251" s="1009"/>
      <c r="JY251" s="1009"/>
      <c r="JZ251" s="1009"/>
      <c r="KA251" s="1009"/>
      <c r="KB251" s="1009"/>
      <c r="KC251" s="1009"/>
      <c r="KD251" s="1009"/>
      <c r="KE251" s="1009"/>
      <c r="KF251" s="1009"/>
      <c r="KG251" s="1009"/>
      <c r="KH251" s="1009"/>
      <c r="KI251" s="1009"/>
      <c r="KJ251" s="1009"/>
      <c r="KK251" s="1009"/>
      <c r="KL251" s="1009"/>
      <c r="KM251" s="1009"/>
      <c r="KN251" s="1009"/>
      <c r="KO251" s="1009"/>
      <c r="KP251" s="1009"/>
      <c r="KQ251" s="1009"/>
      <c r="KR251" s="1009"/>
      <c r="KS251" s="1009"/>
      <c r="KT251" s="1009"/>
      <c r="KU251" s="1009"/>
      <c r="KV251" s="1009"/>
      <c r="KW251" s="1009"/>
      <c r="KX251" s="1009"/>
      <c r="KY251" s="1009"/>
      <c r="KZ251" s="1009"/>
      <c r="LA251" s="1009"/>
      <c r="LB251" s="1009"/>
      <c r="LC251" s="1009"/>
      <c r="LD251" s="1009"/>
      <c r="LE251" s="1009"/>
      <c r="LF251" s="1009"/>
      <c r="LG251" s="1009"/>
      <c r="LH251" s="1009"/>
      <c r="LI251" s="1009"/>
      <c r="LJ251" s="1009"/>
      <c r="LK251" s="1009"/>
      <c r="LL251" s="1009"/>
      <c r="LM251" s="1009"/>
      <c r="LN251" s="1009"/>
      <c r="LO251" s="1009"/>
      <c r="LP251" s="1009"/>
      <c r="LQ251" s="1009"/>
      <c r="LR251" s="1009"/>
      <c r="LS251" s="1009"/>
      <c r="LT251" s="1009"/>
      <c r="LU251" s="1009"/>
      <c r="LV251" s="1009"/>
      <c r="LW251" s="1009"/>
      <c r="LX251" s="1009"/>
      <c r="LY251" s="1009"/>
      <c r="LZ251" s="1009"/>
      <c r="MA251" s="1009"/>
      <c r="MB251" s="1009"/>
      <c r="MC251" s="1009"/>
      <c r="MD251" s="1009"/>
      <c r="ME251" s="1009"/>
      <c r="MF251" s="1009"/>
      <c r="MG251" s="1009"/>
      <c r="MH251" s="1009"/>
      <c r="MI251" s="1009"/>
      <c r="MJ251" s="1009"/>
      <c r="MK251" s="1009"/>
      <c r="ML251" s="1009"/>
      <c r="MM251" s="1009"/>
      <c r="MN251" s="1009"/>
      <c r="MO251" s="1009"/>
      <c r="MP251" s="1009"/>
      <c r="MQ251" s="1009"/>
      <c r="MR251" s="1009"/>
      <c r="MS251" s="1009"/>
      <c r="MT251" s="1009"/>
      <c r="MU251" s="1009"/>
      <c r="MV251" s="1009"/>
      <c r="MW251" s="1009"/>
      <c r="MX251" s="1009"/>
      <c r="MY251" s="1009"/>
      <c r="MZ251" s="1009"/>
      <c r="NA251" s="1009"/>
      <c r="NB251" s="1009"/>
      <c r="NC251" s="1009"/>
      <c r="ND251" s="1009"/>
      <c r="NE251" s="1009"/>
      <c r="NF251" s="1009"/>
      <c r="NG251" s="1009"/>
      <c r="NH251" s="1009"/>
      <c r="NI251" s="1009"/>
      <c r="NJ251" s="1009"/>
      <c r="NK251" s="1009"/>
      <c r="NL251" s="1009"/>
      <c r="NM251" s="1009"/>
      <c r="NN251" s="1009"/>
      <c r="NO251" s="1009"/>
      <c r="NP251" s="1009"/>
      <c r="NQ251" s="1009"/>
      <c r="NR251" s="1009"/>
      <c r="NS251" s="1009"/>
      <c r="NT251" s="1009"/>
      <c r="NU251" s="1009"/>
      <c r="NV251" s="1009"/>
      <c r="NW251" s="1009"/>
      <c r="NX251" s="1009"/>
      <c r="NY251" s="1009"/>
      <c r="NZ251" s="1009"/>
      <c r="OA251" s="1009"/>
      <c r="OB251" s="1009"/>
      <c r="OC251" s="1009"/>
      <c r="OD251" s="1009"/>
      <c r="OE251" s="1009"/>
      <c r="OF251" s="1009"/>
      <c r="OG251" s="1009"/>
      <c r="OH251" s="1009"/>
      <c r="OI251" s="1009"/>
      <c r="OJ251" s="1009"/>
      <c r="OK251" s="1009"/>
      <c r="OL251" s="1009"/>
      <c r="OM251" s="1009"/>
      <c r="ON251" s="1009"/>
      <c r="OO251" s="1009"/>
      <c r="OP251" s="1009"/>
      <c r="OQ251" s="1009"/>
      <c r="OR251" s="1009"/>
      <c r="OS251" s="1009"/>
      <c r="OT251" s="1009"/>
      <c r="OU251" s="1009"/>
      <c r="OV251" s="1009"/>
      <c r="OW251" s="1009"/>
      <c r="OX251" s="1009"/>
      <c r="OY251" s="1009"/>
      <c r="OZ251" s="1009"/>
      <c r="PA251" s="1009"/>
      <c r="PB251" s="1009"/>
      <c r="PC251" s="1009"/>
      <c r="PD251" s="1009"/>
      <c r="PE251" s="1009"/>
      <c r="PF251" s="1009"/>
      <c r="PG251" s="1009"/>
      <c r="PH251" s="1009"/>
      <c r="PI251" s="1009"/>
      <c r="PJ251" s="1009"/>
      <c r="PK251" s="1009"/>
      <c r="PL251" s="1009"/>
      <c r="PM251" s="1009"/>
      <c r="PN251" s="1009"/>
      <c r="PO251" s="1009"/>
      <c r="PP251" s="1009"/>
      <c r="PQ251" s="1009"/>
      <c r="PR251" s="1009"/>
      <c r="PS251" s="1009"/>
      <c r="PT251" s="1009"/>
      <c r="PU251" s="1009"/>
      <c r="PV251" s="1009"/>
      <c r="PW251" s="1009"/>
      <c r="PX251" s="1009"/>
      <c r="PY251" s="1009"/>
      <c r="PZ251" s="1009"/>
      <c r="QA251" s="1009"/>
      <c r="QB251" s="1009"/>
      <c r="QC251" s="1009"/>
      <c r="QD251" s="1009"/>
      <c r="QE251" s="1009"/>
      <c r="QF251" s="1009"/>
      <c r="QG251" s="1009"/>
      <c r="QH251" s="1009"/>
      <c r="QI251" s="1009"/>
      <c r="QJ251" s="1009"/>
      <c r="QK251" s="1009"/>
      <c r="QL251" s="1009"/>
      <c r="QM251" s="1009"/>
      <c r="QN251" s="1009"/>
      <c r="QO251" s="1009"/>
      <c r="QP251" s="1009"/>
      <c r="QQ251" s="1009"/>
      <c r="QR251" s="1009"/>
      <c r="QS251" s="1009"/>
      <c r="QT251" s="1009"/>
      <c r="QU251" s="1009"/>
      <c r="QV251" s="1009"/>
      <c r="QW251" s="1009"/>
      <c r="QX251" s="1009"/>
      <c r="QY251" s="1009"/>
      <c r="QZ251" s="1009"/>
      <c r="RA251" s="1009"/>
      <c r="RB251" s="1009"/>
      <c r="RC251" s="1009"/>
      <c r="RD251" s="1009"/>
      <c r="RE251" s="1009"/>
      <c r="RF251" s="1009"/>
      <c r="RG251" s="1009"/>
      <c r="RH251" s="1009"/>
      <c r="RI251" s="1009"/>
      <c r="RJ251" s="1009"/>
      <c r="RK251" s="1009"/>
      <c r="RL251" s="1009"/>
      <c r="RM251" s="1009"/>
      <c r="RN251" s="1009"/>
      <c r="RO251" s="1009"/>
      <c r="RP251" s="1009"/>
      <c r="RQ251" s="1009"/>
      <c r="RR251" s="1009"/>
      <c r="RS251" s="1009"/>
      <c r="RT251" s="1009"/>
      <c r="RU251" s="1009"/>
      <c r="RV251" s="1009"/>
      <c r="RW251" s="1009"/>
      <c r="RX251" s="1009"/>
      <c r="RY251" s="1009"/>
      <c r="RZ251" s="1009"/>
      <c r="SA251" s="1009"/>
      <c r="SB251" s="1009"/>
      <c r="SC251" s="1009"/>
      <c r="SD251" s="1009"/>
      <c r="SE251" s="1009"/>
      <c r="SF251" s="1009"/>
      <c r="SG251" s="1009"/>
      <c r="SH251" s="1009"/>
      <c r="SI251" s="1009"/>
      <c r="SJ251" s="1009"/>
      <c r="SK251" s="1009"/>
      <c r="SL251" s="1009"/>
      <c r="SM251" s="1009"/>
      <c r="SN251" s="1009"/>
      <c r="SO251" s="1009"/>
      <c r="SP251" s="1009"/>
      <c r="SQ251" s="1009"/>
      <c r="SR251" s="1009"/>
      <c r="SS251" s="1009"/>
      <c r="ST251" s="1009"/>
      <c r="SU251" s="1009"/>
      <c r="SV251" s="1009"/>
      <c r="SW251" s="1009"/>
      <c r="SX251" s="1009"/>
      <c r="SY251" s="1009"/>
      <c r="SZ251" s="1009"/>
      <c r="TA251" s="1009"/>
      <c r="TB251" s="1009"/>
      <c r="TC251" s="1009"/>
      <c r="TD251" s="1009"/>
      <c r="TE251" s="1009"/>
      <c r="TF251" s="1009"/>
      <c r="TG251" s="1009"/>
      <c r="TH251" s="1009"/>
      <c r="TI251" s="1009"/>
      <c r="TJ251" s="1009"/>
      <c r="TK251" s="1009"/>
      <c r="TL251" s="1009"/>
      <c r="TM251" s="1009"/>
      <c r="TN251" s="1009"/>
      <c r="TO251" s="1009"/>
      <c r="TP251" s="1009"/>
      <c r="TQ251" s="1009"/>
      <c r="TR251" s="1009"/>
      <c r="TS251" s="1009"/>
      <c r="TT251" s="1009"/>
      <c r="TU251" s="1009"/>
      <c r="TV251" s="1009"/>
      <c r="TW251" s="1009"/>
      <c r="TX251" s="1009"/>
      <c r="TY251" s="1009"/>
      <c r="TZ251" s="1009"/>
      <c r="UA251" s="1009"/>
      <c r="UB251" s="1009"/>
      <c r="UC251" s="1009"/>
      <c r="UD251" s="1009"/>
      <c r="UE251" s="1009"/>
      <c r="UF251" s="1009"/>
      <c r="UG251" s="1009"/>
      <c r="UH251" s="1009"/>
      <c r="UI251" s="1009"/>
      <c r="UJ251" s="1009"/>
      <c r="UK251" s="1009"/>
      <c r="UL251" s="1009"/>
      <c r="UM251" s="1009"/>
      <c r="UN251" s="1009"/>
      <c r="UO251" s="1009"/>
      <c r="UP251" s="1009"/>
      <c r="UQ251" s="1009"/>
      <c r="UR251" s="1009"/>
      <c r="US251" s="1009"/>
      <c r="UT251" s="1009"/>
      <c r="UU251" s="1009"/>
      <c r="UV251" s="1009"/>
      <c r="UW251" s="1009"/>
      <c r="UX251" s="1009"/>
      <c r="UY251" s="1009"/>
      <c r="UZ251" s="1009"/>
      <c r="VA251" s="1009"/>
      <c r="VB251" s="1009"/>
      <c r="VC251" s="1009"/>
      <c r="VD251" s="1009"/>
      <c r="VE251" s="1009"/>
      <c r="VF251" s="1009"/>
      <c r="VG251" s="1009"/>
      <c r="VH251" s="1009"/>
      <c r="VI251" s="1009"/>
      <c r="VJ251" s="1009"/>
      <c r="VK251" s="1009"/>
      <c r="VL251" s="1009"/>
      <c r="VM251" s="1009"/>
      <c r="VN251" s="1009"/>
      <c r="VO251" s="1009"/>
      <c r="VP251" s="1009"/>
      <c r="VQ251" s="1009"/>
      <c r="VR251" s="1009"/>
      <c r="VS251" s="1009"/>
      <c r="VT251" s="1009"/>
      <c r="VU251" s="1009"/>
      <c r="VV251" s="1009"/>
      <c r="VW251" s="1009"/>
      <c r="VX251" s="1009"/>
      <c r="VY251" s="1009"/>
      <c r="VZ251" s="1009"/>
      <c r="WA251" s="1009"/>
      <c r="WB251" s="1009"/>
      <c r="WC251" s="1009"/>
      <c r="WD251" s="1009"/>
      <c r="WE251" s="1009"/>
      <c r="WF251" s="1009"/>
      <c r="WG251" s="1009"/>
      <c r="WH251" s="1009"/>
      <c r="WI251" s="1009"/>
      <c r="WJ251" s="1009"/>
      <c r="WK251" s="1009"/>
      <c r="WL251" s="1009"/>
      <c r="WM251" s="1009"/>
      <c r="WN251" s="1009"/>
      <c r="WO251" s="1009"/>
      <c r="WP251" s="1009"/>
      <c r="WQ251" s="1009"/>
      <c r="WR251" s="1009"/>
      <c r="WS251" s="1009"/>
      <c r="WT251" s="1009"/>
      <c r="WU251" s="1009"/>
      <c r="WV251" s="1009"/>
      <c r="WW251" s="1009"/>
      <c r="WX251" s="1009"/>
      <c r="WY251" s="1009"/>
      <c r="WZ251" s="1009"/>
      <c r="XA251" s="1009"/>
      <c r="XB251" s="1009"/>
      <c r="XC251" s="1009"/>
      <c r="XD251" s="1009"/>
      <c r="XE251" s="1009"/>
      <c r="XF251" s="1009"/>
      <c r="XG251" s="1009"/>
      <c r="XH251" s="1009"/>
      <c r="XI251" s="1009"/>
      <c r="XJ251" s="1009"/>
      <c r="XK251" s="1009"/>
      <c r="XL251" s="1009"/>
      <c r="XM251" s="1009"/>
      <c r="XN251" s="1009"/>
      <c r="XO251" s="1009"/>
      <c r="XP251" s="1009"/>
      <c r="XQ251" s="1009"/>
      <c r="XR251" s="1009"/>
      <c r="XS251" s="1009"/>
      <c r="XT251" s="1009"/>
      <c r="XU251" s="1009"/>
      <c r="XV251" s="1009"/>
      <c r="XW251" s="1009"/>
      <c r="XX251" s="1009"/>
      <c r="XY251" s="1009"/>
      <c r="XZ251" s="1009"/>
      <c r="YA251" s="1009"/>
      <c r="YB251" s="1009"/>
      <c r="YC251" s="1009"/>
      <c r="YD251" s="1009"/>
      <c r="YE251" s="1009"/>
      <c r="YF251" s="1009"/>
      <c r="YG251" s="1009"/>
      <c r="YH251" s="1009"/>
      <c r="YI251" s="1009"/>
      <c r="YJ251" s="1009"/>
      <c r="YK251" s="1009"/>
      <c r="YL251" s="1009"/>
      <c r="YM251" s="1009"/>
      <c r="YN251" s="1009"/>
      <c r="YO251" s="1009"/>
      <c r="YP251" s="1009"/>
      <c r="YQ251" s="1009"/>
      <c r="YR251" s="1009"/>
      <c r="YS251" s="1009"/>
      <c r="YT251" s="1009"/>
      <c r="YU251" s="1009"/>
      <c r="YV251" s="1009"/>
      <c r="YW251" s="1009"/>
      <c r="YX251" s="1009"/>
      <c r="YY251" s="1009"/>
      <c r="YZ251" s="1009"/>
      <c r="ZA251" s="1009"/>
      <c r="ZB251" s="1009"/>
      <c r="ZC251" s="1009"/>
      <c r="ZD251" s="1009"/>
      <c r="ZE251" s="1009"/>
      <c r="ZF251" s="1009"/>
      <c r="ZG251" s="1009"/>
      <c r="ZH251" s="1009"/>
      <c r="ZI251" s="1009"/>
      <c r="ZJ251" s="1009"/>
      <c r="ZK251" s="1009"/>
      <c r="ZL251" s="1009"/>
      <c r="ZM251" s="1009"/>
      <c r="ZN251" s="1009"/>
      <c r="ZO251" s="1009"/>
      <c r="ZP251" s="1009"/>
      <c r="ZQ251" s="1009"/>
      <c r="ZR251" s="1009"/>
      <c r="ZS251" s="1009"/>
      <c r="ZT251" s="1009"/>
      <c r="ZU251" s="1009"/>
      <c r="ZV251" s="1009"/>
      <c r="ZW251" s="1009"/>
      <c r="ZX251" s="1009"/>
      <c r="ZY251" s="1009"/>
      <c r="ZZ251" s="1009"/>
      <c r="AAA251" s="1009"/>
      <c r="AAB251" s="1009"/>
      <c r="AAC251" s="1009"/>
      <c r="AAD251" s="1009"/>
      <c r="AAE251" s="1009"/>
      <c r="AAF251" s="1009"/>
      <c r="AAG251" s="1009"/>
      <c r="AAH251" s="1009"/>
      <c r="AAI251" s="1009"/>
      <c r="AAJ251" s="1009"/>
      <c r="AAK251" s="1009"/>
      <c r="AAL251" s="1009"/>
      <c r="AAM251" s="1009"/>
      <c r="AAN251" s="1009"/>
      <c r="AAO251" s="1009"/>
      <c r="AAP251" s="1009"/>
      <c r="AAQ251" s="1009"/>
      <c r="AAR251" s="1009"/>
      <c r="AAS251" s="1009"/>
      <c r="AAT251" s="1009"/>
      <c r="AAU251" s="1009"/>
      <c r="AAV251" s="1009"/>
      <c r="AAW251" s="1009"/>
      <c r="AAX251" s="1009"/>
      <c r="AAY251" s="1009"/>
      <c r="AAZ251" s="1009"/>
      <c r="ABA251" s="1009"/>
      <c r="ABB251" s="1009"/>
      <c r="ABC251" s="1009"/>
      <c r="ABD251" s="1009"/>
      <c r="ABE251" s="1009"/>
      <c r="ABF251" s="1009"/>
      <c r="ABG251" s="1009"/>
      <c r="ABH251" s="1009"/>
      <c r="ABI251" s="1009"/>
      <c r="ABJ251" s="1009"/>
      <c r="ABK251" s="1009"/>
      <c r="ABL251" s="1009"/>
      <c r="ABM251" s="1009"/>
      <c r="ABN251" s="1009"/>
      <c r="ABO251" s="1009"/>
      <c r="ABP251" s="1009"/>
      <c r="ABQ251" s="1009"/>
      <c r="ABR251" s="1009"/>
    </row>
    <row r="252" spans="1:746" s="111" customFormat="1" ht="12" customHeight="1" thickBot="1">
      <c r="A252" s="2282"/>
      <c r="B252" s="2697" t="s">
        <v>1236</v>
      </c>
      <c r="C252" s="2698"/>
      <c r="D252" s="2699"/>
      <c r="E252" s="2283" t="s">
        <v>0</v>
      </c>
      <c r="F252" s="2707"/>
      <c r="G252" s="347">
        <v>0.25</v>
      </c>
      <c r="H252" s="2704"/>
      <c r="I252" s="2324"/>
      <c r="J252" s="2274"/>
      <c r="K252" s="2274"/>
      <c r="L252" s="2274"/>
      <c r="M252" s="2274"/>
      <c r="N252" s="2274"/>
      <c r="O252" s="2274"/>
      <c r="P252" s="2274"/>
      <c r="Q252" s="2274"/>
      <c r="R252" s="2274"/>
      <c r="S252" s="2274"/>
      <c r="T252" s="2274"/>
      <c r="U252" s="2274"/>
      <c r="V252" s="2274"/>
      <c r="W252" s="2274"/>
      <c r="X252" s="2274"/>
      <c r="Y252" s="2274"/>
      <c r="Z252" s="2274"/>
      <c r="AA252" s="2274"/>
      <c r="AB252" s="2274"/>
      <c r="AC252" s="2274"/>
      <c r="AD252" s="2274"/>
      <c r="AE252" s="2274"/>
      <c r="AF252" s="2274"/>
      <c r="AG252" s="376"/>
      <c r="AH252" s="786"/>
      <c r="AI252" s="786"/>
      <c r="AJ252" s="901">
        <f>IF(fx!$C$57=1,SUMIF(fx!I$57:T$57,1,I252:T252),IF(fx!$C$57=2,SUMIF(fx!O$57:AF$57,1,O252:AF252)))</f>
        <v>0</v>
      </c>
      <c r="AK252" s="1207"/>
      <c r="AL252" s="902">
        <f>IF(fx!$C$57=1,SUM(U252:AF252),0)</f>
        <v>0</v>
      </c>
      <c r="AM252" s="1009"/>
      <c r="AN252" s="1026"/>
      <c r="AO252" s="1034"/>
      <c r="AP252" s="1084"/>
      <c r="AQ252" s="1084"/>
      <c r="AR252" s="1084"/>
      <c r="AS252" s="1084"/>
      <c r="AT252" s="1084"/>
      <c r="AU252" s="1084"/>
      <c r="AV252" s="1084"/>
      <c r="AW252" s="1084"/>
      <c r="AX252" s="1084"/>
      <c r="AY252" s="1084"/>
      <c r="AZ252" s="1084"/>
      <c r="BA252" s="1084"/>
      <c r="BB252" s="1084"/>
      <c r="BC252" s="1084"/>
      <c r="BD252" s="1084"/>
      <c r="BE252" s="1084"/>
      <c r="BF252" s="1084"/>
      <c r="BG252" s="1084"/>
      <c r="BH252" s="1084"/>
      <c r="BI252" s="1084"/>
      <c r="BJ252" s="1084"/>
      <c r="BK252" s="1084"/>
      <c r="BL252" s="1084"/>
      <c r="BM252" s="1084"/>
      <c r="BN252" s="1084"/>
      <c r="BO252" s="1084"/>
      <c r="BP252" s="1009"/>
      <c r="BQ252" s="1009"/>
      <c r="BR252" s="1009"/>
      <c r="BS252" s="1009"/>
      <c r="BT252" s="1009"/>
      <c r="BU252" s="1009"/>
      <c r="BV252" s="1009"/>
      <c r="BW252" s="1009"/>
      <c r="BX252" s="1009"/>
      <c r="BY252" s="1009"/>
      <c r="BZ252" s="1009"/>
      <c r="CA252" s="1009"/>
      <c r="CB252" s="1009"/>
      <c r="CC252" s="1009"/>
      <c r="CD252" s="1009"/>
      <c r="CE252" s="1009"/>
      <c r="CF252" s="1009"/>
      <c r="CG252" s="1009"/>
      <c r="CH252" s="1009"/>
      <c r="CI252" s="1009"/>
      <c r="CJ252" s="1009"/>
      <c r="CK252" s="1009"/>
      <c r="CL252" s="1009"/>
      <c r="CM252" s="1009"/>
      <c r="CN252" s="1009"/>
      <c r="CO252" s="1009"/>
      <c r="CP252" s="1009"/>
      <c r="CQ252" s="1009"/>
      <c r="CR252" s="1009"/>
      <c r="CS252" s="1009"/>
      <c r="CT252" s="1009"/>
      <c r="CU252" s="1009"/>
      <c r="CV252" s="1009"/>
      <c r="CW252" s="1009"/>
      <c r="CX252" s="1009"/>
      <c r="CY252" s="1009"/>
      <c r="CZ252" s="1009"/>
      <c r="DA252" s="1009"/>
      <c r="DB252" s="1009"/>
      <c r="DC252" s="1009"/>
      <c r="DD252" s="1009"/>
      <c r="DE252" s="1009"/>
      <c r="DF252" s="1009"/>
      <c r="DG252" s="1009"/>
      <c r="DH252" s="1009"/>
      <c r="DI252" s="1009"/>
      <c r="DJ252" s="1009"/>
      <c r="DK252" s="1009"/>
      <c r="DL252" s="1009"/>
      <c r="DM252" s="1009"/>
      <c r="DN252" s="1009"/>
      <c r="DO252" s="1009"/>
      <c r="DP252" s="1009"/>
      <c r="DQ252" s="1009"/>
      <c r="DR252" s="1009"/>
      <c r="DS252" s="1009"/>
      <c r="DT252" s="1009"/>
      <c r="DU252" s="1009"/>
      <c r="DV252" s="1009"/>
      <c r="DW252" s="1009"/>
      <c r="DX252" s="1009"/>
      <c r="DY252" s="1009"/>
      <c r="DZ252" s="1009"/>
      <c r="EA252" s="1009"/>
      <c r="EB252" s="1009"/>
      <c r="EC252" s="1009"/>
      <c r="ED252" s="1009"/>
      <c r="EE252" s="1009"/>
      <c r="EF252" s="1009"/>
      <c r="EG252" s="1009"/>
      <c r="EH252" s="1009"/>
      <c r="EI252" s="1009"/>
      <c r="EJ252" s="1009"/>
      <c r="EK252" s="1009"/>
      <c r="EL252" s="1009"/>
      <c r="EM252" s="1009"/>
      <c r="EN252" s="1009"/>
      <c r="EO252" s="1009"/>
      <c r="EP252" s="1009"/>
      <c r="EQ252" s="1009"/>
      <c r="ER252" s="1009"/>
      <c r="ES252" s="1009"/>
      <c r="ET252" s="1009"/>
      <c r="EU252" s="1009"/>
      <c r="EV252" s="1009"/>
      <c r="EW252" s="1009"/>
      <c r="EX252" s="1009"/>
      <c r="EY252" s="1009"/>
      <c r="EZ252" s="1009"/>
      <c r="FA252" s="1009"/>
      <c r="FB252" s="1009"/>
      <c r="FC252" s="1009"/>
      <c r="FD252" s="1009"/>
      <c r="FE252" s="1009"/>
      <c r="FF252" s="1009"/>
      <c r="FG252" s="1009"/>
      <c r="FH252" s="1009"/>
      <c r="FI252" s="1009"/>
      <c r="FJ252" s="1009"/>
      <c r="FK252" s="1009"/>
      <c r="FL252" s="1009"/>
      <c r="FM252" s="1009"/>
      <c r="FN252" s="1009"/>
      <c r="FO252" s="1009"/>
      <c r="FP252" s="1009"/>
      <c r="FQ252" s="1009"/>
      <c r="FR252" s="1009"/>
      <c r="FS252" s="1009"/>
      <c r="FT252" s="1009"/>
      <c r="FU252" s="1009"/>
      <c r="FV252" s="1009"/>
      <c r="FW252" s="1009"/>
      <c r="FX252" s="1009"/>
      <c r="FY252" s="1009"/>
      <c r="FZ252" s="1009"/>
      <c r="GA252" s="1009"/>
      <c r="GB252" s="1009"/>
      <c r="GC252" s="1009"/>
      <c r="GD252" s="1009"/>
      <c r="GE252" s="1009"/>
      <c r="GF252" s="1009"/>
      <c r="GG252" s="1009"/>
      <c r="GH252" s="1009"/>
      <c r="GI252" s="1009"/>
      <c r="GJ252" s="1009"/>
      <c r="GK252" s="1009"/>
      <c r="GL252" s="1009"/>
      <c r="GM252" s="1009"/>
      <c r="GN252" s="1009"/>
      <c r="GO252" s="1009"/>
      <c r="GP252" s="1009"/>
      <c r="GQ252" s="1009"/>
      <c r="GR252" s="1009"/>
      <c r="GS252" s="1009"/>
      <c r="GT252" s="1009"/>
      <c r="GU252" s="1009"/>
      <c r="GV252" s="1009"/>
      <c r="GW252" s="1009"/>
      <c r="GX252" s="1009"/>
      <c r="GY252" s="1009"/>
      <c r="GZ252" s="1009"/>
      <c r="HA252" s="1009"/>
      <c r="HB252" s="1009"/>
      <c r="HC252" s="1009"/>
      <c r="HD252" s="1009"/>
      <c r="HE252" s="1009"/>
      <c r="HF252" s="1009"/>
      <c r="HG252" s="1009"/>
      <c r="HH252" s="1009"/>
      <c r="HI252" s="1009"/>
      <c r="HJ252" s="1009"/>
      <c r="HK252" s="1009"/>
      <c r="HL252" s="1009"/>
      <c r="HM252" s="1009"/>
      <c r="HN252" s="1009"/>
      <c r="HO252" s="1009"/>
      <c r="HP252" s="1009"/>
      <c r="HQ252" s="1009"/>
      <c r="HR252" s="1009"/>
      <c r="HS252" s="1009"/>
      <c r="HT252" s="1009"/>
      <c r="HU252" s="1009"/>
      <c r="HV252" s="1009"/>
      <c r="HW252" s="1009"/>
      <c r="HX252" s="1009"/>
      <c r="HY252" s="1009"/>
      <c r="HZ252" s="1009"/>
      <c r="IA252" s="1009"/>
      <c r="IB252" s="1009"/>
      <c r="IC252" s="1009"/>
      <c r="ID252" s="1009"/>
      <c r="IE252" s="1009"/>
      <c r="IF252" s="1009"/>
      <c r="IG252" s="1009"/>
      <c r="IH252" s="1009"/>
      <c r="II252" s="1009"/>
      <c r="IJ252" s="1009"/>
      <c r="IK252" s="1009"/>
      <c r="IL252" s="1009"/>
      <c r="IM252" s="1009"/>
      <c r="IN252" s="1009"/>
      <c r="IO252" s="1009"/>
      <c r="IP252" s="1009"/>
      <c r="IQ252" s="1009"/>
      <c r="IR252" s="1009"/>
      <c r="IS252" s="1009"/>
      <c r="IT252" s="1009"/>
      <c r="IU252" s="1009"/>
      <c r="IV252" s="1009"/>
      <c r="IW252" s="1009"/>
      <c r="IX252" s="1009"/>
      <c r="IY252" s="1009"/>
      <c r="IZ252" s="1009"/>
      <c r="JA252" s="1009"/>
      <c r="JB252" s="1009"/>
      <c r="JC252" s="1009"/>
      <c r="JD252" s="1009"/>
      <c r="JE252" s="1009"/>
      <c r="JF252" s="1009"/>
      <c r="JG252" s="1009"/>
      <c r="JH252" s="1009"/>
      <c r="JI252" s="1009"/>
      <c r="JJ252" s="1009"/>
      <c r="JK252" s="1009"/>
      <c r="JL252" s="1009"/>
      <c r="JM252" s="1009"/>
      <c r="JN252" s="1009"/>
      <c r="JO252" s="1009"/>
      <c r="JP252" s="1009"/>
      <c r="JQ252" s="1009"/>
      <c r="JR252" s="1009"/>
      <c r="JS252" s="1009"/>
      <c r="JT252" s="1009"/>
      <c r="JU252" s="1009"/>
      <c r="JV252" s="1009"/>
      <c r="JW252" s="1009"/>
      <c r="JX252" s="1009"/>
      <c r="JY252" s="1009"/>
      <c r="JZ252" s="1009"/>
      <c r="KA252" s="1009"/>
      <c r="KB252" s="1009"/>
      <c r="KC252" s="1009"/>
      <c r="KD252" s="1009"/>
      <c r="KE252" s="1009"/>
      <c r="KF252" s="1009"/>
      <c r="KG252" s="1009"/>
      <c r="KH252" s="1009"/>
      <c r="KI252" s="1009"/>
      <c r="KJ252" s="1009"/>
      <c r="KK252" s="1009"/>
      <c r="KL252" s="1009"/>
      <c r="KM252" s="1009"/>
      <c r="KN252" s="1009"/>
      <c r="KO252" s="1009"/>
      <c r="KP252" s="1009"/>
      <c r="KQ252" s="1009"/>
      <c r="KR252" s="1009"/>
      <c r="KS252" s="1009"/>
      <c r="KT252" s="1009"/>
      <c r="KU252" s="1009"/>
      <c r="KV252" s="1009"/>
      <c r="KW252" s="1009"/>
      <c r="KX252" s="1009"/>
      <c r="KY252" s="1009"/>
      <c r="KZ252" s="1009"/>
      <c r="LA252" s="1009"/>
      <c r="LB252" s="1009"/>
      <c r="LC252" s="1009"/>
      <c r="LD252" s="1009"/>
      <c r="LE252" s="1009"/>
      <c r="LF252" s="1009"/>
      <c r="LG252" s="1009"/>
      <c r="LH252" s="1009"/>
      <c r="LI252" s="1009"/>
      <c r="LJ252" s="1009"/>
      <c r="LK252" s="1009"/>
      <c r="LL252" s="1009"/>
      <c r="LM252" s="1009"/>
      <c r="LN252" s="1009"/>
      <c r="LO252" s="1009"/>
      <c r="LP252" s="1009"/>
      <c r="LQ252" s="1009"/>
      <c r="LR252" s="1009"/>
      <c r="LS252" s="1009"/>
      <c r="LT252" s="1009"/>
      <c r="LU252" s="1009"/>
      <c r="LV252" s="1009"/>
      <c r="LW252" s="1009"/>
      <c r="LX252" s="1009"/>
      <c r="LY252" s="1009"/>
      <c r="LZ252" s="1009"/>
      <c r="MA252" s="1009"/>
      <c r="MB252" s="1009"/>
      <c r="MC252" s="1009"/>
      <c r="MD252" s="1009"/>
      <c r="ME252" s="1009"/>
      <c r="MF252" s="1009"/>
      <c r="MG252" s="1009"/>
      <c r="MH252" s="1009"/>
      <c r="MI252" s="1009"/>
      <c r="MJ252" s="1009"/>
      <c r="MK252" s="1009"/>
      <c r="ML252" s="1009"/>
      <c r="MM252" s="1009"/>
      <c r="MN252" s="1009"/>
      <c r="MO252" s="1009"/>
      <c r="MP252" s="1009"/>
      <c r="MQ252" s="1009"/>
      <c r="MR252" s="1009"/>
      <c r="MS252" s="1009"/>
      <c r="MT252" s="1009"/>
      <c r="MU252" s="1009"/>
      <c r="MV252" s="1009"/>
      <c r="MW252" s="1009"/>
      <c r="MX252" s="1009"/>
      <c r="MY252" s="1009"/>
      <c r="MZ252" s="1009"/>
      <c r="NA252" s="1009"/>
      <c r="NB252" s="1009"/>
      <c r="NC252" s="1009"/>
      <c r="ND252" s="1009"/>
      <c r="NE252" s="1009"/>
      <c r="NF252" s="1009"/>
      <c r="NG252" s="1009"/>
      <c r="NH252" s="1009"/>
      <c r="NI252" s="1009"/>
      <c r="NJ252" s="1009"/>
      <c r="NK252" s="1009"/>
      <c r="NL252" s="1009"/>
      <c r="NM252" s="1009"/>
      <c r="NN252" s="1009"/>
      <c r="NO252" s="1009"/>
      <c r="NP252" s="1009"/>
      <c r="NQ252" s="1009"/>
      <c r="NR252" s="1009"/>
      <c r="NS252" s="1009"/>
      <c r="NT252" s="1009"/>
      <c r="NU252" s="1009"/>
      <c r="NV252" s="1009"/>
      <c r="NW252" s="1009"/>
      <c r="NX252" s="1009"/>
      <c r="NY252" s="1009"/>
      <c r="NZ252" s="1009"/>
      <c r="OA252" s="1009"/>
      <c r="OB252" s="1009"/>
      <c r="OC252" s="1009"/>
      <c r="OD252" s="1009"/>
      <c r="OE252" s="1009"/>
      <c r="OF252" s="1009"/>
      <c r="OG252" s="1009"/>
      <c r="OH252" s="1009"/>
      <c r="OI252" s="1009"/>
      <c r="OJ252" s="1009"/>
      <c r="OK252" s="1009"/>
      <c r="OL252" s="1009"/>
      <c r="OM252" s="1009"/>
      <c r="ON252" s="1009"/>
      <c r="OO252" s="1009"/>
      <c r="OP252" s="1009"/>
      <c r="OQ252" s="1009"/>
      <c r="OR252" s="1009"/>
      <c r="OS252" s="1009"/>
      <c r="OT252" s="1009"/>
      <c r="OU252" s="1009"/>
      <c r="OV252" s="1009"/>
      <c r="OW252" s="1009"/>
      <c r="OX252" s="1009"/>
      <c r="OY252" s="1009"/>
      <c r="OZ252" s="1009"/>
      <c r="PA252" s="1009"/>
      <c r="PB252" s="1009"/>
      <c r="PC252" s="1009"/>
      <c r="PD252" s="1009"/>
      <c r="PE252" s="1009"/>
      <c r="PF252" s="1009"/>
      <c r="PG252" s="1009"/>
      <c r="PH252" s="1009"/>
      <c r="PI252" s="1009"/>
      <c r="PJ252" s="1009"/>
      <c r="PK252" s="1009"/>
      <c r="PL252" s="1009"/>
      <c r="PM252" s="1009"/>
      <c r="PN252" s="1009"/>
      <c r="PO252" s="1009"/>
      <c r="PP252" s="1009"/>
      <c r="PQ252" s="1009"/>
      <c r="PR252" s="1009"/>
      <c r="PS252" s="1009"/>
      <c r="PT252" s="1009"/>
      <c r="PU252" s="1009"/>
      <c r="PV252" s="1009"/>
      <c r="PW252" s="1009"/>
      <c r="PX252" s="1009"/>
      <c r="PY252" s="1009"/>
      <c r="PZ252" s="1009"/>
      <c r="QA252" s="1009"/>
      <c r="QB252" s="1009"/>
      <c r="QC252" s="1009"/>
      <c r="QD252" s="1009"/>
      <c r="QE252" s="1009"/>
      <c r="QF252" s="1009"/>
      <c r="QG252" s="1009"/>
      <c r="QH252" s="1009"/>
      <c r="QI252" s="1009"/>
      <c r="QJ252" s="1009"/>
      <c r="QK252" s="1009"/>
      <c r="QL252" s="1009"/>
      <c r="QM252" s="1009"/>
      <c r="QN252" s="1009"/>
      <c r="QO252" s="1009"/>
      <c r="QP252" s="1009"/>
      <c r="QQ252" s="1009"/>
      <c r="QR252" s="1009"/>
      <c r="QS252" s="1009"/>
      <c r="QT252" s="1009"/>
      <c r="QU252" s="1009"/>
      <c r="QV252" s="1009"/>
      <c r="QW252" s="1009"/>
      <c r="QX252" s="1009"/>
      <c r="QY252" s="1009"/>
      <c r="QZ252" s="1009"/>
      <c r="RA252" s="1009"/>
      <c r="RB252" s="1009"/>
      <c r="RC252" s="1009"/>
      <c r="RD252" s="1009"/>
      <c r="RE252" s="1009"/>
      <c r="RF252" s="1009"/>
      <c r="RG252" s="1009"/>
      <c r="RH252" s="1009"/>
      <c r="RI252" s="1009"/>
      <c r="RJ252" s="1009"/>
      <c r="RK252" s="1009"/>
      <c r="RL252" s="1009"/>
      <c r="RM252" s="1009"/>
      <c r="RN252" s="1009"/>
      <c r="RO252" s="1009"/>
      <c r="RP252" s="1009"/>
      <c r="RQ252" s="1009"/>
      <c r="RR252" s="1009"/>
      <c r="RS252" s="1009"/>
      <c r="RT252" s="1009"/>
      <c r="RU252" s="1009"/>
      <c r="RV252" s="1009"/>
      <c r="RW252" s="1009"/>
      <c r="RX252" s="1009"/>
      <c r="RY252" s="1009"/>
      <c r="RZ252" s="1009"/>
      <c r="SA252" s="1009"/>
      <c r="SB252" s="1009"/>
      <c r="SC252" s="1009"/>
      <c r="SD252" s="1009"/>
      <c r="SE252" s="1009"/>
      <c r="SF252" s="1009"/>
      <c r="SG252" s="1009"/>
      <c r="SH252" s="1009"/>
      <c r="SI252" s="1009"/>
      <c r="SJ252" s="1009"/>
      <c r="SK252" s="1009"/>
      <c r="SL252" s="1009"/>
      <c r="SM252" s="1009"/>
      <c r="SN252" s="1009"/>
      <c r="SO252" s="1009"/>
      <c r="SP252" s="1009"/>
      <c r="SQ252" s="1009"/>
      <c r="SR252" s="1009"/>
      <c r="SS252" s="1009"/>
      <c r="ST252" s="1009"/>
      <c r="SU252" s="1009"/>
      <c r="SV252" s="1009"/>
      <c r="SW252" s="1009"/>
      <c r="SX252" s="1009"/>
      <c r="SY252" s="1009"/>
      <c r="SZ252" s="1009"/>
      <c r="TA252" s="1009"/>
      <c r="TB252" s="1009"/>
      <c r="TC252" s="1009"/>
      <c r="TD252" s="1009"/>
      <c r="TE252" s="1009"/>
      <c r="TF252" s="1009"/>
      <c r="TG252" s="1009"/>
      <c r="TH252" s="1009"/>
      <c r="TI252" s="1009"/>
      <c r="TJ252" s="1009"/>
      <c r="TK252" s="1009"/>
      <c r="TL252" s="1009"/>
      <c r="TM252" s="1009"/>
      <c r="TN252" s="1009"/>
      <c r="TO252" s="1009"/>
      <c r="TP252" s="1009"/>
      <c r="TQ252" s="1009"/>
      <c r="TR252" s="1009"/>
      <c r="TS252" s="1009"/>
      <c r="TT252" s="1009"/>
      <c r="TU252" s="1009"/>
      <c r="TV252" s="1009"/>
      <c r="TW252" s="1009"/>
      <c r="TX252" s="1009"/>
      <c r="TY252" s="1009"/>
      <c r="TZ252" s="1009"/>
      <c r="UA252" s="1009"/>
      <c r="UB252" s="1009"/>
      <c r="UC252" s="1009"/>
      <c r="UD252" s="1009"/>
      <c r="UE252" s="1009"/>
      <c r="UF252" s="1009"/>
      <c r="UG252" s="1009"/>
      <c r="UH252" s="1009"/>
      <c r="UI252" s="1009"/>
      <c r="UJ252" s="1009"/>
      <c r="UK252" s="1009"/>
      <c r="UL252" s="1009"/>
      <c r="UM252" s="1009"/>
      <c r="UN252" s="1009"/>
      <c r="UO252" s="1009"/>
      <c r="UP252" s="1009"/>
      <c r="UQ252" s="1009"/>
      <c r="UR252" s="1009"/>
      <c r="US252" s="1009"/>
      <c r="UT252" s="1009"/>
      <c r="UU252" s="1009"/>
      <c r="UV252" s="1009"/>
      <c r="UW252" s="1009"/>
      <c r="UX252" s="1009"/>
      <c r="UY252" s="1009"/>
      <c r="UZ252" s="1009"/>
      <c r="VA252" s="1009"/>
      <c r="VB252" s="1009"/>
      <c r="VC252" s="1009"/>
      <c r="VD252" s="1009"/>
      <c r="VE252" s="1009"/>
      <c r="VF252" s="1009"/>
      <c r="VG252" s="1009"/>
      <c r="VH252" s="1009"/>
      <c r="VI252" s="1009"/>
      <c r="VJ252" s="1009"/>
      <c r="VK252" s="1009"/>
      <c r="VL252" s="1009"/>
      <c r="VM252" s="1009"/>
      <c r="VN252" s="1009"/>
      <c r="VO252" s="1009"/>
      <c r="VP252" s="1009"/>
      <c r="VQ252" s="1009"/>
      <c r="VR252" s="1009"/>
      <c r="VS252" s="1009"/>
      <c r="VT252" s="1009"/>
      <c r="VU252" s="1009"/>
      <c r="VV252" s="1009"/>
      <c r="VW252" s="1009"/>
      <c r="VX252" s="1009"/>
      <c r="VY252" s="1009"/>
      <c r="VZ252" s="1009"/>
      <c r="WA252" s="1009"/>
      <c r="WB252" s="1009"/>
      <c r="WC252" s="1009"/>
      <c r="WD252" s="1009"/>
      <c r="WE252" s="1009"/>
      <c r="WF252" s="1009"/>
      <c r="WG252" s="1009"/>
      <c r="WH252" s="1009"/>
      <c r="WI252" s="1009"/>
      <c r="WJ252" s="1009"/>
      <c r="WK252" s="1009"/>
      <c r="WL252" s="1009"/>
      <c r="WM252" s="1009"/>
      <c r="WN252" s="1009"/>
      <c r="WO252" s="1009"/>
      <c r="WP252" s="1009"/>
      <c r="WQ252" s="1009"/>
      <c r="WR252" s="1009"/>
      <c r="WS252" s="1009"/>
      <c r="WT252" s="1009"/>
      <c r="WU252" s="1009"/>
      <c r="WV252" s="1009"/>
      <c r="WW252" s="1009"/>
      <c r="WX252" s="1009"/>
      <c r="WY252" s="1009"/>
      <c r="WZ252" s="1009"/>
      <c r="XA252" s="1009"/>
      <c r="XB252" s="1009"/>
      <c r="XC252" s="1009"/>
      <c r="XD252" s="1009"/>
      <c r="XE252" s="1009"/>
      <c r="XF252" s="1009"/>
      <c r="XG252" s="1009"/>
      <c r="XH252" s="1009"/>
      <c r="XI252" s="1009"/>
      <c r="XJ252" s="1009"/>
      <c r="XK252" s="1009"/>
      <c r="XL252" s="1009"/>
      <c r="XM252" s="1009"/>
      <c r="XN252" s="1009"/>
      <c r="XO252" s="1009"/>
      <c r="XP252" s="1009"/>
      <c r="XQ252" s="1009"/>
      <c r="XR252" s="1009"/>
      <c r="XS252" s="1009"/>
      <c r="XT252" s="1009"/>
      <c r="XU252" s="1009"/>
      <c r="XV252" s="1009"/>
      <c r="XW252" s="1009"/>
      <c r="XX252" s="1009"/>
      <c r="XY252" s="1009"/>
      <c r="XZ252" s="1009"/>
      <c r="YA252" s="1009"/>
      <c r="YB252" s="1009"/>
      <c r="YC252" s="1009"/>
      <c r="YD252" s="1009"/>
      <c r="YE252" s="1009"/>
      <c r="YF252" s="1009"/>
      <c r="YG252" s="1009"/>
      <c r="YH252" s="1009"/>
      <c r="YI252" s="1009"/>
      <c r="YJ252" s="1009"/>
      <c r="YK252" s="1009"/>
      <c r="YL252" s="1009"/>
      <c r="YM252" s="1009"/>
      <c r="YN252" s="1009"/>
      <c r="YO252" s="1009"/>
      <c r="YP252" s="1009"/>
      <c r="YQ252" s="1009"/>
      <c r="YR252" s="1009"/>
      <c r="YS252" s="1009"/>
      <c r="YT252" s="1009"/>
      <c r="YU252" s="1009"/>
      <c r="YV252" s="1009"/>
      <c r="YW252" s="1009"/>
      <c r="YX252" s="1009"/>
      <c r="YY252" s="1009"/>
      <c r="YZ252" s="1009"/>
      <c r="ZA252" s="1009"/>
      <c r="ZB252" s="1009"/>
      <c r="ZC252" s="1009"/>
      <c r="ZD252" s="1009"/>
      <c r="ZE252" s="1009"/>
      <c r="ZF252" s="1009"/>
      <c r="ZG252" s="1009"/>
      <c r="ZH252" s="1009"/>
      <c r="ZI252" s="1009"/>
      <c r="ZJ252" s="1009"/>
      <c r="ZK252" s="1009"/>
      <c r="ZL252" s="1009"/>
      <c r="ZM252" s="1009"/>
      <c r="ZN252" s="1009"/>
      <c r="ZO252" s="1009"/>
      <c r="ZP252" s="1009"/>
      <c r="ZQ252" s="1009"/>
      <c r="ZR252" s="1009"/>
      <c r="ZS252" s="1009"/>
      <c r="ZT252" s="1009"/>
      <c r="ZU252" s="1009"/>
      <c r="ZV252" s="1009"/>
      <c r="ZW252" s="1009"/>
      <c r="ZX252" s="1009"/>
      <c r="ZY252" s="1009"/>
      <c r="ZZ252" s="1009"/>
      <c r="AAA252" s="1009"/>
      <c r="AAB252" s="1009"/>
      <c r="AAC252" s="1009"/>
      <c r="AAD252" s="1009"/>
      <c r="AAE252" s="1009"/>
      <c r="AAF252" s="1009"/>
      <c r="AAG252" s="1009"/>
      <c r="AAH252" s="1009"/>
      <c r="AAI252" s="1009"/>
      <c r="AAJ252" s="1009"/>
      <c r="AAK252" s="1009"/>
      <c r="AAL252" s="1009"/>
      <c r="AAM252" s="1009"/>
      <c r="AAN252" s="1009"/>
      <c r="AAO252" s="1009"/>
      <c r="AAP252" s="1009"/>
      <c r="AAQ252" s="1009"/>
      <c r="AAR252" s="1009"/>
      <c r="AAS252" s="1009"/>
      <c r="AAT252" s="1009"/>
      <c r="AAU252" s="1009"/>
      <c r="AAV252" s="1009"/>
      <c r="AAW252" s="1009"/>
      <c r="AAX252" s="1009"/>
      <c r="AAY252" s="1009"/>
      <c r="AAZ252" s="1009"/>
      <c r="ABA252" s="1009"/>
      <c r="ABB252" s="1009"/>
      <c r="ABC252" s="1009"/>
      <c r="ABD252" s="1009"/>
      <c r="ABE252" s="1009"/>
      <c r="ABF252" s="1009"/>
      <c r="ABG252" s="1009"/>
      <c r="ABH252" s="1009"/>
      <c r="ABI252" s="1009"/>
      <c r="ABJ252" s="1009"/>
      <c r="ABK252" s="1009"/>
      <c r="ABL252" s="1009"/>
      <c r="ABM252" s="1009"/>
      <c r="ABN252" s="1009"/>
      <c r="ABO252" s="1009"/>
      <c r="ABP252" s="1009"/>
      <c r="ABQ252" s="1009"/>
      <c r="ABR252" s="1009"/>
    </row>
    <row r="253" spans="1:746" s="111" customFormat="1" ht="12" customHeight="1">
      <c r="A253" s="2282"/>
      <c r="B253" s="2700" t="s">
        <v>1237</v>
      </c>
      <c r="C253" s="2701"/>
      <c r="D253" s="2701"/>
      <c r="E253" s="2676"/>
      <c r="F253" s="2708"/>
      <c r="G253" s="2708"/>
      <c r="H253" s="2705"/>
      <c r="I253" s="2597"/>
      <c r="J253" s="2327"/>
      <c r="K253" s="2327"/>
      <c r="L253" s="2327"/>
      <c r="M253" s="2327"/>
      <c r="N253" s="2327"/>
      <c r="O253" s="2327"/>
      <c r="P253" s="2327"/>
      <c r="Q253" s="2327"/>
      <c r="R253" s="2327"/>
      <c r="S253" s="2327"/>
      <c r="T253" s="2327"/>
      <c r="U253" s="2327"/>
      <c r="V253" s="2327"/>
      <c r="W253" s="2327"/>
      <c r="X253" s="2327"/>
      <c r="Y253" s="2327"/>
      <c r="Z253" s="2327"/>
      <c r="AA253" s="2327"/>
      <c r="AB253" s="2327"/>
      <c r="AC253" s="2327"/>
      <c r="AD253" s="2327"/>
      <c r="AE253" s="2327"/>
      <c r="AF253" s="2327"/>
      <c r="AG253" s="376"/>
      <c r="AH253" s="786"/>
      <c r="AI253" s="786"/>
      <c r="AJ253" s="901">
        <f>IF(fx!$C$57=1,SUMIF(fx!I$57:T$57,1,I253:T253),IF(fx!$C$57=2,SUMIF(fx!O$57:AF$57,1,O253:AF253)))</f>
        <v>0</v>
      </c>
      <c r="AK253" s="1207"/>
      <c r="AL253" s="902">
        <f>IF(fx!$C$57=1,SUM(U253:AF253),0)</f>
        <v>0</v>
      </c>
      <c r="AM253" s="1009"/>
      <c r="AN253" s="1026"/>
      <c r="AO253" s="1034"/>
      <c r="AP253" s="1084"/>
      <c r="AQ253" s="1084"/>
      <c r="AR253" s="1084"/>
      <c r="AS253" s="1084"/>
      <c r="AT253" s="1084"/>
      <c r="AU253" s="1084"/>
      <c r="AV253" s="1084"/>
      <c r="AW253" s="1084"/>
      <c r="AX253" s="1084"/>
      <c r="AY253" s="1084"/>
      <c r="AZ253" s="1084"/>
      <c r="BA253" s="1084"/>
      <c r="BB253" s="1084"/>
      <c r="BC253" s="1084"/>
      <c r="BD253" s="1084"/>
      <c r="BE253" s="1084"/>
      <c r="BF253" s="1084"/>
      <c r="BG253" s="1084"/>
      <c r="BH253" s="1084"/>
      <c r="BI253" s="1084"/>
      <c r="BJ253" s="1084"/>
      <c r="BK253" s="1084"/>
      <c r="BL253" s="1084"/>
      <c r="BM253" s="1084"/>
      <c r="BN253" s="1084"/>
      <c r="BO253" s="1084"/>
      <c r="BP253" s="1009"/>
      <c r="BQ253" s="1009"/>
      <c r="BR253" s="1009"/>
      <c r="BS253" s="1009"/>
      <c r="BT253" s="1009"/>
      <c r="BU253" s="1009"/>
      <c r="BV253" s="1009"/>
      <c r="BW253" s="1009"/>
      <c r="BX253" s="1009"/>
      <c r="BY253" s="1009"/>
      <c r="BZ253" s="1009"/>
      <c r="CA253" s="1009"/>
      <c r="CB253" s="1009"/>
      <c r="CC253" s="1009"/>
      <c r="CD253" s="1009"/>
      <c r="CE253" s="1009"/>
      <c r="CF253" s="1009"/>
      <c r="CG253" s="1009"/>
      <c r="CH253" s="1009"/>
      <c r="CI253" s="1009"/>
      <c r="CJ253" s="1009"/>
      <c r="CK253" s="1009"/>
      <c r="CL253" s="1009"/>
      <c r="CM253" s="1009"/>
      <c r="CN253" s="1009"/>
      <c r="CO253" s="1009"/>
      <c r="CP253" s="1009"/>
      <c r="CQ253" s="1009"/>
      <c r="CR253" s="1009"/>
      <c r="CS253" s="1009"/>
      <c r="CT253" s="1009"/>
      <c r="CU253" s="1009"/>
      <c r="CV253" s="1009"/>
      <c r="CW253" s="1009"/>
      <c r="CX253" s="1009"/>
      <c r="CY253" s="1009"/>
      <c r="CZ253" s="1009"/>
      <c r="DA253" s="1009"/>
      <c r="DB253" s="1009"/>
      <c r="DC253" s="1009"/>
      <c r="DD253" s="1009"/>
      <c r="DE253" s="1009"/>
      <c r="DF253" s="1009"/>
      <c r="DG253" s="1009"/>
      <c r="DH253" s="1009"/>
      <c r="DI253" s="1009"/>
      <c r="DJ253" s="1009"/>
      <c r="DK253" s="1009"/>
      <c r="DL253" s="1009"/>
      <c r="DM253" s="1009"/>
      <c r="DN253" s="1009"/>
      <c r="DO253" s="1009"/>
      <c r="DP253" s="1009"/>
      <c r="DQ253" s="1009"/>
      <c r="DR253" s="1009"/>
      <c r="DS253" s="1009"/>
      <c r="DT253" s="1009"/>
      <c r="DU253" s="1009"/>
      <c r="DV253" s="1009"/>
      <c r="DW253" s="1009"/>
      <c r="DX253" s="1009"/>
      <c r="DY253" s="1009"/>
      <c r="DZ253" s="1009"/>
      <c r="EA253" s="1009"/>
      <c r="EB253" s="1009"/>
      <c r="EC253" s="1009"/>
      <c r="ED253" s="1009"/>
      <c r="EE253" s="1009"/>
      <c r="EF253" s="1009"/>
      <c r="EG253" s="1009"/>
      <c r="EH253" s="1009"/>
      <c r="EI253" s="1009"/>
      <c r="EJ253" s="1009"/>
      <c r="EK253" s="1009"/>
      <c r="EL253" s="1009"/>
      <c r="EM253" s="1009"/>
      <c r="EN253" s="1009"/>
      <c r="EO253" s="1009"/>
      <c r="EP253" s="1009"/>
      <c r="EQ253" s="1009"/>
      <c r="ER253" s="1009"/>
      <c r="ES253" s="1009"/>
      <c r="ET253" s="1009"/>
      <c r="EU253" s="1009"/>
      <c r="EV253" s="1009"/>
      <c r="EW253" s="1009"/>
      <c r="EX253" s="1009"/>
      <c r="EY253" s="1009"/>
      <c r="EZ253" s="1009"/>
      <c r="FA253" s="1009"/>
      <c r="FB253" s="1009"/>
      <c r="FC253" s="1009"/>
      <c r="FD253" s="1009"/>
      <c r="FE253" s="1009"/>
      <c r="FF253" s="1009"/>
      <c r="FG253" s="1009"/>
      <c r="FH253" s="1009"/>
      <c r="FI253" s="1009"/>
      <c r="FJ253" s="1009"/>
      <c r="FK253" s="1009"/>
      <c r="FL253" s="1009"/>
      <c r="FM253" s="1009"/>
      <c r="FN253" s="1009"/>
      <c r="FO253" s="1009"/>
      <c r="FP253" s="1009"/>
      <c r="FQ253" s="1009"/>
      <c r="FR253" s="1009"/>
      <c r="FS253" s="1009"/>
      <c r="FT253" s="1009"/>
      <c r="FU253" s="1009"/>
      <c r="FV253" s="1009"/>
      <c r="FW253" s="1009"/>
      <c r="FX253" s="1009"/>
      <c r="FY253" s="1009"/>
      <c r="FZ253" s="1009"/>
      <c r="GA253" s="1009"/>
      <c r="GB253" s="1009"/>
      <c r="GC253" s="1009"/>
      <c r="GD253" s="1009"/>
      <c r="GE253" s="1009"/>
      <c r="GF253" s="1009"/>
      <c r="GG253" s="1009"/>
      <c r="GH253" s="1009"/>
      <c r="GI253" s="1009"/>
      <c r="GJ253" s="1009"/>
      <c r="GK253" s="1009"/>
      <c r="GL253" s="1009"/>
      <c r="GM253" s="1009"/>
      <c r="GN253" s="1009"/>
      <c r="GO253" s="1009"/>
      <c r="GP253" s="1009"/>
      <c r="GQ253" s="1009"/>
      <c r="GR253" s="1009"/>
      <c r="GS253" s="1009"/>
      <c r="GT253" s="1009"/>
      <c r="GU253" s="1009"/>
      <c r="GV253" s="1009"/>
      <c r="GW253" s="1009"/>
      <c r="GX253" s="1009"/>
      <c r="GY253" s="1009"/>
      <c r="GZ253" s="1009"/>
      <c r="HA253" s="1009"/>
      <c r="HB253" s="1009"/>
      <c r="HC253" s="1009"/>
      <c r="HD253" s="1009"/>
      <c r="HE253" s="1009"/>
      <c r="HF253" s="1009"/>
      <c r="HG253" s="1009"/>
      <c r="HH253" s="1009"/>
      <c r="HI253" s="1009"/>
      <c r="HJ253" s="1009"/>
      <c r="HK253" s="1009"/>
      <c r="HL253" s="1009"/>
      <c r="HM253" s="1009"/>
      <c r="HN253" s="1009"/>
      <c r="HO253" s="1009"/>
      <c r="HP253" s="1009"/>
      <c r="HQ253" s="1009"/>
      <c r="HR253" s="1009"/>
      <c r="HS253" s="1009"/>
      <c r="HT253" s="1009"/>
      <c r="HU253" s="1009"/>
      <c r="HV253" s="1009"/>
      <c r="HW253" s="1009"/>
      <c r="HX253" s="1009"/>
      <c r="HY253" s="1009"/>
      <c r="HZ253" s="1009"/>
      <c r="IA253" s="1009"/>
      <c r="IB253" s="1009"/>
      <c r="IC253" s="1009"/>
      <c r="ID253" s="1009"/>
      <c r="IE253" s="1009"/>
      <c r="IF253" s="1009"/>
      <c r="IG253" s="1009"/>
      <c r="IH253" s="1009"/>
      <c r="II253" s="1009"/>
      <c r="IJ253" s="1009"/>
      <c r="IK253" s="1009"/>
      <c r="IL253" s="1009"/>
      <c r="IM253" s="1009"/>
      <c r="IN253" s="1009"/>
      <c r="IO253" s="1009"/>
      <c r="IP253" s="1009"/>
      <c r="IQ253" s="1009"/>
      <c r="IR253" s="1009"/>
      <c r="IS253" s="1009"/>
      <c r="IT253" s="1009"/>
      <c r="IU253" s="1009"/>
      <c r="IV253" s="1009"/>
      <c r="IW253" s="1009"/>
      <c r="IX253" s="1009"/>
      <c r="IY253" s="1009"/>
      <c r="IZ253" s="1009"/>
      <c r="JA253" s="1009"/>
      <c r="JB253" s="1009"/>
      <c r="JC253" s="1009"/>
      <c r="JD253" s="1009"/>
      <c r="JE253" s="1009"/>
      <c r="JF253" s="1009"/>
      <c r="JG253" s="1009"/>
      <c r="JH253" s="1009"/>
      <c r="JI253" s="1009"/>
      <c r="JJ253" s="1009"/>
      <c r="JK253" s="1009"/>
      <c r="JL253" s="1009"/>
      <c r="JM253" s="1009"/>
      <c r="JN253" s="1009"/>
      <c r="JO253" s="1009"/>
      <c r="JP253" s="1009"/>
      <c r="JQ253" s="1009"/>
      <c r="JR253" s="1009"/>
      <c r="JS253" s="1009"/>
      <c r="JT253" s="1009"/>
      <c r="JU253" s="1009"/>
      <c r="JV253" s="1009"/>
      <c r="JW253" s="1009"/>
      <c r="JX253" s="1009"/>
      <c r="JY253" s="1009"/>
      <c r="JZ253" s="1009"/>
      <c r="KA253" s="1009"/>
      <c r="KB253" s="1009"/>
      <c r="KC253" s="1009"/>
      <c r="KD253" s="1009"/>
      <c r="KE253" s="1009"/>
      <c r="KF253" s="1009"/>
      <c r="KG253" s="1009"/>
      <c r="KH253" s="1009"/>
      <c r="KI253" s="1009"/>
      <c r="KJ253" s="1009"/>
      <c r="KK253" s="1009"/>
      <c r="KL253" s="1009"/>
      <c r="KM253" s="1009"/>
      <c r="KN253" s="1009"/>
      <c r="KO253" s="1009"/>
      <c r="KP253" s="1009"/>
      <c r="KQ253" s="1009"/>
      <c r="KR253" s="1009"/>
      <c r="KS253" s="1009"/>
      <c r="KT253" s="1009"/>
      <c r="KU253" s="1009"/>
      <c r="KV253" s="1009"/>
      <c r="KW253" s="1009"/>
      <c r="KX253" s="1009"/>
      <c r="KY253" s="1009"/>
      <c r="KZ253" s="1009"/>
      <c r="LA253" s="1009"/>
      <c r="LB253" s="1009"/>
      <c r="LC253" s="1009"/>
      <c r="LD253" s="1009"/>
      <c r="LE253" s="1009"/>
      <c r="LF253" s="1009"/>
      <c r="LG253" s="1009"/>
      <c r="LH253" s="1009"/>
      <c r="LI253" s="1009"/>
      <c r="LJ253" s="1009"/>
      <c r="LK253" s="1009"/>
      <c r="LL253" s="1009"/>
      <c r="LM253" s="1009"/>
      <c r="LN253" s="1009"/>
      <c r="LO253" s="1009"/>
      <c r="LP253" s="1009"/>
      <c r="LQ253" s="1009"/>
      <c r="LR253" s="1009"/>
      <c r="LS253" s="1009"/>
      <c r="LT253" s="1009"/>
      <c r="LU253" s="1009"/>
      <c r="LV253" s="1009"/>
      <c r="LW253" s="1009"/>
      <c r="LX253" s="1009"/>
      <c r="LY253" s="1009"/>
      <c r="LZ253" s="1009"/>
      <c r="MA253" s="1009"/>
      <c r="MB253" s="1009"/>
      <c r="MC253" s="1009"/>
      <c r="MD253" s="1009"/>
      <c r="ME253" s="1009"/>
      <c r="MF253" s="1009"/>
      <c r="MG253" s="1009"/>
      <c r="MH253" s="1009"/>
      <c r="MI253" s="1009"/>
      <c r="MJ253" s="1009"/>
      <c r="MK253" s="1009"/>
      <c r="ML253" s="1009"/>
      <c r="MM253" s="1009"/>
      <c r="MN253" s="1009"/>
      <c r="MO253" s="1009"/>
      <c r="MP253" s="1009"/>
      <c r="MQ253" s="1009"/>
      <c r="MR253" s="1009"/>
      <c r="MS253" s="1009"/>
      <c r="MT253" s="1009"/>
      <c r="MU253" s="1009"/>
      <c r="MV253" s="1009"/>
      <c r="MW253" s="1009"/>
      <c r="MX253" s="1009"/>
      <c r="MY253" s="1009"/>
      <c r="MZ253" s="1009"/>
      <c r="NA253" s="1009"/>
      <c r="NB253" s="1009"/>
      <c r="NC253" s="1009"/>
      <c r="ND253" s="1009"/>
      <c r="NE253" s="1009"/>
      <c r="NF253" s="1009"/>
      <c r="NG253" s="1009"/>
      <c r="NH253" s="1009"/>
      <c r="NI253" s="1009"/>
      <c r="NJ253" s="1009"/>
      <c r="NK253" s="1009"/>
      <c r="NL253" s="1009"/>
      <c r="NM253" s="1009"/>
      <c r="NN253" s="1009"/>
      <c r="NO253" s="1009"/>
      <c r="NP253" s="1009"/>
      <c r="NQ253" s="1009"/>
      <c r="NR253" s="1009"/>
      <c r="NS253" s="1009"/>
      <c r="NT253" s="1009"/>
      <c r="NU253" s="1009"/>
      <c r="NV253" s="1009"/>
      <c r="NW253" s="1009"/>
      <c r="NX253" s="1009"/>
      <c r="NY253" s="1009"/>
      <c r="NZ253" s="1009"/>
      <c r="OA253" s="1009"/>
      <c r="OB253" s="1009"/>
      <c r="OC253" s="1009"/>
      <c r="OD253" s="1009"/>
      <c r="OE253" s="1009"/>
      <c r="OF253" s="1009"/>
      <c r="OG253" s="1009"/>
      <c r="OH253" s="1009"/>
      <c r="OI253" s="1009"/>
      <c r="OJ253" s="1009"/>
      <c r="OK253" s="1009"/>
      <c r="OL253" s="1009"/>
      <c r="OM253" s="1009"/>
      <c r="ON253" s="1009"/>
      <c r="OO253" s="1009"/>
      <c r="OP253" s="1009"/>
      <c r="OQ253" s="1009"/>
      <c r="OR253" s="1009"/>
      <c r="OS253" s="1009"/>
      <c r="OT253" s="1009"/>
      <c r="OU253" s="1009"/>
      <c r="OV253" s="1009"/>
      <c r="OW253" s="1009"/>
      <c r="OX253" s="1009"/>
      <c r="OY253" s="1009"/>
      <c r="OZ253" s="1009"/>
      <c r="PA253" s="1009"/>
      <c r="PB253" s="1009"/>
      <c r="PC253" s="1009"/>
      <c r="PD253" s="1009"/>
      <c r="PE253" s="1009"/>
      <c r="PF253" s="1009"/>
      <c r="PG253" s="1009"/>
      <c r="PH253" s="1009"/>
      <c r="PI253" s="1009"/>
      <c r="PJ253" s="1009"/>
      <c r="PK253" s="1009"/>
      <c r="PL253" s="1009"/>
      <c r="PM253" s="1009"/>
      <c r="PN253" s="1009"/>
      <c r="PO253" s="1009"/>
      <c r="PP253" s="1009"/>
      <c r="PQ253" s="1009"/>
      <c r="PR253" s="1009"/>
      <c r="PS253" s="1009"/>
      <c r="PT253" s="1009"/>
      <c r="PU253" s="1009"/>
      <c r="PV253" s="1009"/>
      <c r="PW253" s="1009"/>
      <c r="PX253" s="1009"/>
      <c r="PY253" s="1009"/>
      <c r="PZ253" s="1009"/>
      <c r="QA253" s="1009"/>
      <c r="QB253" s="1009"/>
      <c r="QC253" s="1009"/>
      <c r="QD253" s="1009"/>
      <c r="QE253" s="1009"/>
      <c r="QF253" s="1009"/>
      <c r="QG253" s="1009"/>
      <c r="QH253" s="1009"/>
      <c r="QI253" s="1009"/>
      <c r="QJ253" s="1009"/>
      <c r="QK253" s="1009"/>
      <c r="QL253" s="1009"/>
      <c r="QM253" s="1009"/>
      <c r="QN253" s="1009"/>
      <c r="QO253" s="1009"/>
      <c r="QP253" s="1009"/>
      <c r="QQ253" s="1009"/>
      <c r="QR253" s="1009"/>
      <c r="QS253" s="1009"/>
      <c r="QT253" s="1009"/>
      <c r="QU253" s="1009"/>
      <c r="QV253" s="1009"/>
      <c r="QW253" s="1009"/>
      <c r="QX253" s="1009"/>
      <c r="QY253" s="1009"/>
      <c r="QZ253" s="1009"/>
      <c r="RA253" s="1009"/>
      <c r="RB253" s="1009"/>
      <c r="RC253" s="1009"/>
      <c r="RD253" s="1009"/>
      <c r="RE253" s="1009"/>
      <c r="RF253" s="1009"/>
      <c r="RG253" s="1009"/>
      <c r="RH253" s="1009"/>
      <c r="RI253" s="1009"/>
      <c r="RJ253" s="1009"/>
      <c r="RK253" s="1009"/>
      <c r="RL253" s="1009"/>
      <c r="RM253" s="1009"/>
      <c r="RN253" s="1009"/>
      <c r="RO253" s="1009"/>
      <c r="RP253" s="1009"/>
      <c r="RQ253" s="1009"/>
      <c r="RR253" s="1009"/>
      <c r="RS253" s="1009"/>
      <c r="RT253" s="1009"/>
      <c r="RU253" s="1009"/>
      <c r="RV253" s="1009"/>
      <c r="RW253" s="1009"/>
      <c r="RX253" s="1009"/>
      <c r="RY253" s="1009"/>
      <c r="RZ253" s="1009"/>
      <c r="SA253" s="1009"/>
      <c r="SB253" s="1009"/>
      <c r="SC253" s="1009"/>
      <c r="SD253" s="1009"/>
      <c r="SE253" s="1009"/>
      <c r="SF253" s="1009"/>
      <c r="SG253" s="1009"/>
      <c r="SH253" s="1009"/>
      <c r="SI253" s="1009"/>
      <c r="SJ253" s="1009"/>
      <c r="SK253" s="1009"/>
      <c r="SL253" s="1009"/>
      <c r="SM253" s="1009"/>
      <c r="SN253" s="1009"/>
      <c r="SO253" s="1009"/>
      <c r="SP253" s="1009"/>
      <c r="SQ253" s="1009"/>
      <c r="SR253" s="1009"/>
      <c r="SS253" s="1009"/>
      <c r="ST253" s="1009"/>
      <c r="SU253" s="1009"/>
      <c r="SV253" s="1009"/>
      <c r="SW253" s="1009"/>
      <c r="SX253" s="1009"/>
      <c r="SY253" s="1009"/>
      <c r="SZ253" s="1009"/>
      <c r="TA253" s="1009"/>
      <c r="TB253" s="1009"/>
      <c r="TC253" s="1009"/>
      <c r="TD253" s="1009"/>
      <c r="TE253" s="1009"/>
      <c r="TF253" s="1009"/>
      <c r="TG253" s="1009"/>
      <c r="TH253" s="1009"/>
      <c r="TI253" s="1009"/>
      <c r="TJ253" s="1009"/>
      <c r="TK253" s="1009"/>
      <c r="TL253" s="1009"/>
      <c r="TM253" s="1009"/>
      <c r="TN253" s="1009"/>
      <c r="TO253" s="1009"/>
      <c r="TP253" s="1009"/>
      <c r="TQ253" s="1009"/>
      <c r="TR253" s="1009"/>
      <c r="TS253" s="1009"/>
      <c r="TT253" s="1009"/>
      <c r="TU253" s="1009"/>
      <c r="TV253" s="1009"/>
      <c r="TW253" s="1009"/>
      <c r="TX253" s="1009"/>
      <c r="TY253" s="1009"/>
      <c r="TZ253" s="1009"/>
      <c r="UA253" s="1009"/>
      <c r="UB253" s="1009"/>
      <c r="UC253" s="1009"/>
      <c r="UD253" s="1009"/>
      <c r="UE253" s="1009"/>
      <c r="UF253" s="1009"/>
      <c r="UG253" s="1009"/>
      <c r="UH253" s="1009"/>
      <c r="UI253" s="1009"/>
      <c r="UJ253" s="1009"/>
      <c r="UK253" s="1009"/>
      <c r="UL253" s="1009"/>
      <c r="UM253" s="1009"/>
      <c r="UN253" s="1009"/>
      <c r="UO253" s="1009"/>
      <c r="UP253" s="1009"/>
      <c r="UQ253" s="1009"/>
      <c r="UR253" s="1009"/>
      <c r="US253" s="1009"/>
      <c r="UT253" s="1009"/>
      <c r="UU253" s="1009"/>
      <c r="UV253" s="1009"/>
      <c r="UW253" s="1009"/>
      <c r="UX253" s="1009"/>
      <c r="UY253" s="1009"/>
      <c r="UZ253" s="1009"/>
      <c r="VA253" s="1009"/>
      <c r="VB253" s="1009"/>
      <c r="VC253" s="1009"/>
      <c r="VD253" s="1009"/>
      <c r="VE253" s="1009"/>
      <c r="VF253" s="1009"/>
      <c r="VG253" s="1009"/>
      <c r="VH253" s="1009"/>
      <c r="VI253" s="1009"/>
      <c r="VJ253" s="1009"/>
      <c r="VK253" s="1009"/>
      <c r="VL253" s="1009"/>
      <c r="VM253" s="1009"/>
      <c r="VN253" s="1009"/>
      <c r="VO253" s="1009"/>
      <c r="VP253" s="1009"/>
      <c r="VQ253" s="1009"/>
      <c r="VR253" s="1009"/>
      <c r="VS253" s="1009"/>
      <c r="VT253" s="1009"/>
      <c r="VU253" s="1009"/>
      <c r="VV253" s="1009"/>
      <c r="VW253" s="1009"/>
      <c r="VX253" s="1009"/>
      <c r="VY253" s="1009"/>
      <c r="VZ253" s="1009"/>
      <c r="WA253" s="1009"/>
      <c r="WB253" s="1009"/>
      <c r="WC253" s="1009"/>
      <c r="WD253" s="1009"/>
      <c r="WE253" s="1009"/>
      <c r="WF253" s="1009"/>
      <c r="WG253" s="1009"/>
      <c r="WH253" s="1009"/>
      <c r="WI253" s="1009"/>
      <c r="WJ253" s="1009"/>
      <c r="WK253" s="1009"/>
      <c r="WL253" s="1009"/>
      <c r="WM253" s="1009"/>
      <c r="WN253" s="1009"/>
      <c r="WO253" s="1009"/>
      <c r="WP253" s="1009"/>
      <c r="WQ253" s="1009"/>
      <c r="WR253" s="1009"/>
      <c r="WS253" s="1009"/>
      <c r="WT253" s="1009"/>
      <c r="WU253" s="1009"/>
      <c r="WV253" s="1009"/>
      <c r="WW253" s="1009"/>
      <c r="WX253" s="1009"/>
      <c r="WY253" s="1009"/>
      <c r="WZ253" s="1009"/>
      <c r="XA253" s="1009"/>
      <c r="XB253" s="1009"/>
      <c r="XC253" s="1009"/>
      <c r="XD253" s="1009"/>
      <c r="XE253" s="1009"/>
      <c r="XF253" s="1009"/>
      <c r="XG253" s="1009"/>
      <c r="XH253" s="1009"/>
      <c r="XI253" s="1009"/>
      <c r="XJ253" s="1009"/>
      <c r="XK253" s="1009"/>
      <c r="XL253" s="1009"/>
      <c r="XM253" s="1009"/>
      <c r="XN253" s="1009"/>
      <c r="XO253" s="1009"/>
      <c r="XP253" s="1009"/>
      <c r="XQ253" s="1009"/>
      <c r="XR253" s="1009"/>
      <c r="XS253" s="1009"/>
      <c r="XT253" s="1009"/>
      <c r="XU253" s="1009"/>
      <c r="XV253" s="1009"/>
      <c r="XW253" s="1009"/>
      <c r="XX253" s="1009"/>
      <c r="XY253" s="1009"/>
      <c r="XZ253" s="1009"/>
      <c r="YA253" s="1009"/>
      <c r="YB253" s="1009"/>
      <c r="YC253" s="1009"/>
      <c r="YD253" s="1009"/>
      <c r="YE253" s="1009"/>
      <c r="YF253" s="1009"/>
      <c r="YG253" s="1009"/>
      <c r="YH253" s="1009"/>
      <c r="YI253" s="1009"/>
      <c r="YJ253" s="1009"/>
      <c r="YK253" s="1009"/>
      <c r="YL253" s="1009"/>
      <c r="YM253" s="1009"/>
      <c r="YN253" s="1009"/>
      <c r="YO253" s="1009"/>
      <c r="YP253" s="1009"/>
      <c r="YQ253" s="1009"/>
      <c r="YR253" s="1009"/>
      <c r="YS253" s="1009"/>
      <c r="YT253" s="1009"/>
      <c r="YU253" s="1009"/>
      <c r="YV253" s="1009"/>
      <c r="YW253" s="1009"/>
      <c r="YX253" s="1009"/>
      <c r="YY253" s="1009"/>
      <c r="YZ253" s="1009"/>
      <c r="ZA253" s="1009"/>
      <c r="ZB253" s="1009"/>
      <c r="ZC253" s="1009"/>
      <c r="ZD253" s="1009"/>
      <c r="ZE253" s="1009"/>
      <c r="ZF253" s="1009"/>
      <c r="ZG253" s="1009"/>
      <c r="ZH253" s="1009"/>
      <c r="ZI253" s="1009"/>
      <c r="ZJ253" s="1009"/>
      <c r="ZK253" s="1009"/>
      <c r="ZL253" s="1009"/>
      <c r="ZM253" s="1009"/>
      <c r="ZN253" s="1009"/>
      <c r="ZO253" s="1009"/>
      <c r="ZP253" s="1009"/>
      <c r="ZQ253" s="1009"/>
      <c r="ZR253" s="1009"/>
      <c r="ZS253" s="1009"/>
      <c r="ZT253" s="1009"/>
      <c r="ZU253" s="1009"/>
      <c r="ZV253" s="1009"/>
      <c r="ZW253" s="1009"/>
      <c r="ZX253" s="1009"/>
      <c r="ZY253" s="1009"/>
      <c r="ZZ253" s="1009"/>
      <c r="AAA253" s="1009"/>
      <c r="AAB253" s="1009"/>
      <c r="AAC253" s="1009"/>
      <c r="AAD253" s="1009"/>
      <c r="AAE253" s="1009"/>
      <c r="AAF253" s="1009"/>
      <c r="AAG253" s="1009"/>
      <c r="AAH253" s="1009"/>
      <c r="AAI253" s="1009"/>
      <c r="AAJ253" s="1009"/>
      <c r="AAK253" s="1009"/>
      <c r="AAL253" s="1009"/>
      <c r="AAM253" s="1009"/>
      <c r="AAN253" s="1009"/>
      <c r="AAO253" s="1009"/>
      <c r="AAP253" s="1009"/>
      <c r="AAQ253" s="1009"/>
      <c r="AAR253" s="1009"/>
      <c r="AAS253" s="1009"/>
      <c r="AAT253" s="1009"/>
      <c r="AAU253" s="1009"/>
      <c r="AAV253" s="1009"/>
      <c r="AAW253" s="1009"/>
      <c r="AAX253" s="1009"/>
      <c r="AAY253" s="1009"/>
      <c r="AAZ253" s="1009"/>
      <c r="ABA253" s="1009"/>
      <c r="ABB253" s="1009"/>
      <c r="ABC253" s="1009"/>
      <c r="ABD253" s="1009"/>
      <c r="ABE253" s="1009"/>
      <c r="ABF253" s="1009"/>
      <c r="ABG253" s="1009"/>
      <c r="ABH253" s="1009"/>
      <c r="ABI253" s="1009"/>
      <c r="ABJ253" s="1009"/>
      <c r="ABK253" s="1009"/>
      <c r="ABL253" s="1009"/>
      <c r="ABM253" s="1009"/>
      <c r="ABN253" s="1009"/>
      <c r="ABO253" s="1009"/>
      <c r="ABP253" s="1009"/>
      <c r="ABQ253" s="1009"/>
      <c r="ABR253" s="1009"/>
    </row>
    <row r="254" spans="1:746" s="111" customFormat="1" ht="12" customHeight="1">
      <c r="A254" s="2282"/>
      <c r="B254" s="2702" t="s">
        <v>1469</v>
      </c>
      <c r="C254" s="2703"/>
      <c r="D254" s="2703"/>
      <c r="E254" s="2709"/>
      <c r="F254" s="2709"/>
      <c r="G254" s="2709"/>
      <c r="H254" s="2706"/>
      <c r="I254" s="345">
        <f>(I246+I253)*fx!I57</f>
        <v>0</v>
      </c>
      <c r="J254" s="345">
        <f>(J246+J253)*fx!J57</f>
        <v>0</v>
      </c>
      <c r="K254" s="345">
        <f>(K246+K253)*fx!K57</f>
        <v>0</v>
      </c>
      <c r="L254" s="345">
        <f>(L246+L253)*fx!L57</f>
        <v>0</v>
      </c>
      <c r="M254" s="345">
        <f>(M246+M253)*fx!M57</f>
        <v>0</v>
      </c>
      <c r="N254" s="345">
        <f>(N246+N253)*fx!N57</f>
        <v>0</v>
      </c>
      <c r="O254" s="345">
        <f>(O246+O253)*fx!O57</f>
        <v>0</v>
      </c>
      <c r="P254" s="345">
        <f>(P246+P253)*fx!P57</f>
        <v>0</v>
      </c>
      <c r="Q254" s="345">
        <f>(Q246+Q253)*fx!Q57</f>
        <v>0</v>
      </c>
      <c r="R254" s="345">
        <f>(R246+R253)*fx!R57</f>
        <v>0</v>
      </c>
      <c r="S254" s="345">
        <f>(S246+S253)*fx!S57</f>
        <v>0</v>
      </c>
      <c r="T254" s="345">
        <f>(T246+T253)*fx!T57</f>
        <v>0</v>
      </c>
      <c r="U254" s="345">
        <f>(U246+U253)*fx!U57</f>
        <v>0</v>
      </c>
      <c r="V254" s="345">
        <f>(V246+V253)*fx!V57</f>
        <v>0</v>
      </c>
      <c r="W254" s="345">
        <f>(W246+W253)*fx!W57</f>
        <v>0</v>
      </c>
      <c r="X254" s="345">
        <f>(X246+X253)*fx!X57</f>
        <v>0</v>
      </c>
      <c r="Y254" s="345">
        <f>(Y246+Y253)*fx!Y57</f>
        <v>0</v>
      </c>
      <c r="Z254" s="345">
        <f>(Z246+Z253)*fx!Z57</f>
        <v>0</v>
      </c>
      <c r="AA254" s="345">
        <f>(AA246+AA253)*fx!AA57</f>
        <v>0</v>
      </c>
      <c r="AB254" s="345">
        <f>(AB246+AB253)*fx!AB57</f>
        <v>0</v>
      </c>
      <c r="AC254" s="345">
        <f>(AC246+AC253)*fx!AC57</f>
        <v>0</v>
      </c>
      <c r="AD254" s="345">
        <f>(AD246+AD253)*fx!AD57</f>
        <v>0</v>
      </c>
      <c r="AE254" s="345">
        <f>(AE246+AE253)*fx!AE57</f>
        <v>0</v>
      </c>
      <c r="AF254" s="345">
        <f>(AF246+AF253)*fx!AF57</f>
        <v>0</v>
      </c>
      <c r="AG254" s="376"/>
      <c r="AH254" s="786"/>
      <c r="AI254" s="786"/>
      <c r="AJ254" s="901">
        <f>IF(fx!$C$57=1,SUMIF(fx!I$57:T$57,1,I254:T254),IF(fx!$C$57=2,SUMIF(fx!O$57:AF$57,1,O254:AF254)))</f>
        <v>0</v>
      </c>
      <c r="AK254" s="1207"/>
      <c r="AL254" s="902">
        <f>IF(fx!$C$57=1,SUM(U254:AF254),0)</f>
        <v>0</v>
      </c>
      <c r="AM254" s="1009"/>
      <c r="AN254" s="1026"/>
      <c r="AO254" s="1034"/>
      <c r="AP254" s="1084"/>
      <c r="AQ254" s="1084"/>
      <c r="AR254" s="1084"/>
      <c r="AS254" s="1084"/>
      <c r="AT254" s="1084"/>
      <c r="AU254" s="1084"/>
      <c r="AV254" s="1084"/>
      <c r="AW254" s="1084"/>
      <c r="AX254" s="1084"/>
      <c r="AY254" s="1084"/>
      <c r="AZ254" s="1084"/>
      <c r="BA254" s="1084"/>
      <c r="BB254" s="1084"/>
      <c r="BC254" s="1084"/>
      <c r="BD254" s="1084"/>
      <c r="BE254" s="1084"/>
      <c r="BF254" s="1084"/>
      <c r="BG254" s="1084"/>
      <c r="BH254" s="1084"/>
      <c r="BI254" s="1084"/>
      <c r="BJ254" s="1084"/>
      <c r="BK254" s="1084"/>
      <c r="BL254" s="1084"/>
      <c r="BM254" s="1084"/>
      <c r="BN254" s="1084"/>
      <c r="BO254" s="1084"/>
      <c r="BP254" s="1009"/>
      <c r="BQ254" s="1009"/>
      <c r="BR254" s="1009"/>
      <c r="BS254" s="1009"/>
      <c r="BT254" s="1009"/>
      <c r="BU254" s="1009"/>
      <c r="BV254" s="1009"/>
      <c r="BW254" s="1009"/>
      <c r="BX254" s="1009"/>
      <c r="BY254" s="1009"/>
      <c r="BZ254" s="1009"/>
      <c r="CA254" s="1009"/>
      <c r="CB254" s="1009"/>
      <c r="CC254" s="1009"/>
      <c r="CD254" s="1009"/>
      <c r="CE254" s="1009"/>
      <c r="CF254" s="1009"/>
      <c r="CG254" s="1009"/>
      <c r="CH254" s="1009"/>
      <c r="CI254" s="1009"/>
      <c r="CJ254" s="1009"/>
      <c r="CK254" s="1009"/>
      <c r="CL254" s="1009"/>
      <c r="CM254" s="1009"/>
      <c r="CN254" s="1009"/>
      <c r="CO254" s="1009"/>
      <c r="CP254" s="1009"/>
      <c r="CQ254" s="1009"/>
      <c r="CR254" s="1009"/>
      <c r="CS254" s="1009"/>
      <c r="CT254" s="1009"/>
      <c r="CU254" s="1009"/>
      <c r="CV254" s="1009"/>
      <c r="CW254" s="1009"/>
      <c r="CX254" s="1009"/>
      <c r="CY254" s="1009"/>
      <c r="CZ254" s="1009"/>
      <c r="DA254" s="1009"/>
      <c r="DB254" s="1009"/>
      <c r="DC254" s="1009"/>
      <c r="DD254" s="1009"/>
      <c r="DE254" s="1009"/>
      <c r="DF254" s="1009"/>
      <c r="DG254" s="1009"/>
      <c r="DH254" s="1009"/>
      <c r="DI254" s="1009"/>
      <c r="DJ254" s="1009"/>
      <c r="DK254" s="1009"/>
      <c r="DL254" s="1009"/>
      <c r="DM254" s="1009"/>
      <c r="DN254" s="1009"/>
      <c r="DO254" s="1009"/>
      <c r="DP254" s="1009"/>
      <c r="DQ254" s="1009"/>
      <c r="DR254" s="1009"/>
      <c r="DS254" s="1009"/>
      <c r="DT254" s="1009"/>
      <c r="DU254" s="1009"/>
      <c r="DV254" s="1009"/>
      <c r="DW254" s="1009"/>
      <c r="DX254" s="1009"/>
      <c r="DY254" s="1009"/>
      <c r="DZ254" s="1009"/>
      <c r="EA254" s="1009"/>
      <c r="EB254" s="1009"/>
      <c r="EC254" s="1009"/>
      <c r="ED254" s="1009"/>
      <c r="EE254" s="1009"/>
      <c r="EF254" s="1009"/>
      <c r="EG254" s="1009"/>
      <c r="EH254" s="1009"/>
      <c r="EI254" s="1009"/>
      <c r="EJ254" s="1009"/>
      <c r="EK254" s="1009"/>
      <c r="EL254" s="1009"/>
      <c r="EM254" s="1009"/>
      <c r="EN254" s="1009"/>
      <c r="EO254" s="1009"/>
      <c r="EP254" s="1009"/>
      <c r="EQ254" s="1009"/>
      <c r="ER254" s="1009"/>
      <c r="ES254" s="1009"/>
      <c r="ET254" s="1009"/>
      <c r="EU254" s="1009"/>
      <c r="EV254" s="1009"/>
      <c r="EW254" s="1009"/>
      <c r="EX254" s="1009"/>
      <c r="EY254" s="1009"/>
      <c r="EZ254" s="1009"/>
      <c r="FA254" s="1009"/>
      <c r="FB254" s="1009"/>
      <c r="FC254" s="1009"/>
      <c r="FD254" s="1009"/>
      <c r="FE254" s="1009"/>
      <c r="FF254" s="1009"/>
      <c r="FG254" s="1009"/>
      <c r="FH254" s="1009"/>
      <c r="FI254" s="1009"/>
      <c r="FJ254" s="1009"/>
      <c r="FK254" s="1009"/>
      <c r="FL254" s="1009"/>
      <c r="FM254" s="1009"/>
      <c r="FN254" s="1009"/>
      <c r="FO254" s="1009"/>
      <c r="FP254" s="1009"/>
      <c r="FQ254" s="1009"/>
      <c r="FR254" s="1009"/>
      <c r="FS254" s="1009"/>
      <c r="FT254" s="1009"/>
      <c r="FU254" s="1009"/>
      <c r="FV254" s="1009"/>
      <c r="FW254" s="1009"/>
      <c r="FX254" s="1009"/>
      <c r="FY254" s="1009"/>
      <c r="FZ254" s="1009"/>
      <c r="GA254" s="1009"/>
      <c r="GB254" s="1009"/>
      <c r="GC254" s="1009"/>
      <c r="GD254" s="1009"/>
      <c r="GE254" s="1009"/>
      <c r="GF254" s="1009"/>
      <c r="GG254" s="1009"/>
      <c r="GH254" s="1009"/>
      <c r="GI254" s="1009"/>
      <c r="GJ254" s="1009"/>
      <c r="GK254" s="1009"/>
      <c r="GL254" s="1009"/>
      <c r="GM254" s="1009"/>
      <c r="GN254" s="1009"/>
      <c r="GO254" s="1009"/>
      <c r="GP254" s="1009"/>
      <c r="GQ254" s="1009"/>
      <c r="GR254" s="1009"/>
      <c r="GS254" s="1009"/>
      <c r="GT254" s="1009"/>
      <c r="GU254" s="1009"/>
      <c r="GV254" s="1009"/>
      <c r="GW254" s="1009"/>
      <c r="GX254" s="1009"/>
      <c r="GY254" s="1009"/>
      <c r="GZ254" s="1009"/>
      <c r="HA254" s="1009"/>
      <c r="HB254" s="1009"/>
      <c r="HC254" s="1009"/>
      <c r="HD254" s="1009"/>
      <c r="HE254" s="1009"/>
      <c r="HF254" s="1009"/>
      <c r="HG254" s="1009"/>
      <c r="HH254" s="1009"/>
      <c r="HI254" s="1009"/>
      <c r="HJ254" s="1009"/>
      <c r="HK254" s="1009"/>
      <c r="HL254" s="1009"/>
      <c r="HM254" s="1009"/>
      <c r="HN254" s="1009"/>
      <c r="HO254" s="1009"/>
      <c r="HP254" s="1009"/>
      <c r="HQ254" s="1009"/>
      <c r="HR254" s="1009"/>
      <c r="HS254" s="1009"/>
      <c r="HT254" s="1009"/>
      <c r="HU254" s="1009"/>
      <c r="HV254" s="1009"/>
      <c r="HW254" s="1009"/>
      <c r="HX254" s="1009"/>
      <c r="HY254" s="1009"/>
      <c r="HZ254" s="1009"/>
      <c r="IA254" s="1009"/>
      <c r="IB254" s="1009"/>
      <c r="IC254" s="1009"/>
      <c r="ID254" s="1009"/>
      <c r="IE254" s="1009"/>
      <c r="IF254" s="1009"/>
      <c r="IG254" s="1009"/>
      <c r="IH254" s="1009"/>
      <c r="II254" s="1009"/>
      <c r="IJ254" s="1009"/>
      <c r="IK254" s="1009"/>
      <c r="IL254" s="1009"/>
      <c r="IM254" s="1009"/>
      <c r="IN254" s="1009"/>
      <c r="IO254" s="1009"/>
      <c r="IP254" s="1009"/>
      <c r="IQ254" s="1009"/>
      <c r="IR254" s="1009"/>
      <c r="IS254" s="1009"/>
      <c r="IT254" s="1009"/>
      <c r="IU254" s="1009"/>
      <c r="IV254" s="1009"/>
      <c r="IW254" s="1009"/>
      <c r="IX254" s="1009"/>
      <c r="IY254" s="1009"/>
      <c r="IZ254" s="1009"/>
      <c r="JA254" s="1009"/>
      <c r="JB254" s="1009"/>
      <c r="JC254" s="1009"/>
      <c r="JD254" s="1009"/>
      <c r="JE254" s="1009"/>
      <c r="JF254" s="1009"/>
      <c r="JG254" s="1009"/>
      <c r="JH254" s="1009"/>
      <c r="JI254" s="1009"/>
      <c r="JJ254" s="1009"/>
      <c r="JK254" s="1009"/>
      <c r="JL254" s="1009"/>
      <c r="JM254" s="1009"/>
      <c r="JN254" s="1009"/>
      <c r="JO254" s="1009"/>
      <c r="JP254" s="1009"/>
      <c r="JQ254" s="1009"/>
      <c r="JR254" s="1009"/>
      <c r="JS254" s="1009"/>
      <c r="JT254" s="1009"/>
      <c r="JU254" s="1009"/>
      <c r="JV254" s="1009"/>
      <c r="JW254" s="1009"/>
      <c r="JX254" s="1009"/>
      <c r="JY254" s="1009"/>
      <c r="JZ254" s="1009"/>
      <c r="KA254" s="1009"/>
      <c r="KB254" s="1009"/>
      <c r="KC254" s="1009"/>
      <c r="KD254" s="1009"/>
      <c r="KE254" s="1009"/>
      <c r="KF254" s="1009"/>
      <c r="KG254" s="1009"/>
      <c r="KH254" s="1009"/>
      <c r="KI254" s="1009"/>
      <c r="KJ254" s="1009"/>
      <c r="KK254" s="1009"/>
      <c r="KL254" s="1009"/>
      <c r="KM254" s="1009"/>
      <c r="KN254" s="1009"/>
      <c r="KO254" s="1009"/>
      <c r="KP254" s="1009"/>
      <c r="KQ254" s="1009"/>
      <c r="KR254" s="1009"/>
      <c r="KS254" s="1009"/>
      <c r="KT254" s="1009"/>
      <c r="KU254" s="1009"/>
      <c r="KV254" s="1009"/>
      <c r="KW254" s="1009"/>
      <c r="KX254" s="1009"/>
      <c r="KY254" s="1009"/>
      <c r="KZ254" s="1009"/>
      <c r="LA254" s="1009"/>
      <c r="LB254" s="1009"/>
      <c r="LC254" s="1009"/>
      <c r="LD254" s="1009"/>
      <c r="LE254" s="1009"/>
      <c r="LF254" s="1009"/>
      <c r="LG254" s="1009"/>
      <c r="LH254" s="1009"/>
      <c r="LI254" s="1009"/>
      <c r="LJ254" s="1009"/>
      <c r="LK254" s="1009"/>
      <c r="LL254" s="1009"/>
      <c r="LM254" s="1009"/>
      <c r="LN254" s="1009"/>
      <c r="LO254" s="1009"/>
      <c r="LP254" s="1009"/>
      <c r="LQ254" s="1009"/>
      <c r="LR254" s="1009"/>
      <c r="LS254" s="1009"/>
      <c r="LT254" s="1009"/>
      <c r="LU254" s="1009"/>
      <c r="LV254" s="1009"/>
      <c r="LW254" s="1009"/>
      <c r="LX254" s="1009"/>
      <c r="LY254" s="1009"/>
      <c r="LZ254" s="1009"/>
      <c r="MA254" s="1009"/>
      <c r="MB254" s="1009"/>
      <c r="MC254" s="1009"/>
      <c r="MD254" s="1009"/>
      <c r="ME254" s="1009"/>
      <c r="MF254" s="1009"/>
      <c r="MG254" s="1009"/>
      <c r="MH254" s="1009"/>
      <c r="MI254" s="1009"/>
      <c r="MJ254" s="1009"/>
      <c r="MK254" s="1009"/>
      <c r="ML254" s="1009"/>
      <c r="MM254" s="1009"/>
      <c r="MN254" s="1009"/>
      <c r="MO254" s="1009"/>
      <c r="MP254" s="1009"/>
      <c r="MQ254" s="1009"/>
      <c r="MR254" s="1009"/>
      <c r="MS254" s="1009"/>
      <c r="MT254" s="1009"/>
      <c r="MU254" s="1009"/>
      <c r="MV254" s="1009"/>
      <c r="MW254" s="1009"/>
      <c r="MX254" s="1009"/>
      <c r="MY254" s="1009"/>
      <c r="MZ254" s="1009"/>
      <c r="NA254" s="1009"/>
      <c r="NB254" s="1009"/>
      <c r="NC254" s="1009"/>
      <c r="ND254" s="1009"/>
      <c r="NE254" s="1009"/>
      <c r="NF254" s="1009"/>
      <c r="NG254" s="1009"/>
      <c r="NH254" s="1009"/>
      <c r="NI254" s="1009"/>
      <c r="NJ254" s="1009"/>
      <c r="NK254" s="1009"/>
      <c r="NL254" s="1009"/>
      <c r="NM254" s="1009"/>
      <c r="NN254" s="1009"/>
      <c r="NO254" s="1009"/>
      <c r="NP254" s="1009"/>
      <c r="NQ254" s="1009"/>
      <c r="NR254" s="1009"/>
      <c r="NS254" s="1009"/>
      <c r="NT254" s="1009"/>
      <c r="NU254" s="1009"/>
      <c r="NV254" s="1009"/>
      <c r="NW254" s="1009"/>
      <c r="NX254" s="1009"/>
      <c r="NY254" s="1009"/>
      <c r="NZ254" s="1009"/>
      <c r="OA254" s="1009"/>
      <c r="OB254" s="1009"/>
      <c r="OC254" s="1009"/>
      <c r="OD254" s="1009"/>
      <c r="OE254" s="1009"/>
      <c r="OF254" s="1009"/>
      <c r="OG254" s="1009"/>
      <c r="OH254" s="1009"/>
      <c r="OI254" s="1009"/>
      <c r="OJ254" s="1009"/>
      <c r="OK254" s="1009"/>
      <c r="OL254" s="1009"/>
      <c r="OM254" s="1009"/>
      <c r="ON254" s="1009"/>
      <c r="OO254" s="1009"/>
      <c r="OP254" s="1009"/>
      <c r="OQ254" s="1009"/>
      <c r="OR254" s="1009"/>
      <c r="OS254" s="1009"/>
      <c r="OT254" s="1009"/>
      <c r="OU254" s="1009"/>
      <c r="OV254" s="1009"/>
      <c r="OW254" s="1009"/>
      <c r="OX254" s="1009"/>
      <c r="OY254" s="1009"/>
      <c r="OZ254" s="1009"/>
      <c r="PA254" s="1009"/>
      <c r="PB254" s="1009"/>
      <c r="PC254" s="1009"/>
      <c r="PD254" s="1009"/>
      <c r="PE254" s="1009"/>
      <c r="PF254" s="1009"/>
      <c r="PG254" s="1009"/>
      <c r="PH254" s="1009"/>
      <c r="PI254" s="1009"/>
      <c r="PJ254" s="1009"/>
      <c r="PK254" s="1009"/>
      <c r="PL254" s="1009"/>
      <c r="PM254" s="1009"/>
      <c r="PN254" s="1009"/>
      <c r="PO254" s="1009"/>
      <c r="PP254" s="1009"/>
      <c r="PQ254" s="1009"/>
      <c r="PR254" s="1009"/>
      <c r="PS254" s="1009"/>
      <c r="PT254" s="1009"/>
      <c r="PU254" s="1009"/>
      <c r="PV254" s="1009"/>
      <c r="PW254" s="1009"/>
      <c r="PX254" s="1009"/>
      <c r="PY254" s="1009"/>
      <c r="PZ254" s="1009"/>
      <c r="QA254" s="1009"/>
      <c r="QB254" s="1009"/>
      <c r="QC254" s="1009"/>
      <c r="QD254" s="1009"/>
      <c r="QE254" s="1009"/>
      <c r="QF254" s="1009"/>
      <c r="QG254" s="1009"/>
      <c r="QH254" s="1009"/>
      <c r="QI254" s="1009"/>
      <c r="QJ254" s="1009"/>
      <c r="QK254" s="1009"/>
      <c r="QL254" s="1009"/>
      <c r="QM254" s="1009"/>
      <c r="QN254" s="1009"/>
      <c r="QO254" s="1009"/>
      <c r="QP254" s="1009"/>
      <c r="QQ254" s="1009"/>
      <c r="QR254" s="1009"/>
      <c r="QS254" s="1009"/>
      <c r="QT254" s="1009"/>
      <c r="QU254" s="1009"/>
      <c r="QV254" s="1009"/>
      <c r="QW254" s="1009"/>
      <c r="QX254" s="1009"/>
      <c r="QY254" s="1009"/>
      <c r="QZ254" s="1009"/>
      <c r="RA254" s="1009"/>
      <c r="RB254" s="1009"/>
      <c r="RC254" s="1009"/>
      <c r="RD254" s="1009"/>
      <c r="RE254" s="1009"/>
      <c r="RF254" s="1009"/>
      <c r="RG254" s="1009"/>
      <c r="RH254" s="1009"/>
      <c r="RI254" s="1009"/>
      <c r="RJ254" s="1009"/>
      <c r="RK254" s="1009"/>
      <c r="RL254" s="1009"/>
      <c r="RM254" s="1009"/>
      <c r="RN254" s="1009"/>
      <c r="RO254" s="1009"/>
      <c r="RP254" s="1009"/>
      <c r="RQ254" s="1009"/>
      <c r="RR254" s="1009"/>
      <c r="RS254" s="1009"/>
      <c r="RT254" s="1009"/>
      <c r="RU254" s="1009"/>
      <c r="RV254" s="1009"/>
      <c r="RW254" s="1009"/>
      <c r="RX254" s="1009"/>
      <c r="RY254" s="1009"/>
      <c r="RZ254" s="1009"/>
      <c r="SA254" s="1009"/>
      <c r="SB254" s="1009"/>
      <c r="SC254" s="1009"/>
      <c r="SD254" s="1009"/>
      <c r="SE254" s="1009"/>
      <c r="SF254" s="1009"/>
      <c r="SG254" s="1009"/>
      <c r="SH254" s="1009"/>
      <c r="SI254" s="1009"/>
      <c r="SJ254" s="1009"/>
      <c r="SK254" s="1009"/>
      <c r="SL254" s="1009"/>
      <c r="SM254" s="1009"/>
      <c r="SN254" s="1009"/>
      <c r="SO254" s="1009"/>
      <c r="SP254" s="1009"/>
      <c r="SQ254" s="1009"/>
      <c r="SR254" s="1009"/>
      <c r="SS254" s="1009"/>
      <c r="ST254" s="1009"/>
      <c r="SU254" s="1009"/>
      <c r="SV254" s="1009"/>
      <c r="SW254" s="1009"/>
      <c r="SX254" s="1009"/>
      <c r="SY254" s="1009"/>
      <c r="SZ254" s="1009"/>
      <c r="TA254" s="1009"/>
      <c r="TB254" s="1009"/>
      <c r="TC254" s="1009"/>
      <c r="TD254" s="1009"/>
      <c r="TE254" s="1009"/>
      <c r="TF254" s="1009"/>
      <c r="TG254" s="1009"/>
      <c r="TH254" s="1009"/>
      <c r="TI254" s="1009"/>
      <c r="TJ254" s="1009"/>
      <c r="TK254" s="1009"/>
      <c r="TL254" s="1009"/>
      <c r="TM254" s="1009"/>
      <c r="TN254" s="1009"/>
      <c r="TO254" s="1009"/>
      <c r="TP254" s="1009"/>
      <c r="TQ254" s="1009"/>
      <c r="TR254" s="1009"/>
      <c r="TS254" s="1009"/>
      <c r="TT254" s="1009"/>
      <c r="TU254" s="1009"/>
      <c r="TV254" s="1009"/>
      <c r="TW254" s="1009"/>
      <c r="TX254" s="1009"/>
      <c r="TY254" s="1009"/>
      <c r="TZ254" s="1009"/>
      <c r="UA254" s="1009"/>
      <c r="UB254" s="1009"/>
      <c r="UC254" s="1009"/>
      <c r="UD254" s="1009"/>
      <c r="UE254" s="1009"/>
      <c r="UF254" s="1009"/>
      <c r="UG254" s="1009"/>
      <c r="UH254" s="1009"/>
      <c r="UI254" s="1009"/>
      <c r="UJ254" s="1009"/>
      <c r="UK254" s="1009"/>
      <c r="UL254" s="1009"/>
      <c r="UM254" s="1009"/>
      <c r="UN254" s="1009"/>
      <c r="UO254" s="1009"/>
      <c r="UP254" s="1009"/>
      <c r="UQ254" s="1009"/>
      <c r="UR254" s="1009"/>
      <c r="US254" s="1009"/>
      <c r="UT254" s="1009"/>
      <c r="UU254" s="1009"/>
      <c r="UV254" s="1009"/>
      <c r="UW254" s="1009"/>
      <c r="UX254" s="1009"/>
      <c r="UY254" s="1009"/>
      <c r="UZ254" s="1009"/>
      <c r="VA254" s="1009"/>
      <c r="VB254" s="1009"/>
      <c r="VC254" s="1009"/>
      <c r="VD254" s="1009"/>
      <c r="VE254" s="1009"/>
      <c r="VF254" s="1009"/>
      <c r="VG254" s="1009"/>
      <c r="VH254" s="1009"/>
      <c r="VI254" s="1009"/>
      <c r="VJ254" s="1009"/>
      <c r="VK254" s="1009"/>
      <c r="VL254" s="1009"/>
      <c r="VM254" s="1009"/>
      <c r="VN254" s="1009"/>
      <c r="VO254" s="1009"/>
      <c r="VP254" s="1009"/>
      <c r="VQ254" s="1009"/>
      <c r="VR254" s="1009"/>
      <c r="VS254" s="1009"/>
      <c r="VT254" s="1009"/>
      <c r="VU254" s="1009"/>
      <c r="VV254" s="1009"/>
      <c r="VW254" s="1009"/>
      <c r="VX254" s="1009"/>
      <c r="VY254" s="1009"/>
      <c r="VZ254" s="1009"/>
      <c r="WA254" s="1009"/>
      <c r="WB254" s="1009"/>
      <c r="WC254" s="1009"/>
      <c r="WD254" s="1009"/>
      <c r="WE254" s="1009"/>
      <c r="WF254" s="1009"/>
      <c r="WG254" s="1009"/>
      <c r="WH254" s="1009"/>
      <c r="WI254" s="1009"/>
      <c r="WJ254" s="1009"/>
      <c r="WK254" s="1009"/>
      <c r="WL254" s="1009"/>
      <c r="WM254" s="1009"/>
      <c r="WN254" s="1009"/>
      <c r="WO254" s="1009"/>
      <c r="WP254" s="1009"/>
      <c r="WQ254" s="1009"/>
      <c r="WR254" s="1009"/>
      <c r="WS254" s="1009"/>
      <c r="WT254" s="1009"/>
      <c r="WU254" s="1009"/>
      <c r="WV254" s="1009"/>
      <c r="WW254" s="1009"/>
      <c r="WX254" s="1009"/>
      <c r="WY254" s="1009"/>
      <c r="WZ254" s="1009"/>
      <c r="XA254" s="1009"/>
      <c r="XB254" s="1009"/>
      <c r="XC254" s="1009"/>
      <c r="XD254" s="1009"/>
      <c r="XE254" s="1009"/>
      <c r="XF254" s="1009"/>
      <c r="XG254" s="1009"/>
      <c r="XH254" s="1009"/>
      <c r="XI254" s="1009"/>
      <c r="XJ254" s="1009"/>
      <c r="XK254" s="1009"/>
      <c r="XL254" s="1009"/>
      <c r="XM254" s="1009"/>
      <c r="XN254" s="1009"/>
      <c r="XO254" s="1009"/>
      <c r="XP254" s="1009"/>
      <c r="XQ254" s="1009"/>
      <c r="XR254" s="1009"/>
      <c r="XS254" s="1009"/>
      <c r="XT254" s="1009"/>
      <c r="XU254" s="1009"/>
      <c r="XV254" s="1009"/>
      <c r="XW254" s="1009"/>
      <c r="XX254" s="1009"/>
      <c r="XY254" s="1009"/>
      <c r="XZ254" s="1009"/>
      <c r="YA254" s="1009"/>
      <c r="YB254" s="1009"/>
      <c r="YC254" s="1009"/>
      <c r="YD254" s="1009"/>
      <c r="YE254" s="1009"/>
      <c r="YF254" s="1009"/>
      <c r="YG254" s="1009"/>
      <c r="YH254" s="1009"/>
      <c r="YI254" s="1009"/>
      <c r="YJ254" s="1009"/>
      <c r="YK254" s="1009"/>
      <c r="YL254" s="1009"/>
      <c r="YM254" s="1009"/>
      <c r="YN254" s="1009"/>
      <c r="YO254" s="1009"/>
      <c r="YP254" s="1009"/>
      <c r="YQ254" s="1009"/>
      <c r="YR254" s="1009"/>
      <c r="YS254" s="1009"/>
      <c r="YT254" s="1009"/>
      <c r="YU254" s="1009"/>
      <c r="YV254" s="1009"/>
      <c r="YW254" s="1009"/>
      <c r="YX254" s="1009"/>
      <c r="YY254" s="1009"/>
      <c r="YZ254" s="1009"/>
      <c r="ZA254" s="1009"/>
      <c r="ZB254" s="1009"/>
      <c r="ZC254" s="1009"/>
      <c r="ZD254" s="1009"/>
      <c r="ZE254" s="1009"/>
      <c r="ZF254" s="1009"/>
      <c r="ZG254" s="1009"/>
      <c r="ZH254" s="1009"/>
      <c r="ZI254" s="1009"/>
      <c r="ZJ254" s="1009"/>
      <c r="ZK254" s="1009"/>
      <c r="ZL254" s="1009"/>
      <c r="ZM254" s="1009"/>
      <c r="ZN254" s="1009"/>
      <c r="ZO254" s="1009"/>
      <c r="ZP254" s="1009"/>
      <c r="ZQ254" s="1009"/>
      <c r="ZR254" s="1009"/>
      <c r="ZS254" s="1009"/>
      <c r="ZT254" s="1009"/>
      <c r="ZU254" s="1009"/>
      <c r="ZV254" s="1009"/>
      <c r="ZW254" s="1009"/>
      <c r="ZX254" s="1009"/>
      <c r="ZY254" s="1009"/>
      <c r="ZZ254" s="1009"/>
      <c r="AAA254" s="1009"/>
      <c r="AAB254" s="1009"/>
      <c r="AAC254" s="1009"/>
      <c r="AAD254" s="1009"/>
      <c r="AAE254" s="1009"/>
      <c r="AAF254" s="1009"/>
      <c r="AAG254" s="1009"/>
      <c r="AAH254" s="1009"/>
      <c r="AAI254" s="1009"/>
      <c r="AAJ254" s="1009"/>
      <c r="AAK254" s="1009"/>
      <c r="AAL254" s="1009"/>
      <c r="AAM254" s="1009"/>
      <c r="AAN254" s="1009"/>
      <c r="AAO254" s="1009"/>
      <c r="AAP254" s="1009"/>
      <c r="AAQ254" s="1009"/>
      <c r="AAR254" s="1009"/>
      <c r="AAS254" s="1009"/>
      <c r="AAT254" s="1009"/>
      <c r="AAU254" s="1009"/>
      <c r="AAV254" s="1009"/>
      <c r="AAW254" s="1009"/>
      <c r="AAX254" s="1009"/>
      <c r="AAY254" s="1009"/>
      <c r="AAZ254" s="1009"/>
      <c r="ABA254" s="1009"/>
      <c r="ABB254" s="1009"/>
      <c r="ABC254" s="1009"/>
      <c r="ABD254" s="1009"/>
      <c r="ABE254" s="1009"/>
      <c r="ABF254" s="1009"/>
      <c r="ABG254" s="1009"/>
      <c r="ABH254" s="1009"/>
      <c r="ABI254" s="1009"/>
      <c r="ABJ254" s="1009"/>
      <c r="ABK254" s="1009"/>
      <c r="ABL254" s="1009"/>
      <c r="ABM254" s="1009"/>
      <c r="ABN254" s="1009"/>
      <c r="ABO254" s="1009"/>
      <c r="ABP254" s="1009"/>
      <c r="ABQ254" s="1009"/>
      <c r="ABR254" s="1009"/>
    </row>
    <row r="255" spans="1:746" s="111" customFormat="1" ht="12" customHeight="1">
      <c r="A255" s="789"/>
      <c r="B255" s="2502"/>
      <c r="C255" s="2252"/>
      <c r="D255" s="2252"/>
      <c r="E255" s="2165"/>
      <c r="F255" s="2253"/>
      <c r="G255" s="2165"/>
      <c r="H255" s="2165"/>
      <c r="I255" s="2570" t="str">
        <f>IF(fx!I$57=0,"&gt;&gt;",IF($L$4=I$6,"","Välj 1-12 i P4"))</f>
        <v/>
      </c>
      <c r="J255" s="1843" t="str">
        <f>IF(fx!J$57=0,"&gt;&gt;",IF($L$4=J$6,"Startmånad",""))</f>
        <v/>
      </c>
      <c r="K255" s="1843" t="str">
        <f>IF(fx!K$57=0,"&gt;&gt;",IF($L$4=K$6,"Startmånad",""))</f>
        <v/>
      </c>
      <c r="L255" s="1843" t="str">
        <f>IF(fx!L$57=0,"&gt;&gt;",IF($L$4=L$6,"Startmånad",""))</f>
        <v/>
      </c>
      <c r="M255" s="1843" t="str">
        <f>IF(fx!M$57=0,"&gt;&gt;",IF($L$4=M$6,"Startmånad",""))</f>
        <v/>
      </c>
      <c r="N255" s="1843" t="str">
        <f>IF(fx!N$57=0,"&gt;&gt;",IF($L$4=N$6,"Startmånad",""))</f>
        <v/>
      </c>
      <c r="O255" s="1843" t="str">
        <f>IF(AND(fx!$C$57=1,fx!O$57=0),"&gt;&gt;",IF(AND(fx!$C$57=1,$L$4=$O$6),"Startmånad",IF(AND(fx!$C$57=2,$L$4&lt;7),"Välj 7-12 i P4",IF(AND(fx!$C$57=2,$L$4=$O$6),"Startmånad",IF(AND(fx!$C$57=2,$L$4&gt;$O$6),"&gt;&gt;","")))))</f>
        <v/>
      </c>
      <c r="P255" s="1843" t="str">
        <f>IF(fx!P$57=0,"&gt;&gt;",IF($L$4=P$6,"Startmånad",""))</f>
        <v/>
      </c>
      <c r="Q255" s="1843" t="str">
        <f>IF(fx!Q$57=0,"&gt;&gt;",IF($L$4=Q$6,"Startmånad",""))</f>
        <v/>
      </c>
      <c r="R255" s="1843" t="str">
        <f>IF(fx!R$57=0,"&gt;&gt;",IF($L$4=R$6,"Startmånad",""))</f>
        <v/>
      </c>
      <c r="S255" s="1843" t="str">
        <f>IF(fx!S$57=0,"&gt;&gt;",IF($L$4=S$6,"Startmånad",""))</f>
        <v/>
      </c>
      <c r="T255" s="2717" t="str">
        <f>IF(fx!T$57=0,"&gt;&gt;",IF($L$4=T$6,"Startmånad",""))</f>
        <v/>
      </c>
      <c r="U255" s="2718"/>
      <c r="V255" s="2255"/>
      <c r="W255" s="2255"/>
      <c r="X255" s="2255"/>
      <c r="Y255" s="2255"/>
      <c r="Z255" s="2255"/>
      <c r="AA255" s="2255"/>
      <c r="AB255" s="2255"/>
      <c r="AC255" s="2255"/>
      <c r="AD255" s="2255"/>
      <c r="AE255" s="2255"/>
      <c r="AF255" s="2255"/>
      <c r="AG255" s="376"/>
      <c r="AH255" s="786"/>
      <c r="AI255" s="786"/>
      <c r="AJ255" s="1044"/>
      <c r="AK255" s="1047"/>
      <c r="AL255" s="1044"/>
      <c r="AM255" s="1009"/>
      <c r="AN255" s="1026"/>
      <c r="AO255" s="1034"/>
      <c r="AP255" s="1084"/>
      <c r="AQ255" s="1084"/>
      <c r="AR255" s="1084"/>
      <c r="AS255" s="1084"/>
      <c r="AT255" s="1084"/>
      <c r="AU255" s="1084"/>
      <c r="AV255" s="1084"/>
      <c r="AW255" s="1084"/>
      <c r="AX255" s="1084"/>
      <c r="AY255" s="1084"/>
      <c r="AZ255" s="1084"/>
      <c r="BA255" s="1084"/>
      <c r="BB255" s="1084"/>
      <c r="BC255" s="1084"/>
      <c r="BD255" s="1084"/>
      <c r="BE255" s="1084"/>
      <c r="BF255" s="1084"/>
      <c r="BG255" s="1084"/>
      <c r="BH255" s="1084"/>
      <c r="BI255" s="1084"/>
      <c r="BJ255" s="1084"/>
      <c r="BK255" s="1084"/>
      <c r="BL255" s="1084"/>
      <c r="BM255" s="1084"/>
      <c r="BN255" s="1084"/>
      <c r="BO255" s="1084"/>
      <c r="BP255" s="1009"/>
      <c r="BQ255" s="1009"/>
      <c r="BR255" s="1009"/>
      <c r="BS255" s="1009"/>
      <c r="BT255" s="1009"/>
      <c r="BU255" s="1009"/>
      <c r="BV255" s="1009"/>
      <c r="BW255" s="1009"/>
      <c r="BX255" s="1009"/>
      <c r="BY255" s="1009"/>
      <c r="BZ255" s="1009"/>
      <c r="CA255" s="1009"/>
      <c r="CB255" s="1009"/>
      <c r="CC255" s="1009"/>
      <c r="CD255" s="1009"/>
      <c r="CE255" s="1009"/>
      <c r="CF255" s="1009"/>
      <c r="CG255" s="1009"/>
      <c r="CH255" s="1009"/>
      <c r="CI255" s="1009"/>
      <c r="CJ255" s="1009"/>
      <c r="CK255" s="1009"/>
      <c r="CL255" s="1009"/>
      <c r="CM255" s="1009"/>
      <c r="CN255" s="1009"/>
      <c r="CO255" s="1009"/>
      <c r="CP255" s="1009"/>
      <c r="CQ255" s="1009"/>
      <c r="CR255" s="1009"/>
      <c r="CS255" s="1009"/>
      <c r="CT255" s="1009"/>
      <c r="CU255" s="1009"/>
      <c r="CV255" s="1009"/>
      <c r="CW255" s="1009"/>
      <c r="CX255" s="1009"/>
      <c r="CY255" s="1009"/>
      <c r="CZ255" s="1009"/>
      <c r="DA255" s="1009"/>
      <c r="DB255" s="1009"/>
      <c r="DC255" s="1009"/>
      <c r="DD255" s="1009"/>
      <c r="DE255" s="1009"/>
      <c r="DF255" s="1009"/>
      <c r="DG255" s="1009"/>
      <c r="DH255" s="1009"/>
      <c r="DI255" s="1009"/>
      <c r="DJ255" s="1009"/>
      <c r="DK255" s="1009"/>
      <c r="DL255" s="1009"/>
      <c r="DM255" s="1009"/>
      <c r="DN255" s="1009"/>
      <c r="DO255" s="1009"/>
      <c r="DP255" s="1009"/>
      <c r="DQ255" s="1009"/>
      <c r="DR255" s="1009"/>
      <c r="DS255" s="1009"/>
      <c r="DT255" s="1009"/>
      <c r="DU255" s="1009"/>
      <c r="DV255" s="1009"/>
      <c r="DW255" s="1009"/>
      <c r="DX255" s="1009"/>
      <c r="DY255" s="1009"/>
      <c r="DZ255" s="1009"/>
      <c r="EA255" s="1009"/>
      <c r="EB255" s="1009"/>
      <c r="EC255" s="1009"/>
      <c r="ED255" s="1009"/>
      <c r="EE255" s="1009"/>
      <c r="EF255" s="1009"/>
      <c r="EG255" s="1009"/>
      <c r="EH255" s="1009"/>
      <c r="EI255" s="1009"/>
      <c r="EJ255" s="1009"/>
      <c r="EK255" s="1009"/>
      <c r="EL255" s="1009"/>
      <c r="EM255" s="1009"/>
      <c r="EN255" s="1009"/>
      <c r="EO255" s="1009"/>
      <c r="EP255" s="1009"/>
      <c r="EQ255" s="1009"/>
      <c r="ER255" s="1009"/>
      <c r="ES255" s="1009"/>
      <c r="ET255" s="1009"/>
      <c r="EU255" s="1009"/>
      <c r="EV255" s="1009"/>
      <c r="EW255" s="1009"/>
      <c r="EX255" s="1009"/>
      <c r="EY255" s="1009"/>
      <c r="EZ255" s="1009"/>
      <c r="FA255" s="1009"/>
      <c r="FB255" s="1009"/>
      <c r="FC255" s="1009"/>
      <c r="FD255" s="1009"/>
      <c r="FE255" s="1009"/>
      <c r="FF255" s="1009"/>
      <c r="FG255" s="1009"/>
      <c r="FH255" s="1009"/>
      <c r="FI255" s="1009"/>
      <c r="FJ255" s="1009"/>
      <c r="FK255" s="1009"/>
      <c r="FL255" s="1009"/>
      <c r="FM255" s="1009"/>
      <c r="FN255" s="1009"/>
      <c r="FO255" s="1009"/>
      <c r="FP255" s="1009"/>
      <c r="FQ255" s="1009"/>
      <c r="FR255" s="1009"/>
      <c r="FS255" s="1009"/>
      <c r="FT255" s="1009"/>
      <c r="FU255" s="1009"/>
      <c r="FV255" s="1009"/>
      <c r="FW255" s="1009"/>
      <c r="FX255" s="1009"/>
      <c r="FY255" s="1009"/>
      <c r="FZ255" s="1009"/>
      <c r="GA255" s="1009"/>
      <c r="GB255" s="1009"/>
      <c r="GC255" s="1009"/>
      <c r="GD255" s="1009"/>
      <c r="GE255" s="1009"/>
      <c r="GF255" s="1009"/>
      <c r="GG255" s="1009"/>
      <c r="GH255" s="1009"/>
      <c r="GI255" s="1009"/>
      <c r="GJ255" s="1009"/>
      <c r="GK255" s="1009"/>
      <c r="GL255" s="1009"/>
      <c r="GM255" s="1009"/>
      <c r="GN255" s="1009"/>
      <c r="GO255" s="1009"/>
      <c r="GP255" s="1009"/>
      <c r="GQ255" s="1009"/>
      <c r="GR255" s="1009"/>
      <c r="GS255" s="1009"/>
      <c r="GT255" s="1009"/>
      <c r="GU255" s="1009"/>
      <c r="GV255" s="1009"/>
      <c r="GW255" s="1009"/>
      <c r="GX255" s="1009"/>
      <c r="GY255" s="1009"/>
      <c r="GZ255" s="1009"/>
      <c r="HA255" s="1009"/>
      <c r="HB255" s="1009"/>
      <c r="HC255" s="1009"/>
      <c r="HD255" s="1009"/>
      <c r="HE255" s="1009"/>
      <c r="HF255" s="1009"/>
      <c r="HG255" s="1009"/>
      <c r="HH255" s="1009"/>
      <c r="HI255" s="1009"/>
      <c r="HJ255" s="1009"/>
      <c r="HK255" s="1009"/>
      <c r="HL255" s="1009"/>
      <c r="HM255" s="1009"/>
      <c r="HN255" s="1009"/>
      <c r="HO255" s="1009"/>
      <c r="HP255" s="1009"/>
      <c r="HQ255" s="1009"/>
      <c r="HR255" s="1009"/>
      <c r="HS255" s="1009"/>
      <c r="HT255" s="1009"/>
      <c r="HU255" s="1009"/>
      <c r="HV255" s="1009"/>
      <c r="HW255" s="1009"/>
      <c r="HX255" s="1009"/>
      <c r="HY255" s="1009"/>
      <c r="HZ255" s="1009"/>
      <c r="IA255" s="1009"/>
      <c r="IB255" s="1009"/>
      <c r="IC255" s="1009"/>
      <c r="ID255" s="1009"/>
      <c r="IE255" s="1009"/>
      <c r="IF255" s="1009"/>
      <c r="IG255" s="1009"/>
      <c r="IH255" s="1009"/>
      <c r="II255" s="1009"/>
      <c r="IJ255" s="1009"/>
      <c r="IK255" s="1009"/>
      <c r="IL255" s="1009"/>
      <c r="IM255" s="1009"/>
      <c r="IN255" s="1009"/>
      <c r="IO255" s="1009"/>
      <c r="IP255" s="1009"/>
      <c r="IQ255" s="1009"/>
      <c r="IR255" s="1009"/>
      <c r="IS255" s="1009"/>
      <c r="IT255" s="1009"/>
      <c r="IU255" s="1009"/>
      <c r="IV255" s="1009"/>
      <c r="IW255" s="1009"/>
      <c r="IX255" s="1009"/>
      <c r="IY255" s="1009"/>
      <c r="IZ255" s="1009"/>
      <c r="JA255" s="1009"/>
      <c r="JB255" s="1009"/>
      <c r="JC255" s="1009"/>
      <c r="JD255" s="1009"/>
      <c r="JE255" s="1009"/>
      <c r="JF255" s="1009"/>
      <c r="JG255" s="1009"/>
      <c r="JH255" s="1009"/>
      <c r="JI255" s="1009"/>
      <c r="JJ255" s="1009"/>
      <c r="JK255" s="1009"/>
      <c r="JL255" s="1009"/>
      <c r="JM255" s="1009"/>
      <c r="JN255" s="1009"/>
      <c r="JO255" s="1009"/>
      <c r="JP255" s="1009"/>
      <c r="JQ255" s="1009"/>
      <c r="JR255" s="1009"/>
      <c r="JS255" s="1009"/>
      <c r="JT255" s="1009"/>
      <c r="JU255" s="1009"/>
      <c r="JV255" s="1009"/>
      <c r="JW255" s="1009"/>
      <c r="JX255" s="1009"/>
      <c r="JY255" s="1009"/>
      <c r="JZ255" s="1009"/>
      <c r="KA255" s="1009"/>
      <c r="KB255" s="1009"/>
      <c r="KC255" s="1009"/>
      <c r="KD255" s="1009"/>
      <c r="KE255" s="1009"/>
      <c r="KF255" s="1009"/>
      <c r="KG255" s="1009"/>
      <c r="KH255" s="1009"/>
      <c r="KI255" s="1009"/>
      <c r="KJ255" s="1009"/>
      <c r="KK255" s="1009"/>
      <c r="KL255" s="1009"/>
      <c r="KM255" s="1009"/>
      <c r="KN255" s="1009"/>
      <c r="KO255" s="1009"/>
      <c r="KP255" s="1009"/>
      <c r="KQ255" s="1009"/>
      <c r="KR255" s="1009"/>
      <c r="KS255" s="1009"/>
      <c r="KT255" s="1009"/>
      <c r="KU255" s="1009"/>
      <c r="KV255" s="1009"/>
      <c r="KW255" s="1009"/>
      <c r="KX255" s="1009"/>
      <c r="KY255" s="1009"/>
      <c r="KZ255" s="1009"/>
      <c r="LA255" s="1009"/>
      <c r="LB255" s="1009"/>
      <c r="LC255" s="1009"/>
      <c r="LD255" s="1009"/>
      <c r="LE255" s="1009"/>
      <c r="LF255" s="1009"/>
      <c r="LG255" s="1009"/>
      <c r="LH255" s="1009"/>
      <c r="LI255" s="1009"/>
      <c r="LJ255" s="1009"/>
      <c r="LK255" s="1009"/>
      <c r="LL255" s="1009"/>
      <c r="LM255" s="1009"/>
      <c r="LN255" s="1009"/>
      <c r="LO255" s="1009"/>
      <c r="LP255" s="1009"/>
      <c r="LQ255" s="1009"/>
      <c r="LR255" s="1009"/>
      <c r="LS255" s="1009"/>
      <c r="LT255" s="1009"/>
      <c r="LU255" s="1009"/>
      <c r="LV255" s="1009"/>
      <c r="LW255" s="1009"/>
      <c r="LX255" s="1009"/>
      <c r="LY255" s="1009"/>
      <c r="LZ255" s="1009"/>
      <c r="MA255" s="1009"/>
      <c r="MB255" s="1009"/>
      <c r="MC255" s="1009"/>
      <c r="MD255" s="1009"/>
      <c r="ME255" s="1009"/>
      <c r="MF255" s="1009"/>
      <c r="MG255" s="1009"/>
      <c r="MH255" s="1009"/>
      <c r="MI255" s="1009"/>
      <c r="MJ255" s="1009"/>
      <c r="MK255" s="1009"/>
      <c r="ML255" s="1009"/>
      <c r="MM255" s="1009"/>
      <c r="MN255" s="1009"/>
      <c r="MO255" s="1009"/>
      <c r="MP255" s="1009"/>
      <c r="MQ255" s="1009"/>
      <c r="MR255" s="1009"/>
      <c r="MS255" s="1009"/>
      <c r="MT255" s="1009"/>
      <c r="MU255" s="1009"/>
      <c r="MV255" s="1009"/>
      <c r="MW255" s="1009"/>
      <c r="MX255" s="1009"/>
      <c r="MY255" s="1009"/>
      <c r="MZ255" s="1009"/>
      <c r="NA255" s="1009"/>
      <c r="NB255" s="1009"/>
      <c r="NC255" s="1009"/>
      <c r="ND255" s="1009"/>
      <c r="NE255" s="1009"/>
      <c r="NF255" s="1009"/>
      <c r="NG255" s="1009"/>
      <c r="NH255" s="1009"/>
      <c r="NI255" s="1009"/>
      <c r="NJ255" s="1009"/>
      <c r="NK255" s="1009"/>
      <c r="NL255" s="1009"/>
      <c r="NM255" s="1009"/>
      <c r="NN255" s="1009"/>
      <c r="NO255" s="1009"/>
      <c r="NP255" s="1009"/>
      <c r="NQ255" s="1009"/>
      <c r="NR255" s="1009"/>
      <c r="NS255" s="1009"/>
      <c r="NT255" s="1009"/>
      <c r="NU255" s="1009"/>
      <c r="NV255" s="1009"/>
      <c r="NW255" s="1009"/>
      <c r="NX255" s="1009"/>
      <c r="NY255" s="1009"/>
      <c r="NZ255" s="1009"/>
      <c r="OA255" s="1009"/>
      <c r="OB255" s="1009"/>
      <c r="OC255" s="1009"/>
      <c r="OD255" s="1009"/>
      <c r="OE255" s="1009"/>
      <c r="OF255" s="1009"/>
      <c r="OG255" s="1009"/>
      <c r="OH255" s="1009"/>
      <c r="OI255" s="1009"/>
      <c r="OJ255" s="1009"/>
      <c r="OK255" s="1009"/>
      <c r="OL255" s="1009"/>
      <c r="OM255" s="1009"/>
      <c r="ON255" s="1009"/>
      <c r="OO255" s="1009"/>
      <c r="OP255" s="1009"/>
      <c r="OQ255" s="1009"/>
      <c r="OR255" s="1009"/>
      <c r="OS255" s="1009"/>
      <c r="OT255" s="1009"/>
      <c r="OU255" s="1009"/>
      <c r="OV255" s="1009"/>
      <c r="OW255" s="1009"/>
      <c r="OX255" s="1009"/>
      <c r="OY255" s="1009"/>
      <c r="OZ255" s="1009"/>
      <c r="PA255" s="1009"/>
      <c r="PB255" s="1009"/>
      <c r="PC255" s="1009"/>
      <c r="PD255" s="1009"/>
      <c r="PE255" s="1009"/>
      <c r="PF255" s="1009"/>
      <c r="PG255" s="1009"/>
      <c r="PH255" s="1009"/>
      <c r="PI255" s="1009"/>
      <c r="PJ255" s="1009"/>
      <c r="PK255" s="1009"/>
      <c r="PL255" s="1009"/>
      <c r="PM255" s="1009"/>
      <c r="PN255" s="1009"/>
      <c r="PO255" s="1009"/>
      <c r="PP255" s="1009"/>
      <c r="PQ255" s="1009"/>
      <c r="PR255" s="1009"/>
      <c r="PS255" s="1009"/>
      <c r="PT255" s="1009"/>
      <c r="PU255" s="1009"/>
      <c r="PV255" s="1009"/>
      <c r="PW255" s="1009"/>
      <c r="PX255" s="1009"/>
      <c r="PY255" s="1009"/>
      <c r="PZ255" s="1009"/>
      <c r="QA255" s="1009"/>
      <c r="QB255" s="1009"/>
      <c r="QC255" s="1009"/>
      <c r="QD255" s="1009"/>
      <c r="QE255" s="1009"/>
      <c r="QF255" s="1009"/>
      <c r="QG255" s="1009"/>
      <c r="QH255" s="1009"/>
      <c r="QI255" s="1009"/>
      <c r="QJ255" s="1009"/>
      <c r="QK255" s="1009"/>
      <c r="QL255" s="1009"/>
      <c r="QM255" s="1009"/>
      <c r="QN255" s="1009"/>
      <c r="QO255" s="1009"/>
      <c r="QP255" s="1009"/>
      <c r="QQ255" s="1009"/>
      <c r="QR255" s="1009"/>
      <c r="QS255" s="1009"/>
      <c r="QT255" s="1009"/>
      <c r="QU255" s="1009"/>
      <c r="QV255" s="1009"/>
      <c r="QW255" s="1009"/>
      <c r="QX255" s="1009"/>
      <c r="QY255" s="1009"/>
      <c r="QZ255" s="1009"/>
      <c r="RA255" s="1009"/>
      <c r="RB255" s="1009"/>
      <c r="RC255" s="1009"/>
      <c r="RD255" s="1009"/>
      <c r="RE255" s="1009"/>
      <c r="RF255" s="1009"/>
      <c r="RG255" s="1009"/>
      <c r="RH255" s="1009"/>
      <c r="RI255" s="1009"/>
      <c r="RJ255" s="1009"/>
      <c r="RK255" s="1009"/>
      <c r="RL255" s="1009"/>
      <c r="RM255" s="1009"/>
      <c r="RN255" s="1009"/>
      <c r="RO255" s="1009"/>
      <c r="RP255" s="1009"/>
      <c r="RQ255" s="1009"/>
      <c r="RR255" s="1009"/>
      <c r="RS255" s="1009"/>
      <c r="RT255" s="1009"/>
      <c r="RU255" s="1009"/>
      <c r="RV255" s="1009"/>
      <c r="RW255" s="1009"/>
      <c r="RX255" s="1009"/>
      <c r="RY255" s="1009"/>
      <c r="RZ255" s="1009"/>
      <c r="SA255" s="1009"/>
      <c r="SB255" s="1009"/>
      <c r="SC255" s="1009"/>
      <c r="SD255" s="1009"/>
      <c r="SE255" s="1009"/>
      <c r="SF255" s="1009"/>
      <c r="SG255" s="1009"/>
      <c r="SH255" s="1009"/>
      <c r="SI255" s="1009"/>
      <c r="SJ255" s="1009"/>
      <c r="SK255" s="1009"/>
      <c r="SL255" s="1009"/>
      <c r="SM255" s="1009"/>
      <c r="SN255" s="1009"/>
      <c r="SO255" s="1009"/>
      <c r="SP255" s="1009"/>
      <c r="SQ255" s="1009"/>
      <c r="SR255" s="1009"/>
      <c r="SS255" s="1009"/>
      <c r="ST255" s="1009"/>
      <c r="SU255" s="1009"/>
      <c r="SV255" s="1009"/>
      <c r="SW255" s="1009"/>
      <c r="SX255" s="1009"/>
      <c r="SY255" s="1009"/>
      <c r="SZ255" s="1009"/>
      <c r="TA255" s="1009"/>
      <c r="TB255" s="1009"/>
      <c r="TC255" s="1009"/>
      <c r="TD255" s="1009"/>
      <c r="TE255" s="1009"/>
      <c r="TF255" s="1009"/>
      <c r="TG255" s="1009"/>
      <c r="TH255" s="1009"/>
      <c r="TI255" s="1009"/>
      <c r="TJ255" s="1009"/>
      <c r="TK255" s="1009"/>
      <c r="TL255" s="1009"/>
      <c r="TM255" s="1009"/>
      <c r="TN255" s="1009"/>
      <c r="TO255" s="1009"/>
      <c r="TP255" s="1009"/>
      <c r="TQ255" s="1009"/>
      <c r="TR255" s="1009"/>
      <c r="TS255" s="1009"/>
      <c r="TT255" s="1009"/>
      <c r="TU255" s="1009"/>
      <c r="TV255" s="1009"/>
      <c r="TW255" s="1009"/>
      <c r="TX255" s="1009"/>
      <c r="TY255" s="1009"/>
      <c r="TZ255" s="1009"/>
      <c r="UA255" s="1009"/>
      <c r="UB255" s="1009"/>
      <c r="UC255" s="1009"/>
      <c r="UD255" s="1009"/>
      <c r="UE255" s="1009"/>
      <c r="UF255" s="1009"/>
      <c r="UG255" s="1009"/>
      <c r="UH255" s="1009"/>
      <c r="UI255" s="1009"/>
      <c r="UJ255" s="1009"/>
      <c r="UK255" s="1009"/>
      <c r="UL255" s="1009"/>
      <c r="UM255" s="1009"/>
      <c r="UN255" s="1009"/>
      <c r="UO255" s="1009"/>
      <c r="UP255" s="1009"/>
      <c r="UQ255" s="1009"/>
      <c r="UR255" s="1009"/>
      <c r="US255" s="1009"/>
      <c r="UT255" s="1009"/>
      <c r="UU255" s="1009"/>
      <c r="UV255" s="1009"/>
      <c r="UW255" s="1009"/>
      <c r="UX255" s="1009"/>
      <c r="UY255" s="1009"/>
      <c r="UZ255" s="1009"/>
      <c r="VA255" s="1009"/>
      <c r="VB255" s="1009"/>
      <c r="VC255" s="1009"/>
      <c r="VD255" s="1009"/>
      <c r="VE255" s="1009"/>
      <c r="VF255" s="1009"/>
      <c r="VG255" s="1009"/>
      <c r="VH255" s="1009"/>
      <c r="VI255" s="1009"/>
      <c r="VJ255" s="1009"/>
      <c r="VK255" s="1009"/>
      <c r="VL255" s="1009"/>
      <c r="VM255" s="1009"/>
      <c r="VN255" s="1009"/>
      <c r="VO255" s="1009"/>
      <c r="VP255" s="1009"/>
      <c r="VQ255" s="1009"/>
      <c r="VR255" s="1009"/>
      <c r="VS255" s="1009"/>
      <c r="VT255" s="1009"/>
      <c r="VU255" s="1009"/>
      <c r="VV255" s="1009"/>
      <c r="VW255" s="1009"/>
      <c r="VX255" s="1009"/>
      <c r="VY255" s="1009"/>
      <c r="VZ255" s="1009"/>
      <c r="WA255" s="1009"/>
      <c r="WB255" s="1009"/>
      <c r="WC255" s="1009"/>
      <c r="WD255" s="1009"/>
      <c r="WE255" s="1009"/>
      <c r="WF255" s="1009"/>
      <c r="WG255" s="1009"/>
      <c r="WH255" s="1009"/>
      <c r="WI255" s="1009"/>
      <c r="WJ255" s="1009"/>
      <c r="WK255" s="1009"/>
      <c r="WL255" s="1009"/>
      <c r="WM255" s="1009"/>
      <c r="WN255" s="1009"/>
      <c r="WO255" s="1009"/>
      <c r="WP255" s="1009"/>
      <c r="WQ255" s="1009"/>
      <c r="WR255" s="1009"/>
      <c r="WS255" s="1009"/>
      <c r="WT255" s="1009"/>
      <c r="WU255" s="1009"/>
      <c r="WV255" s="1009"/>
      <c r="WW255" s="1009"/>
      <c r="WX255" s="1009"/>
      <c r="WY255" s="1009"/>
      <c r="WZ255" s="1009"/>
      <c r="XA255" s="1009"/>
      <c r="XB255" s="1009"/>
      <c r="XC255" s="1009"/>
      <c r="XD255" s="1009"/>
      <c r="XE255" s="1009"/>
      <c r="XF255" s="1009"/>
      <c r="XG255" s="1009"/>
      <c r="XH255" s="1009"/>
      <c r="XI255" s="1009"/>
      <c r="XJ255" s="1009"/>
      <c r="XK255" s="1009"/>
      <c r="XL255" s="1009"/>
      <c r="XM255" s="1009"/>
      <c r="XN255" s="1009"/>
      <c r="XO255" s="1009"/>
      <c r="XP255" s="1009"/>
      <c r="XQ255" s="1009"/>
      <c r="XR255" s="1009"/>
      <c r="XS255" s="1009"/>
      <c r="XT255" s="1009"/>
      <c r="XU255" s="1009"/>
      <c r="XV255" s="1009"/>
      <c r="XW255" s="1009"/>
      <c r="XX255" s="1009"/>
      <c r="XY255" s="1009"/>
      <c r="XZ255" s="1009"/>
      <c r="YA255" s="1009"/>
      <c r="YB255" s="1009"/>
      <c r="YC255" s="1009"/>
      <c r="YD255" s="1009"/>
      <c r="YE255" s="1009"/>
      <c r="YF255" s="1009"/>
      <c r="YG255" s="1009"/>
      <c r="YH255" s="1009"/>
      <c r="YI255" s="1009"/>
      <c r="YJ255" s="1009"/>
      <c r="YK255" s="1009"/>
      <c r="YL255" s="1009"/>
      <c r="YM255" s="1009"/>
      <c r="YN255" s="1009"/>
      <c r="YO255" s="1009"/>
      <c r="YP255" s="1009"/>
      <c r="YQ255" s="1009"/>
      <c r="YR255" s="1009"/>
      <c r="YS255" s="1009"/>
      <c r="YT255" s="1009"/>
      <c r="YU255" s="1009"/>
      <c r="YV255" s="1009"/>
      <c r="YW255" s="1009"/>
      <c r="YX255" s="1009"/>
      <c r="YY255" s="1009"/>
      <c r="YZ255" s="1009"/>
      <c r="ZA255" s="1009"/>
      <c r="ZB255" s="1009"/>
      <c r="ZC255" s="1009"/>
      <c r="ZD255" s="1009"/>
      <c r="ZE255" s="1009"/>
      <c r="ZF255" s="1009"/>
      <c r="ZG255" s="1009"/>
      <c r="ZH255" s="1009"/>
      <c r="ZI255" s="1009"/>
      <c r="ZJ255" s="1009"/>
      <c r="ZK255" s="1009"/>
      <c r="ZL255" s="1009"/>
      <c r="ZM255" s="1009"/>
      <c r="ZN255" s="1009"/>
      <c r="ZO255" s="1009"/>
      <c r="ZP255" s="1009"/>
      <c r="ZQ255" s="1009"/>
      <c r="ZR255" s="1009"/>
      <c r="ZS255" s="1009"/>
      <c r="ZT255" s="1009"/>
      <c r="ZU255" s="1009"/>
      <c r="ZV255" s="1009"/>
      <c r="ZW255" s="1009"/>
      <c r="ZX255" s="1009"/>
      <c r="ZY255" s="1009"/>
      <c r="ZZ255" s="1009"/>
      <c r="AAA255" s="1009"/>
      <c r="AAB255" s="1009"/>
      <c r="AAC255" s="1009"/>
      <c r="AAD255" s="1009"/>
      <c r="AAE255" s="1009"/>
      <c r="AAF255" s="1009"/>
      <c r="AAG255" s="1009"/>
      <c r="AAH255" s="1009"/>
      <c r="AAI255" s="1009"/>
      <c r="AAJ255" s="1009"/>
      <c r="AAK255" s="1009"/>
      <c r="AAL255" s="1009"/>
      <c r="AAM255" s="1009"/>
      <c r="AAN255" s="1009"/>
      <c r="AAO255" s="1009"/>
      <c r="AAP255" s="1009"/>
      <c r="AAQ255" s="1009"/>
      <c r="AAR255" s="1009"/>
      <c r="AAS255" s="1009"/>
      <c r="AAT255" s="1009"/>
      <c r="AAU255" s="1009"/>
      <c r="AAV255" s="1009"/>
      <c r="AAW255" s="1009"/>
      <c r="AAX255" s="1009"/>
      <c r="AAY255" s="1009"/>
      <c r="AAZ255" s="1009"/>
      <c r="ABA255" s="1009"/>
      <c r="ABB255" s="1009"/>
      <c r="ABC255" s="1009"/>
      <c r="ABD255" s="1009"/>
      <c r="ABE255" s="1009"/>
      <c r="ABF255" s="1009"/>
      <c r="ABG255" s="1009"/>
      <c r="ABH255" s="1009"/>
      <c r="ABI255" s="1009"/>
      <c r="ABJ255" s="1009"/>
      <c r="ABK255" s="1009"/>
      <c r="ABL255" s="1009"/>
      <c r="ABM255" s="1009"/>
      <c r="ABN255" s="1009"/>
      <c r="ABO255" s="1009"/>
      <c r="ABP255" s="1009"/>
      <c r="ABQ255" s="1009"/>
      <c r="ABR255" s="1009"/>
    </row>
    <row r="256" spans="1:746" s="111" customFormat="1" ht="12" customHeight="1" thickBot="1">
      <c r="A256" s="2250"/>
      <c r="B256" s="3006" t="s">
        <v>1231</v>
      </c>
      <c r="C256" s="3007"/>
      <c r="D256" s="3007"/>
      <c r="E256" s="3008"/>
      <c r="F256" s="3007"/>
      <c r="G256" s="3007"/>
      <c r="H256" s="3007"/>
      <c r="I256" s="2596" t="s">
        <v>1157</v>
      </c>
      <c r="J256" s="2248"/>
      <c r="K256" s="2248"/>
      <c r="L256" s="2248"/>
      <c r="M256" s="2248"/>
      <c r="N256" s="2248"/>
      <c r="O256" s="2248"/>
      <c r="P256" s="2248"/>
      <c r="Q256" s="2248"/>
      <c r="R256" s="2248"/>
      <c r="S256" s="2248"/>
      <c r="T256" s="2248"/>
      <c r="U256" s="2248"/>
      <c r="V256" s="2248"/>
      <c r="W256" s="2248"/>
      <c r="X256" s="2248"/>
      <c r="Y256" s="2248"/>
      <c r="Z256" s="2248"/>
      <c r="AA256" s="2248"/>
      <c r="AB256" s="2248"/>
      <c r="AC256" s="2248"/>
      <c r="AD256" s="2248"/>
      <c r="AE256" s="2248"/>
      <c r="AF256" s="2249"/>
      <c r="AG256" s="376"/>
      <c r="AH256" s="786"/>
      <c r="AI256" s="786"/>
      <c r="AJ256" s="1044"/>
      <c r="AK256" s="1047"/>
      <c r="AL256" s="1044"/>
      <c r="AM256" s="1009"/>
      <c r="AN256" s="1026"/>
      <c r="AO256" s="1034"/>
      <c r="AP256" s="1084"/>
      <c r="AQ256" s="1084"/>
      <c r="AR256" s="1084"/>
      <c r="AS256" s="1084"/>
      <c r="AT256" s="1084"/>
      <c r="AU256" s="1084"/>
      <c r="AV256" s="1084"/>
      <c r="AW256" s="1084"/>
      <c r="AX256" s="1084"/>
      <c r="AY256" s="1084"/>
      <c r="AZ256" s="1084"/>
      <c r="BA256" s="1084"/>
      <c r="BB256" s="1084"/>
      <c r="BC256" s="1084"/>
      <c r="BD256" s="1084"/>
      <c r="BE256" s="1084"/>
      <c r="BF256" s="1084"/>
      <c r="BG256" s="1084"/>
      <c r="BH256" s="1084"/>
      <c r="BI256" s="1084"/>
      <c r="BJ256" s="1084"/>
      <c r="BK256" s="1084"/>
      <c r="BL256" s="1084"/>
      <c r="BM256" s="1084"/>
      <c r="BN256" s="1084"/>
      <c r="BO256" s="1084"/>
      <c r="BP256" s="1009"/>
      <c r="BQ256" s="1009"/>
      <c r="BR256" s="1009"/>
      <c r="BS256" s="1009"/>
      <c r="BT256" s="1009"/>
      <c r="BU256" s="1009"/>
      <c r="BV256" s="1009"/>
      <c r="BW256" s="1009"/>
      <c r="BX256" s="1009"/>
      <c r="BY256" s="1009"/>
      <c r="BZ256" s="1009"/>
      <c r="CA256" s="1009"/>
      <c r="CB256" s="1009"/>
      <c r="CC256" s="1009"/>
      <c r="CD256" s="1009"/>
      <c r="CE256" s="1009"/>
      <c r="CF256" s="1009"/>
      <c r="CG256" s="1009"/>
      <c r="CH256" s="1009"/>
      <c r="CI256" s="1009"/>
      <c r="CJ256" s="1009"/>
      <c r="CK256" s="1009"/>
      <c r="CL256" s="1009"/>
      <c r="CM256" s="1009"/>
      <c r="CN256" s="1009"/>
      <c r="CO256" s="1009"/>
      <c r="CP256" s="1009"/>
      <c r="CQ256" s="1009"/>
      <c r="CR256" s="1009"/>
      <c r="CS256" s="1009"/>
      <c r="CT256" s="1009"/>
      <c r="CU256" s="1009"/>
      <c r="CV256" s="1009"/>
      <c r="CW256" s="1009"/>
      <c r="CX256" s="1009"/>
      <c r="CY256" s="1009"/>
      <c r="CZ256" s="1009"/>
      <c r="DA256" s="1009"/>
      <c r="DB256" s="1009"/>
      <c r="DC256" s="1009"/>
      <c r="DD256" s="1009"/>
      <c r="DE256" s="1009"/>
      <c r="DF256" s="1009"/>
      <c r="DG256" s="1009"/>
      <c r="DH256" s="1009"/>
      <c r="DI256" s="1009"/>
      <c r="DJ256" s="1009"/>
      <c r="DK256" s="1009"/>
      <c r="DL256" s="1009"/>
      <c r="DM256" s="1009"/>
      <c r="DN256" s="1009"/>
      <c r="DO256" s="1009"/>
      <c r="DP256" s="1009"/>
      <c r="DQ256" s="1009"/>
      <c r="DR256" s="1009"/>
      <c r="DS256" s="1009"/>
      <c r="DT256" s="1009"/>
      <c r="DU256" s="1009"/>
      <c r="DV256" s="1009"/>
      <c r="DW256" s="1009"/>
      <c r="DX256" s="1009"/>
      <c r="DY256" s="1009"/>
      <c r="DZ256" s="1009"/>
      <c r="EA256" s="1009"/>
      <c r="EB256" s="1009"/>
      <c r="EC256" s="1009"/>
      <c r="ED256" s="1009"/>
      <c r="EE256" s="1009"/>
      <c r="EF256" s="1009"/>
      <c r="EG256" s="1009"/>
      <c r="EH256" s="1009"/>
      <c r="EI256" s="1009"/>
      <c r="EJ256" s="1009"/>
      <c r="EK256" s="1009"/>
      <c r="EL256" s="1009"/>
      <c r="EM256" s="1009"/>
      <c r="EN256" s="1009"/>
      <c r="EO256" s="1009"/>
      <c r="EP256" s="1009"/>
      <c r="EQ256" s="1009"/>
      <c r="ER256" s="1009"/>
      <c r="ES256" s="1009"/>
      <c r="ET256" s="1009"/>
      <c r="EU256" s="1009"/>
      <c r="EV256" s="1009"/>
      <c r="EW256" s="1009"/>
      <c r="EX256" s="1009"/>
      <c r="EY256" s="1009"/>
      <c r="EZ256" s="1009"/>
      <c r="FA256" s="1009"/>
      <c r="FB256" s="1009"/>
      <c r="FC256" s="1009"/>
      <c r="FD256" s="1009"/>
      <c r="FE256" s="1009"/>
      <c r="FF256" s="1009"/>
      <c r="FG256" s="1009"/>
      <c r="FH256" s="1009"/>
      <c r="FI256" s="1009"/>
      <c r="FJ256" s="1009"/>
      <c r="FK256" s="1009"/>
      <c r="FL256" s="1009"/>
      <c r="FM256" s="1009"/>
      <c r="FN256" s="1009"/>
      <c r="FO256" s="1009"/>
      <c r="FP256" s="1009"/>
      <c r="FQ256" s="1009"/>
      <c r="FR256" s="1009"/>
      <c r="FS256" s="1009"/>
      <c r="FT256" s="1009"/>
      <c r="FU256" s="1009"/>
      <c r="FV256" s="1009"/>
      <c r="FW256" s="1009"/>
      <c r="FX256" s="1009"/>
      <c r="FY256" s="1009"/>
      <c r="FZ256" s="1009"/>
      <c r="GA256" s="1009"/>
      <c r="GB256" s="1009"/>
      <c r="GC256" s="1009"/>
      <c r="GD256" s="1009"/>
      <c r="GE256" s="1009"/>
      <c r="GF256" s="1009"/>
      <c r="GG256" s="1009"/>
      <c r="GH256" s="1009"/>
      <c r="GI256" s="1009"/>
      <c r="GJ256" s="1009"/>
      <c r="GK256" s="1009"/>
      <c r="GL256" s="1009"/>
      <c r="GM256" s="1009"/>
      <c r="GN256" s="1009"/>
      <c r="GO256" s="1009"/>
      <c r="GP256" s="1009"/>
      <c r="GQ256" s="1009"/>
      <c r="GR256" s="1009"/>
      <c r="GS256" s="1009"/>
      <c r="GT256" s="1009"/>
      <c r="GU256" s="1009"/>
      <c r="GV256" s="1009"/>
      <c r="GW256" s="1009"/>
      <c r="GX256" s="1009"/>
      <c r="GY256" s="1009"/>
      <c r="GZ256" s="1009"/>
      <c r="HA256" s="1009"/>
      <c r="HB256" s="1009"/>
      <c r="HC256" s="1009"/>
      <c r="HD256" s="1009"/>
      <c r="HE256" s="1009"/>
      <c r="HF256" s="1009"/>
      <c r="HG256" s="1009"/>
      <c r="HH256" s="1009"/>
      <c r="HI256" s="1009"/>
      <c r="HJ256" s="1009"/>
      <c r="HK256" s="1009"/>
      <c r="HL256" s="1009"/>
      <c r="HM256" s="1009"/>
      <c r="HN256" s="1009"/>
      <c r="HO256" s="1009"/>
      <c r="HP256" s="1009"/>
      <c r="HQ256" s="1009"/>
      <c r="HR256" s="1009"/>
      <c r="HS256" s="1009"/>
      <c r="HT256" s="1009"/>
      <c r="HU256" s="1009"/>
      <c r="HV256" s="1009"/>
      <c r="HW256" s="1009"/>
      <c r="HX256" s="1009"/>
      <c r="HY256" s="1009"/>
      <c r="HZ256" s="1009"/>
      <c r="IA256" s="1009"/>
      <c r="IB256" s="1009"/>
      <c r="IC256" s="1009"/>
      <c r="ID256" s="1009"/>
      <c r="IE256" s="1009"/>
      <c r="IF256" s="1009"/>
      <c r="IG256" s="1009"/>
      <c r="IH256" s="1009"/>
      <c r="II256" s="1009"/>
      <c r="IJ256" s="1009"/>
      <c r="IK256" s="1009"/>
      <c r="IL256" s="1009"/>
      <c r="IM256" s="1009"/>
      <c r="IN256" s="1009"/>
      <c r="IO256" s="1009"/>
      <c r="IP256" s="1009"/>
      <c r="IQ256" s="1009"/>
      <c r="IR256" s="1009"/>
      <c r="IS256" s="1009"/>
      <c r="IT256" s="1009"/>
      <c r="IU256" s="1009"/>
      <c r="IV256" s="1009"/>
      <c r="IW256" s="1009"/>
      <c r="IX256" s="1009"/>
      <c r="IY256" s="1009"/>
      <c r="IZ256" s="1009"/>
      <c r="JA256" s="1009"/>
      <c r="JB256" s="1009"/>
      <c r="JC256" s="1009"/>
      <c r="JD256" s="1009"/>
      <c r="JE256" s="1009"/>
      <c r="JF256" s="1009"/>
      <c r="JG256" s="1009"/>
      <c r="JH256" s="1009"/>
      <c r="JI256" s="1009"/>
      <c r="JJ256" s="1009"/>
      <c r="JK256" s="1009"/>
      <c r="JL256" s="1009"/>
      <c r="JM256" s="1009"/>
      <c r="JN256" s="1009"/>
      <c r="JO256" s="1009"/>
      <c r="JP256" s="1009"/>
      <c r="JQ256" s="1009"/>
      <c r="JR256" s="1009"/>
      <c r="JS256" s="1009"/>
      <c r="JT256" s="1009"/>
      <c r="JU256" s="1009"/>
      <c r="JV256" s="1009"/>
      <c r="JW256" s="1009"/>
      <c r="JX256" s="1009"/>
      <c r="JY256" s="1009"/>
      <c r="JZ256" s="1009"/>
      <c r="KA256" s="1009"/>
      <c r="KB256" s="1009"/>
      <c r="KC256" s="1009"/>
      <c r="KD256" s="1009"/>
      <c r="KE256" s="1009"/>
      <c r="KF256" s="1009"/>
      <c r="KG256" s="1009"/>
      <c r="KH256" s="1009"/>
      <c r="KI256" s="1009"/>
      <c r="KJ256" s="1009"/>
      <c r="KK256" s="1009"/>
      <c r="KL256" s="1009"/>
      <c r="KM256" s="1009"/>
      <c r="KN256" s="1009"/>
      <c r="KO256" s="1009"/>
      <c r="KP256" s="1009"/>
      <c r="KQ256" s="1009"/>
      <c r="KR256" s="1009"/>
      <c r="KS256" s="1009"/>
      <c r="KT256" s="1009"/>
      <c r="KU256" s="1009"/>
      <c r="KV256" s="1009"/>
      <c r="KW256" s="1009"/>
      <c r="KX256" s="1009"/>
      <c r="KY256" s="1009"/>
      <c r="KZ256" s="1009"/>
      <c r="LA256" s="1009"/>
      <c r="LB256" s="1009"/>
      <c r="LC256" s="1009"/>
      <c r="LD256" s="1009"/>
      <c r="LE256" s="1009"/>
      <c r="LF256" s="1009"/>
      <c r="LG256" s="1009"/>
      <c r="LH256" s="1009"/>
      <c r="LI256" s="1009"/>
      <c r="LJ256" s="1009"/>
      <c r="LK256" s="1009"/>
      <c r="LL256" s="1009"/>
      <c r="LM256" s="1009"/>
      <c r="LN256" s="1009"/>
      <c r="LO256" s="1009"/>
      <c r="LP256" s="1009"/>
      <c r="LQ256" s="1009"/>
      <c r="LR256" s="1009"/>
      <c r="LS256" s="1009"/>
      <c r="LT256" s="1009"/>
      <c r="LU256" s="1009"/>
      <c r="LV256" s="1009"/>
      <c r="LW256" s="1009"/>
      <c r="LX256" s="1009"/>
      <c r="LY256" s="1009"/>
      <c r="LZ256" s="1009"/>
      <c r="MA256" s="1009"/>
      <c r="MB256" s="1009"/>
      <c r="MC256" s="1009"/>
      <c r="MD256" s="1009"/>
      <c r="ME256" s="1009"/>
      <c r="MF256" s="1009"/>
      <c r="MG256" s="1009"/>
      <c r="MH256" s="1009"/>
      <c r="MI256" s="1009"/>
      <c r="MJ256" s="1009"/>
      <c r="MK256" s="1009"/>
      <c r="ML256" s="1009"/>
      <c r="MM256" s="1009"/>
      <c r="MN256" s="1009"/>
      <c r="MO256" s="1009"/>
      <c r="MP256" s="1009"/>
      <c r="MQ256" s="1009"/>
      <c r="MR256" s="1009"/>
      <c r="MS256" s="1009"/>
      <c r="MT256" s="1009"/>
      <c r="MU256" s="1009"/>
      <c r="MV256" s="1009"/>
      <c r="MW256" s="1009"/>
      <c r="MX256" s="1009"/>
      <c r="MY256" s="1009"/>
      <c r="MZ256" s="1009"/>
      <c r="NA256" s="1009"/>
      <c r="NB256" s="1009"/>
      <c r="NC256" s="1009"/>
      <c r="ND256" s="1009"/>
      <c r="NE256" s="1009"/>
      <c r="NF256" s="1009"/>
      <c r="NG256" s="1009"/>
      <c r="NH256" s="1009"/>
      <c r="NI256" s="1009"/>
      <c r="NJ256" s="1009"/>
      <c r="NK256" s="1009"/>
      <c r="NL256" s="1009"/>
      <c r="NM256" s="1009"/>
      <c r="NN256" s="1009"/>
      <c r="NO256" s="1009"/>
      <c r="NP256" s="1009"/>
      <c r="NQ256" s="1009"/>
      <c r="NR256" s="1009"/>
      <c r="NS256" s="1009"/>
      <c r="NT256" s="1009"/>
      <c r="NU256" s="1009"/>
      <c r="NV256" s="1009"/>
      <c r="NW256" s="1009"/>
      <c r="NX256" s="1009"/>
      <c r="NY256" s="1009"/>
      <c r="NZ256" s="1009"/>
      <c r="OA256" s="1009"/>
      <c r="OB256" s="1009"/>
      <c r="OC256" s="1009"/>
      <c r="OD256" s="1009"/>
      <c r="OE256" s="1009"/>
      <c r="OF256" s="1009"/>
      <c r="OG256" s="1009"/>
      <c r="OH256" s="1009"/>
      <c r="OI256" s="1009"/>
      <c r="OJ256" s="1009"/>
      <c r="OK256" s="1009"/>
      <c r="OL256" s="1009"/>
      <c r="OM256" s="1009"/>
      <c r="ON256" s="1009"/>
      <c r="OO256" s="1009"/>
      <c r="OP256" s="1009"/>
      <c r="OQ256" s="1009"/>
      <c r="OR256" s="1009"/>
      <c r="OS256" s="1009"/>
      <c r="OT256" s="1009"/>
      <c r="OU256" s="1009"/>
      <c r="OV256" s="1009"/>
      <c r="OW256" s="1009"/>
      <c r="OX256" s="1009"/>
      <c r="OY256" s="1009"/>
      <c r="OZ256" s="1009"/>
      <c r="PA256" s="1009"/>
      <c r="PB256" s="1009"/>
      <c r="PC256" s="1009"/>
      <c r="PD256" s="1009"/>
      <c r="PE256" s="1009"/>
      <c r="PF256" s="1009"/>
      <c r="PG256" s="1009"/>
      <c r="PH256" s="1009"/>
      <c r="PI256" s="1009"/>
      <c r="PJ256" s="1009"/>
      <c r="PK256" s="1009"/>
      <c r="PL256" s="1009"/>
      <c r="PM256" s="1009"/>
      <c r="PN256" s="1009"/>
      <c r="PO256" s="1009"/>
      <c r="PP256" s="1009"/>
      <c r="PQ256" s="1009"/>
      <c r="PR256" s="1009"/>
      <c r="PS256" s="1009"/>
      <c r="PT256" s="1009"/>
      <c r="PU256" s="1009"/>
      <c r="PV256" s="1009"/>
      <c r="PW256" s="1009"/>
      <c r="PX256" s="1009"/>
      <c r="PY256" s="1009"/>
      <c r="PZ256" s="1009"/>
      <c r="QA256" s="1009"/>
      <c r="QB256" s="1009"/>
      <c r="QC256" s="1009"/>
      <c r="QD256" s="1009"/>
      <c r="QE256" s="1009"/>
      <c r="QF256" s="1009"/>
      <c r="QG256" s="1009"/>
      <c r="QH256" s="1009"/>
      <c r="QI256" s="1009"/>
      <c r="QJ256" s="1009"/>
      <c r="QK256" s="1009"/>
      <c r="QL256" s="1009"/>
      <c r="QM256" s="1009"/>
      <c r="QN256" s="1009"/>
      <c r="QO256" s="1009"/>
      <c r="QP256" s="1009"/>
      <c r="QQ256" s="1009"/>
      <c r="QR256" s="1009"/>
      <c r="QS256" s="1009"/>
      <c r="QT256" s="1009"/>
      <c r="QU256" s="1009"/>
      <c r="QV256" s="1009"/>
      <c r="QW256" s="1009"/>
      <c r="QX256" s="1009"/>
      <c r="QY256" s="1009"/>
      <c r="QZ256" s="1009"/>
      <c r="RA256" s="1009"/>
      <c r="RB256" s="1009"/>
      <c r="RC256" s="1009"/>
      <c r="RD256" s="1009"/>
      <c r="RE256" s="1009"/>
      <c r="RF256" s="1009"/>
      <c r="RG256" s="1009"/>
      <c r="RH256" s="1009"/>
      <c r="RI256" s="1009"/>
      <c r="RJ256" s="1009"/>
      <c r="RK256" s="1009"/>
      <c r="RL256" s="1009"/>
      <c r="RM256" s="1009"/>
      <c r="RN256" s="1009"/>
      <c r="RO256" s="1009"/>
      <c r="RP256" s="1009"/>
      <c r="RQ256" s="1009"/>
      <c r="RR256" s="1009"/>
      <c r="RS256" s="1009"/>
      <c r="RT256" s="1009"/>
      <c r="RU256" s="1009"/>
      <c r="RV256" s="1009"/>
      <c r="RW256" s="1009"/>
      <c r="RX256" s="1009"/>
      <c r="RY256" s="1009"/>
      <c r="RZ256" s="1009"/>
      <c r="SA256" s="1009"/>
      <c r="SB256" s="1009"/>
      <c r="SC256" s="1009"/>
      <c r="SD256" s="1009"/>
      <c r="SE256" s="1009"/>
      <c r="SF256" s="1009"/>
      <c r="SG256" s="1009"/>
      <c r="SH256" s="1009"/>
      <c r="SI256" s="1009"/>
      <c r="SJ256" s="1009"/>
      <c r="SK256" s="1009"/>
      <c r="SL256" s="1009"/>
      <c r="SM256" s="1009"/>
      <c r="SN256" s="1009"/>
      <c r="SO256" s="1009"/>
      <c r="SP256" s="1009"/>
      <c r="SQ256" s="1009"/>
      <c r="SR256" s="1009"/>
      <c r="SS256" s="1009"/>
      <c r="ST256" s="1009"/>
      <c r="SU256" s="1009"/>
      <c r="SV256" s="1009"/>
      <c r="SW256" s="1009"/>
      <c r="SX256" s="1009"/>
      <c r="SY256" s="1009"/>
      <c r="SZ256" s="1009"/>
      <c r="TA256" s="1009"/>
      <c r="TB256" s="1009"/>
      <c r="TC256" s="1009"/>
      <c r="TD256" s="1009"/>
      <c r="TE256" s="1009"/>
      <c r="TF256" s="1009"/>
      <c r="TG256" s="1009"/>
      <c r="TH256" s="1009"/>
      <c r="TI256" s="1009"/>
      <c r="TJ256" s="1009"/>
      <c r="TK256" s="1009"/>
      <c r="TL256" s="1009"/>
      <c r="TM256" s="1009"/>
      <c r="TN256" s="1009"/>
      <c r="TO256" s="1009"/>
      <c r="TP256" s="1009"/>
      <c r="TQ256" s="1009"/>
      <c r="TR256" s="1009"/>
      <c r="TS256" s="1009"/>
      <c r="TT256" s="1009"/>
      <c r="TU256" s="1009"/>
      <c r="TV256" s="1009"/>
      <c r="TW256" s="1009"/>
      <c r="TX256" s="1009"/>
      <c r="TY256" s="1009"/>
      <c r="TZ256" s="1009"/>
      <c r="UA256" s="1009"/>
      <c r="UB256" s="1009"/>
      <c r="UC256" s="1009"/>
      <c r="UD256" s="1009"/>
      <c r="UE256" s="1009"/>
      <c r="UF256" s="1009"/>
      <c r="UG256" s="1009"/>
      <c r="UH256" s="1009"/>
      <c r="UI256" s="1009"/>
      <c r="UJ256" s="1009"/>
      <c r="UK256" s="1009"/>
      <c r="UL256" s="1009"/>
      <c r="UM256" s="1009"/>
      <c r="UN256" s="1009"/>
      <c r="UO256" s="1009"/>
      <c r="UP256" s="1009"/>
      <c r="UQ256" s="1009"/>
      <c r="UR256" s="1009"/>
      <c r="US256" s="1009"/>
      <c r="UT256" s="1009"/>
      <c r="UU256" s="1009"/>
      <c r="UV256" s="1009"/>
      <c r="UW256" s="1009"/>
      <c r="UX256" s="1009"/>
      <c r="UY256" s="1009"/>
      <c r="UZ256" s="1009"/>
      <c r="VA256" s="1009"/>
      <c r="VB256" s="1009"/>
      <c r="VC256" s="1009"/>
      <c r="VD256" s="1009"/>
      <c r="VE256" s="1009"/>
      <c r="VF256" s="1009"/>
      <c r="VG256" s="1009"/>
      <c r="VH256" s="1009"/>
      <c r="VI256" s="1009"/>
      <c r="VJ256" s="1009"/>
      <c r="VK256" s="1009"/>
      <c r="VL256" s="1009"/>
      <c r="VM256" s="1009"/>
      <c r="VN256" s="1009"/>
      <c r="VO256" s="1009"/>
      <c r="VP256" s="1009"/>
      <c r="VQ256" s="1009"/>
      <c r="VR256" s="1009"/>
      <c r="VS256" s="1009"/>
      <c r="VT256" s="1009"/>
      <c r="VU256" s="1009"/>
      <c r="VV256" s="1009"/>
      <c r="VW256" s="1009"/>
      <c r="VX256" s="1009"/>
      <c r="VY256" s="1009"/>
      <c r="VZ256" s="1009"/>
      <c r="WA256" s="1009"/>
      <c r="WB256" s="1009"/>
      <c r="WC256" s="1009"/>
      <c r="WD256" s="1009"/>
      <c r="WE256" s="1009"/>
      <c r="WF256" s="1009"/>
      <c r="WG256" s="1009"/>
      <c r="WH256" s="1009"/>
      <c r="WI256" s="1009"/>
      <c r="WJ256" s="1009"/>
      <c r="WK256" s="1009"/>
      <c r="WL256" s="1009"/>
      <c r="WM256" s="1009"/>
      <c r="WN256" s="1009"/>
      <c r="WO256" s="1009"/>
      <c r="WP256" s="1009"/>
      <c r="WQ256" s="1009"/>
      <c r="WR256" s="1009"/>
      <c r="WS256" s="1009"/>
      <c r="WT256" s="1009"/>
      <c r="WU256" s="1009"/>
      <c r="WV256" s="1009"/>
      <c r="WW256" s="1009"/>
      <c r="WX256" s="1009"/>
      <c r="WY256" s="1009"/>
      <c r="WZ256" s="1009"/>
      <c r="XA256" s="1009"/>
      <c r="XB256" s="1009"/>
      <c r="XC256" s="1009"/>
      <c r="XD256" s="1009"/>
      <c r="XE256" s="1009"/>
      <c r="XF256" s="1009"/>
      <c r="XG256" s="1009"/>
      <c r="XH256" s="1009"/>
      <c r="XI256" s="1009"/>
      <c r="XJ256" s="1009"/>
      <c r="XK256" s="1009"/>
      <c r="XL256" s="1009"/>
      <c r="XM256" s="1009"/>
      <c r="XN256" s="1009"/>
      <c r="XO256" s="1009"/>
      <c r="XP256" s="1009"/>
      <c r="XQ256" s="1009"/>
      <c r="XR256" s="1009"/>
      <c r="XS256" s="1009"/>
      <c r="XT256" s="1009"/>
      <c r="XU256" s="1009"/>
      <c r="XV256" s="1009"/>
      <c r="XW256" s="1009"/>
      <c r="XX256" s="1009"/>
      <c r="XY256" s="1009"/>
      <c r="XZ256" s="1009"/>
      <c r="YA256" s="1009"/>
      <c r="YB256" s="1009"/>
      <c r="YC256" s="1009"/>
      <c r="YD256" s="1009"/>
      <c r="YE256" s="1009"/>
      <c r="YF256" s="1009"/>
      <c r="YG256" s="1009"/>
      <c r="YH256" s="1009"/>
      <c r="YI256" s="1009"/>
      <c r="YJ256" s="1009"/>
      <c r="YK256" s="1009"/>
      <c r="YL256" s="1009"/>
      <c r="YM256" s="1009"/>
      <c r="YN256" s="1009"/>
      <c r="YO256" s="1009"/>
      <c r="YP256" s="1009"/>
      <c r="YQ256" s="1009"/>
      <c r="YR256" s="1009"/>
      <c r="YS256" s="1009"/>
      <c r="YT256" s="1009"/>
      <c r="YU256" s="1009"/>
      <c r="YV256" s="1009"/>
      <c r="YW256" s="1009"/>
      <c r="YX256" s="1009"/>
      <c r="YY256" s="1009"/>
      <c r="YZ256" s="1009"/>
      <c r="ZA256" s="1009"/>
      <c r="ZB256" s="1009"/>
      <c r="ZC256" s="1009"/>
      <c r="ZD256" s="1009"/>
      <c r="ZE256" s="1009"/>
      <c r="ZF256" s="1009"/>
      <c r="ZG256" s="1009"/>
      <c r="ZH256" s="1009"/>
      <c r="ZI256" s="1009"/>
      <c r="ZJ256" s="1009"/>
      <c r="ZK256" s="1009"/>
      <c r="ZL256" s="1009"/>
      <c r="ZM256" s="1009"/>
      <c r="ZN256" s="1009"/>
      <c r="ZO256" s="1009"/>
      <c r="ZP256" s="1009"/>
      <c r="ZQ256" s="1009"/>
      <c r="ZR256" s="1009"/>
      <c r="ZS256" s="1009"/>
      <c r="ZT256" s="1009"/>
      <c r="ZU256" s="1009"/>
      <c r="ZV256" s="1009"/>
      <c r="ZW256" s="1009"/>
      <c r="ZX256" s="1009"/>
      <c r="ZY256" s="1009"/>
      <c r="ZZ256" s="1009"/>
      <c r="AAA256" s="1009"/>
      <c r="AAB256" s="1009"/>
      <c r="AAC256" s="1009"/>
      <c r="AAD256" s="1009"/>
      <c r="AAE256" s="1009"/>
      <c r="AAF256" s="1009"/>
      <c r="AAG256" s="1009"/>
      <c r="AAH256" s="1009"/>
      <c r="AAI256" s="1009"/>
      <c r="AAJ256" s="1009"/>
      <c r="AAK256" s="1009"/>
      <c r="AAL256" s="1009"/>
      <c r="AAM256" s="1009"/>
      <c r="AAN256" s="1009"/>
      <c r="AAO256" s="1009"/>
      <c r="AAP256" s="1009"/>
      <c r="AAQ256" s="1009"/>
      <c r="AAR256" s="1009"/>
      <c r="AAS256" s="1009"/>
      <c r="AAT256" s="1009"/>
      <c r="AAU256" s="1009"/>
      <c r="AAV256" s="1009"/>
      <c r="AAW256" s="1009"/>
      <c r="AAX256" s="1009"/>
      <c r="AAY256" s="1009"/>
      <c r="AAZ256" s="1009"/>
      <c r="ABA256" s="1009"/>
      <c r="ABB256" s="1009"/>
      <c r="ABC256" s="1009"/>
      <c r="ABD256" s="1009"/>
      <c r="ABE256" s="1009"/>
      <c r="ABF256" s="1009"/>
      <c r="ABG256" s="1009"/>
      <c r="ABH256" s="1009"/>
      <c r="ABI256" s="1009"/>
      <c r="ABJ256" s="1009"/>
      <c r="ABK256" s="1009"/>
      <c r="ABL256" s="1009"/>
      <c r="ABM256" s="1009"/>
      <c r="ABN256" s="1009"/>
      <c r="ABO256" s="1009"/>
      <c r="ABP256" s="1009"/>
      <c r="ABQ256" s="1009"/>
      <c r="ABR256" s="1009"/>
    </row>
    <row r="257" spans="1:746" s="111" customFormat="1" ht="12" customHeight="1" thickBot="1">
      <c r="A257" s="2250"/>
      <c r="B257" s="2683" t="s">
        <v>1169</v>
      </c>
      <c r="C257" s="2684"/>
      <c r="D257" s="2685"/>
      <c r="E257" s="2283" t="s">
        <v>0</v>
      </c>
      <c r="F257" s="2690"/>
      <c r="G257" s="347">
        <v>0.25</v>
      </c>
      <c r="H257" s="2680"/>
      <c r="I257" s="2324"/>
      <c r="J257" s="2274"/>
      <c r="K257" s="2274"/>
      <c r="L257" s="2274"/>
      <c r="M257" s="2274"/>
      <c r="N257" s="2274"/>
      <c r="O257" s="2274"/>
      <c r="P257" s="2274"/>
      <c r="Q257" s="2274"/>
      <c r="R257" s="2274"/>
      <c r="S257" s="2274"/>
      <c r="T257" s="2274"/>
      <c r="U257" s="2274"/>
      <c r="V257" s="2274"/>
      <c r="W257" s="2274"/>
      <c r="X257" s="2274"/>
      <c r="Y257" s="2274"/>
      <c r="Z257" s="2274"/>
      <c r="AA257" s="2274"/>
      <c r="AB257" s="2274"/>
      <c r="AC257" s="2274"/>
      <c r="AD257" s="2274"/>
      <c r="AE257" s="2274"/>
      <c r="AF257" s="2274"/>
      <c r="AG257" s="376"/>
      <c r="AH257" s="786"/>
      <c r="AI257" s="786"/>
      <c r="AJ257" s="901">
        <f>IF(fx!$C$57=1,SUMIF(fx!I$57:T$57,1,I257:T257),IF(fx!$C$57=2,SUMIF(fx!O$57:AF$57,1,O257:AF257)))</f>
        <v>0</v>
      </c>
      <c r="AK257" s="1207"/>
      <c r="AL257" s="902">
        <f>IF(fx!$C$57=1,SUM(U257:AF257),0)</f>
        <v>0</v>
      </c>
      <c r="AM257" s="1009"/>
      <c r="AN257" s="1026"/>
      <c r="AO257" s="1034"/>
      <c r="AP257" s="1084"/>
      <c r="AQ257" s="1084"/>
      <c r="AR257" s="1084"/>
      <c r="AS257" s="1084"/>
      <c r="AT257" s="1084"/>
      <c r="AU257" s="1084"/>
      <c r="AV257" s="1084"/>
      <c r="AW257" s="1084"/>
      <c r="AX257" s="1084"/>
      <c r="AY257" s="1084"/>
      <c r="AZ257" s="1084"/>
      <c r="BA257" s="1084"/>
      <c r="BB257" s="1084"/>
      <c r="BC257" s="1084"/>
      <c r="BD257" s="1084"/>
      <c r="BE257" s="1084"/>
      <c r="BF257" s="1084"/>
      <c r="BG257" s="1084"/>
      <c r="BH257" s="1084"/>
      <c r="BI257" s="1084"/>
      <c r="BJ257" s="1084"/>
      <c r="BK257" s="1084"/>
      <c r="BL257" s="1084"/>
      <c r="BM257" s="1084"/>
      <c r="BN257" s="1084"/>
      <c r="BO257" s="1084"/>
      <c r="BP257" s="1009"/>
      <c r="BQ257" s="1009"/>
      <c r="BR257" s="1009"/>
      <c r="BS257" s="1009"/>
      <c r="BT257" s="1009"/>
      <c r="BU257" s="1009"/>
      <c r="BV257" s="1009"/>
      <c r="BW257" s="1009"/>
      <c r="BX257" s="1009"/>
      <c r="BY257" s="1009"/>
      <c r="BZ257" s="1009"/>
      <c r="CA257" s="1009"/>
      <c r="CB257" s="1009"/>
      <c r="CC257" s="1009"/>
      <c r="CD257" s="1009"/>
      <c r="CE257" s="1009"/>
      <c r="CF257" s="1009"/>
      <c r="CG257" s="1009"/>
      <c r="CH257" s="1009"/>
      <c r="CI257" s="1009"/>
      <c r="CJ257" s="1009"/>
      <c r="CK257" s="1009"/>
      <c r="CL257" s="1009"/>
      <c r="CM257" s="1009"/>
      <c r="CN257" s="1009"/>
      <c r="CO257" s="1009"/>
      <c r="CP257" s="1009"/>
      <c r="CQ257" s="1009"/>
      <c r="CR257" s="1009"/>
      <c r="CS257" s="1009"/>
      <c r="CT257" s="1009"/>
      <c r="CU257" s="1009"/>
      <c r="CV257" s="1009"/>
      <c r="CW257" s="1009"/>
      <c r="CX257" s="1009"/>
      <c r="CY257" s="1009"/>
      <c r="CZ257" s="1009"/>
      <c r="DA257" s="1009"/>
      <c r="DB257" s="1009"/>
      <c r="DC257" s="1009"/>
      <c r="DD257" s="1009"/>
      <c r="DE257" s="1009"/>
      <c r="DF257" s="1009"/>
      <c r="DG257" s="1009"/>
      <c r="DH257" s="1009"/>
      <c r="DI257" s="1009"/>
      <c r="DJ257" s="1009"/>
      <c r="DK257" s="1009"/>
      <c r="DL257" s="1009"/>
      <c r="DM257" s="1009"/>
      <c r="DN257" s="1009"/>
      <c r="DO257" s="1009"/>
      <c r="DP257" s="1009"/>
      <c r="DQ257" s="1009"/>
      <c r="DR257" s="1009"/>
      <c r="DS257" s="1009"/>
      <c r="DT257" s="1009"/>
      <c r="DU257" s="1009"/>
      <c r="DV257" s="1009"/>
      <c r="DW257" s="1009"/>
      <c r="DX257" s="1009"/>
      <c r="DY257" s="1009"/>
      <c r="DZ257" s="1009"/>
      <c r="EA257" s="1009"/>
      <c r="EB257" s="1009"/>
      <c r="EC257" s="1009"/>
      <c r="ED257" s="1009"/>
      <c r="EE257" s="1009"/>
      <c r="EF257" s="1009"/>
      <c r="EG257" s="1009"/>
      <c r="EH257" s="1009"/>
      <c r="EI257" s="1009"/>
      <c r="EJ257" s="1009"/>
      <c r="EK257" s="1009"/>
      <c r="EL257" s="1009"/>
      <c r="EM257" s="1009"/>
      <c r="EN257" s="1009"/>
      <c r="EO257" s="1009"/>
      <c r="EP257" s="1009"/>
      <c r="EQ257" s="1009"/>
      <c r="ER257" s="1009"/>
      <c r="ES257" s="1009"/>
      <c r="ET257" s="1009"/>
      <c r="EU257" s="1009"/>
      <c r="EV257" s="1009"/>
      <c r="EW257" s="1009"/>
      <c r="EX257" s="1009"/>
      <c r="EY257" s="1009"/>
      <c r="EZ257" s="1009"/>
      <c r="FA257" s="1009"/>
      <c r="FB257" s="1009"/>
      <c r="FC257" s="1009"/>
      <c r="FD257" s="1009"/>
      <c r="FE257" s="1009"/>
      <c r="FF257" s="1009"/>
      <c r="FG257" s="1009"/>
      <c r="FH257" s="1009"/>
      <c r="FI257" s="1009"/>
      <c r="FJ257" s="1009"/>
      <c r="FK257" s="1009"/>
      <c r="FL257" s="1009"/>
      <c r="FM257" s="1009"/>
      <c r="FN257" s="1009"/>
      <c r="FO257" s="1009"/>
      <c r="FP257" s="1009"/>
      <c r="FQ257" s="1009"/>
      <c r="FR257" s="1009"/>
      <c r="FS257" s="1009"/>
      <c r="FT257" s="1009"/>
      <c r="FU257" s="1009"/>
      <c r="FV257" s="1009"/>
      <c r="FW257" s="1009"/>
      <c r="FX257" s="1009"/>
      <c r="FY257" s="1009"/>
      <c r="FZ257" s="1009"/>
      <c r="GA257" s="1009"/>
      <c r="GB257" s="1009"/>
      <c r="GC257" s="1009"/>
      <c r="GD257" s="1009"/>
      <c r="GE257" s="1009"/>
      <c r="GF257" s="1009"/>
      <c r="GG257" s="1009"/>
      <c r="GH257" s="1009"/>
      <c r="GI257" s="1009"/>
      <c r="GJ257" s="1009"/>
      <c r="GK257" s="1009"/>
      <c r="GL257" s="1009"/>
      <c r="GM257" s="1009"/>
      <c r="GN257" s="1009"/>
      <c r="GO257" s="1009"/>
      <c r="GP257" s="1009"/>
      <c r="GQ257" s="1009"/>
      <c r="GR257" s="1009"/>
      <c r="GS257" s="1009"/>
      <c r="GT257" s="1009"/>
      <c r="GU257" s="1009"/>
      <c r="GV257" s="1009"/>
      <c r="GW257" s="1009"/>
      <c r="GX257" s="1009"/>
      <c r="GY257" s="1009"/>
      <c r="GZ257" s="1009"/>
      <c r="HA257" s="1009"/>
      <c r="HB257" s="1009"/>
      <c r="HC257" s="1009"/>
      <c r="HD257" s="1009"/>
      <c r="HE257" s="1009"/>
      <c r="HF257" s="1009"/>
      <c r="HG257" s="1009"/>
      <c r="HH257" s="1009"/>
      <c r="HI257" s="1009"/>
      <c r="HJ257" s="1009"/>
      <c r="HK257" s="1009"/>
      <c r="HL257" s="1009"/>
      <c r="HM257" s="1009"/>
      <c r="HN257" s="1009"/>
      <c r="HO257" s="1009"/>
      <c r="HP257" s="1009"/>
      <c r="HQ257" s="1009"/>
      <c r="HR257" s="1009"/>
      <c r="HS257" s="1009"/>
      <c r="HT257" s="1009"/>
      <c r="HU257" s="1009"/>
      <c r="HV257" s="1009"/>
      <c r="HW257" s="1009"/>
      <c r="HX257" s="1009"/>
      <c r="HY257" s="1009"/>
      <c r="HZ257" s="1009"/>
      <c r="IA257" s="1009"/>
      <c r="IB257" s="1009"/>
      <c r="IC257" s="1009"/>
      <c r="ID257" s="1009"/>
      <c r="IE257" s="1009"/>
      <c r="IF257" s="1009"/>
      <c r="IG257" s="1009"/>
      <c r="IH257" s="1009"/>
      <c r="II257" s="1009"/>
      <c r="IJ257" s="1009"/>
      <c r="IK257" s="1009"/>
      <c r="IL257" s="1009"/>
      <c r="IM257" s="1009"/>
      <c r="IN257" s="1009"/>
      <c r="IO257" s="1009"/>
      <c r="IP257" s="1009"/>
      <c r="IQ257" s="1009"/>
      <c r="IR257" s="1009"/>
      <c r="IS257" s="1009"/>
      <c r="IT257" s="1009"/>
      <c r="IU257" s="1009"/>
      <c r="IV257" s="1009"/>
      <c r="IW257" s="1009"/>
      <c r="IX257" s="1009"/>
      <c r="IY257" s="1009"/>
      <c r="IZ257" s="1009"/>
      <c r="JA257" s="1009"/>
      <c r="JB257" s="1009"/>
      <c r="JC257" s="1009"/>
      <c r="JD257" s="1009"/>
      <c r="JE257" s="1009"/>
      <c r="JF257" s="1009"/>
      <c r="JG257" s="1009"/>
      <c r="JH257" s="1009"/>
      <c r="JI257" s="1009"/>
      <c r="JJ257" s="1009"/>
      <c r="JK257" s="1009"/>
      <c r="JL257" s="1009"/>
      <c r="JM257" s="1009"/>
      <c r="JN257" s="1009"/>
      <c r="JO257" s="1009"/>
      <c r="JP257" s="1009"/>
      <c r="JQ257" s="1009"/>
      <c r="JR257" s="1009"/>
      <c r="JS257" s="1009"/>
      <c r="JT257" s="1009"/>
      <c r="JU257" s="1009"/>
      <c r="JV257" s="1009"/>
      <c r="JW257" s="1009"/>
      <c r="JX257" s="1009"/>
      <c r="JY257" s="1009"/>
      <c r="JZ257" s="1009"/>
      <c r="KA257" s="1009"/>
      <c r="KB257" s="1009"/>
      <c r="KC257" s="1009"/>
      <c r="KD257" s="1009"/>
      <c r="KE257" s="1009"/>
      <c r="KF257" s="1009"/>
      <c r="KG257" s="1009"/>
      <c r="KH257" s="1009"/>
      <c r="KI257" s="1009"/>
      <c r="KJ257" s="1009"/>
      <c r="KK257" s="1009"/>
      <c r="KL257" s="1009"/>
      <c r="KM257" s="1009"/>
      <c r="KN257" s="1009"/>
      <c r="KO257" s="1009"/>
      <c r="KP257" s="1009"/>
      <c r="KQ257" s="1009"/>
      <c r="KR257" s="1009"/>
      <c r="KS257" s="1009"/>
      <c r="KT257" s="1009"/>
      <c r="KU257" s="1009"/>
      <c r="KV257" s="1009"/>
      <c r="KW257" s="1009"/>
      <c r="KX257" s="1009"/>
      <c r="KY257" s="1009"/>
      <c r="KZ257" s="1009"/>
      <c r="LA257" s="1009"/>
      <c r="LB257" s="1009"/>
      <c r="LC257" s="1009"/>
      <c r="LD257" s="1009"/>
      <c r="LE257" s="1009"/>
      <c r="LF257" s="1009"/>
      <c r="LG257" s="1009"/>
      <c r="LH257" s="1009"/>
      <c r="LI257" s="1009"/>
      <c r="LJ257" s="1009"/>
      <c r="LK257" s="1009"/>
      <c r="LL257" s="1009"/>
      <c r="LM257" s="1009"/>
      <c r="LN257" s="1009"/>
      <c r="LO257" s="1009"/>
      <c r="LP257" s="1009"/>
      <c r="LQ257" s="1009"/>
      <c r="LR257" s="1009"/>
      <c r="LS257" s="1009"/>
      <c r="LT257" s="1009"/>
      <c r="LU257" s="1009"/>
      <c r="LV257" s="1009"/>
      <c r="LW257" s="1009"/>
      <c r="LX257" s="1009"/>
      <c r="LY257" s="1009"/>
      <c r="LZ257" s="1009"/>
      <c r="MA257" s="1009"/>
      <c r="MB257" s="1009"/>
      <c r="MC257" s="1009"/>
      <c r="MD257" s="1009"/>
      <c r="ME257" s="1009"/>
      <c r="MF257" s="1009"/>
      <c r="MG257" s="1009"/>
      <c r="MH257" s="1009"/>
      <c r="MI257" s="1009"/>
      <c r="MJ257" s="1009"/>
      <c r="MK257" s="1009"/>
      <c r="ML257" s="1009"/>
      <c r="MM257" s="1009"/>
      <c r="MN257" s="1009"/>
      <c r="MO257" s="1009"/>
      <c r="MP257" s="1009"/>
      <c r="MQ257" s="1009"/>
      <c r="MR257" s="1009"/>
      <c r="MS257" s="1009"/>
      <c r="MT257" s="1009"/>
      <c r="MU257" s="1009"/>
      <c r="MV257" s="1009"/>
      <c r="MW257" s="1009"/>
      <c r="MX257" s="1009"/>
      <c r="MY257" s="1009"/>
      <c r="MZ257" s="1009"/>
      <c r="NA257" s="1009"/>
      <c r="NB257" s="1009"/>
      <c r="NC257" s="1009"/>
      <c r="ND257" s="1009"/>
      <c r="NE257" s="1009"/>
      <c r="NF257" s="1009"/>
      <c r="NG257" s="1009"/>
      <c r="NH257" s="1009"/>
      <c r="NI257" s="1009"/>
      <c r="NJ257" s="1009"/>
      <c r="NK257" s="1009"/>
      <c r="NL257" s="1009"/>
      <c r="NM257" s="1009"/>
      <c r="NN257" s="1009"/>
      <c r="NO257" s="1009"/>
      <c r="NP257" s="1009"/>
      <c r="NQ257" s="1009"/>
      <c r="NR257" s="1009"/>
      <c r="NS257" s="1009"/>
      <c r="NT257" s="1009"/>
      <c r="NU257" s="1009"/>
      <c r="NV257" s="1009"/>
      <c r="NW257" s="1009"/>
      <c r="NX257" s="1009"/>
      <c r="NY257" s="1009"/>
      <c r="NZ257" s="1009"/>
      <c r="OA257" s="1009"/>
      <c r="OB257" s="1009"/>
      <c r="OC257" s="1009"/>
      <c r="OD257" s="1009"/>
      <c r="OE257" s="1009"/>
      <c r="OF257" s="1009"/>
      <c r="OG257" s="1009"/>
      <c r="OH257" s="1009"/>
      <c r="OI257" s="1009"/>
      <c r="OJ257" s="1009"/>
      <c r="OK257" s="1009"/>
      <c r="OL257" s="1009"/>
      <c r="OM257" s="1009"/>
      <c r="ON257" s="1009"/>
      <c r="OO257" s="1009"/>
      <c r="OP257" s="1009"/>
      <c r="OQ257" s="1009"/>
      <c r="OR257" s="1009"/>
      <c r="OS257" s="1009"/>
      <c r="OT257" s="1009"/>
      <c r="OU257" s="1009"/>
      <c r="OV257" s="1009"/>
      <c r="OW257" s="1009"/>
      <c r="OX257" s="1009"/>
      <c r="OY257" s="1009"/>
      <c r="OZ257" s="1009"/>
      <c r="PA257" s="1009"/>
      <c r="PB257" s="1009"/>
      <c r="PC257" s="1009"/>
      <c r="PD257" s="1009"/>
      <c r="PE257" s="1009"/>
      <c r="PF257" s="1009"/>
      <c r="PG257" s="1009"/>
      <c r="PH257" s="1009"/>
      <c r="PI257" s="1009"/>
      <c r="PJ257" s="1009"/>
      <c r="PK257" s="1009"/>
      <c r="PL257" s="1009"/>
      <c r="PM257" s="1009"/>
      <c r="PN257" s="1009"/>
      <c r="PO257" s="1009"/>
      <c r="PP257" s="1009"/>
      <c r="PQ257" s="1009"/>
      <c r="PR257" s="1009"/>
      <c r="PS257" s="1009"/>
      <c r="PT257" s="1009"/>
      <c r="PU257" s="1009"/>
      <c r="PV257" s="1009"/>
      <c r="PW257" s="1009"/>
      <c r="PX257" s="1009"/>
      <c r="PY257" s="1009"/>
      <c r="PZ257" s="1009"/>
      <c r="QA257" s="1009"/>
      <c r="QB257" s="1009"/>
      <c r="QC257" s="1009"/>
      <c r="QD257" s="1009"/>
      <c r="QE257" s="1009"/>
      <c r="QF257" s="1009"/>
      <c r="QG257" s="1009"/>
      <c r="QH257" s="1009"/>
      <c r="QI257" s="1009"/>
      <c r="QJ257" s="1009"/>
      <c r="QK257" s="1009"/>
      <c r="QL257" s="1009"/>
      <c r="QM257" s="1009"/>
      <c r="QN257" s="1009"/>
      <c r="QO257" s="1009"/>
      <c r="QP257" s="1009"/>
      <c r="QQ257" s="1009"/>
      <c r="QR257" s="1009"/>
      <c r="QS257" s="1009"/>
      <c r="QT257" s="1009"/>
      <c r="QU257" s="1009"/>
      <c r="QV257" s="1009"/>
      <c r="QW257" s="1009"/>
      <c r="QX257" s="1009"/>
      <c r="QY257" s="1009"/>
      <c r="QZ257" s="1009"/>
      <c r="RA257" s="1009"/>
      <c r="RB257" s="1009"/>
      <c r="RC257" s="1009"/>
      <c r="RD257" s="1009"/>
      <c r="RE257" s="1009"/>
      <c r="RF257" s="1009"/>
      <c r="RG257" s="1009"/>
      <c r="RH257" s="1009"/>
      <c r="RI257" s="1009"/>
      <c r="RJ257" s="1009"/>
      <c r="RK257" s="1009"/>
      <c r="RL257" s="1009"/>
      <c r="RM257" s="1009"/>
      <c r="RN257" s="1009"/>
      <c r="RO257" s="1009"/>
      <c r="RP257" s="1009"/>
      <c r="RQ257" s="1009"/>
      <c r="RR257" s="1009"/>
      <c r="RS257" s="1009"/>
      <c r="RT257" s="1009"/>
      <c r="RU257" s="1009"/>
      <c r="RV257" s="1009"/>
      <c r="RW257" s="1009"/>
      <c r="RX257" s="1009"/>
      <c r="RY257" s="1009"/>
      <c r="RZ257" s="1009"/>
      <c r="SA257" s="1009"/>
      <c r="SB257" s="1009"/>
      <c r="SC257" s="1009"/>
      <c r="SD257" s="1009"/>
      <c r="SE257" s="1009"/>
      <c r="SF257" s="1009"/>
      <c r="SG257" s="1009"/>
      <c r="SH257" s="1009"/>
      <c r="SI257" s="1009"/>
      <c r="SJ257" s="1009"/>
      <c r="SK257" s="1009"/>
      <c r="SL257" s="1009"/>
      <c r="SM257" s="1009"/>
      <c r="SN257" s="1009"/>
      <c r="SO257" s="1009"/>
      <c r="SP257" s="1009"/>
      <c r="SQ257" s="1009"/>
      <c r="SR257" s="1009"/>
      <c r="SS257" s="1009"/>
      <c r="ST257" s="1009"/>
      <c r="SU257" s="1009"/>
      <c r="SV257" s="1009"/>
      <c r="SW257" s="1009"/>
      <c r="SX257" s="1009"/>
      <c r="SY257" s="1009"/>
      <c r="SZ257" s="1009"/>
      <c r="TA257" s="1009"/>
      <c r="TB257" s="1009"/>
      <c r="TC257" s="1009"/>
      <c r="TD257" s="1009"/>
      <c r="TE257" s="1009"/>
      <c r="TF257" s="1009"/>
      <c r="TG257" s="1009"/>
      <c r="TH257" s="1009"/>
      <c r="TI257" s="1009"/>
      <c r="TJ257" s="1009"/>
      <c r="TK257" s="1009"/>
      <c r="TL257" s="1009"/>
      <c r="TM257" s="1009"/>
      <c r="TN257" s="1009"/>
      <c r="TO257" s="1009"/>
      <c r="TP257" s="1009"/>
      <c r="TQ257" s="1009"/>
      <c r="TR257" s="1009"/>
      <c r="TS257" s="1009"/>
      <c r="TT257" s="1009"/>
      <c r="TU257" s="1009"/>
      <c r="TV257" s="1009"/>
      <c r="TW257" s="1009"/>
      <c r="TX257" s="1009"/>
      <c r="TY257" s="1009"/>
      <c r="TZ257" s="1009"/>
      <c r="UA257" s="1009"/>
      <c r="UB257" s="1009"/>
      <c r="UC257" s="1009"/>
      <c r="UD257" s="1009"/>
      <c r="UE257" s="1009"/>
      <c r="UF257" s="1009"/>
      <c r="UG257" s="1009"/>
      <c r="UH257" s="1009"/>
      <c r="UI257" s="1009"/>
      <c r="UJ257" s="1009"/>
      <c r="UK257" s="1009"/>
      <c r="UL257" s="1009"/>
      <c r="UM257" s="1009"/>
      <c r="UN257" s="1009"/>
      <c r="UO257" s="1009"/>
      <c r="UP257" s="1009"/>
      <c r="UQ257" s="1009"/>
      <c r="UR257" s="1009"/>
      <c r="US257" s="1009"/>
      <c r="UT257" s="1009"/>
      <c r="UU257" s="1009"/>
      <c r="UV257" s="1009"/>
      <c r="UW257" s="1009"/>
      <c r="UX257" s="1009"/>
      <c r="UY257" s="1009"/>
      <c r="UZ257" s="1009"/>
      <c r="VA257" s="1009"/>
      <c r="VB257" s="1009"/>
      <c r="VC257" s="1009"/>
      <c r="VD257" s="1009"/>
      <c r="VE257" s="1009"/>
      <c r="VF257" s="1009"/>
      <c r="VG257" s="1009"/>
      <c r="VH257" s="1009"/>
      <c r="VI257" s="1009"/>
      <c r="VJ257" s="1009"/>
      <c r="VK257" s="1009"/>
      <c r="VL257" s="1009"/>
      <c r="VM257" s="1009"/>
      <c r="VN257" s="1009"/>
      <c r="VO257" s="1009"/>
      <c r="VP257" s="1009"/>
      <c r="VQ257" s="1009"/>
      <c r="VR257" s="1009"/>
      <c r="VS257" s="1009"/>
      <c r="VT257" s="1009"/>
      <c r="VU257" s="1009"/>
      <c r="VV257" s="1009"/>
      <c r="VW257" s="1009"/>
      <c r="VX257" s="1009"/>
      <c r="VY257" s="1009"/>
      <c r="VZ257" s="1009"/>
      <c r="WA257" s="1009"/>
      <c r="WB257" s="1009"/>
      <c r="WC257" s="1009"/>
      <c r="WD257" s="1009"/>
      <c r="WE257" s="1009"/>
      <c r="WF257" s="1009"/>
      <c r="WG257" s="1009"/>
      <c r="WH257" s="1009"/>
      <c r="WI257" s="1009"/>
      <c r="WJ257" s="1009"/>
      <c r="WK257" s="1009"/>
      <c r="WL257" s="1009"/>
      <c r="WM257" s="1009"/>
      <c r="WN257" s="1009"/>
      <c r="WO257" s="1009"/>
      <c r="WP257" s="1009"/>
      <c r="WQ257" s="1009"/>
      <c r="WR257" s="1009"/>
      <c r="WS257" s="1009"/>
      <c r="WT257" s="1009"/>
      <c r="WU257" s="1009"/>
      <c r="WV257" s="1009"/>
      <c r="WW257" s="1009"/>
      <c r="WX257" s="1009"/>
      <c r="WY257" s="1009"/>
      <c r="WZ257" s="1009"/>
      <c r="XA257" s="1009"/>
      <c r="XB257" s="1009"/>
      <c r="XC257" s="1009"/>
      <c r="XD257" s="1009"/>
      <c r="XE257" s="1009"/>
      <c r="XF257" s="1009"/>
      <c r="XG257" s="1009"/>
      <c r="XH257" s="1009"/>
      <c r="XI257" s="1009"/>
      <c r="XJ257" s="1009"/>
      <c r="XK257" s="1009"/>
      <c r="XL257" s="1009"/>
      <c r="XM257" s="1009"/>
      <c r="XN257" s="1009"/>
      <c r="XO257" s="1009"/>
      <c r="XP257" s="1009"/>
      <c r="XQ257" s="1009"/>
      <c r="XR257" s="1009"/>
      <c r="XS257" s="1009"/>
      <c r="XT257" s="1009"/>
      <c r="XU257" s="1009"/>
      <c r="XV257" s="1009"/>
      <c r="XW257" s="1009"/>
      <c r="XX257" s="1009"/>
      <c r="XY257" s="1009"/>
      <c r="XZ257" s="1009"/>
      <c r="YA257" s="1009"/>
      <c r="YB257" s="1009"/>
      <c r="YC257" s="1009"/>
      <c r="YD257" s="1009"/>
      <c r="YE257" s="1009"/>
      <c r="YF257" s="1009"/>
      <c r="YG257" s="1009"/>
      <c r="YH257" s="1009"/>
      <c r="YI257" s="1009"/>
      <c r="YJ257" s="1009"/>
      <c r="YK257" s="1009"/>
      <c r="YL257" s="1009"/>
      <c r="YM257" s="1009"/>
      <c r="YN257" s="1009"/>
      <c r="YO257" s="1009"/>
      <c r="YP257" s="1009"/>
      <c r="YQ257" s="1009"/>
      <c r="YR257" s="1009"/>
      <c r="YS257" s="1009"/>
      <c r="YT257" s="1009"/>
      <c r="YU257" s="1009"/>
      <c r="YV257" s="1009"/>
      <c r="YW257" s="1009"/>
      <c r="YX257" s="1009"/>
      <c r="YY257" s="1009"/>
      <c r="YZ257" s="1009"/>
      <c r="ZA257" s="1009"/>
      <c r="ZB257" s="1009"/>
      <c r="ZC257" s="1009"/>
      <c r="ZD257" s="1009"/>
      <c r="ZE257" s="1009"/>
      <c r="ZF257" s="1009"/>
      <c r="ZG257" s="1009"/>
      <c r="ZH257" s="1009"/>
      <c r="ZI257" s="1009"/>
      <c r="ZJ257" s="1009"/>
      <c r="ZK257" s="1009"/>
      <c r="ZL257" s="1009"/>
      <c r="ZM257" s="1009"/>
      <c r="ZN257" s="1009"/>
      <c r="ZO257" s="1009"/>
      <c r="ZP257" s="1009"/>
      <c r="ZQ257" s="1009"/>
      <c r="ZR257" s="1009"/>
      <c r="ZS257" s="1009"/>
      <c r="ZT257" s="1009"/>
      <c r="ZU257" s="1009"/>
      <c r="ZV257" s="1009"/>
      <c r="ZW257" s="1009"/>
      <c r="ZX257" s="1009"/>
      <c r="ZY257" s="1009"/>
      <c r="ZZ257" s="1009"/>
      <c r="AAA257" s="1009"/>
      <c r="AAB257" s="1009"/>
      <c r="AAC257" s="1009"/>
      <c r="AAD257" s="1009"/>
      <c r="AAE257" s="1009"/>
      <c r="AAF257" s="1009"/>
      <c r="AAG257" s="1009"/>
      <c r="AAH257" s="1009"/>
      <c r="AAI257" s="1009"/>
      <c r="AAJ257" s="1009"/>
      <c r="AAK257" s="1009"/>
      <c r="AAL257" s="1009"/>
      <c r="AAM257" s="1009"/>
      <c r="AAN257" s="1009"/>
      <c r="AAO257" s="1009"/>
      <c r="AAP257" s="1009"/>
      <c r="AAQ257" s="1009"/>
      <c r="AAR257" s="1009"/>
      <c r="AAS257" s="1009"/>
      <c r="AAT257" s="1009"/>
      <c r="AAU257" s="1009"/>
      <c r="AAV257" s="1009"/>
      <c r="AAW257" s="1009"/>
      <c r="AAX257" s="1009"/>
      <c r="AAY257" s="1009"/>
      <c r="AAZ257" s="1009"/>
      <c r="ABA257" s="1009"/>
      <c r="ABB257" s="1009"/>
      <c r="ABC257" s="1009"/>
      <c r="ABD257" s="1009"/>
      <c r="ABE257" s="1009"/>
      <c r="ABF257" s="1009"/>
      <c r="ABG257" s="1009"/>
      <c r="ABH257" s="1009"/>
      <c r="ABI257" s="1009"/>
      <c r="ABJ257" s="1009"/>
      <c r="ABK257" s="1009"/>
      <c r="ABL257" s="1009"/>
      <c r="ABM257" s="1009"/>
      <c r="ABN257" s="1009"/>
      <c r="ABO257" s="1009"/>
      <c r="ABP257" s="1009"/>
      <c r="ABQ257" s="1009"/>
      <c r="ABR257" s="1009"/>
    </row>
    <row r="258" spans="1:746" s="111" customFormat="1" ht="12" customHeight="1">
      <c r="A258" s="2250"/>
      <c r="B258" s="2686" t="s">
        <v>1235</v>
      </c>
      <c r="C258" s="2687"/>
      <c r="D258" s="2687"/>
      <c r="E258" s="2679"/>
      <c r="F258" s="2691"/>
      <c r="G258" s="2691"/>
      <c r="H258" s="2681"/>
      <c r="I258" s="2597"/>
      <c r="J258" s="2327"/>
      <c r="K258" s="2327"/>
      <c r="L258" s="2327"/>
      <c r="M258" s="2327"/>
      <c r="N258" s="2327"/>
      <c r="O258" s="2327"/>
      <c r="P258" s="2327"/>
      <c r="Q258" s="2327"/>
      <c r="R258" s="2327"/>
      <c r="S258" s="2327"/>
      <c r="T258" s="2327"/>
      <c r="U258" s="2327"/>
      <c r="V258" s="2327"/>
      <c r="W258" s="2327"/>
      <c r="X258" s="2327"/>
      <c r="Y258" s="2327"/>
      <c r="Z258" s="2327"/>
      <c r="AA258" s="2327"/>
      <c r="AB258" s="2327"/>
      <c r="AC258" s="2327"/>
      <c r="AD258" s="2327"/>
      <c r="AE258" s="2327"/>
      <c r="AF258" s="2327"/>
      <c r="AG258" s="376"/>
      <c r="AH258" s="786"/>
      <c r="AI258" s="786"/>
      <c r="AJ258" s="901">
        <f>IF(fx!$C$57=1,SUMIF(fx!I$57:T$57,1,I258:T258),IF(fx!$C$57=2,SUMIF(fx!O$57:AF$57,1,O258:AF258)))</f>
        <v>0</v>
      </c>
      <c r="AK258" s="1207"/>
      <c r="AL258" s="902">
        <f>IF(fx!$C$57=1,SUM(U258:AF258),0)</f>
        <v>0</v>
      </c>
      <c r="AM258" s="1009"/>
      <c r="AN258" s="1026"/>
      <c r="AO258" s="1034"/>
      <c r="AP258" s="1084"/>
      <c r="AQ258" s="1084"/>
      <c r="AR258" s="1009"/>
      <c r="AS258" s="1009"/>
      <c r="AT258" s="1009"/>
      <c r="AU258" s="1009"/>
      <c r="AV258" s="1009"/>
      <c r="AW258" s="1009"/>
      <c r="AX258" s="1009"/>
      <c r="AY258" s="1009"/>
      <c r="AZ258" s="1009"/>
      <c r="BA258" s="1009"/>
      <c r="BB258" s="1009"/>
      <c r="BC258" s="1009"/>
      <c r="BD258" s="1009"/>
      <c r="BE258" s="1009"/>
      <c r="BF258" s="1009"/>
      <c r="BG258" s="1009"/>
      <c r="BH258" s="1009"/>
      <c r="BI258" s="1009"/>
      <c r="BJ258" s="1009"/>
      <c r="BK258" s="1009"/>
      <c r="BL258" s="1009"/>
      <c r="BM258" s="1009"/>
      <c r="BN258" s="1009"/>
      <c r="BO258" s="1009"/>
      <c r="BP258" s="1009"/>
      <c r="BQ258" s="1009"/>
      <c r="BR258" s="1009"/>
      <c r="BS258" s="1009"/>
      <c r="BT258" s="1009"/>
      <c r="BU258" s="1009"/>
      <c r="BV258" s="1009"/>
      <c r="BW258" s="1009"/>
      <c r="BX258" s="1009"/>
      <c r="BY258" s="1009"/>
      <c r="BZ258" s="1009"/>
      <c r="CA258" s="1009"/>
      <c r="CB258" s="1009"/>
      <c r="CC258" s="1009"/>
      <c r="CD258" s="1009"/>
      <c r="CE258" s="1009"/>
      <c r="CF258" s="1009"/>
      <c r="CG258" s="1009"/>
      <c r="CH258" s="1009"/>
      <c r="CI258" s="1009"/>
      <c r="CJ258" s="1009"/>
      <c r="CK258" s="1009"/>
      <c r="CL258" s="1009"/>
      <c r="CM258" s="1009"/>
      <c r="CN258" s="1009"/>
      <c r="CO258" s="1009"/>
      <c r="CP258" s="1009"/>
      <c r="CQ258" s="1009"/>
      <c r="CR258" s="1009"/>
      <c r="CS258" s="1009"/>
      <c r="CT258" s="1009"/>
      <c r="CU258" s="1009"/>
      <c r="CV258" s="1009"/>
      <c r="CW258" s="1009"/>
      <c r="CX258" s="1009"/>
      <c r="CY258" s="1009"/>
      <c r="CZ258" s="1009"/>
      <c r="DA258" s="1009"/>
      <c r="DB258" s="1009"/>
      <c r="DC258" s="1009"/>
      <c r="DD258" s="1009"/>
      <c r="DE258" s="1009"/>
      <c r="DF258" s="1009"/>
      <c r="DG258" s="1009"/>
      <c r="DH258" s="1009"/>
      <c r="DI258" s="1009"/>
      <c r="DJ258" s="1009"/>
      <c r="DK258" s="1009"/>
      <c r="DL258" s="1009"/>
      <c r="DM258" s="1009"/>
      <c r="DN258" s="1009"/>
      <c r="DO258" s="1009"/>
      <c r="DP258" s="1009"/>
      <c r="DQ258" s="1009"/>
      <c r="DR258" s="1009"/>
      <c r="DS258" s="1009"/>
      <c r="DT258" s="1009"/>
      <c r="DU258" s="1009"/>
      <c r="DV258" s="1009"/>
      <c r="DW258" s="1009"/>
      <c r="DX258" s="1009"/>
      <c r="DY258" s="1009"/>
      <c r="DZ258" s="1009"/>
      <c r="EA258" s="1009"/>
      <c r="EB258" s="1009"/>
      <c r="EC258" s="1009"/>
      <c r="ED258" s="1009"/>
      <c r="EE258" s="1009"/>
      <c r="EF258" s="1009"/>
      <c r="EG258" s="1009"/>
      <c r="EH258" s="1009"/>
      <c r="EI258" s="1009"/>
      <c r="EJ258" s="1009"/>
      <c r="EK258" s="1009"/>
      <c r="EL258" s="1009"/>
      <c r="EM258" s="1009"/>
      <c r="EN258" s="1009"/>
      <c r="EO258" s="1009"/>
      <c r="EP258" s="1009"/>
      <c r="EQ258" s="1009"/>
      <c r="ER258" s="1009"/>
      <c r="ES258" s="1009"/>
      <c r="ET258" s="1009"/>
      <c r="EU258" s="1009"/>
      <c r="EV258" s="1009"/>
      <c r="EW258" s="1009"/>
      <c r="EX258" s="1009"/>
      <c r="EY258" s="1009"/>
      <c r="EZ258" s="1009"/>
      <c r="FA258" s="1009"/>
      <c r="FB258" s="1009"/>
      <c r="FC258" s="1009"/>
      <c r="FD258" s="1009"/>
      <c r="FE258" s="1009"/>
      <c r="FF258" s="1009"/>
      <c r="FG258" s="1009"/>
      <c r="FH258" s="1009"/>
      <c r="FI258" s="1009"/>
      <c r="FJ258" s="1009"/>
      <c r="FK258" s="1009"/>
      <c r="FL258" s="1009"/>
      <c r="FM258" s="1009"/>
      <c r="FN258" s="1009"/>
      <c r="FO258" s="1009"/>
      <c r="FP258" s="1009"/>
      <c r="FQ258" s="1009"/>
      <c r="FR258" s="1009"/>
      <c r="FS258" s="1009"/>
      <c r="FT258" s="1009"/>
      <c r="FU258" s="1009"/>
      <c r="FV258" s="1009"/>
      <c r="FW258" s="1009"/>
      <c r="FX258" s="1009"/>
      <c r="FY258" s="1009"/>
      <c r="FZ258" s="1009"/>
      <c r="GA258" s="1009"/>
      <c r="GB258" s="1009"/>
      <c r="GC258" s="1009"/>
      <c r="GD258" s="1009"/>
      <c r="GE258" s="1009"/>
      <c r="GF258" s="1009"/>
      <c r="GG258" s="1009"/>
      <c r="GH258" s="1009"/>
      <c r="GI258" s="1009"/>
      <c r="GJ258" s="1009"/>
      <c r="GK258" s="1009"/>
      <c r="GL258" s="1009"/>
      <c r="GM258" s="1009"/>
      <c r="GN258" s="1009"/>
      <c r="GO258" s="1009"/>
      <c r="GP258" s="1009"/>
      <c r="GQ258" s="1009"/>
      <c r="GR258" s="1009"/>
      <c r="GS258" s="1009"/>
      <c r="GT258" s="1009"/>
      <c r="GU258" s="1009"/>
      <c r="GV258" s="1009"/>
      <c r="GW258" s="1009"/>
      <c r="GX258" s="1009"/>
      <c r="GY258" s="1009"/>
      <c r="GZ258" s="1009"/>
      <c r="HA258" s="1009"/>
      <c r="HB258" s="1009"/>
      <c r="HC258" s="1009"/>
      <c r="HD258" s="1009"/>
      <c r="HE258" s="1009"/>
      <c r="HF258" s="1009"/>
      <c r="HG258" s="1009"/>
      <c r="HH258" s="1009"/>
      <c r="HI258" s="1009"/>
      <c r="HJ258" s="1009"/>
      <c r="HK258" s="1009"/>
      <c r="HL258" s="1009"/>
      <c r="HM258" s="1009"/>
      <c r="HN258" s="1009"/>
      <c r="HO258" s="1009"/>
      <c r="HP258" s="1009"/>
      <c r="HQ258" s="1009"/>
      <c r="HR258" s="1009"/>
      <c r="HS258" s="1009"/>
      <c r="HT258" s="1009"/>
      <c r="HU258" s="1009"/>
      <c r="HV258" s="1009"/>
      <c r="HW258" s="1009"/>
      <c r="HX258" s="1009"/>
      <c r="HY258" s="1009"/>
      <c r="HZ258" s="1009"/>
      <c r="IA258" s="1009"/>
      <c r="IB258" s="1009"/>
      <c r="IC258" s="1009"/>
      <c r="ID258" s="1009"/>
      <c r="IE258" s="1009"/>
      <c r="IF258" s="1009"/>
      <c r="IG258" s="1009"/>
      <c r="IH258" s="1009"/>
      <c r="II258" s="1009"/>
      <c r="IJ258" s="1009"/>
      <c r="IK258" s="1009"/>
      <c r="IL258" s="1009"/>
      <c r="IM258" s="1009"/>
      <c r="IN258" s="1009"/>
      <c r="IO258" s="1009"/>
      <c r="IP258" s="1009"/>
      <c r="IQ258" s="1009"/>
      <c r="IR258" s="1009"/>
      <c r="IS258" s="1009"/>
      <c r="IT258" s="1009"/>
      <c r="IU258" s="1009"/>
      <c r="IV258" s="1009"/>
      <c r="IW258" s="1009"/>
      <c r="IX258" s="1009"/>
      <c r="IY258" s="1009"/>
      <c r="IZ258" s="1009"/>
      <c r="JA258" s="1009"/>
      <c r="JB258" s="1009"/>
      <c r="JC258" s="1009"/>
      <c r="JD258" s="1009"/>
      <c r="JE258" s="1009"/>
      <c r="JF258" s="1009"/>
      <c r="JG258" s="1009"/>
      <c r="JH258" s="1009"/>
      <c r="JI258" s="1009"/>
      <c r="JJ258" s="1009"/>
      <c r="JK258" s="1009"/>
      <c r="JL258" s="1009"/>
      <c r="JM258" s="1009"/>
      <c r="JN258" s="1009"/>
      <c r="JO258" s="1009"/>
      <c r="JP258" s="1009"/>
      <c r="JQ258" s="1009"/>
      <c r="JR258" s="1009"/>
      <c r="JS258" s="1009"/>
      <c r="JT258" s="1009"/>
      <c r="JU258" s="1009"/>
      <c r="JV258" s="1009"/>
      <c r="JW258" s="1009"/>
      <c r="JX258" s="1009"/>
      <c r="JY258" s="1009"/>
      <c r="JZ258" s="1009"/>
      <c r="KA258" s="1009"/>
      <c r="KB258" s="1009"/>
      <c r="KC258" s="1009"/>
      <c r="KD258" s="1009"/>
      <c r="KE258" s="1009"/>
      <c r="KF258" s="1009"/>
      <c r="KG258" s="1009"/>
      <c r="KH258" s="1009"/>
      <c r="KI258" s="1009"/>
      <c r="KJ258" s="1009"/>
      <c r="KK258" s="1009"/>
      <c r="KL258" s="1009"/>
      <c r="KM258" s="1009"/>
      <c r="KN258" s="1009"/>
      <c r="KO258" s="1009"/>
      <c r="KP258" s="1009"/>
      <c r="KQ258" s="1009"/>
      <c r="KR258" s="1009"/>
      <c r="KS258" s="1009"/>
      <c r="KT258" s="1009"/>
      <c r="KU258" s="1009"/>
      <c r="KV258" s="1009"/>
      <c r="KW258" s="1009"/>
      <c r="KX258" s="1009"/>
      <c r="KY258" s="1009"/>
      <c r="KZ258" s="1009"/>
      <c r="LA258" s="1009"/>
      <c r="LB258" s="1009"/>
      <c r="LC258" s="1009"/>
      <c r="LD258" s="1009"/>
      <c r="LE258" s="1009"/>
      <c r="LF258" s="1009"/>
      <c r="LG258" s="1009"/>
      <c r="LH258" s="1009"/>
      <c r="LI258" s="1009"/>
      <c r="LJ258" s="1009"/>
      <c r="LK258" s="1009"/>
      <c r="LL258" s="1009"/>
      <c r="LM258" s="1009"/>
      <c r="LN258" s="1009"/>
      <c r="LO258" s="1009"/>
      <c r="LP258" s="1009"/>
      <c r="LQ258" s="1009"/>
      <c r="LR258" s="1009"/>
      <c r="LS258" s="1009"/>
      <c r="LT258" s="1009"/>
      <c r="LU258" s="1009"/>
      <c r="LV258" s="1009"/>
      <c r="LW258" s="1009"/>
      <c r="LX258" s="1009"/>
      <c r="LY258" s="1009"/>
      <c r="LZ258" s="1009"/>
      <c r="MA258" s="1009"/>
      <c r="MB258" s="1009"/>
      <c r="MC258" s="1009"/>
      <c r="MD258" s="1009"/>
      <c r="ME258" s="1009"/>
      <c r="MF258" s="1009"/>
      <c r="MG258" s="1009"/>
      <c r="MH258" s="1009"/>
      <c r="MI258" s="1009"/>
      <c r="MJ258" s="1009"/>
      <c r="MK258" s="1009"/>
      <c r="ML258" s="1009"/>
      <c r="MM258" s="1009"/>
      <c r="MN258" s="1009"/>
      <c r="MO258" s="1009"/>
      <c r="MP258" s="1009"/>
      <c r="MQ258" s="1009"/>
      <c r="MR258" s="1009"/>
      <c r="MS258" s="1009"/>
      <c r="MT258" s="1009"/>
      <c r="MU258" s="1009"/>
      <c r="MV258" s="1009"/>
      <c r="MW258" s="1009"/>
      <c r="MX258" s="1009"/>
      <c r="MY258" s="1009"/>
      <c r="MZ258" s="1009"/>
      <c r="NA258" s="1009"/>
      <c r="NB258" s="1009"/>
      <c r="NC258" s="1009"/>
      <c r="ND258" s="1009"/>
      <c r="NE258" s="1009"/>
      <c r="NF258" s="1009"/>
      <c r="NG258" s="1009"/>
      <c r="NH258" s="1009"/>
      <c r="NI258" s="1009"/>
      <c r="NJ258" s="1009"/>
      <c r="NK258" s="1009"/>
      <c r="NL258" s="1009"/>
      <c r="NM258" s="1009"/>
      <c r="NN258" s="1009"/>
      <c r="NO258" s="1009"/>
      <c r="NP258" s="1009"/>
      <c r="NQ258" s="1009"/>
      <c r="NR258" s="1009"/>
      <c r="NS258" s="1009"/>
      <c r="NT258" s="1009"/>
      <c r="NU258" s="1009"/>
      <c r="NV258" s="1009"/>
      <c r="NW258" s="1009"/>
      <c r="NX258" s="1009"/>
      <c r="NY258" s="1009"/>
      <c r="NZ258" s="1009"/>
      <c r="OA258" s="1009"/>
      <c r="OB258" s="1009"/>
      <c r="OC258" s="1009"/>
      <c r="OD258" s="1009"/>
      <c r="OE258" s="1009"/>
      <c r="OF258" s="1009"/>
      <c r="OG258" s="1009"/>
      <c r="OH258" s="1009"/>
      <c r="OI258" s="1009"/>
      <c r="OJ258" s="1009"/>
      <c r="OK258" s="1009"/>
      <c r="OL258" s="1009"/>
      <c r="OM258" s="1009"/>
      <c r="ON258" s="1009"/>
      <c r="OO258" s="1009"/>
      <c r="OP258" s="1009"/>
      <c r="OQ258" s="1009"/>
      <c r="OR258" s="1009"/>
      <c r="OS258" s="1009"/>
      <c r="OT258" s="1009"/>
      <c r="OU258" s="1009"/>
      <c r="OV258" s="1009"/>
      <c r="OW258" s="1009"/>
      <c r="OX258" s="1009"/>
      <c r="OY258" s="1009"/>
      <c r="OZ258" s="1009"/>
      <c r="PA258" s="1009"/>
      <c r="PB258" s="1009"/>
      <c r="PC258" s="1009"/>
      <c r="PD258" s="1009"/>
      <c r="PE258" s="1009"/>
      <c r="PF258" s="1009"/>
      <c r="PG258" s="1009"/>
      <c r="PH258" s="1009"/>
      <c r="PI258" s="1009"/>
      <c r="PJ258" s="1009"/>
      <c r="PK258" s="1009"/>
      <c r="PL258" s="1009"/>
      <c r="PM258" s="1009"/>
      <c r="PN258" s="1009"/>
      <c r="PO258" s="1009"/>
      <c r="PP258" s="1009"/>
      <c r="PQ258" s="1009"/>
      <c r="PR258" s="1009"/>
      <c r="PS258" s="1009"/>
      <c r="PT258" s="1009"/>
      <c r="PU258" s="1009"/>
      <c r="PV258" s="1009"/>
      <c r="PW258" s="1009"/>
      <c r="PX258" s="1009"/>
      <c r="PY258" s="1009"/>
      <c r="PZ258" s="1009"/>
      <c r="QA258" s="1009"/>
      <c r="QB258" s="1009"/>
      <c r="QC258" s="1009"/>
      <c r="QD258" s="1009"/>
      <c r="QE258" s="1009"/>
      <c r="QF258" s="1009"/>
      <c r="QG258" s="1009"/>
      <c r="QH258" s="1009"/>
      <c r="QI258" s="1009"/>
      <c r="QJ258" s="1009"/>
      <c r="QK258" s="1009"/>
      <c r="QL258" s="1009"/>
      <c r="QM258" s="1009"/>
      <c r="QN258" s="1009"/>
      <c r="QO258" s="1009"/>
      <c r="QP258" s="1009"/>
      <c r="QQ258" s="1009"/>
      <c r="QR258" s="1009"/>
      <c r="QS258" s="1009"/>
      <c r="QT258" s="1009"/>
      <c r="QU258" s="1009"/>
      <c r="QV258" s="1009"/>
      <c r="QW258" s="1009"/>
      <c r="QX258" s="1009"/>
      <c r="QY258" s="1009"/>
      <c r="QZ258" s="1009"/>
      <c r="RA258" s="1009"/>
      <c r="RB258" s="1009"/>
      <c r="RC258" s="1009"/>
      <c r="RD258" s="1009"/>
      <c r="RE258" s="1009"/>
      <c r="RF258" s="1009"/>
      <c r="RG258" s="1009"/>
      <c r="RH258" s="1009"/>
      <c r="RI258" s="1009"/>
      <c r="RJ258" s="1009"/>
      <c r="RK258" s="1009"/>
      <c r="RL258" s="1009"/>
      <c r="RM258" s="1009"/>
      <c r="RN258" s="1009"/>
      <c r="RO258" s="1009"/>
      <c r="RP258" s="1009"/>
      <c r="RQ258" s="1009"/>
      <c r="RR258" s="1009"/>
      <c r="RS258" s="1009"/>
      <c r="RT258" s="1009"/>
      <c r="RU258" s="1009"/>
      <c r="RV258" s="1009"/>
      <c r="RW258" s="1009"/>
      <c r="RX258" s="1009"/>
      <c r="RY258" s="1009"/>
      <c r="RZ258" s="1009"/>
      <c r="SA258" s="1009"/>
      <c r="SB258" s="1009"/>
      <c r="SC258" s="1009"/>
      <c r="SD258" s="1009"/>
      <c r="SE258" s="1009"/>
      <c r="SF258" s="1009"/>
      <c r="SG258" s="1009"/>
      <c r="SH258" s="1009"/>
      <c r="SI258" s="1009"/>
      <c r="SJ258" s="1009"/>
      <c r="SK258" s="1009"/>
      <c r="SL258" s="1009"/>
      <c r="SM258" s="1009"/>
      <c r="SN258" s="1009"/>
      <c r="SO258" s="1009"/>
      <c r="SP258" s="1009"/>
      <c r="SQ258" s="1009"/>
      <c r="SR258" s="1009"/>
      <c r="SS258" s="1009"/>
      <c r="ST258" s="1009"/>
      <c r="SU258" s="1009"/>
      <c r="SV258" s="1009"/>
      <c r="SW258" s="1009"/>
      <c r="SX258" s="1009"/>
      <c r="SY258" s="1009"/>
      <c r="SZ258" s="1009"/>
      <c r="TA258" s="1009"/>
      <c r="TB258" s="1009"/>
      <c r="TC258" s="1009"/>
      <c r="TD258" s="1009"/>
      <c r="TE258" s="1009"/>
      <c r="TF258" s="1009"/>
      <c r="TG258" s="1009"/>
      <c r="TH258" s="1009"/>
      <c r="TI258" s="1009"/>
      <c r="TJ258" s="1009"/>
      <c r="TK258" s="1009"/>
      <c r="TL258" s="1009"/>
      <c r="TM258" s="1009"/>
      <c r="TN258" s="1009"/>
      <c r="TO258" s="1009"/>
      <c r="TP258" s="1009"/>
      <c r="TQ258" s="1009"/>
      <c r="TR258" s="1009"/>
      <c r="TS258" s="1009"/>
      <c r="TT258" s="1009"/>
      <c r="TU258" s="1009"/>
      <c r="TV258" s="1009"/>
      <c r="TW258" s="1009"/>
      <c r="TX258" s="1009"/>
      <c r="TY258" s="1009"/>
      <c r="TZ258" s="1009"/>
      <c r="UA258" s="1009"/>
      <c r="UB258" s="1009"/>
      <c r="UC258" s="1009"/>
      <c r="UD258" s="1009"/>
      <c r="UE258" s="1009"/>
      <c r="UF258" s="1009"/>
      <c r="UG258" s="1009"/>
      <c r="UH258" s="1009"/>
      <c r="UI258" s="1009"/>
      <c r="UJ258" s="1009"/>
      <c r="UK258" s="1009"/>
      <c r="UL258" s="1009"/>
      <c r="UM258" s="1009"/>
      <c r="UN258" s="1009"/>
      <c r="UO258" s="1009"/>
      <c r="UP258" s="1009"/>
      <c r="UQ258" s="1009"/>
      <c r="UR258" s="1009"/>
      <c r="US258" s="1009"/>
      <c r="UT258" s="1009"/>
      <c r="UU258" s="1009"/>
      <c r="UV258" s="1009"/>
      <c r="UW258" s="1009"/>
      <c r="UX258" s="1009"/>
      <c r="UY258" s="1009"/>
      <c r="UZ258" s="1009"/>
      <c r="VA258" s="1009"/>
      <c r="VB258" s="1009"/>
      <c r="VC258" s="1009"/>
      <c r="VD258" s="1009"/>
      <c r="VE258" s="1009"/>
      <c r="VF258" s="1009"/>
      <c r="VG258" s="1009"/>
      <c r="VH258" s="1009"/>
      <c r="VI258" s="1009"/>
      <c r="VJ258" s="1009"/>
      <c r="VK258" s="1009"/>
      <c r="VL258" s="1009"/>
      <c r="VM258" s="1009"/>
      <c r="VN258" s="1009"/>
      <c r="VO258" s="1009"/>
      <c r="VP258" s="1009"/>
      <c r="VQ258" s="1009"/>
      <c r="VR258" s="1009"/>
      <c r="VS258" s="1009"/>
      <c r="VT258" s="1009"/>
      <c r="VU258" s="1009"/>
      <c r="VV258" s="1009"/>
      <c r="VW258" s="1009"/>
      <c r="VX258" s="1009"/>
      <c r="VY258" s="1009"/>
      <c r="VZ258" s="1009"/>
      <c r="WA258" s="1009"/>
      <c r="WB258" s="1009"/>
      <c r="WC258" s="1009"/>
      <c r="WD258" s="1009"/>
      <c r="WE258" s="1009"/>
      <c r="WF258" s="1009"/>
      <c r="WG258" s="1009"/>
      <c r="WH258" s="1009"/>
      <c r="WI258" s="1009"/>
      <c r="WJ258" s="1009"/>
      <c r="WK258" s="1009"/>
      <c r="WL258" s="1009"/>
      <c r="WM258" s="1009"/>
      <c r="WN258" s="1009"/>
      <c r="WO258" s="1009"/>
      <c r="WP258" s="1009"/>
      <c r="WQ258" s="1009"/>
      <c r="WR258" s="1009"/>
      <c r="WS258" s="1009"/>
      <c r="WT258" s="1009"/>
      <c r="WU258" s="1009"/>
      <c r="WV258" s="1009"/>
      <c r="WW258" s="1009"/>
      <c r="WX258" s="1009"/>
      <c r="WY258" s="1009"/>
      <c r="WZ258" s="1009"/>
      <c r="XA258" s="1009"/>
      <c r="XB258" s="1009"/>
      <c r="XC258" s="1009"/>
      <c r="XD258" s="1009"/>
      <c r="XE258" s="1009"/>
      <c r="XF258" s="1009"/>
      <c r="XG258" s="1009"/>
      <c r="XH258" s="1009"/>
      <c r="XI258" s="1009"/>
      <c r="XJ258" s="1009"/>
      <c r="XK258" s="1009"/>
      <c r="XL258" s="1009"/>
      <c r="XM258" s="1009"/>
      <c r="XN258" s="1009"/>
      <c r="XO258" s="1009"/>
      <c r="XP258" s="1009"/>
      <c r="XQ258" s="1009"/>
      <c r="XR258" s="1009"/>
      <c r="XS258" s="1009"/>
      <c r="XT258" s="1009"/>
      <c r="XU258" s="1009"/>
      <c r="XV258" s="1009"/>
      <c r="XW258" s="1009"/>
      <c r="XX258" s="1009"/>
      <c r="XY258" s="1009"/>
      <c r="XZ258" s="1009"/>
      <c r="YA258" s="1009"/>
      <c r="YB258" s="1009"/>
      <c r="YC258" s="1009"/>
      <c r="YD258" s="1009"/>
      <c r="YE258" s="1009"/>
      <c r="YF258" s="1009"/>
      <c r="YG258" s="1009"/>
      <c r="YH258" s="1009"/>
      <c r="YI258" s="1009"/>
      <c r="YJ258" s="1009"/>
      <c r="YK258" s="1009"/>
      <c r="YL258" s="1009"/>
      <c r="YM258" s="1009"/>
      <c r="YN258" s="1009"/>
      <c r="YO258" s="1009"/>
      <c r="YP258" s="1009"/>
      <c r="YQ258" s="1009"/>
      <c r="YR258" s="1009"/>
      <c r="YS258" s="1009"/>
      <c r="YT258" s="1009"/>
      <c r="YU258" s="1009"/>
      <c r="YV258" s="1009"/>
      <c r="YW258" s="1009"/>
      <c r="YX258" s="1009"/>
      <c r="YY258" s="1009"/>
      <c r="YZ258" s="1009"/>
      <c r="ZA258" s="1009"/>
      <c r="ZB258" s="1009"/>
      <c r="ZC258" s="1009"/>
      <c r="ZD258" s="1009"/>
      <c r="ZE258" s="1009"/>
      <c r="ZF258" s="1009"/>
      <c r="ZG258" s="1009"/>
      <c r="ZH258" s="1009"/>
      <c r="ZI258" s="1009"/>
      <c r="ZJ258" s="1009"/>
      <c r="ZK258" s="1009"/>
      <c r="ZL258" s="1009"/>
      <c r="ZM258" s="1009"/>
      <c r="ZN258" s="1009"/>
      <c r="ZO258" s="1009"/>
      <c r="ZP258" s="1009"/>
      <c r="ZQ258" s="1009"/>
      <c r="ZR258" s="1009"/>
      <c r="ZS258" s="1009"/>
      <c r="ZT258" s="1009"/>
      <c r="ZU258" s="1009"/>
      <c r="ZV258" s="1009"/>
      <c r="ZW258" s="1009"/>
      <c r="ZX258" s="1009"/>
      <c r="ZY258" s="1009"/>
      <c r="ZZ258" s="1009"/>
      <c r="AAA258" s="1009"/>
      <c r="AAB258" s="1009"/>
      <c r="AAC258" s="1009"/>
      <c r="AAD258" s="1009"/>
      <c r="AAE258" s="1009"/>
      <c r="AAF258" s="1009"/>
      <c r="AAG258" s="1009"/>
      <c r="AAH258" s="1009"/>
      <c r="AAI258" s="1009"/>
      <c r="AAJ258" s="1009"/>
      <c r="AAK258" s="1009"/>
      <c r="AAL258" s="1009"/>
      <c r="AAM258" s="1009"/>
      <c r="AAN258" s="1009"/>
      <c r="AAO258" s="1009"/>
      <c r="AAP258" s="1009"/>
      <c r="AAQ258" s="1009"/>
      <c r="AAR258" s="1009"/>
      <c r="AAS258" s="1009"/>
      <c r="AAT258" s="1009"/>
      <c r="AAU258" s="1009"/>
      <c r="AAV258" s="1009"/>
      <c r="AAW258" s="1009"/>
      <c r="AAX258" s="1009"/>
      <c r="AAY258" s="1009"/>
      <c r="AAZ258" s="1009"/>
      <c r="ABA258" s="1009"/>
      <c r="ABB258" s="1009"/>
      <c r="ABC258" s="1009"/>
      <c r="ABD258" s="1009"/>
      <c r="ABE258" s="1009"/>
      <c r="ABF258" s="1009"/>
      <c r="ABG258" s="1009"/>
      <c r="ABH258" s="1009"/>
      <c r="ABI258" s="1009"/>
      <c r="ABJ258" s="1009"/>
      <c r="ABK258" s="1009"/>
      <c r="ABL258" s="1009"/>
      <c r="ABM258" s="1009"/>
      <c r="ABN258" s="1009"/>
      <c r="ABO258" s="1009"/>
      <c r="ABP258" s="1009"/>
      <c r="ABQ258" s="1009"/>
      <c r="ABR258" s="1009"/>
    </row>
    <row r="259" spans="1:746" s="111" customFormat="1" ht="12" customHeight="1">
      <c r="A259" s="2250"/>
      <c r="B259" s="2688" t="s">
        <v>1433</v>
      </c>
      <c r="C259" s="2689"/>
      <c r="D259" s="2689"/>
      <c r="E259" s="2692"/>
      <c r="F259" s="2692"/>
      <c r="G259" s="2692"/>
      <c r="H259" s="2682"/>
      <c r="I259" s="345">
        <f>(I247+I258)*fx!I57</f>
        <v>0</v>
      </c>
      <c r="J259" s="345">
        <f>(J247+J258)*fx!J57</f>
        <v>0</v>
      </c>
      <c r="K259" s="345">
        <f>(K247+K258)*fx!K57</f>
        <v>0</v>
      </c>
      <c r="L259" s="345">
        <f>(L247+L258)*fx!L57</f>
        <v>0</v>
      </c>
      <c r="M259" s="345">
        <f>(M247+M258)*fx!M57</f>
        <v>0</v>
      </c>
      <c r="N259" s="345">
        <f>(N247+N258)*fx!N57</f>
        <v>0</v>
      </c>
      <c r="O259" s="345">
        <f>(O247+O258)*fx!O57</f>
        <v>0</v>
      </c>
      <c r="P259" s="345">
        <f>(P247+P258)*fx!P57</f>
        <v>0</v>
      </c>
      <c r="Q259" s="345">
        <f>(Q247+Q258)*fx!Q57</f>
        <v>0</v>
      </c>
      <c r="R259" s="345">
        <f>(R247+R258)*fx!R57</f>
        <v>0</v>
      </c>
      <c r="S259" s="345">
        <f>(S247+S258)*fx!S57</f>
        <v>0</v>
      </c>
      <c r="T259" s="345">
        <f>(T247+T258)*fx!T57</f>
        <v>0</v>
      </c>
      <c r="U259" s="345">
        <f>(U247+U258)*fx!U57</f>
        <v>0</v>
      </c>
      <c r="V259" s="345">
        <f>(V247+V258)*fx!V57</f>
        <v>0</v>
      </c>
      <c r="W259" s="345">
        <f>(W247+W258)*fx!W57</f>
        <v>0</v>
      </c>
      <c r="X259" s="345">
        <f>(X247+X258)*fx!X57</f>
        <v>0</v>
      </c>
      <c r="Y259" s="345">
        <f>(Y247+Y258)*fx!Y57</f>
        <v>0</v>
      </c>
      <c r="Z259" s="345">
        <f>(Z247+Z258)*fx!Z57</f>
        <v>0</v>
      </c>
      <c r="AA259" s="345">
        <f>(AA247+AA258)*fx!AA57</f>
        <v>0</v>
      </c>
      <c r="AB259" s="345">
        <f>(AB247+AB258)*fx!AB57</f>
        <v>0</v>
      </c>
      <c r="AC259" s="345">
        <f>(AC247+AC258)*fx!AC57</f>
        <v>0</v>
      </c>
      <c r="AD259" s="345">
        <f>(AD247+AD258)*fx!AD57</f>
        <v>0</v>
      </c>
      <c r="AE259" s="345">
        <f>(AE247+AE258)*fx!AE57</f>
        <v>0</v>
      </c>
      <c r="AF259" s="345">
        <f>(AF247+AF258)*fx!AF57</f>
        <v>0</v>
      </c>
      <c r="AG259" s="376"/>
      <c r="AH259" s="786"/>
      <c r="AI259" s="786"/>
      <c r="AJ259" s="901">
        <f>IF(fx!$C$57=1,SUMIF(fx!I$57:T$57,1,I259:T259),IF(fx!$C$57=2,SUMIF(fx!O$57:AF$57,1,O259:AF259)))</f>
        <v>0</v>
      </c>
      <c r="AK259" s="1207"/>
      <c r="AL259" s="902">
        <f>IF(fx!$C$57=1,SUM(U259:AF259),0)</f>
        <v>0</v>
      </c>
      <c r="AM259" s="1009"/>
      <c r="AN259" s="1026"/>
      <c r="AO259" s="1034"/>
      <c r="AP259" s="1084"/>
      <c r="AQ259" s="1084"/>
      <c r="AR259" s="1009"/>
      <c r="AS259" s="1009"/>
      <c r="AT259" s="1009"/>
      <c r="AU259" s="1009"/>
      <c r="AV259" s="1009"/>
      <c r="AW259" s="1009"/>
      <c r="AX259" s="1009"/>
      <c r="AY259" s="1009"/>
      <c r="AZ259" s="1009"/>
      <c r="BA259" s="1009"/>
      <c r="BB259" s="1009"/>
      <c r="BC259" s="1009"/>
      <c r="BD259" s="1009"/>
      <c r="BE259" s="1009"/>
      <c r="BF259" s="1009"/>
      <c r="BG259" s="1009"/>
      <c r="BH259" s="1009"/>
      <c r="BI259" s="1009"/>
      <c r="BJ259" s="1009"/>
      <c r="BK259" s="1009"/>
      <c r="BL259" s="1009"/>
      <c r="BM259" s="1009"/>
      <c r="BN259" s="1009"/>
      <c r="BO259" s="1009"/>
      <c r="BP259" s="1009"/>
      <c r="BQ259" s="1009"/>
      <c r="BR259" s="1009"/>
      <c r="BS259" s="1009"/>
      <c r="BT259" s="1009"/>
      <c r="BU259" s="1009"/>
      <c r="BV259" s="1009"/>
      <c r="BW259" s="1009"/>
      <c r="BX259" s="1009"/>
      <c r="BY259" s="1009"/>
      <c r="BZ259" s="1009"/>
      <c r="CA259" s="1009"/>
      <c r="CB259" s="1009"/>
      <c r="CC259" s="1009"/>
      <c r="CD259" s="1009"/>
      <c r="CE259" s="1009"/>
      <c r="CF259" s="1009"/>
      <c r="CG259" s="1009"/>
      <c r="CH259" s="1009"/>
      <c r="CI259" s="1009"/>
      <c r="CJ259" s="1009"/>
      <c r="CK259" s="1009"/>
      <c r="CL259" s="1009"/>
      <c r="CM259" s="1009"/>
      <c r="CN259" s="1009"/>
      <c r="CO259" s="1009"/>
      <c r="CP259" s="1009"/>
      <c r="CQ259" s="1009"/>
      <c r="CR259" s="1009"/>
      <c r="CS259" s="1009"/>
      <c r="CT259" s="1009"/>
      <c r="CU259" s="1009"/>
      <c r="CV259" s="1009"/>
      <c r="CW259" s="1009"/>
      <c r="CX259" s="1009"/>
      <c r="CY259" s="1009"/>
      <c r="CZ259" s="1009"/>
      <c r="DA259" s="1009"/>
      <c r="DB259" s="1009"/>
      <c r="DC259" s="1009"/>
      <c r="DD259" s="1009"/>
      <c r="DE259" s="1009"/>
      <c r="DF259" s="1009"/>
      <c r="DG259" s="1009"/>
      <c r="DH259" s="1009"/>
      <c r="DI259" s="1009"/>
      <c r="DJ259" s="1009"/>
      <c r="DK259" s="1009"/>
      <c r="DL259" s="1009"/>
      <c r="DM259" s="1009"/>
      <c r="DN259" s="1009"/>
      <c r="DO259" s="1009"/>
      <c r="DP259" s="1009"/>
      <c r="DQ259" s="1009"/>
      <c r="DR259" s="1009"/>
      <c r="DS259" s="1009"/>
      <c r="DT259" s="1009"/>
      <c r="DU259" s="1009"/>
      <c r="DV259" s="1009"/>
      <c r="DW259" s="1009"/>
      <c r="DX259" s="1009"/>
      <c r="DY259" s="1009"/>
      <c r="DZ259" s="1009"/>
      <c r="EA259" s="1009"/>
      <c r="EB259" s="1009"/>
      <c r="EC259" s="1009"/>
      <c r="ED259" s="1009"/>
      <c r="EE259" s="1009"/>
      <c r="EF259" s="1009"/>
      <c r="EG259" s="1009"/>
      <c r="EH259" s="1009"/>
      <c r="EI259" s="1009"/>
      <c r="EJ259" s="1009"/>
      <c r="EK259" s="1009"/>
      <c r="EL259" s="1009"/>
      <c r="EM259" s="1009"/>
      <c r="EN259" s="1009"/>
      <c r="EO259" s="1009"/>
      <c r="EP259" s="1009"/>
      <c r="EQ259" s="1009"/>
      <c r="ER259" s="1009"/>
      <c r="ES259" s="1009"/>
      <c r="ET259" s="1009"/>
      <c r="EU259" s="1009"/>
      <c r="EV259" s="1009"/>
      <c r="EW259" s="1009"/>
      <c r="EX259" s="1009"/>
      <c r="EY259" s="1009"/>
      <c r="EZ259" s="1009"/>
      <c r="FA259" s="1009"/>
      <c r="FB259" s="1009"/>
      <c r="FC259" s="1009"/>
      <c r="FD259" s="1009"/>
      <c r="FE259" s="1009"/>
      <c r="FF259" s="1009"/>
      <c r="FG259" s="1009"/>
      <c r="FH259" s="1009"/>
      <c r="FI259" s="1009"/>
      <c r="FJ259" s="1009"/>
      <c r="FK259" s="1009"/>
      <c r="FL259" s="1009"/>
      <c r="FM259" s="1009"/>
      <c r="FN259" s="1009"/>
      <c r="FO259" s="1009"/>
      <c r="FP259" s="1009"/>
      <c r="FQ259" s="1009"/>
      <c r="FR259" s="1009"/>
      <c r="FS259" s="1009"/>
      <c r="FT259" s="1009"/>
      <c r="FU259" s="1009"/>
      <c r="FV259" s="1009"/>
      <c r="FW259" s="1009"/>
      <c r="FX259" s="1009"/>
      <c r="FY259" s="1009"/>
      <c r="FZ259" s="1009"/>
      <c r="GA259" s="1009"/>
      <c r="GB259" s="1009"/>
      <c r="GC259" s="1009"/>
      <c r="GD259" s="1009"/>
      <c r="GE259" s="1009"/>
      <c r="GF259" s="1009"/>
      <c r="GG259" s="1009"/>
      <c r="GH259" s="1009"/>
      <c r="GI259" s="1009"/>
      <c r="GJ259" s="1009"/>
      <c r="GK259" s="1009"/>
      <c r="GL259" s="1009"/>
      <c r="GM259" s="1009"/>
      <c r="GN259" s="1009"/>
      <c r="GO259" s="1009"/>
      <c r="GP259" s="1009"/>
      <c r="GQ259" s="1009"/>
      <c r="GR259" s="1009"/>
      <c r="GS259" s="1009"/>
      <c r="GT259" s="1009"/>
      <c r="GU259" s="1009"/>
      <c r="GV259" s="1009"/>
      <c r="GW259" s="1009"/>
      <c r="GX259" s="1009"/>
      <c r="GY259" s="1009"/>
      <c r="GZ259" s="1009"/>
      <c r="HA259" s="1009"/>
      <c r="HB259" s="1009"/>
      <c r="HC259" s="1009"/>
      <c r="HD259" s="1009"/>
      <c r="HE259" s="1009"/>
      <c r="HF259" s="1009"/>
      <c r="HG259" s="1009"/>
      <c r="HH259" s="1009"/>
      <c r="HI259" s="1009"/>
      <c r="HJ259" s="1009"/>
      <c r="HK259" s="1009"/>
      <c r="HL259" s="1009"/>
      <c r="HM259" s="1009"/>
      <c r="HN259" s="1009"/>
      <c r="HO259" s="1009"/>
      <c r="HP259" s="1009"/>
      <c r="HQ259" s="1009"/>
      <c r="HR259" s="1009"/>
      <c r="HS259" s="1009"/>
      <c r="HT259" s="1009"/>
      <c r="HU259" s="1009"/>
      <c r="HV259" s="1009"/>
      <c r="HW259" s="1009"/>
      <c r="HX259" s="1009"/>
      <c r="HY259" s="1009"/>
      <c r="HZ259" s="1009"/>
      <c r="IA259" s="1009"/>
      <c r="IB259" s="1009"/>
      <c r="IC259" s="1009"/>
      <c r="ID259" s="1009"/>
      <c r="IE259" s="1009"/>
      <c r="IF259" s="1009"/>
      <c r="IG259" s="1009"/>
      <c r="IH259" s="1009"/>
      <c r="II259" s="1009"/>
      <c r="IJ259" s="1009"/>
      <c r="IK259" s="1009"/>
      <c r="IL259" s="1009"/>
      <c r="IM259" s="1009"/>
      <c r="IN259" s="1009"/>
      <c r="IO259" s="1009"/>
      <c r="IP259" s="1009"/>
      <c r="IQ259" s="1009"/>
      <c r="IR259" s="1009"/>
      <c r="IS259" s="1009"/>
      <c r="IT259" s="1009"/>
      <c r="IU259" s="1009"/>
      <c r="IV259" s="1009"/>
      <c r="IW259" s="1009"/>
      <c r="IX259" s="1009"/>
      <c r="IY259" s="1009"/>
      <c r="IZ259" s="1009"/>
      <c r="JA259" s="1009"/>
      <c r="JB259" s="1009"/>
      <c r="JC259" s="1009"/>
      <c r="JD259" s="1009"/>
      <c r="JE259" s="1009"/>
      <c r="JF259" s="1009"/>
      <c r="JG259" s="1009"/>
      <c r="JH259" s="1009"/>
      <c r="JI259" s="1009"/>
      <c r="JJ259" s="1009"/>
      <c r="JK259" s="1009"/>
      <c r="JL259" s="1009"/>
      <c r="JM259" s="1009"/>
      <c r="JN259" s="1009"/>
      <c r="JO259" s="1009"/>
      <c r="JP259" s="1009"/>
      <c r="JQ259" s="1009"/>
      <c r="JR259" s="1009"/>
      <c r="JS259" s="1009"/>
      <c r="JT259" s="1009"/>
      <c r="JU259" s="1009"/>
      <c r="JV259" s="1009"/>
      <c r="JW259" s="1009"/>
      <c r="JX259" s="1009"/>
      <c r="JY259" s="1009"/>
      <c r="JZ259" s="1009"/>
      <c r="KA259" s="1009"/>
      <c r="KB259" s="1009"/>
      <c r="KC259" s="1009"/>
      <c r="KD259" s="1009"/>
      <c r="KE259" s="1009"/>
      <c r="KF259" s="1009"/>
      <c r="KG259" s="1009"/>
      <c r="KH259" s="1009"/>
      <c r="KI259" s="1009"/>
      <c r="KJ259" s="1009"/>
      <c r="KK259" s="1009"/>
      <c r="KL259" s="1009"/>
      <c r="KM259" s="1009"/>
      <c r="KN259" s="1009"/>
      <c r="KO259" s="1009"/>
      <c r="KP259" s="1009"/>
      <c r="KQ259" s="1009"/>
      <c r="KR259" s="1009"/>
      <c r="KS259" s="1009"/>
      <c r="KT259" s="1009"/>
      <c r="KU259" s="1009"/>
      <c r="KV259" s="1009"/>
      <c r="KW259" s="1009"/>
      <c r="KX259" s="1009"/>
      <c r="KY259" s="1009"/>
      <c r="KZ259" s="1009"/>
      <c r="LA259" s="1009"/>
      <c r="LB259" s="1009"/>
      <c r="LC259" s="1009"/>
      <c r="LD259" s="1009"/>
      <c r="LE259" s="1009"/>
      <c r="LF259" s="1009"/>
      <c r="LG259" s="1009"/>
      <c r="LH259" s="1009"/>
      <c r="LI259" s="1009"/>
      <c r="LJ259" s="1009"/>
      <c r="LK259" s="1009"/>
      <c r="LL259" s="1009"/>
      <c r="LM259" s="1009"/>
      <c r="LN259" s="1009"/>
      <c r="LO259" s="1009"/>
      <c r="LP259" s="1009"/>
      <c r="LQ259" s="1009"/>
      <c r="LR259" s="1009"/>
      <c r="LS259" s="1009"/>
      <c r="LT259" s="1009"/>
      <c r="LU259" s="1009"/>
      <c r="LV259" s="1009"/>
      <c r="LW259" s="1009"/>
      <c r="LX259" s="1009"/>
      <c r="LY259" s="1009"/>
      <c r="LZ259" s="1009"/>
      <c r="MA259" s="1009"/>
      <c r="MB259" s="1009"/>
      <c r="MC259" s="1009"/>
      <c r="MD259" s="1009"/>
      <c r="ME259" s="1009"/>
      <c r="MF259" s="1009"/>
      <c r="MG259" s="1009"/>
      <c r="MH259" s="1009"/>
      <c r="MI259" s="1009"/>
      <c r="MJ259" s="1009"/>
      <c r="MK259" s="1009"/>
      <c r="ML259" s="1009"/>
      <c r="MM259" s="1009"/>
      <c r="MN259" s="1009"/>
      <c r="MO259" s="1009"/>
      <c r="MP259" s="1009"/>
      <c r="MQ259" s="1009"/>
      <c r="MR259" s="1009"/>
      <c r="MS259" s="1009"/>
      <c r="MT259" s="1009"/>
      <c r="MU259" s="1009"/>
      <c r="MV259" s="1009"/>
      <c r="MW259" s="1009"/>
      <c r="MX259" s="1009"/>
      <c r="MY259" s="1009"/>
      <c r="MZ259" s="1009"/>
      <c r="NA259" s="1009"/>
      <c r="NB259" s="1009"/>
      <c r="NC259" s="1009"/>
      <c r="ND259" s="1009"/>
      <c r="NE259" s="1009"/>
      <c r="NF259" s="1009"/>
      <c r="NG259" s="1009"/>
      <c r="NH259" s="1009"/>
      <c r="NI259" s="1009"/>
      <c r="NJ259" s="1009"/>
      <c r="NK259" s="1009"/>
      <c r="NL259" s="1009"/>
      <c r="NM259" s="1009"/>
      <c r="NN259" s="1009"/>
      <c r="NO259" s="1009"/>
      <c r="NP259" s="1009"/>
      <c r="NQ259" s="1009"/>
      <c r="NR259" s="1009"/>
      <c r="NS259" s="1009"/>
      <c r="NT259" s="1009"/>
      <c r="NU259" s="1009"/>
      <c r="NV259" s="1009"/>
      <c r="NW259" s="1009"/>
      <c r="NX259" s="1009"/>
      <c r="NY259" s="1009"/>
      <c r="NZ259" s="1009"/>
      <c r="OA259" s="1009"/>
      <c r="OB259" s="1009"/>
      <c r="OC259" s="1009"/>
      <c r="OD259" s="1009"/>
      <c r="OE259" s="1009"/>
      <c r="OF259" s="1009"/>
      <c r="OG259" s="1009"/>
      <c r="OH259" s="1009"/>
      <c r="OI259" s="1009"/>
      <c r="OJ259" s="1009"/>
      <c r="OK259" s="1009"/>
      <c r="OL259" s="1009"/>
      <c r="OM259" s="1009"/>
      <c r="ON259" s="1009"/>
      <c r="OO259" s="1009"/>
      <c r="OP259" s="1009"/>
      <c r="OQ259" s="1009"/>
      <c r="OR259" s="1009"/>
      <c r="OS259" s="1009"/>
      <c r="OT259" s="1009"/>
      <c r="OU259" s="1009"/>
      <c r="OV259" s="1009"/>
      <c r="OW259" s="1009"/>
      <c r="OX259" s="1009"/>
      <c r="OY259" s="1009"/>
      <c r="OZ259" s="1009"/>
      <c r="PA259" s="1009"/>
      <c r="PB259" s="1009"/>
      <c r="PC259" s="1009"/>
      <c r="PD259" s="1009"/>
      <c r="PE259" s="1009"/>
      <c r="PF259" s="1009"/>
      <c r="PG259" s="1009"/>
      <c r="PH259" s="1009"/>
      <c r="PI259" s="1009"/>
      <c r="PJ259" s="1009"/>
      <c r="PK259" s="1009"/>
      <c r="PL259" s="1009"/>
      <c r="PM259" s="1009"/>
      <c r="PN259" s="1009"/>
      <c r="PO259" s="1009"/>
      <c r="PP259" s="1009"/>
      <c r="PQ259" s="1009"/>
      <c r="PR259" s="1009"/>
      <c r="PS259" s="1009"/>
      <c r="PT259" s="1009"/>
      <c r="PU259" s="1009"/>
      <c r="PV259" s="1009"/>
      <c r="PW259" s="1009"/>
      <c r="PX259" s="1009"/>
      <c r="PY259" s="1009"/>
      <c r="PZ259" s="1009"/>
      <c r="QA259" s="1009"/>
      <c r="QB259" s="1009"/>
      <c r="QC259" s="1009"/>
      <c r="QD259" s="1009"/>
      <c r="QE259" s="1009"/>
      <c r="QF259" s="1009"/>
      <c r="QG259" s="1009"/>
      <c r="QH259" s="1009"/>
      <c r="QI259" s="1009"/>
      <c r="QJ259" s="1009"/>
      <c r="QK259" s="1009"/>
      <c r="QL259" s="1009"/>
      <c r="QM259" s="1009"/>
      <c r="QN259" s="1009"/>
      <c r="QO259" s="1009"/>
      <c r="QP259" s="1009"/>
      <c r="QQ259" s="1009"/>
      <c r="QR259" s="1009"/>
      <c r="QS259" s="1009"/>
      <c r="QT259" s="1009"/>
      <c r="QU259" s="1009"/>
      <c r="QV259" s="1009"/>
      <c r="QW259" s="1009"/>
      <c r="QX259" s="1009"/>
      <c r="QY259" s="1009"/>
      <c r="QZ259" s="1009"/>
      <c r="RA259" s="1009"/>
      <c r="RB259" s="1009"/>
      <c r="RC259" s="1009"/>
      <c r="RD259" s="1009"/>
      <c r="RE259" s="1009"/>
      <c r="RF259" s="1009"/>
      <c r="RG259" s="1009"/>
      <c r="RH259" s="1009"/>
      <c r="RI259" s="1009"/>
      <c r="RJ259" s="1009"/>
      <c r="RK259" s="1009"/>
      <c r="RL259" s="1009"/>
      <c r="RM259" s="1009"/>
      <c r="RN259" s="1009"/>
      <c r="RO259" s="1009"/>
      <c r="RP259" s="1009"/>
      <c r="RQ259" s="1009"/>
      <c r="RR259" s="1009"/>
      <c r="RS259" s="1009"/>
      <c r="RT259" s="1009"/>
      <c r="RU259" s="1009"/>
      <c r="RV259" s="1009"/>
      <c r="RW259" s="1009"/>
      <c r="RX259" s="1009"/>
      <c r="RY259" s="1009"/>
      <c r="RZ259" s="1009"/>
      <c r="SA259" s="1009"/>
      <c r="SB259" s="1009"/>
      <c r="SC259" s="1009"/>
      <c r="SD259" s="1009"/>
      <c r="SE259" s="1009"/>
      <c r="SF259" s="1009"/>
      <c r="SG259" s="1009"/>
      <c r="SH259" s="1009"/>
      <c r="SI259" s="1009"/>
      <c r="SJ259" s="1009"/>
      <c r="SK259" s="1009"/>
      <c r="SL259" s="1009"/>
      <c r="SM259" s="1009"/>
      <c r="SN259" s="1009"/>
      <c r="SO259" s="1009"/>
      <c r="SP259" s="1009"/>
      <c r="SQ259" s="1009"/>
      <c r="SR259" s="1009"/>
      <c r="SS259" s="1009"/>
      <c r="ST259" s="1009"/>
      <c r="SU259" s="1009"/>
      <c r="SV259" s="1009"/>
      <c r="SW259" s="1009"/>
      <c r="SX259" s="1009"/>
      <c r="SY259" s="1009"/>
      <c r="SZ259" s="1009"/>
      <c r="TA259" s="1009"/>
      <c r="TB259" s="1009"/>
      <c r="TC259" s="1009"/>
      <c r="TD259" s="1009"/>
      <c r="TE259" s="1009"/>
      <c r="TF259" s="1009"/>
      <c r="TG259" s="1009"/>
      <c r="TH259" s="1009"/>
      <c r="TI259" s="1009"/>
      <c r="TJ259" s="1009"/>
      <c r="TK259" s="1009"/>
      <c r="TL259" s="1009"/>
      <c r="TM259" s="1009"/>
      <c r="TN259" s="1009"/>
      <c r="TO259" s="1009"/>
      <c r="TP259" s="1009"/>
      <c r="TQ259" s="1009"/>
      <c r="TR259" s="1009"/>
      <c r="TS259" s="1009"/>
      <c r="TT259" s="1009"/>
      <c r="TU259" s="1009"/>
      <c r="TV259" s="1009"/>
      <c r="TW259" s="1009"/>
      <c r="TX259" s="1009"/>
      <c r="TY259" s="1009"/>
      <c r="TZ259" s="1009"/>
      <c r="UA259" s="1009"/>
      <c r="UB259" s="1009"/>
      <c r="UC259" s="1009"/>
      <c r="UD259" s="1009"/>
      <c r="UE259" s="1009"/>
      <c r="UF259" s="1009"/>
      <c r="UG259" s="1009"/>
      <c r="UH259" s="1009"/>
      <c r="UI259" s="1009"/>
      <c r="UJ259" s="1009"/>
      <c r="UK259" s="1009"/>
      <c r="UL259" s="1009"/>
      <c r="UM259" s="1009"/>
      <c r="UN259" s="1009"/>
      <c r="UO259" s="1009"/>
      <c r="UP259" s="1009"/>
      <c r="UQ259" s="1009"/>
      <c r="UR259" s="1009"/>
      <c r="US259" s="1009"/>
      <c r="UT259" s="1009"/>
      <c r="UU259" s="1009"/>
      <c r="UV259" s="1009"/>
      <c r="UW259" s="1009"/>
      <c r="UX259" s="1009"/>
      <c r="UY259" s="1009"/>
      <c r="UZ259" s="1009"/>
      <c r="VA259" s="1009"/>
      <c r="VB259" s="1009"/>
      <c r="VC259" s="1009"/>
      <c r="VD259" s="1009"/>
      <c r="VE259" s="1009"/>
      <c r="VF259" s="1009"/>
      <c r="VG259" s="1009"/>
      <c r="VH259" s="1009"/>
      <c r="VI259" s="1009"/>
      <c r="VJ259" s="1009"/>
      <c r="VK259" s="1009"/>
      <c r="VL259" s="1009"/>
      <c r="VM259" s="1009"/>
      <c r="VN259" s="1009"/>
      <c r="VO259" s="1009"/>
      <c r="VP259" s="1009"/>
      <c r="VQ259" s="1009"/>
      <c r="VR259" s="1009"/>
      <c r="VS259" s="1009"/>
      <c r="VT259" s="1009"/>
      <c r="VU259" s="1009"/>
      <c r="VV259" s="1009"/>
      <c r="VW259" s="1009"/>
      <c r="VX259" s="1009"/>
      <c r="VY259" s="1009"/>
      <c r="VZ259" s="1009"/>
      <c r="WA259" s="1009"/>
      <c r="WB259" s="1009"/>
      <c r="WC259" s="1009"/>
      <c r="WD259" s="1009"/>
      <c r="WE259" s="1009"/>
      <c r="WF259" s="1009"/>
      <c r="WG259" s="1009"/>
      <c r="WH259" s="1009"/>
      <c r="WI259" s="1009"/>
      <c r="WJ259" s="1009"/>
      <c r="WK259" s="1009"/>
      <c r="WL259" s="1009"/>
      <c r="WM259" s="1009"/>
      <c r="WN259" s="1009"/>
      <c r="WO259" s="1009"/>
      <c r="WP259" s="1009"/>
      <c r="WQ259" s="1009"/>
      <c r="WR259" s="1009"/>
      <c r="WS259" s="1009"/>
      <c r="WT259" s="1009"/>
      <c r="WU259" s="1009"/>
      <c r="WV259" s="1009"/>
      <c r="WW259" s="1009"/>
      <c r="WX259" s="1009"/>
      <c r="WY259" s="1009"/>
      <c r="WZ259" s="1009"/>
      <c r="XA259" s="1009"/>
      <c r="XB259" s="1009"/>
      <c r="XC259" s="1009"/>
      <c r="XD259" s="1009"/>
      <c r="XE259" s="1009"/>
      <c r="XF259" s="1009"/>
      <c r="XG259" s="1009"/>
      <c r="XH259" s="1009"/>
      <c r="XI259" s="1009"/>
      <c r="XJ259" s="1009"/>
      <c r="XK259" s="1009"/>
      <c r="XL259" s="1009"/>
      <c r="XM259" s="1009"/>
      <c r="XN259" s="1009"/>
      <c r="XO259" s="1009"/>
      <c r="XP259" s="1009"/>
      <c r="XQ259" s="1009"/>
      <c r="XR259" s="1009"/>
      <c r="XS259" s="1009"/>
      <c r="XT259" s="1009"/>
      <c r="XU259" s="1009"/>
      <c r="XV259" s="1009"/>
      <c r="XW259" s="1009"/>
      <c r="XX259" s="1009"/>
      <c r="XY259" s="1009"/>
      <c r="XZ259" s="1009"/>
      <c r="YA259" s="1009"/>
      <c r="YB259" s="1009"/>
      <c r="YC259" s="1009"/>
      <c r="YD259" s="1009"/>
      <c r="YE259" s="1009"/>
      <c r="YF259" s="1009"/>
      <c r="YG259" s="1009"/>
      <c r="YH259" s="1009"/>
      <c r="YI259" s="1009"/>
      <c r="YJ259" s="1009"/>
      <c r="YK259" s="1009"/>
      <c r="YL259" s="1009"/>
      <c r="YM259" s="1009"/>
      <c r="YN259" s="1009"/>
      <c r="YO259" s="1009"/>
      <c r="YP259" s="1009"/>
      <c r="YQ259" s="1009"/>
      <c r="YR259" s="1009"/>
      <c r="YS259" s="1009"/>
      <c r="YT259" s="1009"/>
      <c r="YU259" s="1009"/>
      <c r="YV259" s="1009"/>
      <c r="YW259" s="1009"/>
      <c r="YX259" s="1009"/>
      <c r="YY259" s="1009"/>
      <c r="YZ259" s="1009"/>
      <c r="ZA259" s="1009"/>
      <c r="ZB259" s="1009"/>
      <c r="ZC259" s="1009"/>
      <c r="ZD259" s="1009"/>
      <c r="ZE259" s="1009"/>
      <c r="ZF259" s="1009"/>
      <c r="ZG259" s="1009"/>
      <c r="ZH259" s="1009"/>
      <c r="ZI259" s="1009"/>
      <c r="ZJ259" s="1009"/>
      <c r="ZK259" s="1009"/>
      <c r="ZL259" s="1009"/>
      <c r="ZM259" s="1009"/>
      <c r="ZN259" s="1009"/>
      <c r="ZO259" s="1009"/>
      <c r="ZP259" s="1009"/>
      <c r="ZQ259" s="1009"/>
      <c r="ZR259" s="1009"/>
      <c r="ZS259" s="1009"/>
      <c r="ZT259" s="1009"/>
      <c r="ZU259" s="1009"/>
      <c r="ZV259" s="1009"/>
      <c r="ZW259" s="1009"/>
      <c r="ZX259" s="1009"/>
      <c r="ZY259" s="1009"/>
      <c r="ZZ259" s="1009"/>
      <c r="AAA259" s="1009"/>
      <c r="AAB259" s="1009"/>
      <c r="AAC259" s="1009"/>
      <c r="AAD259" s="1009"/>
      <c r="AAE259" s="1009"/>
      <c r="AAF259" s="1009"/>
      <c r="AAG259" s="1009"/>
      <c r="AAH259" s="1009"/>
      <c r="AAI259" s="1009"/>
      <c r="AAJ259" s="1009"/>
      <c r="AAK259" s="1009"/>
      <c r="AAL259" s="1009"/>
      <c r="AAM259" s="1009"/>
      <c r="AAN259" s="1009"/>
      <c r="AAO259" s="1009"/>
      <c r="AAP259" s="1009"/>
      <c r="AAQ259" s="1009"/>
      <c r="AAR259" s="1009"/>
      <c r="AAS259" s="1009"/>
      <c r="AAT259" s="1009"/>
      <c r="AAU259" s="1009"/>
      <c r="AAV259" s="1009"/>
      <c r="AAW259" s="1009"/>
      <c r="AAX259" s="1009"/>
      <c r="AAY259" s="1009"/>
      <c r="AAZ259" s="1009"/>
      <c r="ABA259" s="1009"/>
      <c r="ABB259" s="1009"/>
      <c r="ABC259" s="1009"/>
      <c r="ABD259" s="1009"/>
      <c r="ABE259" s="1009"/>
      <c r="ABF259" s="1009"/>
      <c r="ABG259" s="1009"/>
      <c r="ABH259" s="1009"/>
      <c r="ABI259" s="1009"/>
      <c r="ABJ259" s="1009"/>
      <c r="ABK259" s="1009"/>
      <c r="ABL259" s="1009"/>
      <c r="ABM259" s="1009"/>
      <c r="ABN259" s="1009"/>
      <c r="ABO259" s="1009"/>
      <c r="ABP259" s="1009"/>
      <c r="ABQ259" s="1009"/>
      <c r="ABR259" s="1009"/>
    </row>
    <row r="260" spans="1:746" s="111" customFormat="1" ht="12" customHeight="1">
      <c r="A260" s="789"/>
      <c r="B260" s="2502"/>
      <c r="C260" s="2252"/>
      <c r="D260" s="2252"/>
      <c r="E260" s="2165"/>
      <c r="F260" s="2253"/>
      <c r="G260" s="2165"/>
      <c r="H260" s="2165"/>
      <c r="I260" s="2570" t="str">
        <f>IF(fx!I$57=0,"&gt;&gt;",IF($L$4=I$6,"","Välj 1-12 i P4"))</f>
        <v/>
      </c>
      <c r="J260" s="1843" t="str">
        <f>IF(fx!J$57=0,"&gt;&gt;",IF($L$4=J$6,"Startmånad",""))</f>
        <v/>
      </c>
      <c r="K260" s="1843" t="str">
        <f>IF(fx!K$57=0,"&gt;&gt;",IF($L$4=K$6,"Startmånad",""))</f>
        <v/>
      </c>
      <c r="L260" s="1843" t="str">
        <f>IF(fx!L$57=0,"&gt;&gt;",IF($L$4=L$6,"Startmånad",""))</f>
        <v/>
      </c>
      <c r="M260" s="1843" t="str">
        <f>IF(fx!M$57=0,"&gt;&gt;",IF($L$4=M$6,"Startmånad",""))</f>
        <v/>
      </c>
      <c r="N260" s="1843" t="str">
        <f>IF(fx!N$57=0,"&gt;&gt;",IF($L$4=N$6,"Startmånad",""))</f>
        <v/>
      </c>
      <c r="O260" s="1843" t="str">
        <f>IF(AND(fx!$C$57=1,fx!O$57=0),"&gt;&gt;",IF(AND(fx!$C$57=1,$L$4=$O$6),"Startmånad",IF(AND(fx!$C$57=2,$L$4&lt;7),"Välj 7-12 i P4",IF(AND(fx!$C$57=2,$L$4=$O$6),"Startmånad",IF(AND(fx!$C$57=2,$L$4&gt;$O$6),"&gt;&gt;","")))))</f>
        <v/>
      </c>
      <c r="P260" s="1843" t="str">
        <f>IF(fx!P$57=0,"&gt;&gt;",IF($L$4=P$6,"Startmånad",""))</f>
        <v/>
      </c>
      <c r="Q260" s="1843" t="str">
        <f>IF(fx!Q$57=0,"&gt;&gt;",IF($L$4=Q$6,"Startmånad",""))</f>
        <v/>
      </c>
      <c r="R260" s="1843" t="str">
        <f>IF(fx!R$57=0,"&gt;&gt;",IF($L$4=R$6,"Startmånad",""))</f>
        <v/>
      </c>
      <c r="S260" s="1843" t="str">
        <f>IF(fx!S$57=0,"&gt;&gt;",IF($L$4=S$6,"Startmånad",""))</f>
        <v/>
      </c>
      <c r="T260" s="2717" t="str">
        <f>IF(fx!T$57=0,"&gt;&gt;",IF($L$4=T$6,"Startmånad",""))</f>
        <v/>
      </c>
      <c r="U260" s="2718"/>
      <c r="V260" s="2255"/>
      <c r="W260" s="2255"/>
      <c r="X260" s="2255"/>
      <c r="Y260" s="2255"/>
      <c r="Z260" s="2255"/>
      <c r="AA260" s="2255"/>
      <c r="AB260" s="2255"/>
      <c r="AC260" s="2255"/>
      <c r="AD260" s="2255"/>
      <c r="AE260" s="2255"/>
      <c r="AF260" s="2255"/>
      <c r="AG260" s="376"/>
      <c r="AH260" s="786"/>
      <c r="AI260" s="786"/>
      <c r="AJ260" s="1044"/>
      <c r="AK260" s="1047"/>
      <c r="AL260" s="1044"/>
      <c r="AM260" s="1009"/>
      <c r="AN260" s="1026"/>
      <c r="AO260" s="1034"/>
      <c r="AP260" s="1084"/>
      <c r="AQ260" s="1084"/>
      <c r="AR260" s="1009"/>
      <c r="AS260" s="1009"/>
      <c r="AT260" s="1009"/>
      <c r="AU260" s="1009"/>
      <c r="AV260" s="1009"/>
      <c r="AW260" s="1009"/>
      <c r="AX260" s="1009"/>
      <c r="AY260" s="1009"/>
      <c r="AZ260" s="1009"/>
      <c r="BA260" s="1009"/>
      <c r="BB260" s="1009"/>
      <c r="BC260" s="1009"/>
      <c r="BD260" s="1009"/>
      <c r="BE260" s="1009"/>
      <c r="BF260" s="1009"/>
      <c r="BG260" s="1009"/>
      <c r="BH260" s="1009"/>
      <c r="BI260" s="1009"/>
      <c r="BJ260" s="1009"/>
      <c r="BK260" s="1009"/>
      <c r="BL260" s="1009"/>
      <c r="BM260" s="1009"/>
      <c r="BN260" s="1009"/>
      <c r="BO260" s="1009"/>
      <c r="BP260" s="1009"/>
      <c r="BQ260" s="1009"/>
      <c r="BR260" s="1009"/>
      <c r="BS260" s="1009"/>
      <c r="BT260" s="1009"/>
      <c r="BU260" s="1009"/>
      <c r="BV260" s="1009"/>
      <c r="BW260" s="1009"/>
      <c r="BX260" s="1009"/>
      <c r="BY260" s="1009"/>
      <c r="BZ260" s="1009"/>
      <c r="CA260" s="1009"/>
      <c r="CB260" s="1009"/>
      <c r="CC260" s="1009"/>
      <c r="CD260" s="1009"/>
      <c r="CE260" s="1009"/>
      <c r="CF260" s="1009"/>
      <c r="CG260" s="1009"/>
      <c r="CH260" s="1009"/>
      <c r="CI260" s="1009"/>
      <c r="CJ260" s="1009"/>
      <c r="CK260" s="1009"/>
      <c r="CL260" s="1009"/>
      <c r="CM260" s="1009"/>
      <c r="CN260" s="1009"/>
      <c r="CO260" s="1009"/>
      <c r="CP260" s="1009"/>
      <c r="CQ260" s="1009"/>
      <c r="CR260" s="1009"/>
      <c r="CS260" s="1009"/>
      <c r="CT260" s="1009"/>
      <c r="CU260" s="1009"/>
      <c r="CV260" s="1009"/>
      <c r="CW260" s="1009"/>
      <c r="CX260" s="1009"/>
      <c r="CY260" s="1009"/>
      <c r="CZ260" s="1009"/>
      <c r="DA260" s="1009"/>
      <c r="DB260" s="1009"/>
      <c r="DC260" s="1009"/>
      <c r="DD260" s="1009"/>
      <c r="DE260" s="1009"/>
      <c r="DF260" s="1009"/>
      <c r="DG260" s="1009"/>
      <c r="DH260" s="1009"/>
      <c r="DI260" s="1009"/>
      <c r="DJ260" s="1009"/>
      <c r="DK260" s="1009"/>
      <c r="DL260" s="1009"/>
      <c r="DM260" s="1009"/>
      <c r="DN260" s="1009"/>
      <c r="DO260" s="1009"/>
      <c r="DP260" s="1009"/>
      <c r="DQ260" s="1009"/>
      <c r="DR260" s="1009"/>
      <c r="DS260" s="1009"/>
      <c r="DT260" s="1009"/>
      <c r="DU260" s="1009"/>
      <c r="DV260" s="1009"/>
      <c r="DW260" s="1009"/>
      <c r="DX260" s="1009"/>
      <c r="DY260" s="1009"/>
      <c r="DZ260" s="1009"/>
      <c r="EA260" s="1009"/>
      <c r="EB260" s="1009"/>
      <c r="EC260" s="1009"/>
      <c r="ED260" s="1009"/>
      <c r="EE260" s="1009"/>
      <c r="EF260" s="1009"/>
      <c r="EG260" s="1009"/>
      <c r="EH260" s="1009"/>
      <c r="EI260" s="1009"/>
      <c r="EJ260" s="1009"/>
      <c r="EK260" s="1009"/>
      <c r="EL260" s="1009"/>
      <c r="EM260" s="1009"/>
      <c r="EN260" s="1009"/>
      <c r="EO260" s="1009"/>
      <c r="EP260" s="1009"/>
      <c r="EQ260" s="1009"/>
      <c r="ER260" s="1009"/>
      <c r="ES260" s="1009"/>
      <c r="ET260" s="1009"/>
      <c r="EU260" s="1009"/>
      <c r="EV260" s="1009"/>
      <c r="EW260" s="1009"/>
      <c r="EX260" s="1009"/>
      <c r="EY260" s="1009"/>
      <c r="EZ260" s="1009"/>
      <c r="FA260" s="1009"/>
      <c r="FB260" s="1009"/>
      <c r="FC260" s="1009"/>
      <c r="FD260" s="1009"/>
      <c r="FE260" s="1009"/>
      <c r="FF260" s="1009"/>
      <c r="FG260" s="1009"/>
      <c r="FH260" s="1009"/>
      <c r="FI260" s="1009"/>
      <c r="FJ260" s="1009"/>
      <c r="FK260" s="1009"/>
      <c r="FL260" s="1009"/>
      <c r="FM260" s="1009"/>
      <c r="FN260" s="1009"/>
      <c r="FO260" s="1009"/>
      <c r="FP260" s="1009"/>
      <c r="FQ260" s="1009"/>
      <c r="FR260" s="1009"/>
      <c r="FS260" s="1009"/>
      <c r="FT260" s="1009"/>
      <c r="FU260" s="1009"/>
      <c r="FV260" s="1009"/>
      <c r="FW260" s="1009"/>
      <c r="FX260" s="1009"/>
      <c r="FY260" s="1009"/>
      <c r="FZ260" s="1009"/>
      <c r="GA260" s="1009"/>
      <c r="GB260" s="1009"/>
      <c r="GC260" s="1009"/>
      <c r="GD260" s="1009"/>
      <c r="GE260" s="1009"/>
      <c r="GF260" s="1009"/>
      <c r="GG260" s="1009"/>
      <c r="GH260" s="1009"/>
      <c r="GI260" s="1009"/>
      <c r="GJ260" s="1009"/>
      <c r="GK260" s="1009"/>
      <c r="GL260" s="1009"/>
      <c r="GM260" s="1009"/>
      <c r="GN260" s="1009"/>
      <c r="GO260" s="1009"/>
      <c r="GP260" s="1009"/>
      <c r="GQ260" s="1009"/>
      <c r="GR260" s="1009"/>
      <c r="GS260" s="1009"/>
      <c r="GT260" s="1009"/>
      <c r="GU260" s="1009"/>
      <c r="GV260" s="1009"/>
      <c r="GW260" s="1009"/>
      <c r="GX260" s="1009"/>
      <c r="GY260" s="1009"/>
      <c r="GZ260" s="1009"/>
      <c r="HA260" s="1009"/>
      <c r="HB260" s="1009"/>
      <c r="HC260" s="1009"/>
      <c r="HD260" s="1009"/>
      <c r="HE260" s="1009"/>
      <c r="HF260" s="1009"/>
      <c r="HG260" s="1009"/>
      <c r="HH260" s="1009"/>
      <c r="HI260" s="1009"/>
      <c r="HJ260" s="1009"/>
      <c r="HK260" s="1009"/>
      <c r="HL260" s="1009"/>
      <c r="HM260" s="1009"/>
      <c r="HN260" s="1009"/>
      <c r="HO260" s="1009"/>
      <c r="HP260" s="1009"/>
      <c r="HQ260" s="1009"/>
      <c r="HR260" s="1009"/>
      <c r="HS260" s="1009"/>
      <c r="HT260" s="1009"/>
      <c r="HU260" s="1009"/>
      <c r="HV260" s="1009"/>
      <c r="HW260" s="1009"/>
      <c r="HX260" s="1009"/>
      <c r="HY260" s="1009"/>
      <c r="HZ260" s="1009"/>
      <c r="IA260" s="1009"/>
      <c r="IB260" s="1009"/>
      <c r="IC260" s="1009"/>
      <c r="ID260" s="1009"/>
      <c r="IE260" s="1009"/>
      <c r="IF260" s="1009"/>
      <c r="IG260" s="1009"/>
      <c r="IH260" s="1009"/>
      <c r="II260" s="1009"/>
      <c r="IJ260" s="1009"/>
      <c r="IK260" s="1009"/>
      <c r="IL260" s="1009"/>
      <c r="IM260" s="1009"/>
      <c r="IN260" s="1009"/>
      <c r="IO260" s="1009"/>
      <c r="IP260" s="1009"/>
      <c r="IQ260" s="1009"/>
      <c r="IR260" s="1009"/>
      <c r="IS260" s="1009"/>
      <c r="IT260" s="1009"/>
      <c r="IU260" s="1009"/>
      <c r="IV260" s="1009"/>
      <c r="IW260" s="1009"/>
      <c r="IX260" s="1009"/>
      <c r="IY260" s="1009"/>
      <c r="IZ260" s="1009"/>
      <c r="JA260" s="1009"/>
      <c r="JB260" s="1009"/>
      <c r="JC260" s="1009"/>
      <c r="JD260" s="1009"/>
      <c r="JE260" s="1009"/>
      <c r="JF260" s="1009"/>
      <c r="JG260" s="1009"/>
      <c r="JH260" s="1009"/>
      <c r="JI260" s="1009"/>
      <c r="JJ260" s="1009"/>
      <c r="JK260" s="1009"/>
      <c r="JL260" s="1009"/>
      <c r="JM260" s="1009"/>
      <c r="JN260" s="1009"/>
      <c r="JO260" s="1009"/>
      <c r="JP260" s="1009"/>
      <c r="JQ260" s="1009"/>
      <c r="JR260" s="1009"/>
      <c r="JS260" s="1009"/>
      <c r="JT260" s="1009"/>
      <c r="JU260" s="1009"/>
      <c r="JV260" s="1009"/>
      <c r="JW260" s="1009"/>
      <c r="JX260" s="1009"/>
      <c r="JY260" s="1009"/>
      <c r="JZ260" s="1009"/>
      <c r="KA260" s="1009"/>
      <c r="KB260" s="1009"/>
      <c r="KC260" s="1009"/>
      <c r="KD260" s="1009"/>
      <c r="KE260" s="1009"/>
      <c r="KF260" s="1009"/>
      <c r="KG260" s="1009"/>
      <c r="KH260" s="1009"/>
      <c r="KI260" s="1009"/>
      <c r="KJ260" s="1009"/>
      <c r="KK260" s="1009"/>
      <c r="KL260" s="1009"/>
      <c r="KM260" s="1009"/>
      <c r="KN260" s="1009"/>
      <c r="KO260" s="1009"/>
      <c r="KP260" s="1009"/>
      <c r="KQ260" s="1009"/>
      <c r="KR260" s="1009"/>
      <c r="KS260" s="1009"/>
      <c r="KT260" s="1009"/>
      <c r="KU260" s="1009"/>
      <c r="KV260" s="1009"/>
      <c r="KW260" s="1009"/>
      <c r="KX260" s="1009"/>
      <c r="KY260" s="1009"/>
      <c r="KZ260" s="1009"/>
      <c r="LA260" s="1009"/>
      <c r="LB260" s="1009"/>
      <c r="LC260" s="1009"/>
      <c r="LD260" s="1009"/>
      <c r="LE260" s="1009"/>
      <c r="LF260" s="1009"/>
      <c r="LG260" s="1009"/>
      <c r="LH260" s="1009"/>
      <c r="LI260" s="1009"/>
      <c r="LJ260" s="1009"/>
      <c r="LK260" s="1009"/>
      <c r="LL260" s="1009"/>
      <c r="LM260" s="1009"/>
      <c r="LN260" s="1009"/>
      <c r="LO260" s="1009"/>
      <c r="LP260" s="1009"/>
      <c r="LQ260" s="1009"/>
      <c r="LR260" s="1009"/>
      <c r="LS260" s="1009"/>
      <c r="LT260" s="1009"/>
      <c r="LU260" s="1009"/>
      <c r="LV260" s="1009"/>
      <c r="LW260" s="1009"/>
      <c r="LX260" s="1009"/>
      <c r="LY260" s="1009"/>
      <c r="LZ260" s="1009"/>
      <c r="MA260" s="1009"/>
      <c r="MB260" s="1009"/>
      <c r="MC260" s="1009"/>
      <c r="MD260" s="1009"/>
      <c r="ME260" s="1009"/>
      <c r="MF260" s="1009"/>
      <c r="MG260" s="1009"/>
      <c r="MH260" s="1009"/>
      <c r="MI260" s="1009"/>
      <c r="MJ260" s="1009"/>
      <c r="MK260" s="1009"/>
      <c r="ML260" s="1009"/>
      <c r="MM260" s="1009"/>
      <c r="MN260" s="1009"/>
      <c r="MO260" s="1009"/>
      <c r="MP260" s="1009"/>
      <c r="MQ260" s="1009"/>
      <c r="MR260" s="1009"/>
      <c r="MS260" s="1009"/>
      <c r="MT260" s="1009"/>
      <c r="MU260" s="1009"/>
      <c r="MV260" s="1009"/>
      <c r="MW260" s="1009"/>
      <c r="MX260" s="1009"/>
      <c r="MY260" s="1009"/>
      <c r="MZ260" s="1009"/>
      <c r="NA260" s="1009"/>
      <c r="NB260" s="1009"/>
      <c r="NC260" s="1009"/>
      <c r="ND260" s="1009"/>
      <c r="NE260" s="1009"/>
      <c r="NF260" s="1009"/>
      <c r="NG260" s="1009"/>
      <c r="NH260" s="1009"/>
      <c r="NI260" s="1009"/>
      <c r="NJ260" s="1009"/>
      <c r="NK260" s="1009"/>
      <c r="NL260" s="1009"/>
      <c r="NM260" s="1009"/>
      <c r="NN260" s="1009"/>
      <c r="NO260" s="1009"/>
      <c r="NP260" s="1009"/>
      <c r="NQ260" s="1009"/>
      <c r="NR260" s="1009"/>
      <c r="NS260" s="1009"/>
      <c r="NT260" s="1009"/>
      <c r="NU260" s="1009"/>
      <c r="NV260" s="1009"/>
      <c r="NW260" s="1009"/>
      <c r="NX260" s="1009"/>
      <c r="NY260" s="1009"/>
      <c r="NZ260" s="1009"/>
      <c r="OA260" s="1009"/>
      <c r="OB260" s="1009"/>
      <c r="OC260" s="1009"/>
      <c r="OD260" s="1009"/>
      <c r="OE260" s="1009"/>
      <c r="OF260" s="1009"/>
      <c r="OG260" s="1009"/>
      <c r="OH260" s="1009"/>
      <c r="OI260" s="1009"/>
      <c r="OJ260" s="1009"/>
      <c r="OK260" s="1009"/>
      <c r="OL260" s="1009"/>
      <c r="OM260" s="1009"/>
      <c r="ON260" s="1009"/>
      <c r="OO260" s="1009"/>
      <c r="OP260" s="1009"/>
      <c r="OQ260" s="1009"/>
      <c r="OR260" s="1009"/>
      <c r="OS260" s="1009"/>
      <c r="OT260" s="1009"/>
      <c r="OU260" s="1009"/>
      <c r="OV260" s="1009"/>
      <c r="OW260" s="1009"/>
      <c r="OX260" s="1009"/>
      <c r="OY260" s="1009"/>
      <c r="OZ260" s="1009"/>
      <c r="PA260" s="1009"/>
      <c r="PB260" s="1009"/>
      <c r="PC260" s="1009"/>
      <c r="PD260" s="1009"/>
      <c r="PE260" s="1009"/>
      <c r="PF260" s="1009"/>
      <c r="PG260" s="1009"/>
      <c r="PH260" s="1009"/>
      <c r="PI260" s="1009"/>
      <c r="PJ260" s="1009"/>
      <c r="PK260" s="1009"/>
      <c r="PL260" s="1009"/>
      <c r="PM260" s="1009"/>
      <c r="PN260" s="1009"/>
      <c r="PO260" s="1009"/>
      <c r="PP260" s="1009"/>
      <c r="PQ260" s="1009"/>
      <c r="PR260" s="1009"/>
      <c r="PS260" s="1009"/>
      <c r="PT260" s="1009"/>
      <c r="PU260" s="1009"/>
      <c r="PV260" s="1009"/>
      <c r="PW260" s="1009"/>
      <c r="PX260" s="1009"/>
      <c r="PY260" s="1009"/>
      <c r="PZ260" s="1009"/>
      <c r="QA260" s="1009"/>
      <c r="QB260" s="1009"/>
      <c r="QC260" s="1009"/>
      <c r="QD260" s="1009"/>
      <c r="QE260" s="1009"/>
      <c r="QF260" s="1009"/>
      <c r="QG260" s="1009"/>
      <c r="QH260" s="1009"/>
      <c r="QI260" s="1009"/>
      <c r="QJ260" s="1009"/>
      <c r="QK260" s="1009"/>
      <c r="QL260" s="1009"/>
      <c r="QM260" s="1009"/>
      <c r="QN260" s="1009"/>
      <c r="QO260" s="1009"/>
      <c r="QP260" s="1009"/>
      <c r="QQ260" s="1009"/>
      <c r="QR260" s="1009"/>
      <c r="QS260" s="1009"/>
      <c r="QT260" s="1009"/>
      <c r="QU260" s="1009"/>
      <c r="QV260" s="1009"/>
      <c r="QW260" s="1009"/>
      <c r="QX260" s="1009"/>
      <c r="QY260" s="1009"/>
      <c r="QZ260" s="1009"/>
      <c r="RA260" s="1009"/>
      <c r="RB260" s="1009"/>
      <c r="RC260" s="1009"/>
      <c r="RD260" s="1009"/>
      <c r="RE260" s="1009"/>
      <c r="RF260" s="1009"/>
      <c r="RG260" s="1009"/>
      <c r="RH260" s="1009"/>
      <c r="RI260" s="1009"/>
      <c r="RJ260" s="1009"/>
      <c r="RK260" s="1009"/>
      <c r="RL260" s="1009"/>
      <c r="RM260" s="1009"/>
      <c r="RN260" s="1009"/>
      <c r="RO260" s="1009"/>
      <c r="RP260" s="1009"/>
      <c r="RQ260" s="1009"/>
      <c r="RR260" s="1009"/>
      <c r="RS260" s="1009"/>
      <c r="RT260" s="1009"/>
      <c r="RU260" s="1009"/>
      <c r="RV260" s="1009"/>
      <c r="RW260" s="1009"/>
      <c r="RX260" s="1009"/>
      <c r="RY260" s="1009"/>
      <c r="RZ260" s="1009"/>
      <c r="SA260" s="1009"/>
      <c r="SB260" s="1009"/>
      <c r="SC260" s="1009"/>
      <c r="SD260" s="1009"/>
      <c r="SE260" s="1009"/>
      <c r="SF260" s="1009"/>
      <c r="SG260" s="1009"/>
      <c r="SH260" s="1009"/>
      <c r="SI260" s="1009"/>
      <c r="SJ260" s="1009"/>
      <c r="SK260" s="1009"/>
      <c r="SL260" s="1009"/>
      <c r="SM260" s="1009"/>
      <c r="SN260" s="1009"/>
      <c r="SO260" s="1009"/>
      <c r="SP260" s="1009"/>
      <c r="SQ260" s="1009"/>
      <c r="SR260" s="1009"/>
      <c r="SS260" s="1009"/>
      <c r="ST260" s="1009"/>
      <c r="SU260" s="1009"/>
      <c r="SV260" s="1009"/>
      <c r="SW260" s="1009"/>
      <c r="SX260" s="1009"/>
      <c r="SY260" s="1009"/>
      <c r="SZ260" s="1009"/>
      <c r="TA260" s="1009"/>
      <c r="TB260" s="1009"/>
      <c r="TC260" s="1009"/>
      <c r="TD260" s="1009"/>
      <c r="TE260" s="1009"/>
      <c r="TF260" s="1009"/>
      <c r="TG260" s="1009"/>
      <c r="TH260" s="1009"/>
      <c r="TI260" s="1009"/>
      <c r="TJ260" s="1009"/>
      <c r="TK260" s="1009"/>
      <c r="TL260" s="1009"/>
      <c r="TM260" s="1009"/>
      <c r="TN260" s="1009"/>
      <c r="TO260" s="1009"/>
      <c r="TP260" s="1009"/>
      <c r="TQ260" s="1009"/>
      <c r="TR260" s="1009"/>
      <c r="TS260" s="1009"/>
      <c r="TT260" s="1009"/>
      <c r="TU260" s="1009"/>
      <c r="TV260" s="1009"/>
      <c r="TW260" s="1009"/>
      <c r="TX260" s="1009"/>
      <c r="TY260" s="1009"/>
      <c r="TZ260" s="1009"/>
      <c r="UA260" s="1009"/>
      <c r="UB260" s="1009"/>
      <c r="UC260" s="1009"/>
      <c r="UD260" s="1009"/>
      <c r="UE260" s="1009"/>
      <c r="UF260" s="1009"/>
      <c r="UG260" s="1009"/>
      <c r="UH260" s="1009"/>
      <c r="UI260" s="1009"/>
      <c r="UJ260" s="1009"/>
      <c r="UK260" s="1009"/>
      <c r="UL260" s="1009"/>
      <c r="UM260" s="1009"/>
      <c r="UN260" s="1009"/>
      <c r="UO260" s="1009"/>
      <c r="UP260" s="1009"/>
      <c r="UQ260" s="1009"/>
      <c r="UR260" s="1009"/>
      <c r="US260" s="1009"/>
      <c r="UT260" s="1009"/>
      <c r="UU260" s="1009"/>
      <c r="UV260" s="1009"/>
      <c r="UW260" s="1009"/>
      <c r="UX260" s="1009"/>
      <c r="UY260" s="1009"/>
      <c r="UZ260" s="1009"/>
      <c r="VA260" s="1009"/>
      <c r="VB260" s="1009"/>
      <c r="VC260" s="1009"/>
      <c r="VD260" s="1009"/>
      <c r="VE260" s="1009"/>
      <c r="VF260" s="1009"/>
      <c r="VG260" s="1009"/>
      <c r="VH260" s="1009"/>
      <c r="VI260" s="1009"/>
      <c r="VJ260" s="1009"/>
      <c r="VK260" s="1009"/>
      <c r="VL260" s="1009"/>
      <c r="VM260" s="1009"/>
      <c r="VN260" s="1009"/>
      <c r="VO260" s="1009"/>
      <c r="VP260" s="1009"/>
      <c r="VQ260" s="1009"/>
      <c r="VR260" s="1009"/>
      <c r="VS260" s="1009"/>
      <c r="VT260" s="1009"/>
      <c r="VU260" s="1009"/>
      <c r="VV260" s="1009"/>
      <c r="VW260" s="1009"/>
      <c r="VX260" s="1009"/>
      <c r="VY260" s="1009"/>
      <c r="VZ260" s="1009"/>
      <c r="WA260" s="1009"/>
      <c r="WB260" s="1009"/>
      <c r="WC260" s="1009"/>
      <c r="WD260" s="1009"/>
      <c r="WE260" s="1009"/>
      <c r="WF260" s="1009"/>
      <c r="WG260" s="1009"/>
      <c r="WH260" s="1009"/>
      <c r="WI260" s="1009"/>
      <c r="WJ260" s="1009"/>
      <c r="WK260" s="1009"/>
      <c r="WL260" s="1009"/>
      <c r="WM260" s="1009"/>
      <c r="WN260" s="1009"/>
      <c r="WO260" s="1009"/>
      <c r="WP260" s="1009"/>
      <c r="WQ260" s="1009"/>
      <c r="WR260" s="1009"/>
      <c r="WS260" s="1009"/>
      <c r="WT260" s="1009"/>
      <c r="WU260" s="1009"/>
      <c r="WV260" s="1009"/>
      <c r="WW260" s="1009"/>
      <c r="WX260" s="1009"/>
      <c r="WY260" s="1009"/>
      <c r="WZ260" s="1009"/>
      <c r="XA260" s="1009"/>
      <c r="XB260" s="1009"/>
      <c r="XC260" s="1009"/>
      <c r="XD260" s="1009"/>
      <c r="XE260" s="1009"/>
      <c r="XF260" s="1009"/>
      <c r="XG260" s="1009"/>
      <c r="XH260" s="1009"/>
      <c r="XI260" s="1009"/>
      <c r="XJ260" s="1009"/>
      <c r="XK260" s="1009"/>
      <c r="XL260" s="1009"/>
      <c r="XM260" s="1009"/>
      <c r="XN260" s="1009"/>
      <c r="XO260" s="1009"/>
      <c r="XP260" s="1009"/>
      <c r="XQ260" s="1009"/>
      <c r="XR260" s="1009"/>
      <c r="XS260" s="1009"/>
      <c r="XT260" s="1009"/>
      <c r="XU260" s="1009"/>
      <c r="XV260" s="1009"/>
      <c r="XW260" s="1009"/>
      <c r="XX260" s="1009"/>
      <c r="XY260" s="1009"/>
      <c r="XZ260" s="1009"/>
      <c r="YA260" s="1009"/>
      <c r="YB260" s="1009"/>
      <c r="YC260" s="1009"/>
      <c r="YD260" s="1009"/>
      <c r="YE260" s="1009"/>
      <c r="YF260" s="1009"/>
      <c r="YG260" s="1009"/>
      <c r="YH260" s="1009"/>
      <c r="YI260" s="1009"/>
      <c r="YJ260" s="1009"/>
      <c r="YK260" s="1009"/>
      <c r="YL260" s="1009"/>
      <c r="YM260" s="1009"/>
      <c r="YN260" s="1009"/>
      <c r="YO260" s="1009"/>
      <c r="YP260" s="1009"/>
      <c r="YQ260" s="1009"/>
      <c r="YR260" s="1009"/>
      <c r="YS260" s="1009"/>
      <c r="YT260" s="1009"/>
      <c r="YU260" s="1009"/>
      <c r="YV260" s="1009"/>
      <c r="YW260" s="1009"/>
      <c r="YX260" s="1009"/>
      <c r="YY260" s="1009"/>
      <c r="YZ260" s="1009"/>
      <c r="ZA260" s="1009"/>
      <c r="ZB260" s="1009"/>
      <c r="ZC260" s="1009"/>
      <c r="ZD260" s="1009"/>
      <c r="ZE260" s="1009"/>
      <c r="ZF260" s="1009"/>
      <c r="ZG260" s="1009"/>
      <c r="ZH260" s="1009"/>
      <c r="ZI260" s="1009"/>
      <c r="ZJ260" s="1009"/>
      <c r="ZK260" s="1009"/>
      <c r="ZL260" s="1009"/>
      <c r="ZM260" s="1009"/>
      <c r="ZN260" s="1009"/>
      <c r="ZO260" s="1009"/>
      <c r="ZP260" s="1009"/>
      <c r="ZQ260" s="1009"/>
      <c r="ZR260" s="1009"/>
      <c r="ZS260" s="1009"/>
      <c r="ZT260" s="1009"/>
      <c r="ZU260" s="1009"/>
      <c r="ZV260" s="1009"/>
      <c r="ZW260" s="1009"/>
      <c r="ZX260" s="1009"/>
      <c r="ZY260" s="1009"/>
      <c r="ZZ260" s="1009"/>
      <c r="AAA260" s="1009"/>
      <c r="AAB260" s="1009"/>
      <c r="AAC260" s="1009"/>
      <c r="AAD260" s="1009"/>
      <c r="AAE260" s="1009"/>
      <c r="AAF260" s="1009"/>
      <c r="AAG260" s="1009"/>
      <c r="AAH260" s="1009"/>
      <c r="AAI260" s="1009"/>
      <c r="AAJ260" s="1009"/>
      <c r="AAK260" s="1009"/>
      <c r="AAL260" s="1009"/>
      <c r="AAM260" s="1009"/>
      <c r="AAN260" s="1009"/>
      <c r="AAO260" s="1009"/>
      <c r="AAP260" s="1009"/>
      <c r="AAQ260" s="1009"/>
      <c r="AAR260" s="1009"/>
      <c r="AAS260" s="1009"/>
      <c r="AAT260" s="1009"/>
      <c r="AAU260" s="1009"/>
      <c r="AAV260" s="1009"/>
      <c r="AAW260" s="1009"/>
      <c r="AAX260" s="1009"/>
      <c r="AAY260" s="1009"/>
      <c r="AAZ260" s="1009"/>
      <c r="ABA260" s="1009"/>
      <c r="ABB260" s="1009"/>
      <c r="ABC260" s="1009"/>
      <c r="ABD260" s="1009"/>
      <c r="ABE260" s="1009"/>
      <c r="ABF260" s="1009"/>
      <c r="ABG260" s="1009"/>
      <c r="ABH260" s="1009"/>
      <c r="ABI260" s="1009"/>
      <c r="ABJ260" s="1009"/>
      <c r="ABK260" s="1009"/>
      <c r="ABL260" s="1009"/>
      <c r="ABM260" s="1009"/>
      <c r="ABN260" s="1009"/>
      <c r="ABO260" s="1009"/>
      <c r="ABP260" s="1009"/>
      <c r="ABQ260" s="1009"/>
      <c r="ABR260" s="1009"/>
    </row>
    <row r="261" spans="1:746" s="111" customFormat="1" ht="13.5" customHeight="1">
      <c r="A261" s="1758"/>
      <c r="B261" s="137" t="s">
        <v>1069</v>
      </c>
      <c r="C261" s="2627"/>
      <c r="D261" s="2628"/>
      <c r="E261" s="915"/>
      <c r="F261" s="915"/>
      <c r="G261" s="940"/>
      <c r="H261" s="2186"/>
      <c r="I261" s="2596" t="s">
        <v>1070</v>
      </c>
      <c r="J261" s="2611"/>
      <c r="K261" s="2611"/>
      <c r="L261" s="2611"/>
      <c r="M261" s="2611"/>
      <c r="N261" s="2611"/>
      <c r="O261" s="2611"/>
      <c r="P261" s="2611"/>
      <c r="Q261" s="2612"/>
      <c r="R261" s="2612"/>
      <c r="S261" s="2611"/>
      <c r="T261" s="2613"/>
      <c r="U261" s="999"/>
      <c r="V261" s="777"/>
      <c r="W261" s="777"/>
      <c r="X261" s="777"/>
      <c r="Y261" s="777"/>
      <c r="Z261" s="777"/>
      <c r="AA261" s="777"/>
      <c r="AB261" s="777"/>
      <c r="AC261" s="777"/>
      <c r="AD261" s="777"/>
      <c r="AE261" s="777"/>
      <c r="AF261" s="778"/>
      <c r="AG261" s="2219"/>
      <c r="AH261" s="786"/>
      <c r="AI261" s="786"/>
      <c r="AJ261" s="1044"/>
      <c r="AK261" s="1047"/>
      <c r="AL261" s="1044"/>
      <c r="AM261" s="1009"/>
      <c r="AN261" s="1026"/>
      <c r="AO261" s="1034"/>
      <c r="AP261" s="1084"/>
      <c r="AQ261" s="1084"/>
      <c r="AR261" s="1009"/>
      <c r="AS261" s="1009"/>
      <c r="AT261" s="1009"/>
      <c r="AU261" s="1009"/>
      <c r="AV261" s="1009"/>
      <c r="AW261" s="1009"/>
      <c r="AX261" s="1009"/>
      <c r="AY261" s="1009"/>
      <c r="AZ261" s="1009"/>
      <c r="BA261" s="1009"/>
      <c r="BB261" s="1009"/>
      <c r="BC261" s="1009"/>
      <c r="BD261" s="1009"/>
      <c r="BE261" s="1009"/>
      <c r="BF261" s="1009"/>
      <c r="BG261" s="1009"/>
      <c r="BH261" s="1009"/>
      <c r="BI261" s="1009"/>
      <c r="BJ261" s="1009"/>
      <c r="BK261" s="1009"/>
      <c r="BL261" s="1009"/>
      <c r="BM261" s="1009"/>
      <c r="BN261" s="1009"/>
      <c r="BO261" s="1009"/>
      <c r="BP261" s="1009"/>
      <c r="BQ261" s="1009"/>
      <c r="BR261" s="1009"/>
      <c r="BS261" s="1009"/>
      <c r="BT261" s="1009"/>
      <c r="BU261" s="1009"/>
      <c r="BV261" s="1009"/>
      <c r="BW261" s="1009"/>
      <c r="BX261" s="1009"/>
      <c r="BY261" s="1009"/>
      <c r="BZ261" s="1009"/>
      <c r="CA261" s="1009"/>
      <c r="CB261" s="1009"/>
      <c r="CC261" s="1009"/>
      <c r="CD261" s="1009"/>
      <c r="CE261" s="1009"/>
      <c r="CF261" s="1009"/>
      <c r="CG261" s="1009"/>
      <c r="CH261" s="1009"/>
      <c r="CI261" s="1009"/>
      <c r="CJ261" s="1009"/>
      <c r="CK261" s="1009"/>
      <c r="CL261" s="1009"/>
      <c r="CM261" s="1009"/>
      <c r="CN261" s="1009"/>
      <c r="CO261" s="1009"/>
      <c r="CP261" s="1009"/>
      <c r="CQ261" s="1009"/>
      <c r="CR261" s="1009"/>
      <c r="CS261" s="1009"/>
      <c r="CT261" s="1009"/>
      <c r="CU261" s="1009"/>
      <c r="CV261" s="1009"/>
      <c r="CW261" s="1009"/>
      <c r="CX261" s="1009"/>
      <c r="CY261" s="1009"/>
      <c r="CZ261" s="1009"/>
      <c r="DA261" s="1009"/>
      <c r="DB261" s="1009"/>
      <c r="DC261" s="1009"/>
      <c r="DD261" s="1009"/>
      <c r="DE261" s="1009"/>
      <c r="DF261" s="1009"/>
      <c r="DG261" s="1009"/>
      <c r="DH261" s="1009"/>
      <c r="DI261" s="1009"/>
      <c r="DJ261" s="1009"/>
      <c r="DK261" s="1009"/>
      <c r="DL261" s="1009"/>
      <c r="DM261" s="1009"/>
      <c r="DN261" s="1009"/>
      <c r="DO261" s="1009"/>
      <c r="DP261" s="1009"/>
      <c r="DQ261" s="1009"/>
      <c r="DR261" s="1009"/>
      <c r="DS261" s="1009"/>
      <c r="DT261" s="1009"/>
      <c r="DU261" s="1009"/>
      <c r="DV261" s="1009"/>
      <c r="DW261" s="1009"/>
      <c r="DX261" s="1009"/>
      <c r="DY261" s="1009"/>
      <c r="DZ261" s="1009"/>
      <c r="EA261" s="1009"/>
      <c r="EB261" s="1009"/>
      <c r="EC261" s="1009"/>
      <c r="ED261" s="1009"/>
      <c r="EE261" s="1009"/>
      <c r="EF261" s="1009"/>
      <c r="EG261" s="1009"/>
      <c r="EH261" s="1009"/>
      <c r="EI261" s="1009"/>
      <c r="EJ261" s="1009"/>
      <c r="EK261" s="1009"/>
      <c r="EL261" s="1009"/>
      <c r="EM261" s="1009"/>
      <c r="EN261" s="1009"/>
      <c r="EO261" s="1009"/>
      <c r="EP261" s="1009"/>
      <c r="EQ261" s="1009"/>
      <c r="ER261" s="1009"/>
      <c r="ES261" s="1009"/>
      <c r="ET261" s="1009"/>
      <c r="EU261" s="1009"/>
      <c r="EV261" s="1009"/>
      <c r="EW261" s="1009"/>
      <c r="EX261" s="1009"/>
      <c r="EY261" s="1009"/>
      <c r="EZ261" s="1009"/>
      <c r="FA261" s="1009"/>
      <c r="FB261" s="1009"/>
      <c r="FC261" s="1009"/>
      <c r="FD261" s="1009"/>
      <c r="FE261" s="1009"/>
      <c r="FF261" s="1009"/>
      <c r="FG261" s="1009"/>
      <c r="FH261" s="1009"/>
      <c r="FI261" s="1009"/>
      <c r="FJ261" s="1009"/>
      <c r="FK261" s="1009"/>
      <c r="FL261" s="1009"/>
      <c r="FM261" s="1009"/>
      <c r="FN261" s="1009"/>
      <c r="FO261" s="1009"/>
      <c r="FP261" s="1009"/>
      <c r="FQ261" s="1009"/>
      <c r="FR261" s="1009"/>
      <c r="FS261" s="1009"/>
      <c r="FT261" s="1009"/>
      <c r="FU261" s="1009"/>
      <c r="FV261" s="1009"/>
      <c r="FW261" s="1009"/>
      <c r="FX261" s="1009"/>
      <c r="FY261" s="1009"/>
      <c r="FZ261" s="1009"/>
      <c r="GA261" s="1009"/>
      <c r="GB261" s="1009"/>
      <c r="GC261" s="1009"/>
      <c r="GD261" s="1009"/>
      <c r="GE261" s="1009"/>
      <c r="GF261" s="1009"/>
      <c r="GG261" s="1009"/>
      <c r="GH261" s="1009"/>
      <c r="GI261" s="1009"/>
      <c r="GJ261" s="1009"/>
      <c r="GK261" s="1009"/>
      <c r="GL261" s="1009"/>
      <c r="GM261" s="1009"/>
      <c r="GN261" s="1009"/>
      <c r="GO261" s="1009"/>
      <c r="GP261" s="1009"/>
      <c r="GQ261" s="1009"/>
      <c r="GR261" s="1009"/>
      <c r="GS261" s="1009"/>
      <c r="GT261" s="1009"/>
      <c r="GU261" s="1009"/>
      <c r="GV261" s="1009"/>
      <c r="GW261" s="1009"/>
      <c r="GX261" s="1009"/>
      <c r="GY261" s="1009"/>
      <c r="GZ261" s="1009"/>
      <c r="HA261" s="1009"/>
      <c r="HB261" s="1009"/>
      <c r="HC261" s="1009"/>
      <c r="HD261" s="1009"/>
      <c r="HE261" s="1009"/>
      <c r="HF261" s="1009"/>
      <c r="HG261" s="1009"/>
      <c r="HH261" s="1009"/>
      <c r="HI261" s="1009"/>
      <c r="HJ261" s="1009"/>
      <c r="HK261" s="1009"/>
      <c r="HL261" s="1009"/>
      <c r="HM261" s="1009"/>
      <c r="HN261" s="1009"/>
      <c r="HO261" s="1009"/>
      <c r="HP261" s="1009"/>
      <c r="HQ261" s="1009"/>
      <c r="HR261" s="1009"/>
      <c r="HS261" s="1009"/>
      <c r="HT261" s="1009"/>
      <c r="HU261" s="1009"/>
      <c r="HV261" s="1009"/>
      <c r="HW261" s="1009"/>
      <c r="HX261" s="1009"/>
      <c r="HY261" s="1009"/>
      <c r="HZ261" s="1009"/>
      <c r="IA261" s="1009"/>
      <c r="IB261" s="1009"/>
      <c r="IC261" s="1009"/>
      <c r="ID261" s="1009"/>
      <c r="IE261" s="1009"/>
      <c r="IF261" s="1009"/>
      <c r="IG261" s="1009"/>
      <c r="IH261" s="1009"/>
      <c r="II261" s="1009"/>
      <c r="IJ261" s="1009"/>
      <c r="IK261" s="1009"/>
      <c r="IL261" s="1009"/>
      <c r="IM261" s="1009"/>
      <c r="IN261" s="1009"/>
      <c r="IO261" s="1009"/>
      <c r="IP261" s="1009"/>
      <c r="IQ261" s="1009"/>
      <c r="IR261" s="1009"/>
      <c r="IS261" s="1009"/>
      <c r="IT261" s="1009"/>
      <c r="IU261" s="1009"/>
      <c r="IV261" s="1009"/>
      <c r="IW261" s="1009"/>
      <c r="IX261" s="1009"/>
      <c r="IY261" s="1009"/>
      <c r="IZ261" s="1009"/>
      <c r="JA261" s="1009"/>
      <c r="JB261" s="1009"/>
      <c r="JC261" s="1009"/>
      <c r="JD261" s="1009"/>
      <c r="JE261" s="1009"/>
      <c r="JF261" s="1009"/>
      <c r="JG261" s="1009"/>
      <c r="JH261" s="1009"/>
      <c r="JI261" s="1009"/>
      <c r="JJ261" s="1009"/>
      <c r="JK261" s="1009"/>
      <c r="JL261" s="1009"/>
      <c r="JM261" s="1009"/>
      <c r="JN261" s="1009"/>
      <c r="JO261" s="1009"/>
      <c r="JP261" s="1009"/>
      <c r="JQ261" s="1009"/>
      <c r="JR261" s="1009"/>
      <c r="JS261" s="1009"/>
      <c r="JT261" s="1009"/>
      <c r="JU261" s="1009"/>
      <c r="JV261" s="1009"/>
      <c r="JW261" s="1009"/>
      <c r="JX261" s="1009"/>
      <c r="JY261" s="1009"/>
      <c r="JZ261" s="1009"/>
      <c r="KA261" s="1009"/>
      <c r="KB261" s="1009"/>
      <c r="KC261" s="1009"/>
      <c r="KD261" s="1009"/>
      <c r="KE261" s="1009"/>
      <c r="KF261" s="1009"/>
      <c r="KG261" s="1009"/>
      <c r="KH261" s="1009"/>
      <c r="KI261" s="1009"/>
      <c r="KJ261" s="1009"/>
      <c r="KK261" s="1009"/>
      <c r="KL261" s="1009"/>
      <c r="KM261" s="1009"/>
      <c r="KN261" s="1009"/>
      <c r="KO261" s="1009"/>
      <c r="KP261" s="1009"/>
      <c r="KQ261" s="1009"/>
      <c r="KR261" s="1009"/>
      <c r="KS261" s="1009"/>
      <c r="KT261" s="1009"/>
      <c r="KU261" s="1009"/>
      <c r="KV261" s="1009"/>
      <c r="KW261" s="1009"/>
      <c r="KX261" s="1009"/>
      <c r="KY261" s="1009"/>
      <c r="KZ261" s="1009"/>
      <c r="LA261" s="1009"/>
      <c r="LB261" s="1009"/>
      <c r="LC261" s="1009"/>
      <c r="LD261" s="1009"/>
      <c r="LE261" s="1009"/>
      <c r="LF261" s="1009"/>
      <c r="LG261" s="1009"/>
      <c r="LH261" s="1009"/>
      <c r="LI261" s="1009"/>
      <c r="LJ261" s="1009"/>
      <c r="LK261" s="1009"/>
      <c r="LL261" s="1009"/>
      <c r="LM261" s="1009"/>
      <c r="LN261" s="1009"/>
      <c r="LO261" s="1009"/>
      <c r="LP261" s="1009"/>
      <c r="LQ261" s="1009"/>
      <c r="LR261" s="1009"/>
      <c r="LS261" s="1009"/>
      <c r="LT261" s="1009"/>
      <c r="LU261" s="1009"/>
      <c r="LV261" s="1009"/>
      <c r="LW261" s="1009"/>
      <c r="LX261" s="1009"/>
      <c r="LY261" s="1009"/>
      <c r="LZ261" s="1009"/>
      <c r="MA261" s="1009"/>
      <c r="MB261" s="1009"/>
      <c r="MC261" s="1009"/>
      <c r="MD261" s="1009"/>
      <c r="ME261" s="1009"/>
      <c r="MF261" s="1009"/>
      <c r="MG261" s="1009"/>
      <c r="MH261" s="1009"/>
      <c r="MI261" s="1009"/>
      <c r="MJ261" s="1009"/>
      <c r="MK261" s="1009"/>
      <c r="ML261" s="1009"/>
      <c r="MM261" s="1009"/>
      <c r="MN261" s="1009"/>
      <c r="MO261" s="1009"/>
      <c r="MP261" s="1009"/>
      <c r="MQ261" s="1009"/>
      <c r="MR261" s="1009"/>
      <c r="MS261" s="1009"/>
      <c r="MT261" s="1009"/>
      <c r="MU261" s="1009"/>
      <c r="MV261" s="1009"/>
      <c r="MW261" s="1009"/>
      <c r="MX261" s="1009"/>
      <c r="MY261" s="1009"/>
      <c r="MZ261" s="1009"/>
      <c r="NA261" s="1009"/>
      <c r="NB261" s="1009"/>
      <c r="NC261" s="1009"/>
      <c r="ND261" s="1009"/>
      <c r="NE261" s="1009"/>
      <c r="NF261" s="1009"/>
      <c r="NG261" s="1009"/>
      <c r="NH261" s="1009"/>
      <c r="NI261" s="1009"/>
      <c r="NJ261" s="1009"/>
      <c r="NK261" s="1009"/>
      <c r="NL261" s="1009"/>
      <c r="NM261" s="1009"/>
      <c r="NN261" s="1009"/>
      <c r="NO261" s="1009"/>
      <c r="NP261" s="1009"/>
      <c r="NQ261" s="1009"/>
      <c r="NR261" s="1009"/>
      <c r="NS261" s="1009"/>
      <c r="NT261" s="1009"/>
      <c r="NU261" s="1009"/>
      <c r="NV261" s="1009"/>
      <c r="NW261" s="1009"/>
      <c r="NX261" s="1009"/>
      <c r="NY261" s="1009"/>
      <c r="NZ261" s="1009"/>
      <c r="OA261" s="1009"/>
      <c r="OB261" s="1009"/>
      <c r="OC261" s="1009"/>
      <c r="OD261" s="1009"/>
      <c r="OE261" s="1009"/>
      <c r="OF261" s="1009"/>
      <c r="OG261" s="1009"/>
      <c r="OH261" s="1009"/>
      <c r="OI261" s="1009"/>
      <c r="OJ261" s="1009"/>
      <c r="OK261" s="1009"/>
      <c r="OL261" s="1009"/>
      <c r="OM261" s="1009"/>
      <c r="ON261" s="1009"/>
      <c r="OO261" s="1009"/>
      <c r="OP261" s="1009"/>
      <c r="OQ261" s="1009"/>
      <c r="OR261" s="1009"/>
      <c r="OS261" s="1009"/>
      <c r="OT261" s="1009"/>
      <c r="OU261" s="1009"/>
      <c r="OV261" s="1009"/>
      <c r="OW261" s="1009"/>
      <c r="OX261" s="1009"/>
      <c r="OY261" s="1009"/>
      <c r="OZ261" s="1009"/>
      <c r="PA261" s="1009"/>
      <c r="PB261" s="1009"/>
      <c r="PC261" s="1009"/>
      <c r="PD261" s="1009"/>
      <c r="PE261" s="1009"/>
      <c r="PF261" s="1009"/>
      <c r="PG261" s="1009"/>
      <c r="PH261" s="1009"/>
      <c r="PI261" s="1009"/>
      <c r="PJ261" s="1009"/>
      <c r="PK261" s="1009"/>
      <c r="PL261" s="1009"/>
      <c r="PM261" s="1009"/>
      <c r="PN261" s="1009"/>
      <c r="PO261" s="1009"/>
      <c r="PP261" s="1009"/>
      <c r="PQ261" s="1009"/>
      <c r="PR261" s="1009"/>
      <c r="PS261" s="1009"/>
      <c r="PT261" s="1009"/>
      <c r="PU261" s="1009"/>
      <c r="PV261" s="1009"/>
      <c r="PW261" s="1009"/>
      <c r="PX261" s="1009"/>
      <c r="PY261" s="1009"/>
      <c r="PZ261" s="1009"/>
      <c r="QA261" s="1009"/>
      <c r="QB261" s="1009"/>
      <c r="QC261" s="1009"/>
      <c r="QD261" s="1009"/>
      <c r="QE261" s="1009"/>
      <c r="QF261" s="1009"/>
      <c r="QG261" s="1009"/>
      <c r="QH261" s="1009"/>
      <c r="QI261" s="1009"/>
      <c r="QJ261" s="1009"/>
      <c r="QK261" s="1009"/>
      <c r="QL261" s="1009"/>
      <c r="QM261" s="1009"/>
      <c r="QN261" s="1009"/>
      <c r="QO261" s="1009"/>
      <c r="QP261" s="1009"/>
      <c r="QQ261" s="1009"/>
      <c r="QR261" s="1009"/>
      <c r="QS261" s="1009"/>
      <c r="QT261" s="1009"/>
      <c r="QU261" s="1009"/>
      <c r="QV261" s="1009"/>
      <c r="QW261" s="1009"/>
      <c r="QX261" s="1009"/>
      <c r="QY261" s="1009"/>
      <c r="QZ261" s="1009"/>
      <c r="RA261" s="1009"/>
      <c r="RB261" s="1009"/>
      <c r="RC261" s="1009"/>
      <c r="RD261" s="1009"/>
      <c r="RE261" s="1009"/>
      <c r="RF261" s="1009"/>
      <c r="RG261" s="1009"/>
      <c r="RH261" s="1009"/>
      <c r="RI261" s="1009"/>
      <c r="RJ261" s="1009"/>
      <c r="RK261" s="1009"/>
      <c r="RL261" s="1009"/>
      <c r="RM261" s="1009"/>
      <c r="RN261" s="1009"/>
      <c r="RO261" s="1009"/>
      <c r="RP261" s="1009"/>
      <c r="RQ261" s="1009"/>
      <c r="RR261" s="1009"/>
      <c r="RS261" s="1009"/>
      <c r="RT261" s="1009"/>
      <c r="RU261" s="1009"/>
      <c r="RV261" s="1009"/>
      <c r="RW261" s="1009"/>
      <c r="RX261" s="1009"/>
      <c r="RY261" s="1009"/>
      <c r="RZ261" s="1009"/>
      <c r="SA261" s="1009"/>
      <c r="SB261" s="1009"/>
      <c r="SC261" s="1009"/>
      <c r="SD261" s="1009"/>
      <c r="SE261" s="1009"/>
      <c r="SF261" s="1009"/>
      <c r="SG261" s="1009"/>
      <c r="SH261" s="1009"/>
      <c r="SI261" s="1009"/>
      <c r="SJ261" s="1009"/>
      <c r="SK261" s="1009"/>
      <c r="SL261" s="1009"/>
      <c r="SM261" s="1009"/>
      <c r="SN261" s="1009"/>
      <c r="SO261" s="1009"/>
      <c r="SP261" s="1009"/>
      <c r="SQ261" s="1009"/>
      <c r="SR261" s="1009"/>
      <c r="SS261" s="1009"/>
      <c r="ST261" s="1009"/>
      <c r="SU261" s="1009"/>
      <c r="SV261" s="1009"/>
      <c r="SW261" s="1009"/>
      <c r="SX261" s="1009"/>
      <c r="SY261" s="1009"/>
      <c r="SZ261" s="1009"/>
      <c r="TA261" s="1009"/>
      <c r="TB261" s="1009"/>
      <c r="TC261" s="1009"/>
      <c r="TD261" s="1009"/>
      <c r="TE261" s="1009"/>
      <c r="TF261" s="1009"/>
      <c r="TG261" s="1009"/>
      <c r="TH261" s="1009"/>
      <c r="TI261" s="1009"/>
      <c r="TJ261" s="1009"/>
      <c r="TK261" s="1009"/>
      <c r="TL261" s="1009"/>
      <c r="TM261" s="1009"/>
      <c r="TN261" s="1009"/>
      <c r="TO261" s="1009"/>
      <c r="TP261" s="1009"/>
      <c r="TQ261" s="1009"/>
      <c r="TR261" s="1009"/>
      <c r="TS261" s="1009"/>
      <c r="TT261" s="1009"/>
      <c r="TU261" s="1009"/>
      <c r="TV261" s="1009"/>
      <c r="TW261" s="1009"/>
      <c r="TX261" s="1009"/>
      <c r="TY261" s="1009"/>
      <c r="TZ261" s="1009"/>
      <c r="UA261" s="1009"/>
      <c r="UB261" s="1009"/>
      <c r="UC261" s="1009"/>
      <c r="UD261" s="1009"/>
      <c r="UE261" s="1009"/>
      <c r="UF261" s="1009"/>
      <c r="UG261" s="1009"/>
      <c r="UH261" s="1009"/>
      <c r="UI261" s="1009"/>
      <c r="UJ261" s="1009"/>
      <c r="UK261" s="1009"/>
      <c r="UL261" s="1009"/>
      <c r="UM261" s="1009"/>
      <c r="UN261" s="1009"/>
      <c r="UO261" s="1009"/>
      <c r="UP261" s="1009"/>
      <c r="UQ261" s="1009"/>
      <c r="UR261" s="1009"/>
      <c r="US261" s="1009"/>
      <c r="UT261" s="1009"/>
      <c r="UU261" s="1009"/>
      <c r="UV261" s="1009"/>
      <c r="UW261" s="1009"/>
      <c r="UX261" s="1009"/>
      <c r="UY261" s="1009"/>
      <c r="UZ261" s="1009"/>
      <c r="VA261" s="1009"/>
      <c r="VB261" s="1009"/>
      <c r="VC261" s="1009"/>
      <c r="VD261" s="1009"/>
      <c r="VE261" s="1009"/>
      <c r="VF261" s="1009"/>
      <c r="VG261" s="1009"/>
      <c r="VH261" s="1009"/>
      <c r="VI261" s="1009"/>
      <c r="VJ261" s="1009"/>
      <c r="VK261" s="1009"/>
      <c r="VL261" s="1009"/>
      <c r="VM261" s="1009"/>
      <c r="VN261" s="1009"/>
      <c r="VO261" s="1009"/>
      <c r="VP261" s="1009"/>
      <c r="VQ261" s="1009"/>
      <c r="VR261" s="1009"/>
      <c r="VS261" s="1009"/>
      <c r="VT261" s="1009"/>
      <c r="VU261" s="1009"/>
      <c r="VV261" s="1009"/>
      <c r="VW261" s="1009"/>
      <c r="VX261" s="1009"/>
      <c r="VY261" s="1009"/>
      <c r="VZ261" s="1009"/>
      <c r="WA261" s="1009"/>
      <c r="WB261" s="1009"/>
      <c r="WC261" s="1009"/>
      <c r="WD261" s="1009"/>
      <c r="WE261" s="1009"/>
      <c r="WF261" s="1009"/>
      <c r="WG261" s="1009"/>
      <c r="WH261" s="1009"/>
      <c r="WI261" s="1009"/>
      <c r="WJ261" s="1009"/>
      <c r="WK261" s="1009"/>
      <c r="WL261" s="1009"/>
      <c r="WM261" s="1009"/>
      <c r="WN261" s="1009"/>
      <c r="WO261" s="1009"/>
      <c r="WP261" s="1009"/>
      <c r="WQ261" s="1009"/>
      <c r="WR261" s="1009"/>
      <c r="WS261" s="1009"/>
      <c r="WT261" s="1009"/>
      <c r="WU261" s="1009"/>
      <c r="WV261" s="1009"/>
      <c r="WW261" s="1009"/>
      <c r="WX261" s="1009"/>
      <c r="WY261" s="1009"/>
      <c r="WZ261" s="1009"/>
      <c r="XA261" s="1009"/>
      <c r="XB261" s="1009"/>
      <c r="XC261" s="1009"/>
      <c r="XD261" s="1009"/>
      <c r="XE261" s="1009"/>
      <c r="XF261" s="1009"/>
      <c r="XG261" s="1009"/>
      <c r="XH261" s="1009"/>
      <c r="XI261" s="1009"/>
      <c r="XJ261" s="1009"/>
      <c r="XK261" s="1009"/>
      <c r="XL261" s="1009"/>
      <c r="XM261" s="1009"/>
      <c r="XN261" s="1009"/>
      <c r="XO261" s="1009"/>
      <c r="XP261" s="1009"/>
      <c r="XQ261" s="1009"/>
      <c r="XR261" s="1009"/>
      <c r="XS261" s="1009"/>
      <c r="XT261" s="1009"/>
      <c r="XU261" s="1009"/>
      <c r="XV261" s="1009"/>
      <c r="XW261" s="1009"/>
      <c r="XX261" s="1009"/>
      <c r="XY261" s="1009"/>
      <c r="XZ261" s="1009"/>
      <c r="YA261" s="1009"/>
      <c r="YB261" s="1009"/>
      <c r="YC261" s="1009"/>
      <c r="YD261" s="1009"/>
      <c r="YE261" s="1009"/>
      <c r="YF261" s="1009"/>
      <c r="YG261" s="1009"/>
      <c r="YH261" s="1009"/>
      <c r="YI261" s="1009"/>
      <c r="YJ261" s="1009"/>
      <c r="YK261" s="1009"/>
      <c r="YL261" s="1009"/>
      <c r="YM261" s="1009"/>
      <c r="YN261" s="1009"/>
      <c r="YO261" s="1009"/>
      <c r="YP261" s="1009"/>
      <c r="YQ261" s="1009"/>
      <c r="YR261" s="1009"/>
      <c r="YS261" s="1009"/>
      <c r="YT261" s="1009"/>
      <c r="YU261" s="1009"/>
      <c r="YV261" s="1009"/>
      <c r="YW261" s="1009"/>
      <c r="YX261" s="1009"/>
      <c r="YY261" s="1009"/>
      <c r="YZ261" s="1009"/>
      <c r="ZA261" s="1009"/>
      <c r="ZB261" s="1009"/>
      <c r="ZC261" s="1009"/>
      <c r="ZD261" s="1009"/>
      <c r="ZE261" s="1009"/>
      <c r="ZF261" s="1009"/>
      <c r="ZG261" s="1009"/>
      <c r="ZH261" s="1009"/>
      <c r="ZI261" s="1009"/>
      <c r="ZJ261" s="1009"/>
      <c r="ZK261" s="1009"/>
      <c r="ZL261" s="1009"/>
      <c r="ZM261" s="1009"/>
      <c r="ZN261" s="1009"/>
      <c r="ZO261" s="1009"/>
      <c r="ZP261" s="1009"/>
      <c r="ZQ261" s="1009"/>
      <c r="ZR261" s="1009"/>
      <c r="ZS261" s="1009"/>
      <c r="ZT261" s="1009"/>
      <c r="ZU261" s="1009"/>
      <c r="ZV261" s="1009"/>
      <c r="ZW261" s="1009"/>
      <c r="ZX261" s="1009"/>
      <c r="ZY261" s="1009"/>
      <c r="ZZ261" s="1009"/>
      <c r="AAA261" s="1009"/>
      <c r="AAB261" s="1009"/>
      <c r="AAC261" s="1009"/>
      <c r="AAD261" s="1009"/>
      <c r="AAE261" s="1009"/>
      <c r="AAF261" s="1009"/>
      <c r="AAG261" s="1009"/>
      <c r="AAH261" s="1009"/>
      <c r="AAI261" s="1009"/>
      <c r="AAJ261" s="1009"/>
      <c r="AAK261" s="1009"/>
      <c r="AAL261" s="1009"/>
      <c r="AAM261" s="1009"/>
      <c r="AAN261" s="1009"/>
      <c r="AAO261" s="1009"/>
      <c r="AAP261" s="1009"/>
      <c r="AAQ261" s="1009"/>
      <c r="AAR261" s="1009"/>
      <c r="AAS261" s="1009"/>
      <c r="AAT261" s="1009"/>
      <c r="AAU261" s="1009"/>
      <c r="AAV261" s="1009"/>
      <c r="AAW261" s="1009"/>
      <c r="AAX261" s="1009"/>
      <c r="AAY261" s="1009"/>
      <c r="AAZ261" s="1009"/>
      <c r="ABA261" s="1009"/>
      <c r="ABB261" s="1009"/>
      <c r="ABC261" s="1009"/>
      <c r="ABD261" s="1009"/>
      <c r="ABE261" s="1009"/>
      <c r="ABF261" s="1009"/>
      <c r="ABG261" s="1009"/>
      <c r="ABH261" s="1009"/>
      <c r="ABI261" s="1009"/>
      <c r="ABJ261" s="1009"/>
      <c r="ABK261" s="1009"/>
      <c r="ABL261" s="1009"/>
      <c r="ABM261" s="1009"/>
      <c r="ABN261" s="1009"/>
      <c r="ABO261" s="1009"/>
      <c r="ABP261" s="1009"/>
      <c r="ABQ261" s="1009"/>
      <c r="ABR261" s="1009"/>
    </row>
    <row r="262" spans="1:746" s="111" customFormat="1" ht="12" customHeight="1">
      <c r="A262" s="1758"/>
      <c r="B262" s="2629" t="s">
        <v>1072</v>
      </c>
      <c r="C262" s="2630"/>
      <c r="D262" s="2631"/>
      <c r="E262" s="2995">
        <f>fx!C444</f>
        <v>0</v>
      </c>
      <c r="F262" s="2996"/>
      <c r="G262" s="2997"/>
      <c r="H262" s="2635"/>
      <c r="I262" s="875"/>
      <c r="J262" s="380"/>
      <c r="K262" s="380"/>
      <c r="L262" s="380"/>
      <c r="M262" s="380"/>
      <c r="N262" s="380"/>
      <c r="O262" s="380"/>
      <c r="P262" s="380"/>
      <c r="Q262" s="380"/>
      <c r="R262" s="380"/>
      <c r="S262" s="380"/>
      <c r="T262" s="380"/>
      <c r="U262" s="875"/>
      <c r="V262" s="875"/>
      <c r="W262" s="875"/>
      <c r="X262" s="875"/>
      <c r="Y262" s="875"/>
      <c r="Z262" s="875"/>
      <c r="AA262" s="875"/>
      <c r="AB262" s="875"/>
      <c r="AC262" s="875"/>
      <c r="AD262" s="875"/>
      <c r="AE262" s="875"/>
      <c r="AF262" s="875"/>
      <c r="AG262" s="1042"/>
      <c r="AH262" s="786"/>
      <c r="AI262" s="786"/>
      <c r="AJ262" s="1044"/>
      <c r="AK262" s="1047"/>
      <c r="AL262" s="1044"/>
      <c r="AM262" s="1009"/>
      <c r="AN262" s="1026"/>
      <c r="AO262" s="1034"/>
      <c r="AP262" s="1084"/>
      <c r="AQ262" s="1084"/>
      <c r="AR262" s="1009"/>
      <c r="AS262" s="1009"/>
      <c r="AT262" s="1009"/>
      <c r="AU262" s="1009"/>
      <c r="AV262" s="1009"/>
      <c r="AW262" s="1009"/>
      <c r="AX262" s="1009"/>
      <c r="AY262" s="1009"/>
      <c r="AZ262" s="1009"/>
      <c r="BA262" s="1009"/>
      <c r="BB262" s="1009"/>
      <c r="BC262" s="1009"/>
      <c r="BD262" s="1009"/>
      <c r="BE262" s="1009"/>
      <c r="BF262" s="1009"/>
      <c r="BG262" s="1009"/>
      <c r="BH262" s="1009"/>
      <c r="BI262" s="1009"/>
      <c r="BJ262" s="1009"/>
      <c r="BK262" s="1009"/>
      <c r="BL262" s="1009"/>
      <c r="BM262" s="1009"/>
      <c r="BN262" s="1009"/>
      <c r="BO262" s="1009"/>
      <c r="BP262" s="1009"/>
      <c r="BQ262" s="1009"/>
      <c r="BR262" s="1009"/>
      <c r="BS262" s="1009"/>
      <c r="BT262" s="1009"/>
      <c r="BU262" s="1009"/>
      <c r="BV262" s="1009"/>
      <c r="BW262" s="1009"/>
      <c r="BX262" s="1009"/>
      <c r="BY262" s="1009"/>
      <c r="BZ262" s="1009"/>
      <c r="CA262" s="1009"/>
      <c r="CB262" s="1009"/>
      <c r="CC262" s="1009"/>
      <c r="CD262" s="1009"/>
      <c r="CE262" s="1009"/>
      <c r="CF262" s="1009"/>
      <c r="CG262" s="1009"/>
      <c r="CH262" s="1009"/>
      <c r="CI262" s="1009"/>
      <c r="CJ262" s="1009"/>
      <c r="CK262" s="1009"/>
      <c r="CL262" s="1009"/>
      <c r="CM262" s="1009"/>
      <c r="CN262" s="1009"/>
      <c r="CO262" s="1009"/>
      <c r="CP262" s="1009"/>
      <c r="CQ262" s="1009"/>
      <c r="CR262" s="1009"/>
      <c r="CS262" s="1009"/>
      <c r="CT262" s="1009"/>
      <c r="CU262" s="1009"/>
      <c r="CV262" s="1009"/>
      <c r="CW262" s="1009"/>
      <c r="CX262" s="1009"/>
      <c r="CY262" s="1009"/>
      <c r="CZ262" s="1009"/>
      <c r="DA262" s="1009"/>
      <c r="DB262" s="1009"/>
      <c r="DC262" s="1009"/>
      <c r="DD262" s="1009"/>
      <c r="DE262" s="1009"/>
      <c r="DF262" s="1009"/>
      <c r="DG262" s="1009"/>
      <c r="DH262" s="1009"/>
      <c r="DI262" s="1009"/>
      <c r="DJ262" s="1009"/>
      <c r="DK262" s="1009"/>
      <c r="DL262" s="1009"/>
      <c r="DM262" s="1009"/>
      <c r="DN262" s="1009"/>
      <c r="DO262" s="1009"/>
      <c r="DP262" s="1009"/>
      <c r="DQ262" s="1009"/>
      <c r="DR262" s="1009"/>
      <c r="DS262" s="1009"/>
      <c r="DT262" s="1009"/>
      <c r="DU262" s="1009"/>
      <c r="DV262" s="1009"/>
      <c r="DW262" s="1009"/>
      <c r="DX262" s="1009"/>
      <c r="DY262" s="1009"/>
      <c r="DZ262" s="1009"/>
      <c r="EA262" s="1009"/>
      <c r="EB262" s="1009"/>
      <c r="EC262" s="1009"/>
      <c r="ED262" s="1009"/>
      <c r="EE262" s="1009"/>
      <c r="EF262" s="1009"/>
      <c r="EG262" s="1009"/>
      <c r="EH262" s="1009"/>
      <c r="EI262" s="1009"/>
      <c r="EJ262" s="1009"/>
      <c r="EK262" s="1009"/>
      <c r="EL262" s="1009"/>
      <c r="EM262" s="1009"/>
      <c r="EN262" s="1009"/>
      <c r="EO262" s="1009"/>
      <c r="EP262" s="1009"/>
      <c r="EQ262" s="1009"/>
      <c r="ER262" s="1009"/>
      <c r="ES262" s="1009"/>
      <c r="ET262" s="1009"/>
      <c r="EU262" s="1009"/>
      <c r="EV262" s="1009"/>
      <c r="EW262" s="1009"/>
      <c r="EX262" s="1009"/>
      <c r="EY262" s="1009"/>
      <c r="EZ262" s="1009"/>
      <c r="FA262" s="1009"/>
      <c r="FB262" s="1009"/>
      <c r="FC262" s="1009"/>
      <c r="FD262" s="1009"/>
      <c r="FE262" s="1009"/>
      <c r="FF262" s="1009"/>
      <c r="FG262" s="1009"/>
      <c r="FH262" s="1009"/>
      <c r="FI262" s="1009"/>
      <c r="FJ262" s="1009"/>
      <c r="FK262" s="1009"/>
      <c r="FL262" s="1009"/>
      <c r="FM262" s="1009"/>
      <c r="FN262" s="1009"/>
      <c r="FO262" s="1009"/>
      <c r="FP262" s="1009"/>
      <c r="FQ262" s="1009"/>
      <c r="FR262" s="1009"/>
      <c r="FS262" s="1009"/>
      <c r="FT262" s="1009"/>
      <c r="FU262" s="1009"/>
      <c r="FV262" s="1009"/>
      <c r="FW262" s="1009"/>
      <c r="FX262" s="1009"/>
      <c r="FY262" s="1009"/>
      <c r="FZ262" s="1009"/>
      <c r="GA262" s="1009"/>
      <c r="GB262" s="1009"/>
      <c r="GC262" s="1009"/>
      <c r="GD262" s="1009"/>
      <c r="GE262" s="1009"/>
      <c r="GF262" s="1009"/>
      <c r="GG262" s="1009"/>
      <c r="GH262" s="1009"/>
      <c r="GI262" s="1009"/>
      <c r="GJ262" s="1009"/>
      <c r="GK262" s="1009"/>
      <c r="GL262" s="1009"/>
      <c r="GM262" s="1009"/>
      <c r="GN262" s="1009"/>
      <c r="GO262" s="1009"/>
      <c r="GP262" s="1009"/>
      <c r="GQ262" s="1009"/>
      <c r="GR262" s="1009"/>
      <c r="GS262" s="1009"/>
      <c r="GT262" s="1009"/>
      <c r="GU262" s="1009"/>
      <c r="GV262" s="1009"/>
      <c r="GW262" s="1009"/>
      <c r="GX262" s="1009"/>
      <c r="GY262" s="1009"/>
      <c r="GZ262" s="1009"/>
      <c r="HA262" s="1009"/>
      <c r="HB262" s="1009"/>
      <c r="HC262" s="1009"/>
      <c r="HD262" s="1009"/>
      <c r="HE262" s="1009"/>
      <c r="HF262" s="1009"/>
      <c r="HG262" s="1009"/>
      <c r="HH262" s="1009"/>
      <c r="HI262" s="1009"/>
      <c r="HJ262" s="1009"/>
      <c r="HK262" s="1009"/>
      <c r="HL262" s="1009"/>
      <c r="HM262" s="1009"/>
      <c r="HN262" s="1009"/>
      <c r="HO262" s="1009"/>
      <c r="HP262" s="1009"/>
      <c r="HQ262" s="1009"/>
      <c r="HR262" s="1009"/>
      <c r="HS262" s="1009"/>
      <c r="HT262" s="1009"/>
      <c r="HU262" s="1009"/>
      <c r="HV262" s="1009"/>
      <c r="HW262" s="1009"/>
      <c r="HX262" s="1009"/>
      <c r="HY262" s="1009"/>
      <c r="HZ262" s="1009"/>
      <c r="IA262" s="1009"/>
      <c r="IB262" s="1009"/>
      <c r="IC262" s="1009"/>
      <c r="ID262" s="1009"/>
      <c r="IE262" s="1009"/>
      <c r="IF262" s="1009"/>
      <c r="IG262" s="1009"/>
      <c r="IH262" s="1009"/>
      <c r="II262" s="1009"/>
      <c r="IJ262" s="1009"/>
      <c r="IK262" s="1009"/>
      <c r="IL262" s="1009"/>
      <c r="IM262" s="1009"/>
      <c r="IN262" s="1009"/>
      <c r="IO262" s="1009"/>
      <c r="IP262" s="1009"/>
      <c r="IQ262" s="1009"/>
      <c r="IR262" s="1009"/>
      <c r="IS262" s="1009"/>
      <c r="IT262" s="1009"/>
      <c r="IU262" s="1009"/>
      <c r="IV262" s="1009"/>
      <c r="IW262" s="1009"/>
      <c r="IX262" s="1009"/>
      <c r="IY262" s="1009"/>
      <c r="IZ262" s="1009"/>
      <c r="JA262" s="1009"/>
      <c r="JB262" s="1009"/>
      <c r="JC262" s="1009"/>
      <c r="JD262" s="1009"/>
      <c r="JE262" s="1009"/>
      <c r="JF262" s="1009"/>
      <c r="JG262" s="1009"/>
      <c r="JH262" s="1009"/>
      <c r="JI262" s="1009"/>
      <c r="JJ262" s="1009"/>
      <c r="JK262" s="1009"/>
      <c r="JL262" s="1009"/>
      <c r="JM262" s="1009"/>
      <c r="JN262" s="1009"/>
      <c r="JO262" s="1009"/>
      <c r="JP262" s="1009"/>
      <c r="JQ262" s="1009"/>
      <c r="JR262" s="1009"/>
      <c r="JS262" s="1009"/>
      <c r="JT262" s="1009"/>
      <c r="JU262" s="1009"/>
      <c r="JV262" s="1009"/>
      <c r="JW262" s="1009"/>
      <c r="JX262" s="1009"/>
      <c r="JY262" s="1009"/>
      <c r="JZ262" s="1009"/>
      <c r="KA262" s="1009"/>
      <c r="KB262" s="1009"/>
      <c r="KC262" s="1009"/>
      <c r="KD262" s="1009"/>
      <c r="KE262" s="1009"/>
      <c r="KF262" s="1009"/>
      <c r="KG262" s="1009"/>
      <c r="KH262" s="1009"/>
      <c r="KI262" s="1009"/>
      <c r="KJ262" s="1009"/>
      <c r="KK262" s="1009"/>
      <c r="KL262" s="1009"/>
      <c r="KM262" s="1009"/>
      <c r="KN262" s="1009"/>
      <c r="KO262" s="1009"/>
      <c r="KP262" s="1009"/>
      <c r="KQ262" s="1009"/>
      <c r="KR262" s="1009"/>
      <c r="KS262" s="1009"/>
      <c r="KT262" s="1009"/>
      <c r="KU262" s="1009"/>
      <c r="KV262" s="1009"/>
      <c r="KW262" s="1009"/>
      <c r="KX262" s="1009"/>
      <c r="KY262" s="1009"/>
      <c r="KZ262" s="1009"/>
      <c r="LA262" s="1009"/>
      <c r="LB262" s="1009"/>
      <c r="LC262" s="1009"/>
      <c r="LD262" s="1009"/>
      <c r="LE262" s="1009"/>
      <c r="LF262" s="1009"/>
      <c r="LG262" s="1009"/>
      <c r="LH262" s="1009"/>
      <c r="LI262" s="1009"/>
      <c r="LJ262" s="1009"/>
      <c r="LK262" s="1009"/>
      <c r="LL262" s="1009"/>
      <c r="LM262" s="1009"/>
      <c r="LN262" s="1009"/>
      <c r="LO262" s="1009"/>
      <c r="LP262" s="1009"/>
      <c r="LQ262" s="1009"/>
      <c r="LR262" s="1009"/>
      <c r="LS262" s="1009"/>
      <c r="LT262" s="1009"/>
      <c r="LU262" s="1009"/>
      <c r="LV262" s="1009"/>
      <c r="LW262" s="1009"/>
      <c r="LX262" s="1009"/>
      <c r="LY262" s="1009"/>
      <c r="LZ262" s="1009"/>
      <c r="MA262" s="1009"/>
      <c r="MB262" s="1009"/>
      <c r="MC262" s="1009"/>
      <c r="MD262" s="1009"/>
      <c r="ME262" s="1009"/>
      <c r="MF262" s="1009"/>
      <c r="MG262" s="1009"/>
      <c r="MH262" s="1009"/>
      <c r="MI262" s="1009"/>
      <c r="MJ262" s="1009"/>
      <c r="MK262" s="1009"/>
      <c r="ML262" s="1009"/>
      <c r="MM262" s="1009"/>
      <c r="MN262" s="1009"/>
      <c r="MO262" s="1009"/>
      <c r="MP262" s="1009"/>
      <c r="MQ262" s="1009"/>
      <c r="MR262" s="1009"/>
      <c r="MS262" s="1009"/>
      <c r="MT262" s="1009"/>
      <c r="MU262" s="1009"/>
      <c r="MV262" s="1009"/>
      <c r="MW262" s="1009"/>
      <c r="MX262" s="1009"/>
      <c r="MY262" s="1009"/>
      <c r="MZ262" s="1009"/>
      <c r="NA262" s="1009"/>
      <c r="NB262" s="1009"/>
      <c r="NC262" s="1009"/>
      <c r="ND262" s="1009"/>
      <c r="NE262" s="1009"/>
      <c r="NF262" s="1009"/>
      <c r="NG262" s="1009"/>
      <c r="NH262" s="1009"/>
      <c r="NI262" s="1009"/>
      <c r="NJ262" s="1009"/>
      <c r="NK262" s="1009"/>
      <c r="NL262" s="1009"/>
      <c r="NM262" s="1009"/>
      <c r="NN262" s="1009"/>
      <c r="NO262" s="1009"/>
      <c r="NP262" s="1009"/>
      <c r="NQ262" s="1009"/>
      <c r="NR262" s="1009"/>
      <c r="NS262" s="1009"/>
      <c r="NT262" s="1009"/>
      <c r="NU262" s="1009"/>
      <c r="NV262" s="1009"/>
      <c r="NW262" s="1009"/>
      <c r="NX262" s="1009"/>
      <c r="NY262" s="1009"/>
      <c r="NZ262" s="1009"/>
      <c r="OA262" s="1009"/>
      <c r="OB262" s="1009"/>
      <c r="OC262" s="1009"/>
      <c r="OD262" s="1009"/>
      <c r="OE262" s="1009"/>
      <c r="OF262" s="1009"/>
      <c r="OG262" s="1009"/>
      <c r="OH262" s="1009"/>
      <c r="OI262" s="1009"/>
      <c r="OJ262" s="1009"/>
      <c r="OK262" s="1009"/>
      <c r="OL262" s="1009"/>
      <c r="OM262" s="1009"/>
      <c r="ON262" s="1009"/>
      <c r="OO262" s="1009"/>
      <c r="OP262" s="1009"/>
      <c r="OQ262" s="1009"/>
      <c r="OR262" s="1009"/>
      <c r="OS262" s="1009"/>
      <c r="OT262" s="1009"/>
      <c r="OU262" s="1009"/>
      <c r="OV262" s="1009"/>
      <c r="OW262" s="1009"/>
      <c r="OX262" s="1009"/>
      <c r="OY262" s="1009"/>
      <c r="OZ262" s="1009"/>
      <c r="PA262" s="1009"/>
      <c r="PB262" s="1009"/>
      <c r="PC262" s="1009"/>
      <c r="PD262" s="1009"/>
      <c r="PE262" s="1009"/>
      <c r="PF262" s="1009"/>
      <c r="PG262" s="1009"/>
      <c r="PH262" s="1009"/>
      <c r="PI262" s="1009"/>
      <c r="PJ262" s="1009"/>
      <c r="PK262" s="1009"/>
      <c r="PL262" s="1009"/>
      <c r="PM262" s="1009"/>
      <c r="PN262" s="1009"/>
      <c r="PO262" s="1009"/>
      <c r="PP262" s="1009"/>
      <c r="PQ262" s="1009"/>
      <c r="PR262" s="1009"/>
      <c r="PS262" s="1009"/>
      <c r="PT262" s="1009"/>
      <c r="PU262" s="1009"/>
      <c r="PV262" s="1009"/>
      <c r="PW262" s="1009"/>
      <c r="PX262" s="1009"/>
      <c r="PY262" s="1009"/>
      <c r="PZ262" s="1009"/>
      <c r="QA262" s="1009"/>
      <c r="QB262" s="1009"/>
      <c r="QC262" s="1009"/>
      <c r="QD262" s="1009"/>
      <c r="QE262" s="1009"/>
      <c r="QF262" s="1009"/>
      <c r="QG262" s="1009"/>
      <c r="QH262" s="1009"/>
      <c r="QI262" s="1009"/>
      <c r="QJ262" s="1009"/>
      <c r="QK262" s="1009"/>
      <c r="QL262" s="1009"/>
      <c r="QM262" s="1009"/>
      <c r="QN262" s="1009"/>
      <c r="QO262" s="1009"/>
      <c r="QP262" s="1009"/>
      <c r="QQ262" s="1009"/>
      <c r="QR262" s="1009"/>
      <c r="QS262" s="1009"/>
      <c r="QT262" s="1009"/>
      <c r="QU262" s="1009"/>
      <c r="QV262" s="1009"/>
      <c r="QW262" s="1009"/>
      <c r="QX262" s="1009"/>
      <c r="QY262" s="1009"/>
      <c r="QZ262" s="1009"/>
      <c r="RA262" s="1009"/>
      <c r="RB262" s="1009"/>
      <c r="RC262" s="1009"/>
      <c r="RD262" s="1009"/>
      <c r="RE262" s="1009"/>
      <c r="RF262" s="1009"/>
      <c r="RG262" s="1009"/>
      <c r="RH262" s="1009"/>
      <c r="RI262" s="1009"/>
      <c r="RJ262" s="1009"/>
      <c r="RK262" s="1009"/>
      <c r="RL262" s="1009"/>
      <c r="RM262" s="1009"/>
      <c r="RN262" s="1009"/>
      <c r="RO262" s="1009"/>
      <c r="RP262" s="1009"/>
      <c r="RQ262" s="1009"/>
      <c r="RR262" s="1009"/>
      <c r="RS262" s="1009"/>
      <c r="RT262" s="1009"/>
      <c r="RU262" s="1009"/>
      <c r="RV262" s="1009"/>
      <c r="RW262" s="1009"/>
      <c r="RX262" s="1009"/>
      <c r="RY262" s="1009"/>
      <c r="RZ262" s="1009"/>
      <c r="SA262" s="1009"/>
      <c r="SB262" s="1009"/>
      <c r="SC262" s="1009"/>
      <c r="SD262" s="1009"/>
      <c r="SE262" s="1009"/>
      <c r="SF262" s="1009"/>
      <c r="SG262" s="1009"/>
      <c r="SH262" s="1009"/>
      <c r="SI262" s="1009"/>
      <c r="SJ262" s="1009"/>
      <c r="SK262" s="1009"/>
      <c r="SL262" s="1009"/>
      <c r="SM262" s="1009"/>
      <c r="SN262" s="1009"/>
      <c r="SO262" s="1009"/>
      <c r="SP262" s="1009"/>
      <c r="SQ262" s="1009"/>
      <c r="SR262" s="1009"/>
      <c r="SS262" s="1009"/>
      <c r="ST262" s="1009"/>
      <c r="SU262" s="1009"/>
      <c r="SV262" s="1009"/>
      <c r="SW262" s="1009"/>
      <c r="SX262" s="1009"/>
      <c r="SY262" s="1009"/>
      <c r="SZ262" s="1009"/>
      <c r="TA262" s="1009"/>
      <c r="TB262" s="1009"/>
      <c r="TC262" s="1009"/>
      <c r="TD262" s="1009"/>
      <c r="TE262" s="1009"/>
      <c r="TF262" s="1009"/>
      <c r="TG262" s="1009"/>
      <c r="TH262" s="1009"/>
      <c r="TI262" s="1009"/>
      <c r="TJ262" s="1009"/>
      <c r="TK262" s="1009"/>
      <c r="TL262" s="1009"/>
      <c r="TM262" s="1009"/>
      <c r="TN262" s="1009"/>
      <c r="TO262" s="1009"/>
      <c r="TP262" s="1009"/>
      <c r="TQ262" s="1009"/>
      <c r="TR262" s="1009"/>
      <c r="TS262" s="1009"/>
      <c r="TT262" s="1009"/>
      <c r="TU262" s="1009"/>
      <c r="TV262" s="1009"/>
      <c r="TW262" s="1009"/>
      <c r="TX262" s="1009"/>
      <c r="TY262" s="1009"/>
      <c r="TZ262" s="1009"/>
      <c r="UA262" s="1009"/>
      <c r="UB262" s="1009"/>
      <c r="UC262" s="1009"/>
      <c r="UD262" s="1009"/>
      <c r="UE262" s="1009"/>
      <c r="UF262" s="1009"/>
      <c r="UG262" s="1009"/>
      <c r="UH262" s="1009"/>
      <c r="UI262" s="1009"/>
      <c r="UJ262" s="1009"/>
      <c r="UK262" s="1009"/>
      <c r="UL262" s="1009"/>
      <c r="UM262" s="1009"/>
      <c r="UN262" s="1009"/>
      <c r="UO262" s="1009"/>
      <c r="UP262" s="1009"/>
      <c r="UQ262" s="1009"/>
      <c r="UR262" s="1009"/>
      <c r="US262" s="1009"/>
      <c r="UT262" s="1009"/>
      <c r="UU262" s="1009"/>
      <c r="UV262" s="1009"/>
      <c r="UW262" s="1009"/>
      <c r="UX262" s="1009"/>
      <c r="UY262" s="1009"/>
      <c r="UZ262" s="1009"/>
      <c r="VA262" s="1009"/>
      <c r="VB262" s="1009"/>
      <c r="VC262" s="1009"/>
      <c r="VD262" s="1009"/>
      <c r="VE262" s="1009"/>
      <c r="VF262" s="1009"/>
      <c r="VG262" s="1009"/>
      <c r="VH262" s="1009"/>
      <c r="VI262" s="1009"/>
      <c r="VJ262" s="1009"/>
      <c r="VK262" s="1009"/>
      <c r="VL262" s="1009"/>
      <c r="VM262" s="1009"/>
      <c r="VN262" s="1009"/>
      <c r="VO262" s="1009"/>
      <c r="VP262" s="1009"/>
      <c r="VQ262" s="1009"/>
      <c r="VR262" s="1009"/>
      <c r="VS262" s="1009"/>
      <c r="VT262" s="1009"/>
      <c r="VU262" s="1009"/>
      <c r="VV262" s="1009"/>
      <c r="VW262" s="1009"/>
      <c r="VX262" s="1009"/>
      <c r="VY262" s="1009"/>
      <c r="VZ262" s="1009"/>
      <c r="WA262" s="1009"/>
      <c r="WB262" s="1009"/>
      <c r="WC262" s="1009"/>
      <c r="WD262" s="1009"/>
      <c r="WE262" s="1009"/>
      <c r="WF262" s="1009"/>
      <c r="WG262" s="1009"/>
      <c r="WH262" s="1009"/>
      <c r="WI262" s="1009"/>
      <c r="WJ262" s="1009"/>
      <c r="WK262" s="1009"/>
      <c r="WL262" s="1009"/>
      <c r="WM262" s="1009"/>
      <c r="WN262" s="1009"/>
      <c r="WO262" s="1009"/>
      <c r="WP262" s="1009"/>
      <c r="WQ262" s="1009"/>
      <c r="WR262" s="1009"/>
      <c r="WS262" s="1009"/>
      <c r="WT262" s="1009"/>
      <c r="WU262" s="1009"/>
      <c r="WV262" s="1009"/>
      <c r="WW262" s="1009"/>
      <c r="WX262" s="1009"/>
      <c r="WY262" s="1009"/>
      <c r="WZ262" s="1009"/>
      <c r="XA262" s="1009"/>
      <c r="XB262" s="1009"/>
      <c r="XC262" s="1009"/>
      <c r="XD262" s="1009"/>
      <c r="XE262" s="1009"/>
      <c r="XF262" s="1009"/>
      <c r="XG262" s="1009"/>
      <c r="XH262" s="1009"/>
      <c r="XI262" s="1009"/>
      <c r="XJ262" s="1009"/>
      <c r="XK262" s="1009"/>
      <c r="XL262" s="1009"/>
      <c r="XM262" s="1009"/>
      <c r="XN262" s="1009"/>
      <c r="XO262" s="1009"/>
      <c r="XP262" s="1009"/>
      <c r="XQ262" s="1009"/>
      <c r="XR262" s="1009"/>
      <c r="XS262" s="1009"/>
      <c r="XT262" s="1009"/>
      <c r="XU262" s="1009"/>
      <c r="XV262" s="1009"/>
      <c r="XW262" s="1009"/>
      <c r="XX262" s="1009"/>
      <c r="XY262" s="1009"/>
      <c r="XZ262" s="1009"/>
      <c r="YA262" s="1009"/>
      <c r="YB262" s="1009"/>
      <c r="YC262" s="1009"/>
      <c r="YD262" s="1009"/>
      <c r="YE262" s="1009"/>
      <c r="YF262" s="1009"/>
      <c r="YG262" s="1009"/>
      <c r="YH262" s="1009"/>
      <c r="YI262" s="1009"/>
      <c r="YJ262" s="1009"/>
      <c r="YK262" s="1009"/>
      <c r="YL262" s="1009"/>
      <c r="YM262" s="1009"/>
      <c r="YN262" s="1009"/>
      <c r="YO262" s="1009"/>
      <c r="YP262" s="1009"/>
      <c r="YQ262" s="1009"/>
      <c r="YR262" s="1009"/>
      <c r="YS262" s="1009"/>
      <c r="YT262" s="1009"/>
      <c r="YU262" s="1009"/>
      <c r="YV262" s="1009"/>
      <c r="YW262" s="1009"/>
      <c r="YX262" s="1009"/>
      <c r="YY262" s="1009"/>
      <c r="YZ262" s="1009"/>
      <c r="ZA262" s="1009"/>
      <c r="ZB262" s="1009"/>
      <c r="ZC262" s="1009"/>
      <c r="ZD262" s="1009"/>
      <c r="ZE262" s="1009"/>
      <c r="ZF262" s="1009"/>
      <c r="ZG262" s="1009"/>
      <c r="ZH262" s="1009"/>
      <c r="ZI262" s="1009"/>
      <c r="ZJ262" s="1009"/>
      <c r="ZK262" s="1009"/>
      <c r="ZL262" s="1009"/>
      <c r="ZM262" s="1009"/>
      <c r="ZN262" s="1009"/>
      <c r="ZO262" s="1009"/>
      <c r="ZP262" s="1009"/>
      <c r="ZQ262" s="1009"/>
      <c r="ZR262" s="1009"/>
      <c r="ZS262" s="1009"/>
      <c r="ZT262" s="1009"/>
      <c r="ZU262" s="1009"/>
      <c r="ZV262" s="1009"/>
      <c r="ZW262" s="1009"/>
      <c r="ZX262" s="1009"/>
      <c r="ZY262" s="1009"/>
      <c r="ZZ262" s="1009"/>
      <c r="AAA262" s="1009"/>
      <c r="AAB262" s="1009"/>
      <c r="AAC262" s="1009"/>
      <c r="AAD262" s="1009"/>
      <c r="AAE262" s="1009"/>
      <c r="AAF262" s="1009"/>
      <c r="AAG262" s="1009"/>
      <c r="AAH262" s="1009"/>
      <c r="AAI262" s="1009"/>
      <c r="AAJ262" s="1009"/>
      <c r="AAK262" s="1009"/>
      <c r="AAL262" s="1009"/>
      <c r="AAM262" s="1009"/>
      <c r="AAN262" s="1009"/>
      <c r="AAO262" s="1009"/>
      <c r="AAP262" s="1009"/>
      <c r="AAQ262" s="1009"/>
      <c r="AAR262" s="1009"/>
      <c r="AAS262" s="1009"/>
      <c r="AAT262" s="1009"/>
      <c r="AAU262" s="1009"/>
      <c r="AAV262" s="1009"/>
      <c r="AAW262" s="1009"/>
      <c r="AAX262" s="1009"/>
      <c r="AAY262" s="1009"/>
      <c r="AAZ262" s="1009"/>
      <c r="ABA262" s="1009"/>
      <c r="ABB262" s="1009"/>
      <c r="ABC262" s="1009"/>
      <c r="ABD262" s="1009"/>
      <c r="ABE262" s="1009"/>
      <c r="ABF262" s="1009"/>
      <c r="ABG262" s="1009"/>
      <c r="ABH262" s="1009"/>
      <c r="ABI262" s="1009"/>
      <c r="ABJ262" s="1009"/>
      <c r="ABK262" s="1009"/>
      <c r="ABL262" s="1009"/>
      <c r="ABM262" s="1009"/>
      <c r="ABN262" s="1009"/>
      <c r="ABO262" s="1009"/>
      <c r="ABP262" s="1009"/>
      <c r="ABQ262" s="1009"/>
      <c r="ABR262" s="1009"/>
    </row>
    <row r="263" spans="1:746" s="111" customFormat="1" ht="12" customHeight="1">
      <c r="A263" s="1758"/>
      <c r="B263" s="910" t="s">
        <v>1071</v>
      </c>
      <c r="C263" s="911"/>
      <c r="D263" s="911"/>
      <c r="E263" s="2632"/>
      <c r="F263" s="2633"/>
      <c r="G263" s="2634"/>
      <c r="H263" s="2552"/>
      <c r="I263" s="345">
        <f>SUM(fx!$I$444:I444)-SUMIF(fx!$I$57:I$57,1,$I$262:I262)</f>
        <v>0</v>
      </c>
      <c r="J263" s="345">
        <f>SUM(fx!$I$444:J444)-SUMIF(fx!$I$57:J$57,1,$I$262:J262)</f>
        <v>0</v>
      </c>
      <c r="K263" s="345">
        <f>SUM(fx!$I$444:K444)-SUMIF(fx!$I$57:K$57,1,$I$262:K262)</f>
        <v>0</v>
      </c>
      <c r="L263" s="345">
        <f>SUM(fx!$I$444:L444)-SUMIF(fx!$I$57:L$57,1,$I$262:L262)</f>
        <v>0</v>
      </c>
      <c r="M263" s="345">
        <f>SUM(fx!$I$444:M444)-SUMIF(fx!$I$57:M$57,1,$I$262:M262)</f>
        <v>0</v>
      </c>
      <c r="N263" s="345">
        <f>SUM(fx!$I$444:N444)-SUMIF(fx!$I$57:N$57,1,$I$262:N262)</f>
        <v>0</v>
      </c>
      <c r="O263" s="345">
        <f>SUM(fx!$I$444:O444)-SUMIF(fx!$I$57:O$57,1,$I$262:O262)</f>
        <v>0</v>
      </c>
      <c r="P263" s="345">
        <f>SUM(fx!$I$444:P444)-SUMIF(fx!$I$57:P$57,1,$I$262:P262)</f>
        <v>0</v>
      </c>
      <c r="Q263" s="345">
        <f>SUM(fx!$I$444:Q444)-SUMIF(fx!$I$57:Q$57,1,$I$262:Q262)</f>
        <v>0</v>
      </c>
      <c r="R263" s="345">
        <f>SUM(fx!$I$444:R444)-SUMIF(fx!$I$57:R$57,1,$I$262:R262)</f>
        <v>0</v>
      </c>
      <c r="S263" s="345">
        <f>SUM(fx!$I$444:S444)-SUMIF(fx!$I$57:S$57,1,$I$262:S262)</f>
        <v>0</v>
      </c>
      <c r="T263" s="345">
        <f>SUM(fx!$I$444:T444)-SUMIF(fx!$I$57:T$57,1,$I$262:T262)</f>
        <v>0</v>
      </c>
      <c r="U263" s="345">
        <f>$T$263-SUM($U$262:U262)</f>
        <v>0</v>
      </c>
      <c r="V263" s="345">
        <f>$T$263-SUM($U$262:V262)</f>
        <v>0</v>
      </c>
      <c r="W263" s="345">
        <f>$T$263-SUM($U$262:W262)</f>
        <v>0</v>
      </c>
      <c r="X263" s="345">
        <f>$T$263-SUM($U$262:X262)</f>
        <v>0</v>
      </c>
      <c r="Y263" s="345">
        <f>$T$263-SUM($U$262:Y262)</f>
        <v>0</v>
      </c>
      <c r="Z263" s="345">
        <f>$T$263-SUM($U$262:Z262)</f>
        <v>0</v>
      </c>
      <c r="AA263" s="345">
        <f>$T$263-SUM($U$262:AA262)</f>
        <v>0</v>
      </c>
      <c r="AB263" s="345">
        <f>$T$263-SUM($U$262:AB262)</f>
        <v>0</v>
      </c>
      <c r="AC263" s="345">
        <f>$T$263-SUM($U$262:AC262)</f>
        <v>0</v>
      </c>
      <c r="AD263" s="345">
        <f>$T$263-SUM($U$262:AD262)</f>
        <v>0</v>
      </c>
      <c r="AE263" s="345">
        <f>$T$263-SUM($U$262:AE262)</f>
        <v>0</v>
      </c>
      <c r="AF263" s="345">
        <f>$T$263-SUM($U$262:AF262)</f>
        <v>0</v>
      </c>
      <c r="AG263" s="337"/>
      <c r="AH263" s="786"/>
      <c r="AI263" s="786"/>
      <c r="AJ263" s="1044"/>
      <c r="AK263" s="1047"/>
      <c r="AL263" s="1044"/>
      <c r="AM263" s="1009"/>
      <c r="AN263" s="1026"/>
      <c r="AO263" s="1034"/>
      <c r="AP263" s="1084"/>
      <c r="AQ263" s="1084"/>
      <c r="AR263" s="1009"/>
      <c r="AS263" s="1009"/>
      <c r="AT263" s="1009"/>
      <c r="AU263" s="1009"/>
      <c r="AV263" s="1009"/>
      <c r="AW263" s="1009"/>
      <c r="AX263" s="1009"/>
      <c r="AY263" s="1009"/>
      <c r="AZ263" s="1009"/>
      <c r="BA263" s="1009"/>
      <c r="BB263" s="1009"/>
      <c r="BC263" s="1009"/>
      <c r="BD263" s="1009"/>
      <c r="BE263" s="1009"/>
      <c r="BF263" s="1009"/>
      <c r="BG263" s="1009"/>
      <c r="BH263" s="1009"/>
      <c r="BI263" s="1009"/>
      <c r="BJ263" s="1009"/>
      <c r="BK263" s="1009"/>
      <c r="BL263" s="1009"/>
      <c r="BM263" s="1009"/>
      <c r="BN263" s="1009"/>
      <c r="BO263" s="1009"/>
      <c r="BP263" s="1009"/>
      <c r="BQ263" s="1009"/>
      <c r="BR263" s="1009"/>
      <c r="BS263" s="1009"/>
      <c r="BT263" s="1009"/>
      <c r="BU263" s="1009"/>
      <c r="BV263" s="1009"/>
      <c r="BW263" s="1009"/>
      <c r="BX263" s="1009"/>
      <c r="BY263" s="1009"/>
      <c r="BZ263" s="1009"/>
      <c r="CA263" s="1009"/>
      <c r="CB263" s="1009"/>
      <c r="CC263" s="1009"/>
      <c r="CD263" s="1009"/>
      <c r="CE263" s="1009"/>
      <c r="CF263" s="1009"/>
      <c r="CG263" s="1009"/>
      <c r="CH263" s="1009"/>
      <c r="CI263" s="1009"/>
      <c r="CJ263" s="1009"/>
      <c r="CK263" s="1009"/>
      <c r="CL263" s="1009"/>
      <c r="CM263" s="1009"/>
      <c r="CN263" s="1009"/>
      <c r="CO263" s="1009"/>
      <c r="CP263" s="1009"/>
      <c r="CQ263" s="1009"/>
      <c r="CR263" s="1009"/>
      <c r="CS263" s="1009"/>
      <c r="CT263" s="1009"/>
      <c r="CU263" s="1009"/>
      <c r="CV263" s="1009"/>
      <c r="CW263" s="1009"/>
      <c r="CX263" s="1009"/>
      <c r="CY263" s="1009"/>
      <c r="CZ263" s="1009"/>
      <c r="DA263" s="1009"/>
      <c r="DB263" s="1009"/>
      <c r="DC263" s="1009"/>
      <c r="DD263" s="1009"/>
      <c r="DE263" s="1009"/>
      <c r="DF263" s="1009"/>
      <c r="DG263" s="1009"/>
      <c r="DH263" s="1009"/>
      <c r="DI263" s="1009"/>
      <c r="DJ263" s="1009"/>
      <c r="DK263" s="1009"/>
      <c r="DL263" s="1009"/>
      <c r="DM263" s="1009"/>
      <c r="DN263" s="1009"/>
      <c r="DO263" s="1009"/>
      <c r="DP263" s="1009"/>
      <c r="DQ263" s="1009"/>
      <c r="DR263" s="1009"/>
      <c r="DS263" s="1009"/>
      <c r="DT263" s="1009"/>
      <c r="DU263" s="1009"/>
      <c r="DV263" s="1009"/>
      <c r="DW263" s="1009"/>
      <c r="DX263" s="1009"/>
      <c r="DY263" s="1009"/>
      <c r="DZ263" s="1009"/>
      <c r="EA263" s="1009"/>
      <c r="EB263" s="1009"/>
      <c r="EC263" s="1009"/>
      <c r="ED263" s="1009"/>
      <c r="EE263" s="1009"/>
      <c r="EF263" s="1009"/>
      <c r="EG263" s="1009"/>
      <c r="EH263" s="1009"/>
      <c r="EI263" s="1009"/>
      <c r="EJ263" s="1009"/>
      <c r="EK263" s="1009"/>
      <c r="EL263" s="1009"/>
      <c r="EM263" s="1009"/>
      <c r="EN263" s="1009"/>
      <c r="EO263" s="1009"/>
      <c r="EP263" s="1009"/>
      <c r="EQ263" s="1009"/>
      <c r="ER263" s="1009"/>
      <c r="ES263" s="1009"/>
      <c r="ET263" s="1009"/>
      <c r="EU263" s="1009"/>
      <c r="EV263" s="1009"/>
      <c r="EW263" s="1009"/>
      <c r="EX263" s="1009"/>
      <c r="EY263" s="1009"/>
      <c r="EZ263" s="1009"/>
      <c r="FA263" s="1009"/>
      <c r="FB263" s="1009"/>
      <c r="FC263" s="1009"/>
      <c r="FD263" s="1009"/>
      <c r="FE263" s="1009"/>
      <c r="FF263" s="1009"/>
      <c r="FG263" s="1009"/>
      <c r="FH263" s="1009"/>
      <c r="FI263" s="1009"/>
      <c r="FJ263" s="1009"/>
      <c r="FK263" s="1009"/>
      <c r="FL263" s="1009"/>
      <c r="FM263" s="1009"/>
      <c r="FN263" s="1009"/>
      <c r="FO263" s="1009"/>
      <c r="FP263" s="1009"/>
      <c r="FQ263" s="1009"/>
      <c r="FR263" s="1009"/>
      <c r="FS263" s="1009"/>
      <c r="FT263" s="1009"/>
      <c r="FU263" s="1009"/>
      <c r="FV263" s="1009"/>
      <c r="FW263" s="1009"/>
      <c r="FX263" s="1009"/>
      <c r="FY263" s="1009"/>
      <c r="FZ263" s="1009"/>
      <c r="GA263" s="1009"/>
      <c r="GB263" s="1009"/>
      <c r="GC263" s="1009"/>
      <c r="GD263" s="1009"/>
      <c r="GE263" s="1009"/>
      <c r="GF263" s="1009"/>
      <c r="GG263" s="1009"/>
      <c r="GH263" s="1009"/>
      <c r="GI263" s="1009"/>
      <c r="GJ263" s="1009"/>
      <c r="GK263" s="1009"/>
      <c r="GL263" s="1009"/>
      <c r="GM263" s="1009"/>
      <c r="GN263" s="1009"/>
      <c r="GO263" s="1009"/>
      <c r="GP263" s="1009"/>
      <c r="GQ263" s="1009"/>
      <c r="GR263" s="1009"/>
      <c r="GS263" s="1009"/>
      <c r="GT263" s="1009"/>
      <c r="GU263" s="1009"/>
      <c r="GV263" s="1009"/>
      <c r="GW263" s="1009"/>
      <c r="GX263" s="1009"/>
      <c r="GY263" s="1009"/>
      <c r="GZ263" s="1009"/>
      <c r="HA263" s="1009"/>
      <c r="HB263" s="1009"/>
      <c r="HC263" s="1009"/>
      <c r="HD263" s="1009"/>
      <c r="HE263" s="1009"/>
      <c r="HF263" s="1009"/>
      <c r="HG263" s="1009"/>
      <c r="HH263" s="1009"/>
      <c r="HI263" s="1009"/>
      <c r="HJ263" s="1009"/>
      <c r="HK263" s="1009"/>
      <c r="HL263" s="1009"/>
      <c r="HM263" s="1009"/>
      <c r="HN263" s="1009"/>
      <c r="HO263" s="1009"/>
      <c r="HP263" s="1009"/>
      <c r="HQ263" s="1009"/>
      <c r="HR263" s="1009"/>
      <c r="HS263" s="1009"/>
      <c r="HT263" s="1009"/>
      <c r="HU263" s="1009"/>
      <c r="HV263" s="1009"/>
      <c r="HW263" s="1009"/>
      <c r="HX263" s="1009"/>
      <c r="HY263" s="1009"/>
      <c r="HZ263" s="1009"/>
      <c r="IA263" s="1009"/>
      <c r="IB263" s="1009"/>
      <c r="IC263" s="1009"/>
      <c r="ID263" s="1009"/>
      <c r="IE263" s="1009"/>
      <c r="IF263" s="1009"/>
      <c r="IG263" s="1009"/>
      <c r="IH263" s="1009"/>
      <c r="II263" s="1009"/>
      <c r="IJ263" s="1009"/>
      <c r="IK263" s="1009"/>
      <c r="IL263" s="1009"/>
      <c r="IM263" s="1009"/>
      <c r="IN263" s="1009"/>
      <c r="IO263" s="1009"/>
      <c r="IP263" s="1009"/>
      <c r="IQ263" s="1009"/>
      <c r="IR263" s="1009"/>
      <c r="IS263" s="1009"/>
      <c r="IT263" s="1009"/>
      <c r="IU263" s="1009"/>
      <c r="IV263" s="1009"/>
      <c r="IW263" s="1009"/>
      <c r="IX263" s="1009"/>
      <c r="IY263" s="1009"/>
      <c r="IZ263" s="1009"/>
      <c r="JA263" s="1009"/>
      <c r="JB263" s="1009"/>
      <c r="JC263" s="1009"/>
      <c r="JD263" s="1009"/>
      <c r="JE263" s="1009"/>
      <c r="JF263" s="1009"/>
      <c r="JG263" s="1009"/>
      <c r="JH263" s="1009"/>
      <c r="JI263" s="1009"/>
      <c r="JJ263" s="1009"/>
      <c r="JK263" s="1009"/>
      <c r="JL263" s="1009"/>
      <c r="JM263" s="1009"/>
      <c r="JN263" s="1009"/>
      <c r="JO263" s="1009"/>
      <c r="JP263" s="1009"/>
      <c r="JQ263" s="1009"/>
      <c r="JR263" s="1009"/>
      <c r="JS263" s="1009"/>
      <c r="JT263" s="1009"/>
      <c r="JU263" s="1009"/>
      <c r="JV263" s="1009"/>
      <c r="JW263" s="1009"/>
      <c r="JX263" s="1009"/>
      <c r="JY263" s="1009"/>
      <c r="JZ263" s="1009"/>
      <c r="KA263" s="1009"/>
      <c r="KB263" s="1009"/>
      <c r="KC263" s="1009"/>
      <c r="KD263" s="1009"/>
      <c r="KE263" s="1009"/>
      <c r="KF263" s="1009"/>
      <c r="KG263" s="1009"/>
      <c r="KH263" s="1009"/>
      <c r="KI263" s="1009"/>
      <c r="KJ263" s="1009"/>
      <c r="KK263" s="1009"/>
      <c r="KL263" s="1009"/>
      <c r="KM263" s="1009"/>
      <c r="KN263" s="1009"/>
      <c r="KO263" s="1009"/>
      <c r="KP263" s="1009"/>
      <c r="KQ263" s="1009"/>
      <c r="KR263" s="1009"/>
      <c r="KS263" s="1009"/>
      <c r="KT263" s="1009"/>
      <c r="KU263" s="1009"/>
      <c r="KV263" s="1009"/>
      <c r="KW263" s="1009"/>
      <c r="KX263" s="1009"/>
      <c r="KY263" s="1009"/>
      <c r="KZ263" s="1009"/>
      <c r="LA263" s="1009"/>
      <c r="LB263" s="1009"/>
      <c r="LC263" s="1009"/>
      <c r="LD263" s="1009"/>
      <c r="LE263" s="1009"/>
      <c r="LF263" s="1009"/>
      <c r="LG263" s="1009"/>
      <c r="LH263" s="1009"/>
      <c r="LI263" s="1009"/>
      <c r="LJ263" s="1009"/>
      <c r="LK263" s="1009"/>
      <c r="LL263" s="1009"/>
      <c r="LM263" s="1009"/>
      <c r="LN263" s="1009"/>
      <c r="LO263" s="1009"/>
      <c r="LP263" s="1009"/>
      <c r="LQ263" s="1009"/>
      <c r="LR263" s="1009"/>
      <c r="LS263" s="1009"/>
      <c r="LT263" s="1009"/>
      <c r="LU263" s="1009"/>
      <c r="LV263" s="1009"/>
      <c r="LW263" s="1009"/>
      <c r="LX263" s="1009"/>
      <c r="LY263" s="1009"/>
      <c r="LZ263" s="1009"/>
      <c r="MA263" s="1009"/>
      <c r="MB263" s="1009"/>
      <c r="MC263" s="1009"/>
      <c r="MD263" s="1009"/>
      <c r="ME263" s="1009"/>
      <c r="MF263" s="1009"/>
      <c r="MG263" s="1009"/>
      <c r="MH263" s="1009"/>
      <c r="MI263" s="1009"/>
      <c r="MJ263" s="1009"/>
      <c r="MK263" s="1009"/>
      <c r="ML263" s="1009"/>
      <c r="MM263" s="1009"/>
      <c r="MN263" s="1009"/>
      <c r="MO263" s="1009"/>
      <c r="MP263" s="1009"/>
      <c r="MQ263" s="1009"/>
      <c r="MR263" s="1009"/>
      <c r="MS263" s="1009"/>
      <c r="MT263" s="1009"/>
      <c r="MU263" s="1009"/>
      <c r="MV263" s="1009"/>
      <c r="MW263" s="1009"/>
      <c r="MX263" s="1009"/>
      <c r="MY263" s="1009"/>
      <c r="MZ263" s="1009"/>
      <c r="NA263" s="1009"/>
      <c r="NB263" s="1009"/>
      <c r="NC263" s="1009"/>
      <c r="ND263" s="1009"/>
      <c r="NE263" s="1009"/>
      <c r="NF263" s="1009"/>
      <c r="NG263" s="1009"/>
      <c r="NH263" s="1009"/>
      <c r="NI263" s="1009"/>
      <c r="NJ263" s="1009"/>
      <c r="NK263" s="1009"/>
      <c r="NL263" s="1009"/>
      <c r="NM263" s="1009"/>
      <c r="NN263" s="1009"/>
      <c r="NO263" s="1009"/>
      <c r="NP263" s="1009"/>
      <c r="NQ263" s="1009"/>
      <c r="NR263" s="1009"/>
      <c r="NS263" s="1009"/>
      <c r="NT263" s="1009"/>
      <c r="NU263" s="1009"/>
      <c r="NV263" s="1009"/>
      <c r="NW263" s="1009"/>
      <c r="NX263" s="1009"/>
      <c r="NY263" s="1009"/>
      <c r="NZ263" s="1009"/>
      <c r="OA263" s="1009"/>
      <c r="OB263" s="1009"/>
      <c r="OC263" s="1009"/>
      <c r="OD263" s="1009"/>
      <c r="OE263" s="1009"/>
      <c r="OF263" s="1009"/>
      <c r="OG263" s="1009"/>
      <c r="OH263" s="1009"/>
      <c r="OI263" s="1009"/>
      <c r="OJ263" s="1009"/>
      <c r="OK263" s="1009"/>
      <c r="OL263" s="1009"/>
      <c r="OM263" s="1009"/>
      <c r="ON263" s="1009"/>
      <c r="OO263" s="1009"/>
      <c r="OP263" s="1009"/>
      <c r="OQ263" s="1009"/>
      <c r="OR263" s="1009"/>
      <c r="OS263" s="1009"/>
      <c r="OT263" s="1009"/>
      <c r="OU263" s="1009"/>
      <c r="OV263" s="1009"/>
      <c r="OW263" s="1009"/>
      <c r="OX263" s="1009"/>
      <c r="OY263" s="1009"/>
      <c r="OZ263" s="1009"/>
      <c r="PA263" s="1009"/>
      <c r="PB263" s="1009"/>
      <c r="PC263" s="1009"/>
      <c r="PD263" s="1009"/>
      <c r="PE263" s="1009"/>
      <c r="PF263" s="1009"/>
      <c r="PG263" s="1009"/>
      <c r="PH263" s="1009"/>
      <c r="PI263" s="1009"/>
      <c r="PJ263" s="1009"/>
      <c r="PK263" s="1009"/>
      <c r="PL263" s="1009"/>
      <c r="PM263" s="1009"/>
      <c r="PN263" s="1009"/>
      <c r="PO263" s="1009"/>
      <c r="PP263" s="1009"/>
      <c r="PQ263" s="1009"/>
      <c r="PR263" s="1009"/>
      <c r="PS263" s="1009"/>
      <c r="PT263" s="1009"/>
      <c r="PU263" s="1009"/>
      <c r="PV263" s="1009"/>
      <c r="PW263" s="1009"/>
      <c r="PX263" s="1009"/>
      <c r="PY263" s="1009"/>
      <c r="PZ263" s="1009"/>
      <c r="QA263" s="1009"/>
      <c r="QB263" s="1009"/>
      <c r="QC263" s="1009"/>
      <c r="QD263" s="1009"/>
      <c r="QE263" s="1009"/>
      <c r="QF263" s="1009"/>
      <c r="QG263" s="1009"/>
      <c r="QH263" s="1009"/>
      <c r="QI263" s="1009"/>
      <c r="QJ263" s="1009"/>
      <c r="QK263" s="1009"/>
      <c r="QL263" s="1009"/>
      <c r="QM263" s="1009"/>
      <c r="QN263" s="1009"/>
      <c r="QO263" s="1009"/>
      <c r="QP263" s="1009"/>
      <c r="QQ263" s="1009"/>
      <c r="QR263" s="1009"/>
      <c r="QS263" s="1009"/>
      <c r="QT263" s="1009"/>
      <c r="QU263" s="1009"/>
      <c r="QV263" s="1009"/>
      <c r="QW263" s="1009"/>
      <c r="QX263" s="1009"/>
      <c r="QY263" s="1009"/>
      <c r="QZ263" s="1009"/>
      <c r="RA263" s="1009"/>
      <c r="RB263" s="1009"/>
      <c r="RC263" s="1009"/>
      <c r="RD263" s="1009"/>
      <c r="RE263" s="1009"/>
      <c r="RF263" s="1009"/>
      <c r="RG263" s="1009"/>
      <c r="RH263" s="1009"/>
      <c r="RI263" s="1009"/>
      <c r="RJ263" s="1009"/>
      <c r="RK263" s="1009"/>
      <c r="RL263" s="1009"/>
      <c r="RM263" s="1009"/>
      <c r="RN263" s="1009"/>
      <c r="RO263" s="1009"/>
      <c r="RP263" s="1009"/>
      <c r="RQ263" s="1009"/>
      <c r="RR263" s="1009"/>
      <c r="RS263" s="1009"/>
      <c r="RT263" s="1009"/>
      <c r="RU263" s="1009"/>
      <c r="RV263" s="1009"/>
      <c r="RW263" s="1009"/>
      <c r="RX263" s="1009"/>
      <c r="RY263" s="1009"/>
      <c r="RZ263" s="1009"/>
      <c r="SA263" s="1009"/>
      <c r="SB263" s="1009"/>
      <c r="SC263" s="1009"/>
      <c r="SD263" s="1009"/>
      <c r="SE263" s="1009"/>
      <c r="SF263" s="1009"/>
      <c r="SG263" s="1009"/>
      <c r="SH263" s="1009"/>
      <c r="SI263" s="1009"/>
      <c r="SJ263" s="1009"/>
      <c r="SK263" s="1009"/>
      <c r="SL263" s="1009"/>
      <c r="SM263" s="1009"/>
      <c r="SN263" s="1009"/>
      <c r="SO263" s="1009"/>
      <c r="SP263" s="1009"/>
      <c r="SQ263" s="1009"/>
      <c r="SR263" s="1009"/>
      <c r="SS263" s="1009"/>
      <c r="ST263" s="1009"/>
      <c r="SU263" s="1009"/>
      <c r="SV263" s="1009"/>
      <c r="SW263" s="1009"/>
      <c r="SX263" s="1009"/>
      <c r="SY263" s="1009"/>
      <c r="SZ263" s="1009"/>
      <c r="TA263" s="1009"/>
      <c r="TB263" s="1009"/>
      <c r="TC263" s="1009"/>
      <c r="TD263" s="1009"/>
      <c r="TE263" s="1009"/>
      <c r="TF263" s="1009"/>
      <c r="TG263" s="1009"/>
      <c r="TH263" s="1009"/>
      <c r="TI263" s="1009"/>
      <c r="TJ263" s="1009"/>
      <c r="TK263" s="1009"/>
      <c r="TL263" s="1009"/>
      <c r="TM263" s="1009"/>
      <c r="TN263" s="1009"/>
      <c r="TO263" s="1009"/>
      <c r="TP263" s="1009"/>
      <c r="TQ263" s="1009"/>
      <c r="TR263" s="1009"/>
      <c r="TS263" s="1009"/>
      <c r="TT263" s="1009"/>
      <c r="TU263" s="1009"/>
      <c r="TV263" s="1009"/>
      <c r="TW263" s="1009"/>
      <c r="TX263" s="1009"/>
      <c r="TY263" s="1009"/>
      <c r="TZ263" s="1009"/>
      <c r="UA263" s="1009"/>
      <c r="UB263" s="1009"/>
      <c r="UC263" s="1009"/>
      <c r="UD263" s="1009"/>
      <c r="UE263" s="1009"/>
      <c r="UF263" s="1009"/>
      <c r="UG263" s="1009"/>
      <c r="UH263" s="1009"/>
      <c r="UI263" s="1009"/>
      <c r="UJ263" s="1009"/>
      <c r="UK263" s="1009"/>
      <c r="UL263" s="1009"/>
      <c r="UM263" s="1009"/>
      <c r="UN263" s="1009"/>
      <c r="UO263" s="1009"/>
      <c r="UP263" s="1009"/>
      <c r="UQ263" s="1009"/>
      <c r="UR263" s="1009"/>
      <c r="US263" s="1009"/>
      <c r="UT263" s="1009"/>
      <c r="UU263" s="1009"/>
      <c r="UV263" s="1009"/>
      <c r="UW263" s="1009"/>
      <c r="UX263" s="1009"/>
      <c r="UY263" s="1009"/>
      <c r="UZ263" s="1009"/>
      <c r="VA263" s="1009"/>
      <c r="VB263" s="1009"/>
      <c r="VC263" s="1009"/>
      <c r="VD263" s="1009"/>
      <c r="VE263" s="1009"/>
      <c r="VF263" s="1009"/>
      <c r="VG263" s="1009"/>
      <c r="VH263" s="1009"/>
      <c r="VI263" s="1009"/>
      <c r="VJ263" s="1009"/>
      <c r="VK263" s="1009"/>
      <c r="VL263" s="1009"/>
      <c r="VM263" s="1009"/>
      <c r="VN263" s="1009"/>
      <c r="VO263" s="1009"/>
      <c r="VP263" s="1009"/>
      <c r="VQ263" s="1009"/>
      <c r="VR263" s="1009"/>
      <c r="VS263" s="1009"/>
      <c r="VT263" s="1009"/>
      <c r="VU263" s="1009"/>
      <c r="VV263" s="1009"/>
      <c r="VW263" s="1009"/>
      <c r="VX263" s="1009"/>
      <c r="VY263" s="1009"/>
      <c r="VZ263" s="1009"/>
      <c r="WA263" s="1009"/>
      <c r="WB263" s="1009"/>
      <c r="WC263" s="1009"/>
      <c r="WD263" s="1009"/>
      <c r="WE263" s="1009"/>
      <c r="WF263" s="1009"/>
      <c r="WG263" s="1009"/>
      <c r="WH263" s="1009"/>
      <c r="WI263" s="1009"/>
      <c r="WJ263" s="1009"/>
      <c r="WK263" s="1009"/>
      <c r="WL263" s="1009"/>
      <c r="WM263" s="1009"/>
      <c r="WN263" s="1009"/>
      <c r="WO263" s="1009"/>
      <c r="WP263" s="1009"/>
      <c r="WQ263" s="1009"/>
      <c r="WR263" s="1009"/>
      <c r="WS263" s="1009"/>
      <c r="WT263" s="1009"/>
      <c r="WU263" s="1009"/>
      <c r="WV263" s="1009"/>
      <c r="WW263" s="1009"/>
      <c r="WX263" s="1009"/>
      <c r="WY263" s="1009"/>
      <c r="WZ263" s="1009"/>
      <c r="XA263" s="1009"/>
      <c r="XB263" s="1009"/>
      <c r="XC263" s="1009"/>
      <c r="XD263" s="1009"/>
      <c r="XE263" s="1009"/>
      <c r="XF263" s="1009"/>
      <c r="XG263" s="1009"/>
      <c r="XH263" s="1009"/>
      <c r="XI263" s="1009"/>
      <c r="XJ263" s="1009"/>
      <c r="XK263" s="1009"/>
      <c r="XL263" s="1009"/>
      <c r="XM263" s="1009"/>
      <c r="XN263" s="1009"/>
      <c r="XO263" s="1009"/>
      <c r="XP263" s="1009"/>
      <c r="XQ263" s="1009"/>
      <c r="XR263" s="1009"/>
      <c r="XS263" s="1009"/>
      <c r="XT263" s="1009"/>
      <c r="XU263" s="1009"/>
      <c r="XV263" s="1009"/>
      <c r="XW263" s="1009"/>
      <c r="XX263" s="1009"/>
      <c r="XY263" s="1009"/>
      <c r="XZ263" s="1009"/>
      <c r="YA263" s="1009"/>
      <c r="YB263" s="1009"/>
      <c r="YC263" s="1009"/>
      <c r="YD263" s="1009"/>
      <c r="YE263" s="1009"/>
      <c r="YF263" s="1009"/>
      <c r="YG263" s="1009"/>
      <c r="YH263" s="1009"/>
      <c r="YI263" s="1009"/>
      <c r="YJ263" s="1009"/>
      <c r="YK263" s="1009"/>
      <c r="YL263" s="1009"/>
      <c r="YM263" s="1009"/>
      <c r="YN263" s="1009"/>
      <c r="YO263" s="1009"/>
      <c r="YP263" s="1009"/>
      <c r="YQ263" s="1009"/>
      <c r="YR263" s="1009"/>
      <c r="YS263" s="1009"/>
      <c r="YT263" s="1009"/>
      <c r="YU263" s="1009"/>
      <c r="YV263" s="1009"/>
      <c r="YW263" s="1009"/>
      <c r="YX263" s="1009"/>
      <c r="YY263" s="1009"/>
      <c r="YZ263" s="1009"/>
      <c r="ZA263" s="1009"/>
      <c r="ZB263" s="1009"/>
      <c r="ZC263" s="1009"/>
      <c r="ZD263" s="1009"/>
      <c r="ZE263" s="1009"/>
      <c r="ZF263" s="1009"/>
      <c r="ZG263" s="1009"/>
      <c r="ZH263" s="1009"/>
      <c r="ZI263" s="1009"/>
      <c r="ZJ263" s="1009"/>
      <c r="ZK263" s="1009"/>
      <c r="ZL263" s="1009"/>
      <c r="ZM263" s="1009"/>
      <c r="ZN263" s="1009"/>
      <c r="ZO263" s="1009"/>
      <c r="ZP263" s="1009"/>
      <c r="ZQ263" s="1009"/>
      <c r="ZR263" s="1009"/>
      <c r="ZS263" s="1009"/>
      <c r="ZT263" s="1009"/>
      <c r="ZU263" s="1009"/>
      <c r="ZV263" s="1009"/>
      <c r="ZW263" s="1009"/>
      <c r="ZX263" s="1009"/>
      <c r="ZY263" s="1009"/>
      <c r="ZZ263" s="1009"/>
      <c r="AAA263" s="1009"/>
      <c r="AAB263" s="1009"/>
      <c r="AAC263" s="1009"/>
      <c r="AAD263" s="1009"/>
      <c r="AAE263" s="1009"/>
      <c r="AAF263" s="1009"/>
      <c r="AAG263" s="1009"/>
      <c r="AAH263" s="1009"/>
      <c r="AAI263" s="1009"/>
      <c r="AAJ263" s="1009"/>
      <c r="AAK263" s="1009"/>
      <c r="AAL263" s="1009"/>
      <c r="AAM263" s="1009"/>
      <c r="AAN263" s="1009"/>
      <c r="AAO263" s="1009"/>
      <c r="AAP263" s="1009"/>
      <c r="AAQ263" s="1009"/>
      <c r="AAR263" s="1009"/>
      <c r="AAS263" s="1009"/>
      <c r="AAT263" s="1009"/>
      <c r="AAU263" s="1009"/>
      <c r="AAV263" s="1009"/>
      <c r="AAW263" s="1009"/>
      <c r="AAX263" s="1009"/>
      <c r="AAY263" s="1009"/>
      <c r="AAZ263" s="1009"/>
      <c r="ABA263" s="1009"/>
      <c r="ABB263" s="1009"/>
      <c r="ABC263" s="1009"/>
      <c r="ABD263" s="1009"/>
      <c r="ABE263" s="1009"/>
      <c r="ABF263" s="1009"/>
      <c r="ABG263" s="1009"/>
      <c r="ABH263" s="1009"/>
      <c r="ABI263" s="1009"/>
      <c r="ABJ263" s="1009"/>
      <c r="ABK263" s="1009"/>
      <c r="ABL263" s="1009"/>
      <c r="ABM263" s="1009"/>
      <c r="ABN263" s="1009"/>
      <c r="ABO263" s="1009"/>
      <c r="ABP263" s="1009"/>
      <c r="ABQ263" s="1009"/>
      <c r="ABR263" s="1009"/>
    </row>
    <row r="264" spans="1:746" s="111" customFormat="1" ht="12" customHeight="1">
      <c r="A264" s="789"/>
      <c r="B264" s="2502"/>
      <c r="C264" s="1806"/>
      <c r="D264" s="1806"/>
      <c r="E264" s="1807"/>
      <c r="F264" s="1808"/>
      <c r="G264" s="1807"/>
      <c r="H264" s="2165"/>
      <c r="I264" s="2570" t="str">
        <f>IF(fx!I$57=0,"&gt;&gt;",IF($L$4=I$6,"","Välj 1-12 i P4"))</f>
        <v/>
      </c>
      <c r="J264" s="1843" t="str">
        <f>IF(fx!J$57=0,"&gt;&gt;",IF($L$4=J$6,"Startmånad",""))</f>
        <v/>
      </c>
      <c r="K264" s="1843" t="str">
        <f>IF(fx!K$57=0,"&gt;&gt;",IF($L$4=K$6,"Startmånad",""))</f>
        <v/>
      </c>
      <c r="L264" s="1843" t="str">
        <f>IF(fx!L$57=0,"&gt;&gt;",IF($L$4=L$6,"Startmånad",""))</f>
        <v/>
      </c>
      <c r="M264" s="1843" t="str">
        <f>IF(fx!M$57=0,"&gt;&gt;",IF($L$4=M$6,"Startmånad",""))</f>
        <v/>
      </c>
      <c r="N264" s="1843" t="str">
        <f>IF(fx!N$57=0,"&gt;&gt;",IF($L$4=N$6,"Startmånad",""))</f>
        <v/>
      </c>
      <c r="O264" s="1843" t="str">
        <f>IF(AND(fx!$C$57=1,fx!O$57=0),"&gt;&gt;",IF(AND(fx!$C$57=1,$L$4=$O$6),"Startmånad",IF(AND(fx!$C$57=2,$L$4&lt;7),"Välj 7-12 i P4",IF(AND(fx!$C$57=2,$L$4=$O$6),"Startmånad",IF(AND(fx!$C$57=2,$L$4&gt;$O$6),"&gt;&gt;","")))))</f>
        <v/>
      </c>
      <c r="P264" s="1843" t="str">
        <f>IF(fx!P$57=0,"&gt;&gt;",IF($L$4=P$6,"Startmånad",""))</f>
        <v/>
      </c>
      <c r="Q264" s="1843" t="str">
        <f>IF(fx!Q$57=0,"&gt;&gt;",IF($L$4=Q$6,"Startmånad",""))</f>
        <v/>
      </c>
      <c r="R264" s="1843" t="str">
        <f>IF(fx!R$57=0,"&gt;&gt;",IF($L$4=R$6,"Startmånad",""))</f>
        <v/>
      </c>
      <c r="S264" s="1843" t="str">
        <f>IF(fx!S$57=0,"&gt;&gt;",IF($L$4=S$6,"Startmånad",""))</f>
        <v/>
      </c>
      <c r="T264" s="2717" t="str">
        <f>IF(fx!T$57=0,"&gt;&gt;",IF($L$4=T$6,"Startmånad",""))</f>
        <v/>
      </c>
      <c r="U264" s="2718"/>
      <c r="V264" s="1783"/>
      <c r="W264" s="1783"/>
      <c r="X264" s="1783"/>
      <c r="Y264" s="1783"/>
      <c r="Z264" s="1783"/>
      <c r="AA264" s="1783"/>
      <c r="AB264" s="1783"/>
      <c r="AC264" s="1783"/>
      <c r="AD264" s="1783"/>
      <c r="AE264" s="1783"/>
      <c r="AF264" s="1783"/>
      <c r="AG264" s="376"/>
      <c r="AH264" s="786"/>
      <c r="AI264" s="786"/>
      <c r="AJ264" s="1044"/>
      <c r="AK264" s="1047"/>
      <c r="AL264" s="1044"/>
      <c r="AM264" s="1009"/>
      <c r="AN264" s="1026"/>
      <c r="AO264" s="1034"/>
      <c r="AP264" s="1084"/>
      <c r="AQ264" s="1084"/>
      <c r="AR264" s="1009"/>
      <c r="AS264" s="1009"/>
      <c r="AT264" s="1009"/>
      <c r="AU264" s="1009"/>
      <c r="AV264" s="1009"/>
      <c r="AW264" s="1009"/>
      <c r="AX264" s="1009"/>
      <c r="AY264" s="1009"/>
      <c r="AZ264" s="1009"/>
      <c r="BA264" s="1009"/>
      <c r="BB264" s="1009"/>
      <c r="BC264" s="1009"/>
      <c r="BD264" s="1009"/>
      <c r="BE264" s="1009"/>
      <c r="BF264" s="1009"/>
      <c r="BG264" s="1009"/>
      <c r="BH264" s="1009"/>
      <c r="BI264" s="1009"/>
      <c r="BJ264" s="1009"/>
      <c r="BK264" s="1009"/>
      <c r="BL264" s="1009"/>
      <c r="BM264" s="1009"/>
      <c r="BN264" s="1009"/>
      <c r="BO264" s="1009"/>
      <c r="BP264" s="1009"/>
      <c r="BQ264" s="1009"/>
      <c r="BR264" s="1009"/>
      <c r="BS264" s="1009"/>
      <c r="BT264" s="1009"/>
      <c r="BU264" s="1009"/>
      <c r="BV264" s="1009"/>
      <c r="BW264" s="1009"/>
      <c r="BX264" s="1009"/>
      <c r="BY264" s="1009"/>
      <c r="BZ264" s="1009"/>
      <c r="CA264" s="1009"/>
      <c r="CB264" s="1009"/>
      <c r="CC264" s="1009"/>
      <c r="CD264" s="1009"/>
      <c r="CE264" s="1009"/>
      <c r="CF264" s="1009"/>
      <c r="CG264" s="1009"/>
      <c r="CH264" s="1009"/>
      <c r="CI264" s="1009"/>
      <c r="CJ264" s="1009"/>
      <c r="CK264" s="1009"/>
      <c r="CL264" s="1009"/>
      <c r="CM264" s="1009"/>
      <c r="CN264" s="1009"/>
      <c r="CO264" s="1009"/>
      <c r="CP264" s="1009"/>
      <c r="CQ264" s="1009"/>
      <c r="CR264" s="1009"/>
      <c r="CS264" s="1009"/>
      <c r="CT264" s="1009"/>
      <c r="CU264" s="1009"/>
      <c r="CV264" s="1009"/>
      <c r="CW264" s="1009"/>
      <c r="CX264" s="1009"/>
      <c r="CY264" s="1009"/>
      <c r="CZ264" s="1009"/>
      <c r="DA264" s="1009"/>
      <c r="DB264" s="1009"/>
      <c r="DC264" s="1009"/>
      <c r="DD264" s="1009"/>
      <c r="DE264" s="1009"/>
      <c r="DF264" s="1009"/>
      <c r="DG264" s="1009"/>
      <c r="DH264" s="1009"/>
      <c r="DI264" s="1009"/>
      <c r="DJ264" s="1009"/>
      <c r="DK264" s="1009"/>
      <c r="DL264" s="1009"/>
      <c r="DM264" s="1009"/>
      <c r="DN264" s="1009"/>
      <c r="DO264" s="1009"/>
      <c r="DP264" s="1009"/>
      <c r="DQ264" s="1009"/>
      <c r="DR264" s="1009"/>
      <c r="DS264" s="1009"/>
      <c r="DT264" s="1009"/>
      <c r="DU264" s="1009"/>
      <c r="DV264" s="1009"/>
      <c r="DW264" s="1009"/>
      <c r="DX264" s="1009"/>
      <c r="DY264" s="1009"/>
      <c r="DZ264" s="1009"/>
      <c r="EA264" s="1009"/>
      <c r="EB264" s="1009"/>
      <c r="EC264" s="1009"/>
      <c r="ED264" s="1009"/>
      <c r="EE264" s="1009"/>
      <c r="EF264" s="1009"/>
      <c r="EG264" s="1009"/>
      <c r="EH264" s="1009"/>
      <c r="EI264" s="1009"/>
      <c r="EJ264" s="1009"/>
      <c r="EK264" s="1009"/>
      <c r="EL264" s="1009"/>
      <c r="EM264" s="1009"/>
      <c r="EN264" s="1009"/>
      <c r="EO264" s="1009"/>
      <c r="EP264" s="1009"/>
      <c r="EQ264" s="1009"/>
      <c r="ER264" s="1009"/>
      <c r="ES264" s="1009"/>
      <c r="ET264" s="1009"/>
      <c r="EU264" s="1009"/>
      <c r="EV264" s="1009"/>
      <c r="EW264" s="1009"/>
      <c r="EX264" s="1009"/>
      <c r="EY264" s="1009"/>
      <c r="EZ264" s="1009"/>
      <c r="FA264" s="1009"/>
      <c r="FB264" s="1009"/>
      <c r="FC264" s="1009"/>
      <c r="FD264" s="1009"/>
      <c r="FE264" s="1009"/>
      <c r="FF264" s="1009"/>
      <c r="FG264" s="1009"/>
      <c r="FH264" s="1009"/>
      <c r="FI264" s="1009"/>
      <c r="FJ264" s="1009"/>
      <c r="FK264" s="1009"/>
      <c r="FL264" s="1009"/>
      <c r="FM264" s="1009"/>
      <c r="FN264" s="1009"/>
      <c r="FO264" s="1009"/>
      <c r="FP264" s="1009"/>
      <c r="FQ264" s="1009"/>
      <c r="FR264" s="1009"/>
      <c r="FS264" s="1009"/>
      <c r="FT264" s="1009"/>
      <c r="FU264" s="1009"/>
      <c r="FV264" s="1009"/>
      <c r="FW264" s="1009"/>
      <c r="FX264" s="1009"/>
      <c r="FY264" s="1009"/>
      <c r="FZ264" s="1009"/>
      <c r="GA264" s="1009"/>
      <c r="GB264" s="1009"/>
      <c r="GC264" s="1009"/>
      <c r="GD264" s="1009"/>
      <c r="GE264" s="1009"/>
      <c r="GF264" s="1009"/>
      <c r="GG264" s="1009"/>
      <c r="GH264" s="1009"/>
      <c r="GI264" s="1009"/>
      <c r="GJ264" s="1009"/>
      <c r="GK264" s="1009"/>
      <c r="GL264" s="1009"/>
      <c r="GM264" s="1009"/>
      <c r="GN264" s="1009"/>
      <c r="GO264" s="1009"/>
      <c r="GP264" s="1009"/>
      <c r="GQ264" s="1009"/>
      <c r="GR264" s="1009"/>
      <c r="GS264" s="1009"/>
      <c r="GT264" s="1009"/>
      <c r="GU264" s="1009"/>
      <c r="GV264" s="1009"/>
      <c r="GW264" s="1009"/>
      <c r="GX264" s="1009"/>
      <c r="GY264" s="1009"/>
      <c r="GZ264" s="1009"/>
      <c r="HA264" s="1009"/>
      <c r="HB264" s="1009"/>
      <c r="HC264" s="1009"/>
      <c r="HD264" s="1009"/>
      <c r="HE264" s="1009"/>
      <c r="HF264" s="1009"/>
      <c r="HG264" s="1009"/>
      <c r="HH264" s="1009"/>
      <c r="HI264" s="1009"/>
      <c r="HJ264" s="1009"/>
      <c r="HK264" s="1009"/>
      <c r="HL264" s="1009"/>
      <c r="HM264" s="1009"/>
      <c r="HN264" s="1009"/>
      <c r="HO264" s="1009"/>
      <c r="HP264" s="1009"/>
      <c r="HQ264" s="1009"/>
      <c r="HR264" s="1009"/>
      <c r="HS264" s="1009"/>
      <c r="HT264" s="1009"/>
      <c r="HU264" s="1009"/>
      <c r="HV264" s="1009"/>
      <c r="HW264" s="1009"/>
      <c r="HX264" s="1009"/>
      <c r="HY264" s="1009"/>
      <c r="HZ264" s="1009"/>
      <c r="IA264" s="1009"/>
      <c r="IB264" s="1009"/>
      <c r="IC264" s="1009"/>
      <c r="ID264" s="1009"/>
      <c r="IE264" s="1009"/>
      <c r="IF264" s="1009"/>
      <c r="IG264" s="1009"/>
      <c r="IH264" s="1009"/>
      <c r="II264" s="1009"/>
      <c r="IJ264" s="1009"/>
      <c r="IK264" s="1009"/>
      <c r="IL264" s="1009"/>
      <c r="IM264" s="1009"/>
      <c r="IN264" s="1009"/>
      <c r="IO264" s="1009"/>
      <c r="IP264" s="1009"/>
      <c r="IQ264" s="1009"/>
      <c r="IR264" s="1009"/>
      <c r="IS264" s="1009"/>
      <c r="IT264" s="1009"/>
      <c r="IU264" s="1009"/>
      <c r="IV264" s="1009"/>
      <c r="IW264" s="1009"/>
      <c r="IX264" s="1009"/>
      <c r="IY264" s="1009"/>
      <c r="IZ264" s="1009"/>
      <c r="JA264" s="1009"/>
      <c r="JB264" s="1009"/>
      <c r="JC264" s="1009"/>
      <c r="JD264" s="1009"/>
      <c r="JE264" s="1009"/>
      <c r="JF264" s="1009"/>
      <c r="JG264" s="1009"/>
      <c r="JH264" s="1009"/>
      <c r="JI264" s="1009"/>
      <c r="JJ264" s="1009"/>
      <c r="JK264" s="1009"/>
      <c r="JL264" s="1009"/>
      <c r="JM264" s="1009"/>
      <c r="JN264" s="1009"/>
      <c r="JO264" s="1009"/>
      <c r="JP264" s="1009"/>
      <c r="JQ264" s="1009"/>
      <c r="JR264" s="1009"/>
      <c r="JS264" s="1009"/>
      <c r="JT264" s="1009"/>
      <c r="JU264" s="1009"/>
      <c r="JV264" s="1009"/>
      <c r="JW264" s="1009"/>
      <c r="JX264" s="1009"/>
      <c r="JY264" s="1009"/>
      <c r="JZ264" s="1009"/>
      <c r="KA264" s="1009"/>
      <c r="KB264" s="1009"/>
      <c r="KC264" s="1009"/>
      <c r="KD264" s="1009"/>
      <c r="KE264" s="1009"/>
      <c r="KF264" s="1009"/>
      <c r="KG264" s="1009"/>
      <c r="KH264" s="1009"/>
      <c r="KI264" s="1009"/>
      <c r="KJ264" s="1009"/>
      <c r="KK264" s="1009"/>
      <c r="KL264" s="1009"/>
      <c r="KM264" s="1009"/>
      <c r="KN264" s="1009"/>
      <c r="KO264" s="1009"/>
      <c r="KP264" s="1009"/>
      <c r="KQ264" s="1009"/>
      <c r="KR264" s="1009"/>
      <c r="KS264" s="1009"/>
      <c r="KT264" s="1009"/>
      <c r="KU264" s="1009"/>
      <c r="KV264" s="1009"/>
      <c r="KW264" s="1009"/>
      <c r="KX264" s="1009"/>
      <c r="KY264" s="1009"/>
      <c r="KZ264" s="1009"/>
      <c r="LA264" s="1009"/>
      <c r="LB264" s="1009"/>
      <c r="LC264" s="1009"/>
      <c r="LD264" s="1009"/>
      <c r="LE264" s="1009"/>
      <c r="LF264" s="1009"/>
      <c r="LG264" s="1009"/>
      <c r="LH264" s="1009"/>
      <c r="LI264" s="1009"/>
      <c r="LJ264" s="1009"/>
      <c r="LK264" s="1009"/>
      <c r="LL264" s="1009"/>
      <c r="LM264" s="1009"/>
      <c r="LN264" s="1009"/>
      <c r="LO264" s="1009"/>
      <c r="LP264" s="1009"/>
      <c r="LQ264" s="1009"/>
      <c r="LR264" s="1009"/>
      <c r="LS264" s="1009"/>
      <c r="LT264" s="1009"/>
      <c r="LU264" s="1009"/>
      <c r="LV264" s="1009"/>
      <c r="LW264" s="1009"/>
      <c r="LX264" s="1009"/>
      <c r="LY264" s="1009"/>
      <c r="LZ264" s="1009"/>
      <c r="MA264" s="1009"/>
      <c r="MB264" s="1009"/>
      <c r="MC264" s="1009"/>
      <c r="MD264" s="1009"/>
      <c r="ME264" s="1009"/>
      <c r="MF264" s="1009"/>
      <c r="MG264" s="1009"/>
      <c r="MH264" s="1009"/>
      <c r="MI264" s="1009"/>
      <c r="MJ264" s="1009"/>
      <c r="MK264" s="1009"/>
      <c r="ML264" s="1009"/>
      <c r="MM264" s="1009"/>
      <c r="MN264" s="1009"/>
      <c r="MO264" s="1009"/>
      <c r="MP264" s="1009"/>
      <c r="MQ264" s="1009"/>
      <c r="MR264" s="1009"/>
      <c r="MS264" s="1009"/>
      <c r="MT264" s="1009"/>
      <c r="MU264" s="1009"/>
      <c r="MV264" s="1009"/>
      <c r="MW264" s="1009"/>
      <c r="MX264" s="1009"/>
      <c r="MY264" s="1009"/>
      <c r="MZ264" s="1009"/>
      <c r="NA264" s="1009"/>
      <c r="NB264" s="1009"/>
      <c r="NC264" s="1009"/>
      <c r="ND264" s="1009"/>
      <c r="NE264" s="1009"/>
      <c r="NF264" s="1009"/>
      <c r="NG264" s="1009"/>
      <c r="NH264" s="1009"/>
      <c r="NI264" s="1009"/>
      <c r="NJ264" s="1009"/>
      <c r="NK264" s="1009"/>
      <c r="NL264" s="1009"/>
      <c r="NM264" s="1009"/>
      <c r="NN264" s="1009"/>
      <c r="NO264" s="1009"/>
      <c r="NP264" s="1009"/>
      <c r="NQ264" s="1009"/>
      <c r="NR264" s="1009"/>
      <c r="NS264" s="1009"/>
      <c r="NT264" s="1009"/>
      <c r="NU264" s="1009"/>
      <c r="NV264" s="1009"/>
      <c r="NW264" s="1009"/>
      <c r="NX264" s="1009"/>
      <c r="NY264" s="1009"/>
      <c r="NZ264" s="1009"/>
      <c r="OA264" s="1009"/>
      <c r="OB264" s="1009"/>
      <c r="OC264" s="1009"/>
      <c r="OD264" s="1009"/>
      <c r="OE264" s="1009"/>
      <c r="OF264" s="1009"/>
      <c r="OG264" s="1009"/>
      <c r="OH264" s="1009"/>
      <c r="OI264" s="1009"/>
      <c r="OJ264" s="1009"/>
      <c r="OK264" s="1009"/>
      <c r="OL264" s="1009"/>
      <c r="OM264" s="1009"/>
      <c r="ON264" s="1009"/>
      <c r="OO264" s="1009"/>
      <c r="OP264" s="1009"/>
      <c r="OQ264" s="1009"/>
      <c r="OR264" s="1009"/>
      <c r="OS264" s="1009"/>
      <c r="OT264" s="1009"/>
      <c r="OU264" s="1009"/>
      <c r="OV264" s="1009"/>
      <c r="OW264" s="1009"/>
      <c r="OX264" s="1009"/>
      <c r="OY264" s="1009"/>
      <c r="OZ264" s="1009"/>
      <c r="PA264" s="1009"/>
      <c r="PB264" s="1009"/>
      <c r="PC264" s="1009"/>
      <c r="PD264" s="1009"/>
      <c r="PE264" s="1009"/>
      <c r="PF264" s="1009"/>
      <c r="PG264" s="1009"/>
      <c r="PH264" s="1009"/>
      <c r="PI264" s="1009"/>
      <c r="PJ264" s="1009"/>
      <c r="PK264" s="1009"/>
      <c r="PL264" s="1009"/>
      <c r="PM264" s="1009"/>
      <c r="PN264" s="1009"/>
      <c r="PO264" s="1009"/>
      <c r="PP264" s="1009"/>
      <c r="PQ264" s="1009"/>
      <c r="PR264" s="1009"/>
      <c r="PS264" s="1009"/>
      <c r="PT264" s="1009"/>
      <c r="PU264" s="1009"/>
      <c r="PV264" s="1009"/>
      <c r="PW264" s="1009"/>
      <c r="PX264" s="1009"/>
      <c r="PY264" s="1009"/>
      <c r="PZ264" s="1009"/>
      <c r="QA264" s="1009"/>
      <c r="QB264" s="1009"/>
      <c r="QC264" s="1009"/>
      <c r="QD264" s="1009"/>
      <c r="QE264" s="1009"/>
      <c r="QF264" s="1009"/>
      <c r="QG264" s="1009"/>
      <c r="QH264" s="1009"/>
      <c r="QI264" s="1009"/>
      <c r="QJ264" s="1009"/>
      <c r="QK264" s="1009"/>
      <c r="QL264" s="1009"/>
      <c r="QM264" s="1009"/>
      <c r="QN264" s="1009"/>
      <c r="QO264" s="1009"/>
      <c r="QP264" s="1009"/>
      <c r="QQ264" s="1009"/>
      <c r="QR264" s="1009"/>
      <c r="QS264" s="1009"/>
      <c r="QT264" s="1009"/>
      <c r="QU264" s="1009"/>
      <c r="QV264" s="1009"/>
      <c r="QW264" s="1009"/>
      <c r="QX264" s="1009"/>
      <c r="QY264" s="1009"/>
      <c r="QZ264" s="1009"/>
      <c r="RA264" s="1009"/>
      <c r="RB264" s="1009"/>
      <c r="RC264" s="1009"/>
      <c r="RD264" s="1009"/>
      <c r="RE264" s="1009"/>
      <c r="RF264" s="1009"/>
      <c r="RG264" s="1009"/>
      <c r="RH264" s="1009"/>
      <c r="RI264" s="1009"/>
      <c r="RJ264" s="1009"/>
      <c r="RK264" s="1009"/>
      <c r="RL264" s="1009"/>
      <c r="RM264" s="1009"/>
      <c r="RN264" s="1009"/>
      <c r="RO264" s="1009"/>
      <c r="RP264" s="1009"/>
      <c r="RQ264" s="1009"/>
      <c r="RR264" s="1009"/>
      <c r="RS264" s="1009"/>
      <c r="RT264" s="1009"/>
      <c r="RU264" s="1009"/>
      <c r="RV264" s="1009"/>
      <c r="RW264" s="1009"/>
      <c r="RX264" s="1009"/>
      <c r="RY264" s="1009"/>
      <c r="RZ264" s="1009"/>
      <c r="SA264" s="1009"/>
      <c r="SB264" s="1009"/>
      <c r="SC264" s="1009"/>
      <c r="SD264" s="1009"/>
      <c r="SE264" s="1009"/>
      <c r="SF264" s="1009"/>
      <c r="SG264" s="1009"/>
      <c r="SH264" s="1009"/>
      <c r="SI264" s="1009"/>
      <c r="SJ264" s="1009"/>
      <c r="SK264" s="1009"/>
      <c r="SL264" s="1009"/>
      <c r="SM264" s="1009"/>
      <c r="SN264" s="1009"/>
      <c r="SO264" s="1009"/>
      <c r="SP264" s="1009"/>
      <c r="SQ264" s="1009"/>
      <c r="SR264" s="1009"/>
      <c r="SS264" s="1009"/>
      <c r="ST264" s="1009"/>
      <c r="SU264" s="1009"/>
      <c r="SV264" s="1009"/>
      <c r="SW264" s="1009"/>
      <c r="SX264" s="1009"/>
      <c r="SY264" s="1009"/>
      <c r="SZ264" s="1009"/>
      <c r="TA264" s="1009"/>
      <c r="TB264" s="1009"/>
      <c r="TC264" s="1009"/>
      <c r="TD264" s="1009"/>
      <c r="TE264" s="1009"/>
      <c r="TF264" s="1009"/>
      <c r="TG264" s="1009"/>
      <c r="TH264" s="1009"/>
      <c r="TI264" s="1009"/>
      <c r="TJ264" s="1009"/>
      <c r="TK264" s="1009"/>
      <c r="TL264" s="1009"/>
      <c r="TM264" s="1009"/>
      <c r="TN264" s="1009"/>
      <c r="TO264" s="1009"/>
      <c r="TP264" s="1009"/>
      <c r="TQ264" s="1009"/>
      <c r="TR264" s="1009"/>
      <c r="TS264" s="1009"/>
      <c r="TT264" s="1009"/>
      <c r="TU264" s="1009"/>
      <c r="TV264" s="1009"/>
      <c r="TW264" s="1009"/>
      <c r="TX264" s="1009"/>
      <c r="TY264" s="1009"/>
      <c r="TZ264" s="1009"/>
      <c r="UA264" s="1009"/>
      <c r="UB264" s="1009"/>
      <c r="UC264" s="1009"/>
      <c r="UD264" s="1009"/>
      <c r="UE264" s="1009"/>
      <c r="UF264" s="1009"/>
      <c r="UG264" s="1009"/>
      <c r="UH264" s="1009"/>
      <c r="UI264" s="1009"/>
      <c r="UJ264" s="1009"/>
      <c r="UK264" s="1009"/>
      <c r="UL264" s="1009"/>
      <c r="UM264" s="1009"/>
      <c r="UN264" s="1009"/>
      <c r="UO264" s="1009"/>
      <c r="UP264" s="1009"/>
      <c r="UQ264" s="1009"/>
      <c r="UR264" s="1009"/>
      <c r="US264" s="1009"/>
      <c r="UT264" s="1009"/>
      <c r="UU264" s="1009"/>
      <c r="UV264" s="1009"/>
      <c r="UW264" s="1009"/>
      <c r="UX264" s="1009"/>
      <c r="UY264" s="1009"/>
      <c r="UZ264" s="1009"/>
      <c r="VA264" s="1009"/>
      <c r="VB264" s="1009"/>
      <c r="VC264" s="1009"/>
      <c r="VD264" s="1009"/>
      <c r="VE264" s="1009"/>
      <c r="VF264" s="1009"/>
      <c r="VG264" s="1009"/>
      <c r="VH264" s="1009"/>
      <c r="VI264" s="1009"/>
      <c r="VJ264" s="1009"/>
      <c r="VK264" s="1009"/>
      <c r="VL264" s="1009"/>
      <c r="VM264" s="1009"/>
      <c r="VN264" s="1009"/>
      <c r="VO264" s="1009"/>
      <c r="VP264" s="1009"/>
      <c r="VQ264" s="1009"/>
      <c r="VR264" s="1009"/>
      <c r="VS264" s="1009"/>
      <c r="VT264" s="1009"/>
      <c r="VU264" s="1009"/>
      <c r="VV264" s="1009"/>
      <c r="VW264" s="1009"/>
      <c r="VX264" s="1009"/>
      <c r="VY264" s="1009"/>
      <c r="VZ264" s="1009"/>
      <c r="WA264" s="1009"/>
      <c r="WB264" s="1009"/>
      <c r="WC264" s="1009"/>
      <c r="WD264" s="1009"/>
      <c r="WE264" s="1009"/>
      <c r="WF264" s="1009"/>
      <c r="WG264" s="1009"/>
      <c r="WH264" s="1009"/>
      <c r="WI264" s="1009"/>
      <c r="WJ264" s="1009"/>
      <c r="WK264" s="1009"/>
      <c r="WL264" s="1009"/>
      <c r="WM264" s="1009"/>
      <c r="WN264" s="1009"/>
      <c r="WO264" s="1009"/>
      <c r="WP264" s="1009"/>
      <c r="WQ264" s="1009"/>
      <c r="WR264" s="1009"/>
      <c r="WS264" s="1009"/>
      <c r="WT264" s="1009"/>
      <c r="WU264" s="1009"/>
      <c r="WV264" s="1009"/>
      <c r="WW264" s="1009"/>
      <c r="WX264" s="1009"/>
      <c r="WY264" s="1009"/>
      <c r="WZ264" s="1009"/>
      <c r="XA264" s="1009"/>
      <c r="XB264" s="1009"/>
      <c r="XC264" s="1009"/>
      <c r="XD264" s="1009"/>
      <c r="XE264" s="1009"/>
      <c r="XF264" s="1009"/>
      <c r="XG264" s="1009"/>
      <c r="XH264" s="1009"/>
      <c r="XI264" s="1009"/>
      <c r="XJ264" s="1009"/>
      <c r="XK264" s="1009"/>
      <c r="XL264" s="1009"/>
      <c r="XM264" s="1009"/>
      <c r="XN264" s="1009"/>
      <c r="XO264" s="1009"/>
      <c r="XP264" s="1009"/>
      <c r="XQ264" s="1009"/>
      <c r="XR264" s="1009"/>
      <c r="XS264" s="1009"/>
      <c r="XT264" s="1009"/>
      <c r="XU264" s="1009"/>
      <c r="XV264" s="1009"/>
      <c r="XW264" s="1009"/>
      <c r="XX264" s="1009"/>
      <c r="XY264" s="1009"/>
      <c r="XZ264" s="1009"/>
      <c r="YA264" s="1009"/>
      <c r="YB264" s="1009"/>
      <c r="YC264" s="1009"/>
      <c r="YD264" s="1009"/>
      <c r="YE264" s="1009"/>
      <c r="YF264" s="1009"/>
      <c r="YG264" s="1009"/>
      <c r="YH264" s="1009"/>
      <c r="YI264" s="1009"/>
      <c r="YJ264" s="1009"/>
      <c r="YK264" s="1009"/>
      <c r="YL264" s="1009"/>
      <c r="YM264" s="1009"/>
      <c r="YN264" s="1009"/>
      <c r="YO264" s="1009"/>
      <c r="YP264" s="1009"/>
      <c r="YQ264" s="1009"/>
      <c r="YR264" s="1009"/>
      <c r="YS264" s="1009"/>
      <c r="YT264" s="1009"/>
      <c r="YU264" s="1009"/>
      <c r="YV264" s="1009"/>
      <c r="YW264" s="1009"/>
      <c r="YX264" s="1009"/>
      <c r="YY264" s="1009"/>
      <c r="YZ264" s="1009"/>
      <c r="ZA264" s="1009"/>
      <c r="ZB264" s="1009"/>
      <c r="ZC264" s="1009"/>
      <c r="ZD264" s="1009"/>
      <c r="ZE264" s="1009"/>
      <c r="ZF264" s="1009"/>
      <c r="ZG264" s="1009"/>
      <c r="ZH264" s="1009"/>
      <c r="ZI264" s="1009"/>
      <c r="ZJ264" s="1009"/>
      <c r="ZK264" s="1009"/>
      <c r="ZL264" s="1009"/>
      <c r="ZM264" s="1009"/>
      <c r="ZN264" s="1009"/>
      <c r="ZO264" s="1009"/>
      <c r="ZP264" s="1009"/>
      <c r="ZQ264" s="1009"/>
      <c r="ZR264" s="1009"/>
      <c r="ZS264" s="1009"/>
      <c r="ZT264" s="1009"/>
      <c r="ZU264" s="1009"/>
      <c r="ZV264" s="1009"/>
      <c r="ZW264" s="1009"/>
      <c r="ZX264" s="1009"/>
      <c r="ZY264" s="1009"/>
      <c r="ZZ264" s="1009"/>
      <c r="AAA264" s="1009"/>
      <c r="AAB264" s="1009"/>
      <c r="AAC264" s="1009"/>
      <c r="AAD264" s="1009"/>
      <c r="AAE264" s="1009"/>
      <c r="AAF264" s="1009"/>
      <c r="AAG264" s="1009"/>
      <c r="AAH264" s="1009"/>
      <c r="AAI264" s="1009"/>
      <c r="AAJ264" s="1009"/>
      <c r="AAK264" s="1009"/>
      <c r="AAL264" s="1009"/>
      <c r="AAM264" s="1009"/>
      <c r="AAN264" s="1009"/>
      <c r="AAO264" s="1009"/>
      <c r="AAP264" s="1009"/>
      <c r="AAQ264" s="1009"/>
      <c r="AAR264" s="1009"/>
      <c r="AAS264" s="1009"/>
      <c r="AAT264" s="1009"/>
      <c r="AAU264" s="1009"/>
      <c r="AAV264" s="1009"/>
      <c r="AAW264" s="1009"/>
      <c r="AAX264" s="1009"/>
      <c r="AAY264" s="1009"/>
      <c r="AAZ264" s="1009"/>
      <c r="ABA264" s="1009"/>
      <c r="ABB264" s="1009"/>
      <c r="ABC264" s="1009"/>
      <c r="ABD264" s="1009"/>
      <c r="ABE264" s="1009"/>
      <c r="ABF264" s="1009"/>
      <c r="ABG264" s="1009"/>
      <c r="ABH264" s="1009"/>
      <c r="ABI264" s="1009"/>
      <c r="ABJ264" s="1009"/>
      <c r="ABK264" s="1009"/>
      <c r="ABL264" s="1009"/>
      <c r="ABM264" s="1009"/>
      <c r="ABN264" s="1009"/>
      <c r="ABO264" s="1009"/>
      <c r="ABP264" s="1009"/>
      <c r="ABQ264" s="1009"/>
      <c r="ABR264" s="1009"/>
    </row>
    <row r="265" spans="1:746" s="111" customFormat="1" ht="12" customHeight="1">
      <c r="A265" s="1758"/>
      <c r="B265" s="912" t="s">
        <v>871</v>
      </c>
      <c r="C265" s="913"/>
      <c r="D265" s="914"/>
      <c r="E265" s="915"/>
      <c r="F265" s="915"/>
      <c r="G265" s="940"/>
      <c r="H265" s="2186"/>
      <c r="I265" s="2493" t="s">
        <v>939</v>
      </c>
      <c r="J265" s="777"/>
      <c r="K265" s="777"/>
      <c r="L265" s="777"/>
      <c r="M265" s="777"/>
      <c r="N265" s="777"/>
      <c r="O265" s="777"/>
      <c r="P265" s="777"/>
      <c r="Q265" s="1649"/>
      <c r="R265" s="1649"/>
      <c r="S265" s="777"/>
      <c r="T265" s="2303" t="s">
        <v>986</v>
      </c>
      <c r="U265" s="2303"/>
      <c r="V265" s="2309"/>
      <c r="W265" s="777"/>
      <c r="X265" s="777"/>
      <c r="Y265" s="777"/>
      <c r="Z265" s="777"/>
      <c r="AA265" s="777"/>
      <c r="AB265" s="777"/>
      <c r="AC265" s="777"/>
      <c r="AD265" s="777"/>
      <c r="AE265" s="777"/>
      <c r="AF265" s="778"/>
      <c r="AG265" s="2219"/>
      <c r="AH265" s="786"/>
      <c r="AI265" s="786"/>
      <c r="AJ265" s="1044"/>
      <c r="AK265" s="1047"/>
      <c r="AL265" s="1044"/>
      <c r="AM265" s="1009"/>
      <c r="AN265" s="1034"/>
      <c r="AO265" s="1034"/>
      <c r="AP265" s="1084"/>
      <c r="AQ265" s="1084"/>
      <c r="AR265" s="1009"/>
      <c r="AS265" s="1009"/>
      <c r="AT265" s="1009"/>
      <c r="AU265" s="1009"/>
      <c r="AV265" s="1009"/>
      <c r="AW265" s="1009"/>
      <c r="AX265" s="1009"/>
      <c r="AY265" s="1009"/>
      <c r="AZ265" s="1009"/>
      <c r="BA265" s="1009"/>
      <c r="BB265" s="1009"/>
      <c r="BC265" s="1009"/>
      <c r="BD265" s="1009"/>
      <c r="BE265" s="1009"/>
      <c r="BF265" s="1009"/>
      <c r="BG265" s="1009"/>
      <c r="BH265" s="1009"/>
      <c r="BI265" s="1009"/>
      <c r="BJ265" s="1009"/>
      <c r="BK265" s="1009"/>
      <c r="BL265" s="1009"/>
      <c r="BM265" s="1009"/>
      <c r="BN265" s="1009"/>
      <c r="BO265" s="1009"/>
      <c r="BP265" s="1009"/>
      <c r="BQ265" s="1009"/>
      <c r="BR265" s="1009"/>
      <c r="BS265" s="1009"/>
      <c r="BT265" s="1009"/>
      <c r="BU265" s="1009"/>
      <c r="BV265" s="1009"/>
      <c r="BW265" s="1009"/>
      <c r="BX265" s="1009"/>
      <c r="BY265" s="1009"/>
      <c r="BZ265" s="1009"/>
      <c r="CA265" s="1009"/>
      <c r="CB265" s="1009"/>
      <c r="CC265" s="1009"/>
      <c r="CD265" s="1009"/>
      <c r="CE265" s="1009"/>
      <c r="CF265" s="1009"/>
      <c r="CG265" s="1009"/>
      <c r="CH265" s="1009"/>
      <c r="CI265" s="1009"/>
      <c r="CJ265" s="1009"/>
      <c r="CK265" s="1009"/>
      <c r="CL265" s="1009"/>
      <c r="CM265" s="1009"/>
      <c r="CN265" s="1009"/>
      <c r="CO265" s="1009"/>
      <c r="CP265" s="1009"/>
      <c r="CQ265" s="1009"/>
      <c r="CR265" s="1009"/>
      <c r="CS265" s="1009"/>
      <c r="CT265" s="1009"/>
      <c r="CU265" s="1009"/>
      <c r="CV265" s="1009"/>
      <c r="CW265" s="1009"/>
      <c r="CX265" s="1009"/>
      <c r="CY265" s="1009"/>
      <c r="CZ265" s="1009"/>
      <c r="DA265" s="1009"/>
      <c r="DB265" s="1009"/>
      <c r="DC265" s="1009"/>
      <c r="DD265" s="1009"/>
      <c r="DE265" s="1009"/>
      <c r="DF265" s="1009"/>
      <c r="DG265" s="1009"/>
      <c r="DH265" s="1009"/>
      <c r="DI265" s="1009"/>
      <c r="DJ265" s="1009"/>
      <c r="DK265" s="1009"/>
      <c r="DL265" s="1009"/>
      <c r="DM265" s="1009"/>
      <c r="DN265" s="1009"/>
      <c r="DO265" s="1009"/>
      <c r="DP265" s="1009"/>
      <c r="DQ265" s="1009"/>
      <c r="DR265" s="1009"/>
      <c r="DS265" s="1009"/>
      <c r="DT265" s="1009"/>
      <c r="DU265" s="1009"/>
      <c r="DV265" s="1009"/>
      <c r="DW265" s="1009"/>
      <c r="DX265" s="1009"/>
      <c r="DY265" s="1009"/>
      <c r="DZ265" s="1009"/>
      <c r="EA265" s="1009"/>
      <c r="EB265" s="1009"/>
      <c r="EC265" s="1009"/>
      <c r="ED265" s="1009"/>
      <c r="EE265" s="1009"/>
      <c r="EF265" s="1009"/>
      <c r="EG265" s="1009"/>
      <c r="EH265" s="1009"/>
      <c r="EI265" s="1009"/>
      <c r="EJ265" s="1009"/>
      <c r="EK265" s="1009"/>
      <c r="EL265" s="1009"/>
      <c r="EM265" s="1009"/>
      <c r="EN265" s="1009"/>
      <c r="EO265" s="1009"/>
      <c r="EP265" s="1009"/>
      <c r="EQ265" s="1009"/>
      <c r="ER265" s="1009"/>
      <c r="ES265" s="1009"/>
      <c r="ET265" s="1009"/>
      <c r="EU265" s="1009"/>
      <c r="EV265" s="1009"/>
      <c r="EW265" s="1009"/>
      <c r="EX265" s="1009"/>
      <c r="EY265" s="1009"/>
      <c r="EZ265" s="1009"/>
      <c r="FA265" s="1009"/>
      <c r="FB265" s="1009"/>
      <c r="FC265" s="1009"/>
      <c r="FD265" s="1009"/>
      <c r="FE265" s="1009"/>
      <c r="FF265" s="1009"/>
      <c r="FG265" s="1009"/>
      <c r="FH265" s="1009"/>
      <c r="FI265" s="1009"/>
      <c r="FJ265" s="1009"/>
      <c r="FK265" s="1009"/>
      <c r="FL265" s="1009"/>
      <c r="FM265" s="1009"/>
      <c r="FN265" s="1009"/>
      <c r="FO265" s="1009"/>
      <c r="FP265" s="1009"/>
      <c r="FQ265" s="1009"/>
      <c r="FR265" s="1009"/>
      <c r="FS265" s="1009"/>
      <c r="FT265" s="1009"/>
      <c r="FU265" s="1009"/>
      <c r="FV265" s="1009"/>
      <c r="FW265" s="1009"/>
      <c r="FX265" s="1009"/>
      <c r="FY265" s="1009"/>
      <c r="FZ265" s="1009"/>
      <c r="GA265" s="1009"/>
      <c r="GB265" s="1009"/>
      <c r="GC265" s="1009"/>
      <c r="GD265" s="1009"/>
      <c r="GE265" s="1009"/>
      <c r="GF265" s="1009"/>
      <c r="GG265" s="1009"/>
      <c r="GH265" s="1009"/>
      <c r="GI265" s="1009"/>
      <c r="GJ265" s="1009"/>
      <c r="GK265" s="1009"/>
      <c r="GL265" s="1009"/>
      <c r="GM265" s="1009"/>
      <c r="GN265" s="1009"/>
      <c r="GO265" s="1009"/>
      <c r="GP265" s="1009"/>
      <c r="GQ265" s="1009"/>
      <c r="GR265" s="1009"/>
      <c r="GS265" s="1009"/>
      <c r="GT265" s="1009"/>
      <c r="GU265" s="1009"/>
      <c r="GV265" s="1009"/>
      <c r="GW265" s="1009"/>
      <c r="GX265" s="1009"/>
      <c r="GY265" s="1009"/>
      <c r="GZ265" s="1009"/>
      <c r="HA265" s="1009"/>
      <c r="HB265" s="1009"/>
      <c r="HC265" s="1009"/>
      <c r="HD265" s="1009"/>
      <c r="HE265" s="1009"/>
      <c r="HF265" s="1009"/>
      <c r="HG265" s="1009"/>
      <c r="HH265" s="1009"/>
      <c r="HI265" s="1009"/>
      <c r="HJ265" s="1009"/>
      <c r="HK265" s="1009"/>
      <c r="HL265" s="1009"/>
      <c r="HM265" s="1009"/>
      <c r="HN265" s="1009"/>
      <c r="HO265" s="1009"/>
      <c r="HP265" s="1009"/>
      <c r="HQ265" s="1009"/>
      <c r="HR265" s="1009"/>
      <c r="HS265" s="1009"/>
      <c r="HT265" s="1009"/>
      <c r="HU265" s="1009"/>
      <c r="HV265" s="1009"/>
      <c r="HW265" s="1009"/>
      <c r="HX265" s="1009"/>
      <c r="HY265" s="1009"/>
      <c r="HZ265" s="1009"/>
      <c r="IA265" s="1009"/>
      <c r="IB265" s="1009"/>
      <c r="IC265" s="1009"/>
      <c r="ID265" s="1009"/>
      <c r="IE265" s="1009"/>
      <c r="IF265" s="1009"/>
      <c r="IG265" s="1009"/>
      <c r="IH265" s="1009"/>
      <c r="II265" s="1009"/>
      <c r="IJ265" s="1009"/>
      <c r="IK265" s="1009"/>
      <c r="IL265" s="1009"/>
      <c r="IM265" s="1009"/>
      <c r="IN265" s="1009"/>
      <c r="IO265" s="1009"/>
      <c r="IP265" s="1009"/>
      <c r="IQ265" s="1009"/>
      <c r="IR265" s="1009"/>
      <c r="IS265" s="1009"/>
      <c r="IT265" s="1009"/>
      <c r="IU265" s="1009"/>
      <c r="IV265" s="1009"/>
      <c r="IW265" s="1009"/>
      <c r="IX265" s="1009"/>
      <c r="IY265" s="1009"/>
      <c r="IZ265" s="1009"/>
      <c r="JA265" s="1009"/>
      <c r="JB265" s="1009"/>
      <c r="JC265" s="1009"/>
      <c r="JD265" s="1009"/>
      <c r="JE265" s="1009"/>
      <c r="JF265" s="1009"/>
      <c r="JG265" s="1009"/>
      <c r="JH265" s="1009"/>
      <c r="JI265" s="1009"/>
      <c r="JJ265" s="1009"/>
      <c r="JK265" s="1009"/>
      <c r="JL265" s="1009"/>
      <c r="JM265" s="1009"/>
      <c r="JN265" s="1009"/>
      <c r="JO265" s="1009"/>
      <c r="JP265" s="1009"/>
      <c r="JQ265" s="1009"/>
      <c r="JR265" s="1009"/>
      <c r="JS265" s="1009"/>
      <c r="JT265" s="1009"/>
      <c r="JU265" s="1009"/>
      <c r="JV265" s="1009"/>
      <c r="JW265" s="1009"/>
      <c r="JX265" s="1009"/>
      <c r="JY265" s="1009"/>
      <c r="JZ265" s="1009"/>
      <c r="KA265" s="1009"/>
      <c r="KB265" s="1009"/>
      <c r="KC265" s="1009"/>
      <c r="KD265" s="1009"/>
      <c r="KE265" s="1009"/>
      <c r="KF265" s="1009"/>
      <c r="KG265" s="1009"/>
      <c r="KH265" s="1009"/>
      <c r="KI265" s="1009"/>
      <c r="KJ265" s="1009"/>
      <c r="KK265" s="1009"/>
      <c r="KL265" s="1009"/>
      <c r="KM265" s="1009"/>
      <c r="KN265" s="1009"/>
      <c r="KO265" s="1009"/>
      <c r="KP265" s="1009"/>
      <c r="KQ265" s="1009"/>
      <c r="KR265" s="1009"/>
      <c r="KS265" s="1009"/>
      <c r="KT265" s="1009"/>
      <c r="KU265" s="1009"/>
      <c r="KV265" s="1009"/>
      <c r="KW265" s="1009"/>
      <c r="KX265" s="1009"/>
      <c r="KY265" s="1009"/>
      <c r="KZ265" s="1009"/>
      <c r="LA265" s="1009"/>
      <c r="LB265" s="1009"/>
      <c r="LC265" s="1009"/>
      <c r="LD265" s="1009"/>
      <c r="LE265" s="1009"/>
      <c r="LF265" s="1009"/>
      <c r="LG265" s="1009"/>
      <c r="LH265" s="1009"/>
      <c r="LI265" s="1009"/>
      <c r="LJ265" s="1009"/>
      <c r="LK265" s="1009"/>
      <c r="LL265" s="1009"/>
      <c r="LM265" s="1009"/>
      <c r="LN265" s="1009"/>
      <c r="LO265" s="1009"/>
      <c r="LP265" s="1009"/>
      <c r="LQ265" s="1009"/>
      <c r="LR265" s="1009"/>
      <c r="LS265" s="1009"/>
      <c r="LT265" s="1009"/>
      <c r="LU265" s="1009"/>
      <c r="LV265" s="1009"/>
      <c r="LW265" s="1009"/>
      <c r="LX265" s="1009"/>
      <c r="LY265" s="1009"/>
      <c r="LZ265" s="1009"/>
      <c r="MA265" s="1009"/>
      <c r="MB265" s="1009"/>
      <c r="MC265" s="1009"/>
      <c r="MD265" s="1009"/>
      <c r="ME265" s="1009"/>
      <c r="MF265" s="1009"/>
      <c r="MG265" s="1009"/>
      <c r="MH265" s="1009"/>
      <c r="MI265" s="1009"/>
      <c r="MJ265" s="1009"/>
      <c r="MK265" s="1009"/>
      <c r="ML265" s="1009"/>
      <c r="MM265" s="1009"/>
      <c r="MN265" s="1009"/>
      <c r="MO265" s="1009"/>
      <c r="MP265" s="1009"/>
      <c r="MQ265" s="1009"/>
      <c r="MR265" s="1009"/>
      <c r="MS265" s="1009"/>
      <c r="MT265" s="1009"/>
      <c r="MU265" s="1009"/>
      <c r="MV265" s="1009"/>
      <c r="MW265" s="1009"/>
      <c r="MX265" s="1009"/>
      <c r="MY265" s="1009"/>
      <c r="MZ265" s="1009"/>
      <c r="NA265" s="1009"/>
      <c r="NB265" s="1009"/>
      <c r="NC265" s="1009"/>
      <c r="ND265" s="1009"/>
      <c r="NE265" s="1009"/>
      <c r="NF265" s="1009"/>
      <c r="NG265" s="1009"/>
      <c r="NH265" s="1009"/>
      <c r="NI265" s="1009"/>
      <c r="NJ265" s="1009"/>
      <c r="NK265" s="1009"/>
      <c r="NL265" s="1009"/>
      <c r="NM265" s="1009"/>
      <c r="NN265" s="1009"/>
      <c r="NO265" s="1009"/>
      <c r="NP265" s="1009"/>
      <c r="NQ265" s="1009"/>
      <c r="NR265" s="1009"/>
      <c r="NS265" s="1009"/>
      <c r="NT265" s="1009"/>
      <c r="NU265" s="1009"/>
      <c r="NV265" s="1009"/>
      <c r="NW265" s="1009"/>
      <c r="NX265" s="1009"/>
      <c r="NY265" s="1009"/>
      <c r="NZ265" s="1009"/>
      <c r="OA265" s="1009"/>
      <c r="OB265" s="1009"/>
      <c r="OC265" s="1009"/>
      <c r="OD265" s="1009"/>
      <c r="OE265" s="1009"/>
      <c r="OF265" s="1009"/>
      <c r="OG265" s="1009"/>
      <c r="OH265" s="1009"/>
      <c r="OI265" s="1009"/>
      <c r="OJ265" s="1009"/>
      <c r="OK265" s="1009"/>
      <c r="OL265" s="1009"/>
      <c r="OM265" s="1009"/>
      <c r="ON265" s="1009"/>
      <c r="OO265" s="1009"/>
      <c r="OP265" s="1009"/>
      <c r="OQ265" s="1009"/>
      <c r="OR265" s="1009"/>
      <c r="OS265" s="1009"/>
      <c r="OT265" s="1009"/>
      <c r="OU265" s="1009"/>
      <c r="OV265" s="1009"/>
      <c r="OW265" s="1009"/>
      <c r="OX265" s="1009"/>
      <c r="OY265" s="1009"/>
      <c r="OZ265" s="1009"/>
      <c r="PA265" s="1009"/>
      <c r="PB265" s="1009"/>
      <c r="PC265" s="1009"/>
      <c r="PD265" s="1009"/>
      <c r="PE265" s="1009"/>
      <c r="PF265" s="1009"/>
      <c r="PG265" s="1009"/>
      <c r="PH265" s="1009"/>
      <c r="PI265" s="1009"/>
      <c r="PJ265" s="1009"/>
      <c r="PK265" s="1009"/>
      <c r="PL265" s="1009"/>
      <c r="PM265" s="1009"/>
      <c r="PN265" s="1009"/>
      <c r="PO265" s="1009"/>
      <c r="PP265" s="1009"/>
      <c r="PQ265" s="1009"/>
      <c r="PR265" s="1009"/>
      <c r="PS265" s="1009"/>
      <c r="PT265" s="1009"/>
      <c r="PU265" s="1009"/>
      <c r="PV265" s="1009"/>
      <c r="PW265" s="1009"/>
      <c r="PX265" s="1009"/>
      <c r="PY265" s="1009"/>
      <c r="PZ265" s="1009"/>
      <c r="QA265" s="1009"/>
      <c r="QB265" s="1009"/>
      <c r="QC265" s="1009"/>
      <c r="QD265" s="1009"/>
      <c r="QE265" s="1009"/>
      <c r="QF265" s="1009"/>
      <c r="QG265" s="1009"/>
      <c r="QH265" s="1009"/>
      <c r="QI265" s="1009"/>
      <c r="QJ265" s="1009"/>
      <c r="QK265" s="1009"/>
      <c r="QL265" s="1009"/>
      <c r="QM265" s="1009"/>
      <c r="QN265" s="1009"/>
      <c r="QO265" s="1009"/>
      <c r="QP265" s="1009"/>
      <c r="QQ265" s="1009"/>
      <c r="QR265" s="1009"/>
      <c r="QS265" s="1009"/>
      <c r="QT265" s="1009"/>
      <c r="QU265" s="1009"/>
      <c r="QV265" s="1009"/>
      <c r="QW265" s="1009"/>
      <c r="QX265" s="1009"/>
      <c r="QY265" s="1009"/>
      <c r="QZ265" s="1009"/>
      <c r="RA265" s="1009"/>
      <c r="RB265" s="1009"/>
      <c r="RC265" s="1009"/>
      <c r="RD265" s="1009"/>
      <c r="RE265" s="1009"/>
      <c r="RF265" s="1009"/>
      <c r="RG265" s="1009"/>
      <c r="RH265" s="1009"/>
      <c r="RI265" s="1009"/>
      <c r="RJ265" s="1009"/>
      <c r="RK265" s="1009"/>
      <c r="RL265" s="1009"/>
      <c r="RM265" s="1009"/>
      <c r="RN265" s="1009"/>
      <c r="RO265" s="1009"/>
      <c r="RP265" s="1009"/>
      <c r="RQ265" s="1009"/>
      <c r="RR265" s="1009"/>
      <c r="RS265" s="1009"/>
      <c r="RT265" s="1009"/>
      <c r="RU265" s="1009"/>
      <c r="RV265" s="1009"/>
      <c r="RW265" s="1009"/>
      <c r="RX265" s="1009"/>
      <c r="RY265" s="1009"/>
      <c r="RZ265" s="1009"/>
      <c r="SA265" s="1009"/>
      <c r="SB265" s="1009"/>
      <c r="SC265" s="1009"/>
      <c r="SD265" s="1009"/>
      <c r="SE265" s="1009"/>
      <c r="SF265" s="1009"/>
      <c r="SG265" s="1009"/>
      <c r="SH265" s="1009"/>
      <c r="SI265" s="1009"/>
      <c r="SJ265" s="1009"/>
      <c r="SK265" s="1009"/>
      <c r="SL265" s="1009"/>
      <c r="SM265" s="1009"/>
      <c r="SN265" s="1009"/>
      <c r="SO265" s="1009"/>
      <c r="SP265" s="1009"/>
      <c r="SQ265" s="1009"/>
      <c r="SR265" s="1009"/>
      <c r="SS265" s="1009"/>
      <c r="ST265" s="1009"/>
      <c r="SU265" s="1009"/>
      <c r="SV265" s="1009"/>
      <c r="SW265" s="1009"/>
      <c r="SX265" s="1009"/>
      <c r="SY265" s="1009"/>
      <c r="SZ265" s="1009"/>
      <c r="TA265" s="1009"/>
      <c r="TB265" s="1009"/>
      <c r="TC265" s="1009"/>
      <c r="TD265" s="1009"/>
      <c r="TE265" s="1009"/>
      <c r="TF265" s="1009"/>
      <c r="TG265" s="1009"/>
      <c r="TH265" s="1009"/>
      <c r="TI265" s="1009"/>
      <c r="TJ265" s="1009"/>
      <c r="TK265" s="1009"/>
      <c r="TL265" s="1009"/>
      <c r="TM265" s="1009"/>
      <c r="TN265" s="1009"/>
      <c r="TO265" s="1009"/>
      <c r="TP265" s="1009"/>
      <c r="TQ265" s="1009"/>
      <c r="TR265" s="1009"/>
      <c r="TS265" s="1009"/>
      <c r="TT265" s="1009"/>
      <c r="TU265" s="1009"/>
      <c r="TV265" s="1009"/>
      <c r="TW265" s="1009"/>
      <c r="TX265" s="1009"/>
      <c r="TY265" s="1009"/>
      <c r="TZ265" s="1009"/>
      <c r="UA265" s="1009"/>
      <c r="UB265" s="1009"/>
      <c r="UC265" s="1009"/>
      <c r="UD265" s="1009"/>
      <c r="UE265" s="1009"/>
      <c r="UF265" s="1009"/>
      <c r="UG265" s="1009"/>
      <c r="UH265" s="1009"/>
      <c r="UI265" s="1009"/>
      <c r="UJ265" s="1009"/>
      <c r="UK265" s="1009"/>
      <c r="UL265" s="1009"/>
      <c r="UM265" s="1009"/>
      <c r="UN265" s="1009"/>
      <c r="UO265" s="1009"/>
      <c r="UP265" s="1009"/>
      <c r="UQ265" s="1009"/>
      <c r="UR265" s="1009"/>
      <c r="US265" s="1009"/>
      <c r="UT265" s="1009"/>
      <c r="UU265" s="1009"/>
      <c r="UV265" s="1009"/>
      <c r="UW265" s="1009"/>
      <c r="UX265" s="1009"/>
      <c r="UY265" s="1009"/>
      <c r="UZ265" s="1009"/>
      <c r="VA265" s="1009"/>
      <c r="VB265" s="1009"/>
      <c r="VC265" s="1009"/>
      <c r="VD265" s="1009"/>
      <c r="VE265" s="1009"/>
      <c r="VF265" s="1009"/>
      <c r="VG265" s="1009"/>
      <c r="VH265" s="1009"/>
      <c r="VI265" s="1009"/>
      <c r="VJ265" s="1009"/>
      <c r="VK265" s="1009"/>
      <c r="VL265" s="1009"/>
      <c r="VM265" s="1009"/>
      <c r="VN265" s="1009"/>
      <c r="VO265" s="1009"/>
      <c r="VP265" s="1009"/>
      <c r="VQ265" s="1009"/>
      <c r="VR265" s="1009"/>
      <c r="VS265" s="1009"/>
      <c r="VT265" s="1009"/>
      <c r="VU265" s="1009"/>
      <c r="VV265" s="1009"/>
      <c r="VW265" s="1009"/>
      <c r="VX265" s="1009"/>
      <c r="VY265" s="1009"/>
      <c r="VZ265" s="1009"/>
      <c r="WA265" s="1009"/>
      <c r="WB265" s="1009"/>
      <c r="WC265" s="1009"/>
      <c r="WD265" s="1009"/>
      <c r="WE265" s="1009"/>
      <c r="WF265" s="1009"/>
      <c r="WG265" s="1009"/>
      <c r="WH265" s="1009"/>
      <c r="WI265" s="1009"/>
      <c r="WJ265" s="1009"/>
      <c r="WK265" s="1009"/>
      <c r="WL265" s="1009"/>
      <c r="WM265" s="1009"/>
      <c r="WN265" s="1009"/>
      <c r="WO265" s="1009"/>
      <c r="WP265" s="1009"/>
      <c r="WQ265" s="1009"/>
      <c r="WR265" s="1009"/>
      <c r="WS265" s="1009"/>
      <c r="WT265" s="1009"/>
      <c r="WU265" s="1009"/>
      <c r="WV265" s="1009"/>
      <c r="WW265" s="1009"/>
      <c r="WX265" s="1009"/>
      <c r="WY265" s="1009"/>
      <c r="WZ265" s="1009"/>
      <c r="XA265" s="1009"/>
      <c r="XB265" s="1009"/>
      <c r="XC265" s="1009"/>
      <c r="XD265" s="1009"/>
      <c r="XE265" s="1009"/>
      <c r="XF265" s="1009"/>
      <c r="XG265" s="1009"/>
      <c r="XH265" s="1009"/>
      <c r="XI265" s="1009"/>
      <c r="XJ265" s="1009"/>
      <c r="XK265" s="1009"/>
      <c r="XL265" s="1009"/>
      <c r="XM265" s="1009"/>
      <c r="XN265" s="1009"/>
      <c r="XO265" s="1009"/>
      <c r="XP265" s="1009"/>
      <c r="XQ265" s="1009"/>
      <c r="XR265" s="1009"/>
      <c r="XS265" s="1009"/>
      <c r="XT265" s="1009"/>
      <c r="XU265" s="1009"/>
      <c r="XV265" s="1009"/>
      <c r="XW265" s="1009"/>
      <c r="XX265" s="1009"/>
      <c r="XY265" s="1009"/>
      <c r="XZ265" s="1009"/>
      <c r="YA265" s="1009"/>
      <c r="YB265" s="1009"/>
      <c r="YC265" s="1009"/>
      <c r="YD265" s="1009"/>
      <c r="YE265" s="1009"/>
      <c r="YF265" s="1009"/>
      <c r="YG265" s="1009"/>
      <c r="YH265" s="1009"/>
      <c r="YI265" s="1009"/>
      <c r="YJ265" s="1009"/>
      <c r="YK265" s="1009"/>
      <c r="YL265" s="1009"/>
      <c r="YM265" s="1009"/>
      <c r="YN265" s="1009"/>
      <c r="YO265" s="1009"/>
      <c r="YP265" s="1009"/>
      <c r="YQ265" s="1009"/>
      <c r="YR265" s="1009"/>
      <c r="YS265" s="1009"/>
      <c r="YT265" s="1009"/>
      <c r="YU265" s="1009"/>
      <c r="YV265" s="1009"/>
      <c r="YW265" s="1009"/>
      <c r="YX265" s="1009"/>
      <c r="YY265" s="1009"/>
      <c r="YZ265" s="1009"/>
      <c r="ZA265" s="1009"/>
      <c r="ZB265" s="1009"/>
      <c r="ZC265" s="1009"/>
      <c r="ZD265" s="1009"/>
      <c r="ZE265" s="1009"/>
      <c r="ZF265" s="1009"/>
      <c r="ZG265" s="1009"/>
      <c r="ZH265" s="1009"/>
      <c r="ZI265" s="1009"/>
      <c r="ZJ265" s="1009"/>
      <c r="ZK265" s="1009"/>
      <c r="ZL265" s="1009"/>
      <c r="ZM265" s="1009"/>
      <c r="ZN265" s="1009"/>
      <c r="ZO265" s="1009"/>
      <c r="ZP265" s="1009"/>
      <c r="ZQ265" s="1009"/>
      <c r="ZR265" s="1009"/>
      <c r="ZS265" s="1009"/>
      <c r="ZT265" s="1009"/>
      <c r="ZU265" s="1009"/>
      <c r="ZV265" s="1009"/>
      <c r="ZW265" s="1009"/>
      <c r="ZX265" s="1009"/>
      <c r="ZY265" s="1009"/>
      <c r="ZZ265" s="1009"/>
      <c r="AAA265" s="1009"/>
      <c r="AAB265" s="1009"/>
      <c r="AAC265" s="1009"/>
      <c r="AAD265" s="1009"/>
      <c r="AAE265" s="1009"/>
      <c r="AAF265" s="1009"/>
      <c r="AAG265" s="1009"/>
      <c r="AAH265" s="1009"/>
      <c r="AAI265" s="1009"/>
      <c r="AAJ265" s="1009"/>
      <c r="AAK265" s="1009"/>
      <c r="AAL265" s="1009"/>
      <c r="AAM265" s="1009"/>
      <c r="AAN265" s="1009"/>
      <c r="AAO265" s="1009"/>
      <c r="AAP265" s="1009"/>
      <c r="AAQ265" s="1009"/>
      <c r="AAR265" s="1009"/>
      <c r="AAS265" s="1009"/>
      <c r="AAT265" s="1009"/>
      <c r="AAU265" s="1009"/>
      <c r="AAV265" s="1009"/>
      <c r="AAW265" s="1009"/>
      <c r="AAX265" s="1009"/>
      <c r="AAY265" s="1009"/>
      <c r="AAZ265" s="1009"/>
      <c r="ABA265" s="1009"/>
      <c r="ABB265" s="1009"/>
      <c r="ABC265" s="1009"/>
      <c r="ABD265" s="1009"/>
      <c r="ABE265" s="1009"/>
      <c r="ABF265" s="1009"/>
      <c r="ABG265" s="1009"/>
      <c r="ABH265" s="1009"/>
      <c r="ABI265" s="1009"/>
      <c r="ABJ265" s="1009"/>
      <c r="ABK265" s="1009"/>
      <c r="ABL265" s="1009"/>
      <c r="ABM265" s="1009"/>
      <c r="ABN265" s="1009"/>
      <c r="ABO265" s="1009"/>
      <c r="ABP265" s="1009"/>
      <c r="ABQ265" s="1009"/>
      <c r="ABR265" s="1009"/>
    </row>
    <row r="266" spans="1:746" s="111" customFormat="1" ht="12" customHeight="1">
      <c r="A266" s="1758"/>
      <c r="B266" s="908" t="s">
        <v>765</v>
      </c>
      <c r="C266" s="909"/>
      <c r="D266" s="909"/>
      <c r="E266" s="909"/>
      <c r="F266" s="909"/>
      <c r="G266" s="909"/>
      <c r="H266" s="2187"/>
      <c r="I266" s="2324"/>
      <c r="J266" s="2274"/>
      <c r="K266" s="2274"/>
      <c r="L266" s="2274"/>
      <c r="M266" s="2274"/>
      <c r="N266" s="2274"/>
      <c r="O266" s="2274"/>
      <c r="P266" s="2274"/>
      <c r="Q266" s="2274"/>
      <c r="R266" s="2274"/>
      <c r="S266" s="2274"/>
      <c r="T266" s="2274"/>
      <c r="U266" s="2324"/>
      <c r="V266" s="2324"/>
      <c r="W266" s="2324"/>
      <c r="X266" s="2324"/>
      <c r="Y266" s="2324"/>
      <c r="Z266" s="2324"/>
      <c r="AA266" s="2324"/>
      <c r="AB266" s="2324"/>
      <c r="AC266" s="2324"/>
      <c r="AD266" s="2324"/>
      <c r="AE266" s="2324"/>
      <c r="AF266" s="2324"/>
      <c r="AG266" s="1042"/>
      <c r="AH266" s="786"/>
      <c r="AI266" s="786"/>
      <c r="AJ266" s="1044"/>
      <c r="AK266" s="1047"/>
      <c r="AL266" s="1044"/>
      <c r="AM266" s="1009"/>
      <c r="AN266" s="1035"/>
      <c r="AO266" s="1034"/>
      <c r="AP266" s="1084"/>
      <c r="AQ266" s="1084"/>
      <c r="AR266" s="1009"/>
      <c r="AS266" s="1009"/>
      <c r="AT266" s="1009"/>
      <c r="AU266" s="1009"/>
      <c r="AV266" s="1009"/>
      <c r="AW266" s="1009"/>
      <c r="AX266" s="1009"/>
      <c r="AY266" s="1009"/>
      <c r="AZ266" s="1009"/>
      <c r="BA266" s="1009"/>
      <c r="BB266" s="1009"/>
      <c r="BC266" s="1009"/>
      <c r="BD266" s="1009"/>
      <c r="BE266" s="1009"/>
      <c r="BF266" s="1009"/>
      <c r="BG266" s="1009"/>
      <c r="BH266" s="1009"/>
      <c r="BI266" s="1009"/>
      <c r="BJ266" s="1009"/>
      <c r="BK266" s="1009"/>
      <c r="BL266" s="1009"/>
      <c r="BM266" s="1009"/>
      <c r="BN266" s="1009"/>
      <c r="BO266" s="1009"/>
      <c r="BP266" s="1009"/>
      <c r="BQ266" s="1009"/>
      <c r="BR266" s="1009"/>
      <c r="BS266" s="1009"/>
      <c r="BT266" s="1009"/>
      <c r="BU266" s="1009"/>
      <c r="BV266" s="1009"/>
      <c r="BW266" s="1009"/>
      <c r="BX266" s="1009"/>
      <c r="BY266" s="1009"/>
      <c r="BZ266" s="1009"/>
      <c r="CA266" s="1009"/>
      <c r="CB266" s="1009"/>
      <c r="CC266" s="1009"/>
      <c r="CD266" s="1009"/>
      <c r="CE266" s="1009"/>
      <c r="CF266" s="1009"/>
      <c r="CG266" s="1009"/>
      <c r="CH266" s="1009"/>
      <c r="CI266" s="1009"/>
      <c r="CJ266" s="1009"/>
      <c r="CK266" s="1009"/>
      <c r="CL266" s="1009"/>
      <c r="CM266" s="1009"/>
      <c r="CN266" s="1009"/>
      <c r="CO266" s="1009"/>
      <c r="CP266" s="1009"/>
      <c r="CQ266" s="1009"/>
      <c r="CR266" s="1009"/>
      <c r="CS266" s="1009"/>
      <c r="CT266" s="1009"/>
      <c r="CU266" s="1009"/>
      <c r="CV266" s="1009"/>
      <c r="CW266" s="1009"/>
      <c r="CX266" s="1009"/>
      <c r="CY266" s="1009"/>
      <c r="CZ266" s="1009"/>
      <c r="DA266" s="1009"/>
      <c r="DB266" s="1009"/>
      <c r="DC266" s="1009"/>
      <c r="DD266" s="1009"/>
      <c r="DE266" s="1009"/>
      <c r="DF266" s="1009"/>
      <c r="DG266" s="1009"/>
      <c r="DH266" s="1009"/>
      <c r="DI266" s="1009"/>
      <c r="DJ266" s="1009"/>
      <c r="DK266" s="1009"/>
      <c r="DL266" s="1009"/>
      <c r="DM266" s="1009"/>
      <c r="DN266" s="1009"/>
      <c r="DO266" s="1009"/>
      <c r="DP266" s="1009"/>
      <c r="DQ266" s="1009"/>
      <c r="DR266" s="1009"/>
      <c r="DS266" s="1009"/>
      <c r="DT266" s="1009"/>
      <c r="DU266" s="1009"/>
      <c r="DV266" s="1009"/>
      <c r="DW266" s="1009"/>
      <c r="DX266" s="1009"/>
      <c r="DY266" s="1009"/>
      <c r="DZ266" s="1009"/>
      <c r="EA266" s="1009"/>
      <c r="EB266" s="1009"/>
      <c r="EC266" s="1009"/>
      <c r="ED266" s="1009"/>
      <c r="EE266" s="1009"/>
      <c r="EF266" s="1009"/>
      <c r="EG266" s="1009"/>
      <c r="EH266" s="1009"/>
      <c r="EI266" s="1009"/>
      <c r="EJ266" s="1009"/>
      <c r="EK266" s="1009"/>
      <c r="EL266" s="1009"/>
      <c r="EM266" s="1009"/>
      <c r="EN266" s="1009"/>
      <c r="EO266" s="1009"/>
      <c r="EP266" s="1009"/>
      <c r="EQ266" s="1009"/>
      <c r="ER266" s="1009"/>
      <c r="ES266" s="1009"/>
      <c r="ET266" s="1009"/>
      <c r="EU266" s="1009"/>
      <c r="EV266" s="1009"/>
      <c r="EW266" s="1009"/>
      <c r="EX266" s="1009"/>
      <c r="EY266" s="1009"/>
      <c r="EZ266" s="1009"/>
      <c r="FA266" s="1009"/>
      <c r="FB266" s="1009"/>
      <c r="FC266" s="1009"/>
      <c r="FD266" s="1009"/>
      <c r="FE266" s="1009"/>
      <c r="FF266" s="1009"/>
      <c r="FG266" s="1009"/>
      <c r="FH266" s="1009"/>
      <c r="FI266" s="1009"/>
      <c r="FJ266" s="1009"/>
      <c r="FK266" s="1009"/>
      <c r="FL266" s="1009"/>
      <c r="FM266" s="1009"/>
      <c r="FN266" s="1009"/>
      <c r="FO266" s="1009"/>
      <c r="FP266" s="1009"/>
      <c r="FQ266" s="1009"/>
      <c r="FR266" s="1009"/>
      <c r="FS266" s="1009"/>
      <c r="FT266" s="1009"/>
      <c r="FU266" s="1009"/>
      <c r="FV266" s="1009"/>
      <c r="FW266" s="1009"/>
      <c r="FX266" s="1009"/>
      <c r="FY266" s="1009"/>
      <c r="FZ266" s="1009"/>
      <c r="GA266" s="1009"/>
      <c r="GB266" s="1009"/>
      <c r="GC266" s="1009"/>
      <c r="GD266" s="1009"/>
      <c r="GE266" s="1009"/>
      <c r="GF266" s="1009"/>
      <c r="GG266" s="1009"/>
      <c r="GH266" s="1009"/>
      <c r="GI266" s="1009"/>
      <c r="GJ266" s="1009"/>
      <c r="GK266" s="1009"/>
      <c r="GL266" s="1009"/>
      <c r="GM266" s="1009"/>
      <c r="GN266" s="1009"/>
      <c r="GO266" s="1009"/>
      <c r="GP266" s="1009"/>
      <c r="GQ266" s="1009"/>
      <c r="GR266" s="1009"/>
      <c r="GS266" s="1009"/>
      <c r="GT266" s="1009"/>
      <c r="GU266" s="1009"/>
      <c r="GV266" s="1009"/>
      <c r="GW266" s="1009"/>
      <c r="GX266" s="1009"/>
      <c r="GY266" s="1009"/>
      <c r="GZ266" s="1009"/>
      <c r="HA266" s="1009"/>
      <c r="HB266" s="1009"/>
      <c r="HC266" s="1009"/>
      <c r="HD266" s="1009"/>
      <c r="HE266" s="1009"/>
      <c r="HF266" s="1009"/>
      <c r="HG266" s="1009"/>
      <c r="HH266" s="1009"/>
      <c r="HI266" s="1009"/>
      <c r="HJ266" s="1009"/>
      <c r="HK266" s="1009"/>
      <c r="HL266" s="1009"/>
      <c r="HM266" s="1009"/>
      <c r="HN266" s="1009"/>
      <c r="HO266" s="1009"/>
      <c r="HP266" s="1009"/>
      <c r="HQ266" s="1009"/>
      <c r="HR266" s="1009"/>
      <c r="HS266" s="1009"/>
      <c r="HT266" s="1009"/>
      <c r="HU266" s="1009"/>
      <c r="HV266" s="1009"/>
      <c r="HW266" s="1009"/>
      <c r="HX266" s="1009"/>
      <c r="HY266" s="1009"/>
      <c r="HZ266" s="1009"/>
      <c r="IA266" s="1009"/>
      <c r="IB266" s="1009"/>
      <c r="IC266" s="1009"/>
      <c r="ID266" s="1009"/>
      <c r="IE266" s="1009"/>
      <c r="IF266" s="1009"/>
      <c r="IG266" s="1009"/>
      <c r="IH266" s="1009"/>
      <c r="II266" s="1009"/>
      <c r="IJ266" s="1009"/>
      <c r="IK266" s="1009"/>
      <c r="IL266" s="1009"/>
      <c r="IM266" s="1009"/>
      <c r="IN266" s="1009"/>
      <c r="IO266" s="1009"/>
      <c r="IP266" s="1009"/>
      <c r="IQ266" s="1009"/>
      <c r="IR266" s="1009"/>
      <c r="IS266" s="1009"/>
      <c r="IT266" s="1009"/>
      <c r="IU266" s="1009"/>
      <c r="IV266" s="1009"/>
      <c r="IW266" s="1009"/>
      <c r="IX266" s="1009"/>
      <c r="IY266" s="1009"/>
      <c r="IZ266" s="1009"/>
      <c r="JA266" s="1009"/>
      <c r="JB266" s="1009"/>
      <c r="JC266" s="1009"/>
      <c r="JD266" s="1009"/>
      <c r="JE266" s="1009"/>
      <c r="JF266" s="1009"/>
      <c r="JG266" s="1009"/>
      <c r="JH266" s="1009"/>
      <c r="JI266" s="1009"/>
      <c r="JJ266" s="1009"/>
      <c r="JK266" s="1009"/>
      <c r="JL266" s="1009"/>
      <c r="JM266" s="1009"/>
      <c r="JN266" s="1009"/>
      <c r="JO266" s="1009"/>
      <c r="JP266" s="1009"/>
      <c r="JQ266" s="1009"/>
      <c r="JR266" s="1009"/>
      <c r="JS266" s="1009"/>
      <c r="JT266" s="1009"/>
      <c r="JU266" s="1009"/>
      <c r="JV266" s="1009"/>
      <c r="JW266" s="1009"/>
      <c r="JX266" s="1009"/>
      <c r="JY266" s="1009"/>
      <c r="JZ266" s="1009"/>
      <c r="KA266" s="1009"/>
      <c r="KB266" s="1009"/>
      <c r="KC266" s="1009"/>
      <c r="KD266" s="1009"/>
      <c r="KE266" s="1009"/>
      <c r="KF266" s="1009"/>
      <c r="KG266" s="1009"/>
      <c r="KH266" s="1009"/>
      <c r="KI266" s="1009"/>
      <c r="KJ266" s="1009"/>
      <c r="KK266" s="1009"/>
      <c r="KL266" s="1009"/>
      <c r="KM266" s="1009"/>
      <c r="KN266" s="1009"/>
      <c r="KO266" s="1009"/>
      <c r="KP266" s="1009"/>
      <c r="KQ266" s="1009"/>
      <c r="KR266" s="1009"/>
      <c r="KS266" s="1009"/>
      <c r="KT266" s="1009"/>
      <c r="KU266" s="1009"/>
      <c r="KV266" s="1009"/>
      <c r="KW266" s="1009"/>
      <c r="KX266" s="1009"/>
      <c r="KY266" s="1009"/>
      <c r="KZ266" s="1009"/>
      <c r="LA266" s="1009"/>
      <c r="LB266" s="1009"/>
      <c r="LC266" s="1009"/>
      <c r="LD266" s="1009"/>
      <c r="LE266" s="1009"/>
      <c r="LF266" s="1009"/>
      <c r="LG266" s="1009"/>
      <c r="LH266" s="1009"/>
      <c r="LI266" s="1009"/>
      <c r="LJ266" s="1009"/>
      <c r="LK266" s="1009"/>
      <c r="LL266" s="1009"/>
      <c r="LM266" s="1009"/>
      <c r="LN266" s="1009"/>
      <c r="LO266" s="1009"/>
      <c r="LP266" s="1009"/>
      <c r="LQ266" s="1009"/>
      <c r="LR266" s="1009"/>
      <c r="LS266" s="1009"/>
      <c r="LT266" s="1009"/>
      <c r="LU266" s="1009"/>
      <c r="LV266" s="1009"/>
      <c r="LW266" s="1009"/>
      <c r="LX266" s="1009"/>
      <c r="LY266" s="1009"/>
      <c r="LZ266" s="1009"/>
      <c r="MA266" s="1009"/>
      <c r="MB266" s="1009"/>
      <c r="MC266" s="1009"/>
      <c r="MD266" s="1009"/>
      <c r="ME266" s="1009"/>
      <c r="MF266" s="1009"/>
      <c r="MG266" s="1009"/>
      <c r="MH266" s="1009"/>
      <c r="MI266" s="1009"/>
      <c r="MJ266" s="1009"/>
      <c r="MK266" s="1009"/>
      <c r="ML266" s="1009"/>
      <c r="MM266" s="1009"/>
      <c r="MN266" s="1009"/>
      <c r="MO266" s="1009"/>
      <c r="MP266" s="1009"/>
      <c r="MQ266" s="1009"/>
      <c r="MR266" s="1009"/>
      <c r="MS266" s="1009"/>
      <c r="MT266" s="1009"/>
      <c r="MU266" s="1009"/>
      <c r="MV266" s="1009"/>
      <c r="MW266" s="1009"/>
      <c r="MX266" s="1009"/>
      <c r="MY266" s="1009"/>
      <c r="MZ266" s="1009"/>
      <c r="NA266" s="1009"/>
      <c r="NB266" s="1009"/>
      <c r="NC266" s="1009"/>
      <c r="ND266" s="1009"/>
      <c r="NE266" s="1009"/>
      <c r="NF266" s="1009"/>
      <c r="NG266" s="1009"/>
      <c r="NH266" s="1009"/>
      <c r="NI266" s="1009"/>
      <c r="NJ266" s="1009"/>
      <c r="NK266" s="1009"/>
      <c r="NL266" s="1009"/>
      <c r="NM266" s="1009"/>
      <c r="NN266" s="1009"/>
      <c r="NO266" s="1009"/>
      <c r="NP266" s="1009"/>
      <c r="NQ266" s="1009"/>
      <c r="NR266" s="1009"/>
      <c r="NS266" s="1009"/>
      <c r="NT266" s="1009"/>
      <c r="NU266" s="1009"/>
      <c r="NV266" s="1009"/>
      <c r="NW266" s="1009"/>
      <c r="NX266" s="1009"/>
      <c r="NY266" s="1009"/>
      <c r="NZ266" s="1009"/>
      <c r="OA266" s="1009"/>
      <c r="OB266" s="1009"/>
      <c r="OC266" s="1009"/>
      <c r="OD266" s="1009"/>
      <c r="OE266" s="1009"/>
      <c r="OF266" s="1009"/>
      <c r="OG266" s="1009"/>
      <c r="OH266" s="1009"/>
      <c r="OI266" s="1009"/>
      <c r="OJ266" s="1009"/>
      <c r="OK266" s="1009"/>
      <c r="OL266" s="1009"/>
      <c r="OM266" s="1009"/>
      <c r="ON266" s="1009"/>
      <c r="OO266" s="1009"/>
      <c r="OP266" s="1009"/>
      <c r="OQ266" s="1009"/>
      <c r="OR266" s="1009"/>
      <c r="OS266" s="1009"/>
      <c r="OT266" s="1009"/>
      <c r="OU266" s="1009"/>
      <c r="OV266" s="1009"/>
      <c r="OW266" s="1009"/>
      <c r="OX266" s="1009"/>
      <c r="OY266" s="1009"/>
      <c r="OZ266" s="1009"/>
      <c r="PA266" s="1009"/>
      <c r="PB266" s="1009"/>
      <c r="PC266" s="1009"/>
      <c r="PD266" s="1009"/>
      <c r="PE266" s="1009"/>
      <c r="PF266" s="1009"/>
      <c r="PG266" s="1009"/>
      <c r="PH266" s="1009"/>
      <c r="PI266" s="1009"/>
      <c r="PJ266" s="1009"/>
      <c r="PK266" s="1009"/>
      <c r="PL266" s="1009"/>
      <c r="PM266" s="1009"/>
      <c r="PN266" s="1009"/>
      <c r="PO266" s="1009"/>
      <c r="PP266" s="1009"/>
      <c r="PQ266" s="1009"/>
      <c r="PR266" s="1009"/>
      <c r="PS266" s="1009"/>
      <c r="PT266" s="1009"/>
      <c r="PU266" s="1009"/>
      <c r="PV266" s="1009"/>
      <c r="PW266" s="1009"/>
      <c r="PX266" s="1009"/>
      <c r="PY266" s="1009"/>
      <c r="PZ266" s="1009"/>
      <c r="QA266" s="1009"/>
      <c r="QB266" s="1009"/>
      <c r="QC266" s="1009"/>
      <c r="QD266" s="1009"/>
      <c r="QE266" s="1009"/>
      <c r="QF266" s="1009"/>
      <c r="QG266" s="1009"/>
      <c r="QH266" s="1009"/>
      <c r="QI266" s="1009"/>
      <c r="QJ266" s="1009"/>
      <c r="QK266" s="1009"/>
      <c r="QL266" s="1009"/>
      <c r="QM266" s="1009"/>
      <c r="QN266" s="1009"/>
      <c r="QO266" s="1009"/>
      <c r="QP266" s="1009"/>
      <c r="QQ266" s="1009"/>
      <c r="QR266" s="1009"/>
      <c r="QS266" s="1009"/>
      <c r="QT266" s="1009"/>
      <c r="QU266" s="1009"/>
      <c r="QV266" s="1009"/>
      <c r="QW266" s="1009"/>
      <c r="QX266" s="1009"/>
      <c r="QY266" s="1009"/>
      <c r="QZ266" s="1009"/>
      <c r="RA266" s="1009"/>
      <c r="RB266" s="1009"/>
      <c r="RC266" s="1009"/>
      <c r="RD266" s="1009"/>
      <c r="RE266" s="1009"/>
      <c r="RF266" s="1009"/>
      <c r="RG266" s="1009"/>
      <c r="RH266" s="1009"/>
      <c r="RI266" s="1009"/>
      <c r="RJ266" s="1009"/>
      <c r="RK266" s="1009"/>
      <c r="RL266" s="1009"/>
      <c r="RM266" s="1009"/>
      <c r="RN266" s="1009"/>
      <c r="RO266" s="1009"/>
      <c r="RP266" s="1009"/>
      <c r="RQ266" s="1009"/>
      <c r="RR266" s="1009"/>
      <c r="RS266" s="1009"/>
      <c r="RT266" s="1009"/>
      <c r="RU266" s="1009"/>
      <c r="RV266" s="1009"/>
      <c r="RW266" s="1009"/>
      <c r="RX266" s="1009"/>
      <c r="RY266" s="1009"/>
      <c r="RZ266" s="1009"/>
      <c r="SA266" s="1009"/>
      <c r="SB266" s="1009"/>
      <c r="SC266" s="1009"/>
      <c r="SD266" s="1009"/>
      <c r="SE266" s="1009"/>
      <c r="SF266" s="1009"/>
      <c r="SG266" s="1009"/>
      <c r="SH266" s="1009"/>
      <c r="SI266" s="1009"/>
      <c r="SJ266" s="1009"/>
      <c r="SK266" s="1009"/>
      <c r="SL266" s="1009"/>
      <c r="SM266" s="1009"/>
      <c r="SN266" s="1009"/>
      <c r="SO266" s="1009"/>
      <c r="SP266" s="1009"/>
      <c r="SQ266" s="1009"/>
      <c r="SR266" s="1009"/>
      <c r="SS266" s="1009"/>
      <c r="ST266" s="1009"/>
      <c r="SU266" s="1009"/>
      <c r="SV266" s="1009"/>
      <c r="SW266" s="1009"/>
      <c r="SX266" s="1009"/>
      <c r="SY266" s="1009"/>
      <c r="SZ266" s="1009"/>
      <c r="TA266" s="1009"/>
      <c r="TB266" s="1009"/>
      <c r="TC266" s="1009"/>
      <c r="TD266" s="1009"/>
      <c r="TE266" s="1009"/>
      <c r="TF266" s="1009"/>
      <c r="TG266" s="1009"/>
      <c r="TH266" s="1009"/>
      <c r="TI266" s="1009"/>
      <c r="TJ266" s="1009"/>
      <c r="TK266" s="1009"/>
      <c r="TL266" s="1009"/>
      <c r="TM266" s="1009"/>
      <c r="TN266" s="1009"/>
      <c r="TO266" s="1009"/>
      <c r="TP266" s="1009"/>
      <c r="TQ266" s="1009"/>
      <c r="TR266" s="1009"/>
      <c r="TS266" s="1009"/>
      <c r="TT266" s="1009"/>
      <c r="TU266" s="1009"/>
      <c r="TV266" s="1009"/>
      <c r="TW266" s="1009"/>
      <c r="TX266" s="1009"/>
      <c r="TY266" s="1009"/>
      <c r="TZ266" s="1009"/>
      <c r="UA266" s="1009"/>
      <c r="UB266" s="1009"/>
      <c r="UC266" s="1009"/>
      <c r="UD266" s="1009"/>
      <c r="UE266" s="1009"/>
      <c r="UF266" s="1009"/>
      <c r="UG266" s="1009"/>
      <c r="UH266" s="1009"/>
      <c r="UI266" s="1009"/>
      <c r="UJ266" s="1009"/>
      <c r="UK266" s="1009"/>
      <c r="UL266" s="1009"/>
      <c r="UM266" s="1009"/>
      <c r="UN266" s="1009"/>
      <c r="UO266" s="1009"/>
      <c r="UP266" s="1009"/>
      <c r="UQ266" s="1009"/>
      <c r="UR266" s="1009"/>
      <c r="US266" s="1009"/>
      <c r="UT266" s="1009"/>
      <c r="UU266" s="1009"/>
      <c r="UV266" s="1009"/>
      <c r="UW266" s="1009"/>
      <c r="UX266" s="1009"/>
      <c r="UY266" s="1009"/>
      <c r="UZ266" s="1009"/>
      <c r="VA266" s="1009"/>
      <c r="VB266" s="1009"/>
      <c r="VC266" s="1009"/>
      <c r="VD266" s="1009"/>
      <c r="VE266" s="1009"/>
      <c r="VF266" s="1009"/>
      <c r="VG266" s="1009"/>
      <c r="VH266" s="1009"/>
      <c r="VI266" s="1009"/>
      <c r="VJ266" s="1009"/>
      <c r="VK266" s="1009"/>
      <c r="VL266" s="1009"/>
      <c r="VM266" s="1009"/>
      <c r="VN266" s="1009"/>
      <c r="VO266" s="1009"/>
      <c r="VP266" s="1009"/>
      <c r="VQ266" s="1009"/>
      <c r="VR266" s="1009"/>
      <c r="VS266" s="1009"/>
      <c r="VT266" s="1009"/>
      <c r="VU266" s="1009"/>
      <c r="VV266" s="1009"/>
      <c r="VW266" s="1009"/>
      <c r="VX266" s="1009"/>
      <c r="VY266" s="1009"/>
      <c r="VZ266" s="1009"/>
      <c r="WA266" s="1009"/>
      <c r="WB266" s="1009"/>
      <c r="WC266" s="1009"/>
      <c r="WD266" s="1009"/>
      <c r="WE266" s="1009"/>
      <c r="WF266" s="1009"/>
      <c r="WG266" s="1009"/>
      <c r="WH266" s="1009"/>
      <c r="WI266" s="1009"/>
      <c r="WJ266" s="1009"/>
      <c r="WK266" s="1009"/>
      <c r="WL266" s="1009"/>
      <c r="WM266" s="1009"/>
      <c r="WN266" s="1009"/>
      <c r="WO266" s="1009"/>
      <c r="WP266" s="1009"/>
      <c r="WQ266" s="1009"/>
      <c r="WR266" s="1009"/>
      <c r="WS266" s="1009"/>
      <c r="WT266" s="1009"/>
      <c r="WU266" s="1009"/>
      <c r="WV266" s="1009"/>
      <c r="WW266" s="1009"/>
      <c r="WX266" s="1009"/>
      <c r="WY266" s="1009"/>
      <c r="WZ266" s="1009"/>
      <c r="XA266" s="1009"/>
      <c r="XB266" s="1009"/>
      <c r="XC266" s="1009"/>
      <c r="XD266" s="1009"/>
      <c r="XE266" s="1009"/>
      <c r="XF266" s="1009"/>
      <c r="XG266" s="1009"/>
      <c r="XH266" s="1009"/>
      <c r="XI266" s="1009"/>
      <c r="XJ266" s="1009"/>
      <c r="XK266" s="1009"/>
      <c r="XL266" s="1009"/>
      <c r="XM266" s="1009"/>
      <c r="XN266" s="1009"/>
      <c r="XO266" s="1009"/>
      <c r="XP266" s="1009"/>
      <c r="XQ266" s="1009"/>
      <c r="XR266" s="1009"/>
      <c r="XS266" s="1009"/>
      <c r="XT266" s="1009"/>
      <c r="XU266" s="1009"/>
      <c r="XV266" s="1009"/>
      <c r="XW266" s="1009"/>
      <c r="XX266" s="1009"/>
      <c r="XY266" s="1009"/>
      <c r="XZ266" s="1009"/>
      <c r="YA266" s="1009"/>
      <c r="YB266" s="1009"/>
      <c r="YC266" s="1009"/>
      <c r="YD266" s="1009"/>
      <c r="YE266" s="1009"/>
      <c r="YF266" s="1009"/>
      <c r="YG266" s="1009"/>
      <c r="YH266" s="1009"/>
      <c r="YI266" s="1009"/>
      <c r="YJ266" s="1009"/>
      <c r="YK266" s="1009"/>
      <c r="YL266" s="1009"/>
      <c r="YM266" s="1009"/>
      <c r="YN266" s="1009"/>
      <c r="YO266" s="1009"/>
      <c r="YP266" s="1009"/>
      <c r="YQ266" s="1009"/>
      <c r="YR266" s="1009"/>
      <c r="YS266" s="1009"/>
      <c r="YT266" s="1009"/>
      <c r="YU266" s="1009"/>
      <c r="YV266" s="1009"/>
      <c r="YW266" s="1009"/>
      <c r="YX266" s="1009"/>
      <c r="YY266" s="1009"/>
      <c r="YZ266" s="1009"/>
      <c r="ZA266" s="1009"/>
      <c r="ZB266" s="1009"/>
      <c r="ZC266" s="1009"/>
      <c r="ZD266" s="1009"/>
      <c r="ZE266" s="1009"/>
      <c r="ZF266" s="1009"/>
      <c r="ZG266" s="1009"/>
      <c r="ZH266" s="1009"/>
      <c r="ZI266" s="1009"/>
      <c r="ZJ266" s="1009"/>
      <c r="ZK266" s="1009"/>
      <c r="ZL266" s="1009"/>
      <c r="ZM266" s="1009"/>
      <c r="ZN266" s="1009"/>
      <c r="ZO266" s="1009"/>
      <c r="ZP266" s="1009"/>
      <c r="ZQ266" s="1009"/>
      <c r="ZR266" s="1009"/>
      <c r="ZS266" s="1009"/>
      <c r="ZT266" s="1009"/>
      <c r="ZU266" s="1009"/>
      <c r="ZV266" s="1009"/>
      <c r="ZW266" s="1009"/>
      <c r="ZX266" s="1009"/>
      <c r="ZY266" s="1009"/>
      <c r="ZZ266" s="1009"/>
      <c r="AAA266" s="1009"/>
      <c r="AAB266" s="1009"/>
      <c r="AAC266" s="1009"/>
      <c r="AAD266" s="1009"/>
      <c r="AAE266" s="1009"/>
      <c r="AAF266" s="1009"/>
      <c r="AAG266" s="1009"/>
      <c r="AAH266" s="1009"/>
      <c r="AAI266" s="1009"/>
      <c r="AAJ266" s="1009"/>
      <c r="AAK266" s="1009"/>
      <c r="AAL266" s="1009"/>
      <c r="AAM266" s="1009"/>
      <c r="AAN266" s="1009"/>
      <c r="AAO266" s="1009"/>
      <c r="AAP266" s="1009"/>
      <c r="AAQ266" s="1009"/>
      <c r="AAR266" s="1009"/>
      <c r="AAS266" s="1009"/>
      <c r="AAT266" s="1009"/>
      <c r="AAU266" s="1009"/>
      <c r="AAV266" s="1009"/>
      <c r="AAW266" s="1009"/>
      <c r="AAX266" s="1009"/>
      <c r="AAY266" s="1009"/>
      <c r="AAZ266" s="1009"/>
      <c r="ABA266" s="1009"/>
      <c r="ABB266" s="1009"/>
      <c r="ABC266" s="1009"/>
      <c r="ABD266" s="1009"/>
      <c r="ABE266" s="1009"/>
      <c r="ABF266" s="1009"/>
      <c r="ABG266" s="1009"/>
      <c r="ABH266" s="1009"/>
      <c r="ABI266" s="1009"/>
      <c r="ABJ266" s="1009"/>
      <c r="ABK266" s="1009"/>
      <c r="ABL266" s="1009"/>
      <c r="ABM266" s="1009"/>
      <c r="ABN266" s="1009"/>
      <c r="ABO266" s="1009"/>
      <c r="ABP266" s="1009"/>
      <c r="ABQ266" s="1009"/>
      <c r="ABR266" s="1009"/>
    </row>
    <row r="267" spans="1:746" s="111" customFormat="1" ht="12" customHeight="1">
      <c r="A267" s="1758"/>
      <c r="B267" s="906" t="s">
        <v>766</v>
      </c>
      <c r="C267" s="907"/>
      <c r="D267" s="907"/>
      <c r="E267" s="907"/>
      <c r="F267" s="907"/>
      <c r="G267" s="907"/>
      <c r="H267" s="2498"/>
      <c r="I267" s="2326"/>
      <c r="J267" s="2325"/>
      <c r="K267" s="2325"/>
      <c r="L267" s="2325"/>
      <c r="M267" s="2325"/>
      <c r="N267" s="2325"/>
      <c r="O267" s="2325"/>
      <c r="P267" s="2325"/>
      <c r="Q267" s="2325"/>
      <c r="R267" s="2325"/>
      <c r="S267" s="2325"/>
      <c r="T267" s="2325"/>
      <c r="U267" s="2326"/>
      <c r="V267" s="2326"/>
      <c r="W267" s="2326"/>
      <c r="X267" s="2326"/>
      <c r="Y267" s="2326"/>
      <c r="Z267" s="2326"/>
      <c r="AA267" s="2326"/>
      <c r="AB267" s="2326"/>
      <c r="AC267" s="2326"/>
      <c r="AD267" s="2326"/>
      <c r="AE267" s="2326"/>
      <c r="AF267" s="2326"/>
      <c r="AG267" s="1042"/>
      <c r="AH267" s="786"/>
      <c r="AI267" s="786"/>
      <c r="AJ267" s="1044"/>
      <c r="AK267" s="1047"/>
      <c r="AL267" s="1044"/>
      <c r="AM267" s="1009"/>
      <c r="AN267" s="1035"/>
      <c r="AO267" s="1034"/>
      <c r="AP267" s="1084"/>
      <c r="AQ267" s="1084"/>
      <c r="AR267" s="1009"/>
      <c r="AS267" s="1009"/>
      <c r="AT267" s="1009"/>
      <c r="AU267" s="1009"/>
      <c r="AV267" s="1009"/>
      <c r="AW267" s="1009"/>
      <c r="AX267" s="1009"/>
      <c r="AY267" s="1009"/>
      <c r="AZ267" s="1009"/>
      <c r="BA267" s="1009"/>
      <c r="BB267" s="1009"/>
      <c r="BC267" s="1009"/>
      <c r="BD267" s="1009"/>
      <c r="BE267" s="1009"/>
      <c r="BF267" s="1009"/>
      <c r="BG267" s="1009"/>
      <c r="BH267" s="1009"/>
      <c r="BI267" s="1009"/>
      <c r="BJ267" s="1009"/>
      <c r="BK267" s="1009"/>
      <c r="BL267" s="1009"/>
      <c r="BM267" s="1009"/>
      <c r="BN267" s="1009"/>
      <c r="BO267" s="1009"/>
      <c r="BP267" s="1009"/>
      <c r="BQ267" s="1009"/>
      <c r="BR267" s="1009"/>
      <c r="BS267" s="1009"/>
      <c r="BT267" s="1009"/>
      <c r="BU267" s="1009"/>
      <c r="BV267" s="1009"/>
      <c r="BW267" s="1009"/>
      <c r="BX267" s="1009"/>
      <c r="BY267" s="1009"/>
      <c r="BZ267" s="1009"/>
      <c r="CA267" s="1009"/>
      <c r="CB267" s="1009"/>
      <c r="CC267" s="1009"/>
      <c r="CD267" s="1009"/>
      <c r="CE267" s="1009"/>
      <c r="CF267" s="1009"/>
      <c r="CG267" s="1009"/>
      <c r="CH267" s="1009"/>
      <c r="CI267" s="1009"/>
      <c r="CJ267" s="1009"/>
      <c r="CK267" s="1009"/>
      <c r="CL267" s="1009"/>
      <c r="CM267" s="1009"/>
      <c r="CN267" s="1009"/>
      <c r="CO267" s="1009"/>
      <c r="CP267" s="1009"/>
      <c r="CQ267" s="1009"/>
      <c r="CR267" s="1009"/>
      <c r="CS267" s="1009"/>
      <c r="CT267" s="1009"/>
      <c r="CU267" s="1009"/>
      <c r="CV267" s="1009"/>
      <c r="CW267" s="1009"/>
      <c r="CX267" s="1009"/>
      <c r="CY267" s="1009"/>
      <c r="CZ267" s="1009"/>
      <c r="DA267" s="1009"/>
      <c r="DB267" s="1009"/>
      <c r="DC267" s="1009"/>
      <c r="DD267" s="1009"/>
      <c r="DE267" s="1009"/>
      <c r="DF267" s="1009"/>
      <c r="DG267" s="1009"/>
      <c r="DH267" s="1009"/>
      <c r="DI267" s="1009"/>
      <c r="DJ267" s="1009"/>
      <c r="DK267" s="1009"/>
      <c r="DL267" s="1009"/>
      <c r="DM267" s="1009"/>
      <c r="DN267" s="1009"/>
      <c r="DO267" s="1009"/>
      <c r="DP267" s="1009"/>
      <c r="DQ267" s="1009"/>
      <c r="DR267" s="1009"/>
      <c r="DS267" s="1009"/>
      <c r="DT267" s="1009"/>
      <c r="DU267" s="1009"/>
      <c r="DV267" s="1009"/>
      <c r="DW267" s="1009"/>
      <c r="DX267" s="1009"/>
      <c r="DY267" s="1009"/>
      <c r="DZ267" s="1009"/>
      <c r="EA267" s="1009"/>
      <c r="EB267" s="1009"/>
      <c r="EC267" s="1009"/>
      <c r="ED267" s="1009"/>
      <c r="EE267" s="1009"/>
      <c r="EF267" s="1009"/>
      <c r="EG267" s="1009"/>
      <c r="EH267" s="1009"/>
      <c r="EI267" s="1009"/>
      <c r="EJ267" s="1009"/>
      <c r="EK267" s="1009"/>
      <c r="EL267" s="1009"/>
      <c r="EM267" s="1009"/>
      <c r="EN267" s="1009"/>
      <c r="EO267" s="1009"/>
      <c r="EP267" s="1009"/>
      <c r="EQ267" s="1009"/>
      <c r="ER267" s="1009"/>
      <c r="ES267" s="1009"/>
      <c r="ET267" s="1009"/>
      <c r="EU267" s="1009"/>
      <c r="EV267" s="1009"/>
      <c r="EW267" s="1009"/>
      <c r="EX267" s="1009"/>
      <c r="EY267" s="1009"/>
      <c r="EZ267" s="1009"/>
      <c r="FA267" s="1009"/>
      <c r="FB267" s="1009"/>
      <c r="FC267" s="1009"/>
      <c r="FD267" s="1009"/>
      <c r="FE267" s="1009"/>
      <c r="FF267" s="1009"/>
      <c r="FG267" s="1009"/>
      <c r="FH267" s="1009"/>
      <c r="FI267" s="1009"/>
      <c r="FJ267" s="1009"/>
      <c r="FK267" s="1009"/>
      <c r="FL267" s="1009"/>
      <c r="FM267" s="1009"/>
      <c r="FN267" s="1009"/>
      <c r="FO267" s="1009"/>
      <c r="FP267" s="1009"/>
      <c r="FQ267" s="1009"/>
      <c r="FR267" s="1009"/>
      <c r="FS267" s="1009"/>
      <c r="FT267" s="1009"/>
      <c r="FU267" s="1009"/>
      <c r="FV267" s="1009"/>
      <c r="FW267" s="1009"/>
      <c r="FX267" s="1009"/>
      <c r="FY267" s="1009"/>
      <c r="FZ267" s="1009"/>
      <c r="GA267" s="1009"/>
      <c r="GB267" s="1009"/>
      <c r="GC267" s="1009"/>
      <c r="GD267" s="1009"/>
      <c r="GE267" s="1009"/>
      <c r="GF267" s="1009"/>
      <c r="GG267" s="1009"/>
      <c r="GH267" s="1009"/>
      <c r="GI267" s="1009"/>
      <c r="GJ267" s="1009"/>
      <c r="GK267" s="1009"/>
      <c r="GL267" s="1009"/>
      <c r="GM267" s="1009"/>
      <c r="GN267" s="1009"/>
      <c r="GO267" s="1009"/>
      <c r="GP267" s="1009"/>
      <c r="GQ267" s="1009"/>
      <c r="GR267" s="1009"/>
      <c r="GS267" s="1009"/>
      <c r="GT267" s="1009"/>
      <c r="GU267" s="1009"/>
      <c r="GV267" s="1009"/>
      <c r="GW267" s="1009"/>
      <c r="GX267" s="1009"/>
      <c r="GY267" s="1009"/>
      <c r="GZ267" s="1009"/>
      <c r="HA267" s="1009"/>
      <c r="HB267" s="1009"/>
      <c r="HC267" s="1009"/>
      <c r="HD267" s="1009"/>
      <c r="HE267" s="1009"/>
      <c r="HF267" s="1009"/>
      <c r="HG267" s="1009"/>
      <c r="HH267" s="1009"/>
      <c r="HI267" s="1009"/>
      <c r="HJ267" s="1009"/>
      <c r="HK267" s="1009"/>
      <c r="HL267" s="1009"/>
      <c r="HM267" s="1009"/>
      <c r="HN267" s="1009"/>
      <c r="HO267" s="1009"/>
      <c r="HP267" s="1009"/>
      <c r="HQ267" s="1009"/>
      <c r="HR267" s="1009"/>
      <c r="HS267" s="1009"/>
      <c r="HT267" s="1009"/>
      <c r="HU267" s="1009"/>
      <c r="HV267" s="1009"/>
      <c r="HW267" s="1009"/>
      <c r="HX267" s="1009"/>
      <c r="HY267" s="1009"/>
      <c r="HZ267" s="1009"/>
      <c r="IA267" s="1009"/>
      <c r="IB267" s="1009"/>
      <c r="IC267" s="1009"/>
      <c r="ID267" s="1009"/>
      <c r="IE267" s="1009"/>
      <c r="IF267" s="1009"/>
      <c r="IG267" s="1009"/>
      <c r="IH267" s="1009"/>
      <c r="II267" s="1009"/>
      <c r="IJ267" s="1009"/>
      <c r="IK267" s="1009"/>
      <c r="IL267" s="1009"/>
      <c r="IM267" s="1009"/>
      <c r="IN267" s="1009"/>
      <c r="IO267" s="1009"/>
      <c r="IP267" s="1009"/>
      <c r="IQ267" s="1009"/>
      <c r="IR267" s="1009"/>
      <c r="IS267" s="1009"/>
      <c r="IT267" s="1009"/>
      <c r="IU267" s="1009"/>
      <c r="IV267" s="1009"/>
      <c r="IW267" s="1009"/>
      <c r="IX267" s="1009"/>
      <c r="IY267" s="1009"/>
      <c r="IZ267" s="1009"/>
      <c r="JA267" s="1009"/>
      <c r="JB267" s="1009"/>
      <c r="JC267" s="1009"/>
      <c r="JD267" s="1009"/>
      <c r="JE267" s="1009"/>
      <c r="JF267" s="1009"/>
      <c r="JG267" s="1009"/>
      <c r="JH267" s="1009"/>
      <c r="JI267" s="1009"/>
      <c r="JJ267" s="1009"/>
      <c r="JK267" s="1009"/>
      <c r="JL267" s="1009"/>
      <c r="JM267" s="1009"/>
      <c r="JN267" s="1009"/>
      <c r="JO267" s="1009"/>
      <c r="JP267" s="1009"/>
      <c r="JQ267" s="1009"/>
      <c r="JR267" s="1009"/>
      <c r="JS267" s="1009"/>
      <c r="JT267" s="1009"/>
      <c r="JU267" s="1009"/>
      <c r="JV267" s="1009"/>
      <c r="JW267" s="1009"/>
      <c r="JX267" s="1009"/>
      <c r="JY267" s="1009"/>
      <c r="JZ267" s="1009"/>
      <c r="KA267" s="1009"/>
      <c r="KB267" s="1009"/>
      <c r="KC267" s="1009"/>
      <c r="KD267" s="1009"/>
      <c r="KE267" s="1009"/>
      <c r="KF267" s="1009"/>
      <c r="KG267" s="1009"/>
      <c r="KH267" s="1009"/>
      <c r="KI267" s="1009"/>
      <c r="KJ267" s="1009"/>
      <c r="KK267" s="1009"/>
      <c r="KL267" s="1009"/>
      <c r="KM267" s="1009"/>
      <c r="KN267" s="1009"/>
      <c r="KO267" s="1009"/>
      <c r="KP267" s="1009"/>
      <c r="KQ267" s="1009"/>
      <c r="KR267" s="1009"/>
      <c r="KS267" s="1009"/>
      <c r="KT267" s="1009"/>
      <c r="KU267" s="1009"/>
      <c r="KV267" s="1009"/>
      <c r="KW267" s="1009"/>
      <c r="KX267" s="1009"/>
      <c r="KY267" s="1009"/>
      <c r="KZ267" s="1009"/>
      <c r="LA267" s="1009"/>
      <c r="LB267" s="1009"/>
      <c r="LC267" s="1009"/>
      <c r="LD267" s="1009"/>
      <c r="LE267" s="1009"/>
      <c r="LF267" s="1009"/>
      <c r="LG267" s="1009"/>
      <c r="LH267" s="1009"/>
      <c r="LI267" s="1009"/>
      <c r="LJ267" s="1009"/>
      <c r="LK267" s="1009"/>
      <c r="LL267" s="1009"/>
      <c r="LM267" s="1009"/>
      <c r="LN267" s="1009"/>
      <c r="LO267" s="1009"/>
      <c r="LP267" s="1009"/>
      <c r="LQ267" s="1009"/>
      <c r="LR267" s="1009"/>
      <c r="LS267" s="1009"/>
      <c r="LT267" s="1009"/>
      <c r="LU267" s="1009"/>
      <c r="LV267" s="1009"/>
      <c r="LW267" s="1009"/>
      <c r="LX267" s="1009"/>
      <c r="LY267" s="1009"/>
      <c r="LZ267" s="1009"/>
      <c r="MA267" s="1009"/>
      <c r="MB267" s="1009"/>
      <c r="MC267" s="1009"/>
      <c r="MD267" s="1009"/>
      <c r="ME267" s="1009"/>
      <c r="MF267" s="1009"/>
      <c r="MG267" s="1009"/>
      <c r="MH267" s="1009"/>
      <c r="MI267" s="1009"/>
      <c r="MJ267" s="1009"/>
      <c r="MK267" s="1009"/>
      <c r="ML267" s="1009"/>
      <c r="MM267" s="1009"/>
      <c r="MN267" s="1009"/>
      <c r="MO267" s="1009"/>
      <c r="MP267" s="1009"/>
      <c r="MQ267" s="1009"/>
      <c r="MR267" s="1009"/>
      <c r="MS267" s="1009"/>
      <c r="MT267" s="1009"/>
      <c r="MU267" s="1009"/>
      <c r="MV267" s="1009"/>
      <c r="MW267" s="1009"/>
      <c r="MX267" s="1009"/>
      <c r="MY267" s="1009"/>
      <c r="MZ267" s="1009"/>
      <c r="NA267" s="1009"/>
      <c r="NB267" s="1009"/>
      <c r="NC267" s="1009"/>
      <c r="ND267" s="1009"/>
      <c r="NE267" s="1009"/>
      <c r="NF267" s="1009"/>
      <c r="NG267" s="1009"/>
      <c r="NH267" s="1009"/>
      <c r="NI267" s="1009"/>
      <c r="NJ267" s="1009"/>
      <c r="NK267" s="1009"/>
      <c r="NL267" s="1009"/>
      <c r="NM267" s="1009"/>
      <c r="NN267" s="1009"/>
      <c r="NO267" s="1009"/>
      <c r="NP267" s="1009"/>
      <c r="NQ267" s="1009"/>
      <c r="NR267" s="1009"/>
      <c r="NS267" s="1009"/>
      <c r="NT267" s="1009"/>
      <c r="NU267" s="1009"/>
      <c r="NV267" s="1009"/>
      <c r="NW267" s="1009"/>
      <c r="NX267" s="1009"/>
      <c r="NY267" s="1009"/>
      <c r="NZ267" s="1009"/>
      <c r="OA267" s="1009"/>
      <c r="OB267" s="1009"/>
      <c r="OC267" s="1009"/>
      <c r="OD267" s="1009"/>
      <c r="OE267" s="1009"/>
      <c r="OF267" s="1009"/>
      <c r="OG267" s="1009"/>
      <c r="OH267" s="1009"/>
      <c r="OI267" s="1009"/>
      <c r="OJ267" s="1009"/>
      <c r="OK267" s="1009"/>
      <c r="OL267" s="1009"/>
      <c r="OM267" s="1009"/>
      <c r="ON267" s="1009"/>
      <c r="OO267" s="1009"/>
      <c r="OP267" s="1009"/>
      <c r="OQ267" s="1009"/>
      <c r="OR267" s="1009"/>
      <c r="OS267" s="1009"/>
      <c r="OT267" s="1009"/>
      <c r="OU267" s="1009"/>
      <c r="OV267" s="1009"/>
      <c r="OW267" s="1009"/>
      <c r="OX267" s="1009"/>
      <c r="OY267" s="1009"/>
      <c r="OZ267" s="1009"/>
      <c r="PA267" s="1009"/>
      <c r="PB267" s="1009"/>
      <c r="PC267" s="1009"/>
      <c r="PD267" s="1009"/>
      <c r="PE267" s="1009"/>
      <c r="PF267" s="1009"/>
      <c r="PG267" s="1009"/>
      <c r="PH267" s="1009"/>
      <c r="PI267" s="1009"/>
      <c r="PJ267" s="1009"/>
      <c r="PK267" s="1009"/>
      <c r="PL267" s="1009"/>
      <c r="PM267" s="1009"/>
      <c r="PN267" s="1009"/>
      <c r="PO267" s="1009"/>
      <c r="PP267" s="1009"/>
      <c r="PQ267" s="1009"/>
      <c r="PR267" s="1009"/>
      <c r="PS267" s="1009"/>
      <c r="PT267" s="1009"/>
      <c r="PU267" s="1009"/>
      <c r="PV267" s="1009"/>
      <c r="PW267" s="1009"/>
      <c r="PX267" s="1009"/>
      <c r="PY267" s="1009"/>
      <c r="PZ267" s="1009"/>
      <c r="QA267" s="1009"/>
      <c r="QB267" s="1009"/>
      <c r="QC267" s="1009"/>
      <c r="QD267" s="1009"/>
      <c r="QE267" s="1009"/>
      <c r="QF267" s="1009"/>
      <c r="QG267" s="1009"/>
      <c r="QH267" s="1009"/>
      <c r="QI267" s="1009"/>
      <c r="QJ267" s="1009"/>
      <c r="QK267" s="1009"/>
      <c r="QL267" s="1009"/>
      <c r="QM267" s="1009"/>
      <c r="QN267" s="1009"/>
      <c r="QO267" s="1009"/>
      <c r="QP267" s="1009"/>
      <c r="QQ267" s="1009"/>
      <c r="QR267" s="1009"/>
      <c r="QS267" s="1009"/>
      <c r="QT267" s="1009"/>
      <c r="QU267" s="1009"/>
      <c r="QV267" s="1009"/>
      <c r="QW267" s="1009"/>
      <c r="QX267" s="1009"/>
      <c r="QY267" s="1009"/>
      <c r="QZ267" s="1009"/>
      <c r="RA267" s="1009"/>
      <c r="RB267" s="1009"/>
      <c r="RC267" s="1009"/>
      <c r="RD267" s="1009"/>
      <c r="RE267" s="1009"/>
      <c r="RF267" s="1009"/>
      <c r="RG267" s="1009"/>
      <c r="RH267" s="1009"/>
      <c r="RI267" s="1009"/>
      <c r="RJ267" s="1009"/>
      <c r="RK267" s="1009"/>
      <c r="RL267" s="1009"/>
      <c r="RM267" s="1009"/>
      <c r="RN267" s="1009"/>
      <c r="RO267" s="1009"/>
      <c r="RP267" s="1009"/>
      <c r="RQ267" s="1009"/>
      <c r="RR267" s="1009"/>
      <c r="RS267" s="1009"/>
      <c r="RT267" s="1009"/>
      <c r="RU267" s="1009"/>
      <c r="RV267" s="1009"/>
      <c r="RW267" s="1009"/>
      <c r="RX267" s="1009"/>
      <c r="RY267" s="1009"/>
      <c r="RZ267" s="1009"/>
      <c r="SA267" s="1009"/>
      <c r="SB267" s="1009"/>
      <c r="SC267" s="1009"/>
      <c r="SD267" s="1009"/>
      <c r="SE267" s="1009"/>
      <c r="SF267" s="1009"/>
      <c r="SG267" s="1009"/>
      <c r="SH267" s="1009"/>
      <c r="SI267" s="1009"/>
      <c r="SJ267" s="1009"/>
      <c r="SK267" s="1009"/>
      <c r="SL267" s="1009"/>
      <c r="SM267" s="1009"/>
      <c r="SN267" s="1009"/>
      <c r="SO267" s="1009"/>
      <c r="SP267" s="1009"/>
      <c r="SQ267" s="1009"/>
      <c r="SR267" s="1009"/>
      <c r="SS267" s="1009"/>
      <c r="ST267" s="1009"/>
      <c r="SU267" s="1009"/>
      <c r="SV267" s="1009"/>
      <c r="SW267" s="1009"/>
      <c r="SX267" s="1009"/>
      <c r="SY267" s="1009"/>
      <c r="SZ267" s="1009"/>
      <c r="TA267" s="1009"/>
      <c r="TB267" s="1009"/>
      <c r="TC267" s="1009"/>
      <c r="TD267" s="1009"/>
      <c r="TE267" s="1009"/>
      <c r="TF267" s="1009"/>
      <c r="TG267" s="1009"/>
      <c r="TH267" s="1009"/>
      <c r="TI267" s="1009"/>
      <c r="TJ267" s="1009"/>
      <c r="TK267" s="1009"/>
      <c r="TL267" s="1009"/>
      <c r="TM267" s="1009"/>
      <c r="TN267" s="1009"/>
      <c r="TO267" s="1009"/>
      <c r="TP267" s="1009"/>
      <c r="TQ267" s="1009"/>
      <c r="TR267" s="1009"/>
      <c r="TS267" s="1009"/>
      <c r="TT267" s="1009"/>
      <c r="TU267" s="1009"/>
      <c r="TV267" s="1009"/>
      <c r="TW267" s="1009"/>
      <c r="TX267" s="1009"/>
      <c r="TY267" s="1009"/>
      <c r="TZ267" s="1009"/>
      <c r="UA267" s="1009"/>
      <c r="UB267" s="1009"/>
      <c r="UC267" s="1009"/>
      <c r="UD267" s="1009"/>
      <c r="UE267" s="1009"/>
      <c r="UF267" s="1009"/>
      <c r="UG267" s="1009"/>
      <c r="UH267" s="1009"/>
      <c r="UI267" s="1009"/>
      <c r="UJ267" s="1009"/>
      <c r="UK267" s="1009"/>
      <c r="UL267" s="1009"/>
      <c r="UM267" s="1009"/>
      <c r="UN267" s="1009"/>
      <c r="UO267" s="1009"/>
      <c r="UP267" s="1009"/>
      <c r="UQ267" s="1009"/>
      <c r="UR267" s="1009"/>
      <c r="US267" s="1009"/>
      <c r="UT267" s="1009"/>
      <c r="UU267" s="1009"/>
      <c r="UV267" s="1009"/>
      <c r="UW267" s="1009"/>
      <c r="UX267" s="1009"/>
      <c r="UY267" s="1009"/>
      <c r="UZ267" s="1009"/>
      <c r="VA267" s="1009"/>
      <c r="VB267" s="1009"/>
      <c r="VC267" s="1009"/>
      <c r="VD267" s="1009"/>
      <c r="VE267" s="1009"/>
      <c r="VF267" s="1009"/>
      <c r="VG267" s="1009"/>
      <c r="VH267" s="1009"/>
      <c r="VI267" s="1009"/>
      <c r="VJ267" s="1009"/>
      <c r="VK267" s="1009"/>
      <c r="VL267" s="1009"/>
      <c r="VM267" s="1009"/>
      <c r="VN267" s="1009"/>
      <c r="VO267" s="1009"/>
      <c r="VP267" s="1009"/>
      <c r="VQ267" s="1009"/>
      <c r="VR267" s="1009"/>
      <c r="VS267" s="1009"/>
      <c r="VT267" s="1009"/>
      <c r="VU267" s="1009"/>
      <c r="VV267" s="1009"/>
      <c r="VW267" s="1009"/>
      <c r="VX267" s="1009"/>
      <c r="VY267" s="1009"/>
      <c r="VZ267" s="1009"/>
      <c r="WA267" s="1009"/>
      <c r="WB267" s="1009"/>
      <c r="WC267" s="1009"/>
      <c r="WD267" s="1009"/>
      <c r="WE267" s="1009"/>
      <c r="WF267" s="1009"/>
      <c r="WG267" s="1009"/>
      <c r="WH267" s="1009"/>
      <c r="WI267" s="1009"/>
      <c r="WJ267" s="1009"/>
      <c r="WK267" s="1009"/>
      <c r="WL267" s="1009"/>
      <c r="WM267" s="1009"/>
      <c r="WN267" s="1009"/>
      <c r="WO267" s="1009"/>
      <c r="WP267" s="1009"/>
      <c r="WQ267" s="1009"/>
      <c r="WR267" s="1009"/>
      <c r="WS267" s="1009"/>
      <c r="WT267" s="1009"/>
      <c r="WU267" s="1009"/>
      <c r="WV267" s="1009"/>
      <c r="WW267" s="1009"/>
      <c r="WX267" s="1009"/>
      <c r="WY267" s="1009"/>
      <c r="WZ267" s="1009"/>
      <c r="XA267" s="1009"/>
      <c r="XB267" s="1009"/>
      <c r="XC267" s="1009"/>
      <c r="XD267" s="1009"/>
      <c r="XE267" s="1009"/>
      <c r="XF267" s="1009"/>
      <c r="XG267" s="1009"/>
      <c r="XH267" s="1009"/>
      <c r="XI267" s="1009"/>
      <c r="XJ267" s="1009"/>
      <c r="XK267" s="1009"/>
      <c r="XL267" s="1009"/>
      <c r="XM267" s="1009"/>
      <c r="XN267" s="1009"/>
      <c r="XO267" s="1009"/>
      <c r="XP267" s="1009"/>
      <c r="XQ267" s="1009"/>
      <c r="XR267" s="1009"/>
      <c r="XS267" s="1009"/>
      <c r="XT267" s="1009"/>
      <c r="XU267" s="1009"/>
      <c r="XV267" s="1009"/>
      <c r="XW267" s="1009"/>
      <c r="XX267" s="1009"/>
      <c r="XY267" s="1009"/>
      <c r="XZ267" s="1009"/>
      <c r="YA267" s="1009"/>
      <c r="YB267" s="1009"/>
      <c r="YC267" s="1009"/>
      <c r="YD267" s="1009"/>
      <c r="YE267" s="1009"/>
      <c r="YF267" s="1009"/>
      <c r="YG267" s="1009"/>
      <c r="YH267" s="1009"/>
      <c r="YI267" s="1009"/>
      <c r="YJ267" s="1009"/>
      <c r="YK267" s="1009"/>
      <c r="YL267" s="1009"/>
      <c r="YM267" s="1009"/>
      <c r="YN267" s="1009"/>
      <c r="YO267" s="1009"/>
      <c r="YP267" s="1009"/>
      <c r="YQ267" s="1009"/>
      <c r="YR267" s="1009"/>
      <c r="YS267" s="1009"/>
      <c r="YT267" s="1009"/>
      <c r="YU267" s="1009"/>
      <c r="YV267" s="1009"/>
      <c r="YW267" s="1009"/>
      <c r="YX267" s="1009"/>
      <c r="YY267" s="1009"/>
      <c r="YZ267" s="1009"/>
      <c r="ZA267" s="1009"/>
      <c r="ZB267" s="1009"/>
      <c r="ZC267" s="1009"/>
      <c r="ZD267" s="1009"/>
      <c r="ZE267" s="1009"/>
      <c r="ZF267" s="1009"/>
      <c r="ZG267" s="1009"/>
      <c r="ZH267" s="1009"/>
      <c r="ZI267" s="1009"/>
      <c r="ZJ267" s="1009"/>
      <c r="ZK267" s="1009"/>
      <c r="ZL267" s="1009"/>
      <c r="ZM267" s="1009"/>
      <c r="ZN267" s="1009"/>
      <c r="ZO267" s="1009"/>
      <c r="ZP267" s="1009"/>
      <c r="ZQ267" s="1009"/>
      <c r="ZR267" s="1009"/>
      <c r="ZS267" s="1009"/>
      <c r="ZT267" s="1009"/>
      <c r="ZU267" s="1009"/>
      <c r="ZV267" s="1009"/>
      <c r="ZW267" s="1009"/>
      <c r="ZX267" s="1009"/>
      <c r="ZY267" s="1009"/>
      <c r="ZZ267" s="1009"/>
      <c r="AAA267" s="1009"/>
      <c r="AAB267" s="1009"/>
      <c r="AAC267" s="1009"/>
      <c r="AAD267" s="1009"/>
      <c r="AAE267" s="1009"/>
      <c r="AAF267" s="1009"/>
      <c r="AAG267" s="1009"/>
      <c r="AAH267" s="1009"/>
      <c r="AAI267" s="1009"/>
      <c r="AAJ267" s="1009"/>
      <c r="AAK267" s="1009"/>
      <c r="AAL267" s="1009"/>
      <c r="AAM267" s="1009"/>
      <c r="AAN267" s="1009"/>
      <c r="AAO267" s="1009"/>
      <c r="AAP267" s="1009"/>
      <c r="AAQ267" s="1009"/>
      <c r="AAR267" s="1009"/>
      <c r="AAS267" s="1009"/>
      <c r="AAT267" s="1009"/>
      <c r="AAU267" s="1009"/>
      <c r="AAV267" s="1009"/>
      <c r="AAW267" s="1009"/>
      <c r="AAX267" s="1009"/>
      <c r="AAY267" s="1009"/>
      <c r="AAZ267" s="1009"/>
      <c r="ABA267" s="1009"/>
      <c r="ABB267" s="1009"/>
      <c r="ABC267" s="1009"/>
      <c r="ABD267" s="1009"/>
      <c r="ABE267" s="1009"/>
      <c r="ABF267" s="1009"/>
      <c r="ABG267" s="1009"/>
      <c r="ABH267" s="1009"/>
      <c r="ABI267" s="1009"/>
      <c r="ABJ267" s="1009"/>
      <c r="ABK267" s="1009"/>
      <c r="ABL267" s="1009"/>
      <c r="ABM267" s="1009"/>
      <c r="ABN267" s="1009"/>
      <c r="ABO267" s="1009"/>
      <c r="ABP267" s="1009"/>
      <c r="ABQ267" s="1009"/>
      <c r="ABR267" s="1009"/>
    </row>
    <row r="268" spans="1:746" s="111" customFormat="1" ht="12" customHeight="1">
      <c r="A268" s="1758"/>
      <c r="B268" s="910" t="s">
        <v>881</v>
      </c>
      <c r="C268" s="911"/>
      <c r="D268" s="911"/>
      <c r="E268" s="916"/>
      <c r="F268" s="917"/>
      <c r="G268" s="917"/>
      <c r="H268" s="2552"/>
      <c r="I268" s="345">
        <f>(H268+I266-I267)*fx!I57</f>
        <v>0</v>
      </c>
      <c r="J268" s="345">
        <f>(I268+J266-J267)*fx!J57</f>
        <v>0</v>
      </c>
      <c r="K268" s="345">
        <f>(J268+K266-K267)*fx!K57</f>
        <v>0</v>
      </c>
      <c r="L268" s="345">
        <f>(K268+L266-L267)*fx!L57</f>
        <v>0</v>
      </c>
      <c r="M268" s="345">
        <f>(L268+M266-M267)*fx!M57</f>
        <v>0</v>
      </c>
      <c r="N268" s="345">
        <f>(M268+N266-N267)*fx!N57</f>
        <v>0</v>
      </c>
      <c r="O268" s="345">
        <f>(N268+O266-O267)*fx!O57</f>
        <v>0</v>
      </c>
      <c r="P268" s="345">
        <f>(O268+P266-P267)*fx!P57</f>
        <v>0</v>
      </c>
      <c r="Q268" s="345">
        <f>(P268+Q266-Q267)*fx!Q57</f>
        <v>0</v>
      </c>
      <c r="R268" s="345">
        <f>(Q268+R266-R267)*fx!R57</f>
        <v>0</v>
      </c>
      <c r="S268" s="345">
        <f>(R268+S266-S267)*fx!S57</f>
        <v>0</v>
      </c>
      <c r="T268" s="345">
        <f>(S268+T266-T267)*fx!T57</f>
        <v>0</v>
      </c>
      <c r="U268" s="345">
        <f>(T268+U266-U267)*fx!U57</f>
        <v>0</v>
      </c>
      <c r="V268" s="345">
        <f>(U268+V266-V267)*fx!V57</f>
        <v>0</v>
      </c>
      <c r="W268" s="345">
        <f>(V268+W266-W267)*fx!W57</f>
        <v>0</v>
      </c>
      <c r="X268" s="345">
        <f>(W268+X266-X267)*fx!X57</f>
        <v>0</v>
      </c>
      <c r="Y268" s="345">
        <f>(X268+Y266-Y267)*fx!Y57</f>
        <v>0</v>
      </c>
      <c r="Z268" s="345">
        <f>(Y268+Z266-Z267)*fx!Z57</f>
        <v>0</v>
      </c>
      <c r="AA268" s="345">
        <f>(Z268+AA266-AA267)*fx!AA57</f>
        <v>0</v>
      </c>
      <c r="AB268" s="345">
        <f>(AA268+AB266-AB267)*fx!AB57</f>
        <v>0</v>
      </c>
      <c r="AC268" s="345">
        <f>(AB268+AC266-AC267)*fx!AC57</f>
        <v>0</v>
      </c>
      <c r="AD268" s="345">
        <f>(AC268+AD266-AD267)*fx!AD57</f>
        <v>0</v>
      </c>
      <c r="AE268" s="345">
        <f>(AD268+AE266-AE267)*fx!AE57</f>
        <v>0</v>
      </c>
      <c r="AF268" s="345">
        <f>(AE268+AF266-AF267)*fx!AF57</f>
        <v>0</v>
      </c>
      <c r="AG268" s="337"/>
      <c r="AH268" s="786"/>
      <c r="AI268" s="786"/>
      <c r="AJ268" s="1044"/>
      <c r="AK268" s="1047"/>
      <c r="AL268" s="1044"/>
      <c r="AM268" s="1009"/>
      <c r="AN268" s="1036"/>
      <c r="AO268" s="1034"/>
      <c r="AP268" s="1084"/>
      <c r="AQ268" s="1084"/>
      <c r="AR268" s="1009"/>
      <c r="AS268" s="1009"/>
      <c r="AT268" s="1009"/>
      <c r="AU268" s="1009"/>
      <c r="AV268" s="1009"/>
      <c r="AW268" s="1009"/>
      <c r="AX268" s="1009"/>
      <c r="AY268" s="1009"/>
      <c r="AZ268" s="1009"/>
      <c r="BA268" s="1009"/>
      <c r="BB268" s="1009"/>
      <c r="BC268" s="1009"/>
      <c r="BD268" s="1009"/>
      <c r="BE268" s="1009"/>
      <c r="BF268" s="1009"/>
      <c r="BG268" s="1009"/>
      <c r="BH268" s="1009"/>
      <c r="BI268" s="1009"/>
      <c r="BJ268" s="1009"/>
      <c r="BK268" s="1009"/>
      <c r="BL268" s="1009"/>
      <c r="BM268" s="1009"/>
      <c r="BN268" s="1009"/>
      <c r="BO268" s="1009"/>
      <c r="BP268" s="1009"/>
      <c r="BQ268" s="1009"/>
      <c r="BR268" s="1009"/>
      <c r="BS268" s="1009"/>
      <c r="BT268" s="1009"/>
      <c r="BU268" s="1009"/>
      <c r="BV268" s="1009"/>
      <c r="BW268" s="1009"/>
      <c r="BX268" s="1009"/>
      <c r="BY268" s="1009"/>
      <c r="BZ268" s="1009"/>
      <c r="CA268" s="1009"/>
      <c r="CB268" s="1009"/>
      <c r="CC268" s="1009"/>
      <c r="CD268" s="1009"/>
      <c r="CE268" s="1009"/>
      <c r="CF268" s="1009"/>
      <c r="CG268" s="1009"/>
      <c r="CH268" s="1009"/>
      <c r="CI268" s="1009"/>
      <c r="CJ268" s="1009"/>
      <c r="CK268" s="1009"/>
      <c r="CL268" s="1009"/>
      <c r="CM268" s="1009"/>
      <c r="CN268" s="1009"/>
      <c r="CO268" s="1009"/>
      <c r="CP268" s="1009"/>
      <c r="CQ268" s="1009"/>
      <c r="CR268" s="1009"/>
      <c r="CS268" s="1009"/>
      <c r="CT268" s="1009"/>
      <c r="CU268" s="1009"/>
      <c r="CV268" s="1009"/>
      <c r="CW268" s="1009"/>
      <c r="CX268" s="1009"/>
      <c r="CY268" s="1009"/>
      <c r="CZ268" s="1009"/>
      <c r="DA268" s="1009"/>
      <c r="DB268" s="1009"/>
      <c r="DC268" s="1009"/>
      <c r="DD268" s="1009"/>
      <c r="DE268" s="1009"/>
      <c r="DF268" s="1009"/>
      <c r="DG268" s="1009"/>
      <c r="DH268" s="1009"/>
      <c r="DI268" s="1009"/>
      <c r="DJ268" s="1009"/>
      <c r="DK268" s="1009"/>
      <c r="DL268" s="1009"/>
      <c r="DM268" s="1009"/>
      <c r="DN268" s="1009"/>
      <c r="DO268" s="1009"/>
      <c r="DP268" s="1009"/>
      <c r="DQ268" s="1009"/>
      <c r="DR268" s="1009"/>
      <c r="DS268" s="1009"/>
      <c r="DT268" s="1009"/>
      <c r="DU268" s="1009"/>
      <c r="DV268" s="1009"/>
      <c r="DW268" s="1009"/>
      <c r="DX268" s="1009"/>
      <c r="DY268" s="1009"/>
      <c r="DZ268" s="1009"/>
      <c r="EA268" s="1009"/>
      <c r="EB268" s="1009"/>
      <c r="EC268" s="1009"/>
      <c r="ED268" s="1009"/>
      <c r="EE268" s="1009"/>
      <c r="EF268" s="1009"/>
      <c r="EG268" s="1009"/>
      <c r="EH268" s="1009"/>
      <c r="EI268" s="1009"/>
      <c r="EJ268" s="1009"/>
      <c r="EK268" s="1009"/>
      <c r="EL268" s="1009"/>
      <c r="EM268" s="1009"/>
      <c r="EN268" s="1009"/>
      <c r="EO268" s="1009"/>
      <c r="EP268" s="1009"/>
      <c r="EQ268" s="1009"/>
      <c r="ER268" s="1009"/>
      <c r="ES268" s="1009"/>
      <c r="ET268" s="1009"/>
      <c r="EU268" s="1009"/>
      <c r="EV268" s="1009"/>
      <c r="EW268" s="1009"/>
      <c r="EX268" s="1009"/>
      <c r="EY268" s="1009"/>
      <c r="EZ268" s="1009"/>
      <c r="FA268" s="1009"/>
      <c r="FB268" s="1009"/>
      <c r="FC268" s="1009"/>
      <c r="FD268" s="1009"/>
      <c r="FE268" s="1009"/>
      <c r="FF268" s="1009"/>
      <c r="FG268" s="1009"/>
      <c r="FH268" s="1009"/>
      <c r="FI268" s="1009"/>
      <c r="FJ268" s="1009"/>
      <c r="FK268" s="1009"/>
      <c r="FL268" s="1009"/>
      <c r="FM268" s="1009"/>
      <c r="FN268" s="1009"/>
      <c r="FO268" s="1009"/>
      <c r="FP268" s="1009"/>
      <c r="FQ268" s="1009"/>
      <c r="FR268" s="1009"/>
      <c r="FS268" s="1009"/>
      <c r="FT268" s="1009"/>
      <c r="FU268" s="1009"/>
      <c r="FV268" s="1009"/>
      <c r="FW268" s="1009"/>
      <c r="FX268" s="1009"/>
      <c r="FY268" s="1009"/>
      <c r="FZ268" s="1009"/>
      <c r="GA268" s="1009"/>
      <c r="GB268" s="1009"/>
      <c r="GC268" s="1009"/>
      <c r="GD268" s="1009"/>
      <c r="GE268" s="1009"/>
      <c r="GF268" s="1009"/>
      <c r="GG268" s="1009"/>
      <c r="GH268" s="1009"/>
      <c r="GI268" s="1009"/>
      <c r="GJ268" s="1009"/>
      <c r="GK268" s="1009"/>
      <c r="GL268" s="1009"/>
      <c r="GM268" s="1009"/>
      <c r="GN268" s="1009"/>
      <c r="GO268" s="1009"/>
      <c r="GP268" s="1009"/>
      <c r="GQ268" s="1009"/>
      <c r="GR268" s="1009"/>
      <c r="GS268" s="1009"/>
      <c r="GT268" s="1009"/>
      <c r="GU268" s="1009"/>
      <c r="GV268" s="1009"/>
      <c r="GW268" s="1009"/>
      <c r="GX268" s="1009"/>
      <c r="GY268" s="1009"/>
      <c r="GZ268" s="1009"/>
      <c r="HA268" s="1009"/>
      <c r="HB268" s="1009"/>
      <c r="HC268" s="1009"/>
      <c r="HD268" s="1009"/>
      <c r="HE268" s="1009"/>
      <c r="HF268" s="1009"/>
      <c r="HG268" s="1009"/>
      <c r="HH268" s="1009"/>
      <c r="HI268" s="1009"/>
      <c r="HJ268" s="1009"/>
      <c r="HK268" s="1009"/>
      <c r="HL268" s="1009"/>
      <c r="HM268" s="1009"/>
      <c r="HN268" s="1009"/>
      <c r="HO268" s="1009"/>
      <c r="HP268" s="1009"/>
      <c r="HQ268" s="1009"/>
      <c r="HR268" s="1009"/>
      <c r="HS268" s="1009"/>
      <c r="HT268" s="1009"/>
      <c r="HU268" s="1009"/>
      <c r="HV268" s="1009"/>
      <c r="HW268" s="1009"/>
      <c r="HX268" s="1009"/>
      <c r="HY268" s="1009"/>
      <c r="HZ268" s="1009"/>
      <c r="IA268" s="1009"/>
      <c r="IB268" s="1009"/>
      <c r="IC268" s="1009"/>
      <c r="ID268" s="1009"/>
      <c r="IE268" s="1009"/>
      <c r="IF268" s="1009"/>
      <c r="IG268" s="1009"/>
      <c r="IH268" s="1009"/>
      <c r="II268" s="1009"/>
      <c r="IJ268" s="1009"/>
      <c r="IK268" s="1009"/>
      <c r="IL268" s="1009"/>
      <c r="IM268" s="1009"/>
      <c r="IN268" s="1009"/>
      <c r="IO268" s="1009"/>
      <c r="IP268" s="1009"/>
      <c r="IQ268" s="1009"/>
      <c r="IR268" s="1009"/>
      <c r="IS268" s="1009"/>
      <c r="IT268" s="1009"/>
      <c r="IU268" s="1009"/>
      <c r="IV268" s="1009"/>
      <c r="IW268" s="1009"/>
      <c r="IX268" s="1009"/>
      <c r="IY268" s="1009"/>
      <c r="IZ268" s="1009"/>
      <c r="JA268" s="1009"/>
      <c r="JB268" s="1009"/>
      <c r="JC268" s="1009"/>
      <c r="JD268" s="1009"/>
      <c r="JE268" s="1009"/>
      <c r="JF268" s="1009"/>
      <c r="JG268" s="1009"/>
      <c r="JH268" s="1009"/>
      <c r="JI268" s="1009"/>
      <c r="JJ268" s="1009"/>
      <c r="JK268" s="1009"/>
      <c r="JL268" s="1009"/>
      <c r="JM268" s="1009"/>
      <c r="JN268" s="1009"/>
      <c r="JO268" s="1009"/>
      <c r="JP268" s="1009"/>
      <c r="JQ268" s="1009"/>
      <c r="JR268" s="1009"/>
      <c r="JS268" s="1009"/>
      <c r="JT268" s="1009"/>
      <c r="JU268" s="1009"/>
      <c r="JV268" s="1009"/>
      <c r="JW268" s="1009"/>
      <c r="JX268" s="1009"/>
      <c r="JY268" s="1009"/>
      <c r="JZ268" s="1009"/>
      <c r="KA268" s="1009"/>
      <c r="KB268" s="1009"/>
      <c r="KC268" s="1009"/>
      <c r="KD268" s="1009"/>
      <c r="KE268" s="1009"/>
      <c r="KF268" s="1009"/>
      <c r="KG268" s="1009"/>
      <c r="KH268" s="1009"/>
      <c r="KI268" s="1009"/>
      <c r="KJ268" s="1009"/>
      <c r="KK268" s="1009"/>
      <c r="KL268" s="1009"/>
      <c r="KM268" s="1009"/>
      <c r="KN268" s="1009"/>
      <c r="KO268" s="1009"/>
      <c r="KP268" s="1009"/>
      <c r="KQ268" s="1009"/>
      <c r="KR268" s="1009"/>
      <c r="KS268" s="1009"/>
      <c r="KT268" s="1009"/>
      <c r="KU268" s="1009"/>
      <c r="KV268" s="1009"/>
      <c r="KW268" s="1009"/>
      <c r="KX268" s="1009"/>
      <c r="KY268" s="1009"/>
      <c r="KZ268" s="1009"/>
      <c r="LA268" s="1009"/>
      <c r="LB268" s="1009"/>
      <c r="LC268" s="1009"/>
      <c r="LD268" s="1009"/>
      <c r="LE268" s="1009"/>
      <c r="LF268" s="1009"/>
      <c r="LG268" s="1009"/>
      <c r="LH268" s="1009"/>
      <c r="LI268" s="1009"/>
      <c r="LJ268" s="1009"/>
      <c r="LK268" s="1009"/>
      <c r="LL268" s="1009"/>
      <c r="LM268" s="1009"/>
      <c r="LN268" s="1009"/>
      <c r="LO268" s="1009"/>
      <c r="LP268" s="1009"/>
      <c r="LQ268" s="1009"/>
      <c r="LR268" s="1009"/>
      <c r="LS268" s="1009"/>
      <c r="LT268" s="1009"/>
      <c r="LU268" s="1009"/>
      <c r="LV268" s="1009"/>
      <c r="LW268" s="1009"/>
      <c r="LX268" s="1009"/>
      <c r="LY268" s="1009"/>
      <c r="LZ268" s="1009"/>
      <c r="MA268" s="1009"/>
      <c r="MB268" s="1009"/>
      <c r="MC268" s="1009"/>
      <c r="MD268" s="1009"/>
      <c r="ME268" s="1009"/>
      <c r="MF268" s="1009"/>
      <c r="MG268" s="1009"/>
      <c r="MH268" s="1009"/>
      <c r="MI268" s="1009"/>
      <c r="MJ268" s="1009"/>
      <c r="MK268" s="1009"/>
      <c r="ML268" s="1009"/>
      <c r="MM268" s="1009"/>
      <c r="MN268" s="1009"/>
      <c r="MO268" s="1009"/>
      <c r="MP268" s="1009"/>
      <c r="MQ268" s="1009"/>
      <c r="MR268" s="1009"/>
      <c r="MS268" s="1009"/>
      <c r="MT268" s="1009"/>
      <c r="MU268" s="1009"/>
      <c r="MV268" s="1009"/>
      <c r="MW268" s="1009"/>
      <c r="MX268" s="1009"/>
      <c r="MY268" s="1009"/>
      <c r="MZ268" s="1009"/>
      <c r="NA268" s="1009"/>
      <c r="NB268" s="1009"/>
      <c r="NC268" s="1009"/>
      <c r="ND268" s="1009"/>
      <c r="NE268" s="1009"/>
      <c r="NF268" s="1009"/>
      <c r="NG268" s="1009"/>
      <c r="NH268" s="1009"/>
      <c r="NI268" s="1009"/>
      <c r="NJ268" s="1009"/>
      <c r="NK268" s="1009"/>
      <c r="NL268" s="1009"/>
      <c r="NM268" s="1009"/>
      <c r="NN268" s="1009"/>
      <c r="NO268" s="1009"/>
      <c r="NP268" s="1009"/>
      <c r="NQ268" s="1009"/>
      <c r="NR268" s="1009"/>
      <c r="NS268" s="1009"/>
      <c r="NT268" s="1009"/>
      <c r="NU268" s="1009"/>
      <c r="NV268" s="1009"/>
      <c r="NW268" s="1009"/>
      <c r="NX268" s="1009"/>
      <c r="NY268" s="1009"/>
      <c r="NZ268" s="1009"/>
      <c r="OA268" s="1009"/>
      <c r="OB268" s="1009"/>
      <c r="OC268" s="1009"/>
      <c r="OD268" s="1009"/>
      <c r="OE268" s="1009"/>
      <c r="OF268" s="1009"/>
      <c r="OG268" s="1009"/>
      <c r="OH268" s="1009"/>
      <c r="OI268" s="1009"/>
      <c r="OJ268" s="1009"/>
      <c r="OK268" s="1009"/>
      <c r="OL268" s="1009"/>
      <c r="OM268" s="1009"/>
      <c r="ON268" s="1009"/>
      <c r="OO268" s="1009"/>
      <c r="OP268" s="1009"/>
      <c r="OQ268" s="1009"/>
      <c r="OR268" s="1009"/>
      <c r="OS268" s="1009"/>
      <c r="OT268" s="1009"/>
      <c r="OU268" s="1009"/>
      <c r="OV268" s="1009"/>
      <c r="OW268" s="1009"/>
      <c r="OX268" s="1009"/>
      <c r="OY268" s="1009"/>
      <c r="OZ268" s="1009"/>
      <c r="PA268" s="1009"/>
      <c r="PB268" s="1009"/>
      <c r="PC268" s="1009"/>
      <c r="PD268" s="1009"/>
      <c r="PE268" s="1009"/>
      <c r="PF268" s="1009"/>
      <c r="PG268" s="1009"/>
      <c r="PH268" s="1009"/>
      <c r="PI268" s="1009"/>
      <c r="PJ268" s="1009"/>
      <c r="PK268" s="1009"/>
      <c r="PL268" s="1009"/>
      <c r="PM268" s="1009"/>
      <c r="PN268" s="1009"/>
      <c r="PO268" s="1009"/>
      <c r="PP268" s="1009"/>
      <c r="PQ268" s="1009"/>
      <c r="PR268" s="1009"/>
      <c r="PS268" s="1009"/>
      <c r="PT268" s="1009"/>
      <c r="PU268" s="1009"/>
      <c r="PV268" s="1009"/>
      <c r="PW268" s="1009"/>
      <c r="PX268" s="1009"/>
      <c r="PY268" s="1009"/>
      <c r="PZ268" s="1009"/>
      <c r="QA268" s="1009"/>
      <c r="QB268" s="1009"/>
      <c r="QC268" s="1009"/>
      <c r="QD268" s="1009"/>
      <c r="QE268" s="1009"/>
      <c r="QF268" s="1009"/>
      <c r="QG268" s="1009"/>
      <c r="QH268" s="1009"/>
      <c r="QI268" s="1009"/>
      <c r="QJ268" s="1009"/>
      <c r="QK268" s="1009"/>
      <c r="QL268" s="1009"/>
      <c r="QM268" s="1009"/>
      <c r="QN268" s="1009"/>
      <c r="QO268" s="1009"/>
      <c r="QP268" s="1009"/>
      <c r="QQ268" s="1009"/>
      <c r="QR268" s="1009"/>
      <c r="QS268" s="1009"/>
      <c r="QT268" s="1009"/>
      <c r="QU268" s="1009"/>
      <c r="QV268" s="1009"/>
      <c r="QW268" s="1009"/>
      <c r="QX268" s="1009"/>
      <c r="QY268" s="1009"/>
      <c r="QZ268" s="1009"/>
      <c r="RA268" s="1009"/>
      <c r="RB268" s="1009"/>
      <c r="RC268" s="1009"/>
      <c r="RD268" s="1009"/>
      <c r="RE268" s="1009"/>
      <c r="RF268" s="1009"/>
      <c r="RG268" s="1009"/>
      <c r="RH268" s="1009"/>
      <c r="RI268" s="1009"/>
      <c r="RJ268" s="1009"/>
      <c r="RK268" s="1009"/>
      <c r="RL268" s="1009"/>
      <c r="RM268" s="1009"/>
      <c r="RN268" s="1009"/>
      <c r="RO268" s="1009"/>
      <c r="RP268" s="1009"/>
      <c r="RQ268" s="1009"/>
      <c r="RR268" s="1009"/>
      <c r="RS268" s="1009"/>
      <c r="RT268" s="1009"/>
      <c r="RU268" s="1009"/>
      <c r="RV268" s="1009"/>
      <c r="RW268" s="1009"/>
      <c r="RX268" s="1009"/>
      <c r="RY268" s="1009"/>
      <c r="RZ268" s="1009"/>
      <c r="SA268" s="1009"/>
      <c r="SB268" s="1009"/>
      <c r="SC268" s="1009"/>
      <c r="SD268" s="1009"/>
      <c r="SE268" s="1009"/>
      <c r="SF268" s="1009"/>
      <c r="SG268" s="1009"/>
      <c r="SH268" s="1009"/>
      <c r="SI268" s="1009"/>
      <c r="SJ268" s="1009"/>
      <c r="SK268" s="1009"/>
      <c r="SL268" s="1009"/>
      <c r="SM268" s="1009"/>
      <c r="SN268" s="1009"/>
      <c r="SO268" s="1009"/>
      <c r="SP268" s="1009"/>
      <c r="SQ268" s="1009"/>
      <c r="SR268" s="1009"/>
      <c r="SS268" s="1009"/>
      <c r="ST268" s="1009"/>
      <c r="SU268" s="1009"/>
      <c r="SV268" s="1009"/>
      <c r="SW268" s="1009"/>
      <c r="SX268" s="1009"/>
      <c r="SY268" s="1009"/>
      <c r="SZ268" s="1009"/>
      <c r="TA268" s="1009"/>
      <c r="TB268" s="1009"/>
      <c r="TC268" s="1009"/>
      <c r="TD268" s="1009"/>
      <c r="TE268" s="1009"/>
      <c r="TF268" s="1009"/>
      <c r="TG268" s="1009"/>
      <c r="TH268" s="1009"/>
      <c r="TI268" s="1009"/>
      <c r="TJ268" s="1009"/>
      <c r="TK268" s="1009"/>
      <c r="TL268" s="1009"/>
      <c r="TM268" s="1009"/>
      <c r="TN268" s="1009"/>
      <c r="TO268" s="1009"/>
      <c r="TP268" s="1009"/>
      <c r="TQ268" s="1009"/>
      <c r="TR268" s="1009"/>
      <c r="TS268" s="1009"/>
      <c r="TT268" s="1009"/>
      <c r="TU268" s="1009"/>
      <c r="TV268" s="1009"/>
      <c r="TW268" s="1009"/>
      <c r="TX268" s="1009"/>
      <c r="TY268" s="1009"/>
      <c r="TZ268" s="1009"/>
      <c r="UA268" s="1009"/>
      <c r="UB268" s="1009"/>
      <c r="UC268" s="1009"/>
      <c r="UD268" s="1009"/>
      <c r="UE268" s="1009"/>
      <c r="UF268" s="1009"/>
      <c r="UG268" s="1009"/>
      <c r="UH268" s="1009"/>
      <c r="UI268" s="1009"/>
      <c r="UJ268" s="1009"/>
      <c r="UK268" s="1009"/>
      <c r="UL268" s="1009"/>
      <c r="UM268" s="1009"/>
      <c r="UN268" s="1009"/>
      <c r="UO268" s="1009"/>
      <c r="UP268" s="1009"/>
      <c r="UQ268" s="1009"/>
      <c r="UR268" s="1009"/>
      <c r="US268" s="1009"/>
      <c r="UT268" s="1009"/>
      <c r="UU268" s="1009"/>
      <c r="UV268" s="1009"/>
      <c r="UW268" s="1009"/>
      <c r="UX268" s="1009"/>
      <c r="UY268" s="1009"/>
      <c r="UZ268" s="1009"/>
      <c r="VA268" s="1009"/>
      <c r="VB268" s="1009"/>
      <c r="VC268" s="1009"/>
      <c r="VD268" s="1009"/>
      <c r="VE268" s="1009"/>
      <c r="VF268" s="1009"/>
      <c r="VG268" s="1009"/>
      <c r="VH268" s="1009"/>
      <c r="VI268" s="1009"/>
      <c r="VJ268" s="1009"/>
      <c r="VK268" s="1009"/>
      <c r="VL268" s="1009"/>
      <c r="VM268" s="1009"/>
      <c r="VN268" s="1009"/>
      <c r="VO268" s="1009"/>
      <c r="VP268" s="1009"/>
      <c r="VQ268" s="1009"/>
      <c r="VR268" s="1009"/>
      <c r="VS268" s="1009"/>
      <c r="VT268" s="1009"/>
      <c r="VU268" s="1009"/>
      <c r="VV268" s="1009"/>
      <c r="VW268" s="1009"/>
      <c r="VX268" s="1009"/>
      <c r="VY268" s="1009"/>
      <c r="VZ268" s="1009"/>
      <c r="WA268" s="1009"/>
      <c r="WB268" s="1009"/>
      <c r="WC268" s="1009"/>
      <c r="WD268" s="1009"/>
      <c r="WE268" s="1009"/>
      <c r="WF268" s="1009"/>
      <c r="WG268" s="1009"/>
      <c r="WH268" s="1009"/>
      <c r="WI268" s="1009"/>
      <c r="WJ268" s="1009"/>
      <c r="WK268" s="1009"/>
      <c r="WL268" s="1009"/>
      <c r="WM268" s="1009"/>
      <c r="WN268" s="1009"/>
      <c r="WO268" s="1009"/>
      <c r="WP268" s="1009"/>
      <c r="WQ268" s="1009"/>
      <c r="WR268" s="1009"/>
      <c r="WS268" s="1009"/>
      <c r="WT268" s="1009"/>
      <c r="WU268" s="1009"/>
      <c r="WV268" s="1009"/>
      <c r="WW268" s="1009"/>
      <c r="WX268" s="1009"/>
      <c r="WY268" s="1009"/>
      <c r="WZ268" s="1009"/>
      <c r="XA268" s="1009"/>
      <c r="XB268" s="1009"/>
      <c r="XC268" s="1009"/>
      <c r="XD268" s="1009"/>
      <c r="XE268" s="1009"/>
      <c r="XF268" s="1009"/>
      <c r="XG268" s="1009"/>
      <c r="XH268" s="1009"/>
      <c r="XI268" s="1009"/>
      <c r="XJ268" s="1009"/>
      <c r="XK268" s="1009"/>
      <c r="XL268" s="1009"/>
      <c r="XM268" s="1009"/>
      <c r="XN268" s="1009"/>
      <c r="XO268" s="1009"/>
      <c r="XP268" s="1009"/>
      <c r="XQ268" s="1009"/>
      <c r="XR268" s="1009"/>
      <c r="XS268" s="1009"/>
      <c r="XT268" s="1009"/>
      <c r="XU268" s="1009"/>
      <c r="XV268" s="1009"/>
      <c r="XW268" s="1009"/>
      <c r="XX268" s="1009"/>
      <c r="XY268" s="1009"/>
      <c r="XZ268" s="1009"/>
      <c r="YA268" s="1009"/>
      <c r="YB268" s="1009"/>
      <c r="YC268" s="1009"/>
      <c r="YD268" s="1009"/>
      <c r="YE268" s="1009"/>
      <c r="YF268" s="1009"/>
      <c r="YG268" s="1009"/>
      <c r="YH268" s="1009"/>
      <c r="YI268" s="1009"/>
      <c r="YJ268" s="1009"/>
      <c r="YK268" s="1009"/>
      <c r="YL268" s="1009"/>
      <c r="YM268" s="1009"/>
      <c r="YN268" s="1009"/>
      <c r="YO268" s="1009"/>
      <c r="YP268" s="1009"/>
      <c r="YQ268" s="1009"/>
      <c r="YR268" s="1009"/>
      <c r="YS268" s="1009"/>
      <c r="YT268" s="1009"/>
      <c r="YU268" s="1009"/>
      <c r="YV268" s="1009"/>
      <c r="YW268" s="1009"/>
      <c r="YX268" s="1009"/>
      <c r="YY268" s="1009"/>
      <c r="YZ268" s="1009"/>
      <c r="ZA268" s="1009"/>
      <c r="ZB268" s="1009"/>
      <c r="ZC268" s="1009"/>
      <c r="ZD268" s="1009"/>
      <c r="ZE268" s="1009"/>
      <c r="ZF268" s="1009"/>
      <c r="ZG268" s="1009"/>
      <c r="ZH268" s="1009"/>
      <c r="ZI268" s="1009"/>
      <c r="ZJ268" s="1009"/>
      <c r="ZK268" s="1009"/>
      <c r="ZL268" s="1009"/>
      <c r="ZM268" s="1009"/>
      <c r="ZN268" s="1009"/>
      <c r="ZO268" s="1009"/>
      <c r="ZP268" s="1009"/>
      <c r="ZQ268" s="1009"/>
      <c r="ZR268" s="1009"/>
      <c r="ZS268" s="1009"/>
      <c r="ZT268" s="1009"/>
      <c r="ZU268" s="1009"/>
      <c r="ZV268" s="1009"/>
      <c r="ZW268" s="1009"/>
      <c r="ZX268" s="1009"/>
      <c r="ZY268" s="1009"/>
      <c r="ZZ268" s="1009"/>
      <c r="AAA268" s="1009"/>
      <c r="AAB268" s="1009"/>
      <c r="AAC268" s="1009"/>
      <c r="AAD268" s="1009"/>
      <c r="AAE268" s="1009"/>
      <c r="AAF268" s="1009"/>
      <c r="AAG268" s="1009"/>
      <c r="AAH268" s="1009"/>
      <c r="AAI268" s="1009"/>
      <c r="AAJ268" s="1009"/>
      <c r="AAK268" s="1009"/>
      <c r="AAL268" s="1009"/>
      <c r="AAM268" s="1009"/>
      <c r="AAN268" s="1009"/>
      <c r="AAO268" s="1009"/>
      <c r="AAP268" s="1009"/>
      <c r="AAQ268" s="1009"/>
      <c r="AAR268" s="1009"/>
      <c r="AAS268" s="1009"/>
      <c r="AAT268" s="1009"/>
      <c r="AAU268" s="1009"/>
      <c r="AAV268" s="1009"/>
      <c r="AAW268" s="1009"/>
      <c r="AAX268" s="1009"/>
      <c r="AAY268" s="1009"/>
      <c r="AAZ268" s="1009"/>
      <c r="ABA268" s="1009"/>
      <c r="ABB268" s="1009"/>
      <c r="ABC268" s="1009"/>
      <c r="ABD268" s="1009"/>
      <c r="ABE268" s="1009"/>
      <c r="ABF268" s="1009"/>
      <c r="ABG268" s="1009"/>
      <c r="ABH268" s="1009"/>
      <c r="ABI268" s="1009"/>
      <c r="ABJ268" s="1009"/>
      <c r="ABK268" s="1009"/>
      <c r="ABL268" s="1009"/>
      <c r="ABM268" s="1009"/>
      <c r="ABN268" s="1009"/>
      <c r="ABO268" s="1009"/>
      <c r="ABP268" s="1009"/>
      <c r="ABQ268" s="1009"/>
      <c r="ABR268" s="1009"/>
    </row>
    <row r="269" spans="1:746" s="111" customFormat="1" ht="12" customHeight="1">
      <c r="A269" s="789"/>
      <c r="B269" s="1772"/>
      <c r="C269" s="1806"/>
      <c r="D269" s="1774"/>
      <c r="E269" s="1809"/>
      <c r="F269" s="1810"/>
      <c r="G269" s="1810"/>
      <c r="H269" s="1844"/>
      <c r="I269" s="2570" t="str">
        <f>IF(fx!I$57=0,"&gt;&gt;",IF($L$4=I$6,"","Välj 1-12 i P4"))</f>
        <v/>
      </c>
      <c r="J269" s="1843" t="str">
        <f>IF(fx!J$57=0,"&gt;&gt;",IF($L$4=J$6,"Startmånad",""))</f>
        <v/>
      </c>
      <c r="K269" s="1843" t="str">
        <f>IF(fx!K$57=0,"&gt;&gt;",IF($L$4=K$6,"Startmånad",""))</f>
        <v/>
      </c>
      <c r="L269" s="1843" t="str">
        <f>IF(fx!L$57=0,"&gt;&gt;",IF($L$4=L$6,"Startmånad",""))</f>
        <v/>
      </c>
      <c r="M269" s="1843" t="str">
        <f>IF(fx!M$57=0,"&gt;&gt;",IF($L$4=M$6,"Startmånad",""))</f>
        <v/>
      </c>
      <c r="N269" s="1843" t="str">
        <f>IF(fx!N$57=0,"&gt;&gt;",IF($L$4=N$6,"Startmånad",""))</f>
        <v/>
      </c>
      <c r="O269" s="1843" t="str">
        <f>IF(AND(fx!$C$57=1,fx!O$57=0),"&gt;&gt;",IF(AND(fx!$C$57=1,$L$4=$O$6),"Startmånad",IF(AND(fx!$C$57=2,$L$4&lt;7),"Välj 7-12 i P4",IF(AND(fx!$C$57=2,$L$4=$O$6),"Startmånad",IF(AND(fx!$C$57=2,$L$4&gt;$O$6),"&gt;&gt;","")))))</f>
        <v/>
      </c>
      <c r="P269" s="1843" t="str">
        <f>IF(fx!P$57=0,"&gt;&gt;",IF($L$4=P$6,"Startmånad",""))</f>
        <v/>
      </c>
      <c r="Q269" s="1843" t="str">
        <f>IF(fx!Q$57=0,"&gt;&gt;",IF($L$4=Q$6,"Startmånad",""))</f>
        <v/>
      </c>
      <c r="R269" s="1843" t="str">
        <f>IF(fx!R$57=0,"&gt;&gt;",IF($L$4=R$6,"Startmånad",""))</f>
        <v/>
      </c>
      <c r="S269" s="1843" t="str">
        <f>IF(fx!S$57=0,"&gt;&gt;",IF($L$4=S$6,"Startmånad",""))</f>
        <v/>
      </c>
      <c r="T269" s="2717" t="str">
        <f>IF(fx!T$57=0,"&gt;&gt;",IF($L$4=T$6,"Startmånad",""))</f>
        <v/>
      </c>
      <c r="U269" s="2718"/>
      <c r="V269" s="815"/>
      <c r="W269" s="815"/>
      <c r="X269" s="815"/>
      <c r="Y269" s="815"/>
      <c r="Z269" s="815"/>
      <c r="AA269" s="815"/>
      <c r="AB269" s="815"/>
      <c r="AC269" s="815"/>
      <c r="AD269" s="815"/>
      <c r="AE269" s="815"/>
      <c r="AF269" s="1804"/>
      <c r="AG269" s="376"/>
      <c r="AH269" s="786"/>
      <c r="AI269" s="786"/>
      <c r="AJ269" s="1044"/>
      <c r="AK269" s="1047"/>
      <c r="AL269" s="1044"/>
      <c r="AM269" s="1009"/>
      <c r="AN269" s="1036"/>
      <c r="AO269" s="1034"/>
      <c r="AP269" s="1084"/>
      <c r="AQ269" s="1084"/>
      <c r="AR269" s="1009"/>
      <c r="AS269" s="1009"/>
      <c r="AT269" s="1009"/>
      <c r="AU269" s="1009"/>
      <c r="AV269" s="1009"/>
      <c r="AW269" s="1009"/>
      <c r="AX269" s="1009"/>
      <c r="AY269" s="1009"/>
      <c r="AZ269" s="1009"/>
      <c r="BA269" s="1009"/>
      <c r="BB269" s="1009"/>
      <c r="BC269" s="1009"/>
      <c r="BD269" s="1009"/>
      <c r="BE269" s="1009"/>
      <c r="BF269" s="1009"/>
      <c r="BG269" s="1009"/>
      <c r="BH269" s="1009"/>
      <c r="BI269" s="1009"/>
      <c r="BJ269" s="1009"/>
      <c r="BK269" s="1009"/>
      <c r="BL269" s="1009"/>
      <c r="BM269" s="1009"/>
      <c r="BN269" s="1009"/>
      <c r="BO269" s="1009"/>
      <c r="BP269" s="1009"/>
      <c r="BQ269" s="1009"/>
      <c r="BR269" s="1009"/>
      <c r="BS269" s="1009"/>
      <c r="BT269" s="1009"/>
      <c r="BU269" s="1009"/>
      <c r="BV269" s="1009"/>
      <c r="BW269" s="1009"/>
      <c r="BX269" s="1009"/>
      <c r="BY269" s="1009"/>
      <c r="BZ269" s="1009"/>
      <c r="CA269" s="1009"/>
      <c r="CB269" s="1009"/>
      <c r="CC269" s="1009"/>
      <c r="CD269" s="1009"/>
      <c r="CE269" s="1009"/>
      <c r="CF269" s="1009"/>
      <c r="CG269" s="1009"/>
      <c r="CH269" s="1009"/>
      <c r="CI269" s="1009"/>
      <c r="CJ269" s="1009"/>
      <c r="CK269" s="1009"/>
      <c r="CL269" s="1009"/>
      <c r="CM269" s="1009"/>
      <c r="CN269" s="1009"/>
      <c r="CO269" s="1009"/>
      <c r="CP269" s="1009"/>
      <c r="CQ269" s="1009"/>
      <c r="CR269" s="1009"/>
      <c r="CS269" s="1009"/>
      <c r="CT269" s="1009"/>
      <c r="CU269" s="1009"/>
      <c r="CV269" s="1009"/>
      <c r="CW269" s="1009"/>
      <c r="CX269" s="1009"/>
      <c r="CY269" s="1009"/>
      <c r="CZ269" s="1009"/>
      <c r="DA269" s="1009"/>
      <c r="DB269" s="1009"/>
      <c r="DC269" s="1009"/>
      <c r="DD269" s="1009"/>
      <c r="DE269" s="1009"/>
      <c r="DF269" s="1009"/>
      <c r="DG269" s="1009"/>
      <c r="DH269" s="1009"/>
      <c r="DI269" s="1009"/>
      <c r="DJ269" s="1009"/>
      <c r="DK269" s="1009"/>
      <c r="DL269" s="1009"/>
      <c r="DM269" s="1009"/>
      <c r="DN269" s="1009"/>
      <c r="DO269" s="1009"/>
      <c r="DP269" s="1009"/>
      <c r="DQ269" s="1009"/>
      <c r="DR269" s="1009"/>
      <c r="DS269" s="1009"/>
      <c r="DT269" s="1009"/>
      <c r="DU269" s="1009"/>
      <c r="DV269" s="1009"/>
      <c r="DW269" s="1009"/>
      <c r="DX269" s="1009"/>
      <c r="DY269" s="1009"/>
      <c r="DZ269" s="1009"/>
      <c r="EA269" s="1009"/>
      <c r="EB269" s="1009"/>
      <c r="EC269" s="1009"/>
      <c r="ED269" s="1009"/>
      <c r="EE269" s="1009"/>
      <c r="EF269" s="1009"/>
      <c r="EG269" s="1009"/>
      <c r="EH269" s="1009"/>
      <c r="EI269" s="1009"/>
      <c r="EJ269" s="1009"/>
      <c r="EK269" s="1009"/>
      <c r="EL269" s="1009"/>
      <c r="EM269" s="1009"/>
      <c r="EN269" s="1009"/>
      <c r="EO269" s="1009"/>
      <c r="EP269" s="1009"/>
      <c r="EQ269" s="1009"/>
      <c r="ER269" s="1009"/>
      <c r="ES269" s="1009"/>
      <c r="ET269" s="1009"/>
      <c r="EU269" s="1009"/>
      <c r="EV269" s="1009"/>
      <c r="EW269" s="1009"/>
      <c r="EX269" s="1009"/>
      <c r="EY269" s="1009"/>
      <c r="EZ269" s="1009"/>
      <c r="FA269" s="1009"/>
      <c r="FB269" s="1009"/>
      <c r="FC269" s="1009"/>
      <c r="FD269" s="1009"/>
      <c r="FE269" s="1009"/>
      <c r="FF269" s="1009"/>
      <c r="FG269" s="1009"/>
      <c r="FH269" s="1009"/>
      <c r="FI269" s="1009"/>
      <c r="FJ269" s="1009"/>
      <c r="FK269" s="1009"/>
      <c r="FL269" s="1009"/>
      <c r="FM269" s="1009"/>
      <c r="FN269" s="1009"/>
      <c r="FO269" s="1009"/>
      <c r="FP269" s="1009"/>
      <c r="FQ269" s="1009"/>
      <c r="FR269" s="1009"/>
      <c r="FS269" s="1009"/>
      <c r="FT269" s="1009"/>
      <c r="FU269" s="1009"/>
      <c r="FV269" s="1009"/>
      <c r="FW269" s="1009"/>
      <c r="FX269" s="1009"/>
      <c r="FY269" s="1009"/>
      <c r="FZ269" s="1009"/>
      <c r="GA269" s="1009"/>
      <c r="GB269" s="1009"/>
      <c r="GC269" s="1009"/>
      <c r="GD269" s="1009"/>
      <c r="GE269" s="1009"/>
      <c r="GF269" s="1009"/>
      <c r="GG269" s="1009"/>
      <c r="GH269" s="1009"/>
      <c r="GI269" s="1009"/>
      <c r="GJ269" s="1009"/>
      <c r="GK269" s="1009"/>
      <c r="GL269" s="1009"/>
      <c r="GM269" s="1009"/>
      <c r="GN269" s="1009"/>
      <c r="GO269" s="1009"/>
      <c r="GP269" s="1009"/>
      <c r="GQ269" s="1009"/>
      <c r="GR269" s="1009"/>
      <c r="GS269" s="1009"/>
      <c r="GT269" s="1009"/>
      <c r="GU269" s="1009"/>
      <c r="GV269" s="1009"/>
      <c r="GW269" s="1009"/>
      <c r="GX269" s="1009"/>
      <c r="GY269" s="1009"/>
      <c r="GZ269" s="1009"/>
      <c r="HA269" s="1009"/>
      <c r="HB269" s="1009"/>
      <c r="HC269" s="1009"/>
      <c r="HD269" s="1009"/>
      <c r="HE269" s="1009"/>
      <c r="HF269" s="1009"/>
      <c r="HG269" s="1009"/>
      <c r="HH269" s="1009"/>
      <c r="HI269" s="1009"/>
      <c r="HJ269" s="1009"/>
      <c r="HK269" s="1009"/>
      <c r="HL269" s="1009"/>
      <c r="HM269" s="1009"/>
      <c r="HN269" s="1009"/>
      <c r="HO269" s="1009"/>
      <c r="HP269" s="1009"/>
      <c r="HQ269" s="1009"/>
      <c r="HR269" s="1009"/>
      <c r="HS269" s="1009"/>
      <c r="HT269" s="1009"/>
      <c r="HU269" s="1009"/>
      <c r="HV269" s="1009"/>
      <c r="HW269" s="1009"/>
      <c r="HX269" s="1009"/>
      <c r="HY269" s="1009"/>
      <c r="HZ269" s="1009"/>
      <c r="IA269" s="1009"/>
      <c r="IB269" s="1009"/>
      <c r="IC269" s="1009"/>
      <c r="ID269" s="1009"/>
      <c r="IE269" s="1009"/>
      <c r="IF269" s="1009"/>
      <c r="IG269" s="1009"/>
      <c r="IH269" s="1009"/>
      <c r="II269" s="1009"/>
      <c r="IJ269" s="1009"/>
      <c r="IK269" s="1009"/>
      <c r="IL269" s="1009"/>
      <c r="IM269" s="1009"/>
      <c r="IN269" s="1009"/>
      <c r="IO269" s="1009"/>
      <c r="IP269" s="1009"/>
      <c r="IQ269" s="1009"/>
      <c r="IR269" s="1009"/>
      <c r="IS269" s="1009"/>
      <c r="IT269" s="1009"/>
      <c r="IU269" s="1009"/>
      <c r="IV269" s="1009"/>
      <c r="IW269" s="1009"/>
      <c r="IX269" s="1009"/>
      <c r="IY269" s="1009"/>
      <c r="IZ269" s="1009"/>
      <c r="JA269" s="1009"/>
      <c r="JB269" s="1009"/>
      <c r="JC269" s="1009"/>
      <c r="JD269" s="1009"/>
      <c r="JE269" s="1009"/>
      <c r="JF269" s="1009"/>
      <c r="JG269" s="1009"/>
      <c r="JH269" s="1009"/>
      <c r="JI269" s="1009"/>
      <c r="JJ269" s="1009"/>
      <c r="JK269" s="1009"/>
      <c r="JL269" s="1009"/>
      <c r="JM269" s="1009"/>
      <c r="JN269" s="1009"/>
      <c r="JO269" s="1009"/>
      <c r="JP269" s="1009"/>
      <c r="JQ269" s="1009"/>
      <c r="JR269" s="1009"/>
      <c r="JS269" s="1009"/>
      <c r="JT269" s="1009"/>
      <c r="JU269" s="1009"/>
      <c r="JV269" s="1009"/>
      <c r="JW269" s="1009"/>
      <c r="JX269" s="1009"/>
      <c r="JY269" s="1009"/>
      <c r="JZ269" s="1009"/>
      <c r="KA269" s="1009"/>
      <c r="KB269" s="1009"/>
      <c r="KC269" s="1009"/>
      <c r="KD269" s="1009"/>
      <c r="KE269" s="1009"/>
      <c r="KF269" s="1009"/>
      <c r="KG269" s="1009"/>
      <c r="KH269" s="1009"/>
      <c r="KI269" s="1009"/>
      <c r="KJ269" s="1009"/>
      <c r="KK269" s="1009"/>
      <c r="KL269" s="1009"/>
      <c r="KM269" s="1009"/>
      <c r="KN269" s="1009"/>
      <c r="KO269" s="1009"/>
      <c r="KP269" s="1009"/>
      <c r="KQ269" s="1009"/>
      <c r="KR269" s="1009"/>
      <c r="KS269" s="1009"/>
      <c r="KT269" s="1009"/>
      <c r="KU269" s="1009"/>
      <c r="KV269" s="1009"/>
      <c r="KW269" s="1009"/>
      <c r="KX269" s="1009"/>
      <c r="KY269" s="1009"/>
      <c r="KZ269" s="1009"/>
      <c r="LA269" s="1009"/>
      <c r="LB269" s="1009"/>
      <c r="LC269" s="1009"/>
      <c r="LD269" s="1009"/>
      <c r="LE269" s="1009"/>
      <c r="LF269" s="1009"/>
      <c r="LG269" s="1009"/>
      <c r="LH269" s="1009"/>
      <c r="LI269" s="1009"/>
      <c r="LJ269" s="1009"/>
      <c r="LK269" s="1009"/>
      <c r="LL269" s="1009"/>
      <c r="LM269" s="1009"/>
      <c r="LN269" s="1009"/>
      <c r="LO269" s="1009"/>
      <c r="LP269" s="1009"/>
      <c r="LQ269" s="1009"/>
      <c r="LR269" s="1009"/>
      <c r="LS269" s="1009"/>
      <c r="LT269" s="1009"/>
      <c r="LU269" s="1009"/>
      <c r="LV269" s="1009"/>
      <c r="LW269" s="1009"/>
      <c r="LX269" s="1009"/>
      <c r="LY269" s="1009"/>
      <c r="LZ269" s="1009"/>
      <c r="MA269" s="1009"/>
      <c r="MB269" s="1009"/>
      <c r="MC269" s="1009"/>
      <c r="MD269" s="1009"/>
      <c r="ME269" s="1009"/>
      <c r="MF269" s="1009"/>
      <c r="MG269" s="1009"/>
      <c r="MH269" s="1009"/>
      <c r="MI269" s="1009"/>
      <c r="MJ269" s="1009"/>
      <c r="MK269" s="1009"/>
      <c r="ML269" s="1009"/>
      <c r="MM269" s="1009"/>
      <c r="MN269" s="1009"/>
      <c r="MO269" s="1009"/>
      <c r="MP269" s="1009"/>
      <c r="MQ269" s="1009"/>
      <c r="MR269" s="1009"/>
      <c r="MS269" s="1009"/>
      <c r="MT269" s="1009"/>
      <c r="MU269" s="1009"/>
      <c r="MV269" s="1009"/>
      <c r="MW269" s="1009"/>
      <c r="MX269" s="1009"/>
      <c r="MY269" s="1009"/>
      <c r="MZ269" s="1009"/>
      <c r="NA269" s="1009"/>
      <c r="NB269" s="1009"/>
      <c r="NC269" s="1009"/>
      <c r="ND269" s="1009"/>
      <c r="NE269" s="1009"/>
      <c r="NF269" s="1009"/>
      <c r="NG269" s="1009"/>
      <c r="NH269" s="1009"/>
      <c r="NI269" s="1009"/>
      <c r="NJ269" s="1009"/>
      <c r="NK269" s="1009"/>
      <c r="NL269" s="1009"/>
      <c r="NM269" s="1009"/>
      <c r="NN269" s="1009"/>
      <c r="NO269" s="1009"/>
      <c r="NP269" s="1009"/>
      <c r="NQ269" s="1009"/>
      <c r="NR269" s="1009"/>
      <c r="NS269" s="1009"/>
      <c r="NT269" s="1009"/>
      <c r="NU269" s="1009"/>
      <c r="NV269" s="1009"/>
      <c r="NW269" s="1009"/>
      <c r="NX269" s="1009"/>
      <c r="NY269" s="1009"/>
      <c r="NZ269" s="1009"/>
      <c r="OA269" s="1009"/>
      <c r="OB269" s="1009"/>
      <c r="OC269" s="1009"/>
      <c r="OD269" s="1009"/>
      <c r="OE269" s="1009"/>
      <c r="OF269" s="1009"/>
      <c r="OG269" s="1009"/>
      <c r="OH269" s="1009"/>
      <c r="OI269" s="1009"/>
      <c r="OJ269" s="1009"/>
      <c r="OK269" s="1009"/>
      <c r="OL269" s="1009"/>
      <c r="OM269" s="1009"/>
      <c r="ON269" s="1009"/>
      <c r="OO269" s="1009"/>
      <c r="OP269" s="1009"/>
      <c r="OQ269" s="1009"/>
      <c r="OR269" s="1009"/>
      <c r="OS269" s="1009"/>
      <c r="OT269" s="1009"/>
      <c r="OU269" s="1009"/>
      <c r="OV269" s="1009"/>
      <c r="OW269" s="1009"/>
      <c r="OX269" s="1009"/>
      <c r="OY269" s="1009"/>
      <c r="OZ269" s="1009"/>
      <c r="PA269" s="1009"/>
      <c r="PB269" s="1009"/>
      <c r="PC269" s="1009"/>
      <c r="PD269" s="1009"/>
      <c r="PE269" s="1009"/>
      <c r="PF269" s="1009"/>
      <c r="PG269" s="1009"/>
      <c r="PH269" s="1009"/>
      <c r="PI269" s="1009"/>
      <c r="PJ269" s="1009"/>
      <c r="PK269" s="1009"/>
      <c r="PL269" s="1009"/>
      <c r="PM269" s="1009"/>
      <c r="PN269" s="1009"/>
      <c r="PO269" s="1009"/>
      <c r="PP269" s="1009"/>
      <c r="PQ269" s="1009"/>
      <c r="PR269" s="1009"/>
      <c r="PS269" s="1009"/>
      <c r="PT269" s="1009"/>
      <c r="PU269" s="1009"/>
      <c r="PV269" s="1009"/>
      <c r="PW269" s="1009"/>
      <c r="PX269" s="1009"/>
      <c r="PY269" s="1009"/>
      <c r="PZ269" s="1009"/>
      <c r="QA269" s="1009"/>
      <c r="QB269" s="1009"/>
      <c r="QC269" s="1009"/>
      <c r="QD269" s="1009"/>
      <c r="QE269" s="1009"/>
      <c r="QF269" s="1009"/>
      <c r="QG269" s="1009"/>
      <c r="QH269" s="1009"/>
      <c r="QI269" s="1009"/>
      <c r="QJ269" s="1009"/>
      <c r="QK269" s="1009"/>
      <c r="QL269" s="1009"/>
      <c r="QM269" s="1009"/>
      <c r="QN269" s="1009"/>
      <c r="QO269" s="1009"/>
      <c r="QP269" s="1009"/>
      <c r="QQ269" s="1009"/>
      <c r="QR269" s="1009"/>
      <c r="QS269" s="1009"/>
      <c r="QT269" s="1009"/>
      <c r="QU269" s="1009"/>
      <c r="QV269" s="1009"/>
      <c r="QW269" s="1009"/>
      <c r="QX269" s="1009"/>
      <c r="QY269" s="1009"/>
      <c r="QZ269" s="1009"/>
      <c r="RA269" s="1009"/>
      <c r="RB269" s="1009"/>
      <c r="RC269" s="1009"/>
      <c r="RD269" s="1009"/>
      <c r="RE269" s="1009"/>
      <c r="RF269" s="1009"/>
      <c r="RG269" s="1009"/>
      <c r="RH269" s="1009"/>
      <c r="RI269" s="1009"/>
      <c r="RJ269" s="1009"/>
      <c r="RK269" s="1009"/>
      <c r="RL269" s="1009"/>
      <c r="RM269" s="1009"/>
      <c r="RN269" s="1009"/>
      <c r="RO269" s="1009"/>
      <c r="RP269" s="1009"/>
      <c r="RQ269" s="1009"/>
      <c r="RR269" s="1009"/>
      <c r="RS269" s="1009"/>
      <c r="RT269" s="1009"/>
      <c r="RU269" s="1009"/>
      <c r="RV269" s="1009"/>
      <c r="RW269" s="1009"/>
      <c r="RX269" s="1009"/>
      <c r="RY269" s="1009"/>
      <c r="RZ269" s="1009"/>
      <c r="SA269" s="1009"/>
      <c r="SB269" s="1009"/>
      <c r="SC269" s="1009"/>
      <c r="SD269" s="1009"/>
      <c r="SE269" s="1009"/>
      <c r="SF269" s="1009"/>
      <c r="SG269" s="1009"/>
      <c r="SH269" s="1009"/>
      <c r="SI269" s="1009"/>
      <c r="SJ269" s="1009"/>
      <c r="SK269" s="1009"/>
      <c r="SL269" s="1009"/>
      <c r="SM269" s="1009"/>
      <c r="SN269" s="1009"/>
      <c r="SO269" s="1009"/>
      <c r="SP269" s="1009"/>
      <c r="SQ269" s="1009"/>
      <c r="SR269" s="1009"/>
      <c r="SS269" s="1009"/>
      <c r="ST269" s="1009"/>
      <c r="SU269" s="1009"/>
      <c r="SV269" s="1009"/>
      <c r="SW269" s="1009"/>
      <c r="SX269" s="1009"/>
      <c r="SY269" s="1009"/>
      <c r="SZ269" s="1009"/>
      <c r="TA269" s="1009"/>
      <c r="TB269" s="1009"/>
      <c r="TC269" s="1009"/>
      <c r="TD269" s="1009"/>
      <c r="TE269" s="1009"/>
      <c r="TF269" s="1009"/>
      <c r="TG269" s="1009"/>
      <c r="TH269" s="1009"/>
      <c r="TI269" s="1009"/>
      <c r="TJ269" s="1009"/>
      <c r="TK269" s="1009"/>
      <c r="TL269" s="1009"/>
      <c r="TM269" s="1009"/>
      <c r="TN269" s="1009"/>
      <c r="TO269" s="1009"/>
      <c r="TP269" s="1009"/>
      <c r="TQ269" s="1009"/>
      <c r="TR269" s="1009"/>
      <c r="TS269" s="1009"/>
      <c r="TT269" s="1009"/>
      <c r="TU269" s="1009"/>
      <c r="TV269" s="1009"/>
      <c r="TW269" s="1009"/>
      <c r="TX269" s="1009"/>
      <c r="TY269" s="1009"/>
      <c r="TZ269" s="1009"/>
      <c r="UA269" s="1009"/>
      <c r="UB269" s="1009"/>
      <c r="UC269" s="1009"/>
      <c r="UD269" s="1009"/>
      <c r="UE269" s="1009"/>
      <c r="UF269" s="1009"/>
      <c r="UG269" s="1009"/>
      <c r="UH269" s="1009"/>
      <c r="UI269" s="1009"/>
      <c r="UJ269" s="1009"/>
      <c r="UK269" s="1009"/>
      <c r="UL269" s="1009"/>
      <c r="UM269" s="1009"/>
      <c r="UN269" s="1009"/>
      <c r="UO269" s="1009"/>
      <c r="UP269" s="1009"/>
      <c r="UQ269" s="1009"/>
      <c r="UR269" s="1009"/>
      <c r="US269" s="1009"/>
      <c r="UT269" s="1009"/>
      <c r="UU269" s="1009"/>
      <c r="UV269" s="1009"/>
      <c r="UW269" s="1009"/>
      <c r="UX269" s="1009"/>
      <c r="UY269" s="1009"/>
      <c r="UZ269" s="1009"/>
      <c r="VA269" s="1009"/>
      <c r="VB269" s="1009"/>
      <c r="VC269" s="1009"/>
      <c r="VD269" s="1009"/>
      <c r="VE269" s="1009"/>
      <c r="VF269" s="1009"/>
      <c r="VG269" s="1009"/>
      <c r="VH269" s="1009"/>
      <c r="VI269" s="1009"/>
      <c r="VJ269" s="1009"/>
      <c r="VK269" s="1009"/>
      <c r="VL269" s="1009"/>
      <c r="VM269" s="1009"/>
      <c r="VN269" s="1009"/>
      <c r="VO269" s="1009"/>
      <c r="VP269" s="1009"/>
      <c r="VQ269" s="1009"/>
      <c r="VR269" s="1009"/>
      <c r="VS269" s="1009"/>
      <c r="VT269" s="1009"/>
      <c r="VU269" s="1009"/>
      <c r="VV269" s="1009"/>
      <c r="VW269" s="1009"/>
      <c r="VX269" s="1009"/>
      <c r="VY269" s="1009"/>
      <c r="VZ269" s="1009"/>
      <c r="WA269" s="1009"/>
      <c r="WB269" s="1009"/>
      <c r="WC269" s="1009"/>
      <c r="WD269" s="1009"/>
      <c r="WE269" s="1009"/>
      <c r="WF269" s="1009"/>
      <c r="WG269" s="1009"/>
      <c r="WH269" s="1009"/>
      <c r="WI269" s="1009"/>
      <c r="WJ269" s="1009"/>
      <c r="WK269" s="1009"/>
      <c r="WL269" s="1009"/>
      <c r="WM269" s="1009"/>
      <c r="WN269" s="1009"/>
      <c r="WO269" s="1009"/>
      <c r="WP269" s="1009"/>
      <c r="WQ269" s="1009"/>
      <c r="WR269" s="1009"/>
      <c r="WS269" s="1009"/>
      <c r="WT269" s="1009"/>
      <c r="WU269" s="1009"/>
      <c r="WV269" s="1009"/>
      <c r="WW269" s="1009"/>
      <c r="WX269" s="1009"/>
      <c r="WY269" s="1009"/>
      <c r="WZ269" s="1009"/>
      <c r="XA269" s="1009"/>
      <c r="XB269" s="1009"/>
      <c r="XC269" s="1009"/>
      <c r="XD269" s="1009"/>
      <c r="XE269" s="1009"/>
      <c r="XF269" s="1009"/>
      <c r="XG269" s="1009"/>
      <c r="XH269" s="1009"/>
      <c r="XI269" s="1009"/>
      <c r="XJ269" s="1009"/>
      <c r="XK269" s="1009"/>
      <c r="XL269" s="1009"/>
      <c r="XM269" s="1009"/>
      <c r="XN269" s="1009"/>
      <c r="XO269" s="1009"/>
      <c r="XP269" s="1009"/>
      <c r="XQ269" s="1009"/>
      <c r="XR269" s="1009"/>
      <c r="XS269" s="1009"/>
      <c r="XT269" s="1009"/>
      <c r="XU269" s="1009"/>
      <c r="XV269" s="1009"/>
      <c r="XW269" s="1009"/>
      <c r="XX269" s="1009"/>
      <c r="XY269" s="1009"/>
      <c r="XZ269" s="1009"/>
      <c r="YA269" s="1009"/>
      <c r="YB269" s="1009"/>
      <c r="YC269" s="1009"/>
      <c r="YD269" s="1009"/>
      <c r="YE269" s="1009"/>
      <c r="YF269" s="1009"/>
      <c r="YG269" s="1009"/>
      <c r="YH269" s="1009"/>
      <c r="YI269" s="1009"/>
      <c r="YJ269" s="1009"/>
      <c r="YK269" s="1009"/>
      <c r="YL269" s="1009"/>
      <c r="YM269" s="1009"/>
      <c r="YN269" s="1009"/>
      <c r="YO269" s="1009"/>
      <c r="YP269" s="1009"/>
      <c r="YQ269" s="1009"/>
      <c r="YR269" s="1009"/>
      <c r="YS269" s="1009"/>
      <c r="YT269" s="1009"/>
      <c r="YU269" s="1009"/>
      <c r="YV269" s="1009"/>
      <c r="YW269" s="1009"/>
      <c r="YX269" s="1009"/>
      <c r="YY269" s="1009"/>
      <c r="YZ269" s="1009"/>
      <c r="ZA269" s="1009"/>
      <c r="ZB269" s="1009"/>
      <c r="ZC269" s="1009"/>
      <c r="ZD269" s="1009"/>
      <c r="ZE269" s="1009"/>
      <c r="ZF269" s="1009"/>
      <c r="ZG269" s="1009"/>
      <c r="ZH269" s="1009"/>
      <c r="ZI269" s="1009"/>
      <c r="ZJ269" s="1009"/>
      <c r="ZK269" s="1009"/>
      <c r="ZL269" s="1009"/>
      <c r="ZM269" s="1009"/>
      <c r="ZN269" s="1009"/>
      <c r="ZO269" s="1009"/>
      <c r="ZP269" s="1009"/>
      <c r="ZQ269" s="1009"/>
      <c r="ZR269" s="1009"/>
      <c r="ZS269" s="1009"/>
      <c r="ZT269" s="1009"/>
      <c r="ZU269" s="1009"/>
      <c r="ZV269" s="1009"/>
      <c r="ZW269" s="1009"/>
      <c r="ZX269" s="1009"/>
      <c r="ZY269" s="1009"/>
      <c r="ZZ269" s="1009"/>
      <c r="AAA269" s="1009"/>
      <c r="AAB269" s="1009"/>
      <c r="AAC269" s="1009"/>
      <c r="AAD269" s="1009"/>
      <c r="AAE269" s="1009"/>
      <c r="AAF269" s="1009"/>
      <c r="AAG269" s="1009"/>
      <c r="AAH269" s="1009"/>
      <c r="AAI269" s="1009"/>
      <c r="AAJ269" s="1009"/>
      <c r="AAK269" s="1009"/>
      <c r="AAL269" s="1009"/>
      <c r="AAM269" s="1009"/>
      <c r="AAN269" s="1009"/>
      <c r="AAO269" s="1009"/>
      <c r="AAP269" s="1009"/>
      <c r="AAQ269" s="1009"/>
      <c r="AAR269" s="1009"/>
      <c r="AAS269" s="1009"/>
      <c r="AAT269" s="1009"/>
      <c r="AAU269" s="1009"/>
      <c r="AAV269" s="1009"/>
      <c r="AAW269" s="1009"/>
      <c r="AAX269" s="1009"/>
      <c r="AAY269" s="1009"/>
      <c r="AAZ269" s="1009"/>
      <c r="ABA269" s="1009"/>
      <c r="ABB269" s="1009"/>
      <c r="ABC269" s="1009"/>
      <c r="ABD269" s="1009"/>
      <c r="ABE269" s="1009"/>
      <c r="ABF269" s="1009"/>
      <c r="ABG269" s="1009"/>
      <c r="ABH269" s="1009"/>
      <c r="ABI269" s="1009"/>
      <c r="ABJ269" s="1009"/>
      <c r="ABK269" s="1009"/>
      <c r="ABL269" s="1009"/>
      <c r="ABM269" s="1009"/>
      <c r="ABN269" s="1009"/>
      <c r="ABO269" s="1009"/>
      <c r="ABP269" s="1009"/>
      <c r="ABQ269" s="1009"/>
      <c r="ABR269" s="1009"/>
    </row>
    <row r="270" spans="1:746" s="111" customFormat="1" ht="12" customHeight="1">
      <c r="A270" s="1758"/>
      <c r="B270" s="1216" t="s">
        <v>1021</v>
      </c>
      <c r="C270" s="1217"/>
      <c r="D270" s="1217"/>
      <c r="E270" s="1217"/>
      <c r="F270" s="1217"/>
      <c r="G270" s="1217"/>
      <c r="H270" s="2188"/>
      <c r="I270" s="2493" t="s">
        <v>1022</v>
      </c>
      <c r="J270" s="876"/>
      <c r="K270" s="876"/>
      <c r="L270" s="876"/>
      <c r="M270" s="876"/>
      <c r="N270" s="876"/>
      <c r="O270" s="876"/>
      <c r="P270" s="876"/>
      <c r="Q270" s="876"/>
      <c r="R270" s="876"/>
      <c r="S270" s="876"/>
      <c r="T270" s="2303" t="s">
        <v>986</v>
      </c>
      <c r="U270" s="2303"/>
      <c r="V270" s="2303"/>
      <c r="W270" s="876"/>
      <c r="X270" s="876"/>
      <c r="Y270" s="876"/>
      <c r="Z270" s="876"/>
      <c r="AA270" s="876"/>
      <c r="AB270" s="876"/>
      <c r="AC270" s="876"/>
      <c r="AD270" s="876"/>
      <c r="AE270" s="876"/>
      <c r="AF270" s="877"/>
      <c r="AG270" s="337"/>
      <c r="AH270" s="376"/>
      <c r="AI270" s="376"/>
      <c r="AJ270" s="421"/>
      <c r="AK270" s="421"/>
      <c r="AL270" s="421"/>
      <c r="AM270" s="1009"/>
      <c r="AN270" s="1036"/>
      <c r="AO270" s="1034"/>
      <c r="AP270" s="1084"/>
      <c r="AQ270" s="1084"/>
      <c r="AR270" s="1009"/>
      <c r="AS270" s="1009"/>
      <c r="AT270" s="1009"/>
      <c r="AU270" s="1009"/>
      <c r="AV270" s="1009"/>
      <c r="AW270" s="1009"/>
      <c r="AX270" s="1009"/>
      <c r="AY270" s="1009"/>
      <c r="AZ270" s="1009"/>
      <c r="BA270" s="1009"/>
      <c r="BB270" s="1009"/>
      <c r="BC270" s="1009"/>
      <c r="BD270" s="1009"/>
      <c r="BE270" s="1009"/>
      <c r="BF270" s="1009"/>
      <c r="BG270" s="1009"/>
      <c r="BH270" s="1009"/>
      <c r="BI270" s="1009"/>
      <c r="BJ270" s="1009"/>
      <c r="BK270" s="1009"/>
      <c r="BL270" s="1009"/>
      <c r="BM270" s="1009"/>
      <c r="BN270" s="1009"/>
      <c r="BO270" s="1009"/>
      <c r="BP270" s="1009"/>
      <c r="BQ270" s="1009"/>
      <c r="BR270" s="1009"/>
      <c r="BS270" s="1009"/>
      <c r="BT270" s="1009"/>
      <c r="BU270" s="1009"/>
      <c r="BV270" s="1009"/>
      <c r="BW270" s="1009"/>
      <c r="BX270" s="1009"/>
      <c r="BY270" s="1009"/>
      <c r="BZ270" s="1009"/>
      <c r="CA270" s="1009"/>
      <c r="CB270" s="1009"/>
      <c r="CC270" s="1009"/>
      <c r="CD270" s="1009"/>
      <c r="CE270" s="1009"/>
      <c r="CF270" s="1009"/>
      <c r="CG270" s="1009"/>
      <c r="CH270" s="1009"/>
      <c r="CI270" s="1009"/>
      <c r="CJ270" s="1009"/>
      <c r="CK270" s="1009"/>
      <c r="CL270" s="1009"/>
      <c r="CM270" s="1009"/>
      <c r="CN270" s="1009"/>
      <c r="CO270" s="1009"/>
      <c r="CP270" s="1009"/>
      <c r="CQ270" s="1009"/>
      <c r="CR270" s="1009"/>
      <c r="CS270" s="1009"/>
      <c r="CT270" s="1009"/>
      <c r="CU270" s="1009"/>
      <c r="CV270" s="1009"/>
      <c r="CW270" s="1009"/>
      <c r="CX270" s="1009"/>
      <c r="CY270" s="1009"/>
      <c r="CZ270" s="1009"/>
      <c r="DA270" s="1009"/>
      <c r="DB270" s="1009"/>
      <c r="DC270" s="1009"/>
      <c r="DD270" s="1009"/>
      <c r="DE270" s="1009"/>
      <c r="DF270" s="1009"/>
      <c r="DG270" s="1009"/>
      <c r="DH270" s="1009"/>
      <c r="DI270" s="1009"/>
      <c r="DJ270" s="1009"/>
      <c r="DK270" s="1009"/>
      <c r="DL270" s="1009"/>
      <c r="DM270" s="1009"/>
      <c r="DN270" s="1009"/>
      <c r="DO270" s="1009"/>
      <c r="DP270" s="1009"/>
      <c r="DQ270" s="1009"/>
      <c r="DR270" s="1009"/>
      <c r="DS270" s="1009"/>
      <c r="DT270" s="1009"/>
      <c r="DU270" s="1009"/>
      <c r="DV270" s="1009"/>
      <c r="DW270" s="1009"/>
      <c r="DX270" s="1009"/>
      <c r="DY270" s="1009"/>
      <c r="DZ270" s="1009"/>
      <c r="EA270" s="1009"/>
      <c r="EB270" s="1009"/>
      <c r="EC270" s="1009"/>
      <c r="ED270" s="1009"/>
      <c r="EE270" s="1009"/>
      <c r="EF270" s="1009"/>
      <c r="EG270" s="1009"/>
      <c r="EH270" s="1009"/>
      <c r="EI270" s="1009"/>
      <c r="EJ270" s="1009"/>
      <c r="EK270" s="1009"/>
      <c r="EL270" s="1009"/>
      <c r="EM270" s="1009"/>
      <c r="EN270" s="1009"/>
      <c r="EO270" s="1009"/>
      <c r="EP270" s="1009"/>
      <c r="EQ270" s="1009"/>
      <c r="ER270" s="1009"/>
      <c r="ES270" s="1009"/>
      <c r="ET270" s="1009"/>
      <c r="EU270" s="1009"/>
      <c r="EV270" s="1009"/>
      <c r="EW270" s="1009"/>
      <c r="EX270" s="1009"/>
      <c r="EY270" s="1009"/>
      <c r="EZ270" s="1009"/>
      <c r="FA270" s="1009"/>
      <c r="FB270" s="1009"/>
      <c r="FC270" s="1009"/>
      <c r="FD270" s="1009"/>
      <c r="FE270" s="1009"/>
      <c r="FF270" s="1009"/>
      <c r="FG270" s="1009"/>
      <c r="FH270" s="1009"/>
      <c r="FI270" s="1009"/>
      <c r="FJ270" s="1009"/>
      <c r="FK270" s="1009"/>
      <c r="FL270" s="1009"/>
      <c r="FM270" s="1009"/>
      <c r="FN270" s="1009"/>
      <c r="FO270" s="1009"/>
      <c r="FP270" s="1009"/>
      <c r="FQ270" s="1009"/>
      <c r="FR270" s="1009"/>
      <c r="FS270" s="1009"/>
      <c r="FT270" s="1009"/>
      <c r="FU270" s="1009"/>
      <c r="FV270" s="1009"/>
      <c r="FW270" s="1009"/>
      <c r="FX270" s="1009"/>
      <c r="FY270" s="1009"/>
      <c r="FZ270" s="1009"/>
      <c r="GA270" s="1009"/>
      <c r="GB270" s="1009"/>
      <c r="GC270" s="1009"/>
      <c r="GD270" s="1009"/>
      <c r="GE270" s="1009"/>
      <c r="GF270" s="1009"/>
      <c r="GG270" s="1009"/>
      <c r="GH270" s="1009"/>
      <c r="GI270" s="1009"/>
      <c r="GJ270" s="1009"/>
      <c r="GK270" s="1009"/>
      <c r="GL270" s="1009"/>
      <c r="GM270" s="1009"/>
      <c r="GN270" s="1009"/>
      <c r="GO270" s="1009"/>
      <c r="GP270" s="1009"/>
      <c r="GQ270" s="1009"/>
      <c r="GR270" s="1009"/>
      <c r="GS270" s="1009"/>
      <c r="GT270" s="1009"/>
      <c r="GU270" s="1009"/>
      <c r="GV270" s="1009"/>
      <c r="GW270" s="1009"/>
      <c r="GX270" s="1009"/>
      <c r="GY270" s="1009"/>
      <c r="GZ270" s="1009"/>
      <c r="HA270" s="1009"/>
      <c r="HB270" s="1009"/>
      <c r="HC270" s="1009"/>
      <c r="HD270" s="1009"/>
      <c r="HE270" s="1009"/>
      <c r="HF270" s="1009"/>
      <c r="HG270" s="1009"/>
      <c r="HH270" s="1009"/>
      <c r="HI270" s="1009"/>
      <c r="HJ270" s="1009"/>
      <c r="HK270" s="1009"/>
      <c r="HL270" s="1009"/>
      <c r="HM270" s="1009"/>
      <c r="HN270" s="1009"/>
      <c r="HO270" s="1009"/>
      <c r="HP270" s="1009"/>
      <c r="HQ270" s="1009"/>
      <c r="HR270" s="1009"/>
      <c r="HS270" s="1009"/>
      <c r="HT270" s="1009"/>
      <c r="HU270" s="1009"/>
      <c r="HV270" s="1009"/>
      <c r="HW270" s="1009"/>
      <c r="HX270" s="1009"/>
      <c r="HY270" s="1009"/>
      <c r="HZ270" s="1009"/>
      <c r="IA270" s="1009"/>
      <c r="IB270" s="1009"/>
      <c r="IC270" s="1009"/>
      <c r="ID270" s="1009"/>
      <c r="IE270" s="1009"/>
      <c r="IF270" s="1009"/>
      <c r="IG270" s="1009"/>
      <c r="IH270" s="1009"/>
      <c r="II270" s="1009"/>
      <c r="IJ270" s="1009"/>
      <c r="IK270" s="1009"/>
      <c r="IL270" s="1009"/>
      <c r="IM270" s="1009"/>
      <c r="IN270" s="1009"/>
      <c r="IO270" s="1009"/>
      <c r="IP270" s="1009"/>
      <c r="IQ270" s="1009"/>
      <c r="IR270" s="1009"/>
      <c r="IS270" s="1009"/>
      <c r="IT270" s="1009"/>
      <c r="IU270" s="1009"/>
      <c r="IV270" s="1009"/>
      <c r="IW270" s="1009"/>
      <c r="IX270" s="1009"/>
      <c r="IY270" s="1009"/>
      <c r="IZ270" s="1009"/>
      <c r="JA270" s="1009"/>
      <c r="JB270" s="1009"/>
      <c r="JC270" s="1009"/>
      <c r="JD270" s="1009"/>
      <c r="JE270" s="1009"/>
      <c r="JF270" s="1009"/>
      <c r="JG270" s="1009"/>
      <c r="JH270" s="1009"/>
      <c r="JI270" s="1009"/>
      <c r="JJ270" s="1009"/>
      <c r="JK270" s="1009"/>
      <c r="JL270" s="1009"/>
      <c r="JM270" s="1009"/>
      <c r="JN270" s="1009"/>
      <c r="JO270" s="1009"/>
      <c r="JP270" s="1009"/>
      <c r="JQ270" s="1009"/>
      <c r="JR270" s="1009"/>
      <c r="JS270" s="1009"/>
      <c r="JT270" s="1009"/>
      <c r="JU270" s="1009"/>
      <c r="JV270" s="1009"/>
      <c r="JW270" s="1009"/>
      <c r="JX270" s="1009"/>
      <c r="JY270" s="1009"/>
      <c r="JZ270" s="1009"/>
      <c r="KA270" s="1009"/>
      <c r="KB270" s="1009"/>
      <c r="KC270" s="1009"/>
      <c r="KD270" s="1009"/>
      <c r="KE270" s="1009"/>
      <c r="KF270" s="1009"/>
      <c r="KG270" s="1009"/>
      <c r="KH270" s="1009"/>
      <c r="KI270" s="1009"/>
      <c r="KJ270" s="1009"/>
      <c r="KK270" s="1009"/>
      <c r="KL270" s="1009"/>
      <c r="KM270" s="1009"/>
      <c r="KN270" s="1009"/>
      <c r="KO270" s="1009"/>
      <c r="KP270" s="1009"/>
      <c r="KQ270" s="1009"/>
      <c r="KR270" s="1009"/>
      <c r="KS270" s="1009"/>
      <c r="KT270" s="1009"/>
      <c r="KU270" s="1009"/>
      <c r="KV270" s="1009"/>
      <c r="KW270" s="1009"/>
      <c r="KX270" s="1009"/>
      <c r="KY270" s="1009"/>
      <c r="KZ270" s="1009"/>
      <c r="LA270" s="1009"/>
      <c r="LB270" s="1009"/>
      <c r="LC270" s="1009"/>
      <c r="LD270" s="1009"/>
      <c r="LE270" s="1009"/>
      <c r="LF270" s="1009"/>
      <c r="LG270" s="1009"/>
      <c r="LH270" s="1009"/>
      <c r="LI270" s="1009"/>
      <c r="LJ270" s="1009"/>
      <c r="LK270" s="1009"/>
      <c r="LL270" s="1009"/>
      <c r="LM270" s="1009"/>
      <c r="LN270" s="1009"/>
      <c r="LO270" s="1009"/>
      <c r="LP270" s="1009"/>
      <c r="LQ270" s="1009"/>
      <c r="LR270" s="1009"/>
      <c r="LS270" s="1009"/>
      <c r="LT270" s="1009"/>
      <c r="LU270" s="1009"/>
      <c r="LV270" s="1009"/>
      <c r="LW270" s="1009"/>
      <c r="LX270" s="1009"/>
      <c r="LY270" s="1009"/>
      <c r="LZ270" s="1009"/>
      <c r="MA270" s="1009"/>
      <c r="MB270" s="1009"/>
      <c r="MC270" s="1009"/>
      <c r="MD270" s="1009"/>
      <c r="ME270" s="1009"/>
      <c r="MF270" s="1009"/>
      <c r="MG270" s="1009"/>
      <c r="MH270" s="1009"/>
      <c r="MI270" s="1009"/>
      <c r="MJ270" s="1009"/>
      <c r="MK270" s="1009"/>
      <c r="ML270" s="1009"/>
      <c r="MM270" s="1009"/>
      <c r="MN270" s="1009"/>
      <c r="MO270" s="1009"/>
      <c r="MP270" s="1009"/>
      <c r="MQ270" s="1009"/>
      <c r="MR270" s="1009"/>
      <c r="MS270" s="1009"/>
      <c r="MT270" s="1009"/>
      <c r="MU270" s="1009"/>
      <c r="MV270" s="1009"/>
      <c r="MW270" s="1009"/>
      <c r="MX270" s="1009"/>
      <c r="MY270" s="1009"/>
      <c r="MZ270" s="1009"/>
      <c r="NA270" s="1009"/>
      <c r="NB270" s="1009"/>
      <c r="NC270" s="1009"/>
      <c r="ND270" s="1009"/>
      <c r="NE270" s="1009"/>
      <c r="NF270" s="1009"/>
      <c r="NG270" s="1009"/>
      <c r="NH270" s="1009"/>
      <c r="NI270" s="1009"/>
      <c r="NJ270" s="1009"/>
      <c r="NK270" s="1009"/>
      <c r="NL270" s="1009"/>
      <c r="NM270" s="1009"/>
      <c r="NN270" s="1009"/>
      <c r="NO270" s="1009"/>
      <c r="NP270" s="1009"/>
      <c r="NQ270" s="1009"/>
      <c r="NR270" s="1009"/>
      <c r="NS270" s="1009"/>
      <c r="NT270" s="1009"/>
      <c r="NU270" s="1009"/>
      <c r="NV270" s="1009"/>
      <c r="NW270" s="1009"/>
      <c r="NX270" s="1009"/>
      <c r="NY270" s="1009"/>
      <c r="NZ270" s="1009"/>
      <c r="OA270" s="1009"/>
      <c r="OB270" s="1009"/>
      <c r="OC270" s="1009"/>
      <c r="OD270" s="1009"/>
      <c r="OE270" s="1009"/>
      <c r="OF270" s="1009"/>
      <c r="OG270" s="1009"/>
      <c r="OH270" s="1009"/>
      <c r="OI270" s="1009"/>
      <c r="OJ270" s="1009"/>
      <c r="OK270" s="1009"/>
      <c r="OL270" s="1009"/>
      <c r="OM270" s="1009"/>
      <c r="ON270" s="1009"/>
      <c r="OO270" s="1009"/>
      <c r="OP270" s="1009"/>
      <c r="OQ270" s="1009"/>
      <c r="OR270" s="1009"/>
      <c r="OS270" s="1009"/>
      <c r="OT270" s="1009"/>
      <c r="OU270" s="1009"/>
      <c r="OV270" s="1009"/>
      <c r="OW270" s="1009"/>
      <c r="OX270" s="1009"/>
      <c r="OY270" s="1009"/>
      <c r="OZ270" s="1009"/>
      <c r="PA270" s="1009"/>
      <c r="PB270" s="1009"/>
      <c r="PC270" s="1009"/>
      <c r="PD270" s="1009"/>
      <c r="PE270" s="1009"/>
      <c r="PF270" s="1009"/>
      <c r="PG270" s="1009"/>
      <c r="PH270" s="1009"/>
      <c r="PI270" s="1009"/>
      <c r="PJ270" s="1009"/>
      <c r="PK270" s="1009"/>
      <c r="PL270" s="1009"/>
      <c r="PM270" s="1009"/>
      <c r="PN270" s="1009"/>
      <c r="PO270" s="1009"/>
      <c r="PP270" s="1009"/>
      <c r="PQ270" s="1009"/>
      <c r="PR270" s="1009"/>
      <c r="PS270" s="1009"/>
      <c r="PT270" s="1009"/>
      <c r="PU270" s="1009"/>
      <c r="PV270" s="1009"/>
      <c r="PW270" s="1009"/>
      <c r="PX270" s="1009"/>
      <c r="PY270" s="1009"/>
      <c r="PZ270" s="1009"/>
      <c r="QA270" s="1009"/>
      <c r="QB270" s="1009"/>
      <c r="QC270" s="1009"/>
      <c r="QD270" s="1009"/>
      <c r="QE270" s="1009"/>
      <c r="QF270" s="1009"/>
      <c r="QG270" s="1009"/>
      <c r="QH270" s="1009"/>
      <c r="QI270" s="1009"/>
      <c r="QJ270" s="1009"/>
      <c r="QK270" s="1009"/>
      <c r="QL270" s="1009"/>
      <c r="QM270" s="1009"/>
      <c r="QN270" s="1009"/>
      <c r="QO270" s="1009"/>
      <c r="QP270" s="1009"/>
      <c r="QQ270" s="1009"/>
      <c r="QR270" s="1009"/>
      <c r="QS270" s="1009"/>
      <c r="QT270" s="1009"/>
      <c r="QU270" s="1009"/>
      <c r="QV270" s="1009"/>
      <c r="QW270" s="1009"/>
      <c r="QX270" s="1009"/>
      <c r="QY270" s="1009"/>
      <c r="QZ270" s="1009"/>
      <c r="RA270" s="1009"/>
      <c r="RB270" s="1009"/>
      <c r="RC270" s="1009"/>
      <c r="RD270" s="1009"/>
      <c r="RE270" s="1009"/>
      <c r="RF270" s="1009"/>
      <c r="RG270" s="1009"/>
      <c r="RH270" s="1009"/>
      <c r="RI270" s="1009"/>
      <c r="RJ270" s="1009"/>
      <c r="RK270" s="1009"/>
      <c r="RL270" s="1009"/>
      <c r="RM270" s="1009"/>
      <c r="RN270" s="1009"/>
      <c r="RO270" s="1009"/>
      <c r="RP270" s="1009"/>
      <c r="RQ270" s="1009"/>
      <c r="RR270" s="1009"/>
      <c r="RS270" s="1009"/>
      <c r="RT270" s="1009"/>
      <c r="RU270" s="1009"/>
      <c r="RV270" s="1009"/>
      <c r="RW270" s="1009"/>
      <c r="RX270" s="1009"/>
      <c r="RY270" s="1009"/>
      <c r="RZ270" s="1009"/>
      <c r="SA270" s="1009"/>
      <c r="SB270" s="1009"/>
      <c r="SC270" s="1009"/>
      <c r="SD270" s="1009"/>
      <c r="SE270" s="1009"/>
      <c r="SF270" s="1009"/>
      <c r="SG270" s="1009"/>
      <c r="SH270" s="1009"/>
      <c r="SI270" s="1009"/>
      <c r="SJ270" s="1009"/>
      <c r="SK270" s="1009"/>
      <c r="SL270" s="1009"/>
      <c r="SM270" s="1009"/>
      <c r="SN270" s="1009"/>
      <c r="SO270" s="1009"/>
      <c r="SP270" s="1009"/>
      <c r="SQ270" s="1009"/>
      <c r="SR270" s="1009"/>
      <c r="SS270" s="1009"/>
      <c r="ST270" s="1009"/>
      <c r="SU270" s="1009"/>
      <c r="SV270" s="1009"/>
      <c r="SW270" s="1009"/>
      <c r="SX270" s="1009"/>
      <c r="SY270" s="1009"/>
      <c r="SZ270" s="1009"/>
      <c r="TA270" s="1009"/>
      <c r="TB270" s="1009"/>
      <c r="TC270" s="1009"/>
      <c r="TD270" s="1009"/>
      <c r="TE270" s="1009"/>
      <c r="TF270" s="1009"/>
      <c r="TG270" s="1009"/>
      <c r="TH270" s="1009"/>
      <c r="TI270" s="1009"/>
      <c r="TJ270" s="1009"/>
      <c r="TK270" s="1009"/>
      <c r="TL270" s="1009"/>
      <c r="TM270" s="1009"/>
      <c r="TN270" s="1009"/>
      <c r="TO270" s="1009"/>
      <c r="TP270" s="1009"/>
      <c r="TQ270" s="1009"/>
      <c r="TR270" s="1009"/>
      <c r="TS270" s="1009"/>
      <c r="TT270" s="1009"/>
      <c r="TU270" s="1009"/>
      <c r="TV270" s="1009"/>
      <c r="TW270" s="1009"/>
      <c r="TX270" s="1009"/>
      <c r="TY270" s="1009"/>
      <c r="TZ270" s="1009"/>
      <c r="UA270" s="1009"/>
      <c r="UB270" s="1009"/>
      <c r="UC270" s="1009"/>
      <c r="UD270" s="1009"/>
      <c r="UE270" s="1009"/>
      <c r="UF270" s="1009"/>
      <c r="UG270" s="1009"/>
      <c r="UH270" s="1009"/>
      <c r="UI270" s="1009"/>
      <c r="UJ270" s="1009"/>
      <c r="UK270" s="1009"/>
      <c r="UL270" s="1009"/>
      <c r="UM270" s="1009"/>
      <c r="UN270" s="1009"/>
      <c r="UO270" s="1009"/>
      <c r="UP270" s="1009"/>
      <c r="UQ270" s="1009"/>
      <c r="UR270" s="1009"/>
      <c r="US270" s="1009"/>
      <c r="UT270" s="1009"/>
      <c r="UU270" s="1009"/>
      <c r="UV270" s="1009"/>
      <c r="UW270" s="1009"/>
      <c r="UX270" s="1009"/>
      <c r="UY270" s="1009"/>
      <c r="UZ270" s="1009"/>
      <c r="VA270" s="1009"/>
      <c r="VB270" s="1009"/>
      <c r="VC270" s="1009"/>
      <c r="VD270" s="1009"/>
      <c r="VE270" s="1009"/>
      <c r="VF270" s="1009"/>
      <c r="VG270" s="1009"/>
      <c r="VH270" s="1009"/>
      <c r="VI270" s="1009"/>
      <c r="VJ270" s="1009"/>
      <c r="VK270" s="1009"/>
      <c r="VL270" s="1009"/>
      <c r="VM270" s="1009"/>
      <c r="VN270" s="1009"/>
      <c r="VO270" s="1009"/>
      <c r="VP270" s="1009"/>
      <c r="VQ270" s="1009"/>
      <c r="VR270" s="1009"/>
      <c r="VS270" s="1009"/>
      <c r="VT270" s="1009"/>
      <c r="VU270" s="1009"/>
      <c r="VV270" s="1009"/>
      <c r="VW270" s="1009"/>
      <c r="VX270" s="1009"/>
      <c r="VY270" s="1009"/>
      <c r="VZ270" s="1009"/>
      <c r="WA270" s="1009"/>
      <c r="WB270" s="1009"/>
      <c r="WC270" s="1009"/>
      <c r="WD270" s="1009"/>
      <c r="WE270" s="1009"/>
      <c r="WF270" s="1009"/>
      <c r="WG270" s="1009"/>
      <c r="WH270" s="1009"/>
      <c r="WI270" s="1009"/>
      <c r="WJ270" s="1009"/>
      <c r="WK270" s="1009"/>
      <c r="WL270" s="1009"/>
      <c r="WM270" s="1009"/>
      <c r="WN270" s="1009"/>
      <c r="WO270" s="1009"/>
      <c r="WP270" s="1009"/>
      <c r="WQ270" s="1009"/>
      <c r="WR270" s="1009"/>
      <c r="WS270" s="1009"/>
      <c r="WT270" s="1009"/>
      <c r="WU270" s="1009"/>
      <c r="WV270" s="1009"/>
      <c r="WW270" s="1009"/>
      <c r="WX270" s="1009"/>
      <c r="WY270" s="1009"/>
      <c r="WZ270" s="1009"/>
      <c r="XA270" s="1009"/>
      <c r="XB270" s="1009"/>
      <c r="XC270" s="1009"/>
      <c r="XD270" s="1009"/>
      <c r="XE270" s="1009"/>
      <c r="XF270" s="1009"/>
      <c r="XG270" s="1009"/>
      <c r="XH270" s="1009"/>
      <c r="XI270" s="1009"/>
      <c r="XJ270" s="1009"/>
      <c r="XK270" s="1009"/>
      <c r="XL270" s="1009"/>
      <c r="XM270" s="1009"/>
      <c r="XN270" s="1009"/>
      <c r="XO270" s="1009"/>
      <c r="XP270" s="1009"/>
      <c r="XQ270" s="1009"/>
      <c r="XR270" s="1009"/>
      <c r="XS270" s="1009"/>
      <c r="XT270" s="1009"/>
      <c r="XU270" s="1009"/>
      <c r="XV270" s="1009"/>
      <c r="XW270" s="1009"/>
      <c r="XX270" s="1009"/>
      <c r="XY270" s="1009"/>
      <c r="XZ270" s="1009"/>
      <c r="YA270" s="1009"/>
      <c r="YB270" s="1009"/>
      <c r="YC270" s="1009"/>
      <c r="YD270" s="1009"/>
      <c r="YE270" s="1009"/>
      <c r="YF270" s="1009"/>
      <c r="YG270" s="1009"/>
      <c r="YH270" s="1009"/>
      <c r="YI270" s="1009"/>
      <c r="YJ270" s="1009"/>
      <c r="YK270" s="1009"/>
      <c r="YL270" s="1009"/>
      <c r="YM270" s="1009"/>
      <c r="YN270" s="1009"/>
      <c r="YO270" s="1009"/>
      <c r="YP270" s="1009"/>
      <c r="YQ270" s="1009"/>
      <c r="YR270" s="1009"/>
      <c r="YS270" s="1009"/>
      <c r="YT270" s="1009"/>
      <c r="YU270" s="1009"/>
      <c r="YV270" s="1009"/>
      <c r="YW270" s="1009"/>
      <c r="YX270" s="1009"/>
      <c r="YY270" s="1009"/>
      <c r="YZ270" s="1009"/>
      <c r="ZA270" s="1009"/>
      <c r="ZB270" s="1009"/>
      <c r="ZC270" s="1009"/>
      <c r="ZD270" s="1009"/>
      <c r="ZE270" s="1009"/>
      <c r="ZF270" s="1009"/>
      <c r="ZG270" s="1009"/>
      <c r="ZH270" s="1009"/>
      <c r="ZI270" s="1009"/>
      <c r="ZJ270" s="1009"/>
      <c r="ZK270" s="1009"/>
      <c r="ZL270" s="1009"/>
      <c r="ZM270" s="1009"/>
      <c r="ZN270" s="1009"/>
      <c r="ZO270" s="1009"/>
      <c r="ZP270" s="1009"/>
      <c r="ZQ270" s="1009"/>
      <c r="ZR270" s="1009"/>
      <c r="ZS270" s="1009"/>
      <c r="ZT270" s="1009"/>
      <c r="ZU270" s="1009"/>
      <c r="ZV270" s="1009"/>
      <c r="ZW270" s="1009"/>
      <c r="ZX270" s="1009"/>
      <c r="ZY270" s="1009"/>
      <c r="ZZ270" s="1009"/>
      <c r="AAA270" s="1009"/>
      <c r="AAB270" s="1009"/>
      <c r="AAC270" s="1009"/>
      <c r="AAD270" s="1009"/>
      <c r="AAE270" s="1009"/>
      <c r="AAF270" s="1009"/>
      <c r="AAG270" s="1009"/>
      <c r="AAH270" s="1009"/>
      <c r="AAI270" s="1009"/>
      <c r="AAJ270" s="1009"/>
      <c r="AAK270" s="1009"/>
      <c r="AAL270" s="1009"/>
      <c r="AAM270" s="1009"/>
      <c r="AAN270" s="1009"/>
      <c r="AAO270" s="1009"/>
      <c r="AAP270" s="1009"/>
      <c r="AAQ270" s="1009"/>
      <c r="AAR270" s="1009"/>
      <c r="AAS270" s="1009"/>
      <c r="AAT270" s="1009"/>
      <c r="AAU270" s="1009"/>
      <c r="AAV270" s="1009"/>
      <c r="AAW270" s="1009"/>
      <c r="AAX270" s="1009"/>
      <c r="AAY270" s="1009"/>
      <c r="AAZ270" s="1009"/>
      <c r="ABA270" s="1009"/>
      <c r="ABB270" s="1009"/>
      <c r="ABC270" s="1009"/>
      <c r="ABD270" s="1009"/>
      <c r="ABE270" s="1009"/>
      <c r="ABF270" s="1009"/>
      <c r="ABG270" s="1009"/>
      <c r="ABH270" s="1009"/>
      <c r="ABI270" s="1009"/>
      <c r="ABJ270" s="1009"/>
      <c r="ABK270" s="1009"/>
      <c r="ABL270" s="1009"/>
      <c r="ABM270" s="1009"/>
      <c r="ABN270" s="1009"/>
      <c r="ABO270" s="1009"/>
      <c r="ABP270" s="1009"/>
      <c r="ABQ270" s="1009"/>
      <c r="ABR270" s="1009"/>
    </row>
    <row r="271" spans="1:746" s="111" customFormat="1" ht="12" customHeight="1">
      <c r="A271" s="1758"/>
      <c r="B271" s="1205" t="s">
        <v>873</v>
      </c>
      <c r="C271" s="1206"/>
      <c r="D271" s="1206"/>
      <c r="E271" s="1206"/>
      <c r="F271" s="1206"/>
      <c r="G271" s="1206"/>
      <c r="H271" s="2189"/>
      <c r="I271" s="875"/>
      <c r="J271" s="380"/>
      <c r="K271" s="380"/>
      <c r="L271" s="380"/>
      <c r="M271" s="380"/>
      <c r="N271" s="380"/>
      <c r="O271" s="380"/>
      <c r="P271" s="380"/>
      <c r="Q271" s="380"/>
      <c r="R271" s="380"/>
      <c r="S271" s="380"/>
      <c r="T271" s="380"/>
      <c r="U271" s="875"/>
      <c r="V271" s="875"/>
      <c r="W271" s="875"/>
      <c r="X271" s="875"/>
      <c r="Y271" s="875"/>
      <c r="Z271" s="875"/>
      <c r="AA271" s="875"/>
      <c r="AB271" s="875"/>
      <c r="AC271" s="875"/>
      <c r="AD271" s="875"/>
      <c r="AE271" s="875"/>
      <c r="AF271" s="875"/>
      <c r="AG271" s="1042"/>
      <c r="AH271" s="337"/>
      <c r="AI271" s="337"/>
      <c r="AJ271" s="901">
        <f>IF(fx!$C$57=1,SUMIF(fx!I$57:T$57,1,I271:T271),IF(fx!$C$57=2,SUMIF(fx!O$57:AF$57,1,O271:AF271)))</f>
        <v>0</v>
      </c>
      <c r="AK271" s="1207"/>
      <c r="AL271" s="902">
        <f>IF(fx!$C$57=1,SUM(U271:AF271),0)</f>
        <v>0</v>
      </c>
      <c r="AM271" s="1009"/>
      <c r="AN271" s="1036"/>
      <c r="AO271" s="1034"/>
      <c r="AP271" s="1084"/>
      <c r="AQ271" s="1084"/>
      <c r="AR271" s="1009"/>
      <c r="AS271" s="1009"/>
      <c r="AT271" s="1009"/>
      <c r="AU271" s="1009"/>
      <c r="AV271" s="1009"/>
      <c r="AW271" s="1009"/>
      <c r="AX271" s="1009"/>
      <c r="AY271" s="1009"/>
      <c r="AZ271" s="1009"/>
      <c r="BA271" s="1009"/>
      <c r="BB271" s="1009"/>
      <c r="BC271" s="1009"/>
      <c r="BD271" s="1009"/>
      <c r="BE271" s="1009"/>
      <c r="BF271" s="1009"/>
      <c r="BG271" s="1009"/>
      <c r="BH271" s="1009"/>
      <c r="BI271" s="1009"/>
      <c r="BJ271" s="1009"/>
      <c r="BK271" s="1009"/>
      <c r="BL271" s="1009"/>
      <c r="BM271" s="1009"/>
      <c r="BN271" s="1009"/>
      <c r="BO271" s="1009"/>
      <c r="BP271" s="1009"/>
      <c r="BQ271" s="1009"/>
      <c r="BR271" s="1009"/>
      <c r="BS271" s="1009"/>
      <c r="BT271" s="1009"/>
      <c r="BU271" s="1009"/>
      <c r="BV271" s="1009"/>
      <c r="BW271" s="1009"/>
      <c r="BX271" s="1009"/>
      <c r="BY271" s="1009"/>
      <c r="BZ271" s="1009"/>
      <c r="CA271" s="1009"/>
      <c r="CB271" s="1009"/>
      <c r="CC271" s="1009"/>
      <c r="CD271" s="1009"/>
      <c r="CE271" s="1009"/>
      <c r="CF271" s="1009"/>
      <c r="CG271" s="1009"/>
      <c r="CH271" s="1009"/>
      <c r="CI271" s="1009"/>
      <c r="CJ271" s="1009"/>
      <c r="CK271" s="1009"/>
      <c r="CL271" s="1009"/>
      <c r="CM271" s="1009"/>
      <c r="CN271" s="1009"/>
      <c r="CO271" s="1009"/>
      <c r="CP271" s="1009"/>
      <c r="CQ271" s="1009"/>
      <c r="CR271" s="1009"/>
      <c r="CS271" s="1009"/>
      <c r="CT271" s="1009"/>
      <c r="CU271" s="1009"/>
      <c r="CV271" s="1009"/>
      <c r="CW271" s="1009"/>
      <c r="CX271" s="1009"/>
      <c r="CY271" s="1009"/>
      <c r="CZ271" s="1009"/>
      <c r="DA271" s="1009"/>
      <c r="DB271" s="1009"/>
      <c r="DC271" s="1009"/>
      <c r="DD271" s="1009"/>
      <c r="DE271" s="1009"/>
      <c r="DF271" s="1009"/>
      <c r="DG271" s="1009"/>
      <c r="DH271" s="1009"/>
      <c r="DI271" s="1009"/>
      <c r="DJ271" s="1009"/>
      <c r="DK271" s="1009"/>
      <c r="DL271" s="1009"/>
      <c r="DM271" s="1009"/>
      <c r="DN271" s="1009"/>
      <c r="DO271" s="1009"/>
      <c r="DP271" s="1009"/>
      <c r="DQ271" s="1009"/>
      <c r="DR271" s="1009"/>
      <c r="DS271" s="1009"/>
      <c r="DT271" s="1009"/>
      <c r="DU271" s="1009"/>
      <c r="DV271" s="1009"/>
      <c r="DW271" s="1009"/>
      <c r="DX271" s="1009"/>
      <c r="DY271" s="1009"/>
      <c r="DZ271" s="1009"/>
      <c r="EA271" s="1009"/>
      <c r="EB271" s="1009"/>
      <c r="EC271" s="1009"/>
      <c r="ED271" s="1009"/>
      <c r="EE271" s="1009"/>
      <c r="EF271" s="1009"/>
      <c r="EG271" s="1009"/>
      <c r="EH271" s="1009"/>
      <c r="EI271" s="1009"/>
      <c r="EJ271" s="1009"/>
      <c r="EK271" s="1009"/>
      <c r="EL271" s="1009"/>
      <c r="EM271" s="1009"/>
      <c r="EN271" s="1009"/>
      <c r="EO271" s="1009"/>
      <c r="EP271" s="1009"/>
      <c r="EQ271" s="1009"/>
      <c r="ER271" s="1009"/>
      <c r="ES271" s="1009"/>
      <c r="ET271" s="1009"/>
      <c r="EU271" s="1009"/>
      <c r="EV271" s="1009"/>
      <c r="EW271" s="1009"/>
      <c r="EX271" s="1009"/>
      <c r="EY271" s="1009"/>
      <c r="EZ271" s="1009"/>
      <c r="FA271" s="1009"/>
      <c r="FB271" s="1009"/>
      <c r="FC271" s="1009"/>
      <c r="FD271" s="1009"/>
      <c r="FE271" s="1009"/>
      <c r="FF271" s="1009"/>
      <c r="FG271" s="1009"/>
      <c r="FH271" s="1009"/>
      <c r="FI271" s="1009"/>
      <c r="FJ271" s="1009"/>
      <c r="FK271" s="1009"/>
      <c r="FL271" s="1009"/>
      <c r="FM271" s="1009"/>
      <c r="FN271" s="1009"/>
      <c r="FO271" s="1009"/>
      <c r="FP271" s="1009"/>
      <c r="FQ271" s="1009"/>
      <c r="FR271" s="1009"/>
      <c r="FS271" s="1009"/>
      <c r="FT271" s="1009"/>
      <c r="FU271" s="1009"/>
      <c r="FV271" s="1009"/>
      <c r="FW271" s="1009"/>
      <c r="FX271" s="1009"/>
      <c r="FY271" s="1009"/>
      <c r="FZ271" s="1009"/>
      <c r="GA271" s="1009"/>
      <c r="GB271" s="1009"/>
      <c r="GC271" s="1009"/>
      <c r="GD271" s="1009"/>
      <c r="GE271" s="1009"/>
      <c r="GF271" s="1009"/>
      <c r="GG271" s="1009"/>
      <c r="GH271" s="1009"/>
      <c r="GI271" s="1009"/>
      <c r="GJ271" s="1009"/>
      <c r="GK271" s="1009"/>
      <c r="GL271" s="1009"/>
      <c r="GM271" s="1009"/>
      <c r="GN271" s="1009"/>
      <c r="GO271" s="1009"/>
      <c r="GP271" s="1009"/>
      <c r="GQ271" s="1009"/>
      <c r="GR271" s="1009"/>
      <c r="GS271" s="1009"/>
      <c r="GT271" s="1009"/>
      <c r="GU271" s="1009"/>
      <c r="GV271" s="1009"/>
      <c r="GW271" s="1009"/>
      <c r="GX271" s="1009"/>
      <c r="GY271" s="1009"/>
      <c r="GZ271" s="1009"/>
      <c r="HA271" s="1009"/>
      <c r="HB271" s="1009"/>
      <c r="HC271" s="1009"/>
      <c r="HD271" s="1009"/>
      <c r="HE271" s="1009"/>
      <c r="HF271" s="1009"/>
      <c r="HG271" s="1009"/>
      <c r="HH271" s="1009"/>
      <c r="HI271" s="1009"/>
      <c r="HJ271" s="1009"/>
      <c r="HK271" s="1009"/>
      <c r="HL271" s="1009"/>
      <c r="HM271" s="1009"/>
      <c r="HN271" s="1009"/>
      <c r="HO271" s="1009"/>
      <c r="HP271" s="1009"/>
      <c r="HQ271" s="1009"/>
      <c r="HR271" s="1009"/>
      <c r="HS271" s="1009"/>
      <c r="HT271" s="1009"/>
      <c r="HU271" s="1009"/>
      <c r="HV271" s="1009"/>
      <c r="HW271" s="1009"/>
      <c r="HX271" s="1009"/>
      <c r="HY271" s="1009"/>
      <c r="HZ271" s="1009"/>
      <c r="IA271" s="1009"/>
      <c r="IB271" s="1009"/>
      <c r="IC271" s="1009"/>
      <c r="ID271" s="1009"/>
      <c r="IE271" s="1009"/>
      <c r="IF271" s="1009"/>
      <c r="IG271" s="1009"/>
      <c r="IH271" s="1009"/>
      <c r="II271" s="1009"/>
      <c r="IJ271" s="1009"/>
      <c r="IK271" s="1009"/>
      <c r="IL271" s="1009"/>
      <c r="IM271" s="1009"/>
      <c r="IN271" s="1009"/>
      <c r="IO271" s="1009"/>
      <c r="IP271" s="1009"/>
      <c r="IQ271" s="1009"/>
      <c r="IR271" s="1009"/>
      <c r="IS271" s="1009"/>
      <c r="IT271" s="1009"/>
      <c r="IU271" s="1009"/>
      <c r="IV271" s="1009"/>
      <c r="IW271" s="1009"/>
      <c r="IX271" s="1009"/>
      <c r="IY271" s="1009"/>
      <c r="IZ271" s="1009"/>
      <c r="JA271" s="1009"/>
      <c r="JB271" s="1009"/>
      <c r="JC271" s="1009"/>
      <c r="JD271" s="1009"/>
      <c r="JE271" s="1009"/>
      <c r="JF271" s="1009"/>
      <c r="JG271" s="1009"/>
      <c r="JH271" s="1009"/>
      <c r="JI271" s="1009"/>
      <c r="JJ271" s="1009"/>
      <c r="JK271" s="1009"/>
      <c r="JL271" s="1009"/>
      <c r="JM271" s="1009"/>
      <c r="JN271" s="1009"/>
      <c r="JO271" s="1009"/>
      <c r="JP271" s="1009"/>
      <c r="JQ271" s="1009"/>
      <c r="JR271" s="1009"/>
      <c r="JS271" s="1009"/>
      <c r="JT271" s="1009"/>
      <c r="JU271" s="1009"/>
      <c r="JV271" s="1009"/>
      <c r="JW271" s="1009"/>
      <c r="JX271" s="1009"/>
      <c r="JY271" s="1009"/>
      <c r="JZ271" s="1009"/>
      <c r="KA271" s="1009"/>
      <c r="KB271" s="1009"/>
      <c r="KC271" s="1009"/>
      <c r="KD271" s="1009"/>
      <c r="KE271" s="1009"/>
      <c r="KF271" s="1009"/>
      <c r="KG271" s="1009"/>
      <c r="KH271" s="1009"/>
      <c r="KI271" s="1009"/>
      <c r="KJ271" s="1009"/>
      <c r="KK271" s="1009"/>
      <c r="KL271" s="1009"/>
      <c r="KM271" s="1009"/>
      <c r="KN271" s="1009"/>
      <c r="KO271" s="1009"/>
      <c r="KP271" s="1009"/>
      <c r="KQ271" s="1009"/>
      <c r="KR271" s="1009"/>
      <c r="KS271" s="1009"/>
      <c r="KT271" s="1009"/>
      <c r="KU271" s="1009"/>
      <c r="KV271" s="1009"/>
      <c r="KW271" s="1009"/>
      <c r="KX271" s="1009"/>
      <c r="KY271" s="1009"/>
      <c r="KZ271" s="1009"/>
      <c r="LA271" s="1009"/>
      <c r="LB271" s="1009"/>
      <c r="LC271" s="1009"/>
      <c r="LD271" s="1009"/>
      <c r="LE271" s="1009"/>
      <c r="LF271" s="1009"/>
      <c r="LG271" s="1009"/>
      <c r="LH271" s="1009"/>
      <c r="LI271" s="1009"/>
      <c r="LJ271" s="1009"/>
      <c r="LK271" s="1009"/>
      <c r="LL271" s="1009"/>
      <c r="LM271" s="1009"/>
      <c r="LN271" s="1009"/>
      <c r="LO271" s="1009"/>
      <c r="LP271" s="1009"/>
      <c r="LQ271" s="1009"/>
      <c r="LR271" s="1009"/>
      <c r="LS271" s="1009"/>
      <c r="LT271" s="1009"/>
      <c r="LU271" s="1009"/>
      <c r="LV271" s="1009"/>
      <c r="LW271" s="1009"/>
      <c r="LX271" s="1009"/>
      <c r="LY271" s="1009"/>
      <c r="LZ271" s="1009"/>
      <c r="MA271" s="1009"/>
      <c r="MB271" s="1009"/>
      <c r="MC271" s="1009"/>
      <c r="MD271" s="1009"/>
      <c r="ME271" s="1009"/>
      <c r="MF271" s="1009"/>
      <c r="MG271" s="1009"/>
      <c r="MH271" s="1009"/>
      <c r="MI271" s="1009"/>
      <c r="MJ271" s="1009"/>
      <c r="MK271" s="1009"/>
      <c r="ML271" s="1009"/>
      <c r="MM271" s="1009"/>
      <c r="MN271" s="1009"/>
      <c r="MO271" s="1009"/>
      <c r="MP271" s="1009"/>
      <c r="MQ271" s="1009"/>
      <c r="MR271" s="1009"/>
      <c r="MS271" s="1009"/>
      <c r="MT271" s="1009"/>
      <c r="MU271" s="1009"/>
      <c r="MV271" s="1009"/>
      <c r="MW271" s="1009"/>
      <c r="MX271" s="1009"/>
      <c r="MY271" s="1009"/>
      <c r="MZ271" s="1009"/>
      <c r="NA271" s="1009"/>
      <c r="NB271" s="1009"/>
      <c r="NC271" s="1009"/>
      <c r="ND271" s="1009"/>
      <c r="NE271" s="1009"/>
      <c r="NF271" s="1009"/>
      <c r="NG271" s="1009"/>
      <c r="NH271" s="1009"/>
      <c r="NI271" s="1009"/>
      <c r="NJ271" s="1009"/>
      <c r="NK271" s="1009"/>
      <c r="NL271" s="1009"/>
      <c r="NM271" s="1009"/>
      <c r="NN271" s="1009"/>
      <c r="NO271" s="1009"/>
      <c r="NP271" s="1009"/>
      <c r="NQ271" s="1009"/>
      <c r="NR271" s="1009"/>
      <c r="NS271" s="1009"/>
      <c r="NT271" s="1009"/>
      <c r="NU271" s="1009"/>
      <c r="NV271" s="1009"/>
      <c r="NW271" s="1009"/>
      <c r="NX271" s="1009"/>
      <c r="NY271" s="1009"/>
      <c r="NZ271" s="1009"/>
      <c r="OA271" s="1009"/>
      <c r="OB271" s="1009"/>
      <c r="OC271" s="1009"/>
      <c r="OD271" s="1009"/>
      <c r="OE271" s="1009"/>
      <c r="OF271" s="1009"/>
      <c r="OG271" s="1009"/>
      <c r="OH271" s="1009"/>
      <c r="OI271" s="1009"/>
      <c r="OJ271" s="1009"/>
      <c r="OK271" s="1009"/>
      <c r="OL271" s="1009"/>
      <c r="OM271" s="1009"/>
      <c r="ON271" s="1009"/>
      <c r="OO271" s="1009"/>
      <c r="OP271" s="1009"/>
      <c r="OQ271" s="1009"/>
      <c r="OR271" s="1009"/>
      <c r="OS271" s="1009"/>
      <c r="OT271" s="1009"/>
      <c r="OU271" s="1009"/>
      <c r="OV271" s="1009"/>
      <c r="OW271" s="1009"/>
      <c r="OX271" s="1009"/>
      <c r="OY271" s="1009"/>
      <c r="OZ271" s="1009"/>
      <c r="PA271" s="1009"/>
      <c r="PB271" s="1009"/>
      <c r="PC271" s="1009"/>
      <c r="PD271" s="1009"/>
      <c r="PE271" s="1009"/>
      <c r="PF271" s="1009"/>
      <c r="PG271" s="1009"/>
      <c r="PH271" s="1009"/>
      <c r="PI271" s="1009"/>
      <c r="PJ271" s="1009"/>
      <c r="PK271" s="1009"/>
      <c r="PL271" s="1009"/>
      <c r="PM271" s="1009"/>
      <c r="PN271" s="1009"/>
      <c r="PO271" s="1009"/>
      <c r="PP271" s="1009"/>
      <c r="PQ271" s="1009"/>
      <c r="PR271" s="1009"/>
      <c r="PS271" s="1009"/>
      <c r="PT271" s="1009"/>
      <c r="PU271" s="1009"/>
      <c r="PV271" s="1009"/>
      <c r="PW271" s="1009"/>
      <c r="PX271" s="1009"/>
      <c r="PY271" s="1009"/>
      <c r="PZ271" s="1009"/>
      <c r="QA271" s="1009"/>
      <c r="QB271" s="1009"/>
      <c r="QC271" s="1009"/>
      <c r="QD271" s="1009"/>
      <c r="QE271" s="1009"/>
      <c r="QF271" s="1009"/>
      <c r="QG271" s="1009"/>
      <c r="QH271" s="1009"/>
      <c r="QI271" s="1009"/>
      <c r="QJ271" s="1009"/>
      <c r="QK271" s="1009"/>
      <c r="QL271" s="1009"/>
      <c r="QM271" s="1009"/>
      <c r="QN271" s="1009"/>
      <c r="QO271" s="1009"/>
      <c r="QP271" s="1009"/>
      <c r="QQ271" s="1009"/>
      <c r="QR271" s="1009"/>
      <c r="QS271" s="1009"/>
      <c r="QT271" s="1009"/>
      <c r="QU271" s="1009"/>
      <c r="QV271" s="1009"/>
      <c r="QW271" s="1009"/>
      <c r="QX271" s="1009"/>
      <c r="QY271" s="1009"/>
      <c r="QZ271" s="1009"/>
      <c r="RA271" s="1009"/>
      <c r="RB271" s="1009"/>
      <c r="RC271" s="1009"/>
      <c r="RD271" s="1009"/>
      <c r="RE271" s="1009"/>
      <c r="RF271" s="1009"/>
      <c r="RG271" s="1009"/>
      <c r="RH271" s="1009"/>
      <c r="RI271" s="1009"/>
      <c r="RJ271" s="1009"/>
      <c r="RK271" s="1009"/>
      <c r="RL271" s="1009"/>
      <c r="RM271" s="1009"/>
      <c r="RN271" s="1009"/>
      <c r="RO271" s="1009"/>
      <c r="RP271" s="1009"/>
      <c r="RQ271" s="1009"/>
      <c r="RR271" s="1009"/>
      <c r="RS271" s="1009"/>
      <c r="RT271" s="1009"/>
      <c r="RU271" s="1009"/>
      <c r="RV271" s="1009"/>
      <c r="RW271" s="1009"/>
      <c r="RX271" s="1009"/>
      <c r="RY271" s="1009"/>
      <c r="RZ271" s="1009"/>
      <c r="SA271" s="1009"/>
      <c r="SB271" s="1009"/>
      <c r="SC271" s="1009"/>
      <c r="SD271" s="1009"/>
      <c r="SE271" s="1009"/>
      <c r="SF271" s="1009"/>
      <c r="SG271" s="1009"/>
      <c r="SH271" s="1009"/>
      <c r="SI271" s="1009"/>
      <c r="SJ271" s="1009"/>
      <c r="SK271" s="1009"/>
      <c r="SL271" s="1009"/>
      <c r="SM271" s="1009"/>
      <c r="SN271" s="1009"/>
      <c r="SO271" s="1009"/>
      <c r="SP271" s="1009"/>
      <c r="SQ271" s="1009"/>
      <c r="SR271" s="1009"/>
      <c r="SS271" s="1009"/>
      <c r="ST271" s="1009"/>
      <c r="SU271" s="1009"/>
      <c r="SV271" s="1009"/>
      <c r="SW271" s="1009"/>
      <c r="SX271" s="1009"/>
      <c r="SY271" s="1009"/>
      <c r="SZ271" s="1009"/>
      <c r="TA271" s="1009"/>
      <c r="TB271" s="1009"/>
      <c r="TC271" s="1009"/>
      <c r="TD271" s="1009"/>
      <c r="TE271" s="1009"/>
      <c r="TF271" s="1009"/>
      <c r="TG271" s="1009"/>
      <c r="TH271" s="1009"/>
      <c r="TI271" s="1009"/>
      <c r="TJ271" s="1009"/>
      <c r="TK271" s="1009"/>
      <c r="TL271" s="1009"/>
      <c r="TM271" s="1009"/>
      <c r="TN271" s="1009"/>
      <c r="TO271" s="1009"/>
      <c r="TP271" s="1009"/>
      <c r="TQ271" s="1009"/>
      <c r="TR271" s="1009"/>
      <c r="TS271" s="1009"/>
      <c r="TT271" s="1009"/>
      <c r="TU271" s="1009"/>
      <c r="TV271" s="1009"/>
      <c r="TW271" s="1009"/>
      <c r="TX271" s="1009"/>
      <c r="TY271" s="1009"/>
      <c r="TZ271" s="1009"/>
      <c r="UA271" s="1009"/>
      <c r="UB271" s="1009"/>
      <c r="UC271" s="1009"/>
      <c r="UD271" s="1009"/>
      <c r="UE271" s="1009"/>
      <c r="UF271" s="1009"/>
      <c r="UG271" s="1009"/>
      <c r="UH271" s="1009"/>
      <c r="UI271" s="1009"/>
      <c r="UJ271" s="1009"/>
      <c r="UK271" s="1009"/>
      <c r="UL271" s="1009"/>
      <c r="UM271" s="1009"/>
      <c r="UN271" s="1009"/>
      <c r="UO271" s="1009"/>
      <c r="UP271" s="1009"/>
      <c r="UQ271" s="1009"/>
      <c r="UR271" s="1009"/>
      <c r="US271" s="1009"/>
      <c r="UT271" s="1009"/>
      <c r="UU271" s="1009"/>
      <c r="UV271" s="1009"/>
      <c r="UW271" s="1009"/>
      <c r="UX271" s="1009"/>
      <c r="UY271" s="1009"/>
      <c r="UZ271" s="1009"/>
      <c r="VA271" s="1009"/>
      <c r="VB271" s="1009"/>
      <c r="VC271" s="1009"/>
      <c r="VD271" s="1009"/>
      <c r="VE271" s="1009"/>
      <c r="VF271" s="1009"/>
      <c r="VG271" s="1009"/>
      <c r="VH271" s="1009"/>
      <c r="VI271" s="1009"/>
      <c r="VJ271" s="1009"/>
      <c r="VK271" s="1009"/>
      <c r="VL271" s="1009"/>
      <c r="VM271" s="1009"/>
      <c r="VN271" s="1009"/>
      <c r="VO271" s="1009"/>
      <c r="VP271" s="1009"/>
      <c r="VQ271" s="1009"/>
      <c r="VR271" s="1009"/>
      <c r="VS271" s="1009"/>
      <c r="VT271" s="1009"/>
      <c r="VU271" s="1009"/>
      <c r="VV271" s="1009"/>
      <c r="VW271" s="1009"/>
      <c r="VX271" s="1009"/>
      <c r="VY271" s="1009"/>
      <c r="VZ271" s="1009"/>
      <c r="WA271" s="1009"/>
      <c r="WB271" s="1009"/>
      <c r="WC271" s="1009"/>
      <c r="WD271" s="1009"/>
      <c r="WE271" s="1009"/>
      <c r="WF271" s="1009"/>
      <c r="WG271" s="1009"/>
      <c r="WH271" s="1009"/>
      <c r="WI271" s="1009"/>
      <c r="WJ271" s="1009"/>
      <c r="WK271" s="1009"/>
      <c r="WL271" s="1009"/>
      <c r="WM271" s="1009"/>
      <c r="WN271" s="1009"/>
      <c r="WO271" s="1009"/>
      <c r="WP271" s="1009"/>
      <c r="WQ271" s="1009"/>
      <c r="WR271" s="1009"/>
      <c r="WS271" s="1009"/>
      <c r="WT271" s="1009"/>
      <c r="WU271" s="1009"/>
      <c r="WV271" s="1009"/>
      <c r="WW271" s="1009"/>
      <c r="WX271" s="1009"/>
      <c r="WY271" s="1009"/>
      <c r="WZ271" s="1009"/>
      <c r="XA271" s="1009"/>
      <c r="XB271" s="1009"/>
      <c r="XC271" s="1009"/>
      <c r="XD271" s="1009"/>
      <c r="XE271" s="1009"/>
      <c r="XF271" s="1009"/>
      <c r="XG271" s="1009"/>
      <c r="XH271" s="1009"/>
      <c r="XI271" s="1009"/>
      <c r="XJ271" s="1009"/>
      <c r="XK271" s="1009"/>
      <c r="XL271" s="1009"/>
      <c r="XM271" s="1009"/>
      <c r="XN271" s="1009"/>
      <c r="XO271" s="1009"/>
      <c r="XP271" s="1009"/>
      <c r="XQ271" s="1009"/>
      <c r="XR271" s="1009"/>
      <c r="XS271" s="1009"/>
      <c r="XT271" s="1009"/>
      <c r="XU271" s="1009"/>
      <c r="XV271" s="1009"/>
      <c r="XW271" s="1009"/>
      <c r="XX271" s="1009"/>
      <c r="XY271" s="1009"/>
      <c r="XZ271" s="1009"/>
      <c r="YA271" s="1009"/>
      <c r="YB271" s="1009"/>
      <c r="YC271" s="1009"/>
      <c r="YD271" s="1009"/>
      <c r="YE271" s="1009"/>
      <c r="YF271" s="1009"/>
      <c r="YG271" s="1009"/>
      <c r="YH271" s="1009"/>
      <c r="YI271" s="1009"/>
      <c r="YJ271" s="1009"/>
      <c r="YK271" s="1009"/>
      <c r="YL271" s="1009"/>
      <c r="YM271" s="1009"/>
      <c r="YN271" s="1009"/>
      <c r="YO271" s="1009"/>
      <c r="YP271" s="1009"/>
      <c r="YQ271" s="1009"/>
      <c r="YR271" s="1009"/>
      <c r="YS271" s="1009"/>
      <c r="YT271" s="1009"/>
      <c r="YU271" s="1009"/>
      <c r="YV271" s="1009"/>
      <c r="YW271" s="1009"/>
      <c r="YX271" s="1009"/>
      <c r="YY271" s="1009"/>
      <c r="YZ271" s="1009"/>
      <c r="ZA271" s="1009"/>
      <c r="ZB271" s="1009"/>
      <c r="ZC271" s="1009"/>
      <c r="ZD271" s="1009"/>
      <c r="ZE271" s="1009"/>
      <c r="ZF271" s="1009"/>
      <c r="ZG271" s="1009"/>
      <c r="ZH271" s="1009"/>
      <c r="ZI271" s="1009"/>
      <c r="ZJ271" s="1009"/>
      <c r="ZK271" s="1009"/>
      <c r="ZL271" s="1009"/>
      <c r="ZM271" s="1009"/>
      <c r="ZN271" s="1009"/>
      <c r="ZO271" s="1009"/>
      <c r="ZP271" s="1009"/>
      <c r="ZQ271" s="1009"/>
      <c r="ZR271" s="1009"/>
      <c r="ZS271" s="1009"/>
      <c r="ZT271" s="1009"/>
      <c r="ZU271" s="1009"/>
      <c r="ZV271" s="1009"/>
      <c r="ZW271" s="1009"/>
      <c r="ZX271" s="1009"/>
      <c r="ZY271" s="1009"/>
      <c r="ZZ271" s="1009"/>
      <c r="AAA271" s="1009"/>
      <c r="AAB271" s="1009"/>
      <c r="AAC271" s="1009"/>
      <c r="AAD271" s="1009"/>
      <c r="AAE271" s="1009"/>
      <c r="AAF271" s="1009"/>
      <c r="AAG271" s="1009"/>
      <c r="AAH271" s="1009"/>
      <c r="AAI271" s="1009"/>
      <c r="AAJ271" s="1009"/>
      <c r="AAK271" s="1009"/>
      <c r="AAL271" s="1009"/>
      <c r="AAM271" s="1009"/>
      <c r="AAN271" s="1009"/>
      <c r="AAO271" s="1009"/>
      <c r="AAP271" s="1009"/>
      <c r="AAQ271" s="1009"/>
      <c r="AAR271" s="1009"/>
      <c r="AAS271" s="1009"/>
      <c r="AAT271" s="1009"/>
      <c r="AAU271" s="1009"/>
      <c r="AAV271" s="1009"/>
      <c r="AAW271" s="1009"/>
      <c r="AAX271" s="1009"/>
      <c r="AAY271" s="1009"/>
      <c r="AAZ271" s="1009"/>
      <c r="ABA271" s="1009"/>
      <c r="ABB271" s="1009"/>
      <c r="ABC271" s="1009"/>
      <c r="ABD271" s="1009"/>
      <c r="ABE271" s="1009"/>
      <c r="ABF271" s="1009"/>
      <c r="ABG271" s="1009"/>
      <c r="ABH271" s="1009"/>
      <c r="ABI271" s="1009"/>
      <c r="ABJ271" s="1009"/>
      <c r="ABK271" s="1009"/>
      <c r="ABL271" s="1009"/>
      <c r="ABM271" s="1009"/>
      <c r="ABN271" s="1009"/>
      <c r="ABO271" s="1009"/>
      <c r="ABP271" s="1009"/>
      <c r="ABQ271" s="1009"/>
      <c r="ABR271" s="1009"/>
    </row>
    <row r="272" spans="1:746" s="111" customFormat="1" ht="12" customHeight="1">
      <c r="A272" s="1758"/>
      <c r="B272" s="1208" t="s">
        <v>874</v>
      </c>
      <c r="C272" s="1209"/>
      <c r="D272" s="1209"/>
      <c r="E272" s="1209"/>
      <c r="F272" s="1209"/>
      <c r="G272" s="1209"/>
      <c r="H272" s="2190"/>
      <c r="I272" s="1966"/>
      <c r="J272" s="368"/>
      <c r="K272" s="368"/>
      <c r="L272" s="368"/>
      <c r="M272" s="368"/>
      <c r="N272" s="368"/>
      <c r="O272" s="368"/>
      <c r="P272" s="368"/>
      <c r="Q272" s="368"/>
      <c r="R272" s="368"/>
      <c r="S272" s="368"/>
      <c r="T272" s="368"/>
      <c r="U272" s="1966"/>
      <c r="V272" s="1966"/>
      <c r="W272" s="1966"/>
      <c r="X272" s="1966"/>
      <c r="Y272" s="1966"/>
      <c r="Z272" s="1966"/>
      <c r="AA272" s="1966"/>
      <c r="AB272" s="1966"/>
      <c r="AC272" s="1966"/>
      <c r="AD272" s="1966"/>
      <c r="AE272" s="1966"/>
      <c r="AF272" s="1966"/>
      <c r="AG272" s="1042"/>
      <c r="AH272" s="337"/>
      <c r="AI272" s="337"/>
      <c r="AJ272" s="901">
        <f>IF(fx!$C$57=1,SUMIF(fx!I$57:T$57,1,I272:T272),IF(fx!$C$57=2,SUMIF(fx!O$57:AF$57,1,O272:AF272)))</f>
        <v>0</v>
      </c>
      <c r="AK272" s="1207"/>
      <c r="AL272" s="902">
        <f>IF(fx!$C$57=1,SUM(U272:AF272),0)</f>
        <v>0</v>
      </c>
      <c r="AM272" s="1009"/>
      <c r="AN272" s="1036"/>
      <c r="AO272" s="1034"/>
      <c r="AP272" s="1084"/>
      <c r="AQ272" s="1084"/>
      <c r="AR272" s="1009"/>
      <c r="AS272" s="1009"/>
      <c r="AT272" s="1009"/>
      <c r="AU272" s="1009"/>
      <c r="AV272" s="1009"/>
      <c r="AW272" s="1009"/>
      <c r="AX272" s="1009"/>
      <c r="AY272" s="1009"/>
      <c r="AZ272" s="1009"/>
      <c r="BA272" s="1009"/>
      <c r="BB272" s="1009"/>
      <c r="BC272" s="1009"/>
      <c r="BD272" s="1009"/>
      <c r="BE272" s="1009"/>
      <c r="BF272" s="1009"/>
      <c r="BG272" s="1009"/>
      <c r="BH272" s="1009"/>
      <c r="BI272" s="1009"/>
      <c r="BJ272" s="1009"/>
      <c r="BK272" s="1009"/>
      <c r="BL272" s="1009"/>
      <c r="BM272" s="1009"/>
      <c r="BN272" s="1009"/>
      <c r="BO272" s="1009"/>
      <c r="BP272" s="1009"/>
      <c r="BQ272" s="1009"/>
      <c r="BR272" s="1009"/>
      <c r="BS272" s="1009"/>
      <c r="BT272" s="1009"/>
      <c r="BU272" s="1009"/>
      <c r="BV272" s="1009"/>
      <c r="BW272" s="1009"/>
      <c r="BX272" s="1009"/>
      <c r="BY272" s="1009"/>
      <c r="BZ272" s="1009"/>
      <c r="CA272" s="1009"/>
      <c r="CB272" s="1009"/>
      <c r="CC272" s="1009"/>
      <c r="CD272" s="1009"/>
      <c r="CE272" s="1009"/>
      <c r="CF272" s="1009"/>
      <c r="CG272" s="1009"/>
      <c r="CH272" s="1009"/>
      <c r="CI272" s="1009"/>
      <c r="CJ272" s="1009"/>
      <c r="CK272" s="1009"/>
      <c r="CL272" s="1009"/>
      <c r="CM272" s="1009"/>
      <c r="CN272" s="1009"/>
      <c r="CO272" s="1009"/>
      <c r="CP272" s="1009"/>
      <c r="CQ272" s="1009"/>
      <c r="CR272" s="1009"/>
      <c r="CS272" s="1009"/>
      <c r="CT272" s="1009"/>
      <c r="CU272" s="1009"/>
      <c r="CV272" s="1009"/>
      <c r="CW272" s="1009"/>
      <c r="CX272" s="1009"/>
      <c r="CY272" s="1009"/>
      <c r="CZ272" s="1009"/>
      <c r="DA272" s="1009"/>
      <c r="DB272" s="1009"/>
      <c r="DC272" s="1009"/>
      <c r="DD272" s="1009"/>
      <c r="DE272" s="1009"/>
      <c r="DF272" s="1009"/>
      <c r="DG272" s="1009"/>
      <c r="DH272" s="1009"/>
      <c r="DI272" s="1009"/>
      <c r="DJ272" s="1009"/>
      <c r="DK272" s="1009"/>
      <c r="DL272" s="1009"/>
      <c r="DM272" s="1009"/>
      <c r="DN272" s="1009"/>
      <c r="DO272" s="1009"/>
      <c r="DP272" s="1009"/>
      <c r="DQ272" s="1009"/>
      <c r="DR272" s="1009"/>
      <c r="DS272" s="1009"/>
      <c r="DT272" s="1009"/>
      <c r="DU272" s="1009"/>
      <c r="DV272" s="1009"/>
      <c r="DW272" s="1009"/>
      <c r="DX272" s="1009"/>
      <c r="DY272" s="1009"/>
      <c r="DZ272" s="1009"/>
      <c r="EA272" s="1009"/>
      <c r="EB272" s="1009"/>
      <c r="EC272" s="1009"/>
      <c r="ED272" s="1009"/>
      <c r="EE272" s="1009"/>
      <c r="EF272" s="1009"/>
      <c r="EG272" s="1009"/>
      <c r="EH272" s="1009"/>
      <c r="EI272" s="1009"/>
      <c r="EJ272" s="1009"/>
      <c r="EK272" s="1009"/>
      <c r="EL272" s="1009"/>
      <c r="EM272" s="1009"/>
      <c r="EN272" s="1009"/>
      <c r="EO272" s="1009"/>
      <c r="EP272" s="1009"/>
      <c r="EQ272" s="1009"/>
      <c r="ER272" s="1009"/>
      <c r="ES272" s="1009"/>
      <c r="ET272" s="1009"/>
      <c r="EU272" s="1009"/>
      <c r="EV272" s="1009"/>
      <c r="EW272" s="1009"/>
      <c r="EX272" s="1009"/>
      <c r="EY272" s="1009"/>
      <c r="EZ272" s="1009"/>
      <c r="FA272" s="1009"/>
      <c r="FB272" s="1009"/>
      <c r="FC272" s="1009"/>
      <c r="FD272" s="1009"/>
      <c r="FE272" s="1009"/>
      <c r="FF272" s="1009"/>
      <c r="FG272" s="1009"/>
      <c r="FH272" s="1009"/>
      <c r="FI272" s="1009"/>
      <c r="FJ272" s="1009"/>
      <c r="FK272" s="1009"/>
      <c r="FL272" s="1009"/>
      <c r="FM272" s="1009"/>
      <c r="FN272" s="1009"/>
      <c r="FO272" s="1009"/>
      <c r="FP272" s="1009"/>
      <c r="FQ272" s="1009"/>
      <c r="FR272" s="1009"/>
      <c r="FS272" s="1009"/>
      <c r="FT272" s="1009"/>
      <c r="FU272" s="1009"/>
      <c r="FV272" s="1009"/>
      <c r="FW272" s="1009"/>
      <c r="FX272" s="1009"/>
      <c r="FY272" s="1009"/>
      <c r="FZ272" s="1009"/>
      <c r="GA272" s="1009"/>
      <c r="GB272" s="1009"/>
      <c r="GC272" s="1009"/>
      <c r="GD272" s="1009"/>
      <c r="GE272" s="1009"/>
      <c r="GF272" s="1009"/>
      <c r="GG272" s="1009"/>
      <c r="GH272" s="1009"/>
      <c r="GI272" s="1009"/>
      <c r="GJ272" s="1009"/>
      <c r="GK272" s="1009"/>
      <c r="GL272" s="1009"/>
      <c r="GM272" s="1009"/>
      <c r="GN272" s="1009"/>
      <c r="GO272" s="1009"/>
      <c r="GP272" s="1009"/>
      <c r="GQ272" s="1009"/>
      <c r="GR272" s="1009"/>
      <c r="GS272" s="1009"/>
      <c r="GT272" s="1009"/>
      <c r="GU272" s="1009"/>
      <c r="GV272" s="1009"/>
      <c r="GW272" s="1009"/>
      <c r="GX272" s="1009"/>
      <c r="GY272" s="1009"/>
      <c r="GZ272" s="1009"/>
      <c r="HA272" s="1009"/>
      <c r="HB272" s="1009"/>
      <c r="HC272" s="1009"/>
      <c r="HD272" s="1009"/>
      <c r="HE272" s="1009"/>
      <c r="HF272" s="1009"/>
      <c r="HG272" s="1009"/>
      <c r="HH272" s="1009"/>
      <c r="HI272" s="1009"/>
      <c r="HJ272" s="1009"/>
      <c r="HK272" s="1009"/>
      <c r="HL272" s="1009"/>
      <c r="HM272" s="1009"/>
      <c r="HN272" s="1009"/>
      <c r="HO272" s="1009"/>
      <c r="HP272" s="1009"/>
      <c r="HQ272" s="1009"/>
      <c r="HR272" s="1009"/>
      <c r="HS272" s="1009"/>
      <c r="HT272" s="1009"/>
      <c r="HU272" s="1009"/>
      <c r="HV272" s="1009"/>
      <c r="HW272" s="1009"/>
      <c r="HX272" s="1009"/>
      <c r="HY272" s="1009"/>
      <c r="HZ272" s="1009"/>
      <c r="IA272" s="1009"/>
      <c r="IB272" s="1009"/>
      <c r="IC272" s="1009"/>
      <c r="ID272" s="1009"/>
      <c r="IE272" s="1009"/>
      <c r="IF272" s="1009"/>
      <c r="IG272" s="1009"/>
      <c r="IH272" s="1009"/>
      <c r="II272" s="1009"/>
      <c r="IJ272" s="1009"/>
      <c r="IK272" s="1009"/>
      <c r="IL272" s="1009"/>
      <c r="IM272" s="1009"/>
      <c r="IN272" s="1009"/>
      <c r="IO272" s="1009"/>
      <c r="IP272" s="1009"/>
      <c r="IQ272" s="1009"/>
      <c r="IR272" s="1009"/>
      <c r="IS272" s="1009"/>
      <c r="IT272" s="1009"/>
      <c r="IU272" s="1009"/>
      <c r="IV272" s="1009"/>
      <c r="IW272" s="1009"/>
      <c r="IX272" s="1009"/>
      <c r="IY272" s="1009"/>
      <c r="IZ272" s="1009"/>
      <c r="JA272" s="1009"/>
      <c r="JB272" s="1009"/>
      <c r="JC272" s="1009"/>
      <c r="JD272" s="1009"/>
      <c r="JE272" s="1009"/>
      <c r="JF272" s="1009"/>
      <c r="JG272" s="1009"/>
      <c r="JH272" s="1009"/>
      <c r="JI272" s="1009"/>
      <c r="JJ272" s="1009"/>
      <c r="JK272" s="1009"/>
      <c r="JL272" s="1009"/>
      <c r="JM272" s="1009"/>
      <c r="JN272" s="1009"/>
      <c r="JO272" s="1009"/>
      <c r="JP272" s="1009"/>
      <c r="JQ272" s="1009"/>
      <c r="JR272" s="1009"/>
      <c r="JS272" s="1009"/>
      <c r="JT272" s="1009"/>
      <c r="JU272" s="1009"/>
      <c r="JV272" s="1009"/>
      <c r="JW272" s="1009"/>
      <c r="JX272" s="1009"/>
      <c r="JY272" s="1009"/>
      <c r="JZ272" s="1009"/>
      <c r="KA272" s="1009"/>
      <c r="KB272" s="1009"/>
      <c r="KC272" s="1009"/>
      <c r="KD272" s="1009"/>
      <c r="KE272" s="1009"/>
      <c r="KF272" s="1009"/>
      <c r="KG272" s="1009"/>
      <c r="KH272" s="1009"/>
      <c r="KI272" s="1009"/>
      <c r="KJ272" s="1009"/>
      <c r="KK272" s="1009"/>
      <c r="KL272" s="1009"/>
      <c r="KM272" s="1009"/>
      <c r="KN272" s="1009"/>
      <c r="KO272" s="1009"/>
      <c r="KP272" s="1009"/>
      <c r="KQ272" s="1009"/>
      <c r="KR272" s="1009"/>
      <c r="KS272" s="1009"/>
      <c r="KT272" s="1009"/>
      <c r="KU272" s="1009"/>
      <c r="KV272" s="1009"/>
      <c r="KW272" s="1009"/>
      <c r="KX272" s="1009"/>
      <c r="KY272" s="1009"/>
      <c r="KZ272" s="1009"/>
      <c r="LA272" s="1009"/>
      <c r="LB272" s="1009"/>
      <c r="LC272" s="1009"/>
      <c r="LD272" s="1009"/>
      <c r="LE272" s="1009"/>
      <c r="LF272" s="1009"/>
      <c r="LG272" s="1009"/>
      <c r="LH272" s="1009"/>
      <c r="LI272" s="1009"/>
      <c r="LJ272" s="1009"/>
      <c r="LK272" s="1009"/>
      <c r="LL272" s="1009"/>
      <c r="LM272" s="1009"/>
      <c r="LN272" s="1009"/>
      <c r="LO272" s="1009"/>
      <c r="LP272" s="1009"/>
      <c r="LQ272" s="1009"/>
      <c r="LR272" s="1009"/>
      <c r="LS272" s="1009"/>
      <c r="LT272" s="1009"/>
      <c r="LU272" s="1009"/>
      <c r="LV272" s="1009"/>
      <c r="LW272" s="1009"/>
      <c r="LX272" s="1009"/>
      <c r="LY272" s="1009"/>
      <c r="LZ272" s="1009"/>
      <c r="MA272" s="1009"/>
      <c r="MB272" s="1009"/>
      <c r="MC272" s="1009"/>
      <c r="MD272" s="1009"/>
      <c r="ME272" s="1009"/>
      <c r="MF272" s="1009"/>
      <c r="MG272" s="1009"/>
      <c r="MH272" s="1009"/>
      <c r="MI272" s="1009"/>
      <c r="MJ272" s="1009"/>
      <c r="MK272" s="1009"/>
      <c r="ML272" s="1009"/>
      <c r="MM272" s="1009"/>
      <c r="MN272" s="1009"/>
      <c r="MO272" s="1009"/>
      <c r="MP272" s="1009"/>
      <c r="MQ272" s="1009"/>
      <c r="MR272" s="1009"/>
      <c r="MS272" s="1009"/>
      <c r="MT272" s="1009"/>
      <c r="MU272" s="1009"/>
      <c r="MV272" s="1009"/>
      <c r="MW272" s="1009"/>
      <c r="MX272" s="1009"/>
      <c r="MY272" s="1009"/>
      <c r="MZ272" s="1009"/>
      <c r="NA272" s="1009"/>
      <c r="NB272" s="1009"/>
      <c r="NC272" s="1009"/>
      <c r="ND272" s="1009"/>
      <c r="NE272" s="1009"/>
      <c r="NF272" s="1009"/>
      <c r="NG272" s="1009"/>
      <c r="NH272" s="1009"/>
      <c r="NI272" s="1009"/>
      <c r="NJ272" s="1009"/>
      <c r="NK272" s="1009"/>
      <c r="NL272" s="1009"/>
      <c r="NM272" s="1009"/>
      <c r="NN272" s="1009"/>
      <c r="NO272" s="1009"/>
      <c r="NP272" s="1009"/>
      <c r="NQ272" s="1009"/>
      <c r="NR272" s="1009"/>
      <c r="NS272" s="1009"/>
      <c r="NT272" s="1009"/>
      <c r="NU272" s="1009"/>
      <c r="NV272" s="1009"/>
      <c r="NW272" s="1009"/>
      <c r="NX272" s="1009"/>
      <c r="NY272" s="1009"/>
      <c r="NZ272" s="1009"/>
      <c r="OA272" s="1009"/>
      <c r="OB272" s="1009"/>
      <c r="OC272" s="1009"/>
      <c r="OD272" s="1009"/>
      <c r="OE272" s="1009"/>
      <c r="OF272" s="1009"/>
      <c r="OG272" s="1009"/>
      <c r="OH272" s="1009"/>
      <c r="OI272" s="1009"/>
      <c r="OJ272" s="1009"/>
      <c r="OK272" s="1009"/>
      <c r="OL272" s="1009"/>
      <c r="OM272" s="1009"/>
      <c r="ON272" s="1009"/>
      <c r="OO272" s="1009"/>
      <c r="OP272" s="1009"/>
      <c r="OQ272" s="1009"/>
      <c r="OR272" s="1009"/>
      <c r="OS272" s="1009"/>
      <c r="OT272" s="1009"/>
      <c r="OU272" s="1009"/>
      <c r="OV272" s="1009"/>
      <c r="OW272" s="1009"/>
      <c r="OX272" s="1009"/>
      <c r="OY272" s="1009"/>
      <c r="OZ272" s="1009"/>
      <c r="PA272" s="1009"/>
      <c r="PB272" s="1009"/>
      <c r="PC272" s="1009"/>
      <c r="PD272" s="1009"/>
      <c r="PE272" s="1009"/>
      <c r="PF272" s="1009"/>
      <c r="PG272" s="1009"/>
      <c r="PH272" s="1009"/>
      <c r="PI272" s="1009"/>
      <c r="PJ272" s="1009"/>
      <c r="PK272" s="1009"/>
      <c r="PL272" s="1009"/>
      <c r="PM272" s="1009"/>
      <c r="PN272" s="1009"/>
      <c r="PO272" s="1009"/>
      <c r="PP272" s="1009"/>
      <c r="PQ272" s="1009"/>
      <c r="PR272" s="1009"/>
      <c r="PS272" s="1009"/>
      <c r="PT272" s="1009"/>
      <c r="PU272" s="1009"/>
      <c r="PV272" s="1009"/>
      <c r="PW272" s="1009"/>
      <c r="PX272" s="1009"/>
      <c r="PY272" s="1009"/>
      <c r="PZ272" s="1009"/>
      <c r="QA272" s="1009"/>
      <c r="QB272" s="1009"/>
      <c r="QC272" s="1009"/>
      <c r="QD272" s="1009"/>
      <c r="QE272" s="1009"/>
      <c r="QF272" s="1009"/>
      <c r="QG272" s="1009"/>
      <c r="QH272" s="1009"/>
      <c r="QI272" s="1009"/>
      <c r="QJ272" s="1009"/>
      <c r="QK272" s="1009"/>
      <c r="QL272" s="1009"/>
      <c r="QM272" s="1009"/>
      <c r="QN272" s="1009"/>
      <c r="QO272" s="1009"/>
      <c r="QP272" s="1009"/>
      <c r="QQ272" s="1009"/>
      <c r="QR272" s="1009"/>
      <c r="QS272" s="1009"/>
      <c r="QT272" s="1009"/>
      <c r="QU272" s="1009"/>
      <c r="QV272" s="1009"/>
      <c r="QW272" s="1009"/>
      <c r="QX272" s="1009"/>
      <c r="QY272" s="1009"/>
      <c r="QZ272" s="1009"/>
      <c r="RA272" s="1009"/>
      <c r="RB272" s="1009"/>
      <c r="RC272" s="1009"/>
      <c r="RD272" s="1009"/>
      <c r="RE272" s="1009"/>
      <c r="RF272" s="1009"/>
      <c r="RG272" s="1009"/>
      <c r="RH272" s="1009"/>
      <c r="RI272" s="1009"/>
      <c r="RJ272" s="1009"/>
      <c r="RK272" s="1009"/>
      <c r="RL272" s="1009"/>
      <c r="RM272" s="1009"/>
      <c r="RN272" s="1009"/>
      <c r="RO272" s="1009"/>
      <c r="RP272" s="1009"/>
      <c r="RQ272" s="1009"/>
      <c r="RR272" s="1009"/>
      <c r="RS272" s="1009"/>
      <c r="RT272" s="1009"/>
      <c r="RU272" s="1009"/>
      <c r="RV272" s="1009"/>
      <c r="RW272" s="1009"/>
      <c r="RX272" s="1009"/>
      <c r="RY272" s="1009"/>
      <c r="RZ272" s="1009"/>
      <c r="SA272" s="1009"/>
      <c r="SB272" s="1009"/>
      <c r="SC272" s="1009"/>
      <c r="SD272" s="1009"/>
      <c r="SE272" s="1009"/>
      <c r="SF272" s="1009"/>
      <c r="SG272" s="1009"/>
      <c r="SH272" s="1009"/>
      <c r="SI272" s="1009"/>
      <c r="SJ272" s="1009"/>
      <c r="SK272" s="1009"/>
      <c r="SL272" s="1009"/>
      <c r="SM272" s="1009"/>
      <c r="SN272" s="1009"/>
      <c r="SO272" s="1009"/>
      <c r="SP272" s="1009"/>
      <c r="SQ272" s="1009"/>
      <c r="SR272" s="1009"/>
      <c r="SS272" s="1009"/>
      <c r="ST272" s="1009"/>
      <c r="SU272" s="1009"/>
      <c r="SV272" s="1009"/>
      <c r="SW272" s="1009"/>
      <c r="SX272" s="1009"/>
      <c r="SY272" s="1009"/>
      <c r="SZ272" s="1009"/>
      <c r="TA272" s="1009"/>
      <c r="TB272" s="1009"/>
      <c r="TC272" s="1009"/>
      <c r="TD272" s="1009"/>
      <c r="TE272" s="1009"/>
      <c r="TF272" s="1009"/>
      <c r="TG272" s="1009"/>
      <c r="TH272" s="1009"/>
      <c r="TI272" s="1009"/>
      <c r="TJ272" s="1009"/>
      <c r="TK272" s="1009"/>
      <c r="TL272" s="1009"/>
      <c r="TM272" s="1009"/>
      <c r="TN272" s="1009"/>
      <c r="TO272" s="1009"/>
      <c r="TP272" s="1009"/>
      <c r="TQ272" s="1009"/>
      <c r="TR272" s="1009"/>
      <c r="TS272" s="1009"/>
      <c r="TT272" s="1009"/>
      <c r="TU272" s="1009"/>
      <c r="TV272" s="1009"/>
      <c r="TW272" s="1009"/>
      <c r="TX272" s="1009"/>
      <c r="TY272" s="1009"/>
      <c r="TZ272" s="1009"/>
      <c r="UA272" s="1009"/>
      <c r="UB272" s="1009"/>
      <c r="UC272" s="1009"/>
      <c r="UD272" s="1009"/>
      <c r="UE272" s="1009"/>
      <c r="UF272" s="1009"/>
      <c r="UG272" s="1009"/>
      <c r="UH272" s="1009"/>
      <c r="UI272" s="1009"/>
      <c r="UJ272" s="1009"/>
      <c r="UK272" s="1009"/>
      <c r="UL272" s="1009"/>
      <c r="UM272" s="1009"/>
      <c r="UN272" s="1009"/>
      <c r="UO272" s="1009"/>
      <c r="UP272" s="1009"/>
      <c r="UQ272" s="1009"/>
      <c r="UR272" s="1009"/>
      <c r="US272" s="1009"/>
      <c r="UT272" s="1009"/>
      <c r="UU272" s="1009"/>
      <c r="UV272" s="1009"/>
      <c r="UW272" s="1009"/>
      <c r="UX272" s="1009"/>
      <c r="UY272" s="1009"/>
      <c r="UZ272" s="1009"/>
      <c r="VA272" s="1009"/>
      <c r="VB272" s="1009"/>
      <c r="VC272" s="1009"/>
      <c r="VD272" s="1009"/>
      <c r="VE272" s="1009"/>
      <c r="VF272" s="1009"/>
      <c r="VG272" s="1009"/>
      <c r="VH272" s="1009"/>
      <c r="VI272" s="1009"/>
      <c r="VJ272" s="1009"/>
      <c r="VK272" s="1009"/>
      <c r="VL272" s="1009"/>
      <c r="VM272" s="1009"/>
      <c r="VN272" s="1009"/>
      <c r="VO272" s="1009"/>
      <c r="VP272" s="1009"/>
      <c r="VQ272" s="1009"/>
      <c r="VR272" s="1009"/>
      <c r="VS272" s="1009"/>
      <c r="VT272" s="1009"/>
      <c r="VU272" s="1009"/>
      <c r="VV272" s="1009"/>
      <c r="VW272" s="1009"/>
      <c r="VX272" s="1009"/>
      <c r="VY272" s="1009"/>
      <c r="VZ272" s="1009"/>
      <c r="WA272" s="1009"/>
      <c r="WB272" s="1009"/>
      <c r="WC272" s="1009"/>
      <c r="WD272" s="1009"/>
      <c r="WE272" s="1009"/>
      <c r="WF272" s="1009"/>
      <c r="WG272" s="1009"/>
      <c r="WH272" s="1009"/>
      <c r="WI272" s="1009"/>
      <c r="WJ272" s="1009"/>
      <c r="WK272" s="1009"/>
      <c r="WL272" s="1009"/>
      <c r="WM272" s="1009"/>
      <c r="WN272" s="1009"/>
      <c r="WO272" s="1009"/>
      <c r="WP272" s="1009"/>
      <c r="WQ272" s="1009"/>
      <c r="WR272" s="1009"/>
      <c r="WS272" s="1009"/>
      <c r="WT272" s="1009"/>
      <c r="WU272" s="1009"/>
      <c r="WV272" s="1009"/>
      <c r="WW272" s="1009"/>
      <c r="WX272" s="1009"/>
      <c r="WY272" s="1009"/>
      <c r="WZ272" s="1009"/>
      <c r="XA272" s="1009"/>
      <c r="XB272" s="1009"/>
      <c r="XC272" s="1009"/>
      <c r="XD272" s="1009"/>
      <c r="XE272" s="1009"/>
      <c r="XF272" s="1009"/>
      <c r="XG272" s="1009"/>
      <c r="XH272" s="1009"/>
      <c r="XI272" s="1009"/>
      <c r="XJ272" s="1009"/>
      <c r="XK272" s="1009"/>
      <c r="XL272" s="1009"/>
      <c r="XM272" s="1009"/>
      <c r="XN272" s="1009"/>
      <c r="XO272" s="1009"/>
      <c r="XP272" s="1009"/>
      <c r="XQ272" s="1009"/>
      <c r="XR272" s="1009"/>
      <c r="XS272" s="1009"/>
      <c r="XT272" s="1009"/>
      <c r="XU272" s="1009"/>
      <c r="XV272" s="1009"/>
      <c r="XW272" s="1009"/>
      <c r="XX272" s="1009"/>
      <c r="XY272" s="1009"/>
      <c r="XZ272" s="1009"/>
      <c r="YA272" s="1009"/>
      <c r="YB272" s="1009"/>
      <c r="YC272" s="1009"/>
      <c r="YD272" s="1009"/>
      <c r="YE272" s="1009"/>
      <c r="YF272" s="1009"/>
      <c r="YG272" s="1009"/>
      <c r="YH272" s="1009"/>
      <c r="YI272" s="1009"/>
      <c r="YJ272" s="1009"/>
      <c r="YK272" s="1009"/>
      <c r="YL272" s="1009"/>
      <c r="YM272" s="1009"/>
      <c r="YN272" s="1009"/>
      <c r="YO272" s="1009"/>
      <c r="YP272" s="1009"/>
      <c r="YQ272" s="1009"/>
      <c r="YR272" s="1009"/>
      <c r="YS272" s="1009"/>
      <c r="YT272" s="1009"/>
      <c r="YU272" s="1009"/>
      <c r="YV272" s="1009"/>
      <c r="YW272" s="1009"/>
      <c r="YX272" s="1009"/>
      <c r="YY272" s="1009"/>
      <c r="YZ272" s="1009"/>
      <c r="ZA272" s="1009"/>
      <c r="ZB272" s="1009"/>
      <c r="ZC272" s="1009"/>
      <c r="ZD272" s="1009"/>
      <c r="ZE272" s="1009"/>
      <c r="ZF272" s="1009"/>
      <c r="ZG272" s="1009"/>
      <c r="ZH272" s="1009"/>
      <c r="ZI272" s="1009"/>
      <c r="ZJ272" s="1009"/>
      <c r="ZK272" s="1009"/>
      <c r="ZL272" s="1009"/>
      <c r="ZM272" s="1009"/>
      <c r="ZN272" s="1009"/>
      <c r="ZO272" s="1009"/>
      <c r="ZP272" s="1009"/>
      <c r="ZQ272" s="1009"/>
      <c r="ZR272" s="1009"/>
      <c r="ZS272" s="1009"/>
      <c r="ZT272" s="1009"/>
      <c r="ZU272" s="1009"/>
      <c r="ZV272" s="1009"/>
      <c r="ZW272" s="1009"/>
      <c r="ZX272" s="1009"/>
      <c r="ZY272" s="1009"/>
      <c r="ZZ272" s="1009"/>
      <c r="AAA272" s="1009"/>
      <c r="AAB272" s="1009"/>
      <c r="AAC272" s="1009"/>
      <c r="AAD272" s="1009"/>
      <c r="AAE272" s="1009"/>
      <c r="AAF272" s="1009"/>
      <c r="AAG272" s="1009"/>
      <c r="AAH272" s="1009"/>
      <c r="AAI272" s="1009"/>
      <c r="AAJ272" s="1009"/>
      <c r="AAK272" s="1009"/>
      <c r="AAL272" s="1009"/>
      <c r="AAM272" s="1009"/>
      <c r="AAN272" s="1009"/>
      <c r="AAO272" s="1009"/>
      <c r="AAP272" s="1009"/>
      <c r="AAQ272" s="1009"/>
      <c r="AAR272" s="1009"/>
      <c r="AAS272" s="1009"/>
      <c r="AAT272" s="1009"/>
      <c r="AAU272" s="1009"/>
      <c r="AAV272" s="1009"/>
      <c r="AAW272" s="1009"/>
      <c r="AAX272" s="1009"/>
      <c r="AAY272" s="1009"/>
      <c r="AAZ272" s="1009"/>
      <c r="ABA272" s="1009"/>
      <c r="ABB272" s="1009"/>
      <c r="ABC272" s="1009"/>
      <c r="ABD272" s="1009"/>
      <c r="ABE272" s="1009"/>
      <c r="ABF272" s="1009"/>
      <c r="ABG272" s="1009"/>
      <c r="ABH272" s="1009"/>
      <c r="ABI272" s="1009"/>
      <c r="ABJ272" s="1009"/>
      <c r="ABK272" s="1009"/>
      <c r="ABL272" s="1009"/>
      <c r="ABM272" s="1009"/>
      <c r="ABN272" s="1009"/>
      <c r="ABO272" s="1009"/>
      <c r="ABP272" s="1009"/>
      <c r="ABQ272" s="1009"/>
      <c r="ABR272" s="1009"/>
    </row>
    <row r="273" spans="1:746" s="111" customFormat="1" ht="12" customHeight="1">
      <c r="A273" s="1758"/>
      <c r="B273" s="1211" t="s">
        <v>875</v>
      </c>
      <c r="C273" s="1212"/>
      <c r="D273" s="1212"/>
      <c r="E273" s="1212"/>
      <c r="F273" s="1212"/>
      <c r="G273" s="1212"/>
      <c r="H273" s="2191"/>
      <c r="I273" s="1210">
        <f>SUM(I271:I272)*fx!I57</f>
        <v>0</v>
      </c>
      <c r="J273" s="1210">
        <f>SUM(J271:J272)*fx!J57</f>
        <v>0</v>
      </c>
      <c r="K273" s="1210">
        <f>SUM(K271:K272)*fx!K57</f>
        <v>0</v>
      </c>
      <c r="L273" s="1210">
        <f>SUM(L271:L272)*fx!L57</f>
        <v>0</v>
      </c>
      <c r="M273" s="1210">
        <f>SUM(M271:M272)*fx!M57</f>
        <v>0</v>
      </c>
      <c r="N273" s="1210">
        <f>SUM(N271:N272)*fx!N57</f>
        <v>0</v>
      </c>
      <c r="O273" s="1210">
        <f>SUM(O271:O272)*fx!O57</f>
        <v>0</v>
      </c>
      <c r="P273" s="1210">
        <f>SUM(P271:P272)*fx!P57</f>
        <v>0</v>
      </c>
      <c r="Q273" s="1210">
        <f>SUM(Q271:Q272)*fx!Q57</f>
        <v>0</v>
      </c>
      <c r="R273" s="1210">
        <f>SUM(R271:R272)*fx!R57</f>
        <v>0</v>
      </c>
      <c r="S273" s="1210">
        <f>SUM(S271:S272)*fx!S57</f>
        <v>0</v>
      </c>
      <c r="T273" s="1210">
        <f>SUM(T271:T272)*fx!T57</f>
        <v>0</v>
      </c>
      <c r="U273" s="1210">
        <f>SUM(U271:U272)*fx!U57</f>
        <v>0</v>
      </c>
      <c r="V273" s="1210">
        <f>SUM(V271:V272)*fx!V57</f>
        <v>0</v>
      </c>
      <c r="W273" s="1210">
        <f>SUM(W271:W272)*fx!W57</f>
        <v>0</v>
      </c>
      <c r="X273" s="1210">
        <f>SUM(X271:X272)*fx!X57</f>
        <v>0</v>
      </c>
      <c r="Y273" s="1210">
        <f>SUM(Y271:Y272)*fx!Y57</f>
        <v>0</v>
      </c>
      <c r="Z273" s="1210">
        <f>SUM(Z271:Z272)*fx!Z57</f>
        <v>0</v>
      </c>
      <c r="AA273" s="1210">
        <f>SUM(AA271:AA272)*fx!AA57</f>
        <v>0</v>
      </c>
      <c r="AB273" s="1210">
        <f>SUM(AB271:AB272)*fx!AB57</f>
        <v>0</v>
      </c>
      <c r="AC273" s="1210">
        <f>SUM(AC271:AC272)*fx!AC57</f>
        <v>0</v>
      </c>
      <c r="AD273" s="1210">
        <f>SUM(AD271:AD272)*fx!AD57</f>
        <v>0</v>
      </c>
      <c r="AE273" s="1210">
        <f>SUM(AE271:AE272)*fx!AE57</f>
        <v>0</v>
      </c>
      <c r="AF273" s="1210">
        <f>SUM(AF271:AF272)*fx!AF57</f>
        <v>0</v>
      </c>
      <c r="AG273" s="337"/>
      <c r="AH273" s="337"/>
      <c r="AI273" s="337"/>
      <c r="AJ273" s="901">
        <f>IF(fx!$C$57=1,SUMIF(fx!I$57:T$57,1,I273:T273),IF(fx!$C$57=2,SUMIF(fx!O$57:AF$57,1,O273:AF273)))</f>
        <v>0</v>
      </c>
      <c r="AK273" s="1207"/>
      <c r="AL273" s="902">
        <f>IF(fx!$C$57=1,SUM(U273:AF273),0)</f>
        <v>0</v>
      </c>
      <c r="AM273" s="1009"/>
      <c r="AN273" s="1036"/>
      <c r="AO273" s="1034"/>
      <c r="AP273" s="1084"/>
      <c r="AQ273" s="1084"/>
      <c r="AR273" s="1009"/>
      <c r="AS273" s="1009"/>
      <c r="AT273" s="1009"/>
      <c r="AU273" s="1009"/>
      <c r="AV273" s="1009"/>
      <c r="AW273" s="1009"/>
      <c r="AX273" s="1009"/>
      <c r="AY273" s="1009"/>
      <c r="AZ273" s="1009"/>
      <c r="BA273" s="1009"/>
      <c r="BB273" s="1009"/>
      <c r="BC273" s="1009"/>
      <c r="BD273" s="1009"/>
      <c r="BE273" s="1009"/>
      <c r="BF273" s="1009"/>
      <c r="BG273" s="1009"/>
      <c r="BH273" s="1009"/>
      <c r="BI273" s="1009"/>
      <c r="BJ273" s="1009"/>
      <c r="BK273" s="1009"/>
      <c r="BL273" s="1009"/>
      <c r="BM273" s="1009"/>
      <c r="BN273" s="1009"/>
      <c r="BO273" s="1009"/>
      <c r="BP273" s="1009"/>
      <c r="BQ273" s="1009"/>
      <c r="BR273" s="1009"/>
      <c r="BS273" s="1009"/>
      <c r="BT273" s="1009"/>
      <c r="BU273" s="1009"/>
      <c r="BV273" s="1009"/>
      <c r="BW273" s="1009"/>
      <c r="BX273" s="1009"/>
      <c r="BY273" s="1009"/>
      <c r="BZ273" s="1009"/>
      <c r="CA273" s="1009"/>
      <c r="CB273" s="1009"/>
      <c r="CC273" s="1009"/>
      <c r="CD273" s="1009"/>
      <c r="CE273" s="1009"/>
      <c r="CF273" s="1009"/>
      <c r="CG273" s="1009"/>
      <c r="CH273" s="1009"/>
      <c r="CI273" s="1009"/>
      <c r="CJ273" s="1009"/>
      <c r="CK273" s="1009"/>
      <c r="CL273" s="1009"/>
      <c r="CM273" s="1009"/>
      <c r="CN273" s="1009"/>
      <c r="CO273" s="1009"/>
      <c r="CP273" s="1009"/>
      <c r="CQ273" s="1009"/>
      <c r="CR273" s="1009"/>
      <c r="CS273" s="1009"/>
      <c r="CT273" s="1009"/>
      <c r="CU273" s="1009"/>
      <c r="CV273" s="1009"/>
      <c r="CW273" s="1009"/>
      <c r="CX273" s="1009"/>
      <c r="CY273" s="1009"/>
      <c r="CZ273" s="1009"/>
      <c r="DA273" s="1009"/>
      <c r="DB273" s="1009"/>
      <c r="DC273" s="1009"/>
      <c r="DD273" s="1009"/>
      <c r="DE273" s="1009"/>
      <c r="DF273" s="1009"/>
      <c r="DG273" s="1009"/>
      <c r="DH273" s="1009"/>
      <c r="DI273" s="1009"/>
      <c r="DJ273" s="1009"/>
      <c r="DK273" s="1009"/>
      <c r="DL273" s="1009"/>
      <c r="DM273" s="1009"/>
      <c r="DN273" s="1009"/>
      <c r="DO273" s="1009"/>
      <c r="DP273" s="1009"/>
      <c r="DQ273" s="1009"/>
      <c r="DR273" s="1009"/>
      <c r="DS273" s="1009"/>
      <c r="DT273" s="1009"/>
      <c r="DU273" s="1009"/>
      <c r="DV273" s="1009"/>
      <c r="DW273" s="1009"/>
      <c r="DX273" s="1009"/>
      <c r="DY273" s="1009"/>
      <c r="DZ273" s="1009"/>
      <c r="EA273" s="1009"/>
      <c r="EB273" s="1009"/>
      <c r="EC273" s="1009"/>
      <c r="ED273" s="1009"/>
      <c r="EE273" s="1009"/>
      <c r="EF273" s="1009"/>
      <c r="EG273" s="1009"/>
      <c r="EH273" s="1009"/>
      <c r="EI273" s="1009"/>
      <c r="EJ273" s="1009"/>
      <c r="EK273" s="1009"/>
      <c r="EL273" s="1009"/>
      <c r="EM273" s="1009"/>
      <c r="EN273" s="1009"/>
      <c r="EO273" s="1009"/>
      <c r="EP273" s="1009"/>
      <c r="EQ273" s="1009"/>
      <c r="ER273" s="1009"/>
      <c r="ES273" s="1009"/>
      <c r="ET273" s="1009"/>
      <c r="EU273" s="1009"/>
      <c r="EV273" s="1009"/>
      <c r="EW273" s="1009"/>
      <c r="EX273" s="1009"/>
      <c r="EY273" s="1009"/>
      <c r="EZ273" s="1009"/>
      <c r="FA273" s="1009"/>
      <c r="FB273" s="1009"/>
      <c r="FC273" s="1009"/>
      <c r="FD273" s="1009"/>
      <c r="FE273" s="1009"/>
      <c r="FF273" s="1009"/>
      <c r="FG273" s="1009"/>
      <c r="FH273" s="1009"/>
      <c r="FI273" s="1009"/>
      <c r="FJ273" s="1009"/>
      <c r="FK273" s="1009"/>
      <c r="FL273" s="1009"/>
      <c r="FM273" s="1009"/>
      <c r="FN273" s="1009"/>
      <c r="FO273" s="1009"/>
      <c r="FP273" s="1009"/>
      <c r="FQ273" s="1009"/>
      <c r="FR273" s="1009"/>
      <c r="FS273" s="1009"/>
      <c r="FT273" s="1009"/>
      <c r="FU273" s="1009"/>
      <c r="FV273" s="1009"/>
      <c r="FW273" s="1009"/>
      <c r="FX273" s="1009"/>
      <c r="FY273" s="1009"/>
      <c r="FZ273" s="1009"/>
      <c r="GA273" s="1009"/>
      <c r="GB273" s="1009"/>
      <c r="GC273" s="1009"/>
      <c r="GD273" s="1009"/>
      <c r="GE273" s="1009"/>
      <c r="GF273" s="1009"/>
      <c r="GG273" s="1009"/>
      <c r="GH273" s="1009"/>
      <c r="GI273" s="1009"/>
      <c r="GJ273" s="1009"/>
      <c r="GK273" s="1009"/>
      <c r="GL273" s="1009"/>
      <c r="GM273" s="1009"/>
      <c r="GN273" s="1009"/>
      <c r="GO273" s="1009"/>
      <c r="GP273" s="1009"/>
      <c r="GQ273" s="1009"/>
      <c r="GR273" s="1009"/>
      <c r="GS273" s="1009"/>
      <c r="GT273" s="1009"/>
      <c r="GU273" s="1009"/>
      <c r="GV273" s="1009"/>
      <c r="GW273" s="1009"/>
      <c r="GX273" s="1009"/>
      <c r="GY273" s="1009"/>
      <c r="GZ273" s="1009"/>
      <c r="HA273" s="1009"/>
      <c r="HB273" s="1009"/>
      <c r="HC273" s="1009"/>
      <c r="HD273" s="1009"/>
      <c r="HE273" s="1009"/>
      <c r="HF273" s="1009"/>
      <c r="HG273" s="1009"/>
      <c r="HH273" s="1009"/>
      <c r="HI273" s="1009"/>
      <c r="HJ273" s="1009"/>
      <c r="HK273" s="1009"/>
      <c r="HL273" s="1009"/>
      <c r="HM273" s="1009"/>
      <c r="HN273" s="1009"/>
      <c r="HO273" s="1009"/>
      <c r="HP273" s="1009"/>
      <c r="HQ273" s="1009"/>
      <c r="HR273" s="1009"/>
      <c r="HS273" s="1009"/>
      <c r="HT273" s="1009"/>
      <c r="HU273" s="1009"/>
      <c r="HV273" s="1009"/>
      <c r="HW273" s="1009"/>
      <c r="HX273" s="1009"/>
      <c r="HY273" s="1009"/>
      <c r="HZ273" s="1009"/>
      <c r="IA273" s="1009"/>
      <c r="IB273" s="1009"/>
      <c r="IC273" s="1009"/>
      <c r="ID273" s="1009"/>
      <c r="IE273" s="1009"/>
      <c r="IF273" s="1009"/>
      <c r="IG273" s="1009"/>
      <c r="IH273" s="1009"/>
      <c r="II273" s="1009"/>
      <c r="IJ273" s="1009"/>
      <c r="IK273" s="1009"/>
      <c r="IL273" s="1009"/>
      <c r="IM273" s="1009"/>
      <c r="IN273" s="1009"/>
      <c r="IO273" s="1009"/>
      <c r="IP273" s="1009"/>
      <c r="IQ273" s="1009"/>
      <c r="IR273" s="1009"/>
      <c r="IS273" s="1009"/>
      <c r="IT273" s="1009"/>
      <c r="IU273" s="1009"/>
      <c r="IV273" s="1009"/>
      <c r="IW273" s="1009"/>
      <c r="IX273" s="1009"/>
      <c r="IY273" s="1009"/>
      <c r="IZ273" s="1009"/>
      <c r="JA273" s="1009"/>
      <c r="JB273" s="1009"/>
      <c r="JC273" s="1009"/>
      <c r="JD273" s="1009"/>
      <c r="JE273" s="1009"/>
      <c r="JF273" s="1009"/>
      <c r="JG273" s="1009"/>
      <c r="JH273" s="1009"/>
      <c r="JI273" s="1009"/>
      <c r="JJ273" s="1009"/>
      <c r="JK273" s="1009"/>
      <c r="JL273" s="1009"/>
      <c r="JM273" s="1009"/>
      <c r="JN273" s="1009"/>
      <c r="JO273" s="1009"/>
      <c r="JP273" s="1009"/>
      <c r="JQ273" s="1009"/>
      <c r="JR273" s="1009"/>
      <c r="JS273" s="1009"/>
      <c r="JT273" s="1009"/>
      <c r="JU273" s="1009"/>
      <c r="JV273" s="1009"/>
      <c r="JW273" s="1009"/>
      <c r="JX273" s="1009"/>
      <c r="JY273" s="1009"/>
      <c r="JZ273" s="1009"/>
      <c r="KA273" s="1009"/>
      <c r="KB273" s="1009"/>
      <c r="KC273" s="1009"/>
      <c r="KD273" s="1009"/>
      <c r="KE273" s="1009"/>
      <c r="KF273" s="1009"/>
      <c r="KG273" s="1009"/>
      <c r="KH273" s="1009"/>
      <c r="KI273" s="1009"/>
      <c r="KJ273" s="1009"/>
      <c r="KK273" s="1009"/>
      <c r="KL273" s="1009"/>
      <c r="KM273" s="1009"/>
      <c r="KN273" s="1009"/>
      <c r="KO273" s="1009"/>
      <c r="KP273" s="1009"/>
      <c r="KQ273" s="1009"/>
      <c r="KR273" s="1009"/>
      <c r="KS273" s="1009"/>
      <c r="KT273" s="1009"/>
      <c r="KU273" s="1009"/>
      <c r="KV273" s="1009"/>
      <c r="KW273" s="1009"/>
      <c r="KX273" s="1009"/>
      <c r="KY273" s="1009"/>
      <c r="KZ273" s="1009"/>
      <c r="LA273" s="1009"/>
      <c r="LB273" s="1009"/>
      <c r="LC273" s="1009"/>
      <c r="LD273" s="1009"/>
      <c r="LE273" s="1009"/>
      <c r="LF273" s="1009"/>
      <c r="LG273" s="1009"/>
      <c r="LH273" s="1009"/>
      <c r="LI273" s="1009"/>
      <c r="LJ273" s="1009"/>
      <c r="LK273" s="1009"/>
      <c r="LL273" s="1009"/>
      <c r="LM273" s="1009"/>
      <c r="LN273" s="1009"/>
      <c r="LO273" s="1009"/>
      <c r="LP273" s="1009"/>
      <c r="LQ273" s="1009"/>
      <c r="LR273" s="1009"/>
      <c r="LS273" s="1009"/>
      <c r="LT273" s="1009"/>
      <c r="LU273" s="1009"/>
      <c r="LV273" s="1009"/>
      <c r="LW273" s="1009"/>
      <c r="LX273" s="1009"/>
      <c r="LY273" s="1009"/>
      <c r="LZ273" s="1009"/>
      <c r="MA273" s="1009"/>
      <c r="MB273" s="1009"/>
      <c r="MC273" s="1009"/>
      <c r="MD273" s="1009"/>
      <c r="ME273" s="1009"/>
      <c r="MF273" s="1009"/>
      <c r="MG273" s="1009"/>
      <c r="MH273" s="1009"/>
      <c r="MI273" s="1009"/>
      <c r="MJ273" s="1009"/>
      <c r="MK273" s="1009"/>
      <c r="ML273" s="1009"/>
      <c r="MM273" s="1009"/>
      <c r="MN273" s="1009"/>
      <c r="MO273" s="1009"/>
      <c r="MP273" s="1009"/>
      <c r="MQ273" s="1009"/>
      <c r="MR273" s="1009"/>
      <c r="MS273" s="1009"/>
      <c r="MT273" s="1009"/>
      <c r="MU273" s="1009"/>
      <c r="MV273" s="1009"/>
      <c r="MW273" s="1009"/>
      <c r="MX273" s="1009"/>
      <c r="MY273" s="1009"/>
      <c r="MZ273" s="1009"/>
      <c r="NA273" s="1009"/>
      <c r="NB273" s="1009"/>
      <c r="NC273" s="1009"/>
      <c r="ND273" s="1009"/>
      <c r="NE273" s="1009"/>
      <c r="NF273" s="1009"/>
      <c r="NG273" s="1009"/>
      <c r="NH273" s="1009"/>
      <c r="NI273" s="1009"/>
      <c r="NJ273" s="1009"/>
      <c r="NK273" s="1009"/>
      <c r="NL273" s="1009"/>
      <c r="NM273" s="1009"/>
      <c r="NN273" s="1009"/>
      <c r="NO273" s="1009"/>
      <c r="NP273" s="1009"/>
      <c r="NQ273" s="1009"/>
      <c r="NR273" s="1009"/>
      <c r="NS273" s="1009"/>
      <c r="NT273" s="1009"/>
      <c r="NU273" s="1009"/>
      <c r="NV273" s="1009"/>
      <c r="NW273" s="1009"/>
      <c r="NX273" s="1009"/>
      <c r="NY273" s="1009"/>
      <c r="NZ273" s="1009"/>
      <c r="OA273" s="1009"/>
      <c r="OB273" s="1009"/>
      <c r="OC273" s="1009"/>
      <c r="OD273" s="1009"/>
      <c r="OE273" s="1009"/>
      <c r="OF273" s="1009"/>
      <c r="OG273" s="1009"/>
      <c r="OH273" s="1009"/>
      <c r="OI273" s="1009"/>
      <c r="OJ273" s="1009"/>
      <c r="OK273" s="1009"/>
      <c r="OL273" s="1009"/>
      <c r="OM273" s="1009"/>
      <c r="ON273" s="1009"/>
      <c r="OO273" s="1009"/>
      <c r="OP273" s="1009"/>
      <c r="OQ273" s="1009"/>
      <c r="OR273" s="1009"/>
      <c r="OS273" s="1009"/>
      <c r="OT273" s="1009"/>
      <c r="OU273" s="1009"/>
      <c r="OV273" s="1009"/>
      <c r="OW273" s="1009"/>
      <c r="OX273" s="1009"/>
      <c r="OY273" s="1009"/>
      <c r="OZ273" s="1009"/>
      <c r="PA273" s="1009"/>
      <c r="PB273" s="1009"/>
      <c r="PC273" s="1009"/>
      <c r="PD273" s="1009"/>
      <c r="PE273" s="1009"/>
      <c r="PF273" s="1009"/>
      <c r="PG273" s="1009"/>
      <c r="PH273" s="1009"/>
      <c r="PI273" s="1009"/>
      <c r="PJ273" s="1009"/>
      <c r="PK273" s="1009"/>
      <c r="PL273" s="1009"/>
      <c r="PM273" s="1009"/>
      <c r="PN273" s="1009"/>
      <c r="PO273" s="1009"/>
      <c r="PP273" s="1009"/>
      <c r="PQ273" s="1009"/>
      <c r="PR273" s="1009"/>
      <c r="PS273" s="1009"/>
      <c r="PT273" s="1009"/>
      <c r="PU273" s="1009"/>
      <c r="PV273" s="1009"/>
      <c r="PW273" s="1009"/>
      <c r="PX273" s="1009"/>
      <c r="PY273" s="1009"/>
      <c r="PZ273" s="1009"/>
      <c r="QA273" s="1009"/>
      <c r="QB273" s="1009"/>
      <c r="QC273" s="1009"/>
      <c r="QD273" s="1009"/>
      <c r="QE273" s="1009"/>
      <c r="QF273" s="1009"/>
      <c r="QG273" s="1009"/>
      <c r="QH273" s="1009"/>
      <c r="QI273" s="1009"/>
      <c r="QJ273" s="1009"/>
      <c r="QK273" s="1009"/>
      <c r="QL273" s="1009"/>
      <c r="QM273" s="1009"/>
      <c r="QN273" s="1009"/>
      <c r="QO273" s="1009"/>
      <c r="QP273" s="1009"/>
      <c r="QQ273" s="1009"/>
      <c r="QR273" s="1009"/>
      <c r="QS273" s="1009"/>
      <c r="QT273" s="1009"/>
      <c r="QU273" s="1009"/>
      <c r="QV273" s="1009"/>
      <c r="QW273" s="1009"/>
      <c r="QX273" s="1009"/>
      <c r="QY273" s="1009"/>
      <c r="QZ273" s="1009"/>
      <c r="RA273" s="1009"/>
      <c r="RB273" s="1009"/>
      <c r="RC273" s="1009"/>
      <c r="RD273" s="1009"/>
      <c r="RE273" s="1009"/>
      <c r="RF273" s="1009"/>
      <c r="RG273" s="1009"/>
      <c r="RH273" s="1009"/>
      <c r="RI273" s="1009"/>
      <c r="RJ273" s="1009"/>
      <c r="RK273" s="1009"/>
      <c r="RL273" s="1009"/>
      <c r="RM273" s="1009"/>
      <c r="RN273" s="1009"/>
      <c r="RO273" s="1009"/>
      <c r="RP273" s="1009"/>
      <c r="RQ273" s="1009"/>
      <c r="RR273" s="1009"/>
      <c r="RS273" s="1009"/>
      <c r="RT273" s="1009"/>
      <c r="RU273" s="1009"/>
      <c r="RV273" s="1009"/>
      <c r="RW273" s="1009"/>
      <c r="RX273" s="1009"/>
      <c r="RY273" s="1009"/>
      <c r="RZ273" s="1009"/>
      <c r="SA273" s="1009"/>
      <c r="SB273" s="1009"/>
      <c r="SC273" s="1009"/>
      <c r="SD273" s="1009"/>
      <c r="SE273" s="1009"/>
      <c r="SF273" s="1009"/>
      <c r="SG273" s="1009"/>
      <c r="SH273" s="1009"/>
      <c r="SI273" s="1009"/>
      <c r="SJ273" s="1009"/>
      <c r="SK273" s="1009"/>
      <c r="SL273" s="1009"/>
      <c r="SM273" s="1009"/>
      <c r="SN273" s="1009"/>
      <c r="SO273" s="1009"/>
      <c r="SP273" s="1009"/>
      <c r="SQ273" s="1009"/>
      <c r="SR273" s="1009"/>
      <c r="SS273" s="1009"/>
      <c r="ST273" s="1009"/>
      <c r="SU273" s="1009"/>
      <c r="SV273" s="1009"/>
      <c r="SW273" s="1009"/>
      <c r="SX273" s="1009"/>
      <c r="SY273" s="1009"/>
      <c r="SZ273" s="1009"/>
      <c r="TA273" s="1009"/>
      <c r="TB273" s="1009"/>
      <c r="TC273" s="1009"/>
      <c r="TD273" s="1009"/>
      <c r="TE273" s="1009"/>
      <c r="TF273" s="1009"/>
      <c r="TG273" s="1009"/>
      <c r="TH273" s="1009"/>
      <c r="TI273" s="1009"/>
      <c r="TJ273" s="1009"/>
      <c r="TK273" s="1009"/>
      <c r="TL273" s="1009"/>
      <c r="TM273" s="1009"/>
      <c r="TN273" s="1009"/>
      <c r="TO273" s="1009"/>
      <c r="TP273" s="1009"/>
      <c r="TQ273" s="1009"/>
      <c r="TR273" s="1009"/>
      <c r="TS273" s="1009"/>
      <c r="TT273" s="1009"/>
      <c r="TU273" s="1009"/>
      <c r="TV273" s="1009"/>
      <c r="TW273" s="1009"/>
      <c r="TX273" s="1009"/>
      <c r="TY273" s="1009"/>
      <c r="TZ273" s="1009"/>
      <c r="UA273" s="1009"/>
      <c r="UB273" s="1009"/>
      <c r="UC273" s="1009"/>
      <c r="UD273" s="1009"/>
      <c r="UE273" s="1009"/>
      <c r="UF273" s="1009"/>
      <c r="UG273" s="1009"/>
      <c r="UH273" s="1009"/>
      <c r="UI273" s="1009"/>
      <c r="UJ273" s="1009"/>
      <c r="UK273" s="1009"/>
      <c r="UL273" s="1009"/>
      <c r="UM273" s="1009"/>
      <c r="UN273" s="1009"/>
      <c r="UO273" s="1009"/>
      <c r="UP273" s="1009"/>
      <c r="UQ273" s="1009"/>
      <c r="UR273" s="1009"/>
      <c r="US273" s="1009"/>
      <c r="UT273" s="1009"/>
      <c r="UU273" s="1009"/>
      <c r="UV273" s="1009"/>
      <c r="UW273" s="1009"/>
      <c r="UX273" s="1009"/>
      <c r="UY273" s="1009"/>
      <c r="UZ273" s="1009"/>
      <c r="VA273" s="1009"/>
      <c r="VB273" s="1009"/>
      <c r="VC273" s="1009"/>
      <c r="VD273" s="1009"/>
      <c r="VE273" s="1009"/>
      <c r="VF273" s="1009"/>
      <c r="VG273" s="1009"/>
      <c r="VH273" s="1009"/>
      <c r="VI273" s="1009"/>
      <c r="VJ273" s="1009"/>
      <c r="VK273" s="1009"/>
      <c r="VL273" s="1009"/>
      <c r="VM273" s="1009"/>
      <c r="VN273" s="1009"/>
      <c r="VO273" s="1009"/>
      <c r="VP273" s="1009"/>
      <c r="VQ273" s="1009"/>
      <c r="VR273" s="1009"/>
      <c r="VS273" s="1009"/>
      <c r="VT273" s="1009"/>
      <c r="VU273" s="1009"/>
      <c r="VV273" s="1009"/>
      <c r="VW273" s="1009"/>
      <c r="VX273" s="1009"/>
      <c r="VY273" s="1009"/>
      <c r="VZ273" s="1009"/>
      <c r="WA273" s="1009"/>
      <c r="WB273" s="1009"/>
      <c r="WC273" s="1009"/>
      <c r="WD273" s="1009"/>
      <c r="WE273" s="1009"/>
      <c r="WF273" s="1009"/>
      <c r="WG273" s="1009"/>
      <c r="WH273" s="1009"/>
      <c r="WI273" s="1009"/>
      <c r="WJ273" s="1009"/>
      <c r="WK273" s="1009"/>
      <c r="WL273" s="1009"/>
      <c r="WM273" s="1009"/>
      <c r="WN273" s="1009"/>
      <c r="WO273" s="1009"/>
      <c r="WP273" s="1009"/>
      <c r="WQ273" s="1009"/>
      <c r="WR273" s="1009"/>
      <c r="WS273" s="1009"/>
      <c r="WT273" s="1009"/>
      <c r="WU273" s="1009"/>
      <c r="WV273" s="1009"/>
      <c r="WW273" s="1009"/>
      <c r="WX273" s="1009"/>
      <c r="WY273" s="1009"/>
      <c r="WZ273" s="1009"/>
      <c r="XA273" s="1009"/>
      <c r="XB273" s="1009"/>
      <c r="XC273" s="1009"/>
      <c r="XD273" s="1009"/>
      <c r="XE273" s="1009"/>
      <c r="XF273" s="1009"/>
      <c r="XG273" s="1009"/>
      <c r="XH273" s="1009"/>
      <c r="XI273" s="1009"/>
      <c r="XJ273" s="1009"/>
      <c r="XK273" s="1009"/>
      <c r="XL273" s="1009"/>
      <c r="XM273" s="1009"/>
      <c r="XN273" s="1009"/>
      <c r="XO273" s="1009"/>
      <c r="XP273" s="1009"/>
      <c r="XQ273" s="1009"/>
      <c r="XR273" s="1009"/>
      <c r="XS273" s="1009"/>
      <c r="XT273" s="1009"/>
      <c r="XU273" s="1009"/>
      <c r="XV273" s="1009"/>
      <c r="XW273" s="1009"/>
      <c r="XX273" s="1009"/>
      <c r="XY273" s="1009"/>
      <c r="XZ273" s="1009"/>
      <c r="YA273" s="1009"/>
      <c r="YB273" s="1009"/>
      <c r="YC273" s="1009"/>
      <c r="YD273" s="1009"/>
      <c r="YE273" s="1009"/>
      <c r="YF273" s="1009"/>
      <c r="YG273" s="1009"/>
      <c r="YH273" s="1009"/>
      <c r="YI273" s="1009"/>
      <c r="YJ273" s="1009"/>
      <c r="YK273" s="1009"/>
      <c r="YL273" s="1009"/>
      <c r="YM273" s="1009"/>
      <c r="YN273" s="1009"/>
      <c r="YO273" s="1009"/>
      <c r="YP273" s="1009"/>
      <c r="YQ273" s="1009"/>
      <c r="YR273" s="1009"/>
      <c r="YS273" s="1009"/>
      <c r="YT273" s="1009"/>
      <c r="YU273" s="1009"/>
      <c r="YV273" s="1009"/>
      <c r="YW273" s="1009"/>
      <c r="YX273" s="1009"/>
      <c r="YY273" s="1009"/>
      <c r="YZ273" s="1009"/>
      <c r="ZA273" s="1009"/>
      <c r="ZB273" s="1009"/>
      <c r="ZC273" s="1009"/>
      <c r="ZD273" s="1009"/>
      <c r="ZE273" s="1009"/>
      <c r="ZF273" s="1009"/>
      <c r="ZG273" s="1009"/>
      <c r="ZH273" s="1009"/>
      <c r="ZI273" s="1009"/>
      <c r="ZJ273" s="1009"/>
      <c r="ZK273" s="1009"/>
      <c r="ZL273" s="1009"/>
      <c r="ZM273" s="1009"/>
      <c r="ZN273" s="1009"/>
      <c r="ZO273" s="1009"/>
      <c r="ZP273" s="1009"/>
      <c r="ZQ273" s="1009"/>
      <c r="ZR273" s="1009"/>
      <c r="ZS273" s="1009"/>
      <c r="ZT273" s="1009"/>
      <c r="ZU273" s="1009"/>
      <c r="ZV273" s="1009"/>
      <c r="ZW273" s="1009"/>
      <c r="ZX273" s="1009"/>
      <c r="ZY273" s="1009"/>
      <c r="ZZ273" s="1009"/>
      <c r="AAA273" s="1009"/>
      <c r="AAB273" s="1009"/>
      <c r="AAC273" s="1009"/>
      <c r="AAD273" s="1009"/>
      <c r="AAE273" s="1009"/>
      <c r="AAF273" s="1009"/>
      <c r="AAG273" s="1009"/>
      <c r="AAH273" s="1009"/>
      <c r="AAI273" s="1009"/>
      <c r="AAJ273" s="1009"/>
      <c r="AAK273" s="1009"/>
      <c r="AAL273" s="1009"/>
      <c r="AAM273" s="1009"/>
      <c r="AAN273" s="1009"/>
      <c r="AAO273" s="1009"/>
      <c r="AAP273" s="1009"/>
      <c r="AAQ273" s="1009"/>
      <c r="AAR273" s="1009"/>
      <c r="AAS273" s="1009"/>
      <c r="AAT273" s="1009"/>
      <c r="AAU273" s="1009"/>
      <c r="AAV273" s="1009"/>
      <c r="AAW273" s="1009"/>
      <c r="AAX273" s="1009"/>
      <c r="AAY273" s="1009"/>
      <c r="AAZ273" s="1009"/>
      <c r="ABA273" s="1009"/>
      <c r="ABB273" s="1009"/>
      <c r="ABC273" s="1009"/>
      <c r="ABD273" s="1009"/>
      <c r="ABE273" s="1009"/>
      <c r="ABF273" s="1009"/>
      <c r="ABG273" s="1009"/>
      <c r="ABH273" s="1009"/>
      <c r="ABI273" s="1009"/>
      <c r="ABJ273" s="1009"/>
      <c r="ABK273" s="1009"/>
      <c r="ABL273" s="1009"/>
      <c r="ABM273" s="1009"/>
      <c r="ABN273" s="1009"/>
      <c r="ABO273" s="1009"/>
      <c r="ABP273" s="1009"/>
      <c r="ABQ273" s="1009"/>
      <c r="ABR273" s="1009"/>
    </row>
    <row r="274" spans="1:746" s="111" customFormat="1" ht="12" customHeight="1">
      <c r="A274" s="1758"/>
      <c r="B274" s="1215" t="s">
        <v>876</v>
      </c>
      <c r="C274" s="1213"/>
      <c r="D274" s="1213"/>
      <c r="E274" s="1213"/>
      <c r="F274" s="1213"/>
      <c r="G274" s="1213"/>
      <c r="H274" s="2553"/>
      <c r="I274" s="1966"/>
      <c r="J274" s="368"/>
      <c r="K274" s="368"/>
      <c r="L274" s="368"/>
      <c r="M274" s="368"/>
      <c r="N274" s="368"/>
      <c r="O274" s="368"/>
      <c r="P274" s="368"/>
      <c r="Q274" s="368"/>
      <c r="R274" s="368"/>
      <c r="S274" s="368"/>
      <c r="T274" s="368"/>
      <c r="U274" s="1966"/>
      <c r="V274" s="1966"/>
      <c r="W274" s="1966"/>
      <c r="X274" s="1966"/>
      <c r="Y274" s="1966"/>
      <c r="Z274" s="1966"/>
      <c r="AA274" s="1966"/>
      <c r="AB274" s="1966"/>
      <c r="AC274" s="1966"/>
      <c r="AD274" s="1966"/>
      <c r="AE274" s="1966"/>
      <c r="AF274" s="1966"/>
      <c r="AG274" s="1042"/>
      <c r="AH274" s="337"/>
      <c r="AI274" s="337"/>
      <c r="AJ274" s="901">
        <f>IF(fx!$C$57=1,SUMIF(fx!I$57:T$57,1,I274:T274),IF(fx!$C$57=2,SUMIF(fx!O$57:AF$57,1,O274:AF274)))</f>
        <v>0</v>
      </c>
      <c r="AK274" s="1207"/>
      <c r="AL274" s="902">
        <f>IF(fx!$C$57=1,SUM(U274:AF274),0)</f>
        <v>0</v>
      </c>
      <c r="AM274" s="1009"/>
      <c r="AN274" s="1036"/>
      <c r="AO274" s="1034"/>
      <c r="AP274" s="1084"/>
      <c r="AQ274" s="1084"/>
      <c r="AR274" s="1009"/>
      <c r="AS274" s="1009"/>
      <c r="AT274" s="1009"/>
      <c r="AU274" s="1009"/>
      <c r="AV274" s="1009"/>
      <c r="AW274" s="1009"/>
      <c r="AX274" s="1009"/>
      <c r="AY274" s="1009"/>
      <c r="AZ274" s="1009"/>
      <c r="BA274" s="1009"/>
      <c r="BB274" s="1009"/>
      <c r="BC274" s="1009"/>
      <c r="BD274" s="1009"/>
      <c r="BE274" s="1009"/>
      <c r="BF274" s="1009"/>
      <c r="BG274" s="1009"/>
      <c r="BH274" s="1009"/>
      <c r="BI274" s="1009"/>
      <c r="BJ274" s="1009"/>
      <c r="BK274" s="1009"/>
      <c r="BL274" s="1009"/>
      <c r="BM274" s="1009"/>
      <c r="BN274" s="1009"/>
      <c r="BO274" s="1009"/>
      <c r="BP274" s="1009"/>
      <c r="BQ274" s="1009"/>
      <c r="BR274" s="1009"/>
      <c r="BS274" s="1009"/>
      <c r="BT274" s="1009"/>
      <c r="BU274" s="1009"/>
      <c r="BV274" s="1009"/>
      <c r="BW274" s="1009"/>
      <c r="BX274" s="1009"/>
      <c r="BY274" s="1009"/>
      <c r="BZ274" s="1009"/>
      <c r="CA274" s="1009"/>
      <c r="CB274" s="1009"/>
      <c r="CC274" s="1009"/>
      <c r="CD274" s="1009"/>
      <c r="CE274" s="1009"/>
      <c r="CF274" s="1009"/>
      <c r="CG274" s="1009"/>
      <c r="CH274" s="1009"/>
      <c r="CI274" s="1009"/>
      <c r="CJ274" s="1009"/>
      <c r="CK274" s="1009"/>
      <c r="CL274" s="1009"/>
      <c r="CM274" s="1009"/>
      <c r="CN274" s="1009"/>
      <c r="CO274" s="1009"/>
      <c r="CP274" s="1009"/>
      <c r="CQ274" s="1009"/>
      <c r="CR274" s="1009"/>
      <c r="CS274" s="1009"/>
      <c r="CT274" s="1009"/>
      <c r="CU274" s="1009"/>
      <c r="CV274" s="1009"/>
      <c r="CW274" s="1009"/>
      <c r="CX274" s="1009"/>
      <c r="CY274" s="1009"/>
      <c r="CZ274" s="1009"/>
      <c r="DA274" s="1009"/>
      <c r="DB274" s="1009"/>
      <c r="DC274" s="1009"/>
      <c r="DD274" s="1009"/>
      <c r="DE274" s="1009"/>
      <c r="DF274" s="1009"/>
      <c r="DG274" s="1009"/>
      <c r="DH274" s="1009"/>
      <c r="DI274" s="1009"/>
      <c r="DJ274" s="1009"/>
      <c r="DK274" s="1009"/>
      <c r="DL274" s="1009"/>
      <c r="DM274" s="1009"/>
      <c r="DN274" s="1009"/>
      <c r="DO274" s="1009"/>
      <c r="DP274" s="1009"/>
      <c r="DQ274" s="1009"/>
      <c r="DR274" s="1009"/>
      <c r="DS274" s="1009"/>
      <c r="DT274" s="1009"/>
      <c r="DU274" s="1009"/>
      <c r="DV274" s="1009"/>
      <c r="DW274" s="1009"/>
      <c r="DX274" s="1009"/>
      <c r="DY274" s="1009"/>
      <c r="DZ274" s="1009"/>
      <c r="EA274" s="1009"/>
      <c r="EB274" s="1009"/>
      <c r="EC274" s="1009"/>
      <c r="ED274" s="1009"/>
      <c r="EE274" s="1009"/>
      <c r="EF274" s="1009"/>
      <c r="EG274" s="1009"/>
      <c r="EH274" s="1009"/>
      <c r="EI274" s="1009"/>
      <c r="EJ274" s="1009"/>
      <c r="EK274" s="1009"/>
      <c r="EL274" s="1009"/>
      <c r="EM274" s="1009"/>
      <c r="EN274" s="1009"/>
      <c r="EO274" s="1009"/>
      <c r="EP274" s="1009"/>
      <c r="EQ274" s="1009"/>
      <c r="ER274" s="1009"/>
      <c r="ES274" s="1009"/>
      <c r="ET274" s="1009"/>
      <c r="EU274" s="1009"/>
      <c r="EV274" s="1009"/>
      <c r="EW274" s="1009"/>
      <c r="EX274" s="1009"/>
      <c r="EY274" s="1009"/>
      <c r="EZ274" s="1009"/>
      <c r="FA274" s="1009"/>
      <c r="FB274" s="1009"/>
      <c r="FC274" s="1009"/>
      <c r="FD274" s="1009"/>
      <c r="FE274" s="1009"/>
      <c r="FF274" s="1009"/>
      <c r="FG274" s="1009"/>
      <c r="FH274" s="1009"/>
      <c r="FI274" s="1009"/>
      <c r="FJ274" s="1009"/>
      <c r="FK274" s="1009"/>
      <c r="FL274" s="1009"/>
      <c r="FM274" s="1009"/>
      <c r="FN274" s="1009"/>
      <c r="FO274" s="1009"/>
      <c r="FP274" s="1009"/>
      <c r="FQ274" s="1009"/>
      <c r="FR274" s="1009"/>
      <c r="FS274" s="1009"/>
      <c r="FT274" s="1009"/>
      <c r="FU274" s="1009"/>
      <c r="FV274" s="1009"/>
      <c r="FW274" s="1009"/>
      <c r="FX274" s="1009"/>
      <c r="FY274" s="1009"/>
      <c r="FZ274" s="1009"/>
      <c r="GA274" s="1009"/>
      <c r="GB274" s="1009"/>
      <c r="GC274" s="1009"/>
      <c r="GD274" s="1009"/>
      <c r="GE274" s="1009"/>
      <c r="GF274" s="1009"/>
      <c r="GG274" s="1009"/>
      <c r="GH274" s="1009"/>
      <c r="GI274" s="1009"/>
      <c r="GJ274" s="1009"/>
      <c r="GK274" s="1009"/>
      <c r="GL274" s="1009"/>
      <c r="GM274" s="1009"/>
      <c r="GN274" s="1009"/>
      <c r="GO274" s="1009"/>
      <c r="GP274" s="1009"/>
      <c r="GQ274" s="1009"/>
      <c r="GR274" s="1009"/>
      <c r="GS274" s="1009"/>
      <c r="GT274" s="1009"/>
      <c r="GU274" s="1009"/>
      <c r="GV274" s="1009"/>
      <c r="GW274" s="1009"/>
      <c r="GX274" s="1009"/>
      <c r="GY274" s="1009"/>
      <c r="GZ274" s="1009"/>
      <c r="HA274" s="1009"/>
      <c r="HB274" s="1009"/>
      <c r="HC274" s="1009"/>
      <c r="HD274" s="1009"/>
      <c r="HE274" s="1009"/>
      <c r="HF274" s="1009"/>
      <c r="HG274" s="1009"/>
      <c r="HH274" s="1009"/>
      <c r="HI274" s="1009"/>
      <c r="HJ274" s="1009"/>
      <c r="HK274" s="1009"/>
      <c r="HL274" s="1009"/>
      <c r="HM274" s="1009"/>
      <c r="HN274" s="1009"/>
      <c r="HO274" s="1009"/>
      <c r="HP274" s="1009"/>
      <c r="HQ274" s="1009"/>
      <c r="HR274" s="1009"/>
      <c r="HS274" s="1009"/>
      <c r="HT274" s="1009"/>
      <c r="HU274" s="1009"/>
      <c r="HV274" s="1009"/>
      <c r="HW274" s="1009"/>
      <c r="HX274" s="1009"/>
      <c r="HY274" s="1009"/>
      <c r="HZ274" s="1009"/>
      <c r="IA274" s="1009"/>
      <c r="IB274" s="1009"/>
      <c r="IC274" s="1009"/>
      <c r="ID274" s="1009"/>
      <c r="IE274" s="1009"/>
      <c r="IF274" s="1009"/>
      <c r="IG274" s="1009"/>
      <c r="IH274" s="1009"/>
      <c r="II274" s="1009"/>
      <c r="IJ274" s="1009"/>
      <c r="IK274" s="1009"/>
      <c r="IL274" s="1009"/>
      <c r="IM274" s="1009"/>
      <c r="IN274" s="1009"/>
      <c r="IO274" s="1009"/>
      <c r="IP274" s="1009"/>
      <c r="IQ274" s="1009"/>
      <c r="IR274" s="1009"/>
      <c r="IS274" s="1009"/>
      <c r="IT274" s="1009"/>
      <c r="IU274" s="1009"/>
      <c r="IV274" s="1009"/>
      <c r="IW274" s="1009"/>
      <c r="IX274" s="1009"/>
      <c r="IY274" s="1009"/>
      <c r="IZ274" s="1009"/>
      <c r="JA274" s="1009"/>
      <c r="JB274" s="1009"/>
      <c r="JC274" s="1009"/>
      <c r="JD274" s="1009"/>
      <c r="JE274" s="1009"/>
      <c r="JF274" s="1009"/>
      <c r="JG274" s="1009"/>
      <c r="JH274" s="1009"/>
      <c r="JI274" s="1009"/>
      <c r="JJ274" s="1009"/>
      <c r="JK274" s="1009"/>
      <c r="JL274" s="1009"/>
      <c r="JM274" s="1009"/>
      <c r="JN274" s="1009"/>
      <c r="JO274" s="1009"/>
      <c r="JP274" s="1009"/>
      <c r="JQ274" s="1009"/>
      <c r="JR274" s="1009"/>
      <c r="JS274" s="1009"/>
      <c r="JT274" s="1009"/>
      <c r="JU274" s="1009"/>
      <c r="JV274" s="1009"/>
      <c r="JW274" s="1009"/>
      <c r="JX274" s="1009"/>
      <c r="JY274" s="1009"/>
      <c r="JZ274" s="1009"/>
      <c r="KA274" s="1009"/>
      <c r="KB274" s="1009"/>
      <c r="KC274" s="1009"/>
      <c r="KD274" s="1009"/>
      <c r="KE274" s="1009"/>
      <c r="KF274" s="1009"/>
      <c r="KG274" s="1009"/>
      <c r="KH274" s="1009"/>
      <c r="KI274" s="1009"/>
      <c r="KJ274" s="1009"/>
      <c r="KK274" s="1009"/>
      <c r="KL274" s="1009"/>
      <c r="KM274" s="1009"/>
      <c r="KN274" s="1009"/>
      <c r="KO274" s="1009"/>
      <c r="KP274" s="1009"/>
      <c r="KQ274" s="1009"/>
      <c r="KR274" s="1009"/>
      <c r="KS274" s="1009"/>
      <c r="KT274" s="1009"/>
      <c r="KU274" s="1009"/>
      <c r="KV274" s="1009"/>
      <c r="KW274" s="1009"/>
      <c r="KX274" s="1009"/>
      <c r="KY274" s="1009"/>
      <c r="KZ274" s="1009"/>
      <c r="LA274" s="1009"/>
      <c r="LB274" s="1009"/>
      <c r="LC274" s="1009"/>
      <c r="LD274" s="1009"/>
      <c r="LE274" s="1009"/>
      <c r="LF274" s="1009"/>
      <c r="LG274" s="1009"/>
      <c r="LH274" s="1009"/>
      <c r="LI274" s="1009"/>
      <c r="LJ274" s="1009"/>
      <c r="LK274" s="1009"/>
      <c r="LL274" s="1009"/>
      <c r="LM274" s="1009"/>
      <c r="LN274" s="1009"/>
      <c r="LO274" s="1009"/>
      <c r="LP274" s="1009"/>
      <c r="LQ274" s="1009"/>
      <c r="LR274" s="1009"/>
      <c r="LS274" s="1009"/>
      <c r="LT274" s="1009"/>
      <c r="LU274" s="1009"/>
      <c r="LV274" s="1009"/>
      <c r="LW274" s="1009"/>
      <c r="LX274" s="1009"/>
      <c r="LY274" s="1009"/>
      <c r="LZ274" s="1009"/>
      <c r="MA274" s="1009"/>
      <c r="MB274" s="1009"/>
      <c r="MC274" s="1009"/>
      <c r="MD274" s="1009"/>
      <c r="ME274" s="1009"/>
      <c r="MF274" s="1009"/>
      <c r="MG274" s="1009"/>
      <c r="MH274" s="1009"/>
      <c r="MI274" s="1009"/>
      <c r="MJ274" s="1009"/>
      <c r="MK274" s="1009"/>
      <c r="ML274" s="1009"/>
      <c r="MM274" s="1009"/>
      <c r="MN274" s="1009"/>
      <c r="MO274" s="1009"/>
      <c r="MP274" s="1009"/>
      <c r="MQ274" s="1009"/>
      <c r="MR274" s="1009"/>
      <c r="MS274" s="1009"/>
      <c r="MT274" s="1009"/>
      <c r="MU274" s="1009"/>
      <c r="MV274" s="1009"/>
      <c r="MW274" s="1009"/>
      <c r="MX274" s="1009"/>
      <c r="MY274" s="1009"/>
      <c r="MZ274" s="1009"/>
      <c r="NA274" s="1009"/>
      <c r="NB274" s="1009"/>
      <c r="NC274" s="1009"/>
      <c r="ND274" s="1009"/>
      <c r="NE274" s="1009"/>
      <c r="NF274" s="1009"/>
      <c r="NG274" s="1009"/>
      <c r="NH274" s="1009"/>
      <c r="NI274" s="1009"/>
      <c r="NJ274" s="1009"/>
      <c r="NK274" s="1009"/>
      <c r="NL274" s="1009"/>
      <c r="NM274" s="1009"/>
      <c r="NN274" s="1009"/>
      <c r="NO274" s="1009"/>
      <c r="NP274" s="1009"/>
      <c r="NQ274" s="1009"/>
      <c r="NR274" s="1009"/>
      <c r="NS274" s="1009"/>
      <c r="NT274" s="1009"/>
      <c r="NU274" s="1009"/>
      <c r="NV274" s="1009"/>
      <c r="NW274" s="1009"/>
      <c r="NX274" s="1009"/>
      <c r="NY274" s="1009"/>
      <c r="NZ274" s="1009"/>
      <c r="OA274" s="1009"/>
      <c r="OB274" s="1009"/>
      <c r="OC274" s="1009"/>
      <c r="OD274" s="1009"/>
      <c r="OE274" s="1009"/>
      <c r="OF274" s="1009"/>
      <c r="OG274" s="1009"/>
      <c r="OH274" s="1009"/>
      <c r="OI274" s="1009"/>
      <c r="OJ274" s="1009"/>
      <c r="OK274" s="1009"/>
      <c r="OL274" s="1009"/>
      <c r="OM274" s="1009"/>
      <c r="ON274" s="1009"/>
      <c r="OO274" s="1009"/>
      <c r="OP274" s="1009"/>
      <c r="OQ274" s="1009"/>
      <c r="OR274" s="1009"/>
      <c r="OS274" s="1009"/>
      <c r="OT274" s="1009"/>
      <c r="OU274" s="1009"/>
      <c r="OV274" s="1009"/>
      <c r="OW274" s="1009"/>
      <c r="OX274" s="1009"/>
      <c r="OY274" s="1009"/>
      <c r="OZ274" s="1009"/>
      <c r="PA274" s="1009"/>
      <c r="PB274" s="1009"/>
      <c r="PC274" s="1009"/>
      <c r="PD274" s="1009"/>
      <c r="PE274" s="1009"/>
      <c r="PF274" s="1009"/>
      <c r="PG274" s="1009"/>
      <c r="PH274" s="1009"/>
      <c r="PI274" s="1009"/>
      <c r="PJ274" s="1009"/>
      <c r="PK274" s="1009"/>
      <c r="PL274" s="1009"/>
      <c r="PM274" s="1009"/>
      <c r="PN274" s="1009"/>
      <c r="PO274" s="1009"/>
      <c r="PP274" s="1009"/>
      <c r="PQ274" s="1009"/>
      <c r="PR274" s="1009"/>
      <c r="PS274" s="1009"/>
      <c r="PT274" s="1009"/>
      <c r="PU274" s="1009"/>
      <c r="PV274" s="1009"/>
      <c r="PW274" s="1009"/>
      <c r="PX274" s="1009"/>
      <c r="PY274" s="1009"/>
      <c r="PZ274" s="1009"/>
      <c r="QA274" s="1009"/>
      <c r="QB274" s="1009"/>
      <c r="QC274" s="1009"/>
      <c r="QD274" s="1009"/>
      <c r="QE274" s="1009"/>
      <c r="QF274" s="1009"/>
      <c r="QG274" s="1009"/>
      <c r="QH274" s="1009"/>
      <c r="QI274" s="1009"/>
      <c r="QJ274" s="1009"/>
      <c r="QK274" s="1009"/>
      <c r="QL274" s="1009"/>
      <c r="QM274" s="1009"/>
      <c r="QN274" s="1009"/>
      <c r="QO274" s="1009"/>
      <c r="QP274" s="1009"/>
      <c r="QQ274" s="1009"/>
      <c r="QR274" s="1009"/>
      <c r="QS274" s="1009"/>
      <c r="QT274" s="1009"/>
      <c r="QU274" s="1009"/>
      <c r="QV274" s="1009"/>
      <c r="QW274" s="1009"/>
      <c r="QX274" s="1009"/>
      <c r="QY274" s="1009"/>
      <c r="QZ274" s="1009"/>
      <c r="RA274" s="1009"/>
      <c r="RB274" s="1009"/>
      <c r="RC274" s="1009"/>
      <c r="RD274" s="1009"/>
      <c r="RE274" s="1009"/>
      <c r="RF274" s="1009"/>
      <c r="RG274" s="1009"/>
      <c r="RH274" s="1009"/>
      <c r="RI274" s="1009"/>
      <c r="RJ274" s="1009"/>
      <c r="RK274" s="1009"/>
      <c r="RL274" s="1009"/>
      <c r="RM274" s="1009"/>
      <c r="RN274" s="1009"/>
      <c r="RO274" s="1009"/>
      <c r="RP274" s="1009"/>
      <c r="RQ274" s="1009"/>
      <c r="RR274" s="1009"/>
      <c r="RS274" s="1009"/>
      <c r="RT274" s="1009"/>
      <c r="RU274" s="1009"/>
      <c r="RV274" s="1009"/>
      <c r="RW274" s="1009"/>
      <c r="RX274" s="1009"/>
      <c r="RY274" s="1009"/>
      <c r="RZ274" s="1009"/>
      <c r="SA274" s="1009"/>
      <c r="SB274" s="1009"/>
      <c r="SC274" s="1009"/>
      <c r="SD274" s="1009"/>
      <c r="SE274" s="1009"/>
      <c r="SF274" s="1009"/>
      <c r="SG274" s="1009"/>
      <c r="SH274" s="1009"/>
      <c r="SI274" s="1009"/>
      <c r="SJ274" s="1009"/>
      <c r="SK274" s="1009"/>
      <c r="SL274" s="1009"/>
      <c r="SM274" s="1009"/>
      <c r="SN274" s="1009"/>
      <c r="SO274" s="1009"/>
      <c r="SP274" s="1009"/>
      <c r="SQ274" s="1009"/>
      <c r="SR274" s="1009"/>
      <c r="SS274" s="1009"/>
      <c r="ST274" s="1009"/>
      <c r="SU274" s="1009"/>
      <c r="SV274" s="1009"/>
      <c r="SW274" s="1009"/>
      <c r="SX274" s="1009"/>
      <c r="SY274" s="1009"/>
      <c r="SZ274" s="1009"/>
      <c r="TA274" s="1009"/>
      <c r="TB274" s="1009"/>
      <c r="TC274" s="1009"/>
      <c r="TD274" s="1009"/>
      <c r="TE274" s="1009"/>
      <c r="TF274" s="1009"/>
      <c r="TG274" s="1009"/>
      <c r="TH274" s="1009"/>
      <c r="TI274" s="1009"/>
      <c r="TJ274" s="1009"/>
      <c r="TK274" s="1009"/>
      <c r="TL274" s="1009"/>
      <c r="TM274" s="1009"/>
      <c r="TN274" s="1009"/>
      <c r="TO274" s="1009"/>
      <c r="TP274" s="1009"/>
      <c r="TQ274" s="1009"/>
      <c r="TR274" s="1009"/>
      <c r="TS274" s="1009"/>
      <c r="TT274" s="1009"/>
      <c r="TU274" s="1009"/>
      <c r="TV274" s="1009"/>
      <c r="TW274" s="1009"/>
      <c r="TX274" s="1009"/>
      <c r="TY274" s="1009"/>
      <c r="TZ274" s="1009"/>
      <c r="UA274" s="1009"/>
      <c r="UB274" s="1009"/>
      <c r="UC274" s="1009"/>
      <c r="UD274" s="1009"/>
      <c r="UE274" s="1009"/>
      <c r="UF274" s="1009"/>
      <c r="UG274" s="1009"/>
      <c r="UH274" s="1009"/>
      <c r="UI274" s="1009"/>
      <c r="UJ274" s="1009"/>
      <c r="UK274" s="1009"/>
      <c r="UL274" s="1009"/>
      <c r="UM274" s="1009"/>
      <c r="UN274" s="1009"/>
      <c r="UO274" s="1009"/>
      <c r="UP274" s="1009"/>
      <c r="UQ274" s="1009"/>
      <c r="UR274" s="1009"/>
      <c r="US274" s="1009"/>
      <c r="UT274" s="1009"/>
      <c r="UU274" s="1009"/>
      <c r="UV274" s="1009"/>
      <c r="UW274" s="1009"/>
      <c r="UX274" s="1009"/>
      <c r="UY274" s="1009"/>
      <c r="UZ274" s="1009"/>
      <c r="VA274" s="1009"/>
      <c r="VB274" s="1009"/>
      <c r="VC274" s="1009"/>
      <c r="VD274" s="1009"/>
      <c r="VE274" s="1009"/>
      <c r="VF274" s="1009"/>
      <c r="VG274" s="1009"/>
      <c r="VH274" s="1009"/>
      <c r="VI274" s="1009"/>
      <c r="VJ274" s="1009"/>
      <c r="VK274" s="1009"/>
      <c r="VL274" s="1009"/>
      <c r="VM274" s="1009"/>
      <c r="VN274" s="1009"/>
      <c r="VO274" s="1009"/>
      <c r="VP274" s="1009"/>
      <c r="VQ274" s="1009"/>
      <c r="VR274" s="1009"/>
      <c r="VS274" s="1009"/>
      <c r="VT274" s="1009"/>
      <c r="VU274" s="1009"/>
      <c r="VV274" s="1009"/>
      <c r="VW274" s="1009"/>
      <c r="VX274" s="1009"/>
      <c r="VY274" s="1009"/>
      <c r="VZ274" s="1009"/>
      <c r="WA274" s="1009"/>
      <c r="WB274" s="1009"/>
      <c r="WC274" s="1009"/>
      <c r="WD274" s="1009"/>
      <c r="WE274" s="1009"/>
      <c r="WF274" s="1009"/>
      <c r="WG274" s="1009"/>
      <c r="WH274" s="1009"/>
      <c r="WI274" s="1009"/>
      <c r="WJ274" s="1009"/>
      <c r="WK274" s="1009"/>
      <c r="WL274" s="1009"/>
      <c r="WM274" s="1009"/>
      <c r="WN274" s="1009"/>
      <c r="WO274" s="1009"/>
      <c r="WP274" s="1009"/>
      <c r="WQ274" s="1009"/>
      <c r="WR274" s="1009"/>
      <c r="WS274" s="1009"/>
      <c r="WT274" s="1009"/>
      <c r="WU274" s="1009"/>
      <c r="WV274" s="1009"/>
      <c r="WW274" s="1009"/>
      <c r="WX274" s="1009"/>
      <c r="WY274" s="1009"/>
      <c r="WZ274" s="1009"/>
      <c r="XA274" s="1009"/>
      <c r="XB274" s="1009"/>
      <c r="XC274" s="1009"/>
      <c r="XD274" s="1009"/>
      <c r="XE274" s="1009"/>
      <c r="XF274" s="1009"/>
      <c r="XG274" s="1009"/>
      <c r="XH274" s="1009"/>
      <c r="XI274" s="1009"/>
      <c r="XJ274" s="1009"/>
      <c r="XK274" s="1009"/>
      <c r="XL274" s="1009"/>
      <c r="XM274" s="1009"/>
      <c r="XN274" s="1009"/>
      <c r="XO274" s="1009"/>
      <c r="XP274" s="1009"/>
      <c r="XQ274" s="1009"/>
      <c r="XR274" s="1009"/>
      <c r="XS274" s="1009"/>
      <c r="XT274" s="1009"/>
      <c r="XU274" s="1009"/>
      <c r="XV274" s="1009"/>
      <c r="XW274" s="1009"/>
      <c r="XX274" s="1009"/>
      <c r="XY274" s="1009"/>
      <c r="XZ274" s="1009"/>
      <c r="YA274" s="1009"/>
      <c r="YB274" s="1009"/>
      <c r="YC274" s="1009"/>
      <c r="YD274" s="1009"/>
      <c r="YE274" s="1009"/>
      <c r="YF274" s="1009"/>
      <c r="YG274" s="1009"/>
      <c r="YH274" s="1009"/>
      <c r="YI274" s="1009"/>
      <c r="YJ274" s="1009"/>
      <c r="YK274" s="1009"/>
      <c r="YL274" s="1009"/>
      <c r="YM274" s="1009"/>
      <c r="YN274" s="1009"/>
      <c r="YO274" s="1009"/>
      <c r="YP274" s="1009"/>
      <c r="YQ274" s="1009"/>
      <c r="YR274" s="1009"/>
      <c r="YS274" s="1009"/>
      <c r="YT274" s="1009"/>
      <c r="YU274" s="1009"/>
      <c r="YV274" s="1009"/>
      <c r="YW274" s="1009"/>
      <c r="YX274" s="1009"/>
      <c r="YY274" s="1009"/>
      <c r="YZ274" s="1009"/>
      <c r="ZA274" s="1009"/>
      <c r="ZB274" s="1009"/>
      <c r="ZC274" s="1009"/>
      <c r="ZD274" s="1009"/>
      <c r="ZE274" s="1009"/>
      <c r="ZF274" s="1009"/>
      <c r="ZG274" s="1009"/>
      <c r="ZH274" s="1009"/>
      <c r="ZI274" s="1009"/>
      <c r="ZJ274" s="1009"/>
      <c r="ZK274" s="1009"/>
      <c r="ZL274" s="1009"/>
      <c r="ZM274" s="1009"/>
      <c r="ZN274" s="1009"/>
      <c r="ZO274" s="1009"/>
      <c r="ZP274" s="1009"/>
      <c r="ZQ274" s="1009"/>
      <c r="ZR274" s="1009"/>
      <c r="ZS274" s="1009"/>
      <c r="ZT274" s="1009"/>
      <c r="ZU274" s="1009"/>
      <c r="ZV274" s="1009"/>
      <c r="ZW274" s="1009"/>
      <c r="ZX274" s="1009"/>
      <c r="ZY274" s="1009"/>
      <c r="ZZ274" s="1009"/>
      <c r="AAA274" s="1009"/>
      <c r="AAB274" s="1009"/>
      <c r="AAC274" s="1009"/>
      <c r="AAD274" s="1009"/>
      <c r="AAE274" s="1009"/>
      <c r="AAF274" s="1009"/>
      <c r="AAG274" s="1009"/>
      <c r="AAH274" s="1009"/>
      <c r="AAI274" s="1009"/>
      <c r="AAJ274" s="1009"/>
      <c r="AAK274" s="1009"/>
      <c r="AAL274" s="1009"/>
      <c r="AAM274" s="1009"/>
      <c r="AAN274" s="1009"/>
      <c r="AAO274" s="1009"/>
      <c r="AAP274" s="1009"/>
      <c r="AAQ274" s="1009"/>
      <c r="AAR274" s="1009"/>
      <c r="AAS274" s="1009"/>
      <c r="AAT274" s="1009"/>
      <c r="AAU274" s="1009"/>
      <c r="AAV274" s="1009"/>
      <c r="AAW274" s="1009"/>
      <c r="AAX274" s="1009"/>
      <c r="AAY274" s="1009"/>
      <c r="AAZ274" s="1009"/>
      <c r="ABA274" s="1009"/>
      <c r="ABB274" s="1009"/>
      <c r="ABC274" s="1009"/>
      <c r="ABD274" s="1009"/>
      <c r="ABE274" s="1009"/>
      <c r="ABF274" s="1009"/>
      <c r="ABG274" s="1009"/>
      <c r="ABH274" s="1009"/>
      <c r="ABI274" s="1009"/>
      <c r="ABJ274" s="1009"/>
      <c r="ABK274" s="1009"/>
      <c r="ABL274" s="1009"/>
      <c r="ABM274" s="1009"/>
      <c r="ABN274" s="1009"/>
      <c r="ABO274" s="1009"/>
      <c r="ABP274" s="1009"/>
      <c r="ABQ274" s="1009"/>
      <c r="ABR274" s="1009"/>
    </row>
    <row r="275" spans="1:746" s="111" customFormat="1" ht="12" customHeight="1">
      <c r="A275" s="1758"/>
      <c r="B275" s="355" t="s">
        <v>877</v>
      </c>
      <c r="C275" s="1214"/>
      <c r="D275" s="1214"/>
      <c r="E275" s="1214"/>
      <c r="F275" s="1214"/>
      <c r="G275" s="1214"/>
      <c r="H275" s="2554"/>
      <c r="I275" s="345">
        <f>SUMIF(fx!$I57:I$57,1,$I$273:I$273)-SUMIF(fx!$I57:I$57,1,$I274:I$274)</f>
        <v>0</v>
      </c>
      <c r="J275" s="344">
        <f>SUMIF(fx!$I57:J$57,1,$I$273:J$273)-SUMIF(fx!$I57:J$57,1,$I274:J$274)</f>
        <v>0</v>
      </c>
      <c r="K275" s="344">
        <f>SUMIF(fx!$I57:K$57,1,$I$273:K$273)-SUMIF(fx!$I57:K$57,1,$I274:K$274)</f>
        <v>0</v>
      </c>
      <c r="L275" s="344">
        <f>SUMIF(fx!$I57:L$57,1,$I$273:L$273)-SUMIF(fx!$I57:L$57,1,$I274:L$274)</f>
        <v>0</v>
      </c>
      <c r="M275" s="344">
        <f>SUMIF(fx!$I57:M$57,1,$I$273:M$273)-SUMIF(fx!$I57:M$57,1,$I274:M$274)</f>
        <v>0</v>
      </c>
      <c r="N275" s="344">
        <f>SUMIF(fx!$I57:N$57,1,$I$273:N$273)-SUMIF(fx!$I57:N$57,1,$I274:N$274)</f>
        <v>0</v>
      </c>
      <c r="O275" s="344">
        <f>SUMIF(fx!$I57:O$57,1,$I$273:O$273)-SUMIF(fx!$I57:O$57,1,$I274:O$274)</f>
        <v>0</v>
      </c>
      <c r="P275" s="344">
        <f>SUMIF(fx!$I57:P$57,1,$I$273:P$273)-SUMIF(fx!$I57:P$57,1,$I274:P$274)</f>
        <v>0</v>
      </c>
      <c r="Q275" s="344">
        <f>SUMIF(fx!$I57:Q$57,1,$I$273:Q$273)-SUMIF(fx!$I57:Q$57,1,$I274:Q$274)</f>
        <v>0</v>
      </c>
      <c r="R275" s="344">
        <f>SUMIF(fx!$I57:R$57,1,$I$273:R$273)-SUMIF(fx!$I57:R$57,1,$I274:R$274)</f>
        <v>0</v>
      </c>
      <c r="S275" s="344">
        <f>SUMIF(fx!$I57:S$57,1,$I$273:S$273)-SUMIF(fx!$I57:S$57,1,$I274:S$274)</f>
        <v>0</v>
      </c>
      <c r="T275" s="344">
        <f>SUMIF(fx!$I57:T$57,1,$I$273:T$273)-SUMIF(fx!$I57:T$57,1,$I274:T$274)</f>
        <v>0</v>
      </c>
      <c r="U275" s="344">
        <f>SUMIF(fx!$I57:U$57,1,$I$273:U$273)-SUMIF(fx!$I57:U$57,1,$I274:U$274)</f>
        <v>0</v>
      </c>
      <c r="V275" s="344">
        <f>SUMIF(fx!$I57:V$57,1,$I$273:V$273)-SUMIF(fx!$I57:V$57,1,$I274:V$274)</f>
        <v>0</v>
      </c>
      <c r="W275" s="344">
        <f>SUMIF(fx!$I57:W$57,1,$I$273:W$273)-SUMIF(fx!$I57:W$57,1,$I274:W$274)</f>
        <v>0</v>
      </c>
      <c r="X275" s="344">
        <f>SUMIF(fx!$I57:X$57,1,$I$273:X$273)-SUMIF(fx!$I57:X$57,1,$I274:X$274)</f>
        <v>0</v>
      </c>
      <c r="Y275" s="344">
        <f>SUMIF(fx!$I57:Y$57,1,$I$273:Y$273)-SUMIF(fx!$I57:Y$57,1,$I274:Y$274)</f>
        <v>0</v>
      </c>
      <c r="Z275" s="344">
        <f>SUMIF(fx!$I57:Z$57,1,$I$273:Z$273)-SUMIF(fx!$I57:Z$57,1,$I274:Z$274)</f>
        <v>0</v>
      </c>
      <c r="AA275" s="344">
        <f>SUMIF(fx!$I57:AA$57,1,$I$273:AA$273)-SUMIF(fx!$I57:AA$57,1,$I274:AA$274)</f>
        <v>0</v>
      </c>
      <c r="AB275" s="344">
        <f>SUMIF(fx!$I57:AB$57,1,$I$273:AB$273)-SUMIF(fx!$I57:AB$57,1,$I274:AB$274)</f>
        <v>0</v>
      </c>
      <c r="AC275" s="344">
        <f>SUMIF(fx!$I57:AC$57,1,$I$273:AC$273)-SUMIF(fx!$I57:AC$57,1,$I274:AC$274)</f>
        <v>0</v>
      </c>
      <c r="AD275" s="344">
        <f>SUMIF(fx!$I57:AD$57,1,$I$273:AD$273)-SUMIF(fx!$I57:AD$57,1,$I274:AD$274)</f>
        <v>0</v>
      </c>
      <c r="AE275" s="344">
        <f>SUMIF(fx!$I57:AE$57,1,$I$273:AE$273)-SUMIF(fx!$I57:AE$57,1,$I274:AE$274)</f>
        <v>0</v>
      </c>
      <c r="AF275" s="344">
        <f>SUMIF(fx!$I57:AF$57,1,$I$273:AF$273)-SUMIF(fx!$I57:AF$57,1,$I274:AF$274)</f>
        <v>0</v>
      </c>
      <c r="AG275" s="337"/>
      <c r="AH275" s="337"/>
      <c r="AI275" s="337"/>
      <c r="AJ275" s="901">
        <f>IF(fx!$C$57=1,SUMIF(fx!I$57:T$57,1,I275:T275),IF(fx!$C$57=2,SUMIF(fx!O$57:AF$57,1,O275:AF275)))</f>
        <v>0</v>
      </c>
      <c r="AK275" s="1207"/>
      <c r="AL275" s="902">
        <f>IF(fx!$C$57=1,SUM(U275:AF275),0)</f>
        <v>0</v>
      </c>
      <c r="AM275" s="1009"/>
      <c r="AN275" s="1036"/>
      <c r="AO275" s="1034"/>
      <c r="AP275" s="1084"/>
      <c r="AQ275" s="1084"/>
      <c r="AR275" s="1009"/>
      <c r="AS275" s="1009"/>
      <c r="AT275" s="1009"/>
      <c r="AU275" s="1009"/>
      <c r="AV275" s="1009"/>
      <c r="AW275" s="1009"/>
      <c r="AX275" s="1009"/>
      <c r="AY275" s="1009"/>
      <c r="AZ275" s="1009"/>
      <c r="BA275" s="1009"/>
      <c r="BB275" s="1009"/>
      <c r="BC275" s="1009"/>
      <c r="BD275" s="1009"/>
      <c r="BE275" s="1009"/>
      <c r="BF275" s="1009"/>
      <c r="BG275" s="1009"/>
      <c r="BH275" s="1009"/>
      <c r="BI275" s="1009"/>
      <c r="BJ275" s="1009"/>
      <c r="BK275" s="1009"/>
      <c r="BL275" s="1009"/>
      <c r="BM275" s="1009"/>
      <c r="BN275" s="1009"/>
      <c r="BO275" s="1009"/>
      <c r="BP275" s="1009"/>
      <c r="BQ275" s="1009"/>
      <c r="BR275" s="1009"/>
      <c r="BS275" s="1009"/>
      <c r="BT275" s="1009"/>
      <c r="BU275" s="1009"/>
      <c r="BV275" s="1009"/>
      <c r="BW275" s="1009"/>
      <c r="BX275" s="1009"/>
      <c r="BY275" s="1009"/>
      <c r="BZ275" s="1009"/>
      <c r="CA275" s="1009"/>
      <c r="CB275" s="1009"/>
      <c r="CC275" s="1009"/>
      <c r="CD275" s="1009"/>
      <c r="CE275" s="1009"/>
      <c r="CF275" s="1009"/>
      <c r="CG275" s="1009"/>
      <c r="CH275" s="1009"/>
      <c r="CI275" s="1009"/>
      <c r="CJ275" s="1009"/>
      <c r="CK275" s="1009"/>
      <c r="CL275" s="1009"/>
      <c r="CM275" s="1009"/>
      <c r="CN275" s="1009"/>
      <c r="CO275" s="1009"/>
      <c r="CP275" s="1009"/>
      <c r="CQ275" s="1009"/>
      <c r="CR275" s="1009"/>
      <c r="CS275" s="1009"/>
      <c r="CT275" s="1009"/>
      <c r="CU275" s="1009"/>
      <c r="CV275" s="1009"/>
      <c r="CW275" s="1009"/>
      <c r="CX275" s="1009"/>
      <c r="CY275" s="1009"/>
      <c r="CZ275" s="1009"/>
      <c r="DA275" s="1009"/>
      <c r="DB275" s="1009"/>
      <c r="DC275" s="1009"/>
      <c r="DD275" s="1009"/>
      <c r="DE275" s="1009"/>
      <c r="DF275" s="1009"/>
      <c r="DG275" s="1009"/>
      <c r="DH275" s="1009"/>
      <c r="DI275" s="1009"/>
      <c r="DJ275" s="1009"/>
      <c r="DK275" s="1009"/>
      <c r="DL275" s="1009"/>
      <c r="DM275" s="1009"/>
      <c r="DN275" s="1009"/>
      <c r="DO275" s="1009"/>
      <c r="DP275" s="1009"/>
      <c r="DQ275" s="1009"/>
      <c r="DR275" s="1009"/>
      <c r="DS275" s="1009"/>
      <c r="DT275" s="1009"/>
      <c r="DU275" s="1009"/>
      <c r="DV275" s="1009"/>
      <c r="DW275" s="1009"/>
      <c r="DX275" s="1009"/>
      <c r="DY275" s="1009"/>
      <c r="DZ275" s="1009"/>
      <c r="EA275" s="1009"/>
      <c r="EB275" s="1009"/>
      <c r="EC275" s="1009"/>
      <c r="ED275" s="1009"/>
      <c r="EE275" s="1009"/>
      <c r="EF275" s="1009"/>
      <c r="EG275" s="1009"/>
      <c r="EH275" s="1009"/>
      <c r="EI275" s="1009"/>
      <c r="EJ275" s="1009"/>
      <c r="EK275" s="1009"/>
      <c r="EL275" s="1009"/>
      <c r="EM275" s="1009"/>
      <c r="EN275" s="1009"/>
      <c r="EO275" s="1009"/>
      <c r="EP275" s="1009"/>
      <c r="EQ275" s="1009"/>
      <c r="ER275" s="1009"/>
      <c r="ES275" s="1009"/>
      <c r="ET275" s="1009"/>
      <c r="EU275" s="1009"/>
      <c r="EV275" s="1009"/>
      <c r="EW275" s="1009"/>
      <c r="EX275" s="1009"/>
      <c r="EY275" s="1009"/>
      <c r="EZ275" s="1009"/>
      <c r="FA275" s="1009"/>
      <c r="FB275" s="1009"/>
      <c r="FC275" s="1009"/>
      <c r="FD275" s="1009"/>
      <c r="FE275" s="1009"/>
      <c r="FF275" s="1009"/>
      <c r="FG275" s="1009"/>
      <c r="FH275" s="1009"/>
      <c r="FI275" s="1009"/>
      <c r="FJ275" s="1009"/>
      <c r="FK275" s="1009"/>
      <c r="FL275" s="1009"/>
      <c r="FM275" s="1009"/>
      <c r="FN275" s="1009"/>
      <c r="FO275" s="1009"/>
      <c r="FP275" s="1009"/>
      <c r="FQ275" s="1009"/>
      <c r="FR275" s="1009"/>
      <c r="FS275" s="1009"/>
      <c r="FT275" s="1009"/>
      <c r="FU275" s="1009"/>
      <c r="FV275" s="1009"/>
      <c r="FW275" s="1009"/>
      <c r="FX275" s="1009"/>
      <c r="FY275" s="1009"/>
      <c r="FZ275" s="1009"/>
      <c r="GA275" s="1009"/>
      <c r="GB275" s="1009"/>
      <c r="GC275" s="1009"/>
      <c r="GD275" s="1009"/>
      <c r="GE275" s="1009"/>
      <c r="GF275" s="1009"/>
      <c r="GG275" s="1009"/>
      <c r="GH275" s="1009"/>
      <c r="GI275" s="1009"/>
      <c r="GJ275" s="1009"/>
      <c r="GK275" s="1009"/>
      <c r="GL275" s="1009"/>
      <c r="GM275" s="1009"/>
      <c r="GN275" s="1009"/>
      <c r="GO275" s="1009"/>
      <c r="GP275" s="1009"/>
      <c r="GQ275" s="1009"/>
      <c r="GR275" s="1009"/>
      <c r="GS275" s="1009"/>
      <c r="GT275" s="1009"/>
      <c r="GU275" s="1009"/>
      <c r="GV275" s="1009"/>
      <c r="GW275" s="1009"/>
      <c r="GX275" s="1009"/>
      <c r="GY275" s="1009"/>
      <c r="GZ275" s="1009"/>
      <c r="HA275" s="1009"/>
      <c r="HB275" s="1009"/>
      <c r="HC275" s="1009"/>
      <c r="HD275" s="1009"/>
      <c r="HE275" s="1009"/>
      <c r="HF275" s="1009"/>
      <c r="HG275" s="1009"/>
      <c r="HH275" s="1009"/>
      <c r="HI275" s="1009"/>
      <c r="HJ275" s="1009"/>
      <c r="HK275" s="1009"/>
      <c r="HL275" s="1009"/>
      <c r="HM275" s="1009"/>
      <c r="HN275" s="1009"/>
      <c r="HO275" s="1009"/>
      <c r="HP275" s="1009"/>
      <c r="HQ275" s="1009"/>
      <c r="HR275" s="1009"/>
      <c r="HS275" s="1009"/>
      <c r="HT275" s="1009"/>
      <c r="HU275" s="1009"/>
      <c r="HV275" s="1009"/>
      <c r="HW275" s="1009"/>
      <c r="HX275" s="1009"/>
      <c r="HY275" s="1009"/>
      <c r="HZ275" s="1009"/>
      <c r="IA275" s="1009"/>
      <c r="IB275" s="1009"/>
      <c r="IC275" s="1009"/>
      <c r="ID275" s="1009"/>
      <c r="IE275" s="1009"/>
      <c r="IF275" s="1009"/>
      <c r="IG275" s="1009"/>
      <c r="IH275" s="1009"/>
      <c r="II275" s="1009"/>
      <c r="IJ275" s="1009"/>
      <c r="IK275" s="1009"/>
      <c r="IL275" s="1009"/>
      <c r="IM275" s="1009"/>
      <c r="IN275" s="1009"/>
      <c r="IO275" s="1009"/>
      <c r="IP275" s="1009"/>
      <c r="IQ275" s="1009"/>
      <c r="IR275" s="1009"/>
      <c r="IS275" s="1009"/>
      <c r="IT275" s="1009"/>
      <c r="IU275" s="1009"/>
      <c r="IV275" s="1009"/>
      <c r="IW275" s="1009"/>
      <c r="IX275" s="1009"/>
      <c r="IY275" s="1009"/>
      <c r="IZ275" s="1009"/>
      <c r="JA275" s="1009"/>
      <c r="JB275" s="1009"/>
      <c r="JC275" s="1009"/>
      <c r="JD275" s="1009"/>
      <c r="JE275" s="1009"/>
      <c r="JF275" s="1009"/>
      <c r="JG275" s="1009"/>
      <c r="JH275" s="1009"/>
      <c r="JI275" s="1009"/>
      <c r="JJ275" s="1009"/>
      <c r="JK275" s="1009"/>
      <c r="JL275" s="1009"/>
      <c r="JM275" s="1009"/>
      <c r="JN275" s="1009"/>
      <c r="JO275" s="1009"/>
      <c r="JP275" s="1009"/>
      <c r="JQ275" s="1009"/>
      <c r="JR275" s="1009"/>
      <c r="JS275" s="1009"/>
      <c r="JT275" s="1009"/>
      <c r="JU275" s="1009"/>
      <c r="JV275" s="1009"/>
      <c r="JW275" s="1009"/>
      <c r="JX275" s="1009"/>
      <c r="JY275" s="1009"/>
      <c r="JZ275" s="1009"/>
      <c r="KA275" s="1009"/>
      <c r="KB275" s="1009"/>
      <c r="KC275" s="1009"/>
      <c r="KD275" s="1009"/>
      <c r="KE275" s="1009"/>
      <c r="KF275" s="1009"/>
      <c r="KG275" s="1009"/>
      <c r="KH275" s="1009"/>
      <c r="KI275" s="1009"/>
      <c r="KJ275" s="1009"/>
      <c r="KK275" s="1009"/>
      <c r="KL275" s="1009"/>
      <c r="KM275" s="1009"/>
      <c r="KN275" s="1009"/>
      <c r="KO275" s="1009"/>
      <c r="KP275" s="1009"/>
      <c r="KQ275" s="1009"/>
      <c r="KR275" s="1009"/>
      <c r="KS275" s="1009"/>
      <c r="KT275" s="1009"/>
      <c r="KU275" s="1009"/>
      <c r="KV275" s="1009"/>
      <c r="KW275" s="1009"/>
      <c r="KX275" s="1009"/>
      <c r="KY275" s="1009"/>
      <c r="KZ275" s="1009"/>
      <c r="LA275" s="1009"/>
      <c r="LB275" s="1009"/>
      <c r="LC275" s="1009"/>
      <c r="LD275" s="1009"/>
      <c r="LE275" s="1009"/>
      <c r="LF275" s="1009"/>
      <c r="LG275" s="1009"/>
      <c r="LH275" s="1009"/>
      <c r="LI275" s="1009"/>
      <c r="LJ275" s="1009"/>
      <c r="LK275" s="1009"/>
      <c r="LL275" s="1009"/>
      <c r="LM275" s="1009"/>
      <c r="LN275" s="1009"/>
      <c r="LO275" s="1009"/>
      <c r="LP275" s="1009"/>
      <c r="LQ275" s="1009"/>
      <c r="LR275" s="1009"/>
      <c r="LS275" s="1009"/>
      <c r="LT275" s="1009"/>
      <c r="LU275" s="1009"/>
      <c r="LV275" s="1009"/>
      <c r="LW275" s="1009"/>
      <c r="LX275" s="1009"/>
      <c r="LY275" s="1009"/>
      <c r="LZ275" s="1009"/>
      <c r="MA275" s="1009"/>
      <c r="MB275" s="1009"/>
      <c r="MC275" s="1009"/>
      <c r="MD275" s="1009"/>
      <c r="ME275" s="1009"/>
      <c r="MF275" s="1009"/>
      <c r="MG275" s="1009"/>
      <c r="MH275" s="1009"/>
      <c r="MI275" s="1009"/>
      <c r="MJ275" s="1009"/>
      <c r="MK275" s="1009"/>
      <c r="ML275" s="1009"/>
      <c r="MM275" s="1009"/>
      <c r="MN275" s="1009"/>
      <c r="MO275" s="1009"/>
      <c r="MP275" s="1009"/>
      <c r="MQ275" s="1009"/>
      <c r="MR275" s="1009"/>
      <c r="MS275" s="1009"/>
      <c r="MT275" s="1009"/>
      <c r="MU275" s="1009"/>
      <c r="MV275" s="1009"/>
      <c r="MW275" s="1009"/>
      <c r="MX275" s="1009"/>
      <c r="MY275" s="1009"/>
      <c r="MZ275" s="1009"/>
      <c r="NA275" s="1009"/>
      <c r="NB275" s="1009"/>
      <c r="NC275" s="1009"/>
      <c r="ND275" s="1009"/>
      <c r="NE275" s="1009"/>
      <c r="NF275" s="1009"/>
      <c r="NG275" s="1009"/>
      <c r="NH275" s="1009"/>
      <c r="NI275" s="1009"/>
      <c r="NJ275" s="1009"/>
      <c r="NK275" s="1009"/>
      <c r="NL275" s="1009"/>
      <c r="NM275" s="1009"/>
      <c r="NN275" s="1009"/>
      <c r="NO275" s="1009"/>
      <c r="NP275" s="1009"/>
      <c r="NQ275" s="1009"/>
      <c r="NR275" s="1009"/>
      <c r="NS275" s="1009"/>
      <c r="NT275" s="1009"/>
      <c r="NU275" s="1009"/>
      <c r="NV275" s="1009"/>
      <c r="NW275" s="1009"/>
      <c r="NX275" s="1009"/>
      <c r="NY275" s="1009"/>
      <c r="NZ275" s="1009"/>
      <c r="OA275" s="1009"/>
      <c r="OB275" s="1009"/>
      <c r="OC275" s="1009"/>
      <c r="OD275" s="1009"/>
      <c r="OE275" s="1009"/>
      <c r="OF275" s="1009"/>
      <c r="OG275" s="1009"/>
      <c r="OH275" s="1009"/>
      <c r="OI275" s="1009"/>
      <c r="OJ275" s="1009"/>
      <c r="OK275" s="1009"/>
      <c r="OL275" s="1009"/>
      <c r="OM275" s="1009"/>
      <c r="ON275" s="1009"/>
      <c r="OO275" s="1009"/>
      <c r="OP275" s="1009"/>
      <c r="OQ275" s="1009"/>
      <c r="OR275" s="1009"/>
      <c r="OS275" s="1009"/>
      <c r="OT275" s="1009"/>
      <c r="OU275" s="1009"/>
      <c r="OV275" s="1009"/>
      <c r="OW275" s="1009"/>
      <c r="OX275" s="1009"/>
      <c r="OY275" s="1009"/>
      <c r="OZ275" s="1009"/>
      <c r="PA275" s="1009"/>
      <c r="PB275" s="1009"/>
      <c r="PC275" s="1009"/>
      <c r="PD275" s="1009"/>
      <c r="PE275" s="1009"/>
      <c r="PF275" s="1009"/>
      <c r="PG275" s="1009"/>
      <c r="PH275" s="1009"/>
      <c r="PI275" s="1009"/>
      <c r="PJ275" s="1009"/>
      <c r="PK275" s="1009"/>
      <c r="PL275" s="1009"/>
      <c r="PM275" s="1009"/>
      <c r="PN275" s="1009"/>
      <c r="PO275" s="1009"/>
      <c r="PP275" s="1009"/>
      <c r="PQ275" s="1009"/>
      <c r="PR275" s="1009"/>
      <c r="PS275" s="1009"/>
      <c r="PT275" s="1009"/>
      <c r="PU275" s="1009"/>
      <c r="PV275" s="1009"/>
      <c r="PW275" s="1009"/>
      <c r="PX275" s="1009"/>
      <c r="PY275" s="1009"/>
      <c r="PZ275" s="1009"/>
      <c r="QA275" s="1009"/>
      <c r="QB275" s="1009"/>
      <c r="QC275" s="1009"/>
      <c r="QD275" s="1009"/>
      <c r="QE275" s="1009"/>
      <c r="QF275" s="1009"/>
      <c r="QG275" s="1009"/>
      <c r="QH275" s="1009"/>
      <c r="QI275" s="1009"/>
      <c r="QJ275" s="1009"/>
      <c r="QK275" s="1009"/>
      <c r="QL275" s="1009"/>
      <c r="QM275" s="1009"/>
      <c r="QN275" s="1009"/>
      <c r="QO275" s="1009"/>
      <c r="QP275" s="1009"/>
      <c r="QQ275" s="1009"/>
      <c r="QR275" s="1009"/>
      <c r="QS275" s="1009"/>
      <c r="QT275" s="1009"/>
      <c r="QU275" s="1009"/>
      <c r="QV275" s="1009"/>
      <c r="QW275" s="1009"/>
      <c r="QX275" s="1009"/>
      <c r="QY275" s="1009"/>
      <c r="QZ275" s="1009"/>
      <c r="RA275" s="1009"/>
      <c r="RB275" s="1009"/>
      <c r="RC275" s="1009"/>
      <c r="RD275" s="1009"/>
      <c r="RE275" s="1009"/>
      <c r="RF275" s="1009"/>
      <c r="RG275" s="1009"/>
      <c r="RH275" s="1009"/>
      <c r="RI275" s="1009"/>
      <c r="RJ275" s="1009"/>
      <c r="RK275" s="1009"/>
      <c r="RL275" s="1009"/>
      <c r="RM275" s="1009"/>
      <c r="RN275" s="1009"/>
      <c r="RO275" s="1009"/>
      <c r="RP275" s="1009"/>
      <c r="RQ275" s="1009"/>
      <c r="RR275" s="1009"/>
      <c r="RS275" s="1009"/>
      <c r="RT275" s="1009"/>
      <c r="RU275" s="1009"/>
      <c r="RV275" s="1009"/>
      <c r="RW275" s="1009"/>
      <c r="RX275" s="1009"/>
      <c r="RY275" s="1009"/>
      <c r="RZ275" s="1009"/>
      <c r="SA275" s="1009"/>
      <c r="SB275" s="1009"/>
      <c r="SC275" s="1009"/>
      <c r="SD275" s="1009"/>
      <c r="SE275" s="1009"/>
      <c r="SF275" s="1009"/>
      <c r="SG275" s="1009"/>
      <c r="SH275" s="1009"/>
      <c r="SI275" s="1009"/>
      <c r="SJ275" s="1009"/>
      <c r="SK275" s="1009"/>
      <c r="SL275" s="1009"/>
      <c r="SM275" s="1009"/>
      <c r="SN275" s="1009"/>
      <c r="SO275" s="1009"/>
      <c r="SP275" s="1009"/>
      <c r="SQ275" s="1009"/>
      <c r="SR275" s="1009"/>
      <c r="SS275" s="1009"/>
      <c r="ST275" s="1009"/>
      <c r="SU275" s="1009"/>
      <c r="SV275" s="1009"/>
      <c r="SW275" s="1009"/>
      <c r="SX275" s="1009"/>
      <c r="SY275" s="1009"/>
      <c r="SZ275" s="1009"/>
      <c r="TA275" s="1009"/>
      <c r="TB275" s="1009"/>
      <c r="TC275" s="1009"/>
      <c r="TD275" s="1009"/>
      <c r="TE275" s="1009"/>
      <c r="TF275" s="1009"/>
      <c r="TG275" s="1009"/>
      <c r="TH275" s="1009"/>
      <c r="TI275" s="1009"/>
      <c r="TJ275" s="1009"/>
      <c r="TK275" s="1009"/>
      <c r="TL275" s="1009"/>
      <c r="TM275" s="1009"/>
      <c r="TN275" s="1009"/>
      <c r="TO275" s="1009"/>
      <c r="TP275" s="1009"/>
      <c r="TQ275" s="1009"/>
      <c r="TR275" s="1009"/>
      <c r="TS275" s="1009"/>
      <c r="TT275" s="1009"/>
      <c r="TU275" s="1009"/>
      <c r="TV275" s="1009"/>
      <c r="TW275" s="1009"/>
      <c r="TX275" s="1009"/>
      <c r="TY275" s="1009"/>
      <c r="TZ275" s="1009"/>
      <c r="UA275" s="1009"/>
      <c r="UB275" s="1009"/>
      <c r="UC275" s="1009"/>
      <c r="UD275" s="1009"/>
      <c r="UE275" s="1009"/>
      <c r="UF275" s="1009"/>
      <c r="UG275" s="1009"/>
      <c r="UH275" s="1009"/>
      <c r="UI275" s="1009"/>
      <c r="UJ275" s="1009"/>
      <c r="UK275" s="1009"/>
      <c r="UL275" s="1009"/>
      <c r="UM275" s="1009"/>
      <c r="UN275" s="1009"/>
      <c r="UO275" s="1009"/>
      <c r="UP275" s="1009"/>
      <c r="UQ275" s="1009"/>
      <c r="UR275" s="1009"/>
      <c r="US275" s="1009"/>
      <c r="UT275" s="1009"/>
      <c r="UU275" s="1009"/>
      <c r="UV275" s="1009"/>
      <c r="UW275" s="1009"/>
      <c r="UX275" s="1009"/>
      <c r="UY275" s="1009"/>
      <c r="UZ275" s="1009"/>
      <c r="VA275" s="1009"/>
      <c r="VB275" s="1009"/>
      <c r="VC275" s="1009"/>
      <c r="VD275" s="1009"/>
      <c r="VE275" s="1009"/>
      <c r="VF275" s="1009"/>
      <c r="VG275" s="1009"/>
      <c r="VH275" s="1009"/>
      <c r="VI275" s="1009"/>
      <c r="VJ275" s="1009"/>
      <c r="VK275" s="1009"/>
      <c r="VL275" s="1009"/>
      <c r="VM275" s="1009"/>
      <c r="VN275" s="1009"/>
      <c r="VO275" s="1009"/>
      <c r="VP275" s="1009"/>
      <c r="VQ275" s="1009"/>
      <c r="VR275" s="1009"/>
      <c r="VS275" s="1009"/>
      <c r="VT275" s="1009"/>
      <c r="VU275" s="1009"/>
      <c r="VV275" s="1009"/>
      <c r="VW275" s="1009"/>
      <c r="VX275" s="1009"/>
      <c r="VY275" s="1009"/>
      <c r="VZ275" s="1009"/>
      <c r="WA275" s="1009"/>
      <c r="WB275" s="1009"/>
      <c r="WC275" s="1009"/>
      <c r="WD275" s="1009"/>
      <c r="WE275" s="1009"/>
      <c r="WF275" s="1009"/>
      <c r="WG275" s="1009"/>
      <c r="WH275" s="1009"/>
      <c r="WI275" s="1009"/>
      <c r="WJ275" s="1009"/>
      <c r="WK275" s="1009"/>
      <c r="WL275" s="1009"/>
      <c r="WM275" s="1009"/>
      <c r="WN275" s="1009"/>
      <c r="WO275" s="1009"/>
      <c r="WP275" s="1009"/>
      <c r="WQ275" s="1009"/>
      <c r="WR275" s="1009"/>
      <c r="WS275" s="1009"/>
      <c r="WT275" s="1009"/>
      <c r="WU275" s="1009"/>
      <c r="WV275" s="1009"/>
      <c r="WW275" s="1009"/>
      <c r="WX275" s="1009"/>
      <c r="WY275" s="1009"/>
      <c r="WZ275" s="1009"/>
      <c r="XA275" s="1009"/>
      <c r="XB275" s="1009"/>
      <c r="XC275" s="1009"/>
      <c r="XD275" s="1009"/>
      <c r="XE275" s="1009"/>
      <c r="XF275" s="1009"/>
      <c r="XG275" s="1009"/>
      <c r="XH275" s="1009"/>
      <c r="XI275" s="1009"/>
      <c r="XJ275" s="1009"/>
      <c r="XK275" s="1009"/>
      <c r="XL275" s="1009"/>
      <c r="XM275" s="1009"/>
      <c r="XN275" s="1009"/>
      <c r="XO275" s="1009"/>
      <c r="XP275" s="1009"/>
      <c r="XQ275" s="1009"/>
      <c r="XR275" s="1009"/>
      <c r="XS275" s="1009"/>
      <c r="XT275" s="1009"/>
      <c r="XU275" s="1009"/>
      <c r="XV275" s="1009"/>
      <c r="XW275" s="1009"/>
      <c r="XX275" s="1009"/>
      <c r="XY275" s="1009"/>
      <c r="XZ275" s="1009"/>
      <c r="YA275" s="1009"/>
      <c r="YB275" s="1009"/>
      <c r="YC275" s="1009"/>
      <c r="YD275" s="1009"/>
      <c r="YE275" s="1009"/>
      <c r="YF275" s="1009"/>
      <c r="YG275" s="1009"/>
      <c r="YH275" s="1009"/>
      <c r="YI275" s="1009"/>
      <c r="YJ275" s="1009"/>
      <c r="YK275" s="1009"/>
      <c r="YL275" s="1009"/>
      <c r="YM275" s="1009"/>
      <c r="YN275" s="1009"/>
      <c r="YO275" s="1009"/>
      <c r="YP275" s="1009"/>
      <c r="YQ275" s="1009"/>
      <c r="YR275" s="1009"/>
      <c r="YS275" s="1009"/>
      <c r="YT275" s="1009"/>
      <c r="YU275" s="1009"/>
      <c r="YV275" s="1009"/>
      <c r="YW275" s="1009"/>
      <c r="YX275" s="1009"/>
      <c r="YY275" s="1009"/>
      <c r="YZ275" s="1009"/>
      <c r="ZA275" s="1009"/>
      <c r="ZB275" s="1009"/>
      <c r="ZC275" s="1009"/>
      <c r="ZD275" s="1009"/>
      <c r="ZE275" s="1009"/>
      <c r="ZF275" s="1009"/>
      <c r="ZG275" s="1009"/>
      <c r="ZH275" s="1009"/>
      <c r="ZI275" s="1009"/>
      <c r="ZJ275" s="1009"/>
      <c r="ZK275" s="1009"/>
      <c r="ZL275" s="1009"/>
      <c r="ZM275" s="1009"/>
      <c r="ZN275" s="1009"/>
      <c r="ZO275" s="1009"/>
      <c r="ZP275" s="1009"/>
      <c r="ZQ275" s="1009"/>
      <c r="ZR275" s="1009"/>
      <c r="ZS275" s="1009"/>
      <c r="ZT275" s="1009"/>
      <c r="ZU275" s="1009"/>
      <c r="ZV275" s="1009"/>
      <c r="ZW275" s="1009"/>
      <c r="ZX275" s="1009"/>
      <c r="ZY275" s="1009"/>
      <c r="ZZ275" s="1009"/>
      <c r="AAA275" s="1009"/>
      <c r="AAB275" s="1009"/>
      <c r="AAC275" s="1009"/>
      <c r="AAD275" s="1009"/>
      <c r="AAE275" s="1009"/>
      <c r="AAF275" s="1009"/>
      <c r="AAG275" s="1009"/>
      <c r="AAH275" s="1009"/>
      <c r="AAI275" s="1009"/>
      <c r="AAJ275" s="1009"/>
      <c r="AAK275" s="1009"/>
      <c r="AAL275" s="1009"/>
      <c r="AAM275" s="1009"/>
      <c r="AAN275" s="1009"/>
      <c r="AAO275" s="1009"/>
      <c r="AAP275" s="1009"/>
      <c r="AAQ275" s="1009"/>
      <c r="AAR275" s="1009"/>
      <c r="AAS275" s="1009"/>
      <c r="AAT275" s="1009"/>
      <c r="AAU275" s="1009"/>
      <c r="AAV275" s="1009"/>
      <c r="AAW275" s="1009"/>
      <c r="AAX275" s="1009"/>
      <c r="AAY275" s="1009"/>
      <c r="AAZ275" s="1009"/>
      <c r="ABA275" s="1009"/>
      <c r="ABB275" s="1009"/>
      <c r="ABC275" s="1009"/>
      <c r="ABD275" s="1009"/>
      <c r="ABE275" s="1009"/>
      <c r="ABF275" s="1009"/>
      <c r="ABG275" s="1009"/>
      <c r="ABH275" s="1009"/>
      <c r="ABI275" s="1009"/>
      <c r="ABJ275" s="1009"/>
      <c r="ABK275" s="1009"/>
      <c r="ABL275" s="1009"/>
      <c r="ABM275" s="1009"/>
      <c r="ABN275" s="1009"/>
      <c r="ABO275" s="1009"/>
      <c r="ABP275" s="1009"/>
      <c r="ABQ275" s="1009"/>
      <c r="ABR275" s="1009"/>
    </row>
    <row r="276" spans="1:746" s="111" customFormat="1" ht="12" customHeight="1">
      <c r="A276" s="789"/>
      <c r="B276" s="808"/>
      <c r="C276" s="1643"/>
      <c r="D276" s="1643"/>
      <c r="E276" s="1643"/>
      <c r="F276" s="1643"/>
      <c r="G276" s="1643"/>
      <c r="H276" s="2555"/>
      <c r="I276" s="2570" t="str">
        <f>IF(fx!I$57=0,"&gt;&gt;",IF($L$4=I$6,"","Välj 1-12 i P4"))</f>
        <v/>
      </c>
      <c r="J276" s="1843" t="str">
        <f>IF(fx!J$57=0,"&gt;&gt;",IF($L$4=J$6,"Startmånad",""))</f>
        <v/>
      </c>
      <c r="K276" s="1843" t="str">
        <f>IF(fx!K$57=0,"&gt;&gt;",IF($L$4=K$6,"Startmånad",""))</f>
        <v/>
      </c>
      <c r="L276" s="1843" t="str">
        <f>IF(fx!L$57=0,"&gt;&gt;",IF($L$4=L$6,"Startmånad",""))</f>
        <v/>
      </c>
      <c r="M276" s="1843" t="str">
        <f>IF(fx!M$57=0,"&gt;&gt;",IF($L$4=M$6,"Startmånad",""))</f>
        <v/>
      </c>
      <c r="N276" s="1843" t="str">
        <f>IF(fx!N$57=0,"&gt;&gt;",IF($L$4=N$6,"Startmånad",""))</f>
        <v/>
      </c>
      <c r="O276" s="1843" t="str">
        <f>IF(AND(fx!$C$57=1,fx!O$57=0),"&gt;&gt;",IF(AND(fx!$C$57=1,$L$4=$O$6),"Startmånad",IF(AND(fx!$C$57=2,$L$4&lt;7),"Välj 7-12 i P4",IF(AND(fx!$C$57=2,$L$4=$O$6),"Startmånad",IF(AND(fx!$C$57=2,$L$4&gt;$O$6),"&gt;&gt;","")))))</f>
        <v/>
      </c>
      <c r="P276" s="1843" t="str">
        <f>IF(fx!P$57=0,"&gt;&gt;",IF($L$4=P$6,"Startmånad",""))</f>
        <v/>
      </c>
      <c r="Q276" s="1843" t="str">
        <f>IF(fx!Q$57=0,"&gt;&gt;",IF($L$4=Q$6,"Startmånad",""))</f>
        <v/>
      </c>
      <c r="R276" s="1843" t="str">
        <f>IF(fx!R$57=0,"&gt;&gt;",IF($L$4=R$6,"Startmånad",""))</f>
        <v/>
      </c>
      <c r="S276" s="1843" t="str">
        <f>IF(fx!S$57=0,"&gt;&gt;",IF($L$4=S$6,"Startmånad",""))</f>
        <v/>
      </c>
      <c r="T276" s="2721" t="str">
        <f>IF(fx!T$57=0,"&gt;&gt;",IF($L$4=T$6,"Startmånad",""))</f>
        <v/>
      </c>
      <c r="U276" s="2722"/>
      <c r="V276" s="337"/>
      <c r="W276" s="337"/>
      <c r="X276" s="337"/>
      <c r="Y276" s="1644"/>
      <c r="Z276" s="1644"/>
      <c r="AA276" s="337"/>
      <c r="AB276" s="337"/>
      <c r="AC276" s="337"/>
      <c r="AD276" s="337"/>
      <c r="AE276" s="337"/>
      <c r="AF276" s="337"/>
      <c r="AG276" s="337"/>
      <c r="AH276" s="337"/>
      <c r="AI276" s="337"/>
      <c r="AJ276" s="1036"/>
      <c r="AK276" s="1036"/>
      <c r="AL276" s="1036"/>
      <c r="AM276" s="1036"/>
      <c r="AN276" s="1036"/>
      <c r="AO276" s="1034"/>
      <c r="AP276" s="1084"/>
      <c r="AQ276" s="1084"/>
      <c r="AR276" s="1009"/>
      <c r="AS276" s="1009"/>
      <c r="AT276" s="1009"/>
      <c r="AU276" s="1009"/>
      <c r="AV276" s="1009"/>
      <c r="AW276" s="1009"/>
      <c r="AX276" s="1009"/>
      <c r="AY276" s="1009"/>
      <c r="AZ276" s="1009"/>
      <c r="BA276" s="1009"/>
      <c r="BB276" s="1009"/>
      <c r="BC276" s="1009"/>
      <c r="BD276" s="1009"/>
      <c r="BE276" s="1009"/>
      <c r="BF276" s="1009"/>
      <c r="BG276" s="1009"/>
      <c r="BH276" s="1009"/>
      <c r="BI276" s="1009"/>
      <c r="BJ276" s="1009"/>
      <c r="BK276" s="1009"/>
      <c r="BL276" s="1009"/>
      <c r="BM276" s="1009"/>
      <c r="BN276" s="1009"/>
      <c r="BO276" s="1009"/>
      <c r="BP276" s="1009"/>
      <c r="BQ276" s="1009"/>
      <c r="BR276" s="1009"/>
      <c r="BS276" s="1009"/>
      <c r="BT276" s="1009"/>
      <c r="BU276" s="1009"/>
      <c r="BV276" s="1009"/>
      <c r="BW276" s="1009"/>
      <c r="BX276" s="1009"/>
      <c r="BY276" s="1009"/>
      <c r="BZ276" s="1009"/>
      <c r="CA276" s="1009"/>
      <c r="CB276" s="1009"/>
      <c r="CC276" s="1009"/>
      <c r="CD276" s="1009"/>
      <c r="CE276" s="1009"/>
      <c r="CF276" s="1009"/>
      <c r="CG276" s="1009"/>
      <c r="CH276" s="1009"/>
      <c r="CI276" s="1009"/>
      <c r="CJ276" s="1009"/>
      <c r="CK276" s="1009"/>
      <c r="CL276" s="1009"/>
      <c r="CM276" s="1009"/>
      <c r="CN276" s="1009"/>
      <c r="CO276" s="1009"/>
      <c r="CP276" s="1009"/>
      <c r="CQ276" s="1009"/>
      <c r="CR276" s="1009"/>
      <c r="CS276" s="1009"/>
      <c r="CT276" s="1009"/>
      <c r="CU276" s="1009"/>
      <c r="CV276" s="1009"/>
      <c r="CW276" s="1009"/>
      <c r="CX276" s="1009"/>
      <c r="CY276" s="1009"/>
      <c r="CZ276" s="1009"/>
      <c r="DA276" s="1009"/>
      <c r="DB276" s="1009"/>
      <c r="DC276" s="1009"/>
      <c r="DD276" s="1009"/>
      <c r="DE276" s="1009"/>
      <c r="DF276" s="1009"/>
      <c r="DG276" s="1009"/>
      <c r="DH276" s="1009"/>
      <c r="DI276" s="1009"/>
      <c r="DJ276" s="1009"/>
      <c r="DK276" s="1009"/>
      <c r="DL276" s="1009"/>
      <c r="DM276" s="1009"/>
      <c r="DN276" s="1009"/>
      <c r="DO276" s="1009"/>
      <c r="DP276" s="1009"/>
      <c r="DQ276" s="1009"/>
      <c r="DR276" s="1009"/>
      <c r="DS276" s="1009"/>
      <c r="DT276" s="1009"/>
      <c r="DU276" s="1009"/>
      <c r="DV276" s="1009"/>
      <c r="DW276" s="1009"/>
      <c r="DX276" s="1009"/>
      <c r="DY276" s="1009"/>
      <c r="DZ276" s="1009"/>
      <c r="EA276" s="1009"/>
      <c r="EB276" s="1009"/>
      <c r="EC276" s="1009"/>
      <c r="ED276" s="1009"/>
      <c r="EE276" s="1009"/>
      <c r="EF276" s="1009"/>
      <c r="EG276" s="1009"/>
      <c r="EH276" s="1009"/>
      <c r="EI276" s="1009"/>
      <c r="EJ276" s="1009"/>
      <c r="EK276" s="1009"/>
      <c r="EL276" s="1009"/>
      <c r="EM276" s="1009"/>
      <c r="EN276" s="1009"/>
      <c r="EO276" s="1009"/>
      <c r="EP276" s="1009"/>
      <c r="EQ276" s="1009"/>
      <c r="ER276" s="1009"/>
      <c r="ES276" s="1009"/>
      <c r="ET276" s="1009"/>
      <c r="EU276" s="1009"/>
      <c r="EV276" s="1009"/>
      <c r="EW276" s="1009"/>
      <c r="EX276" s="1009"/>
      <c r="EY276" s="1009"/>
      <c r="EZ276" s="1009"/>
      <c r="FA276" s="1009"/>
      <c r="FB276" s="1009"/>
      <c r="FC276" s="1009"/>
      <c r="FD276" s="1009"/>
      <c r="FE276" s="1009"/>
      <c r="FF276" s="1009"/>
      <c r="FG276" s="1009"/>
      <c r="FH276" s="1009"/>
      <c r="FI276" s="1009"/>
      <c r="FJ276" s="1009"/>
      <c r="FK276" s="1009"/>
      <c r="FL276" s="1009"/>
      <c r="FM276" s="1009"/>
      <c r="FN276" s="1009"/>
      <c r="FO276" s="1009"/>
      <c r="FP276" s="1009"/>
      <c r="FQ276" s="1009"/>
      <c r="FR276" s="1009"/>
      <c r="FS276" s="1009"/>
      <c r="FT276" s="1009"/>
      <c r="FU276" s="1009"/>
      <c r="FV276" s="1009"/>
      <c r="FW276" s="1009"/>
      <c r="FX276" s="1009"/>
      <c r="FY276" s="1009"/>
      <c r="FZ276" s="1009"/>
      <c r="GA276" s="1009"/>
      <c r="GB276" s="1009"/>
      <c r="GC276" s="1009"/>
      <c r="GD276" s="1009"/>
      <c r="GE276" s="1009"/>
      <c r="GF276" s="1009"/>
      <c r="GG276" s="1009"/>
      <c r="GH276" s="1009"/>
      <c r="GI276" s="1009"/>
      <c r="GJ276" s="1009"/>
      <c r="GK276" s="1009"/>
      <c r="GL276" s="1009"/>
      <c r="GM276" s="1009"/>
      <c r="GN276" s="1009"/>
      <c r="GO276" s="1009"/>
      <c r="GP276" s="1009"/>
      <c r="GQ276" s="1009"/>
      <c r="GR276" s="1009"/>
      <c r="GS276" s="1009"/>
      <c r="GT276" s="1009"/>
      <c r="GU276" s="1009"/>
      <c r="GV276" s="1009"/>
      <c r="GW276" s="1009"/>
      <c r="GX276" s="1009"/>
      <c r="GY276" s="1009"/>
      <c r="GZ276" s="1009"/>
      <c r="HA276" s="1009"/>
      <c r="HB276" s="1009"/>
      <c r="HC276" s="1009"/>
      <c r="HD276" s="1009"/>
      <c r="HE276" s="1009"/>
      <c r="HF276" s="1009"/>
      <c r="HG276" s="1009"/>
      <c r="HH276" s="1009"/>
      <c r="HI276" s="1009"/>
      <c r="HJ276" s="1009"/>
      <c r="HK276" s="1009"/>
      <c r="HL276" s="1009"/>
      <c r="HM276" s="1009"/>
      <c r="HN276" s="1009"/>
      <c r="HO276" s="1009"/>
      <c r="HP276" s="1009"/>
      <c r="HQ276" s="1009"/>
      <c r="HR276" s="1009"/>
      <c r="HS276" s="1009"/>
      <c r="HT276" s="1009"/>
      <c r="HU276" s="1009"/>
      <c r="HV276" s="1009"/>
      <c r="HW276" s="1009"/>
      <c r="HX276" s="1009"/>
      <c r="HY276" s="1009"/>
      <c r="HZ276" s="1009"/>
      <c r="IA276" s="1009"/>
      <c r="IB276" s="1009"/>
      <c r="IC276" s="1009"/>
      <c r="ID276" s="1009"/>
      <c r="IE276" s="1009"/>
      <c r="IF276" s="1009"/>
      <c r="IG276" s="1009"/>
      <c r="IH276" s="1009"/>
      <c r="II276" s="1009"/>
      <c r="IJ276" s="1009"/>
      <c r="IK276" s="1009"/>
      <c r="IL276" s="1009"/>
      <c r="IM276" s="1009"/>
      <c r="IN276" s="1009"/>
      <c r="IO276" s="1009"/>
      <c r="IP276" s="1009"/>
      <c r="IQ276" s="1009"/>
      <c r="IR276" s="1009"/>
      <c r="IS276" s="1009"/>
      <c r="IT276" s="1009"/>
      <c r="IU276" s="1009"/>
      <c r="IV276" s="1009"/>
      <c r="IW276" s="1009"/>
      <c r="IX276" s="1009"/>
      <c r="IY276" s="1009"/>
      <c r="IZ276" s="1009"/>
      <c r="JA276" s="1009"/>
      <c r="JB276" s="1009"/>
      <c r="JC276" s="1009"/>
      <c r="JD276" s="1009"/>
      <c r="JE276" s="1009"/>
      <c r="JF276" s="1009"/>
      <c r="JG276" s="1009"/>
      <c r="JH276" s="1009"/>
      <c r="JI276" s="1009"/>
      <c r="JJ276" s="1009"/>
      <c r="JK276" s="1009"/>
      <c r="JL276" s="1009"/>
      <c r="JM276" s="1009"/>
      <c r="JN276" s="1009"/>
      <c r="JO276" s="1009"/>
      <c r="JP276" s="1009"/>
      <c r="JQ276" s="1009"/>
      <c r="JR276" s="1009"/>
      <c r="JS276" s="1009"/>
      <c r="JT276" s="1009"/>
      <c r="JU276" s="1009"/>
      <c r="JV276" s="1009"/>
      <c r="JW276" s="1009"/>
      <c r="JX276" s="1009"/>
      <c r="JY276" s="1009"/>
      <c r="JZ276" s="1009"/>
      <c r="KA276" s="1009"/>
      <c r="KB276" s="1009"/>
      <c r="KC276" s="1009"/>
      <c r="KD276" s="1009"/>
      <c r="KE276" s="1009"/>
      <c r="KF276" s="1009"/>
      <c r="KG276" s="1009"/>
      <c r="KH276" s="1009"/>
      <c r="KI276" s="1009"/>
      <c r="KJ276" s="1009"/>
      <c r="KK276" s="1009"/>
      <c r="KL276" s="1009"/>
      <c r="KM276" s="1009"/>
      <c r="KN276" s="1009"/>
      <c r="KO276" s="1009"/>
      <c r="KP276" s="1009"/>
      <c r="KQ276" s="1009"/>
      <c r="KR276" s="1009"/>
      <c r="KS276" s="1009"/>
      <c r="KT276" s="1009"/>
      <c r="KU276" s="1009"/>
      <c r="KV276" s="1009"/>
      <c r="KW276" s="1009"/>
      <c r="KX276" s="1009"/>
      <c r="KY276" s="1009"/>
      <c r="KZ276" s="1009"/>
      <c r="LA276" s="1009"/>
      <c r="LB276" s="1009"/>
      <c r="LC276" s="1009"/>
      <c r="LD276" s="1009"/>
      <c r="LE276" s="1009"/>
      <c r="LF276" s="1009"/>
      <c r="LG276" s="1009"/>
      <c r="LH276" s="1009"/>
      <c r="LI276" s="1009"/>
      <c r="LJ276" s="1009"/>
      <c r="LK276" s="1009"/>
      <c r="LL276" s="1009"/>
      <c r="LM276" s="1009"/>
      <c r="LN276" s="1009"/>
      <c r="LO276" s="1009"/>
      <c r="LP276" s="1009"/>
      <c r="LQ276" s="1009"/>
      <c r="LR276" s="1009"/>
      <c r="LS276" s="1009"/>
      <c r="LT276" s="1009"/>
      <c r="LU276" s="1009"/>
      <c r="LV276" s="1009"/>
      <c r="LW276" s="1009"/>
      <c r="LX276" s="1009"/>
      <c r="LY276" s="1009"/>
      <c r="LZ276" s="1009"/>
      <c r="MA276" s="1009"/>
      <c r="MB276" s="1009"/>
      <c r="MC276" s="1009"/>
      <c r="MD276" s="1009"/>
      <c r="ME276" s="1009"/>
      <c r="MF276" s="1009"/>
      <c r="MG276" s="1009"/>
      <c r="MH276" s="1009"/>
      <c r="MI276" s="1009"/>
      <c r="MJ276" s="1009"/>
      <c r="MK276" s="1009"/>
      <c r="ML276" s="1009"/>
      <c r="MM276" s="1009"/>
      <c r="MN276" s="1009"/>
      <c r="MO276" s="1009"/>
      <c r="MP276" s="1009"/>
      <c r="MQ276" s="1009"/>
      <c r="MR276" s="1009"/>
      <c r="MS276" s="1009"/>
      <c r="MT276" s="1009"/>
      <c r="MU276" s="1009"/>
      <c r="MV276" s="1009"/>
      <c r="MW276" s="1009"/>
      <c r="MX276" s="1009"/>
      <c r="MY276" s="1009"/>
      <c r="MZ276" s="1009"/>
      <c r="NA276" s="1009"/>
      <c r="NB276" s="1009"/>
      <c r="NC276" s="1009"/>
      <c r="ND276" s="1009"/>
      <c r="NE276" s="1009"/>
      <c r="NF276" s="1009"/>
      <c r="NG276" s="1009"/>
      <c r="NH276" s="1009"/>
      <c r="NI276" s="1009"/>
      <c r="NJ276" s="1009"/>
      <c r="NK276" s="1009"/>
      <c r="NL276" s="1009"/>
      <c r="NM276" s="1009"/>
      <c r="NN276" s="1009"/>
      <c r="NO276" s="1009"/>
      <c r="NP276" s="1009"/>
      <c r="NQ276" s="1009"/>
      <c r="NR276" s="1009"/>
      <c r="NS276" s="1009"/>
      <c r="NT276" s="1009"/>
      <c r="NU276" s="1009"/>
      <c r="NV276" s="1009"/>
      <c r="NW276" s="1009"/>
      <c r="NX276" s="1009"/>
      <c r="NY276" s="1009"/>
      <c r="NZ276" s="1009"/>
      <c r="OA276" s="1009"/>
      <c r="OB276" s="1009"/>
      <c r="OC276" s="1009"/>
      <c r="OD276" s="1009"/>
      <c r="OE276" s="1009"/>
      <c r="OF276" s="1009"/>
      <c r="OG276" s="1009"/>
      <c r="OH276" s="1009"/>
      <c r="OI276" s="1009"/>
      <c r="OJ276" s="1009"/>
      <c r="OK276" s="1009"/>
      <c r="OL276" s="1009"/>
      <c r="OM276" s="1009"/>
      <c r="ON276" s="1009"/>
      <c r="OO276" s="1009"/>
      <c r="OP276" s="1009"/>
      <c r="OQ276" s="1009"/>
      <c r="OR276" s="1009"/>
      <c r="OS276" s="1009"/>
      <c r="OT276" s="1009"/>
      <c r="OU276" s="1009"/>
      <c r="OV276" s="1009"/>
      <c r="OW276" s="1009"/>
      <c r="OX276" s="1009"/>
      <c r="OY276" s="1009"/>
      <c r="OZ276" s="1009"/>
      <c r="PA276" s="1009"/>
      <c r="PB276" s="1009"/>
      <c r="PC276" s="1009"/>
      <c r="PD276" s="1009"/>
      <c r="PE276" s="1009"/>
      <c r="PF276" s="1009"/>
      <c r="PG276" s="1009"/>
      <c r="PH276" s="1009"/>
      <c r="PI276" s="1009"/>
      <c r="PJ276" s="1009"/>
      <c r="PK276" s="1009"/>
      <c r="PL276" s="1009"/>
      <c r="PM276" s="1009"/>
      <c r="PN276" s="1009"/>
      <c r="PO276" s="1009"/>
      <c r="PP276" s="1009"/>
      <c r="PQ276" s="1009"/>
      <c r="PR276" s="1009"/>
      <c r="PS276" s="1009"/>
      <c r="PT276" s="1009"/>
      <c r="PU276" s="1009"/>
      <c r="PV276" s="1009"/>
      <c r="PW276" s="1009"/>
      <c r="PX276" s="1009"/>
      <c r="PY276" s="1009"/>
      <c r="PZ276" s="1009"/>
      <c r="QA276" s="1009"/>
      <c r="QB276" s="1009"/>
      <c r="QC276" s="1009"/>
      <c r="QD276" s="1009"/>
      <c r="QE276" s="1009"/>
      <c r="QF276" s="1009"/>
      <c r="QG276" s="1009"/>
      <c r="QH276" s="1009"/>
      <c r="QI276" s="1009"/>
      <c r="QJ276" s="1009"/>
      <c r="QK276" s="1009"/>
      <c r="QL276" s="1009"/>
      <c r="QM276" s="1009"/>
      <c r="QN276" s="1009"/>
      <c r="QO276" s="1009"/>
      <c r="QP276" s="1009"/>
      <c r="QQ276" s="1009"/>
      <c r="QR276" s="1009"/>
      <c r="QS276" s="1009"/>
      <c r="QT276" s="1009"/>
      <c r="QU276" s="1009"/>
      <c r="QV276" s="1009"/>
      <c r="QW276" s="1009"/>
      <c r="QX276" s="1009"/>
      <c r="QY276" s="1009"/>
      <c r="QZ276" s="1009"/>
      <c r="RA276" s="1009"/>
      <c r="RB276" s="1009"/>
      <c r="RC276" s="1009"/>
      <c r="RD276" s="1009"/>
      <c r="RE276" s="1009"/>
      <c r="RF276" s="1009"/>
      <c r="RG276" s="1009"/>
      <c r="RH276" s="1009"/>
      <c r="RI276" s="1009"/>
      <c r="RJ276" s="1009"/>
      <c r="RK276" s="1009"/>
      <c r="RL276" s="1009"/>
      <c r="RM276" s="1009"/>
      <c r="RN276" s="1009"/>
      <c r="RO276" s="1009"/>
      <c r="RP276" s="1009"/>
      <c r="RQ276" s="1009"/>
      <c r="RR276" s="1009"/>
      <c r="RS276" s="1009"/>
      <c r="RT276" s="1009"/>
      <c r="RU276" s="1009"/>
      <c r="RV276" s="1009"/>
      <c r="RW276" s="1009"/>
      <c r="RX276" s="1009"/>
      <c r="RY276" s="1009"/>
      <c r="RZ276" s="1009"/>
      <c r="SA276" s="1009"/>
      <c r="SB276" s="1009"/>
      <c r="SC276" s="1009"/>
      <c r="SD276" s="1009"/>
      <c r="SE276" s="1009"/>
      <c r="SF276" s="1009"/>
      <c r="SG276" s="1009"/>
      <c r="SH276" s="1009"/>
      <c r="SI276" s="1009"/>
      <c r="SJ276" s="1009"/>
      <c r="SK276" s="1009"/>
      <c r="SL276" s="1009"/>
      <c r="SM276" s="1009"/>
      <c r="SN276" s="1009"/>
      <c r="SO276" s="1009"/>
      <c r="SP276" s="1009"/>
      <c r="SQ276" s="1009"/>
      <c r="SR276" s="1009"/>
      <c r="SS276" s="1009"/>
      <c r="ST276" s="1009"/>
      <c r="SU276" s="1009"/>
      <c r="SV276" s="1009"/>
      <c r="SW276" s="1009"/>
      <c r="SX276" s="1009"/>
      <c r="SY276" s="1009"/>
      <c r="SZ276" s="1009"/>
      <c r="TA276" s="1009"/>
      <c r="TB276" s="1009"/>
      <c r="TC276" s="1009"/>
      <c r="TD276" s="1009"/>
      <c r="TE276" s="1009"/>
      <c r="TF276" s="1009"/>
      <c r="TG276" s="1009"/>
      <c r="TH276" s="1009"/>
      <c r="TI276" s="1009"/>
      <c r="TJ276" s="1009"/>
      <c r="TK276" s="1009"/>
      <c r="TL276" s="1009"/>
      <c r="TM276" s="1009"/>
      <c r="TN276" s="1009"/>
      <c r="TO276" s="1009"/>
      <c r="TP276" s="1009"/>
      <c r="TQ276" s="1009"/>
      <c r="TR276" s="1009"/>
      <c r="TS276" s="1009"/>
      <c r="TT276" s="1009"/>
      <c r="TU276" s="1009"/>
      <c r="TV276" s="1009"/>
      <c r="TW276" s="1009"/>
      <c r="TX276" s="1009"/>
      <c r="TY276" s="1009"/>
      <c r="TZ276" s="1009"/>
      <c r="UA276" s="1009"/>
      <c r="UB276" s="1009"/>
      <c r="UC276" s="1009"/>
      <c r="UD276" s="1009"/>
      <c r="UE276" s="1009"/>
      <c r="UF276" s="1009"/>
      <c r="UG276" s="1009"/>
      <c r="UH276" s="1009"/>
      <c r="UI276" s="1009"/>
      <c r="UJ276" s="1009"/>
      <c r="UK276" s="1009"/>
      <c r="UL276" s="1009"/>
      <c r="UM276" s="1009"/>
      <c r="UN276" s="1009"/>
      <c r="UO276" s="1009"/>
      <c r="UP276" s="1009"/>
      <c r="UQ276" s="1009"/>
      <c r="UR276" s="1009"/>
      <c r="US276" s="1009"/>
      <c r="UT276" s="1009"/>
      <c r="UU276" s="1009"/>
      <c r="UV276" s="1009"/>
      <c r="UW276" s="1009"/>
      <c r="UX276" s="1009"/>
      <c r="UY276" s="1009"/>
      <c r="UZ276" s="1009"/>
      <c r="VA276" s="1009"/>
      <c r="VB276" s="1009"/>
      <c r="VC276" s="1009"/>
      <c r="VD276" s="1009"/>
      <c r="VE276" s="1009"/>
      <c r="VF276" s="1009"/>
      <c r="VG276" s="1009"/>
      <c r="VH276" s="1009"/>
      <c r="VI276" s="1009"/>
      <c r="VJ276" s="1009"/>
      <c r="VK276" s="1009"/>
      <c r="VL276" s="1009"/>
      <c r="VM276" s="1009"/>
      <c r="VN276" s="1009"/>
      <c r="VO276" s="1009"/>
      <c r="VP276" s="1009"/>
      <c r="VQ276" s="1009"/>
      <c r="VR276" s="1009"/>
      <c r="VS276" s="1009"/>
      <c r="VT276" s="1009"/>
      <c r="VU276" s="1009"/>
      <c r="VV276" s="1009"/>
      <c r="VW276" s="1009"/>
      <c r="VX276" s="1009"/>
      <c r="VY276" s="1009"/>
      <c r="VZ276" s="1009"/>
      <c r="WA276" s="1009"/>
      <c r="WB276" s="1009"/>
      <c r="WC276" s="1009"/>
      <c r="WD276" s="1009"/>
      <c r="WE276" s="1009"/>
      <c r="WF276" s="1009"/>
      <c r="WG276" s="1009"/>
      <c r="WH276" s="1009"/>
      <c r="WI276" s="1009"/>
      <c r="WJ276" s="1009"/>
      <c r="WK276" s="1009"/>
      <c r="WL276" s="1009"/>
      <c r="WM276" s="1009"/>
      <c r="WN276" s="1009"/>
      <c r="WO276" s="1009"/>
      <c r="WP276" s="1009"/>
      <c r="WQ276" s="1009"/>
      <c r="WR276" s="1009"/>
      <c r="WS276" s="1009"/>
      <c r="WT276" s="1009"/>
      <c r="WU276" s="1009"/>
      <c r="WV276" s="1009"/>
      <c r="WW276" s="1009"/>
      <c r="WX276" s="1009"/>
      <c r="WY276" s="1009"/>
      <c r="WZ276" s="1009"/>
      <c r="XA276" s="1009"/>
      <c r="XB276" s="1009"/>
      <c r="XC276" s="1009"/>
      <c r="XD276" s="1009"/>
      <c r="XE276" s="1009"/>
      <c r="XF276" s="1009"/>
      <c r="XG276" s="1009"/>
      <c r="XH276" s="1009"/>
      <c r="XI276" s="1009"/>
      <c r="XJ276" s="1009"/>
      <c r="XK276" s="1009"/>
      <c r="XL276" s="1009"/>
      <c r="XM276" s="1009"/>
      <c r="XN276" s="1009"/>
      <c r="XO276" s="1009"/>
      <c r="XP276" s="1009"/>
      <c r="XQ276" s="1009"/>
      <c r="XR276" s="1009"/>
      <c r="XS276" s="1009"/>
      <c r="XT276" s="1009"/>
      <c r="XU276" s="1009"/>
      <c r="XV276" s="1009"/>
      <c r="XW276" s="1009"/>
      <c r="XX276" s="1009"/>
      <c r="XY276" s="1009"/>
      <c r="XZ276" s="1009"/>
      <c r="YA276" s="1009"/>
      <c r="YB276" s="1009"/>
      <c r="YC276" s="1009"/>
      <c r="YD276" s="1009"/>
      <c r="YE276" s="1009"/>
      <c r="YF276" s="1009"/>
      <c r="YG276" s="1009"/>
      <c r="YH276" s="1009"/>
      <c r="YI276" s="1009"/>
      <c r="YJ276" s="1009"/>
      <c r="YK276" s="1009"/>
      <c r="YL276" s="1009"/>
      <c r="YM276" s="1009"/>
      <c r="YN276" s="1009"/>
      <c r="YO276" s="1009"/>
      <c r="YP276" s="1009"/>
      <c r="YQ276" s="1009"/>
      <c r="YR276" s="1009"/>
      <c r="YS276" s="1009"/>
      <c r="YT276" s="1009"/>
      <c r="YU276" s="1009"/>
      <c r="YV276" s="1009"/>
      <c r="YW276" s="1009"/>
      <c r="YX276" s="1009"/>
      <c r="YY276" s="1009"/>
      <c r="YZ276" s="1009"/>
      <c r="ZA276" s="1009"/>
      <c r="ZB276" s="1009"/>
      <c r="ZC276" s="1009"/>
      <c r="ZD276" s="1009"/>
      <c r="ZE276" s="1009"/>
      <c r="ZF276" s="1009"/>
      <c r="ZG276" s="1009"/>
      <c r="ZH276" s="1009"/>
      <c r="ZI276" s="1009"/>
      <c r="ZJ276" s="1009"/>
      <c r="ZK276" s="1009"/>
      <c r="ZL276" s="1009"/>
      <c r="ZM276" s="1009"/>
      <c r="ZN276" s="1009"/>
      <c r="ZO276" s="1009"/>
      <c r="ZP276" s="1009"/>
      <c r="ZQ276" s="1009"/>
      <c r="ZR276" s="1009"/>
      <c r="ZS276" s="1009"/>
      <c r="ZT276" s="1009"/>
      <c r="ZU276" s="1009"/>
      <c r="ZV276" s="1009"/>
      <c r="ZW276" s="1009"/>
      <c r="ZX276" s="1009"/>
      <c r="ZY276" s="1009"/>
      <c r="ZZ276" s="1009"/>
      <c r="AAA276" s="1009"/>
      <c r="AAB276" s="1009"/>
      <c r="AAC276" s="1009"/>
      <c r="AAD276" s="1009"/>
      <c r="AAE276" s="1009"/>
      <c r="AAF276" s="1009"/>
      <c r="AAG276" s="1009"/>
      <c r="AAH276" s="1009"/>
      <c r="AAI276" s="1009"/>
      <c r="AAJ276" s="1009"/>
      <c r="AAK276" s="1009"/>
      <c r="AAL276" s="1009"/>
      <c r="AAM276" s="1009"/>
      <c r="AAN276" s="1009"/>
      <c r="AAO276" s="1009"/>
      <c r="AAP276" s="1009"/>
      <c r="AAQ276" s="1009"/>
      <c r="AAR276" s="1009"/>
      <c r="AAS276" s="1009"/>
      <c r="AAT276" s="1009"/>
      <c r="AAU276" s="1009"/>
      <c r="AAV276" s="1009"/>
      <c r="AAW276" s="1009"/>
      <c r="AAX276" s="1009"/>
      <c r="AAY276" s="1009"/>
      <c r="AAZ276" s="1009"/>
      <c r="ABA276" s="1009"/>
      <c r="ABB276" s="1009"/>
      <c r="ABC276" s="1009"/>
      <c r="ABD276" s="1009"/>
      <c r="ABE276" s="1009"/>
      <c r="ABF276" s="1009"/>
      <c r="ABG276" s="1009"/>
      <c r="ABH276" s="1009"/>
      <c r="ABI276" s="1009"/>
      <c r="ABJ276" s="1009"/>
      <c r="ABK276" s="1009"/>
      <c r="ABL276" s="1009"/>
      <c r="ABM276" s="1009"/>
      <c r="ABN276" s="1009"/>
      <c r="ABO276" s="1009"/>
      <c r="ABP276" s="1009"/>
      <c r="ABQ276" s="1009"/>
      <c r="ABR276" s="1009"/>
    </row>
    <row r="277" spans="1:746" s="111" customFormat="1" ht="12" customHeight="1">
      <c r="A277" s="2282"/>
      <c r="B277" s="2417" t="s">
        <v>1286</v>
      </c>
      <c r="C277" s="2418"/>
      <c r="D277" s="2418"/>
      <c r="E277" s="2418"/>
      <c r="F277" s="2418"/>
      <c r="G277" s="2418"/>
      <c r="H277" s="2556"/>
      <c r="I277" s="2365" t="s">
        <v>1329</v>
      </c>
      <c r="J277" s="2366"/>
      <c r="K277" s="2248"/>
      <c r="L277" s="2248"/>
      <c r="M277" s="2248"/>
      <c r="N277" s="2248"/>
      <c r="O277" s="2248"/>
      <c r="P277" s="2248"/>
      <c r="Q277" s="2248"/>
      <c r="R277" s="2248"/>
      <c r="S277" s="2248"/>
      <c r="T277" s="2248"/>
      <c r="U277" s="2248"/>
      <c r="V277" s="2248"/>
      <c r="W277" s="2248"/>
      <c r="X277" s="2248"/>
      <c r="Y277" s="2248"/>
      <c r="Z277" s="2248"/>
      <c r="AA277" s="2248"/>
      <c r="AB277" s="2248"/>
      <c r="AC277" s="2248"/>
      <c r="AD277" s="2248"/>
      <c r="AE277" s="2248"/>
      <c r="AF277" s="2249"/>
      <c r="AG277" s="337"/>
      <c r="AH277" s="1009"/>
      <c r="AI277" s="1009"/>
      <c r="AJ277" s="1009"/>
      <c r="AK277" s="1009"/>
      <c r="AL277" s="1009"/>
      <c r="AM277" s="1036"/>
      <c r="AN277" s="1036"/>
      <c r="AO277" s="1034"/>
      <c r="AP277" s="1084"/>
      <c r="AQ277" s="1084"/>
      <c r="AR277" s="1009"/>
      <c r="AS277" s="1009"/>
      <c r="AT277" s="1009"/>
      <c r="AU277" s="1009"/>
      <c r="AV277" s="1009"/>
      <c r="AW277" s="1009"/>
      <c r="AX277" s="1009"/>
      <c r="AY277" s="1009"/>
      <c r="AZ277" s="1009"/>
      <c r="BA277" s="1009"/>
      <c r="BB277" s="1009"/>
      <c r="BC277" s="1009"/>
      <c r="BD277" s="1009"/>
      <c r="BE277" s="1009"/>
      <c r="BF277" s="1009"/>
      <c r="BG277" s="1009"/>
      <c r="BH277" s="1009"/>
      <c r="BI277" s="1009"/>
      <c r="BJ277" s="1009"/>
      <c r="BK277" s="1009"/>
      <c r="BL277" s="1009"/>
      <c r="BM277" s="1009"/>
      <c r="BN277" s="1009"/>
      <c r="BO277" s="1009"/>
      <c r="BP277" s="1009"/>
      <c r="BQ277" s="1009"/>
      <c r="BR277" s="1009"/>
      <c r="BS277" s="1009"/>
      <c r="BT277" s="1009"/>
      <c r="BU277" s="1009"/>
      <c r="BV277" s="1009"/>
      <c r="BW277" s="1009"/>
      <c r="BX277" s="1009"/>
      <c r="BY277" s="1009"/>
      <c r="BZ277" s="1009"/>
      <c r="CA277" s="1009"/>
      <c r="CB277" s="1009"/>
      <c r="CC277" s="1009"/>
      <c r="CD277" s="1009"/>
      <c r="CE277" s="1009"/>
      <c r="CF277" s="1009"/>
      <c r="CG277" s="1009"/>
      <c r="CH277" s="1009"/>
      <c r="CI277" s="1009"/>
      <c r="CJ277" s="1009"/>
      <c r="CK277" s="1009"/>
      <c r="CL277" s="1009"/>
      <c r="CM277" s="1009"/>
      <c r="CN277" s="1009"/>
      <c r="CO277" s="1009"/>
      <c r="CP277" s="1009"/>
      <c r="CQ277" s="1009"/>
      <c r="CR277" s="1009"/>
      <c r="CS277" s="1009"/>
      <c r="CT277" s="1009"/>
      <c r="CU277" s="1009"/>
      <c r="CV277" s="1009"/>
      <c r="CW277" s="1009"/>
      <c r="CX277" s="1009"/>
      <c r="CY277" s="1009"/>
      <c r="CZ277" s="1009"/>
      <c r="DA277" s="1009"/>
      <c r="DB277" s="1009"/>
      <c r="DC277" s="1009"/>
      <c r="DD277" s="1009"/>
      <c r="DE277" s="1009"/>
      <c r="DF277" s="1009"/>
      <c r="DG277" s="1009"/>
      <c r="DH277" s="1009"/>
      <c r="DI277" s="1009"/>
      <c r="DJ277" s="1009"/>
      <c r="DK277" s="1009"/>
      <c r="DL277" s="1009"/>
      <c r="DM277" s="1009"/>
      <c r="DN277" s="1009"/>
      <c r="DO277" s="1009"/>
      <c r="DP277" s="1009"/>
      <c r="DQ277" s="1009"/>
      <c r="DR277" s="1009"/>
      <c r="DS277" s="1009"/>
      <c r="DT277" s="1009"/>
      <c r="DU277" s="1009"/>
      <c r="DV277" s="1009"/>
      <c r="DW277" s="1009"/>
      <c r="DX277" s="1009"/>
      <c r="DY277" s="1009"/>
      <c r="DZ277" s="1009"/>
      <c r="EA277" s="1009"/>
      <c r="EB277" s="1009"/>
      <c r="EC277" s="1009"/>
      <c r="ED277" s="1009"/>
      <c r="EE277" s="1009"/>
      <c r="EF277" s="1009"/>
      <c r="EG277" s="1009"/>
      <c r="EH277" s="1009"/>
      <c r="EI277" s="1009"/>
      <c r="EJ277" s="1009"/>
      <c r="EK277" s="1009"/>
      <c r="EL277" s="1009"/>
      <c r="EM277" s="1009"/>
      <c r="EN277" s="1009"/>
      <c r="EO277" s="1009"/>
      <c r="EP277" s="1009"/>
      <c r="EQ277" s="1009"/>
      <c r="ER277" s="1009"/>
      <c r="ES277" s="1009"/>
      <c r="ET277" s="1009"/>
      <c r="EU277" s="1009"/>
      <c r="EV277" s="1009"/>
      <c r="EW277" s="1009"/>
      <c r="EX277" s="1009"/>
      <c r="EY277" s="1009"/>
      <c r="EZ277" s="1009"/>
      <c r="FA277" s="1009"/>
      <c r="FB277" s="1009"/>
      <c r="FC277" s="1009"/>
      <c r="FD277" s="1009"/>
      <c r="FE277" s="1009"/>
      <c r="FF277" s="1009"/>
      <c r="FG277" s="1009"/>
      <c r="FH277" s="1009"/>
      <c r="FI277" s="1009"/>
      <c r="FJ277" s="1009"/>
      <c r="FK277" s="1009"/>
      <c r="FL277" s="1009"/>
      <c r="FM277" s="1009"/>
      <c r="FN277" s="1009"/>
      <c r="FO277" s="1009"/>
      <c r="FP277" s="1009"/>
      <c r="FQ277" s="1009"/>
      <c r="FR277" s="1009"/>
      <c r="FS277" s="1009"/>
      <c r="FT277" s="1009"/>
      <c r="FU277" s="1009"/>
      <c r="FV277" s="1009"/>
      <c r="FW277" s="1009"/>
      <c r="FX277" s="1009"/>
      <c r="FY277" s="1009"/>
      <c r="FZ277" s="1009"/>
      <c r="GA277" s="1009"/>
      <c r="GB277" s="1009"/>
      <c r="GC277" s="1009"/>
      <c r="GD277" s="1009"/>
      <c r="GE277" s="1009"/>
      <c r="GF277" s="1009"/>
      <c r="GG277" s="1009"/>
      <c r="GH277" s="1009"/>
      <c r="GI277" s="1009"/>
      <c r="GJ277" s="1009"/>
      <c r="GK277" s="1009"/>
      <c r="GL277" s="1009"/>
      <c r="GM277" s="1009"/>
      <c r="GN277" s="1009"/>
      <c r="GO277" s="1009"/>
      <c r="GP277" s="1009"/>
      <c r="GQ277" s="1009"/>
      <c r="GR277" s="1009"/>
      <c r="GS277" s="1009"/>
      <c r="GT277" s="1009"/>
      <c r="GU277" s="1009"/>
      <c r="GV277" s="1009"/>
      <c r="GW277" s="1009"/>
      <c r="GX277" s="1009"/>
      <c r="GY277" s="1009"/>
      <c r="GZ277" s="1009"/>
      <c r="HA277" s="1009"/>
      <c r="HB277" s="1009"/>
      <c r="HC277" s="1009"/>
      <c r="HD277" s="1009"/>
      <c r="HE277" s="1009"/>
      <c r="HF277" s="1009"/>
      <c r="HG277" s="1009"/>
      <c r="HH277" s="1009"/>
      <c r="HI277" s="1009"/>
      <c r="HJ277" s="1009"/>
      <c r="HK277" s="1009"/>
      <c r="HL277" s="1009"/>
      <c r="HM277" s="1009"/>
      <c r="HN277" s="1009"/>
      <c r="HO277" s="1009"/>
      <c r="HP277" s="1009"/>
      <c r="HQ277" s="1009"/>
      <c r="HR277" s="1009"/>
      <c r="HS277" s="1009"/>
      <c r="HT277" s="1009"/>
      <c r="HU277" s="1009"/>
      <c r="HV277" s="1009"/>
      <c r="HW277" s="1009"/>
      <c r="HX277" s="1009"/>
      <c r="HY277" s="1009"/>
      <c r="HZ277" s="1009"/>
      <c r="IA277" s="1009"/>
      <c r="IB277" s="1009"/>
      <c r="IC277" s="1009"/>
      <c r="ID277" s="1009"/>
      <c r="IE277" s="1009"/>
      <c r="IF277" s="1009"/>
      <c r="IG277" s="1009"/>
      <c r="IH277" s="1009"/>
      <c r="II277" s="1009"/>
      <c r="IJ277" s="1009"/>
      <c r="IK277" s="1009"/>
      <c r="IL277" s="1009"/>
      <c r="IM277" s="1009"/>
      <c r="IN277" s="1009"/>
      <c r="IO277" s="1009"/>
      <c r="IP277" s="1009"/>
      <c r="IQ277" s="1009"/>
      <c r="IR277" s="1009"/>
      <c r="IS277" s="1009"/>
      <c r="IT277" s="1009"/>
      <c r="IU277" s="1009"/>
      <c r="IV277" s="1009"/>
      <c r="IW277" s="1009"/>
      <c r="IX277" s="1009"/>
      <c r="IY277" s="1009"/>
      <c r="IZ277" s="1009"/>
      <c r="JA277" s="1009"/>
      <c r="JB277" s="1009"/>
      <c r="JC277" s="1009"/>
      <c r="JD277" s="1009"/>
      <c r="JE277" s="1009"/>
      <c r="JF277" s="1009"/>
      <c r="JG277" s="1009"/>
      <c r="JH277" s="1009"/>
      <c r="JI277" s="1009"/>
      <c r="JJ277" s="1009"/>
      <c r="JK277" s="1009"/>
      <c r="JL277" s="1009"/>
      <c r="JM277" s="1009"/>
      <c r="JN277" s="1009"/>
      <c r="JO277" s="1009"/>
      <c r="JP277" s="1009"/>
      <c r="JQ277" s="1009"/>
      <c r="JR277" s="1009"/>
      <c r="JS277" s="1009"/>
      <c r="JT277" s="1009"/>
      <c r="JU277" s="1009"/>
      <c r="JV277" s="1009"/>
      <c r="JW277" s="1009"/>
      <c r="JX277" s="1009"/>
      <c r="JY277" s="1009"/>
      <c r="JZ277" s="1009"/>
      <c r="KA277" s="1009"/>
      <c r="KB277" s="1009"/>
      <c r="KC277" s="1009"/>
      <c r="KD277" s="1009"/>
      <c r="KE277" s="1009"/>
      <c r="KF277" s="1009"/>
      <c r="KG277" s="1009"/>
      <c r="KH277" s="1009"/>
      <c r="KI277" s="1009"/>
      <c r="KJ277" s="1009"/>
      <c r="KK277" s="1009"/>
      <c r="KL277" s="1009"/>
      <c r="KM277" s="1009"/>
      <c r="KN277" s="1009"/>
      <c r="KO277" s="1009"/>
      <c r="KP277" s="1009"/>
      <c r="KQ277" s="1009"/>
      <c r="KR277" s="1009"/>
      <c r="KS277" s="1009"/>
      <c r="KT277" s="1009"/>
      <c r="KU277" s="1009"/>
      <c r="KV277" s="1009"/>
      <c r="KW277" s="1009"/>
      <c r="KX277" s="1009"/>
      <c r="KY277" s="1009"/>
      <c r="KZ277" s="1009"/>
      <c r="LA277" s="1009"/>
      <c r="LB277" s="1009"/>
      <c r="LC277" s="1009"/>
      <c r="LD277" s="1009"/>
      <c r="LE277" s="1009"/>
      <c r="LF277" s="1009"/>
      <c r="LG277" s="1009"/>
      <c r="LH277" s="1009"/>
      <c r="LI277" s="1009"/>
      <c r="LJ277" s="1009"/>
      <c r="LK277" s="1009"/>
      <c r="LL277" s="1009"/>
      <c r="LM277" s="1009"/>
      <c r="LN277" s="1009"/>
      <c r="LO277" s="1009"/>
      <c r="LP277" s="1009"/>
      <c r="LQ277" s="1009"/>
      <c r="LR277" s="1009"/>
      <c r="LS277" s="1009"/>
      <c r="LT277" s="1009"/>
      <c r="LU277" s="1009"/>
      <c r="LV277" s="1009"/>
      <c r="LW277" s="1009"/>
      <c r="LX277" s="1009"/>
      <c r="LY277" s="1009"/>
      <c r="LZ277" s="1009"/>
      <c r="MA277" s="1009"/>
      <c r="MB277" s="1009"/>
      <c r="MC277" s="1009"/>
      <c r="MD277" s="1009"/>
      <c r="ME277" s="1009"/>
      <c r="MF277" s="1009"/>
      <c r="MG277" s="1009"/>
      <c r="MH277" s="1009"/>
      <c r="MI277" s="1009"/>
      <c r="MJ277" s="1009"/>
      <c r="MK277" s="1009"/>
      <c r="ML277" s="1009"/>
      <c r="MM277" s="1009"/>
      <c r="MN277" s="1009"/>
      <c r="MO277" s="1009"/>
      <c r="MP277" s="1009"/>
      <c r="MQ277" s="1009"/>
      <c r="MR277" s="1009"/>
      <c r="MS277" s="1009"/>
      <c r="MT277" s="1009"/>
      <c r="MU277" s="1009"/>
      <c r="MV277" s="1009"/>
      <c r="MW277" s="1009"/>
      <c r="MX277" s="1009"/>
      <c r="MY277" s="1009"/>
      <c r="MZ277" s="1009"/>
      <c r="NA277" s="1009"/>
      <c r="NB277" s="1009"/>
      <c r="NC277" s="1009"/>
      <c r="ND277" s="1009"/>
      <c r="NE277" s="1009"/>
      <c r="NF277" s="1009"/>
      <c r="NG277" s="1009"/>
      <c r="NH277" s="1009"/>
      <c r="NI277" s="1009"/>
      <c r="NJ277" s="1009"/>
      <c r="NK277" s="1009"/>
      <c r="NL277" s="1009"/>
      <c r="NM277" s="1009"/>
      <c r="NN277" s="1009"/>
      <c r="NO277" s="1009"/>
      <c r="NP277" s="1009"/>
      <c r="NQ277" s="1009"/>
      <c r="NR277" s="1009"/>
      <c r="NS277" s="1009"/>
      <c r="NT277" s="1009"/>
      <c r="NU277" s="1009"/>
      <c r="NV277" s="1009"/>
      <c r="NW277" s="1009"/>
      <c r="NX277" s="1009"/>
      <c r="NY277" s="1009"/>
      <c r="NZ277" s="1009"/>
      <c r="OA277" s="1009"/>
      <c r="OB277" s="1009"/>
      <c r="OC277" s="1009"/>
      <c r="OD277" s="1009"/>
      <c r="OE277" s="1009"/>
      <c r="OF277" s="1009"/>
      <c r="OG277" s="1009"/>
      <c r="OH277" s="1009"/>
      <c r="OI277" s="1009"/>
      <c r="OJ277" s="1009"/>
      <c r="OK277" s="1009"/>
      <c r="OL277" s="1009"/>
      <c r="OM277" s="1009"/>
      <c r="ON277" s="1009"/>
      <c r="OO277" s="1009"/>
      <c r="OP277" s="1009"/>
      <c r="OQ277" s="1009"/>
      <c r="OR277" s="1009"/>
      <c r="OS277" s="1009"/>
      <c r="OT277" s="1009"/>
      <c r="OU277" s="1009"/>
      <c r="OV277" s="1009"/>
      <c r="OW277" s="1009"/>
      <c r="OX277" s="1009"/>
      <c r="OY277" s="1009"/>
      <c r="OZ277" s="1009"/>
      <c r="PA277" s="1009"/>
      <c r="PB277" s="1009"/>
      <c r="PC277" s="1009"/>
      <c r="PD277" s="1009"/>
      <c r="PE277" s="1009"/>
      <c r="PF277" s="1009"/>
      <c r="PG277" s="1009"/>
      <c r="PH277" s="1009"/>
      <c r="PI277" s="1009"/>
      <c r="PJ277" s="1009"/>
      <c r="PK277" s="1009"/>
      <c r="PL277" s="1009"/>
      <c r="PM277" s="1009"/>
      <c r="PN277" s="1009"/>
      <c r="PO277" s="1009"/>
      <c r="PP277" s="1009"/>
      <c r="PQ277" s="1009"/>
      <c r="PR277" s="1009"/>
      <c r="PS277" s="1009"/>
      <c r="PT277" s="1009"/>
      <c r="PU277" s="1009"/>
      <c r="PV277" s="1009"/>
      <c r="PW277" s="1009"/>
      <c r="PX277" s="1009"/>
      <c r="PY277" s="1009"/>
      <c r="PZ277" s="1009"/>
      <c r="QA277" s="1009"/>
      <c r="QB277" s="1009"/>
      <c r="QC277" s="1009"/>
      <c r="QD277" s="1009"/>
      <c r="QE277" s="1009"/>
      <c r="QF277" s="1009"/>
      <c r="QG277" s="1009"/>
      <c r="QH277" s="1009"/>
      <c r="QI277" s="1009"/>
      <c r="QJ277" s="1009"/>
      <c r="QK277" s="1009"/>
      <c r="QL277" s="1009"/>
      <c r="QM277" s="1009"/>
      <c r="QN277" s="1009"/>
      <c r="QO277" s="1009"/>
      <c r="QP277" s="1009"/>
      <c r="QQ277" s="1009"/>
      <c r="QR277" s="1009"/>
      <c r="QS277" s="1009"/>
      <c r="QT277" s="1009"/>
      <c r="QU277" s="1009"/>
      <c r="QV277" s="1009"/>
      <c r="QW277" s="1009"/>
      <c r="QX277" s="1009"/>
      <c r="QY277" s="1009"/>
      <c r="QZ277" s="1009"/>
      <c r="RA277" s="1009"/>
      <c r="RB277" s="1009"/>
      <c r="RC277" s="1009"/>
      <c r="RD277" s="1009"/>
      <c r="RE277" s="1009"/>
      <c r="RF277" s="1009"/>
      <c r="RG277" s="1009"/>
      <c r="RH277" s="1009"/>
      <c r="RI277" s="1009"/>
      <c r="RJ277" s="1009"/>
      <c r="RK277" s="1009"/>
      <c r="RL277" s="1009"/>
      <c r="RM277" s="1009"/>
      <c r="RN277" s="1009"/>
      <c r="RO277" s="1009"/>
      <c r="RP277" s="1009"/>
      <c r="RQ277" s="1009"/>
      <c r="RR277" s="1009"/>
      <c r="RS277" s="1009"/>
      <c r="RT277" s="1009"/>
      <c r="RU277" s="1009"/>
      <c r="RV277" s="1009"/>
      <c r="RW277" s="1009"/>
      <c r="RX277" s="1009"/>
      <c r="RY277" s="1009"/>
      <c r="RZ277" s="1009"/>
      <c r="SA277" s="1009"/>
      <c r="SB277" s="1009"/>
      <c r="SC277" s="1009"/>
      <c r="SD277" s="1009"/>
      <c r="SE277" s="1009"/>
      <c r="SF277" s="1009"/>
      <c r="SG277" s="1009"/>
      <c r="SH277" s="1009"/>
      <c r="SI277" s="1009"/>
      <c r="SJ277" s="1009"/>
      <c r="SK277" s="1009"/>
      <c r="SL277" s="1009"/>
      <c r="SM277" s="1009"/>
      <c r="SN277" s="1009"/>
      <c r="SO277" s="1009"/>
      <c r="SP277" s="1009"/>
      <c r="SQ277" s="1009"/>
      <c r="SR277" s="1009"/>
      <c r="SS277" s="1009"/>
      <c r="ST277" s="1009"/>
      <c r="SU277" s="1009"/>
      <c r="SV277" s="1009"/>
      <c r="SW277" s="1009"/>
      <c r="SX277" s="1009"/>
      <c r="SY277" s="1009"/>
      <c r="SZ277" s="1009"/>
      <c r="TA277" s="1009"/>
      <c r="TB277" s="1009"/>
      <c r="TC277" s="1009"/>
      <c r="TD277" s="1009"/>
      <c r="TE277" s="1009"/>
      <c r="TF277" s="1009"/>
      <c r="TG277" s="1009"/>
      <c r="TH277" s="1009"/>
      <c r="TI277" s="1009"/>
      <c r="TJ277" s="1009"/>
      <c r="TK277" s="1009"/>
      <c r="TL277" s="1009"/>
      <c r="TM277" s="1009"/>
      <c r="TN277" s="1009"/>
      <c r="TO277" s="1009"/>
      <c r="TP277" s="1009"/>
      <c r="TQ277" s="1009"/>
      <c r="TR277" s="1009"/>
      <c r="TS277" s="1009"/>
      <c r="TT277" s="1009"/>
      <c r="TU277" s="1009"/>
      <c r="TV277" s="1009"/>
      <c r="TW277" s="1009"/>
      <c r="TX277" s="1009"/>
      <c r="TY277" s="1009"/>
      <c r="TZ277" s="1009"/>
      <c r="UA277" s="1009"/>
      <c r="UB277" s="1009"/>
      <c r="UC277" s="1009"/>
      <c r="UD277" s="1009"/>
      <c r="UE277" s="1009"/>
      <c r="UF277" s="1009"/>
      <c r="UG277" s="1009"/>
      <c r="UH277" s="1009"/>
      <c r="UI277" s="1009"/>
      <c r="UJ277" s="1009"/>
      <c r="UK277" s="1009"/>
      <c r="UL277" s="1009"/>
      <c r="UM277" s="1009"/>
      <c r="UN277" s="1009"/>
      <c r="UO277" s="1009"/>
      <c r="UP277" s="1009"/>
      <c r="UQ277" s="1009"/>
      <c r="UR277" s="1009"/>
      <c r="US277" s="1009"/>
      <c r="UT277" s="1009"/>
      <c r="UU277" s="1009"/>
      <c r="UV277" s="1009"/>
      <c r="UW277" s="1009"/>
      <c r="UX277" s="1009"/>
      <c r="UY277" s="1009"/>
      <c r="UZ277" s="1009"/>
      <c r="VA277" s="1009"/>
      <c r="VB277" s="1009"/>
      <c r="VC277" s="1009"/>
      <c r="VD277" s="1009"/>
      <c r="VE277" s="1009"/>
      <c r="VF277" s="1009"/>
      <c r="VG277" s="1009"/>
      <c r="VH277" s="1009"/>
      <c r="VI277" s="1009"/>
      <c r="VJ277" s="1009"/>
      <c r="VK277" s="1009"/>
      <c r="VL277" s="1009"/>
      <c r="VM277" s="1009"/>
      <c r="VN277" s="1009"/>
      <c r="VO277" s="1009"/>
      <c r="VP277" s="1009"/>
      <c r="VQ277" s="1009"/>
      <c r="VR277" s="1009"/>
      <c r="VS277" s="1009"/>
      <c r="VT277" s="1009"/>
      <c r="VU277" s="1009"/>
      <c r="VV277" s="1009"/>
      <c r="VW277" s="1009"/>
      <c r="VX277" s="1009"/>
      <c r="VY277" s="1009"/>
      <c r="VZ277" s="1009"/>
      <c r="WA277" s="1009"/>
      <c r="WB277" s="1009"/>
      <c r="WC277" s="1009"/>
      <c r="WD277" s="1009"/>
      <c r="WE277" s="1009"/>
      <c r="WF277" s="1009"/>
      <c r="WG277" s="1009"/>
      <c r="WH277" s="1009"/>
      <c r="WI277" s="1009"/>
      <c r="WJ277" s="1009"/>
      <c r="WK277" s="1009"/>
      <c r="WL277" s="1009"/>
      <c r="WM277" s="1009"/>
      <c r="WN277" s="1009"/>
      <c r="WO277" s="1009"/>
      <c r="WP277" s="1009"/>
      <c r="WQ277" s="1009"/>
      <c r="WR277" s="1009"/>
      <c r="WS277" s="1009"/>
      <c r="WT277" s="1009"/>
      <c r="WU277" s="1009"/>
      <c r="WV277" s="1009"/>
      <c r="WW277" s="1009"/>
      <c r="WX277" s="1009"/>
      <c r="WY277" s="1009"/>
      <c r="WZ277" s="1009"/>
      <c r="XA277" s="1009"/>
      <c r="XB277" s="1009"/>
      <c r="XC277" s="1009"/>
      <c r="XD277" s="1009"/>
      <c r="XE277" s="1009"/>
      <c r="XF277" s="1009"/>
      <c r="XG277" s="1009"/>
      <c r="XH277" s="1009"/>
      <c r="XI277" s="1009"/>
      <c r="XJ277" s="1009"/>
      <c r="XK277" s="1009"/>
      <c r="XL277" s="1009"/>
      <c r="XM277" s="1009"/>
      <c r="XN277" s="1009"/>
      <c r="XO277" s="1009"/>
      <c r="XP277" s="1009"/>
      <c r="XQ277" s="1009"/>
      <c r="XR277" s="1009"/>
      <c r="XS277" s="1009"/>
      <c r="XT277" s="1009"/>
      <c r="XU277" s="1009"/>
      <c r="XV277" s="1009"/>
      <c r="XW277" s="1009"/>
      <c r="XX277" s="1009"/>
      <c r="XY277" s="1009"/>
      <c r="XZ277" s="1009"/>
      <c r="YA277" s="1009"/>
      <c r="YB277" s="1009"/>
      <c r="YC277" s="1009"/>
      <c r="YD277" s="1009"/>
      <c r="YE277" s="1009"/>
      <c r="YF277" s="1009"/>
      <c r="YG277" s="1009"/>
      <c r="YH277" s="1009"/>
      <c r="YI277" s="1009"/>
      <c r="YJ277" s="1009"/>
      <c r="YK277" s="1009"/>
      <c r="YL277" s="1009"/>
      <c r="YM277" s="1009"/>
      <c r="YN277" s="1009"/>
      <c r="YO277" s="1009"/>
      <c r="YP277" s="1009"/>
      <c r="YQ277" s="1009"/>
      <c r="YR277" s="1009"/>
      <c r="YS277" s="1009"/>
      <c r="YT277" s="1009"/>
      <c r="YU277" s="1009"/>
      <c r="YV277" s="1009"/>
      <c r="YW277" s="1009"/>
      <c r="YX277" s="1009"/>
      <c r="YY277" s="1009"/>
      <c r="YZ277" s="1009"/>
      <c r="ZA277" s="1009"/>
      <c r="ZB277" s="1009"/>
      <c r="ZC277" s="1009"/>
      <c r="ZD277" s="1009"/>
      <c r="ZE277" s="1009"/>
      <c r="ZF277" s="1009"/>
      <c r="ZG277" s="1009"/>
      <c r="ZH277" s="1009"/>
      <c r="ZI277" s="1009"/>
      <c r="ZJ277" s="1009"/>
      <c r="ZK277" s="1009"/>
      <c r="ZL277" s="1009"/>
      <c r="ZM277" s="1009"/>
      <c r="ZN277" s="1009"/>
      <c r="ZO277" s="1009"/>
      <c r="ZP277" s="1009"/>
      <c r="ZQ277" s="1009"/>
      <c r="ZR277" s="1009"/>
      <c r="ZS277" s="1009"/>
      <c r="ZT277" s="1009"/>
      <c r="ZU277" s="1009"/>
      <c r="ZV277" s="1009"/>
      <c r="ZW277" s="1009"/>
      <c r="ZX277" s="1009"/>
      <c r="ZY277" s="1009"/>
      <c r="ZZ277" s="1009"/>
      <c r="AAA277" s="1009"/>
      <c r="AAB277" s="1009"/>
      <c r="AAC277" s="1009"/>
      <c r="AAD277" s="1009"/>
      <c r="AAE277" s="1009"/>
      <c r="AAF277" s="1009"/>
      <c r="AAG277" s="1009"/>
      <c r="AAH277" s="1009"/>
      <c r="AAI277" s="1009"/>
      <c r="AAJ277" s="1009"/>
      <c r="AAK277" s="1009"/>
      <c r="AAL277" s="1009"/>
      <c r="AAM277" s="1009"/>
      <c r="AAN277" s="1009"/>
      <c r="AAO277" s="1009"/>
      <c r="AAP277" s="1009"/>
      <c r="AAQ277" s="1009"/>
      <c r="AAR277" s="1009"/>
      <c r="AAS277" s="1009"/>
      <c r="AAT277" s="1009"/>
      <c r="AAU277" s="1009"/>
      <c r="AAV277" s="1009"/>
      <c r="AAW277" s="1009"/>
      <c r="AAX277" s="1009"/>
      <c r="AAY277" s="1009"/>
      <c r="AAZ277" s="1009"/>
      <c r="ABA277" s="1009"/>
      <c r="ABB277" s="1009"/>
      <c r="ABC277" s="1009"/>
      <c r="ABD277" s="1009"/>
      <c r="ABE277" s="1009"/>
      <c r="ABF277" s="1009"/>
      <c r="ABG277" s="1009"/>
      <c r="ABH277" s="1009"/>
      <c r="ABI277" s="1009"/>
      <c r="ABJ277" s="1009"/>
      <c r="ABK277" s="1009"/>
      <c r="ABL277" s="1009"/>
      <c r="ABM277" s="1009"/>
      <c r="ABN277" s="1009"/>
      <c r="ABO277" s="1009"/>
      <c r="ABP277" s="1009"/>
      <c r="ABQ277" s="1009"/>
      <c r="ABR277" s="1009"/>
    </row>
    <row r="278" spans="1:746" s="111" customFormat="1" ht="12" customHeight="1">
      <c r="A278" s="2282"/>
      <c r="B278" s="2419" t="s">
        <v>1287</v>
      </c>
      <c r="C278" s="2420"/>
      <c r="D278" s="2421"/>
      <c r="E278" s="2422"/>
      <c r="F278" s="2423"/>
      <c r="G278" s="2424"/>
      <c r="H278" s="2557"/>
      <c r="I278" s="2584" t="s">
        <v>1400</v>
      </c>
      <c r="J278" s="2367"/>
      <c r="K278" s="873"/>
      <c r="L278" s="873"/>
      <c r="M278" s="873"/>
      <c r="N278" s="873"/>
      <c r="O278" s="873"/>
      <c r="P278" s="873"/>
      <c r="Q278" s="873"/>
      <c r="R278" s="873"/>
      <c r="S278" s="873"/>
      <c r="T278" s="873"/>
      <c r="U278" s="873"/>
      <c r="V278" s="873"/>
      <c r="W278" s="873"/>
      <c r="X278" s="873"/>
      <c r="Y278" s="873"/>
      <c r="Z278" s="873"/>
      <c r="AA278" s="873"/>
      <c r="AB278" s="873"/>
      <c r="AC278" s="873"/>
      <c r="AD278" s="873"/>
      <c r="AE278" s="873"/>
      <c r="AF278" s="2368"/>
      <c r="AG278" s="337"/>
      <c r="AH278" s="1009"/>
      <c r="AI278" s="1009"/>
      <c r="AJ278" s="1009"/>
      <c r="AK278" s="1009"/>
      <c r="AL278" s="1009"/>
      <c r="AM278" s="1036"/>
      <c r="AN278" s="1036"/>
      <c r="AO278" s="1034"/>
      <c r="AP278" s="1084"/>
      <c r="AQ278" s="1084"/>
      <c r="AR278" s="1009"/>
      <c r="AS278" s="1009"/>
      <c r="AT278" s="1009"/>
      <c r="AU278" s="1009"/>
      <c r="AV278" s="1009"/>
      <c r="AW278" s="1009"/>
      <c r="AX278" s="1009"/>
      <c r="AY278" s="1009"/>
      <c r="AZ278" s="1009"/>
      <c r="BA278" s="1009"/>
      <c r="BB278" s="1009"/>
      <c r="BC278" s="1009"/>
      <c r="BD278" s="1009"/>
      <c r="BE278" s="1009"/>
      <c r="BF278" s="1009"/>
      <c r="BG278" s="1009"/>
      <c r="BH278" s="1009"/>
      <c r="BI278" s="1009"/>
      <c r="BJ278" s="1009"/>
      <c r="BK278" s="1009"/>
      <c r="BL278" s="1009"/>
      <c r="BM278" s="1009"/>
      <c r="BN278" s="1009"/>
      <c r="BO278" s="1009"/>
      <c r="BP278" s="1009"/>
      <c r="BQ278" s="1009"/>
      <c r="BR278" s="1009"/>
      <c r="BS278" s="1009"/>
      <c r="BT278" s="1009"/>
      <c r="BU278" s="1009"/>
      <c r="BV278" s="1009"/>
      <c r="BW278" s="1009"/>
      <c r="BX278" s="1009"/>
      <c r="BY278" s="1009"/>
      <c r="BZ278" s="1009"/>
      <c r="CA278" s="1009"/>
      <c r="CB278" s="1009"/>
      <c r="CC278" s="1009"/>
      <c r="CD278" s="1009"/>
      <c r="CE278" s="1009"/>
      <c r="CF278" s="1009"/>
      <c r="CG278" s="1009"/>
      <c r="CH278" s="1009"/>
      <c r="CI278" s="1009"/>
      <c r="CJ278" s="1009"/>
      <c r="CK278" s="1009"/>
      <c r="CL278" s="1009"/>
      <c r="CM278" s="1009"/>
      <c r="CN278" s="1009"/>
      <c r="CO278" s="1009"/>
      <c r="CP278" s="1009"/>
      <c r="CQ278" s="1009"/>
      <c r="CR278" s="1009"/>
      <c r="CS278" s="1009"/>
      <c r="CT278" s="1009"/>
      <c r="CU278" s="1009"/>
      <c r="CV278" s="1009"/>
      <c r="CW278" s="1009"/>
      <c r="CX278" s="1009"/>
      <c r="CY278" s="1009"/>
      <c r="CZ278" s="1009"/>
      <c r="DA278" s="1009"/>
      <c r="DB278" s="1009"/>
      <c r="DC278" s="1009"/>
      <c r="DD278" s="1009"/>
      <c r="DE278" s="1009"/>
      <c r="DF278" s="1009"/>
      <c r="DG278" s="1009"/>
      <c r="DH278" s="1009"/>
      <c r="DI278" s="1009"/>
      <c r="DJ278" s="1009"/>
      <c r="DK278" s="1009"/>
      <c r="DL278" s="1009"/>
      <c r="DM278" s="1009"/>
      <c r="DN278" s="1009"/>
      <c r="DO278" s="1009"/>
      <c r="DP278" s="1009"/>
      <c r="DQ278" s="1009"/>
      <c r="DR278" s="1009"/>
      <c r="DS278" s="1009"/>
      <c r="DT278" s="1009"/>
      <c r="DU278" s="1009"/>
      <c r="DV278" s="1009"/>
      <c r="DW278" s="1009"/>
      <c r="DX278" s="1009"/>
      <c r="DY278" s="1009"/>
      <c r="DZ278" s="1009"/>
      <c r="EA278" s="1009"/>
      <c r="EB278" s="1009"/>
      <c r="EC278" s="1009"/>
      <c r="ED278" s="1009"/>
      <c r="EE278" s="1009"/>
      <c r="EF278" s="1009"/>
      <c r="EG278" s="1009"/>
      <c r="EH278" s="1009"/>
      <c r="EI278" s="1009"/>
      <c r="EJ278" s="1009"/>
      <c r="EK278" s="1009"/>
      <c r="EL278" s="1009"/>
      <c r="EM278" s="1009"/>
      <c r="EN278" s="1009"/>
      <c r="EO278" s="1009"/>
      <c r="EP278" s="1009"/>
      <c r="EQ278" s="1009"/>
      <c r="ER278" s="1009"/>
      <c r="ES278" s="1009"/>
      <c r="ET278" s="1009"/>
      <c r="EU278" s="1009"/>
      <c r="EV278" s="1009"/>
      <c r="EW278" s="1009"/>
      <c r="EX278" s="1009"/>
      <c r="EY278" s="1009"/>
      <c r="EZ278" s="1009"/>
      <c r="FA278" s="1009"/>
      <c r="FB278" s="1009"/>
      <c r="FC278" s="1009"/>
      <c r="FD278" s="1009"/>
      <c r="FE278" s="1009"/>
      <c r="FF278" s="1009"/>
      <c r="FG278" s="1009"/>
      <c r="FH278" s="1009"/>
      <c r="FI278" s="1009"/>
      <c r="FJ278" s="1009"/>
      <c r="FK278" s="1009"/>
      <c r="FL278" s="1009"/>
      <c r="FM278" s="1009"/>
      <c r="FN278" s="1009"/>
      <c r="FO278" s="1009"/>
      <c r="FP278" s="1009"/>
      <c r="FQ278" s="1009"/>
      <c r="FR278" s="1009"/>
      <c r="FS278" s="1009"/>
      <c r="FT278" s="1009"/>
      <c r="FU278" s="1009"/>
      <c r="FV278" s="1009"/>
      <c r="FW278" s="1009"/>
      <c r="FX278" s="1009"/>
      <c r="FY278" s="1009"/>
      <c r="FZ278" s="1009"/>
      <c r="GA278" s="1009"/>
      <c r="GB278" s="1009"/>
      <c r="GC278" s="1009"/>
      <c r="GD278" s="1009"/>
      <c r="GE278" s="1009"/>
      <c r="GF278" s="1009"/>
      <c r="GG278" s="1009"/>
      <c r="GH278" s="1009"/>
      <c r="GI278" s="1009"/>
      <c r="GJ278" s="1009"/>
      <c r="GK278" s="1009"/>
      <c r="GL278" s="1009"/>
      <c r="GM278" s="1009"/>
      <c r="GN278" s="1009"/>
      <c r="GO278" s="1009"/>
      <c r="GP278" s="1009"/>
      <c r="GQ278" s="1009"/>
      <c r="GR278" s="1009"/>
      <c r="GS278" s="1009"/>
      <c r="GT278" s="1009"/>
      <c r="GU278" s="1009"/>
      <c r="GV278" s="1009"/>
      <c r="GW278" s="1009"/>
      <c r="GX278" s="1009"/>
      <c r="GY278" s="1009"/>
      <c r="GZ278" s="1009"/>
      <c r="HA278" s="1009"/>
      <c r="HB278" s="1009"/>
      <c r="HC278" s="1009"/>
      <c r="HD278" s="1009"/>
      <c r="HE278" s="1009"/>
      <c r="HF278" s="1009"/>
      <c r="HG278" s="1009"/>
      <c r="HH278" s="1009"/>
      <c r="HI278" s="1009"/>
      <c r="HJ278" s="1009"/>
      <c r="HK278" s="1009"/>
      <c r="HL278" s="1009"/>
      <c r="HM278" s="1009"/>
      <c r="HN278" s="1009"/>
      <c r="HO278" s="1009"/>
      <c r="HP278" s="1009"/>
      <c r="HQ278" s="1009"/>
      <c r="HR278" s="1009"/>
      <c r="HS278" s="1009"/>
      <c r="HT278" s="1009"/>
      <c r="HU278" s="1009"/>
      <c r="HV278" s="1009"/>
      <c r="HW278" s="1009"/>
      <c r="HX278" s="1009"/>
      <c r="HY278" s="1009"/>
      <c r="HZ278" s="1009"/>
      <c r="IA278" s="1009"/>
      <c r="IB278" s="1009"/>
      <c r="IC278" s="1009"/>
      <c r="ID278" s="1009"/>
      <c r="IE278" s="1009"/>
      <c r="IF278" s="1009"/>
      <c r="IG278" s="1009"/>
      <c r="IH278" s="1009"/>
      <c r="II278" s="1009"/>
      <c r="IJ278" s="1009"/>
      <c r="IK278" s="1009"/>
      <c r="IL278" s="1009"/>
      <c r="IM278" s="1009"/>
      <c r="IN278" s="1009"/>
      <c r="IO278" s="1009"/>
      <c r="IP278" s="1009"/>
      <c r="IQ278" s="1009"/>
      <c r="IR278" s="1009"/>
      <c r="IS278" s="1009"/>
      <c r="IT278" s="1009"/>
      <c r="IU278" s="1009"/>
      <c r="IV278" s="1009"/>
      <c r="IW278" s="1009"/>
      <c r="IX278" s="1009"/>
      <c r="IY278" s="1009"/>
      <c r="IZ278" s="1009"/>
      <c r="JA278" s="1009"/>
      <c r="JB278" s="1009"/>
      <c r="JC278" s="1009"/>
      <c r="JD278" s="1009"/>
      <c r="JE278" s="1009"/>
      <c r="JF278" s="1009"/>
      <c r="JG278" s="1009"/>
      <c r="JH278" s="1009"/>
      <c r="JI278" s="1009"/>
      <c r="JJ278" s="1009"/>
      <c r="JK278" s="1009"/>
      <c r="JL278" s="1009"/>
      <c r="JM278" s="1009"/>
      <c r="JN278" s="1009"/>
      <c r="JO278" s="1009"/>
      <c r="JP278" s="1009"/>
      <c r="JQ278" s="1009"/>
      <c r="JR278" s="1009"/>
      <c r="JS278" s="1009"/>
      <c r="JT278" s="1009"/>
      <c r="JU278" s="1009"/>
      <c r="JV278" s="1009"/>
      <c r="JW278" s="1009"/>
      <c r="JX278" s="1009"/>
      <c r="JY278" s="1009"/>
      <c r="JZ278" s="1009"/>
      <c r="KA278" s="1009"/>
      <c r="KB278" s="1009"/>
      <c r="KC278" s="1009"/>
      <c r="KD278" s="1009"/>
      <c r="KE278" s="1009"/>
      <c r="KF278" s="1009"/>
      <c r="KG278" s="1009"/>
      <c r="KH278" s="1009"/>
      <c r="KI278" s="1009"/>
      <c r="KJ278" s="1009"/>
      <c r="KK278" s="1009"/>
      <c r="KL278" s="1009"/>
      <c r="KM278" s="1009"/>
      <c r="KN278" s="1009"/>
      <c r="KO278" s="1009"/>
      <c r="KP278" s="1009"/>
      <c r="KQ278" s="1009"/>
      <c r="KR278" s="1009"/>
      <c r="KS278" s="1009"/>
      <c r="KT278" s="1009"/>
      <c r="KU278" s="1009"/>
      <c r="KV278" s="1009"/>
      <c r="KW278" s="1009"/>
      <c r="KX278" s="1009"/>
      <c r="KY278" s="1009"/>
      <c r="KZ278" s="1009"/>
      <c r="LA278" s="1009"/>
      <c r="LB278" s="1009"/>
      <c r="LC278" s="1009"/>
      <c r="LD278" s="1009"/>
      <c r="LE278" s="1009"/>
      <c r="LF278" s="1009"/>
      <c r="LG278" s="1009"/>
      <c r="LH278" s="1009"/>
      <c r="LI278" s="1009"/>
      <c r="LJ278" s="1009"/>
      <c r="LK278" s="1009"/>
      <c r="LL278" s="1009"/>
      <c r="LM278" s="1009"/>
      <c r="LN278" s="1009"/>
      <c r="LO278" s="1009"/>
      <c r="LP278" s="1009"/>
      <c r="LQ278" s="1009"/>
      <c r="LR278" s="1009"/>
      <c r="LS278" s="1009"/>
      <c r="LT278" s="1009"/>
      <c r="LU278" s="1009"/>
      <c r="LV278" s="1009"/>
      <c r="LW278" s="1009"/>
      <c r="LX278" s="1009"/>
      <c r="LY278" s="1009"/>
      <c r="LZ278" s="1009"/>
      <c r="MA278" s="1009"/>
      <c r="MB278" s="1009"/>
      <c r="MC278" s="1009"/>
      <c r="MD278" s="1009"/>
      <c r="ME278" s="1009"/>
      <c r="MF278" s="1009"/>
      <c r="MG278" s="1009"/>
      <c r="MH278" s="1009"/>
      <c r="MI278" s="1009"/>
      <c r="MJ278" s="1009"/>
      <c r="MK278" s="1009"/>
      <c r="ML278" s="1009"/>
      <c r="MM278" s="1009"/>
      <c r="MN278" s="1009"/>
      <c r="MO278" s="1009"/>
      <c r="MP278" s="1009"/>
      <c r="MQ278" s="1009"/>
      <c r="MR278" s="1009"/>
      <c r="MS278" s="1009"/>
      <c r="MT278" s="1009"/>
      <c r="MU278" s="1009"/>
      <c r="MV278" s="1009"/>
      <c r="MW278" s="1009"/>
      <c r="MX278" s="1009"/>
      <c r="MY278" s="1009"/>
      <c r="MZ278" s="1009"/>
      <c r="NA278" s="1009"/>
      <c r="NB278" s="1009"/>
      <c r="NC278" s="1009"/>
      <c r="ND278" s="1009"/>
      <c r="NE278" s="1009"/>
      <c r="NF278" s="1009"/>
      <c r="NG278" s="1009"/>
      <c r="NH278" s="1009"/>
      <c r="NI278" s="1009"/>
      <c r="NJ278" s="1009"/>
      <c r="NK278" s="1009"/>
      <c r="NL278" s="1009"/>
      <c r="NM278" s="1009"/>
      <c r="NN278" s="1009"/>
      <c r="NO278" s="1009"/>
      <c r="NP278" s="1009"/>
      <c r="NQ278" s="1009"/>
      <c r="NR278" s="1009"/>
      <c r="NS278" s="1009"/>
      <c r="NT278" s="1009"/>
      <c r="NU278" s="1009"/>
      <c r="NV278" s="1009"/>
      <c r="NW278" s="1009"/>
      <c r="NX278" s="1009"/>
      <c r="NY278" s="1009"/>
      <c r="NZ278" s="1009"/>
      <c r="OA278" s="1009"/>
      <c r="OB278" s="1009"/>
      <c r="OC278" s="1009"/>
      <c r="OD278" s="1009"/>
      <c r="OE278" s="1009"/>
      <c r="OF278" s="1009"/>
      <c r="OG278" s="1009"/>
      <c r="OH278" s="1009"/>
      <c r="OI278" s="1009"/>
      <c r="OJ278" s="1009"/>
      <c r="OK278" s="1009"/>
      <c r="OL278" s="1009"/>
      <c r="OM278" s="1009"/>
      <c r="ON278" s="1009"/>
      <c r="OO278" s="1009"/>
      <c r="OP278" s="1009"/>
      <c r="OQ278" s="1009"/>
      <c r="OR278" s="1009"/>
      <c r="OS278" s="1009"/>
      <c r="OT278" s="1009"/>
      <c r="OU278" s="1009"/>
      <c r="OV278" s="1009"/>
      <c r="OW278" s="1009"/>
      <c r="OX278" s="1009"/>
      <c r="OY278" s="1009"/>
      <c r="OZ278" s="1009"/>
      <c r="PA278" s="1009"/>
      <c r="PB278" s="1009"/>
      <c r="PC278" s="1009"/>
      <c r="PD278" s="1009"/>
      <c r="PE278" s="1009"/>
      <c r="PF278" s="1009"/>
      <c r="PG278" s="1009"/>
      <c r="PH278" s="1009"/>
      <c r="PI278" s="1009"/>
      <c r="PJ278" s="1009"/>
      <c r="PK278" s="1009"/>
      <c r="PL278" s="1009"/>
      <c r="PM278" s="1009"/>
      <c r="PN278" s="1009"/>
      <c r="PO278" s="1009"/>
      <c r="PP278" s="1009"/>
      <c r="PQ278" s="1009"/>
      <c r="PR278" s="1009"/>
      <c r="PS278" s="1009"/>
      <c r="PT278" s="1009"/>
      <c r="PU278" s="1009"/>
      <c r="PV278" s="1009"/>
      <c r="PW278" s="1009"/>
      <c r="PX278" s="1009"/>
      <c r="PY278" s="1009"/>
      <c r="PZ278" s="1009"/>
      <c r="QA278" s="1009"/>
      <c r="QB278" s="1009"/>
      <c r="QC278" s="1009"/>
      <c r="QD278" s="1009"/>
      <c r="QE278" s="1009"/>
      <c r="QF278" s="1009"/>
      <c r="QG278" s="1009"/>
      <c r="QH278" s="1009"/>
      <c r="QI278" s="1009"/>
      <c r="QJ278" s="1009"/>
      <c r="QK278" s="1009"/>
      <c r="QL278" s="1009"/>
      <c r="QM278" s="1009"/>
      <c r="QN278" s="1009"/>
      <c r="QO278" s="1009"/>
      <c r="QP278" s="1009"/>
      <c r="QQ278" s="1009"/>
      <c r="QR278" s="1009"/>
      <c r="QS278" s="1009"/>
      <c r="QT278" s="1009"/>
      <c r="QU278" s="1009"/>
      <c r="QV278" s="1009"/>
      <c r="QW278" s="1009"/>
      <c r="QX278" s="1009"/>
      <c r="QY278" s="1009"/>
      <c r="QZ278" s="1009"/>
      <c r="RA278" s="1009"/>
      <c r="RB278" s="1009"/>
      <c r="RC278" s="1009"/>
      <c r="RD278" s="1009"/>
      <c r="RE278" s="1009"/>
      <c r="RF278" s="1009"/>
      <c r="RG278" s="1009"/>
      <c r="RH278" s="1009"/>
      <c r="RI278" s="1009"/>
      <c r="RJ278" s="1009"/>
      <c r="RK278" s="1009"/>
      <c r="RL278" s="1009"/>
      <c r="RM278" s="1009"/>
      <c r="RN278" s="1009"/>
      <c r="RO278" s="1009"/>
      <c r="RP278" s="1009"/>
      <c r="RQ278" s="1009"/>
      <c r="RR278" s="1009"/>
      <c r="RS278" s="1009"/>
      <c r="RT278" s="1009"/>
      <c r="RU278" s="1009"/>
      <c r="RV278" s="1009"/>
      <c r="RW278" s="1009"/>
      <c r="RX278" s="1009"/>
      <c r="RY278" s="1009"/>
      <c r="RZ278" s="1009"/>
      <c r="SA278" s="1009"/>
      <c r="SB278" s="1009"/>
      <c r="SC278" s="1009"/>
      <c r="SD278" s="1009"/>
      <c r="SE278" s="1009"/>
      <c r="SF278" s="1009"/>
      <c r="SG278" s="1009"/>
      <c r="SH278" s="1009"/>
      <c r="SI278" s="1009"/>
      <c r="SJ278" s="1009"/>
      <c r="SK278" s="1009"/>
      <c r="SL278" s="1009"/>
      <c r="SM278" s="1009"/>
      <c r="SN278" s="1009"/>
      <c r="SO278" s="1009"/>
      <c r="SP278" s="1009"/>
      <c r="SQ278" s="1009"/>
      <c r="SR278" s="1009"/>
      <c r="SS278" s="1009"/>
      <c r="ST278" s="1009"/>
      <c r="SU278" s="1009"/>
      <c r="SV278" s="1009"/>
      <c r="SW278" s="1009"/>
      <c r="SX278" s="1009"/>
      <c r="SY278" s="1009"/>
      <c r="SZ278" s="1009"/>
      <c r="TA278" s="1009"/>
      <c r="TB278" s="1009"/>
      <c r="TC278" s="1009"/>
      <c r="TD278" s="1009"/>
      <c r="TE278" s="1009"/>
      <c r="TF278" s="1009"/>
      <c r="TG278" s="1009"/>
      <c r="TH278" s="1009"/>
      <c r="TI278" s="1009"/>
      <c r="TJ278" s="1009"/>
      <c r="TK278" s="1009"/>
      <c r="TL278" s="1009"/>
      <c r="TM278" s="1009"/>
      <c r="TN278" s="1009"/>
      <c r="TO278" s="1009"/>
      <c r="TP278" s="1009"/>
      <c r="TQ278" s="1009"/>
      <c r="TR278" s="1009"/>
      <c r="TS278" s="1009"/>
      <c r="TT278" s="1009"/>
      <c r="TU278" s="1009"/>
      <c r="TV278" s="1009"/>
      <c r="TW278" s="1009"/>
      <c r="TX278" s="1009"/>
      <c r="TY278" s="1009"/>
      <c r="TZ278" s="1009"/>
      <c r="UA278" s="1009"/>
      <c r="UB278" s="1009"/>
      <c r="UC278" s="1009"/>
      <c r="UD278" s="1009"/>
      <c r="UE278" s="1009"/>
      <c r="UF278" s="1009"/>
      <c r="UG278" s="1009"/>
      <c r="UH278" s="1009"/>
      <c r="UI278" s="1009"/>
      <c r="UJ278" s="1009"/>
      <c r="UK278" s="1009"/>
      <c r="UL278" s="1009"/>
      <c r="UM278" s="1009"/>
      <c r="UN278" s="1009"/>
      <c r="UO278" s="1009"/>
      <c r="UP278" s="1009"/>
      <c r="UQ278" s="1009"/>
      <c r="UR278" s="1009"/>
      <c r="US278" s="1009"/>
      <c r="UT278" s="1009"/>
      <c r="UU278" s="1009"/>
      <c r="UV278" s="1009"/>
      <c r="UW278" s="1009"/>
      <c r="UX278" s="1009"/>
      <c r="UY278" s="1009"/>
      <c r="UZ278" s="1009"/>
      <c r="VA278" s="1009"/>
      <c r="VB278" s="1009"/>
      <c r="VC278" s="1009"/>
      <c r="VD278" s="1009"/>
      <c r="VE278" s="1009"/>
      <c r="VF278" s="1009"/>
      <c r="VG278" s="1009"/>
      <c r="VH278" s="1009"/>
      <c r="VI278" s="1009"/>
      <c r="VJ278" s="1009"/>
      <c r="VK278" s="1009"/>
      <c r="VL278" s="1009"/>
      <c r="VM278" s="1009"/>
      <c r="VN278" s="1009"/>
      <c r="VO278" s="1009"/>
      <c r="VP278" s="1009"/>
      <c r="VQ278" s="1009"/>
      <c r="VR278" s="1009"/>
      <c r="VS278" s="1009"/>
      <c r="VT278" s="1009"/>
      <c r="VU278" s="1009"/>
      <c r="VV278" s="1009"/>
      <c r="VW278" s="1009"/>
      <c r="VX278" s="1009"/>
      <c r="VY278" s="1009"/>
      <c r="VZ278" s="1009"/>
      <c r="WA278" s="1009"/>
      <c r="WB278" s="1009"/>
      <c r="WC278" s="1009"/>
      <c r="WD278" s="1009"/>
      <c r="WE278" s="1009"/>
      <c r="WF278" s="1009"/>
      <c r="WG278" s="1009"/>
      <c r="WH278" s="1009"/>
      <c r="WI278" s="1009"/>
      <c r="WJ278" s="1009"/>
      <c r="WK278" s="1009"/>
      <c r="WL278" s="1009"/>
      <c r="WM278" s="1009"/>
      <c r="WN278" s="1009"/>
      <c r="WO278" s="1009"/>
      <c r="WP278" s="1009"/>
      <c r="WQ278" s="1009"/>
      <c r="WR278" s="1009"/>
      <c r="WS278" s="1009"/>
      <c r="WT278" s="1009"/>
      <c r="WU278" s="1009"/>
      <c r="WV278" s="1009"/>
      <c r="WW278" s="1009"/>
      <c r="WX278" s="1009"/>
      <c r="WY278" s="1009"/>
      <c r="WZ278" s="1009"/>
      <c r="XA278" s="1009"/>
      <c r="XB278" s="1009"/>
      <c r="XC278" s="1009"/>
      <c r="XD278" s="1009"/>
      <c r="XE278" s="1009"/>
      <c r="XF278" s="1009"/>
      <c r="XG278" s="1009"/>
      <c r="XH278" s="1009"/>
      <c r="XI278" s="1009"/>
      <c r="XJ278" s="1009"/>
      <c r="XK278" s="1009"/>
      <c r="XL278" s="1009"/>
      <c r="XM278" s="1009"/>
      <c r="XN278" s="1009"/>
      <c r="XO278" s="1009"/>
      <c r="XP278" s="1009"/>
      <c r="XQ278" s="1009"/>
      <c r="XR278" s="1009"/>
      <c r="XS278" s="1009"/>
      <c r="XT278" s="1009"/>
      <c r="XU278" s="1009"/>
      <c r="XV278" s="1009"/>
      <c r="XW278" s="1009"/>
      <c r="XX278" s="1009"/>
      <c r="XY278" s="1009"/>
      <c r="XZ278" s="1009"/>
      <c r="YA278" s="1009"/>
      <c r="YB278" s="1009"/>
      <c r="YC278" s="1009"/>
      <c r="YD278" s="1009"/>
      <c r="YE278" s="1009"/>
      <c r="YF278" s="1009"/>
      <c r="YG278" s="1009"/>
      <c r="YH278" s="1009"/>
      <c r="YI278" s="1009"/>
      <c r="YJ278" s="1009"/>
      <c r="YK278" s="1009"/>
      <c r="YL278" s="1009"/>
      <c r="YM278" s="1009"/>
      <c r="YN278" s="1009"/>
      <c r="YO278" s="1009"/>
      <c r="YP278" s="1009"/>
      <c r="YQ278" s="1009"/>
      <c r="YR278" s="1009"/>
      <c r="YS278" s="1009"/>
      <c r="YT278" s="1009"/>
      <c r="YU278" s="1009"/>
      <c r="YV278" s="1009"/>
      <c r="YW278" s="1009"/>
      <c r="YX278" s="1009"/>
      <c r="YY278" s="1009"/>
      <c r="YZ278" s="1009"/>
      <c r="ZA278" s="1009"/>
      <c r="ZB278" s="1009"/>
      <c r="ZC278" s="1009"/>
      <c r="ZD278" s="1009"/>
      <c r="ZE278" s="1009"/>
      <c r="ZF278" s="1009"/>
      <c r="ZG278" s="1009"/>
      <c r="ZH278" s="1009"/>
      <c r="ZI278" s="1009"/>
      <c r="ZJ278" s="1009"/>
      <c r="ZK278" s="1009"/>
      <c r="ZL278" s="1009"/>
      <c r="ZM278" s="1009"/>
      <c r="ZN278" s="1009"/>
      <c r="ZO278" s="1009"/>
      <c r="ZP278" s="1009"/>
      <c r="ZQ278" s="1009"/>
      <c r="ZR278" s="1009"/>
      <c r="ZS278" s="1009"/>
      <c r="ZT278" s="1009"/>
      <c r="ZU278" s="1009"/>
      <c r="ZV278" s="1009"/>
      <c r="ZW278" s="1009"/>
      <c r="ZX278" s="1009"/>
      <c r="ZY278" s="1009"/>
      <c r="ZZ278" s="1009"/>
      <c r="AAA278" s="1009"/>
      <c r="AAB278" s="1009"/>
      <c r="AAC278" s="1009"/>
      <c r="AAD278" s="1009"/>
      <c r="AAE278" s="1009"/>
      <c r="AAF278" s="1009"/>
      <c r="AAG278" s="1009"/>
      <c r="AAH278" s="1009"/>
      <c r="AAI278" s="1009"/>
      <c r="AAJ278" s="1009"/>
      <c r="AAK278" s="1009"/>
      <c r="AAL278" s="1009"/>
      <c r="AAM278" s="1009"/>
      <c r="AAN278" s="1009"/>
      <c r="AAO278" s="1009"/>
      <c r="AAP278" s="1009"/>
      <c r="AAQ278" s="1009"/>
      <c r="AAR278" s="1009"/>
      <c r="AAS278" s="1009"/>
      <c r="AAT278" s="1009"/>
      <c r="AAU278" s="1009"/>
      <c r="AAV278" s="1009"/>
      <c r="AAW278" s="1009"/>
      <c r="AAX278" s="1009"/>
      <c r="AAY278" s="1009"/>
      <c r="AAZ278" s="1009"/>
      <c r="ABA278" s="1009"/>
      <c r="ABB278" s="1009"/>
      <c r="ABC278" s="1009"/>
      <c r="ABD278" s="1009"/>
      <c r="ABE278" s="1009"/>
      <c r="ABF278" s="1009"/>
      <c r="ABG278" s="1009"/>
      <c r="ABH278" s="1009"/>
      <c r="ABI278" s="1009"/>
      <c r="ABJ278" s="1009"/>
      <c r="ABK278" s="1009"/>
      <c r="ABL278" s="1009"/>
      <c r="ABM278" s="1009"/>
      <c r="ABN278" s="1009"/>
      <c r="ABO278" s="1009"/>
      <c r="ABP278" s="1009"/>
      <c r="ABQ278" s="1009"/>
      <c r="ABR278" s="1009"/>
    </row>
    <row r="279" spans="1:746" s="111" customFormat="1" ht="12" customHeight="1">
      <c r="A279" s="2282"/>
      <c r="B279" s="1208"/>
      <c r="C279" s="1206"/>
      <c r="D279" s="1206"/>
      <c r="E279" s="1206"/>
      <c r="F279" s="1206"/>
      <c r="G279" s="1206"/>
      <c r="H279" s="2558"/>
      <c r="I279" s="875"/>
      <c r="J279" s="875"/>
      <c r="K279" s="875"/>
      <c r="L279" s="875"/>
      <c r="M279" s="875"/>
      <c r="N279" s="875"/>
      <c r="O279" s="875"/>
      <c r="P279" s="875"/>
      <c r="Q279" s="875"/>
      <c r="R279" s="875"/>
      <c r="S279" s="875"/>
      <c r="T279" s="875"/>
      <c r="U279" s="875"/>
      <c r="V279" s="875"/>
      <c r="W279" s="875"/>
      <c r="X279" s="875"/>
      <c r="Y279" s="875"/>
      <c r="Z279" s="875"/>
      <c r="AA279" s="875"/>
      <c r="AB279" s="875"/>
      <c r="AC279" s="875"/>
      <c r="AD279" s="875"/>
      <c r="AE279" s="875"/>
      <c r="AF279" s="875"/>
      <c r="AG279" s="337"/>
      <c r="AH279" s="1009"/>
      <c r="AI279" s="1009"/>
      <c r="AJ279" s="1956">
        <f>IF(fx!$C$57=1,SUMIF(fx!I$57:T$57,1,I279:T279),IF(fx!$C$57=2,SUMIF(fx!O$57:AF$57,1,O279:AF279)))</f>
        <v>0</v>
      </c>
      <c r="AK279" s="1207"/>
      <c r="AL279" s="1957">
        <f>IF(fx!$C$57=1,SUM(U279:AF279),0)</f>
        <v>0</v>
      </c>
      <c r="AM279" s="1036"/>
      <c r="AN279" s="1036"/>
      <c r="AO279" s="1034"/>
      <c r="AP279" s="1084"/>
      <c r="AQ279" s="1084"/>
      <c r="AR279" s="1009"/>
      <c r="AS279" s="1009"/>
      <c r="AT279" s="1009"/>
      <c r="AU279" s="1009"/>
      <c r="AV279" s="1009"/>
      <c r="AW279" s="1009"/>
      <c r="AX279" s="1009"/>
      <c r="AY279" s="1009"/>
      <c r="AZ279" s="1009"/>
      <c r="BA279" s="1009"/>
      <c r="BB279" s="1009"/>
      <c r="BC279" s="1009"/>
      <c r="BD279" s="1009"/>
      <c r="BE279" s="1009"/>
      <c r="BF279" s="1009"/>
      <c r="BG279" s="1009"/>
      <c r="BH279" s="1009"/>
      <c r="BI279" s="1009"/>
      <c r="BJ279" s="1009"/>
      <c r="BK279" s="1009"/>
      <c r="BL279" s="1009"/>
      <c r="BM279" s="1009"/>
      <c r="BN279" s="1009"/>
      <c r="BO279" s="1009"/>
      <c r="BP279" s="1009"/>
      <c r="BQ279" s="1009"/>
      <c r="BR279" s="1009"/>
      <c r="BS279" s="1009"/>
      <c r="BT279" s="1009"/>
      <c r="BU279" s="1009"/>
      <c r="BV279" s="1009"/>
      <c r="BW279" s="1009"/>
      <c r="BX279" s="1009"/>
      <c r="BY279" s="1009"/>
      <c r="BZ279" s="1009"/>
      <c r="CA279" s="1009"/>
      <c r="CB279" s="1009"/>
      <c r="CC279" s="1009"/>
      <c r="CD279" s="1009"/>
      <c r="CE279" s="1009"/>
      <c r="CF279" s="1009"/>
      <c r="CG279" s="1009"/>
      <c r="CH279" s="1009"/>
      <c r="CI279" s="1009"/>
      <c r="CJ279" s="1009"/>
      <c r="CK279" s="1009"/>
      <c r="CL279" s="1009"/>
      <c r="CM279" s="1009"/>
      <c r="CN279" s="1009"/>
      <c r="CO279" s="1009"/>
      <c r="CP279" s="1009"/>
      <c r="CQ279" s="1009"/>
      <c r="CR279" s="1009"/>
      <c r="CS279" s="1009"/>
      <c r="CT279" s="1009"/>
      <c r="CU279" s="1009"/>
      <c r="CV279" s="1009"/>
      <c r="CW279" s="1009"/>
      <c r="CX279" s="1009"/>
      <c r="CY279" s="1009"/>
      <c r="CZ279" s="1009"/>
      <c r="DA279" s="1009"/>
      <c r="DB279" s="1009"/>
      <c r="DC279" s="1009"/>
      <c r="DD279" s="1009"/>
      <c r="DE279" s="1009"/>
      <c r="DF279" s="1009"/>
      <c r="DG279" s="1009"/>
      <c r="DH279" s="1009"/>
      <c r="DI279" s="1009"/>
      <c r="DJ279" s="1009"/>
      <c r="DK279" s="1009"/>
      <c r="DL279" s="1009"/>
      <c r="DM279" s="1009"/>
      <c r="DN279" s="1009"/>
      <c r="DO279" s="1009"/>
      <c r="DP279" s="1009"/>
      <c r="DQ279" s="1009"/>
      <c r="DR279" s="1009"/>
      <c r="DS279" s="1009"/>
      <c r="DT279" s="1009"/>
      <c r="DU279" s="1009"/>
      <c r="DV279" s="1009"/>
      <c r="DW279" s="1009"/>
      <c r="DX279" s="1009"/>
      <c r="DY279" s="1009"/>
      <c r="DZ279" s="1009"/>
      <c r="EA279" s="1009"/>
      <c r="EB279" s="1009"/>
      <c r="EC279" s="1009"/>
      <c r="ED279" s="1009"/>
      <c r="EE279" s="1009"/>
      <c r="EF279" s="1009"/>
      <c r="EG279" s="1009"/>
      <c r="EH279" s="1009"/>
      <c r="EI279" s="1009"/>
      <c r="EJ279" s="1009"/>
      <c r="EK279" s="1009"/>
      <c r="EL279" s="1009"/>
      <c r="EM279" s="1009"/>
      <c r="EN279" s="1009"/>
      <c r="EO279" s="1009"/>
      <c r="EP279" s="1009"/>
      <c r="EQ279" s="1009"/>
      <c r="ER279" s="1009"/>
      <c r="ES279" s="1009"/>
      <c r="ET279" s="1009"/>
      <c r="EU279" s="1009"/>
      <c r="EV279" s="1009"/>
      <c r="EW279" s="1009"/>
      <c r="EX279" s="1009"/>
      <c r="EY279" s="1009"/>
      <c r="EZ279" s="1009"/>
      <c r="FA279" s="1009"/>
      <c r="FB279" s="1009"/>
      <c r="FC279" s="1009"/>
      <c r="FD279" s="1009"/>
      <c r="FE279" s="1009"/>
      <c r="FF279" s="1009"/>
      <c r="FG279" s="1009"/>
      <c r="FH279" s="1009"/>
      <c r="FI279" s="1009"/>
      <c r="FJ279" s="1009"/>
      <c r="FK279" s="1009"/>
      <c r="FL279" s="1009"/>
      <c r="FM279" s="1009"/>
      <c r="FN279" s="1009"/>
      <c r="FO279" s="1009"/>
      <c r="FP279" s="1009"/>
      <c r="FQ279" s="1009"/>
      <c r="FR279" s="1009"/>
      <c r="FS279" s="1009"/>
      <c r="FT279" s="1009"/>
      <c r="FU279" s="1009"/>
      <c r="FV279" s="1009"/>
      <c r="FW279" s="1009"/>
      <c r="FX279" s="1009"/>
      <c r="FY279" s="1009"/>
      <c r="FZ279" s="1009"/>
      <c r="GA279" s="1009"/>
      <c r="GB279" s="1009"/>
      <c r="GC279" s="1009"/>
      <c r="GD279" s="1009"/>
      <c r="GE279" s="1009"/>
      <c r="GF279" s="1009"/>
      <c r="GG279" s="1009"/>
      <c r="GH279" s="1009"/>
      <c r="GI279" s="1009"/>
      <c r="GJ279" s="1009"/>
      <c r="GK279" s="1009"/>
      <c r="GL279" s="1009"/>
      <c r="GM279" s="1009"/>
      <c r="GN279" s="1009"/>
      <c r="GO279" s="1009"/>
      <c r="GP279" s="1009"/>
      <c r="GQ279" s="1009"/>
      <c r="GR279" s="1009"/>
      <c r="GS279" s="1009"/>
      <c r="GT279" s="1009"/>
      <c r="GU279" s="1009"/>
      <c r="GV279" s="1009"/>
      <c r="GW279" s="1009"/>
      <c r="GX279" s="1009"/>
      <c r="GY279" s="1009"/>
      <c r="GZ279" s="1009"/>
      <c r="HA279" s="1009"/>
      <c r="HB279" s="1009"/>
      <c r="HC279" s="1009"/>
      <c r="HD279" s="1009"/>
      <c r="HE279" s="1009"/>
      <c r="HF279" s="1009"/>
      <c r="HG279" s="1009"/>
      <c r="HH279" s="1009"/>
      <c r="HI279" s="1009"/>
      <c r="HJ279" s="1009"/>
      <c r="HK279" s="1009"/>
      <c r="HL279" s="1009"/>
      <c r="HM279" s="1009"/>
      <c r="HN279" s="1009"/>
      <c r="HO279" s="1009"/>
      <c r="HP279" s="1009"/>
      <c r="HQ279" s="1009"/>
      <c r="HR279" s="1009"/>
      <c r="HS279" s="1009"/>
      <c r="HT279" s="1009"/>
      <c r="HU279" s="1009"/>
      <c r="HV279" s="1009"/>
      <c r="HW279" s="1009"/>
      <c r="HX279" s="1009"/>
      <c r="HY279" s="1009"/>
      <c r="HZ279" s="1009"/>
      <c r="IA279" s="1009"/>
      <c r="IB279" s="1009"/>
      <c r="IC279" s="1009"/>
      <c r="ID279" s="1009"/>
      <c r="IE279" s="1009"/>
      <c r="IF279" s="1009"/>
      <c r="IG279" s="1009"/>
      <c r="IH279" s="1009"/>
      <c r="II279" s="1009"/>
      <c r="IJ279" s="1009"/>
      <c r="IK279" s="1009"/>
      <c r="IL279" s="1009"/>
      <c r="IM279" s="1009"/>
      <c r="IN279" s="1009"/>
      <c r="IO279" s="1009"/>
      <c r="IP279" s="1009"/>
      <c r="IQ279" s="1009"/>
      <c r="IR279" s="1009"/>
      <c r="IS279" s="1009"/>
      <c r="IT279" s="1009"/>
      <c r="IU279" s="1009"/>
      <c r="IV279" s="1009"/>
      <c r="IW279" s="1009"/>
      <c r="IX279" s="1009"/>
      <c r="IY279" s="1009"/>
      <c r="IZ279" s="1009"/>
      <c r="JA279" s="1009"/>
      <c r="JB279" s="1009"/>
      <c r="JC279" s="1009"/>
      <c r="JD279" s="1009"/>
      <c r="JE279" s="1009"/>
      <c r="JF279" s="1009"/>
      <c r="JG279" s="1009"/>
      <c r="JH279" s="1009"/>
      <c r="JI279" s="1009"/>
      <c r="JJ279" s="1009"/>
      <c r="JK279" s="1009"/>
      <c r="JL279" s="1009"/>
      <c r="JM279" s="1009"/>
      <c r="JN279" s="1009"/>
      <c r="JO279" s="1009"/>
      <c r="JP279" s="1009"/>
      <c r="JQ279" s="1009"/>
      <c r="JR279" s="1009"/>
      <c r="JS279" s="1009"/>
      <c r="JT279" s="1009"/>
      <c r="JU279" s="1009"/>
      <c r="JV279" s="1009"/>
      <c r="JW279" s="1009"/>
      <c r="JX279" s="1009"/>
      <c r="JY279" s="1009"/>
      <c r="JZ279" s="1009"/>
      <c r="KA279" s="1009"/>
      <c r="KB279" s="1009"/>
      <c r="KC279" s="1009"/>
      <c r="KD279" s="1009"/>
      <c r="KE279" s="1009"/>
      <c r="KF279" s="1009"/>
      <c r="KG279" s="1009"/>
      <c r="KH279" s="1009"/>
      <c r="KI279" s="1009"/>
      <c r="KJ279" s="1009"/>
      <c r="KK279" s="1009"/>
      <c r="KL279" s="1009"/>
      <c r="KM279" s="1009"/>
      <c r="KN279" s="1009"/>
      <c r="KO279" s="1009"/>
      <c r="KP279" s="1009"/>
      <c r="KQ279" s="1009"/>
      <c r="KR279" s="1009"/>
      <c r="KS279" s="1009"/>
      <c r="KT279" s="1009"/>
      <c r="KU279" s="1009"/>
      <c r="KV279" s="1009"/>
      <c r="KW279" s="1009"/>
      <c r="KX279" s="1009"/>
      <c r="KY279" s="1009"/>
      <c r="KZ279" s="1009"/>
      <c r="LA279" s="1009"/>
      <c r="LB279" s="1009"/>
      <c r="LC279" s="1009"/>
      <c r="LD279" s="1009"/>
      <c r="LE279" s="1009"/>
      <c r="LF279" s="1009"/>
      <c r="LG279" s="1009"/>
      <c r="LH279" s="1009"/>
      <c r="LI279" s="1009"/>
      <c r="LJ279" s="1009"/>
      <c r="LK279" s="1009"/>
      <c r="LL279" s="1009"/>
      <c r="LM279" s="1009"/>
      <c r="LN279" s="1009"/>
      <c r="LO279" s="1009"/>
      <c r="LP279" s="1009"/>
      <c r="LQ279" s="1009"/>
      <c r="LR279" s="1009"/>
      <c r="LS279" s="1009"/>
      <c r="LT279" s="1009"/>
      <c r="LU279" s="1009"/>
      <c r="LV279" s="1009"/>
      <c r="LW279" s="1009"/>
      <c r="LX279" s="1009"/>
      <c r="LY279" s="1009"/>
      <c r="LZ279" s="1009"/>
      <c r="MA279" s="1009"/>
      <c r="MB279" s="1009"/>
      <c r="MC279" s="1009"/>
      <c r="MD279" s="1009"/>
      <c r="ME279" s="1009"/>
      <c r="MF279" s="1009"/>
      <c r="MG279" s="1009"/>
      <c r="MH279" s="1009"/>
      <c r="MI279" s="1009"/>
      <c r="MJ279" s="1009"/>
      <c r="MK279" s="1009"/>
      <c r="ML279" s="1009"/>
      <c r="MM279" s="1009"/>
      <c r="MN279" s="1009"/>
      <c r="MO279" s="1009"/>
      <c r="MP279" s="1009"/>
      <c r="MQ279" s="1009"/>
      <c r="MR279" s="1009"/>
      <c r="MS279" s="1009"/>
      <c r="MT279" s="1009"/>
      <c r="MU279" s="1009"/>
      <c r="MV279" s="1009"/>
      <c r="MW279" s="1009"/>
      <c r="MX279" s="1009"/>
      <c r="MY279" s="1009"/>
      <c r="MZ279" s="1009"/>
      <c r="NA279" s="1009"/>
      <c r="NB279" s="1009"/>
      <c r="NC279" s="1009"/>
      <c r="ND279" s="1009"/>
      <c r="NE279" s="1009"/>
      <c r="NF279" s="1009"/>
      <c r="NG279" s="1009"/>
      <c r="NH279" s="1009"/>
      <c r="NI279" s="1009"/>
      <c r="NJ279" s="1009"/>
      <c r="NK279" s="1009"/>
      <c r="NL279" s="1009"/>
      <c r="NM279" s="1009"/>
      <c r="NN279" s="1009"/>
      <c r="NO279" s="1009"/>
      <c r="NP279" s="1009"/>
      <c r="NQ279" s="1009"/>
      <c r="NR279" s="1009"/>
      <c r="NS279" s="1009"/>
      <c r="NT279" s="1009"/>
      <c r="NU279" s="1009"/>
      <c r="NV279" s="1009"/>
      <c r="NW279" s="1009"/>
      <c r="NX279" s="1009"/>
      <c r="NY279" s="1009"/>
      <c r="NZ279" s="1009"/>
      <c r="OA279" s="1009"/>
      <c r="OB279" s="1009"/>
      <c r="OC279" s="1009"/>
      <c r="OD279" s="1009"/>
      <c r="OE279" s="1009"/>
      <c r="OF279" s="1009"/>
      <c r="OG279" s="1009"/>
      <c r="OH279" s="1009"/>
      <c r="OI279" s="1009"/>
      <c r="OJ279" s="1009"/>
      <c r="OK279" s="1009"/>
      <c r="OL279" s="1009"/>
      <c r="OM279" s="1009"/>
      <c r="ON279" s="1009"/>
      <c r="OO279" s="1009"/>
      <c r="OP279" s="1009"/>
      <c r="OQ279" s="1009"/>
      <c r="OR279" s="1009"/>
      <c r="OS279" s="1009"/>
      <c r="OT279" s="1009"/>
      <c r="OU279" s="1009"/>
      <c r="OV279" s="1009"/>
      <c r="OW279" s="1009"/>
      <c r="OX279" s="1009"/>
      <c r="OY279" s="1009"/>
      <c r="OZ279" s="1009"/>
      <c r="PA279" s="1009"/>
      <c r="PB279" s="1009"/>
      <c r="PC279" s="1009"/>
      <c r="PD279" s="1009"/>
      <c r="PE279" s="1009"/>
      <c r="PF279" s="1009"/>
      <c r="PG279" s="1009"/>
      <c r="PH279" s="1009"/>
      <c r="PI279" s="1009"/>
      <c r="PJ279" s="1009"/>
      <c r="PK279" s="1009"/>
      <c r="PL279" s="1009"/>
      <c r="PM279" s="1009"/>
      <c r="PN279" s="1009"/>
      <c r="PO279" s="1009"/>
      <c r="PP279" s="1009"/>
      <c r="PQ279" s="1009"/>
      <c r="PR279" s="1009"/>
      <c r="PS279" s="1009"/>
      <c r="PT279" s="1009"/>
      <c r="PU279" s="1009"/>
      <c r="PV279" s="1009"/>
      <c r="PW279" s="1009"/>
      <c r="PX279" s="1009"/>
      <c r="PY279" s="1009"/>
      <c r="PZ279" s="1009"/>
      <c r="QA279" s="1009"/>
      <c r="QB279" s="1009"/>
      <c r="QC279" s="1009"/>
      <c r="QD279" s="1009"/>
      <c r="QE279" s="1009"/>
      <c r="QF279" s="1009"/>
      <c r="QG279" s="1009"/>
      <c r="QH279" s="1009"/>
      <c r="QI279" s="1009"/>
      <c r="QJ279" s="1009"/>
      <c r="QK279" s="1009"/>
      <c r="QL279" s="1009"/>
      <c r="QM279" s="1009"/>
      <c r="QN279" s="1009"/>
      <c r="QO279" s="1009"/>
      <c r="QP279" s="1009"/>
      <c r="QQ279" s="1009"/>
      <c r="QR279" s="1009"/>
      <c r="QS279" s="1009"/>
      <c r="QT279" s="1009"/>
      <c r="QU279" s="1009"/>
      <c r="QV279" s="1009"/>
      <c r="QW279" s="1009"/>
      <c r="QX279" s="1009"/>
      <c r="QY279" s="1009"/>
      <c r="QZ279" s="1009"/>
      <c r="RA279" s="1009"/>
      <c r="RB279" s="1009"/>
      <c r="RC279" s="1009"/>
      <c r="RD279" s="1009"/>
      <c r="RE279" s="1009"/>
      <c r="RF279" s="1009"/>
      <c r="RG279" s="1009"/>
      <c r="RH279" s="1009"/>
      <c r="RI279" s="1009"/>
      <c r="RJ279" s="1009"/>
      <c r="RK279" s="1009"/>
      <c r="RL279" s="1009"/>
      <c r="RM279" s="1009"/>
      <c r="RN279" s="1009"/>
      <c r="RO279" s="1009"/>
      <c r="RP279" s="1009"/>
      <c r="RQ279" s="1009"/>
      <c r="RR279" s="1009"/>
      <c r="RS279" s="1009"/>
      <c r="RT279" s="1009"/>
      <c r="RU279" s="1009"/>
      <c r="RV279" s="1009"/>
      <c r="RW279" s="1009"/>
      <c r="RX279" s="1009"/>
      <c r="RY279" s="1009"/>
      <c r="RZ279" s="1009"/>
      <c r="SA279" s="1009"/>
      <c r="SB279" s="1009"/>
      <c r="SC279" s="1009"/>
      <c r="SD279" s="1009"/>
      <c r="SE279" s="1009"/>
      <c r="SF279" s="1009"/>
      <c r="SG279" s="1009"/>
      <c r="SH279" s="1009"/>
      <c r="SI279" s="1009"/>
      <c r="SJ279" s="1009"/>
      <c r="SK279" s="1009"/>
      <c r="SL279" s="1009"/>
      <c r="SM279" s="1009"/>
      <c r="SN279" s="1009"/>
      <c r="SO279" s="1009"/>
      <c r="SP279" s="1009"/>
      <c r="SQ279" s="1009"/>
      <c r="SR279" s="1009"/>
      <c r="SS279" s="1009"/>
      <c r="ST279" s="1009"/>
      <c r="SU279" s="1009"/>
      <c r="SV279" s="1009"/>
      <c r="SW279" s="1009"/>
      <c r="SX279" s="1009"/>
      <c r="SY279" s="1009"/>
      <c r="SZ279" s="1009"/>
      <c r="TA279" s="1009"/>
      <c r="TB279" s="1009"/>
      <c r="TC279" s="1009"/>
      <c r="TD279" s="1009"/>
      <c r="TE279" s="1009"/>
      <c r="TF279" s="1009"/>
      <c r="TG279" s="1009"/>
      <c r="TH279" s="1009"/>
      <c r="TI279" s="1009"/>
      <c r="TJ279" s="1009"/>
      <c r="TK279" s="1009"/>
      <c r="TL279" s="1009"/>
      <c r="TM279" s="1009"/>
      <c r="TN279" s="1009"/>
      <c r="TO279" s="1009"/>
      <c r="TP279" s="1009"/>
      <c r="TQ279" s="1009"/>
      <c r="TR279" s="1009"/>
      <c r="TS279" s="1009"/>
      <c r="TT279" s="1009"/>
      <c r="TU279" s="1009"/>
      <c r="TV279" s="1009"/>
      <c r="TW279" s="1009"/>
      <c r="TX279" s="1009"/>
      <c r="TY279" s="1009"/>
      <c r="TZ279" s="1009"/>
      <c r="UA279" s="1009"/>
      <c r="UB279" s="1009"/>
      <c r="UC279" s="1009"/>
      <c r="UD279" s="1009"/>
      <c r="UE279" s="1009"/>
      <c r="UF279" s="1009"/>
      <c r="UG279" s="1009"/>
      <c r="UH279" s="1009"/>
      <c r="UI279" s="1009"/>
      <c r="UJ279" s="1009"/>
      <c r="UK279" s="1009"/>
      <c r="UL279" s="1009"/>
      <c r="UM279" s="1009"/>
      <c r="UN279" s="1009"/>
      <c r="UO279" s="1009"/>
      <c r="UP279" s="1009"/>
      <c r="UQ279" s="1009"/>
      <c r="UR279" s="1009"/>
      <c r="US279" s="1009"/>
      <c r="UT279" s="1009"/>
      <c r="UU279" s="1009"/>
      <c r="UV279" s="1009"/>
      <c r="UW279" s="1009"/>
      <c r="UX279" s="1009"/>
      <c r="UY279" s="1009"/>
      <c r="UZ279" s="1009"/>
      <c r="VA279" s="1009"/>
      <c r="VB279" s="1009"/>
      <c r="VC279" s="1009"/>
      <c r="VD279" s="1009"/>
      <c r="VE279" s="1009"/>
      <c r="VF279" s="1009"/>
      <c r="VG279" s="1009"/>
      <c r="VH279" s="1009"/>
      <c r="VI279" s="1009"/>
      <c r="VJ279" s="1009"/>
      <c r="VK279" s="1009"/>
      <c r="VL279" s="1009"/>
      <c r="VM279" s="1009"/>
      <c r="VN279" s="1009"/>
      <c r="VO279" s="1009"/>
      <c r="VP279" s="1009"/>
      <c r="VQ279" s="1009"/>
      <c r="VR279" s="1009"/>
      <c r="VS279" s="1009"/>
      <c r="VT279" s="1009"/>
      <c r="VU279" s="1009"/>
      <c r="VV279" s="1009"/>
      <c r="VW279" s="1009"/>
      <c r="VX279" s="1009"/>
      <c r="VY279" s="1009"/>
      <c r="VZ279" s="1009"/>
      <c r="WA279" s="1009"/>
      <c r="WB279" s="1009"/>
      <c r="WC279" s="1009"/>
      <c r="WD279" s="1009"/>
      <c r="WE279" s="1009"/>
      <c r="WF279" s="1009"/>
      <c r="WG279" s="1009"/>
      <c r="WH279" s="1009"/>
      <c r="WI279" s="1009"/>
      <c r="WJ279" s="1009"/>
      <c r="WK279" s="1009"/>
      <c r="WL279" s="1009"/>
      <c r="WM279" s="1009"/>
      <c r="WN279" s="1009"/>
      <c r="WO279" s="1009"/>
      <c r="WP279" s="1009"/>
      <c r="WQ279" s="1009"/>
      <c r="WR279" s="1009"/>
      <c r="WS279" s="1009"/>
      <c r="WT279" s="1009"/>
      <c r="WU279" s="1009"/>
      <c r="WV279" s="1009"/>
      <c r="WW279" s="1009"/>
      <c r="WX279" s="1009"/>
      <c r="WY279" s="1009"/>
      <c r="WZ279" s="1009"/>
      <c r="XA279" s="1009"/>
      <c r="XB279" s="1009"/>
      <c r="XC279" s="1009"/>
      <c r="XD279" s="1009"/>
      <c r="XE279" s="1009"/>
      <c r="XF279" s="1009"/>
      <c r="XG279" s="1009"/>
      <c r="XH279" s="1009"/>
      <c r="XI279" s="1009"/>
      <c r="XJ279" s="1009"/>
      <c r="XK279" s="1009"/>
      <c r="XL279" s="1009"/>
      <c r="XM279" s="1009"/>
      <c r="XN279" s="1009"/>
      <c r="XO279" s="1009"/>
      <c r="XP279" s="1009"/>
      <c r="XQ279" s="1009"/>
      <c r="XR279" s="1009"/>
      <c r="XS279" s="1009"/>
      <c r="XT279" s="1009"/>
      <c r="XU279" s="1009"/>
      <c r="XV279" s="1009"/>
      <c r="XW279" s="1009"/>
      <c r="XX279" s="1009"/>
      <c r="XY279" s="1009"/>
      <c r="XZ279" s="1009"/>
      <c r="YA279" s="1009"/>
      <c r="YB279" s="1009"/>
      <c r="YC279" s="1009"/>
      <c r="YD279" s="1009"/>
      <c r="YE279" s="1009"/>
      <c r="YF279" s="1009"/>
      <c r="YG279" s="1009"/>
      <c r="YH279" s="1009"/>
      <c r="YI279" s="1009"/>
      <c r="YJ279" s="1009"/>
      <c r="YK279" s="1009"/>
      <c r="YL279" s="1009"/>
      <c r="YM279" s="1009"/>
      <c r="YN279" s="1009"/>
      <c r="YO279" s="1009"/>
      <c r="YP279" s="1009"/>
      <c r="YQ279" s="1009"/>
      <c r="YR279" s="1009"/>
      <c r="YS279" s="1009"/>
      <c r="YT279" s="1009"/>
      <c r="YU279" s="1009"/>
      <c r="YV279" s="1009"/>
      <c r="YW279" s="1009"/>
      <c r="YX279" s="1009"/>
      <c r="YY279" s="1009"/>
      <c r="YZ279" s="1009"/>
      <c r="ZA279" s="1009"/>
      <c r="ZB279" s="1009"/>
      <c r="ZC279" s="1009"/>
      <c r="ZD279" s="1009"/>
      <c r="ZE279" s="1009"/>
      <c r="ZF279" s="1009"/>
      <c r="ZG279" s="1009"/>
      <c r="ZH279" s="1009"/>
      <c r="ZI279" s="1009"/>
      <c r="ZJ279" s="1009"/>
      <c r="ZK279" s="1009"/>
      <c r="ZL279" s="1009"/>
      <c r="ZM279" s="1009"/>
      <c r="ZN279" s="1009"/>
      <c r="ZO279" s="1009"/>
      <c r="ZP279" s="1009"/>
      <c r="ZQ279" s="1009"/>
      <c r="ZR279" s="1009"/>
      <c r="ZS279" s="1009"/>
      <c r="ZT279" s="1009"/>
      <c r="ZU279" s="1009"/>
      <c r="ZV279" s="1009"/>
      <c r="ZW279" s="1009"/>
      <c r="ZX279" s="1009"/>
      <c r="ZY279" s="1009"/>
      <c r="ZZ279" s="1009"/>
      <c r="AAA279" s="1009"/>
      <c r="AAB279" s="1009"/>
      <c r="AAC279" s="1009"/>
      <c r="AAD279" s="1009"/>
      <c r="AAE279" s="1009"/>
      <c r="AAF279" s="1009"/>
      <c r="AAG279" s="1009"/>
      <c r="AAH279" s="1009"/>
      <c r="AAI279" s="1009"/>
      <c r="AAJ279" s="1009"/>
      <c r="AAK279" s="1009"/>
      <c r="AAL279" s="1009"/>
      <c r="AAM279" s="1009"/>
      <c r="AAN279" s="1009"/>
      <c r="AAO279" s="1009"/>
      <c r="AAP279" s="1009"/>
      <c r="AAQ279" s="1009"/>
      <c r="AAR279" s="1009"/>
      <c r="AAS279" s="1009"/>
      <c r="AAT279" s="1009"/>
      <c r="AAU279" s="1009"/>
      <c r="AAV279" s="1009"/>
      <c r="AAW279" s="1009"/>
      <c r="AAX279" s="1009"/>
      <c r="AAY279" s="1009"/>
      <c r="AAZ279" s="1009"/>
      <c r="ABA279" s="1009"/>
      <c r="ABB279" s="1009"/>
      <c r="ABC279" s="1009"/>
      <c r="ABD279" s="1009"/>
      <c r="ABE279" s="1009"/>
      <c r="ABF279" s="1009"/>
      <c r="ABG279" s="1009"/>
      <c r="ABH279" s="1009"/>
      <c r="ABI279" s="1009"/>
      <c r="ABJ279" s="1009"/>
      <c r="ABK279" s="1009"/>
      <c r="ABL279" s="1009"/>
      <c r="ABM279" s="1009"/>
      <c r="ABN279" s="1009"/>
      <c r="ABO279" s="1009"/>
      <c r="ABP279" s="1009"/>
      <c r="ABQ279" s="1009"/>
      <c r="ABR279" s="1009"/>
    </row>
    <row r="280" spans="1:746" s="111" customFormat="1" ht="12" customHeight="1">
      <c r="A280" s="2282"/>
      <c r="B280" s="1208"/>
      <c r="C280" s="1209"/>
      <c r="D280" s="1209"/>
      <c r="E280" s="1209"/>
      <c r="F280" s="1209"/>
      <c r="G280" s="1209"/>
      <c r="H280" s="2558"/>
      <c r="I280" s="1966"/>
      <c r="J280" s="1966"/>
      <c r="K280" s="1966"/>
      <c r="L280" s="1966"/>
      <c r="M280" s="1966"/>
      <c r="N280" s="1966"/>
      <c r="O280" s="1966"/>
      <c r="P280" s="1966"/>
      <c r="Q280" s="1966"/>
      <c r="R280" s="1966"/>
      <c r="S280" s="1966"/>
      <c r="T280" s="1966"/>
      <c r="U280" s="1966"/>
      <c r="V280" s="1966"/>
      <c r="W280" s="1966"/>
      <c r="X280" s="1966"/>
      <c r="Y280" s="1966"/>
      <c r="Z280" s="1966"/>
      <c r="AA280" s="1966"/>
      <c r="AB280" s="1966"/>
      <c r="AC280" s="1966"/>
      <c r="AD280" s="1966"/>
      <c r="AE280" s="1966"/>
      <c r="AF280" s="1966"/>
      <c r="AG280" s="337"/>
      <c r="AH280" s="1009"/>
      <c r="AI280" s="1009"/>
      <c r="AJ280" s="1956">
        <f>IF(fx!$C$57=1,SUMIF(fx!I$57:T$57,1,I280:T280),IF(fx!$C$57=2,SUMIF(fx!O$57:AF$57,1,O280:AF280)))</f>
        <v>0</v>
      </c>
      <c r="AK280" s="1207"/>
      <c r="AL280" s="1957">
        <f>IF(fx!$C$57=1,SUM(U280:AF280),0)</f>
        <v>0</v>
      </c>
      <c r="AM280" s="1036"/>
      <c r="AN280" s="1036"/>
      <c r="AO280" s="1034"/>
      <c r="AP280" s="1084"/>
      <c r="AQ280" s="1084"/>
      <c r="AR280" s="1009"/>
      <c r="AS280" s="1009"/>
      <c r="AT280" s="1009"/>
      <c r="AU280" s="1009"/>
      <c r="AV280" s="1009"/>
      <c r="AW280" s="1009"/>
      <c r="AX280" s="1009"/>
      <c r="AY280" s="1009"/>
      <c r="AZ280" s="1009"/>
      <c r="BA280" s="1009"/>
      <c r="BB280" s="1009"/>
      <c r="BC280" s="1009"/>
      <c r="BD280" s="1009"/>
      <c r="BE280" s="1009"/>
      <c r="BF280" s="1009"/>
      <c r="BG280" s="1009"/>
      <c r="BH280" s="1009"/>
      <c r="BI280" s="1009"/>
      <c r="BJ280" s="1009"/>
      <c r="BK280" s="1009"/>
      <c r="BL280" s="1009"/>
      <c r="BM280" s="1009"/>
      <c r="BN280" s="1009"/>
      <c r="BO280" s="1009"/>
      <c r="BP280" s="1009"/>
      <c r="BQ280" s="1009"/>
      <c r="BR280" s="1009"/>
      <c r="BS280" s="1009"/>
      <c r="BT280" s="1009"/>
      <c r="BU280" s="1009"/>
      <c r="BV280" s="1009"/>
      <c r="BW280" s="1009"/>
      <c r="BX280" s="1009"/>
      <c r="BY280" s="1009"/>
      <c r="BZ280" s="1009"/>
      <c r="CA280" s="1009"/>
      <c r="CB280" s="1009"/>
      <c r="CC280" s="1009"/>
      <c r="CD280" s="1009"/>
      <c r="CE280" s="1009"/>
      <c r="CF280" s="1009"/>
      <c r="CG280" s="1009"/>
      <c r="CH280" s="1009"/>
      <c r="CI280" s="1009"/>
      <c r="CJ280" s="1009"/>
      <c r="CK280" s="1009"/>
      <c r="CL280" s="1009"/>
      <c r="CM280" s="1009"/>
      <c r="CN280" s="1009"/>
      <c r="CO280" s="1009"/>
      <c r="CP280" s="1009"/>
      <c r="CQ280" s="1009"/>
      <c r="CR280" s="1009"/>
      <c r="CS280" s="1009"/>
      <c r="CT280" s="1009"/>
      <c r="CU280" s="1009"/>
      <c r="CV280" s="1009"/>
      <c r="CW280" s="1009"/>
      <c r="CX280" s="1009"/>
      <c r="CY280" s="1009"/>
      <c r="CZ280" s="1009"/>
      <c r="DA280" s="1009"/>
      <c r="DB280" s="1009"/>
      <c r="DC280" s="1009"/>
      <c r="DD280" s="1009"/>
      <c r="DE280" s="1009"/>
      <c r="DF280" s="1009"/>
      <c r="DG280" s="1009"/>
      <c r="DH280" s="1009"/>
      <c r="DI280" s="1009"/>
      <c r="DJ280" s="1009"/>
      <c r="DK280" s="1009"/>
      <c r="DL280" s="1009"/>
      <c r="DM280" s="1009"/>
      <c r="DN280" s="1009"/>
      <c r="DO280" s="1009"/>
      <c r="DP280" s="1009"/>
      <c r="DQ280" s="1009"/>
      <c r="DR280" s="1009"/>
      <c r="DS280" s="1009"/>
      <c r="DT280" s="1009"/>
      <c r="DU280" s="1009"/>
      <c r="DV280" s="1009"/>
      <c r="DW280" s="1009"/>
      <c r="DX280" s="1009"/>
      <c r="DY280" s="1009"/>
      <c r="DZ280" s="1009"/>
      <c r="EA280" s="1009"/>
      <c r="EB280" s="1009"/>
      <c r="EC280" s="1009"/>
      <c r="ED280" s="1009"/>
      <c r="EE280" s="1009"/>
      <c r="EF280" s="1009"/>
      <c r="EG280" s="1009"/>
      <c r="EH280" s="1009"/>
      <c r="EI280" s="1009"/>
      <c r="EJ280" s="1009"/>
      <c r="EK280" s="1009"/>
      <c r="EL280" s="1009"/>
      <c r="EM280" s="1009"/>
      <c r="EN280" s="1009"/>
      <c r="EO280" s="1009"/>
      <c r="EP280" s="1009"/>
      <c r="EQ280" s="1009"/>
      <c r="ER280" s="1009"/>
      <c r="ES280" s="1009"/>
      <c r="ET280" s="1009"/>
      <c r="EU280" s="1009"/>
      <c r="EV280" s="1009"/>
      <c r="EW280" s="1009"/>
      <c r="EX280" s="1009"/>
      <c r="EY280" s="1009"/>
      <c r="EZ280" s="1009"/>
      <c r="FA280" s="1009"/>
      <c r="FB280" s="1009"/>
      <c r="FC280" s="1009"/>
      <c r="FD280" s="1009"/>
      <c r="FE280" s="1009"/>
      <c r="FF280" s="1009"/>
      <c r="FG280" s="1009"/>
      <c r="FH280" s="1009"/>
      <c r="FI280" s="1009"/>
      <c r="FJ280" s="1009"/>
      <c r="FK280" s="1009"/>
      <c r="FL280" s="1009"/>
      <c r="FM280" s="1009"/>
      <c r="FN280" s="1009"/>
      <c r="FO280" s="1009"/>
      <c r="FP280" s="1009"/>
      <c r="FQ280" s="1009"/>
      <c r="FR280" s="1009"/>
      <c r="FS280" s="1009"/>
      <c r="FT280" s="1009"/>
      <c r="FU280" s="1009"/>
      <c r="FV280" s="1009"/>
      <c r="FW280" s="1009"/>
      <c r="FX280" s="1009"/>
      <c r="FY280" s="1009"/>
      <c r="FZ280" s="1009"/>
      <c r="GA280" s="1009"/>
      <c r="GB280" s="1009"/>
      <c r="GC280" s="1009"/>
      <c r="GD280" s="1009"/>
      <c r="GE280" s="1009"/>
      <c r="GF280" s="1009"/>
      <c r="GG280" s="1009"/>
      <c r="GH280" s="1009"/>
      <c r="GI280" s="1009"/>
      <c r="GJ280" s="1009"/>
      <c r="GK280" s="1009"/>
      <c r="GL280" s="1009"/>
      <c r="GM280" s="1009"/>
      <c r="GN280" s="1009"/>
      <c r="GO280" s="1009"/>
      <c r="GP280" s="1009"/>
      <c r="GQ280" s="1009"/>
      <c r="GR280" s="1009"/>
      <c r="GS280" s="1009"/>
      <c r="GT280" s="1009"/>
      <c r="GU280" s="1009"/>
      <c r="GV280" s="1009"/>
      <c r="GW280" s="1009"/>
      <c r="GX280" s="1009"/>
      <c r="GY280" s="1009"/>
      <c r="GZ280" s="1009"/>
      <c r="HA280" s="1009"/>
      <c r="HB280" s="1009"/>
      <c r="HC280" s="1009"/>
      <c r="HD280" s="1009"/>
      <c r="HE280" s="1009"/>
      <c r="HF280" s="1009"/>
      <c r="HG280" s="1009"/>
      <c r="HH280" s="1009"/>
      <c r="HI280" s="1009"/>
      <c r="HJ280" s="1009"/>
      <c r="HK280" s="1009"/>
      <c r="HL280" s="1009"/>
      <c r="HM280" s="1009"/>
      <c r="HN280" s="1009"/>
      <c r="HO280" s="1009"/>
      <c r="HP280" s="1009"/>
      <c r="HQ280" s="1009"/>
      <c r="HR280" s="1009"/>
      <c r="HS280" s="1009"/>
      <c r="HT280" s="1009"/>
      <c r="HU280" s="1009"/>
      <c r="HV280" s="1009"/>
      <c r="HW280" s="1009"/>
      <c r="HX280" s="1009"/>
      <c r="HY280" s="1009"/>
      <c r="HZ280" s="1009"/>
      <c r="IA280" s="1009"/>
      <c r="IB280" s="1009"/>
      <c r="IC280" s="1009"/>
      <c r="ID280" s="1009"/>
      <c r="IE280" s="1009"/>
      <c r="IF280" s="1009"/>
      <c r="IG280" s="1009"/>
      <c r="IH280" s="1009"/>
      <c r="II280" s="1009"/>
      <c r="IJ280" s="1009"/>
      <c r="IK280" s="1009"/>
      <c r="IL280" s="1009"/>
      <c r="IM280" s="1009"/>
      <c r="IN280" s="1009"/>
      <c r="IO280" s="1009"/>
      <c r="IP280" s="1009"/>
      <c r="IQ280" s="1009"/>
      <c r="IR280" s="1009"/>
      <c r="IS280" s="1009"/>
      <c r="IT280" s="1009"/>
      <c r="IU280" s="1009"/>
      <c r="IV280" s="1009"/>
      <c r="IW280" s="1009"/>
      <c r="IX280" s="1009"/>
      <c r="IY280" s="1009"/>
      <c r="IZ280" s="1009"/>
      <c r="JA280" s="1009"/>
      <c r="JB280" s="1009"/>
      <c r="JC280" s="1009"/>
      <c r="JD280" s="1009"/>
      <c r="JE280" s="1009"/>
      <c r="JF280" s="1009"/>
      <c r="JG280" s="1009"/>
      <c r="JH280" s="1009"/>
      <c r="JI280" s="1009"/>
      <c r="JJ280" s="1009"/>
      <c r="JK280" s="1009"/>
      <c r="JL280" s="1009"/>
      <c r="JM280" s="1009"/>
      <c r="JN280" s="1009"/>
      <c r="JO280" s="1009"/>
      <c r="JP280" s="1009"/>
      <c r="JQ280" s="1009"/>
      <c r="JR280" s="1009"/>
      <c r="JS280" s="1009"/>
      <c r="JT280" s="1009"/>
      <c r="JU280" s="1009"/>
      <c r="JV280" s="1009"/>
      <c r="JW280" s="1009"/>
      <c r="JX280" s="1009"/>
      <c r="JY280" s="1009"/>
      <c r="JZ280" s="1009"/>
      <c r="KA280" s="1009"/>
      <c r="KB280" s="1009"/>
      <c r="KC280" s="1009"/>
      <c r="KD280" s="1009"/>
      <c r="KE280" s="1009"/>
      <c r="KF280" s="1009"/>
      <c r="KG280" s="1009"/>
      <c r="KH280" s="1009"/>
      <c r="KI280" s="1009"/>
      <c r="KJ280" s="1009"/>
      <c r="KK280" s="1009"/>
      <c r="KL280" s="1009"/>
      <c r="KM280" s="1009"/>
      <c r="KN280" s="1009"/>
      <c r="KO280" s="1009"/>
      <c r="KP280" s="1009"/>
      <c r="KQ280" s="1009"/>
      <c r="KR280" s="1009"/>
      <c r="KS280" s="1009"/>
      <c r="KT280" s="1009"/>
      <c r="KU280" s="1009"/>
      <c r="KV280" s="1009"/>
      <c r="KW280" s="1009"/>
      <c r="KX280" s="1009"/>
      <c r="KY280" s="1009"/>
      <c r="KZ280" s="1009"/>
      <c r="LA280" s="1009"/>
      <c r="LB280" s="1009"/>
      <c r="LC280" s="1009"/>
      <c r="LD280" s="1009"/>
      <c r="LE280" s="1009"/>
      <c r="LF280" s="1009"/>
      <c r="LG280" s="1009"/>
      <c r="LH280" s="1009"/>
      <c r="LI280" s="1009"/>
      <c r="LJ280" s="1009"/>
      <c r="LK280" s="1009"/>
      <c r="LL280" s="1009"/>
      <c r="LM280" s="1009"/>
      <c r="LN280" s="1009"/>
      <c r="LO280" s="1009"/>
      <c r="LP280" s="1009"/>
      <c r="LQ280" s="1009"/>
      <c r="LR280" s="1009"/>
      <c r="LS280" s="1009"/>
      <c r="LT280" s="1009"/>
      <c r="LU280" s="1009"/>
      <c r="LV280" s="1009"/>
      <c r="LW280" s="1009"/>
      <c r="LX280" s="1009"/>
      <c r="LY280" s="1009"/>
      <c r="LZ280" s="1009"/>
      <c r="MA280" s="1009"/>
      <c r="MB280" s="1009"/>
      <c r="MC280" s="1009"/>
      <c r="MD280" s="1009"/>
      <c r="ME280" s="1009"/>
      <c r="MF280" s="1009"/>
      <c r="MG280" s="1009"/>
      <c r="MH280" s="1009"/>
      <c r="MI280" s="1009"/>
      <c r="MJ280" s="1009"/>
      <c r="MK280" s="1009"/>
      <c r="ML280" s="1009"/>
      <c r="MM280" s="1009"/>
      <c r="MN280" s="1009"/>
      <c r="MO280" s="1009"/>
      <c r="MP280" s="1009"/>
      <c r="MQ280" s="1009"/>
      <c r="MR280" s="1009"/>
      <c r="MS280" s="1009"/>
      <c r="MT280" s="1009"/>
      <c r="MU280" s="1009"/>
      <c r="MV280" s="1009"/>
      <c r="MW280" s="1009"/>
      <c r="MX280" s="1009"/>
      <c r="MY280" s="1009"/>
      <c r="MZ280" s="1009"/>
      <c r="NA280" s="1009"/>
      <c r="NB280" s="1009"/>
      <c r="NC280" s="1009"/>
      <c r="ND280" s="1009"/>
      <c r="NE280" s="1009"/>
      <c r="NF280" s="1009"/>
      <c r="NG280" s="1009"/>
      <c r="NH280" s="1009"/>
      <c r="NI280" s="1009"/>
      <c r="NJ280" s="1009"/>
      <c r="NK280" s="1009"/>
      <c r="NL280" s="1009"/>
      <c r="NM280" s="1009"/>
      <c r="NN280" s="1009"/>
      <c r="NO280" s="1009"/>
      <c r="NP280" s="1009"/>
      <c r="NQ280" s="1009"/>
      <c r="NR280" s="1009"/>
      <c r="NS280" s="1009"/>
      <c r="NT280" s="1009"/>
      <c r="NU280" s="1009"/>
      <c r="NV280" s="1009"/>
      <c r="NW280" s="1009"/>
      <c r="NX280" s="1009"/>
      <c r="NY280" s="1009"/>
      <c r="NZ280" s="1009"/>
      <c r="OA280" s="1009"/>
      <c r="OB280" s="1009"/>
      <c r="OC280" s="1009"/>
      <c r="OD280" s="1009"/>
      <c r="OE280" s="1009"/>
      <c r="OF280" s="1009"/>
      <c r="OG280" s="1009"/>
      <c r="OH280" s="1009"/>
      <c r="OI280" s="1009"/>
      <c r="OJ280" s="1009"/>
      <c r="OK280" s="1009"/>
      <c r="OL280" s="1009"/>
      <c r="OM280" s="1009"/>
      <c r="ON280" s="1009"/>
      <c r="OO280" s="1009"/>
      <c r="OP280" s="1009"/>
      <c r="OQ280" s="1009"/>
      <c r="OR280" s="1009"/>
      <c r="OS280" s="1009"/>
      <c r="OT280" s="1009"/>
      <c r="OU280" s="1009"/>
      <c r="OV280" s="1009"/>
      <c r="OW280" s="1009"/>
      <c r="OX280" s="1009"/>
      <c r="OY280" s="1009"/>
      <c r="OZ280" s="1009"/>
      <c r="PA280" s="1009"/>
      <c r="PB280" s="1009"/>
      <c r="PC280" s="1009"/>
      <c r="PD280" s="1009"/>
      <c r="PE280" s="1009"/>
      <c r="PF280" s="1009"/>
      <c r="PG280" s="1009"/>
      <c r="PH280" s="1009"/>
      <c r="PI280" s="1009"/>
      <c r="PJ280" s="1009"/>
      <c r="PK280" s="1009"/>
      <c r="PL280" s="1009"/>
      <c r="PM280" s="1009"/>
      <c r="PN280" s="1009"/>
      <c r="PO280" s="1009"/>
      <c r="PP280" s="1009"/>
      <c r="PQ280" s="1009"/>
      <c r="PR280" s="1009"/>
      <c r="PS280" s="1009"/>
      <c r="PT280" s="1009"/>
      <c r="PU280" s="1009"/>
      <c r="PV280" s="1009"/>
      <c r="PW280" s="1009"/>
      <c r="PX280" s="1009"/>
      <c r="PY280" s="1009"/>
      <c r="PZ280" s="1009"/>
      <c r="QA280" s="1009"/>
      <c r="QB280" s="1009"/>
      <c r="QC280" s="1009"/>
      <c r="QD280" s="1009"/>
      <c r="QE280" s="1009"/>
      <c r="QF280" s="1009"/>
      <c r="QG280" s="1009"/>
      <c r="QH280" s="1009"/>
      <c r="QI280" s="1009"/>
      <c r="QJ280" s="1009"/>
      <c r="QK280" s="1009"/>
      <c r="QL280" s="1009"/>
      <c r="QM280" s="1009"/>
      <c r="QN280" s="1009"/>
      <c r="QO280" s="1009"/>
      <c r="QP280" s="1009"/>
      <c r="QQ280" s="1009"/>
      <c r="QR280" s="1009"/>
      <c r="QS280" s="1009"/>
      <c r="QT280" s="1009"/>
      <c r="QU280" s="1009"/>
      <c r="QV280" s="1009"/>
      <c r="QW280" s="1009"/>
      <c r="QX280" s="1009"/>
      <c r="QY280" s="1009"/>
      <c r="QZ280" s="1009"/>
      <c r="RA280" s="1009"/>
      <c r="RB280" s="1009"/>
      <c r="RC280" s="1009"/>
      <c r="RD280" s="1009"/>
      <c r="RE280" s="1009"/>
      <c r="RF280" s="1009"/>
      <c r="RG280" s="1009"/>
      <c r="RH280" s="1009"/>
      <c r="RI280" s="1009"/>
      <c r="RJ280" s="1009"/>
      <c r="RK280" s="1009"/>
      <c r="RL280" s="1009"/>
      <c r="RM280" s="1009"/>
      <c r="RN280" s="1009"/>
      <c r="RO280" s="1009"/>
      <c r="RP280" s="1009"/>
      <c r="RQ280" s="1009"/>
      <c r="RR280" s="1009"/>
      <c r="RS280" s="1009"/>
      <c r="RT280" s="1009"/>
      <c r="RU280" s="1009"/>
      <c r="RV280" s="1009"/>
      <c r="RW280" s="1009"/>
      <c r="RX280" s="1009"/>
      <c r="RY280" s="1009"/>
      <c r="RZ280" s="1009"/>
      <c r="SA280" s="1009"/>
      <c r="SB280" s="1009"/>
      <c r="SC280" s="1009"/>
      <c r="SD280" s="1009"/>
      <c r="SE280" s="1009"/>
      <c r="SF280" s="1009"/>
      <c r="SG280" s="1009"/>
      <c r="SH280" s="1009"/>
      <c r="SI280" s="1009"/>
      <c r="SJ280" s="1009"/>
      <c r="SK280" s="1009"/>
      <c r="SL280" s="1009"/>
      <c r="SM280" s="1009"/>
      <c r="SN280" s="1009"/>
      <c r="SO280" s="1009"/>
      <c r="SP280" s="1009"/>
      <c r="SQ280" s="1009"/>
      <c r="SR280" s="1009"/>
      <c r="SS280" s="1009"/>
      <c r="ST280" s="1009"/>
      <c r="SU280" s="1009"/>
      <c r="SV280" s="1009"/>
      <c r="SW280" s="1009"/>
      <c r="SX280" s="1009"/>
      <c r="SY280" s="1009"/>
      <c r="SZ280" s="1009"/>
      <c r="TA280" s="1009"/>
      <c r="TB280" s="1009"/>
      <c r="TC280" s="1009"/>
      <c r="TD280" s="1009"/>
      <c r="TE280" s="1009"/>
      <c r="TF280" s="1009"/>
      <c r="TG280" s="1009"/>
      <c r="TH280" s="1009"/>
      <c r="TI280" s="1009"/>
      <c r="TJ280" s="1009"/>
      <c r="TK280" s="1009"/>
      <c r="TL280" s="1009"/>
      <c r="TM280" s="1009"/>
      <c r="TN280" s="1009"/>
      <c r="TO280" s="1009"/>
      <c r="TP280" s="1009"/>
      <c r="TQ280" s="1009"/>
      <c r="TR280" s="1009"/>
      <c r="TS280" s="1009"/>
      <c r="TT280" s="1009"/>
      <c r="TU280" s="1009"/>
      <c r="TV280" s="1009"/>
      <c r="TW280" s="1009"/>
      <c r="TX280" s="1009"/>
      <c r="TY280" s="1009"/>
      <c r="TZ280" s="1009"/>
      <c r="UA280" s="1009"/>
      <c r="UB280" s="1009"/>
      <c r="UC280" s="1009"/>
      <c r="UD280" s="1009"/>
      <c r="UE280" s="1009"/>
      <c r="UF280" s="1009"/>
      <c r="UG280" s="1009"/>
      <c r="UH280" s="1009"/>
      <c r="UI280" s="1009"/>
      <c r="UJ280" s="1009"/>
      <c r="UK280" s="1009"/>
      <c r="UL280" s="1009"/>
      <c r="UM280" s="1009"/>
      <c r="UN280" s="1009"/>
      <c r="UO280" s="1009"/>
      <c r="UP280" s="1009"/>
      <c r="UQ280" s="1009"/>
      <c r="UR280" s="1009"/>
      <c r="US280" s="1009"/>
      <c r="UT280" s="1009"/>
      <c r="UU280" s="1009"/>
      <c r="UV280" s="1009"/>
      <c r="UW280" s="1009"/>
      <c r="UX280" s="1009"/>
      <c r="UY280" s="1009"/>
      <c r="UZ280" s="1009"/>
      <c r="VA280" s="1009"/>
      <c r="VB280" s="1009"/>
      <c r="VC280" s="1009"/>
      <c r="VD280" s="1009"/>
      <c r="VE280" s="1009"/>
      <c r="VF280" s="1009"/>
      <c r="VG280" s="1009"/>
      <c r="VH280" s="1009"/>
      <c r="VI280" s="1009"/>
      <c r="VJ280" s="1009"/>
      <c r="VK280" s="1009"/>
      <c r="VL280" s="1009"/>
      <c r="VM280" s="1009"/>
      <c r="VN280" s="1009"/>
      <c r="VO280" s="1009"/>
      <c r="VP280" s="1009"/>
      <c r="VQ280" s="1009"/>
      <c r="VR280" s="1009"/>
      <c r="VS280" s="1009"/>
      <c r="VT280" s="1009"/>
      <c r="VU280" s="1009"/>
      <c r="VV280" s="1009"/>
      <c r="VW280" s="1009"/>
      <c r="VX280" s="1009"/>
      <c r="VY280" s="1009"/>
      <c r="VZ280" s="1009"/>
      <c r="WA280" s="1009"/>
      <c r="WB280" s="1009"/>
      <c r="WC280" s="1009"/>
      <c r="WD280" s="1009"/>
      <c r="WE280" s="1009"/>
      <c r="WF280" s="1009"/>
      <c r="WG280" s="1009"/>
      <c r="WH280" s="1009"/>
      <c r="WI280" s="1009"/>
      <c r="WJ280" s="1009"/>
      <c r="WK280" s="1009"/>
      <c r="WL280" s="1009"/>
      <c r="WM280" s="1009"/>
      <c r="WN280" s="1009"/>
      <c r="WO280" s="1009"/>
      <c r="WP280" s="1009"/>
      <c r="WQ280" s="1009"/>
      <c r="WR280" s="1009"/>
      <c r="WS280" s="1009"/>
      <c r="WT280" s="1009"/>
      <c r="WU280" s="1009"/>
      <c r="WV280" s="1009"/>
      <c r="WW280" s="1009"/>
      <c r="WX280" s="1009"/>
      <c r="WY280" s="1009"/>
      <c r="WZ280" s="1009"/>
      <c r="XA280" s="1009"/>
      <c r="XB280" s="1009"/>
      <c r="XC280" s="1009"/>
      <c r="XD280" s="1009"/>
      <c r="XE280" s="1009"/>
      <c r="XF280" s="1009"/>
      <c r="XG280" s="1009"/>
      <c r="XH280" s="1009"/>
      <c r="XI280" s="1009"/>
      <c r="XJ280" s="1009"/>
      <c r="XK280" s="1009"/>
      <c r="XL280" s="1009"/>
      <c r="XM280" s="1009"/>
      <c r="XN280" s="1009"/>
      <c r="XO280" s="1009"/>
      <c r="XP280" s="1009"/>
      <c r="XQ280" s="1009"/>
      <c r="XR280" s="1009"/>
      <c r="XS280" s="1009"/>
      <c r="XT280" s="1009"/>
      <c r="XU280" s="1009"/>
      <c r="XV280" s="1009"/>
      <c r="XW280" s="1009"/>
      <c r="XX280" s="1009"/>
      <c r="XY280" s="1009"/>
      <c r="XZ280" s="1009"/>
      <c r="YA280" s="1009"/>
      <c r="YB280" s="1009"/>
      <c r="YC280" s="1009"/>
      <c r="YD280" s="1009"/>
      <c r="YE280" s="1009"/>
      <c r="YF280" s="1009"/>
      <c r="YG280" s="1009"/>
      <c r="YH280" s="1009"/>
      <c r="YI280" s="1009"/>
      <c r="YJ280" s="1009"/>
      <c r="YK280" s="1009"/>
      <c r="YL280" s="1009"/>
      <c r="YM280" s="1009"/>
      <c r="YN280" s="1009"/>
      <c r="YO280" s="1009"/>
      <c r="YP280" s="1009"/>
      <c r="YQ280" s="1009"/>
      <c r="YR280" s="1009"/>
      <c r="YS280" s="1009"/>
      <c r="YT280" s="1009"/>
      <c r="YU280" s="1009"/>
      <c r="YV280" s="1009"/>
      <c r="YW280" s="1009"/>
      <c r="YX280" s="1009"/>
      <c r="YY280" s="1009"/>
      <c r="YZ280" s="1009"/>
      <c r="ZA280" s="1009"/>
      <c r="ZB280" s="1009"/>
      <c r="ZC280" s="1009"/>
      <c r="ZD280" s="1009"/>
      <c r="ZE280" s="1009"/>
      <c r="ZF280" s="1009"/>
      <c r="ZG280" s="1009"/>
      <c r="ZH280" s="1009"/>
      <c r="ZI280" s="1009"/>
      <c r="ZJ280" s="1009"/>
      <c r="ZK280" s="1009"/>
      <c r="ZL280" s="1009"/>
      <c r="ZM280" s="1009"/>
      <c r="ZN280" s="1009"/>
      <c r="ZO280" s="1009"/>
      <c r="ZP280" s="1009"/>
      <c r="ZQ280" s="1009"/>
      <c r="ZR280" s="1009"/>
      <c r="ZS280" s="1009"/>
      <c r="ZT280" s="1009"/>
      <c r="ZU280" s="1009"/>
      <c r="ZV280" s="1009"/>
      <c r="ZW280" s="1009"/>
      <c r="ZX280" s="1009"/>
      <c r="ZY280" s="1009"/>
      <c r="ZZ280" s="1009"/>
      <c r="AAA280" s="1009"/>
      <c r="AAB280" s="1009"/>
      <c r="AAC280" s="1009"/>
      <c r="AAD280" s="1009"/>
      <c r="AAE280" s="1009"/>
      <c r="AAF280" s="1009"/>
      <c r="AAG280" s="1009"/>
      <c r="AAH280" s="1009"/>
      <c r="AAI280" s="1009"/>
      <c r="AAJ280" s="1009"/>
      <c r="AAK280" s="1009"/>
      <c r="AAL280" s="1009"/>
      <c r="AAM280" s="1009"/>
      <c r="AAN280" s="1009"/>
      <c r="AAO280" s="1009"/>
      <c r="AAP280" s="1009"/>
      <c r="AAQ280" s="1009"/>
      <c r="AAR280" s="1009"/>
      <c r="AAS280" s="1009"/>
      <c r="AAT280" s="1009"/>
      <c r="AAU280" s="1009"/>
      <c r="AAV280" s="1009"/>
      <c r="AAW280" s="1009"/>
      <c r="AAX280" s="1009"/>
      <c r="AAY280" s="1009"/>
      <c r="AAZ280" s="1009"/>
      <c r="ABA280" s="1009"/>
      <c r="ABB280" s="1009"/>
      <c r="ABC280" s="1009"/>
      <c r="ABD280" s="1009"/>
      <c r="ABE280" s="1009"/>
      <c r="ABF280" s="1009"/>
      <c r="ABG280" s="1009"/>
      <c r="ABH280" s="1009"/>
      <c r="ABI280" s="1009"/>
      <c r="ABJ280" s="1009"/>
      <c r="ABK280" s="1009"/>
      <c r="ABL280" s="1009"/>
      <c r="ABM280" s="1009"/>
      <c r="ABN280" s="1009"/>
      <c r="ABO280" s="1009"/>
      <c r="ABP280" s="1009"/>
      <c r="ABQ280" s="1009"/>
      <c r="ABR280" s="1009"/>
    </row>
    <row r="281" spans="1:746" s="111" customFormat="1" ht="12" customHeight="1">
      <c r="A281" s="1252"/>
      <c r="B281" s="1208"/>
      <c r="C281" s="2369"/>
      <c r="D281" s="2369"/>
      <c r="E281" s="2369"/>
      <c r="F281" s="2369"/>
      <c r="G281" s="2369"/>
      <c r="H281" s="2558"/>
      <c r="I281" s="1966"/>
      <c r="J281" s="1966"/>
      <c r="K281" s="1966"/>
      <c r="L281" s="1966"/>
      <c r="M281" s="1966"/>
      <c r="N281" s="1966"/>
      <c r="O281" s="1966"/>
      <c r="P281" s="1966"/>
      <c r="Q281" s="1966"/>
      <c r="R281" s="1966"/>
      <c r="S281" s="1966"/>
      <c r="T281" s="1966"/>
      <c r="U281" s="1966"/>
      <c r="V281" s="1966"/>
      <c r="W281" s="1966"/>
      <c r="X281" s="1966"/>
      <c r="Y281" s="1966"/>
      <c r="Z281" s="1966"/>
      <c r="AA281" s="1966"/>
      <c r="AB281" s="1966"/>
      <c r="AC281" s="1966"/>
      <c r="AD281" s="1966"/>
      <c r="AE281" s="1966"/>
      <c r="AF281" s="1966"/>
      <c r="AG281" s="337"/>
      <c r="AH281" s="1009"/>
      <c r="AI281" s="1009"/>
      <c r="AJ281" s="1956">
        <f>IF(fx!$C$57=1,SUMIF(fx!I$57:T$57,1,I281:T281),IF(fx!$C$57=2,SUMIF(fx!O$57:AF$57,1,O281:AF281)))</f>
        <v>0</v>
      </c>
      <c r="AK281" s="1207"/>
      <c r="AL281" s="1957">
        <f>IF(fx!$C$57=1,SUM(U281:AF281),0)</f>
        <v>0</v>
      </c>
      <c r="AM281" s="1036"/>
      <c r="AN281" s="1036"/>
      <c r="AO281" s="1034"/>
      <c r="AP281" s="1084"/>
      <c r="AQ281" s="1084"/>
      <c r="AR281" s="1009"/>
      <c r="AS281" s="1009"/>
      <c r="AT281" s="1009"/>
      <c r="AU281" s="1009"/>
      <c r="AV281" s="1009"/>
      <c r="AW281" s="1009"/>
      <c r="AX281" s="1009"/>
      <c r="AY281" s="1009"/>
      <c r="AZ281" s="1009"/>
      <c r="BA281" s="1009"/>
      <c r="BB281" s="1009"/>
      <c r="BC281" s="1009"/>
      <c r="BD281" s="1009"/>
      <c r="BE281" s="1009"/>
      <c r="BF281" s="1009"/>
      <c r="BG281" s="1009"/>
      <c r="BH281" s="1009"/>
      <c r="BI281" s="1009"/>
      <c r="BJ281" s="1009"/>
      <c r="BK281" s="1009"/>
      <c r="BL281" s="1009"/>
      <c r="BM281" s="1009"/>
      <c r="BN281" s="1009"/>
      <c r="BO281" s="1009"/>
      <c r="BP281" s="1009"/>
      <c r="BQ281" s="1009"/>
      <c r="BR281" s="1009"/>
      <c r="BS281" s="1009"/>
      <c r="BT281" s="1009"/>
      <c r="BU281" s="1009"/>
      <c r="BV281" s="1009"/>
      <c r="BW281" s="1009"/>
      <c r="BX281" s="1009"/>
      <c r="BY281" s="1009"/>
      <c r="BZ281" s="1009"/>
      <c r="CA281" s="1009"/>
      <c r="CB281" s="1009"/>
      <c r="CC281" s="1009"/>
      <c r="CD281" s="1009"/>
      <c r="CE281" s="1009"/>
      <c r="CF281" s="1009"/>
      <c r="CG281" s="1009"/>
      <c r="CH281" s="1009"/>
      <c r="CI281" s="1009"/>
      <c r="CJ281" s="1009"/>
      <c r="CK281" s="1009"/>
      <c r="CL281" s="1009"/>
      <c r="CM281" s="1009"/>
      <c r="CN281" s="1009"/>
      <c r="CO281" s="1009"/>
      <c r="CP281" s="1009"/>
      <c r="CQ281" s="1009"/>
      <c r="CR281" s="1009"/>
      <c r="CS281" s="1009"/>
      <c r="CT281" s="1009"/>
      <c r="CU281" s="1009"/>
      <c r="CV281" s="1009"/>
      <c r="CW281" s="1009"/>
      <c r="CX281" s="1009"/>
      <c r="CY281" s="1009"/>
      <c r="CZ281" s="1009"/>
      <c r="DA281" s="1009"/>
      <c r="DB281" s="1009"/>
      <c r="DC281" s="1009"/>
      <c r="DD281" s="1009"/>
      <c r="DE281" s="1009"/>
      <c r="DF281" s="1009"/>
      <c r="DG281" s="1009"/>
      <c r="DH281" s="1009"/>
      <c r="DI281" s="1009"/>
      <c r="DJ281" s="1009"/>
      <c r="DK281" s="1009"/>
      <c r="DL281" s="1009"/>
      <c r="DM281" s="1009"/>
      <c r="DN281" s="1009"/>
      <c r="DO281" s="1009"/>
      <c r="DP281" s="1009"/>
      <c r="DQ281" s="1009"/>
      <c r="DR281" s="1009"/>
      <c r="DS281" s="1009"/>
      <c r="DT281" s="1009"/>
      <c r="DU281" s="1009"/>
      <c r="DV281" s="1009"/>
      <c r="DW281" s="1009"/>
      <c r="DX281" s="1009"/>
      <c r="DY281" s="1009"/>
      <c r="DZ281" s="1009"/>
      <c r="EA281" s="1009"/>
      <c r="EB281" s="1009"/>
      <c r="EC281" s="1009"/>
      <c r="ED281" s="1009"/>
      <c r="EE281" s="1009"/>
      <c r="EF281" s="1009"/>
      <c r="EG281" s="1009"/>
      <c r="EH281" s="1009"/>
      <c r="EI281" s="1009"/>
      <c r="EJ281" s="1009"/>
      <c r="EK281" s="1009"/>
      <c r="EL281" s="1009"/>
      <c r="EM281" s="1009"/>
      <c r="EN281" s="1009"/>
      <c r="EO281" s="1009"/>
      <c r="EP281" s="1009"/>
      <c r="EQ281" s="1009"/>
      <c r="ER281" s="1009"/>
      <c r="ES281" s="1009"/>
      <c r="ET281" s="1009"/>
      <c r="EU281" s="1009"/>
      <c r="EV281" s="1009"/>
      <c r="EW281" s="1009"/>
      <c r="EX281" s="1009"/>
      <c r="EY281" s="1009"/>
      <c r="EZ281" s="1009"/>
      <c r="FA281" s="1009"/>
      <c r="FB281" s="1009"/>
      <c r="FC281" s="1009"/>
      <c r="FD281" s="1009"/>
      <c r="FE281" s="1009"/>
      <c r="FF281" s="1009"/>
      <c r="FG281" s="1009"/>
      <c r="FH281" s="1009"/>
      <c r="FI281" s="1009"/>
      <c r="FJ281" s="1009"/>
      <c r="FK281" s="1009"/>
      <c r="FL281" s="1009"/>
      <c r="FM281" s="1009"/>
      <c r="FN281" s="1009"/>
      <c r="FO281" s="1009"/>
      <c r="FP281" s="1009"/>
      <c r="FQ281" s="1009"/>
      <c r="FR281" s="1009"/>
      <c r="FS281" s="1009"/>
      <c r="FT281" s="1009"/>
      <c r="FU281" s="1009"/>
      <c r="FV281" s="1009"/>
      <c r="FW281" s="1009"/>
      <c r="FX281" s="1009"/>
      <c r="FY281" s="1009"/>
      <c r="FZ281" s="1009"/>
      <c r="GA281" s="1009"/>
      <c r="GB281" s="1009"/>
      <c r="GC281" s="1009"/>
      <c r="GD281" s="1009"/>
      <c r="GE281" s="1009"/>
      <c r="GF281" s="1009"/>
      <c r="GG281" s="1009"/>
      <c r="GH281" s="1009"/>
      <c r="GI281" s="1009"/>
      <c r="GJ281" s="1009"/>
      <c r="GK281" s="1009"/>
      <c r="GL281" s="1009"/>
      <c r="GM281" s="1009"/>
      <c r="GN281" s="1009"/>
      <c r="GO281" s="1009"/>
      <c r="GP281" s="1009"/>
      <c r="GQ281" s="1009"/>
      <c r="GR281" s="1009"/>
      <c r="GS281" s="1009"/>
      <c r="GT281" s="1009"/>
      <c r="GU281" s="1009"/>
      <c r="GV281" s="1009"/>
      <c r="GW281" s="1009"/>
      <c r="GX281" s="1009"/>
      <c r="GY281" s="1009"/>
      <c r="GZ281" s="1009"/>
      <c r="HA281" s="1009"/>
      <c r="HB281" s="1009"/>
      <c r="HC281" s="1009"/>
      <c r="HD281" s="1009"/>
      <c r="HE281" s="1009"/>
      <c r="HF281" s="1009"/>
      <c r="HG281" s="1009"/>
      <c r="HH281" s="1009"/>
      <c r="HI281" s="1009"/>
      <c r="HJ281" s="1009"/>
      <c r="HK281" s="1009"/>
      <c r="HL281" s="1009"/>
      <c r="HM281" s="1009"/>
      <c r="HN281" s="1009"/>
      <c r="HO281" s="1009"/>
      <c r="HP281" s="1009"/>
      <c r="HQ281" s="1009"/>
      <c r="HR281" s="1009"/>
      <c r="HS281" s="1009"/>
      <c r="HT281" s="1009"/>
      <c r="HU281" s="1009"/>
      <c r="HV281" s="1009"/>
      <c r="HW281" s="1009"/>
      <c r="HX281" s="1009"/>
      <c r="HY281" s="1009"/>
      <c r="HZ281" s="1009"/>
      <c r="IA281" s="1009"/>
      <c r="IB281" s="1009"/>
      <c r="IC281" s="1009"/>
      <c r="ID281" s="1009"/>
      <c r="IE281" s="1009"/>
      <c r="IF281" s="1009"/>
      <c r="IG281" s="1009"/>
      <c r="IH281" s="1009"/>
      <c r="II281" s="1009"/>
      <c r="IJ281" s="1009"/>
      <c r="IK281" s="1009"/>
      <c r="IL281" s="1009"/>
      <c r="IM281" s="1009"/>
      <c r="IN281" s="1009"/>
      <c r="IO281" s="1009"/>
      <c r="IP281" s="1009"/>
      <c r="IQ281" s="1009"/>
      <c r="IR281" s="1009"/>
      <c r="IS281" s="1009"/>
      <c r="IT281" s="1009"/>
      <c r="IU281" s="1009"/>
      <c r="IV281" s="1009"/>
      <c r="IW281" s="1009"/>
      <c r="IX281" s="1009"/>
      <c r="IY281" s="1009"/>
      <c r="IZ281" s="1009"/>
      <c r="JA281" s="1009"/>
      <c r="JB281" s="1009"/>
      <c r="JC281" s="1009"/>
      <c r="JD281" s="1009"/>
      <c r="JE281" s="1009"/>
      <c r="JF281" s="1009"/>
      <c r="JG281" s="1009"/>
      <c r="JH281" s="1009"/>
      <c r="JI281" s="1009"/>
      <c r="JJ281" s="1009"/>
      <c r="JK281" s="1009"/>
      <c r="JL281" s="1009"/>
      <c r="JM281" s="1009"/>
      <c r="JN281" s="1009"/>
      <c r="JO281" s="1009"/>
      <c r="JP281" s="1009"/>
      <c r="JQ281" s="1009"/>
      <c r="JR281" s="1009"/>
      <c r="JS281" s="1009"/>
      <c r="JT281" s="1009"/>
      <c r="JU281" s="1009"/>
      <c r="JV281" s="1009"/>
      <c r="JW281" s="1009"/>
      <c r="JX281" s="1009"/>
      <c r="JY281" s="1009"/>
      <c r="JZ281" s="1009"/>
      <c r="KA281" s="1009"/>
      <c r="KB281" s="1009"/>
      <c r="KC281" s="1009"/>
      <c r="KD281" s="1009"/>
      <c r="KE281" s="1009"/>
      <c r="KF281" s="1009"/>
      <c r="KG281" s="1009"/>
      <c r="KH281" s="1009"/>
      <c r="KI281" s="1009"/>
      <c r="KJ281" s="1009"/>
      <c r="KK281" s="1009"/>
      <c r="KL281" s="1009"/>
      <c r="KM281" s="1009"/>
      <c r="KN281" s="1009"/>
      <c r="KO281" s="1009"/>
      <c r="KP281" s="1009"/>
      <c r="KQ281" s="1009"/>
      <c r="KR281" s="1009"/>
      <c r="KS281" s="1009"/>
      <c r="KT281" s="1009"/>
      <c r="KU281" s="1009"/>
      <c r="KV281" s="1009"/>
      <c r="KW281" s="1009"/>
      <c r="KX281" s="1009"/>
      <c r="KY281" s="1009"/>
      <c r="KZ281" s="1009"/>
      <c r="LA281" s="1009"/>
      <c r="LB281" s="1009"/>
      <c r="LC281" s="1009"/>
      <c r="LD281" s="1009"/>
      <c r="LE281" s="1009"/>
      <c r="LF281" s="1009"/>
      <c r="LG281" s="1009"/>
      <c r="LH281" s="1009"/>
      <c r="LI281" s="1009"/>
      <c r="LJ281" s="1009"/>
      <c r="LK281" s="1009"/>
      <c r="LL281" s="1009"/>
      <c r="LM281" s="1009"/>
      <c r="LN281" s="1009"/>
      <c r="LO281" s="1009"/>
      <c r="LP281" s="1009"/>
      <c r="LQ281" s="1009"/>
      <c r="LR281" s="1009"/>
      <c r="LS281" s="1009"/>
      <c r="LT281" s="1009"/>
      <c r="LU281" s="1009"/>
      <c r="LV281" s="1009"/>
      <c r="LW281" s="1009"/>
      <c r="LX281" s="1009"/>
      <c r="LY281" s="1009"/>
      <c r="LZ281" s="1009"/>
      <c r="MA281" s="1009"/>
      <c r="MB281" s="1009"/>
      <c r="MC281" s="1009"/>
      <c r="MD281" s="1009"/>
      <c r="ME281" s="1009"/>
      <c r="MF281" s="1009"/>
      <c r="MG281" s="1009"/>
      <c r="MH281" s="1009"/>
      <c r="MI281" s="1009"/>
      <c r="MJ281" s="1009"/>
      <c r="MK281" s="1009"/>
      <c r="ML281" s="1009"/>
      <c r="MM281" s="1009"/>
      <c r="MN281" s="1009"/>
      <c r="MO281" s="1009"/>
      <c r="MP281" s="1009"/>
      <c r="MQ281" s="1009"/>
      <c r="MR281" s="1009"/>
      <c r="MS281" s="1009"/>
      <c r="MT281" s="1009"/>
      <c r="MU281" s="1009"/>
      <c r="MV281" s="1009"/>
      <c r="MW281" s="1009"/>
      <c r="MX281" s="1009"/>
      <c r="MY281" s="1009"/>
      <c r="MZ281" s="1009"/>
      <c r="NA281" s="1009"/>
      <c r="NB281" s="1009"/>
      <c r="NC281" s="1009"/>
      <c r="ND281" s="1009"/>
      <c r="NE281" s="1009"/>
      <c r="NF281" s="1009"/>
      <c r="NG281" s="1009"/>
      <c r="NH281" s="1009"/>
      <c r="NI281" s="1009"/>
      <c r="NJ281" s="1009"/>
      <c r="NK281" s="1009"/>
      <c r="NL281" s="1009"/>
      <c r="NM281" s="1009"/>
      <c r="NN281" s="1009"/>
      <c r="NO281" s="1009"/>
      <c r="NP281" s="1009"/>
      <c r="NQ281" s="1009"/>
      <c r="NR281" s="1009"/>
      <c r="NS281" s="1009"/>
      <c r="NT281" s="1009"/>
      <c r="NU281" s="1009"/>
      <c r="NV281" s="1009"/>
      <c r="NW281" s="1009"/>
      <c r="NX281" s="1009"/>
      <c r="NY281" s="1009"/>
      <c r="NZ281" s="1009"/>
      <c r="OA281" s="1009"/>
      <c r="OB281" s="1009"/>
      <c r="OC281" s="1009"/>
      <c r="OD281" s="1009"/>
      <c r="OE281" s="1009"/>
      <c r="OF281" s="1009"/>
      <c r="OG281" s="1009"/>
      <c r="OH281" s="1009"/>
      <c r="OI281" s="1009"/>
      <c r="OJ281" s="1009"/>
      <c r="OK281" s="1009"/>
      <c r="OL281" s="1009"/>
      <c r="OM281" s="1009"/>
      <c r="ON281" s="1009"/>
      <c r="OO281" s="1009"/>
      <c r="OP281" s="1009"/>
      <c r="OQ281" s="1009"/>
      <c r="OR281" s="1009"/>
      <c r="OS281" s="1009"/>
      <c r="OT281" s="1009"/>
      <c r="OU281" s="1009"/>
      <c r="OV281" s="1009"/>
      <c r="OW281" s="1009"/>
      <c r="OX281" s="1009"/>
      <c r="OY281" s="1009"/>
      <c r="OZ281" s="1009"/>
      <c r="PA281" s="1009"/>
      <c r="PB281" s="1009"/>
      <c r="PC281" s="1009"/>
      <c r="PD281" s="1009"/>
      <c r="PE281" s="1009"/>
      <c r="PF281" s="1009"/>
      <c r="PG281" s="1009"/>
      <c r="PH281" s="1009"/>
      <c r="PI281" s="1009"/>
      <c r="PJ281" s="1009"/>
      <c r="PK281" s="1009"/>
      <c r="PL281" s="1009"/>
      <c r="PM281" s="1009"/>
      <c r="PN281" s="1009"/>
      <c r="PO281" s="1009"/>
      <c r="PP281" s="1009"/>
      <c r="PQ281" s="1009"/>
      <c r="PR281" s="1009"/>
      <c r="PS281" s="1009"/>
      <c r="PT281" s="1009"/>
      <c r="PU281" s="1009"/>
      <c r="PV281" s="1009"/>
      <c r="PW281" s="1009"/>
      <c r="PX281" s="1009"/>
      <c r="PY281" s="1009"/>
      <c r="PZ281" s="1009"/>
      <c r="QA281" s="1009"/>
      <c r="QB281" s="1009"/>
      <c r="QC281" s="1009"/>
      <c r="QD281" s="1009"/>
      <c r="QE281" s="1009"/>
      <c r="QF281" s="1009"/>
      <c r="QG281" s="1009"/>
      <c r="QH281" s="1009"/>
      <c r="QI281" s="1009"/>
      <c r="QJ281" s="1009"/>
      <c r="QK281" s="1009"/>
      <c r="QL281" s="1009"/>
      <c r="QM281" s="1009"/>
      <c r="QN281" s="1009"/>
      <c r="QO281" s="1009"/>
      <c r="QP281" s="1009"/>
      <c r="QQ281" s="1009"/>
      <c r="QR281" s="1009"/>
      <c r="QS281" s="1009"/>
      <c r="QT281" s="1009"/>
      <c r="QU281" s="1009"/>
      <c r="QV281" s="1009"/>
      <c r="QW281" s="1009"/>
      <c r="QX281" s="1009"/>
      <c r="QY281" s="1009"/>
      <c r="QZ281" s="1009"/>
      <c r="RA281" s="1009"/>
      <c r="RB281" s="1009"/>
      <c r="RC281" s="1009"/>
      <c r="RD281" s="1009"/>
      <c r="RE281" s="1009"/>
      <c r="RF281" s="1009"/>
      <c r="RG281" s="1009"/>
      <c r="RH281" s="1009"/>
      <c r="RI281" s="1009"/>
      <c r="RJ281" s="1009"/>
      <c r="RK281" s="1009"/>
      <c r="RL281" s="1009"/>
      <c r="RM281" s="1009"/>
      <c r="RN281" s="1009"/>
      <c r="RO281" s="1009"/>
      <c r="RP281" s="1009"/>
      <c r="RQ281" s="1009"/>
      <c r="RR281" s="1009"/>
      <c r="RS281" s="1009"/>
      <c r="RT281" s="1009"/>
      <c r="RU281" s="1009"/>
      <c r="RV281" s="1009"/>
      <c r="RW281" s="1009"/>
      <c r="RX281" s="1009"/>
      <c r="RY281" s="1009"/>
      <c r="RZ281" s="1009"/>
      <c r="SA281" s="1009"/>
      <c r="SB281" s="1009"/>
      <c r="SC281" s="1009"/>
      <c r="SD281" s="1009"/>
      <c r="SE281" s="1009"/>
      <c r="SF281" s="1009"/>
      <c r="SG281" s="1009"/>
      <c r="SH281" s="1009"/>
      <c r="SI281" s="1009"/>
      <c r="SJ281" s="1009"/>
      <c r="SK281" s="1009"/>
      <c r="SL281" s="1009"/>
      <c r="SM281" s="1009"/>
      <c r="SN281" s="1009"/>
      <c r="SO281" s="1009"/>
      <c r="SP281" s="1009"/>
      <c r="SQ281" s="1009"/>
      <c r="SR281" s="1009"/>
      <c r="SS281" s="1009"/>
      <c r="ST281" s="1009"/>
      <c r="SU281" s="1009"/>
      <c r="SV281" s="1009"/>
      <c r="SW281" s="1009"/>
      <c r="SX281" s="1009"/>
      <c r="SY281" s="1009"/>
      <c r="SZ281" s="1009"/>
      <c r="TA281" s="1009"/>
      <c r="TB281" s="1009"/>
      <c r="TC281" s="1009"/>
      <c r="TD281" s="1009"/>
      <c r="TE281" s="1009"/>
      <c r="TF281" s="1009"/>
      <c r="TG281" s="1009"/>
      <c r="TH281" s="1009"/>
      <c r="TI281" s="1009"/>
      <c r="TJ281" s="1009"/>
      <c r="TK281" s="1009"/>
      <c r="TL281" s="1009"/>
      <c r="TM281" s="1009"/>
      <c r="TN281" s="1009"/>
      <c r="TO281" s="1009"/>
      <c r="TP281" s="1009"/>
      <c r="TQ281" s="1009"/>
      <c r="TR281" s="1009"/>
      <c r="TS281" s="1009"/>
      <c r="TT281" s="1009"/>
      <c r="TU281" s="1009"/>
      <c r="TV281" s="1009"/>
      <c r="TW281" s="1009"/>
      <c r="TX281" s="1009"/>
      <c r="TY281" s="1009"/>
      <c r="TZ281" s="1009"/>
      <c r="UA281" s="1009"/>
      <c r="UB281" s="1009"/>
      <c r="UC281" s="1009"/>
      <c r="UD281" s="1009"/>
      <c r="UE281" s="1009"/>
      <c r="UF281" s="1009"/>
      <c r="UG281" s="1009"/>
      <c r="UH281" s="1009"/>
      <c r="UI281" s="1009"/>
      <c r="UJ281" s="1009"/>
      <c r="UK281" s="1009"/>
      <c r="UL281" s="1009"/>
      <c r="UM281" s="1009"/>
      <c r="UN281" s="1009"/>
      <c r="UO281" s="1009"/>
      <c r="UP281" s="1009"/>
      <c r="UQ281" s="1009"/>
      <c r="UR281" s="1009"/>
      <c r="US281" s="1009"/>
      <c r="UT281" s="1009"/>
      <c r="UU281" s="1009"/>
      <c r="UV281" s="1009"/>
      <c r="UW281" s="1009"/>
      <c r="UX281" s="1009"/>
      <c r="UY281" s="1009"/>
      <c r="UZ281" s="1009"/>
      <c r="VA281" s="1009"/>
      <c r="VB281" s="1009"/>
      <c r="VC281" s="1009"/>
      <c r="VD281" s="1009"/>
      <c r="VE281" s="1009"/>
      <c r="VF281" s="1009"/>
      <c r="VG281" s="1009"/>
      <c r="VH281" s="1009"/>
      <c r="VI281" s="1009"/>
      <c r="VJ281" s="1009"/>
      <c r="VK281" s="1009"/>
      <c r="VL281" s="1009"/>
      <c r="VM281" s="1009"/>
      <c r="VN281" s="1009"/>
      <c r="VO281" s="1009"/>
      <c r="VP281" s="1009"/>
      <c r="VQ281" s="1009"/>
      <c r="VR281" s="1009"/>
      <c r="VS281" s="1009"/>
      <c r="VT281" s="1009"/>
      <c r="VU281" s="1009"/>
      <c r="VV281" s="1009"/>
      <c r="VW281" s="1009"/>
      <c r="VX281" s="1009"/>
      <c r="VY281" s="1009"/>
      <c r="VZ281" s="1009"/>
      <c r="WA281" s="1009"/>
      <c r="WB281" s="1009"/>
      <c r="WC281" s="1009"/>
      <c r="WD281" s="1009"/>
      <c r="WE281" s="1009"/>
      <c r="WF281" s="1009"/>
      <c r="WG281" s="1009"/>
      <c r="WH281" s="1009"/>
      <c r="WI281" s="1009"/>
      <c r="WJ281" s="1009"/>
      <c r="WK281" s="1009"/>
      <c r="WL281" s="1009"/>
      <c r="WM281" s="1009"/>
      <c r="WN281" s="1009"/>
      <c r="WO281" s="1009"/>
      <c r="WP281" s="1009"/>
      <c r="WQ281" s="1009"/>
      <c r="WR281" s="1009"/>
      <c r="WS281" s="1009"/>
      <c r="WT281" s="1009"/>
      <c r="WU281" s="1009"/>
      <c r="WV281" s="1009"/>
      <c r="WW281" s="1009"/>
      <c r="WX281" s="1009"/>
      <c r="WY281" s="1009"/>
      <c r="WZ281" s="1009"/>
      <c r="XA281" s="1009"/>
      <c r="XB281" s="1009"/>
      <c r="XC281" s="1009"/>
      <c r="XD281" s="1009"/>
      <c r="XE281" s="1009"/>
      <c r="XF281" s="1009"/>
      <c r="XG281" s="1009"/>
      <c r="XH281" s="1009"/>
      <c r="XI281" s="1009"/>
      <c r="XJ281" s="1009"/>
      <c r="XK281" s="1009"/>
      <c r="XL281" s="1009"/>
      <c r="XM281" s="1009"/>
      <c r="XN281" s="1009"/>
      <c r="XO281" s="1009"/>
      <c r="XP281" s="1009"/>
      <c r="XQ281" s="1009"/>
      <c r="XR281" s="1009"/>
      <c r="XS281" s="1009"/>
      <c r="XT281" s="1009"/>
      <c r="XU281" s="1009"/>
      <c r="XV281" s="1009"/>
      <c r="XW281" s="1009"/>
      <c r="XX281" s="1009"/>
      <c r="XY281" s="1009"/>
      <c r="XZ281" s="1009"/>
      <c r="YA281" s="1009"/>
      <c r="YB281" s="1009"/>
      <c r="YC281" s="1009"/>
      <c r="YD281" s="1009"/>
      <c r="YE281" s="1009"/>
      <c r="YF281" s="1009"/>
      <c r="YG281" s="1009"/>
      <c r="YH281" s="1009"/>
      <c r="YI281" s="1009"/>
      <c r="YJ281" s="1009"/>
      <c r="YK281" s="1009"/>
      <c r="YL281" s="1009"/>
      <c r="YM281" s="1009"/>
      <c r="YN281" s="1009"/>
      <c r="YO281" s="1009"/>
      <c r="YP281" s="1009"/>
      <c r="YQ281" s="1009"/>
      <c r="YR281" s="1009"/>
      <c r="YS281" s="1009"/>
      <c r="YT281" s="1009"/>
      <c r="YU281" s="1009"/>
      <c r="YV281" s="1009"/>
      <c r="YW281" s="1009"/>
      <c r="YX281" s="1009"/>
      <c r="YY281" s="1009"/>
      <c r="YZ281" s="1009"/>
      <c r="ZA281" s="1009"/>
      <c r="ZB281" s="1009"/>
      <c r="ZC281" s="1009"/>
      <c r="ZD281" s="1009"/>
      <c r="ZE281" s="1009"/>
      <c r="ZF281" s="1009"/>
      <c r="ZG281" s="1009"/>
      <c r="ZH281" s="1009"/>
      <c r="ZI281" s="1009"/>
      <c r="ZJ281" s="1009"/>
      <c r="ZK281" s="1009"/>
      <c r="ZL281" s="1009"/>
      <c r="ZM281" s="1009"/>
      <c r="ZN281" s="1009"/>
      <c r="ZO281" s="1009"/>
      <c r="ZP281" s="1009"/>
      <c r="ZQ281" s="1009"/>
      <c r="ZR281" s="1009"/>
      <c r="ZS281" s="1009"/>
      <c r="ZT281" s="1009"/>
      <c r="ZU281" s="1009"/>
      <c r="ZV281" s="1009"/>
      <c r="ZW281" s="1009"/>
      <c r="ZX281" s="1009"/>
      <c r="ZY281" s="1009"/>
      <c r="ZZ281" s="1009"/>
      <c r="AAA281" s="1009"/>
      <c r="AAB281" s="1009"/>
      <c r="AAC281" s="1009"/>
      <c r="AAD281" s="1009"/>
      <c r="AAE281" s="1009"/>
      <c r="AAF281" s="1009"/>
      <c r="AAG281" s="1009"/>
      <c r="AAH281" s="1009"/>
      <c r="AAI281" s="1009"/>
      <c r="AAJ281" s="1009"/>
      <c r="AAK281" s="1009"/>
      <c r="AAL281" s="1009"/>
      <c r="AAM281" s="1009"/>
      <c r="AAN281" s="1009"/>
      <c r="AAO281" s="1009"/>
      <c r="AAP281" s="1009"/>
      <c r="AAQ281" s="1009"/>
      <c r="AAR281" s="1009"/>
      <c r="AAS281" s="1009"/>
      <c r="AAT281" s="1009"/>
      <c r="AAU281" s="1009"/>
      <c r="AAV281" s="1009"/>
      <c r="AAW281" s="1009"/>
      <c r="AAX281" s="1009"/>
      <c r="AAY281" s="1009"/>
      <c r="AAZ281" s="1009"/>
      <c r="ABA281" s="1009"/>
      <c r="ABB281" s="1009"/>
      <c r="ABC281" s="1009"/>
      <c r="ABD281" s="1009"/>
      <c r="ABE281" s="1009"/>
      <c r="ABF281" s="1009"/>
      <c r="ABG281" s="1009"/>
      <c r="ABH281" s="1009"/>
      <c r="ABI281" s="1009"/>
      <c r="ABJ281" s="1009"/>
      <c r="ABK281" s="1009"/>
      <c r="ABL281" s="1009"/>
      <c r="ABM281" s="1009"/>
      <c r="ABN281" s="1009"/>
      <c r="ABO281" s="1009"/>
      <c r="ABP281" s="1009"/>
      <c r="ABQ281" s="1009"/>
      <c r="ABR281" s="1009"/>
    </row>
    <row r="282" spans="1:746" s="111" customFormat="1" ht="12" hidden="1" customHeight="1">
      <c r="A282" s="1252"/>
      <c r="B282" s="1208"/>
      <c r="C282" s="2369"/>
      <c r="D282" s="2369"/>
      <c r="E282" s="2369"/>
      <c r="F282" s="2369"/>
      <c r="G282" s="2369"/>
      <c r="H282" s="2558"/>
      <c r="I282" s="1966"/>
      <c r="J282" s="1966"/>
      <c r="K282" s="1966"/>
      <c r="L282" s="1966"/>
      <c r="M282" s="1966"/>
      <c r="N282" s="1966"/>
      <c r="O282" s="1966"/>
      <c r="P282" s="1966"/>
      <c r="Q282" s="1966"/>
      <c r="R282" s="1966"/>
      <c r="S282" s="1966"/>
      <c r="T282" s="1966"/>
      <c r="U282" s="1966"/>
      <c r="V282" s="1966"/>
      <c r="W282" s="1966"/>
      <c r="X282" s="1966"/>
      <c r="Y282" s="1966"/>
      <c r="Z282" s="1966"/>
      <c r="AA282" s="1966"/>
      <c r="AB282" s="1966"/>
      <c r="AC282" s="1966"/>
      <c r="AD282" s="1966"/>
      <c r="AE282" s="1966"/>
      <c r="AF282" s="1966"/>
      <c r="AG282" s="337"/>
      <c r="AH282" s="1009"/>
      <c r="AI282" s="1009"/>
      <c r="AJ282" s="1956">
        <f>IF(fx!$C$57=1,SUMIF(fx!I$57:T$57,1,I282:T282),IF(fx!$C$57=2,SUMIF(fx!O$57:AF$57,1,O282:AF282)))</f>
        <v>0</v>
      </c>
      <c r="AK282" s="1207"/>
      <c r="AL282" s="1957">
        <f>IF(fx!$C$57=1,SUM(U282:AF282),0)</f>
        <v>0</v>
      </c>
      <c r="AM282" s="1036"/>
      <c r="AN282" s="1036"/>
      <c r="AO282" s="1034"/>
      <c r="AP282" s="1084"/>
      <c r="AQ282" s="1084"/>
      <c r="AR282" s="1009"/>
      <c r="AS282" s="1009"/>
      <c r="AT282" s="1009"/>
      <c r="AU282" s="1009"/>
      <c r="AV282" s="1009"/>
      <c r="AW282" s="1009"/>
      <c r="AX282" s="1009"/>
      <c r="AY282" s="1009"/>
      <c r="AZ282" s="1009"/>
      <c r="BA282" s="1009"/>
      <c r="BB282" s="1009"/>
      <c r="BC282" s="1009"/>
      <c r="BD282" s="1009"/>
      <c r="BE282" s="1009"/>
      <c r="BF282" s="1009"/>
      <c r="BG282" s="1009"/>
      <c r="BH282" s="1009"/>
      <c r="BI282" s="1009"/>
      <c r="BJ282" s="1009"/>
      <c r="BK282" s="1009"/>
      <c r="BL282" s="1009"/>
      <c r="BM282" s="1009"/>
      <c r="BN282" s="1009"/>
      <c r="BO282" s="1009"/>
      <c r="BP282" s="1009"/>
      <c r="BQ282" s="1009"/>
      <c r="BR282" s="1009"/>
      <c r="BS282" s="1009"/>
      <c r="BT282" s="1009"/>
      <c r="BU282" s="1009"/>
      <c r="BV282" s="1009"/>
      <c r="BW282" s="1009"/>
      <c r="BX282" s="1009"/>
      <c r="BY282" s="1009"/>
      <c r="BZ282" s="1009"/>
      <c r="CA282" s="1009"/>
      <c r="CB282" s="1009"/>
      <c r="CC282" s="1009"/>
      <c r="CD282" s="1009"/>
      <c r="CE282" s="1009"/>
      <c r="CF282" s="1009"/>
      <c r="CG282" s="1009"/>
      <c r="CH282" s="1009"/>
      <c r="CI282" s="1009"/>
      <c r="CJ282" s="1009"/>
      <c r="CK282" s="1009"/>
      <c r="CL282" s="1009"/>
      <c r="CM282" s="1009"/>
      <c r="CN282" s="1009"/>
      <c r="CO282" s="1009"/>
      <c r="CP282" s="1009"/>
      <c r="CQ282" s="1009"/>
      <c r="CR282" s="1009"/>
      <c r="CS282" s="1009"/>
      <c r="CT282" s="1009"/>
      <c r="CU282" s="1009"/>
      <c r="CV282" s="1009"/>
      <c r="CW282" s="1009"/>
      <c r="CX282" s="1009"/>
      <c r="CY282" s="1009"/>
      <c r="CZ282" s="1009"/>
      <c r="DA282" s="1009"/>
      <c r="DB282" s="1009"/>
      <c r="DC282" s="1009"/>
      <c r="DD282" s="1009"/>
      <c r="DE282" s="1009"/>
      <c r="DF282" s="1009"/>
      <c r="DG282" s="1009"/>
      <c r="DH282" s="1009"/>
      <c r="DI282" s="1009"/>
      <c r="DJ282" s="1009"/>
      <c r="DK282" s="1009"/>
      <c r="DL282" s="1009"/>
      <c r="DM282" s="1009"/>
      <c r="DN282" s="1009"/>
      <c r="DO282" s="1009"/>
      <c r="DP282" s="1009"/>
      <c r="DQ282" s="1009"/>
      <c r="DR282" s="1009"/>
      <c r="DS282" s="1009"/>
      <c r="DT282" s="1009"/>
      <c r="DU282" s="1009"/>
      <c r="DV282" s="1009"/>
      <c r="DW282" s="1009"/>
      <c r="DX282" s="1009"/>
      <c r="DY282" s="1009"/>
      <c r="DZ282" s="1009"/>
      <c r="EA282" s="1009"/>
      <c r="EB282" s="1009"/>
      <c r="EC282" s="1009"/>
      <c r="ED282" s="1009"/>
      <c r="EE282" s="1009"/>
      <c r="EF282" s="1009"/>
      <c r="EG282" s="1009"/>
      <c r="EH282" s="1009"/>
      <c r="EI282" s="1009"/>
      <c r="EJ282" s="1009"/>
      <c r="EK282" s="1009"/>
      <c r="EL282" s="1009"/>
      <c r="EM282" s="1009"/>
      <c r="EN282" s="1009"/>
      <c r="EO282" s="1009"/>
      <c r="EP282" s="1009"/>
      <c r="EQ282" s="1009"/>
      <c r="ER282" s="1009"/>
      <c r="ES282" s="1009"/>
      <c r="ET282" s="1009"/>
      <c r="EU282" s="1009"/>
      <c r="EV282" s="1009"/>
      <c r="EW282" s="1009"/>
      <c r="EX282" s="1009"/>
      <c r="EY282" s="1009"/>
      <c r="EZ282" s="1009"/>
      <c r="FA282" s="1009"/>
      <c r="FB282" s="1009"/>
      <c r="FC282" s="1009"/>
      <c r="FD282" s="1009"/>
      <c r="FE282" s="1009"/>
      <c r="FF282" s="1009"/>
      <c r="FG282" s="1009"/>
      <c r="FH282" s="1009"/>
      <c r="FI282" s="1009"/>
      <c r="FJ282" s="1009"/>
      <c r="FK282" s="1009"/>
      <c r="FL282" s="1009"/>
      <c r="FM282" s="1009"/>
      <c r="FN282" s="1009"/>
      <c r="FO282" s="1009"/>
      <c r="FP282" s="1009"/>
      <c r="FQ282" s="1009"/>
      <c r="FR282" s="1009"/>
      <c r="FS282" s="1009"/>
      <c r="FT282" s="1009"/>
      <c r="FU282" s="1009"/>
      <c r="FV282" s="1009"/>
      <c r="FW282" s="1009"/>
      <c r="FX282" s="1009"/>
      <c r="FY282" s="1009"/>
      <c r="FZ282" s="1009"/>
      <c r="GA282" s="1009"/>
      <c r="GB282" s="1009"/>
      <c r="GC282" s="1009"/>
      <c r="GD282" s="1009"/>
      <c r="GE282" s="1009"/>
      <c r="GF282" s="1009"/>
      <c r="GG282" s="1009"/>
      <c r="GH282" s="1009"/>
      <c r="GI282" s="1009"/>
      <c r="GJ282" s="1009"/>
      <c r="GK282" s="1009"/>
      <c r="GL282" s="1009"/>
      <c r="GM282" s="1009"/>
      <c r="GN282" s="1009"/>
      <c r="GO282" s="1009"/>
      <c r="GP282" s="1009"/>
      <c r="GQ282" s="1009"/>
      <c r="GR282" s="1009"/>
      <c r="GS282" s="1009"/>
      <c r="GT282" s="1009"/>
      <c r="GU282" s="1009"/>
      <c r="GV282" s="1009"/>
      <c r="GW282" s="1009"/>
      <c r="GX282" s="1009"/>
      <c r="GY282" s="1009"/>
      <c r="GZ282" s="1009"/>
      <c r="HA282" s="1009"/>
      <c r="HB282" s="1009"/>
      <c r="HC282" s="1009"/>
      <c r="HD282" s="1009"/>
      <c r="HE282" s="1009"/>
      <c r="HF282" s="1009"/>
      <c r="HG282" s="1009"/>
      <c r="HH282" s="1009"/>
      <c r="HI282" s="1009"/>
      <c r="HJ282" s="1009"/>
      <c r="HK282" s="1009"/>
      <c r="HL282" s="1009"/>
      <c r="HM282" s="1009"/>
      <c r="HN282" s="1009"/>
      <c r="HO282" s="1009"/>
      <c r="HP282" s="1009"/>
      <c r="HQ282" s="1009"/>
      <c r="HR282" s="1009"/>
      <c r="HS282" s="1009"/>
      <c r="HT282" s="1009"/>
      <c r="HU282" s="1009"/>
      <c r="HV282" s="1009"/>
      <c r="HW282" s="1009"/>
      <c r="HX282" s="1009"/>
      <c r="HY282" s="1009"/>
      <c r="HZ282" s="1009"/>
      <c r="IA282" s="1009"/>
      <c r="IB282" s="1009"/>
      <c r="IC282" s="1009"/>
      <c r="ID282" s="1009"/>
      <c r="IE282" s="1009"/>
      <c r="IF282" s="1009"/>
      <c r="IG282" s="1009"/>
      <c r="IH282" s="1009"/>
      <c r="II282" s="1009"/>
      <c r="IJ282" s="1009"/>
      <c r="IK282" s="1009"/>
      <c r="IL282" s="1009"/>
      <c r="IM282" s="1009"/>
      <c r="IN282" s="1009"/>
      <c r="IO282" s="1009"/>
      <c r="IP282" s="1009"/>
      <c r="IQ282" s="1009"/>
      <c r="IR282" s="1009"/>
      <c r="IS282" s="1009"/>
      <c r="IT282" s="1009"/>
      <c r="IU282" s="1009"/>
      <c r="IV282" s="1009"/>
      <c r="IW282" s="1009"/>
      <c r="IX282" s="1009"/>
      <c r="IY282" s="1009"/>
      <c r="IZ282" s="1009"/>
      <c r="JA282" s="1009"/>
      <c r="JB282" s="1009"/>
      <c r="JC282" s="1009"/>
      <c r="JD282" s="1009"/>
      <c r="JE282" s="1009"/>
      <c r="JF282" s="1009"/>
      <c r="JG282" s="1009"/>
      <c r="JH282" s="1009"/>
      <c r="JI282" s="1009"/>
      <c r="JJ282" s="1009"/>
      <c r="JK282" s="1009"/>
      <c r="JL282" s="1009"/>
      <c r="JM282" s="1009"/>
      <c r="JN282" s="1009"/>
      <c r="JO282" s="1009"/>
      <c r="JP282" s="1009"/>
      <c r="JQ282" s="1009"/>
      <c r="JR282" s="1009"/>
      <c r="JS282" s="1009"/>
      <c r="JT282" s="1009"/>
      <c r="JU282" s="1009"/>
      <c r="JV282" s="1009"/>
      <c r="JW282" s="1009"/>
      <c r="JX282" s="1009"/>
      <c r="JY282" s="1009"/>
      <c r="JZ282" s="1009"/>
      <c r="KA282" s="1009"/>
      <c r="KB282" s="1009"/>
      <c r="KC282" s="1009"/>
      <c r="KD282" s="1009"/>
      <c r="KE282" s="1009"/>
      <c r="KF282" s="1009"/>
      <c r="KG282" s="1009"/>
      <c r="KH282" s="1009"/>
      <c r="KI282" s="1009"/>
      <c r="KJ282" s="1009"/>
      <c r="KK282" s="1009"/>
      <c r="KL282" s="1009"/>
      <c r="KM282" s="1009"/>
      <c r="KN282" s="1009"/>
      <c r="KO282" s="1009"/>
      <c r="KP282" s="1009"/>
      <c r="KQ282" s="1009"/>
      <c r="KR282" s="1009"/>
      <c r="KS282" s="1009"/>
      <c r="KT282" s="1009"/>
      <c r="KU282" s="1009"/>
      <c r="KV282" s="1009"/>
      <c r="KW282" s="1009"/>
      <c r="KX282" s="1009"/>
      <c r="KY282" s="1009"/>
      <c r="KZ282" s="1009"/>
      <c r="LA282" s="1009"/>
      <c r="LB282" s="1009"/>
      <c r="LC282" s="1009"/>
      <c r="LD282" s="1009"/>
      <c r="LE282" s="1009"/>
      <c r="LF282" s="1009"/>
      <c r="LG282" s="1009"/>
      <c r="LH282" s="1009"/>
      <c r="LI282" s="1009"/>
      <c r="LJ282" s="1009"/>
      <c r="LK282" s="1009"/>
      <c r="LL282" s="1009"/>
      <c r="LM282" s="1009"/>
      <c r="LN282" s="1009"/>
      <c r="LO282" s="1009"/>
      <c r="LP282" s="1009"/>
      <c r="LQ282" s="1009"/>
      <c r="LR282" s="1009"/>
      <c r="LS282" s="1009"/>
      <c r="LT282" s="1009"/>
      <c r="LU282" s="1009"/>
      <c r="LV282" s="1009"/>
      <c r="LW282" s="1009"/>
      <c r="LX282" s="1009"/>
      <c r="LY282" s="1009"/>
      <c r="LZ282" s="1009"/>
      <c r="MA282" s="1009"/>
      <c r="MB282" s="1009"/>
      <c r="MC282" s="1009"/>
      <c r="MD282" s="1009"/>
      <c r="ME282" s="1009"/>
      <c r="MF282" s="1009"/>
      <c r="MG282" s="1009"/>
      <c r="MH282" s="1009"/>
      <c r="MI282" s="1009"/>
      <c r="MJ282" s="1009"/>
      <c r="MK282" s="1009"/>
      <c r="ML282" s="1009"/>
      <c r="MM282" s="1009"/>
      <c r="MN282" s="1009"/>
      <c r="MO282" s="1009"/>
      <c r="MP282" s="1009"/>
      <c r="MQ282" s="1009"/>
      <c r="MR282" s="1009"/>
      <c r="MS282" s="1009"/>
      <c r="MT282" s="1009"/>
      <c r="MU282" s="1009"/>
      <c r="MV282" s="1009"/>
      <c r="MW282" s="1009"/>
      <c r="MX282" s="1009"/>
      <c r="MY282" s="1009"/>
      <c r="MZ282" s="1009"/>
      <c r="NA282" s="1009"/>
      <c r="NB282" s="1009"/>
      <c r="NC282" s="1009"/>
      <c r="ND282" s="1009"/>
      <c r="NE282" s="1009"/>
      <c r="NF282" s="1009"/>
      <c r="NG282" s="1009"/>
      <c r="NH282" s="1009"/>
      <c r="NI282" s="1009"/>
      <c r="NJ282" s="1009"/>
      <c r="NK282" s="1009"/>
      <c r="NL282" s="1009"/>
      <c r="NM282" s="1009"/>
      <c r="NN282" s="1009"/>
      <c r="NO282" s="1009"/>
      <c r="NP282" s="1009"/>
      <c r="NQ282" s="1009"/>
      <c r="NR282" s="1009"/>
      <c r="NS282" s="1009"/>
      <c r="NT282" s="1009"/>
      <c r="NU282" s="1009"/>
      <c r="NV282" s="1009"/>
      <c r="NW282" s="1009"/>
      <c r="NX282" s="1009"/>
      <c r="NY282" s="1009"/>
      <c r="NZ282" s="1009"/>
      <c r="OA282" s="1009"/>
      <c r="OB282" s="1009"/>
      <c r="OC282" s="1009"/>
      <c r="OD282" s="1009"/>
      <c r="OE282" s="1009"/>
      <c r="OF282" s="1009"/>
      <c r="OG282" s="1009"/>
      <c r="OH282" s="1009"/>
      <c r="OI282" s="1009"/>
      <c r="OJ282" s="1009"/>
      <c r="OK282" s="1009"/>
      <c r="OL282" s="1009"/>
      <c r="OM282" s="1009"/>
      <c r="ON282" s="1009"/>
      <c r="OO282" s="1009"/>
      <c r="OP282" s="1009"/>
      <c r="OQ282" s="1009"/>
      <c r="OR282" s="1009"/>
      <c r="OS282" s="1009"/>
      <c r="OT282" s="1009"/>
      <c r="OU282" s="1009"/>
      <c r="OV282" s="1009"/>
      <c r="OW282" s="1009"/>
      <c r="OX282" s="1009"/>
      <c r="OY282" s="1009"/>
      <c r="OZ282" s="1009"/>
      <c r="PA282" s="1009"/>
      <c r="PB282" s="1009"/>
      <c r="PC282" s="1009"/>
      <c r="PD282" s="1009"/>
      <c r="PE282" s="1009"/>
      <c r="PF282" s="1009"/>
      <c r="PG282" s="1009"/>
      <c r="PH282" s="1009"/>
      <c r="PI282" s="1009"/>
      <c r="PJ282" s="1009"/>
      <c r="PK282" s="1009"/>
      <c r="PL282" s="1009"/>
      <c r="PM282" s="1009"/>
      <c r="PN282" s="1009"/>
      <c r="PO282" s="1009"/>
      <c r="PP282" s="1009"/>
      <c r="PQ282" s="1009"/>
      <c r="PR282" s="1009"/>
      <c r="PS282" s="1009"/>
      <c r="PT282" s="1009"/>
      <c r="PU282" s="1009"/>
      <c r="PV282" s="1009"/>
      <c r="PW282" s="1009"/>
      <c r="PX282" s="1009"/>
      <c r="PY282" s="1009"/>
      <c r="PZ282" s="1009"/>
      <c r="QA282" s="1009"/>
      <c r="QB282" s="1009"/>
      <c r="QC282" s="1009"/>
      <c r="QD282" s="1009"/>
      <c r="QE282" s="1009"/>
      <c r="QF282" s="1009"/>
      <c r="QG282" s="1009"/>
      <c r="QH282" s="1009"/>
      <c r="QI282" s="1009"/>
      <c r="QJ282" s="1009"/>
      <c r="QK282" s="1009"/>
      <c r="QL282" s="1009"/>
      <c r="QM282" s="1009"/>
      <c r="QN282" s="1009"/>
      <c r="QO282" s="1009"/>
      <c r="QP282" s="1009"/>
      <c r="QQ282" s="1009"/>
      <c r="QR282" s="1009"/>
      <c r="QS282" s="1009"/>
      <c r="QT282" s="1009"/>
      <c r="QU282" s="1009"/>
      <c r="QV282" s="1009"/>
      <c r="QW282" s="1009"/>
      <c r="QX282" s="1009"/>
      <c r="QY282" s="1009"/>
      <c r="QZ282" s="1009"/>
      <c r="RA282" s="1009"/>
      <c r="RB282" s="1009"/>
      <c r="RC282" s="1009"/>
      <c r="RD282" s="1009"/>
      <c r="RE282" s="1009"/>
      <c r="RF282" s="1009"/>
      <c r="RG282" s="1009"/>
      <c r="RH282" s="1009"/>
      <c r="RI282" s="1009"/>
      <c r="RJ282" s="1009"/>
      <c r="RK282" s="1009"/>
      <c r="RL282" s="1009"/>
      <c r="RM282" s="1009"/>
      <c r="RN282" s="1009"/>
      <c r="RO282" s="1009"/>
      <c r="RP282" s="1009"/>
      <c r="RQ282" s="1009"/>
      <c r="RR282" s="1009"/>
      <c r="RS282" s="1009"/>
      <c r="RT282" s="1009"/>
      <c r="RU282" s="1009"/>
      <c r="RV282" s="1009"/>
      <c r="RW282" s="1009"/>
      <c r="RX282" s="1009"/>
      <c r="RY282" s="1009"/>
      <c r="RZ282" s="1009"/>
      <c r="SA282" s="1009"/>
      <c r="SB282" s="1009"/>
      <c r="SC282" s="1009"/>
      <c r="SD282" s="1009"/>
      <c r="SE282" s="1009"/>
      <c r="SF282" s="1009"/>
      <c r="SG282" s="1009"/>
      <c r="SH282" s="1009"/>
      <c r="SI282" s="1009"/>
      <c r="SJ282" s="1009"/>
      <c r="SK282" s="1009"/>
      <c r="SL282" s="1009"/>
      <c r="SM282" s="1009"/>
      <c r="SN282" s="1009"/>
      <c r="SO282" s="1009"/>
      <c r="SP282" s="1009"/>
      <c r="SQ282" s="1009"/>
      <c r="SR282" s="1009"/>
      <c r="SS282" s="1009"/>
      <c r="ST282" s="1009"/>
      <c r="SU282" s="1009"/>
      <c r="SV282" s="1009"/>
      <c r="SW282" s="1009"/>
      <c r="SX282" s="1009"/>
      <c r="SY282" s="1009"/>
      <c r="SZ282" s="1009"/>
      <c r="TA282" s="1009"/>
      <c r="TB282" s="1009"/>
      <c r="TC282" s="1009"/>
      <c r="TD282" s="1009"/>
      <c r="TE282" s="1009"/>
      <c r="TF282" s="1009"/>
      <c r="TG282" s="1009"/>
      <c r="TH282" s="1009"/>
      <c r="TI282" s="1009"/>
      <c r="TJ282" s="1009"/>
      <c r="TK282" s="1009"/>
      <c r="TL282" s="1009"/>
      <c r="TM282" s="1009"/>
      <c r="TN282" s="1009"/>
      <c r="TO282" s="1009"/>
      <c r="TP282" s="1009"/>
      <c r="TQ282" s="1009"/>
      <c r="TR282" s="1009"/>
      <c r="TS282" s="1009"/>
      <c r="TT282" s="1009"/>
      <c r="TU282" s="1009"/>
      <c r="TV282" s="1009"/>
      <c r="TW282" s="1009"/>
      <c r="TX282" s="1009"/>
      <c r="TY282" s="1009"/>
      <c r="TZ282" s="1009"/>
      <c r="UA282" s="1009"/>
      <c r="UB282" s="1009"/>
      <c r="UC282" s="1009"/>
      <c r="UD282" s="1009"/>
      <c r="UE282" s="1009"/>
      <c r="UF282" s="1009"/>
      <c r="UG282" s="1009"/>
      <c r="UH282" s="1009"/>
      <c r="UI282" s="1009"/>
      <c r="UJ282" s="1009"/>
      <c r="UK282" s="1009"/>
      <c r="UL282" s="1009"/>
      <c r="UM282" s="1009"/>
      <c r="UN282" s="1009"/>
      <c r="UO282" s="1009"/>
      <c r="UP282" s="1009"/>
      <c r="UQ282" s="1009"/>
      <c r="UR282" s="1009"/>
      <c r="US282" s="1009"/>
      <c r="UT282" s="1009"/>
      <c r="UU282" s="1009"/>
      <c r="UV282" s="1009"/>
      <c r="UW282" s="1009"/>
      <c r="UX282" s="1009"/>
      <c r="UY282" s="1009"/>
      <c r="UZ282" s="1009"/>
      <c r="VA282" s="1009"/>
      <c r="VB282" s="1009"/>
      <c r="VC282" s="1009"/>
      <c r="VD282" s="1009"/>
      <c r="VE282" s="1009"/>
      <c r="VF282" s="1009"/>
      <c r="VG282" s="1009"/>
      <c r="VH282" s="1009"/>
      <c r="VI282" s="1009"/>
      <c r="VJ282" s="1009"/>
      <c r="VK282" s="1009"/>
      <c r="VL282" s="1009"/>
      <c r="VM282" s="1009"/>
      <c r="VN282" s="1009"/>
      <c r="VO282" s="1009"/>
      <c r="VP282" s="1009"/>
      <c r="VQ282" s="1009"/>
      <c r="VR282" s="1009"/>
      <c r="VS282" s="1009"/>
      <c r="VT282" s="1009"/>
      <c r="VU282" s="1009"/>
      <c r="VV282" s="1009"/>
      <c r="VW282" s="1009"/>
      <c r="VX282" s="1009"/>
      <c r="VY282" s="1009"/>
      <c r="VZ282" s="1009"/>
      <c r="WA282" s="1009"/>
      <c r="WB282" s="1009"/>
      <c r="WC282" s="1009"/>
      <c r="WD282" s="1009"/>
      <c r="WE282" s="1009"/>
      <c r="WF282" s="1009"/>
      <c r="WG282" s="1009"/>
      <c r="WH282" s="1009"/>
      <c r="WI282" s="1009"/>
      <c r="WJ282" s="1009"/>
      <c r="WK282" s="1009"/>
      <c r="WL282" s="1009"/>
      <c r="WM282" s="1009"/>
      <c r="WN282" s="1009"/>
      <c r="WO282" s="1009"/>
      <c r="WP282" s="1009"/>
      <c r="WQ282" s="1009"/>
      <c r="WR282" s="1009"/>
      <c r="WS282" s="1009"/>
      <c r="WT282" s="1009"/>
      <c r="WU282" s="1009"/>
      <c r="WV282" s="1009"/>
      <c r="WW282" s="1009"/>
      <c r="WX282" s="1009"/>
      <c r="WY282" s="1009"/>
      <c r="WZ282" s="1009"/>
      <c r="XA282" s="1009"/>
      <c r="XB282" s="1009"/>
      <c r="XC282" s="1009"/>
      <c r="XD282" s="1009"/>
      <c r="XE282" s="1009"/>
      <c r="XF282" s="1009"/>
      <c r="XG282" s="1009"/>
      <c r="XH282" s="1009"/>
      <c r="XI282" s="1009"/>
      <c r="XJ282" s="1009"/>
      <c r="XK282" s="1009"/>
      <c r="XL282" s="1009"/>
      <c r="XM282" s="1009"/>
      <c r="XN282" s="1009"/>
      <c r="XO282" s="1009"/>
      <c r="XP282" s="1009"/>
      <c r="XQ282" s="1009"/>
      <c r="XR282" s="1009"/>
      <c r="XS282" s="1009"/>
      <c r="XT282" s="1009"/>
      <c r="XU282" s="1009"/>
      <c r="XV282" s="1009"/>
      <c r="XW282" s="1009"/>
      <c r="XX282" s="1009"/>
      <c r="XY282" s="1009"/>
      <c r="XZ282" s="1009"/>
      <c r="YA282" s="1009"/>
      <c r="YB282" s="1009"/>
      <c r="YC282" s="1009"/>
      <c r="YD282" s="1009"/>
      <c r="YE282" s="1009"/>
      <c r="YF282" s="1009"/>
      <c r="YG282" s="1009"/>
      <c r="YH282" s="1009"/>
      <c r="YI282" s="1009"/>
      <c r="YJ282" s="1009"/>
      <c r="YK282" s="1009"/>
      <c r="YL282" s="1009"/>
      <c r="YM282" s="1009"/>
      <c r="YN282" s="1009"/>
      <c r="YO282" s="1009"/>
      <c r="YP282" s="1009"/>
      <c r="YQ282" s="1009"/>
      <c r="YR282" s="1009"/>
      <c r="YS282" s="1009"/>
      <c r="YT282" s="1009"/>
      <c r="YU282" s="1009"/>
      <c r="YV282" s="1009"/>
      <c r="YW282" s="1009"/>
      <c r="YX282" s="1009"/>
      <c r="YY282" s="1009"/>
      <c r="YZ282" s="1009"/>
      <c r="ZA282" s="1009"/>
      <c r="ZB282" s="1009"/>
      <c r="ZC282" s="1009"/>
      <c r="ZD282" s="1009"/>
      <c r="ZE282" s="1009"/>
      <c r="ZF282" s="1009"/>
      <c r="ZG282" s="1009"/>
      <c r="ZH282" s="1009"/>
      <c r="ZI282" s="1009"/>
      <c r="ZJ282" s="1009"/>
      <c r="ZK282" s="1009"/>
      <c r="ZL282" s="1009"/>
      <c r="ZM282" s="1009"/>
      <c r="ZN282" s="1009"/>
      <c r="ZO282" s="1009"/>
      <c r="ZP282" s="1009"/>
      <c r="ZQ282" s="1009"/>
      <c r="ZR282" s="1009"/>
      <c r="ZS282" s="1009"/>
      <c r="ZT282" s="1009"/>
      <c r="ZU282" s="1009"/>
      <c r="ZV282" s="1009"/>
      <c r="ZW282" s="1009"/>
      <c r="ZX282" s="1009"/>
      <c r="ZY282" s="1009"/>
      <c r="ZZ282" s="1009"/>
      <c r="AAA282" s="1009"/>
      <c r="AAB282" s="1009"/>
      <c r="AAC282" s="1009"/>
      <c r="AAD282" s="1009"/>
      <c r="AAE282" s="1009"/>
      <c r="AAF282" s="1009"/>
      <c r="AAG282" s="1009"/>
      <c r="AAH282" s="1009"/>
      <c r="AAI282" s="1009"/>
      <c r="AAJ282" s="1009"/>
      <c r="AAK282" s="1009"/>
      <c r="AAL282" s="1009"/>
      <c r="AAM282" s="1009"/>
      <c r="AAN282" s="1009"/>
      <c r="AAO282" s="1009"/>
      <c r="AAP282" s="1009"/>
      <c r="AAQ282" s="1009"/>
      <c r="AAR282" s="1009"/>
      <c r="AAS282" s="1009"/>
      <c r="AAT282" s="1009"/>
      <c r="AAU282" s="1009"/>
      <c r="AAV282" s="1009"/>
      <c r="AAW282" s="1009"/>
      <c r="AAX282" s="1009"/>
      <c r="AAY282" s="1009"/>
      <c r="AAZ282" s="1009"/>
      <c r="ABA282" s="1009"/>
      <c r="ABB282" s="1009"/>
      <c r="ABC282" s="1009"/>
      <c r="ABD282" s="1009"/>
      <c r="ABE282" s="1009"/>
      <c r="ABF282" s="1009"/>
      <c r="ABG282" s="1009"/>
      <c r="ABH282" s="1009"/>
      <c r="ABI282" s="1009"/>
      <c r="ABJ282" s="1009"/>
      <c r="ABK282" s="1009"/>
      <c r="ABL282" s="1009"/>
      <c r="ABM282" s="1009"/>
      <c r="ABN282" s="1009"/>
      <c r="ABO282" s="1009"/>
      <c r="ABP282" s="1009"/>
      <c r="ABQ282" s="1009"/>
      <c r="ABR282" s="1009"/>
    </row>
    <row r="283" spans="1:746" s="111" customFormat="1" ht="12" hidden="1" customHeight="1">
      <c r="A283" s="1252"/>
      <c r="B283" s="1208"/>
      <c r="C283" s="2369"/>
      <c r="D283" s="2369"/>
      <c r="E283" s="2369"/>
      <c r="F283" s="2369"/>
      <c r="G283" s="2369"/>
      <c r="H283" s="2558"/>
      <c r="I283" s="1966"/>
      <c r="J283" s="1966"/>
      <c r="K283" s="1966"/>
      <c r="L283" s="1966"/>
      <c r="M283" s="1966"/>
      <c r="N283" s="1966"/>
      <c r="O283" s="1966"/>
      <c r="P283" s="1966"/>
      <c r="Q283" s="1966"/>
      <c r="R283" s="1966"/>
      <c r="S283" s="1966"/>
      <c r="T283" s="1966"/>
      <c r="U283" s="1966"/>
      <c r="V283" s="1966"/>
      <c r="W283" s="1966"/>
      <c r="X283" s="1966"/>
      <c r="Y283" s="1966"/>
      <c r="Z283" s="1966"/>
      <c r="AA283" s="1966"/>
      <c r="AB283" s="1966"/>
      <c r="AC283" s="1966"/>
      <c r="AD283" s="1966"/>
      <c r="AE283" s="1966"/>
      <c r="AF283" s="1966"/>
      <c r="AG283" s="337"/>
      <c r="AH283" s="1009"/>
      <c r="AI283" s="1009"/>
      <c r="AJ283" s="1956">
        <f>IF(fx!$C$57=1,SUMIF(fx!I$57:T$57,1,I283:T283),IF(fx!$C$57=2,SUMIF(fx!O$57:AF$57,1,O283:AF283)))</f>
        <v>0</v>
      </c>
      <c r="AK283" s="1207"/>
      <c r="AL283" s="1957">
        <f>IF(fx!$C$57=1,SUM(U283:AF283),0)</f>
        <v>0</v>
      </c>
      <c r="AM283" s="1036"/>
      <c r="AN283" s="1036"/>
      <c r="AO283" s="1034"/>
      <c r="AP283" s="1084"/>
      <c r="AQ283" s="1084"/>
      <c r="AR283" s="1009"/>
      <c r="AS283" s="1009"/>
      <c r="AT283" s="1009"/>
      <c r="AU283" s="1009"/>
      <c r="AV283" s="1009"/>
      <c r="AW283" s="1009"/>
      <c r="AX283" s="1009"/>
      <c r="AY283" s="1009"/>
      <c r="AZ283" s="1009"/>
      <c r="BA283" s="1009"/>
      <c r="BB283" s="1009"/>
      <c r="BC283" s="1009"/>
      <c r="BD283" s="1009"/>
      <c r="BE283" s="1009"/>
      <c r="BF283" s="1009"/>
      <c r="BG283" s="1009"/>
      <c r="BH283" s="1009"/>
      <c r="BI283" s="1009"/>
      <c r="BJ283" s="1009"/>
      <c r="BK283" s="1009"/>
      <c r="BL283" s="1009"/>
      <c r="BM283" s="1009"/>
      <c r="BN283" s="1009"/>
      <c r="BO283" s="1009"/>
      <c r="BP283" s="1009"/>
      <c r="BQ283" s="1009"/>
      <c r="BR283" s="1009"/>
      <c r="BS283" s="1009"/>
      <c r="BT283" s="1009"/>
      <c r="BU283" s="1009"/>
      <c r="BV283" s="1009"/>
      <c r="BW283" s="1009"/>
      <c r="BX283" s="1009"/>
      <c r="BY283" s="1009"/>
      <c r="BZ283" s="1009"/>
      <c r="CA283" s="1009"/>
      <c r="CB283" s="1009"/>
      <c r="CC283" s="1009"/>
      <c r="CD283" s="1009"/>
      <c r="CE283" s="1009"/>
      <c r="CF283" s="1009"/>
      <c r="CG283" s="1009"/>
      <c r="CH283" s="1009"/>
      <c r="CI283" s="1009"/>
      <c r="CJ283" s="1009"/>
      <c r="CK283" s="1009"/>
      <c r="CL283" s="1009"/>
      <c r="CM283" s="1009"/>
      <c r="CN283" s="1009"/>
      <c r="CO283" s="1009"/>
      <c r="CP283" s="1009"/>
      <c r="CQ283" s="1009"/>
      <c r="CR283" s="1009"/>
      <c r="CS283" s="1009"/>
      <c r="CT283" s="1009"/>
      <c r="CU283" s="1009"/>
      <c r="CV283" s="1009"/>
      <c r="CW283" s="1009"/>
      <c r="CX283" s="1009"/>
      <c r="CY283" s="1009"/>
      <c r="CZ283" s="1009"/>
      <c r="DA283" s="1009"/>
      <c r="DB283" s="1009"/>
      <c r="DC283" s="1009"/>
      <c r="DD283" s="1009"/>
      <c r="DE283" s="1009"/>
      <c r="DF283" s="1009"/>
      <c r="DG283" s="1009"/>
      <c r="DH283" s="1009"/>
      <c r="DI283" s="1009"/>
      <c r="DJ283" s="1009"/>
      <c r="DK283" s="1009"/>
      <c r="DL283" s="1009"/>
      <c r="DM283" s="1009"/>
      <c r="DN283" s="1009"/>
      <c r="DO283" s="1009"/>
      <c r="DP283" s="1009"/>
      <c r="DQ283" s="1009"/>
      <c r="DR283" s="1009"/>
      <c r="DS283" s="1009"/>
      <c r="DT283" s="1009"/>
      <c r="DU283" s="1009"/>
      <c r="DV283" s="1009"/>
      <c r="DW283" s="1009"/>
      <c r="DX283" s="1009"/>
      <c r="DY283" s="1009"/>
      <c r="DZ283" s="1009"/>
      <c r="EA283" s="1009"/>
      <c r="EB283" s="1009"/>
      <c r="EC283" s="1009"/>
      <c r="ED283" s="1009"/>
      <c r="EE283" s="1009"/>
      <c r="EF283" s="1009"/>
      <c r="EG283" s="1009"/>
      <c r="EH283" s="1009"/>
      <c r="EI283" s="1009"/>
      <c r="EJ283" s="1009"/>
      <c r="EK283" s="1009"/>
      <c r="EL283" s="1009"/>
      <c r="EM283" s="1009"/>
      <c r="EN283" s="1009"/>
      <c r="EO283" s="1009"/>
      <c r="EP283" s="1009"/>
      <c r="EQ283" s="1009"/>
      <c r="ER283" s="1009"/>
      <c r="ES283" s="1009"/>
      <c r="ET283" s="1009"/>
      <c r="EU283" s="1009"/>
      <c r="EV283" s="1009"/>
      <c r="EW283" s="1009"/>
      <c r="EX283" s="1009"/>
      <c r="EY283" s="1009"/>
      <c r="EZ283" s="1009"/>
      <c r="FA283" s="1009"/>
      <c r="FB283" s="1009"/>
      <c r="FC283" s="1009"/>
      <c r="FD283" s="1009"/>
      <c r="FE283" s="1009"/>
      <c r="FF283" s="1009"/>
      <c r="FG283" s="1009"/>
      <c r="FH283" s="1009"/>
      <c r="FI283" s="1009"/>
      <c r="FJ283" s="1009"/>
      <c r="FK283" s="1009"/>
      <c r="FL283" s="1009"/>
      <c r="FM283" s="1009"/>
      <c r="FN283" s="1009"/>
      <c r="FO283" s="1009"/>
      <c r="FP283" s="1009"/>
      <c r="FQ283" s="1009"/>
      <c r="FR283" s="1009"/>
      <c r="FS283" s="1009"/>
      <c r="FT283" s="1009"/>
      <c r="FU283" s="1009"/>
      <c r="FV283" s="1009"/>
      <c r="FW283" s="1009"/>
      <c r="FX283" s="1009"/>
      <c r="FY283" s="1009"/>
      <c r="FZ283" s="1009"/>
      <c r="GA283" s="1009"/>
      <c r="GB283" s="1009"/>
      <c r="GC283" s="1009"/>
      <c r="GD283" s="1009"/>
      <c r="GE283" s="1009"/>
      <c r="GF283" s="1009"/>
      <c r="GG283" s="1009"/>
      <c r="GH283" s="1009"/>
      <c r="GI283" s="1009"/>
      <c r="GJ283" s="1009"/>
      <c r="GK283" s="1009"/>
      <c r="GL283" s="1009"/>
      <c r="GM283" s="1009"/>
      <c r="GN283" s="1009"/>
      <c r="GO283" s="1009"/>
      <c r="GP283" s="1009"/>
      <c r="GQ283" s="1009"/>
      <c r="GR283" s="1009"/>
      <c r="GS283" s="1009"/>
      <c r="GT283" s="1009"/>
      <c r="GU283" s="1009"/>
      <c r="GV283" s="1009"/>
      <c r="GW283" s="1009"/>
      <c r="GX283" s="1009"/>
      <c r="GY283" s="1009"/>
      <c r="GZ283" s="1009"/>
      <c r="HA283" s="1009"/>
      <c r="HB283" s="1009"/>
      <c r="HC283" s="1009"/>
      <c r="HD283" s="1009"/>
      <c r="HE283" s="1009"/>
      <c r="HF283" s="1009"/>
      <c r="HG283" s="1009"/>
      <c r="HH283" s="1009"/>
      <c r="HI283" s="1009"/>
      <c r="HJ283" s="1009"/>
      <c r="HK283" s="1009"/>
      <c r="HL283" s="1009"/>
      <c r="HM283" s="1009"/>
      <c r="HN283" s="1009"/>
      <c r="HO283" s="1009"/>
      <c r="HP283" s="1009"/>
      <c r="HQ283" s="1009"/>
      <c r="HR283" s="1009"/>
      <c r="HS283" s="1009"/>
      <c r="HT283" s="1009"/>
      <c r="HU283" s="1009"/>
      <c r="HV283" s="1009"/>
      <c r="HW283" s="1009"/>
      <c r="HX283" s="1009"/>
      <c r="HY283" s="1009"/>
      <c r="HZ283" s="1009"/>
      <c r="IA283" s="1009"/>
      <c r="IB283" s="1009"/>
      <c r="IC283" s="1009"/>
      <c r="ID283" s="1009"/>
      <c r="IE283" s="1009"/>
      <c r="IF283" s="1009"/>
      <c r="IG283" s="1009"/>
      <c r="IH283" s="1009"/>
      <c r="II283" s="1009"/>
      <c r="IJ283" s="1009"/>
      <c r="IK283" s="1009"/>
      <c r="IL283" s="1009"/>
      <c r="IM283" s="1009"/>
      <c r="IN283" s="1009"/>
      <c r="IO283" s="1009"/>
      <c r="IP283" s="1009"/>
      <c r="IQ283" s="1009"/>
      <c r="IR283" s="1009"/>
      <c r="IS283" s="1009"/>
      <c r="IT283" s="1009"/>
      <c r="IU283" s="1009"/>
      <c r="IV283" s="1009"/>
      <c r="IW283" s="1009"/>
      <c r="IX283" s="1009"/>
      <c r="IY283" s="1009"/>
      <c r="IZ283" s="1009"/>
      <c r="JA283" s="1009"/>
      <c r="JB283" s="1009"/>
      <c r="JC283" s="1009"/>
      <c r="JD283" s="1009"/>
      <c r="JE283" s="1009"/>
      <c r="JF283" s="1009"/>
      <c r="JG283" s="1009"/>
      <c r="JH283" s="1009"/>
      <c r="JI283" s="1009"/>
      <c r="JJ283" s="1009"/>
      <c r="JK283" s="1009"/>
      <c r="JL283" s="1009"/>
      <c r="JM283" s="1009"/>
      <c r="JN283" s="1009"/>
      <c r="JO283" s="1009"/>
      <c r="JP283" s="1009"/>
      <c r="JQ283" s="1009"/>
      <c r="JR283" s="1009"/>
      <c r="JS283" s="1009"/>
      <c r="JT283" s="1009"/>
      <c r="JU283" s="1009"/>
      <c r="JV283" s="1009"/>
      <c r="JW283" s="1009"/>
      <c r="JX283" s="1009"/>
      <c r="JY283" s="1009"/>
      <c r="JZ283" s="1009"/>
      <c r="KA283" s="1009"/>
      <c r="KB283" s="1009"/>
      <c r="KC283" s="1009"/>
      <c r="KD283" s="1009"/>
      <c r="KE283" s="1009"/>
      <c r="KF283" s="1009"/>
      <c r="KG283" s="1009"/>
      <c r="KH283" s="1009"/>
      <c r="KI283" s="1009"/>
      <c r="KJ283" s="1009"/>
      <c r="KK283" s="1009"/>
      <c r="KL283" s="1009"/>
      <c r="KM283" s="1009"/>
      <c r="KN283" s="1009"/>
      <c r="KO283" s="1009"/>
      <c r="KP283" s="1009"/>
      <c r="KQ283" s="1009"/>
      <c r="KR283" s="1009"/>
      <c r="KS283" s="1009"/>
      <c r="KT283" s="1009"/>
      <c r="KU283" s="1009"/>
      <c r="KV283" s="1009"/>
      <c r="KW283" s="1009"/>
      <c r="KX283" s="1009"/>
      <c r="KY283" s="1009"/>
      <c r="KZ283" s="1009"/>
      <c r="LA283" s="1009"/>
      <c r="LB283" s="1009"/>
      <c r="LC283" s="1009"/>
      <c r="LD283" s="1009"/>
      <c r="LE283" s="1009"/>
      <c r="LF283" s="1009"/>
      <c r="LG283" s="1009"/>
      <c r="LH283" s="1009"/>
      <c r="LI283" s="1009"/>
      <c r="LJ283" s="1009"/>
      <c r="LK283" s="1009"/>
      <c r="LL283" s="1009"/>
      <c r="LM283" s="1009"/>
      <c r="LN283" s="1009"/>
      <c r="LO283" s="1009"/>
      <c r="LP283" s="1009"/>
      <c r="LQ283" s="1009"/>
      <c r="LR283" s="1009"/>
      <c r="LS283" s="1009"/>
      <c r="LT283" s="1009"/>
      <c r="LU283" s="1009"/>
      <c r="LV283" s="1009"/>
      <c r="LW283" s="1009"/>
      <c r="LX283" s="1009"/>
      <c r="LY283" s="1009"/>
      <c r="LZ283" s="1009"/>
      <c r="MA283" s="1009"/>
      <c r="MB283" s="1009"/>
      <c r="MC283" s="1009"/>
      <c r="MD283" s="1009"/>
      <c r="ME283" s="1009"/>
      <c r="MF283" s="1009"/>
      <c r="MG283" s="1009"/>
      <c r="MH283" s="1009"/>
      <c r="MI283" s="1009"/>
      <c r="MJ283" s="1009"/>
      <c r="MK283" s="1009"/>
      <c r="ML283" s="1009"/>
      <c r="MM283" s="1009"/>
      <c r="MN283" s="1009"/>
      <c r="MO283" s="1009"/>
      <c r="MP283" s="1009"/>
      <c r="MQ283" s="1009"/>
      <c r="MR283" s="1009"/>
      <c r="MS283" s="1009"/>
      <c r="MT283" s="1009"/>
      <c r="MU283" s="1009"/>
      <c r="MV283" s="1009"/>
      <c r="MW283" s="1009"/>
      <c r="MX283" s="1009"/>
      <c r="MY283" s="1009"/>
      <c r="MZ283" s="1009"/>
      <c r="NA283" s="1009"/>
      <c r="NB283" s="1009"/>
      <c r="NC283" s="1009"/>
      <c r="ND283" s="1009"/>
      <c r="NE283" s="1009"/>
      <c r="NF283" s="1009"/>
      <c r="NG283" s="1009"/>
      <c r="NH283" s="1009"/>
      <c r="NI283" s="1009"/>
      <c r="NJ283" s="1009"/>
      <c r="NK283" s="1009"/>
      <c r="NL283" s="1009"/>
      <c r="NM283" s="1009"/>
      <c r="NN283" s="1009"/>
      <c r="NO283" s="1009"/>
      <c r="NP283" s="1009"/>
      <c r="NQ283" s="1009"/>
      <c r="NR283" s="1009"/>
      <c r="NS283" s="1009"/>
      <c r="NT283" s="1009"/>
      <c r="NU283" s="1009"/>
      <c r="NV283" s="1009"/>
      <c r="NW283" s="1009"/>
      <c r="NX283" s="1009"/>
      <c r="NY283" s="1009"/>
      <c r="NZ283" s="1009"/>
      <c r="OA283" s="1009"/>
      <c r="OB283" s="1009"/>
      <c r="OC283" s="1009"/>
      <c r="OD283" s="1009"/>
      <c r="OE283" s="1009"/>
      <c r="OF283" s="1009"/>
      <c r="OG283" s="1009"/>
      <c r="OH283" s="1009"/>
      <c r="OI283" s="1009"/>
      <c r="OJ283" s="1009"/>
      <c r="OK283" s="1009"/>
      <c r="OL283" s="1009"/>
      <c r="OM283" s="1009"/>
      <c r="ON283" s="1009"/>
      <c r="OO283" s="1009"/>
      <c r="OP283" s="1009"/>
      <c r="OQ283" s="1009"/>
      <c r="OR283" s="1009"/>
      <c r="OS283" s="1009"/>
      <c r="OT283" s="1009"/>
      <c r="OU283" s="1009"/>
      <c r="OV283" s="1009"/>
      <c r="OW283" s="1009"/>
      <c r="OX283" s="1009"/>
      <c r="OY283" s="1009"/>
      <c r="OZ283" s="1009"/>
      <c r="PA283" s="1009"/>
      <c r="PB283" s="1009"/>
      <c r="PC283" s="1009"/>
      <c r="PD283" s="1009"/>
      <c r="PE283" s="1009"/>
      <c r="PF283" s="1009"/>
      <c r="PG283" s="1009"/>
      <c r="PH283" s="1009"/>
      <c r="PI283" s="1009"/>
      <c r="PJ283" s="1009"/>
      <c r="PK283" s="1009"/>
      <c r="PL283" s="1009"/>
      <c r="PM283" s="1009"/>
      <c r="PN283" s="1009"/>
      <c r="PO283" s="1009"/>
      <c r="PP283" s="1009"/>
      <c r="PQ283" s="1009"/>
      <c r="PR283" s="1009"/>
      <c r="PS283" s="1009"/>
      <c r="PT283" s="1009"/>
      <c r="PU283" s="1009"/>
      <c r="PV283" s="1009"/>
      <c r="PW283" s="1009"/>
      <c r="PX283" s="1009"/>
      <c r="PY283" s="1009"/>
      <c r="PZ283" s="1009"/>
      <c r="QA283" s="1009"/>
      <c r="QB283" s="1009"/>
      <c r="QC283" s="1009"/>
      <c r="QD283" s="1009"/>
      <c r="QE283" s="1009"/>
      <c r="QF283" s="1009"/>
      <c r="QG283" s="1009"/>
      <c r="QH283" s="1009"/>
      <c r="QI283" s="1009"/>
      <c r="QJ283" s="1009"/>
      <c r="QK283" s="1009"/>
      <c r="QL283" s="1009"/>
      <c r="QM283" s="1009"/>
      <c r="QN283" s="1009"/>
      <c r="QO283" s="1009"/>
      <c r="QP283" s="1009"/>
      <c r="QQ283" s="1009"/>
      <c r="QR283" s="1009"/>
      <c r="QS283" s="1009"/>
      <c r="QT283" s="1009"/>
      <c r="QU283" s="1009"/>
      <c r="QV283" s="1009"/>
      <c r="QW283" s="1009"/>
      <c r="QX283" s="1009"/>
      <c r="QY283" s="1009"/>
      <c r="QZ283" s="1009"/>
      <c r="RA283" s="1009"/>
      <c r="RB283" s="1009"/>
      <c r="RC283" s="1009"/>
      <c r="RD283" s="1009"/>
      <c r="RE283" s="1009"/>
      <c r="RF283" s="1009"/>
      <c r="RG283" s="1009"/>
      <c r="RH283" s="1009"/>
      <c r="RI283" s="1009"/>
      <c r="RJ283" s="1009"/>
      <c r="RK283" s="1009"/>
      <c r="RL283" s="1009"/>
      <c r="RM283" s="1009"/>
      <c r="RN283" s="1009"/>
      <c r="RO283" s="1009"/>
      <c r="RP283" s="1009"/>
      <c r="RQ283" s="1009"/>
      <c r="RR283" s="1009"/>
      <c r="RS283" s="1009"/>
      <c r="RT283" s="1009"/>
      <c r="RU283" s="1009"/>
      <c r="RV283" s="1009"/>
      <c r="RW283" s="1009"/>
      <c r="RX283" s="1009"/>
      <c r="RY283" s="1009"/>
      <c r="RZ283" s="1009"/>
      <c r="SA283" s="1009"/>
      <c r="SB283" s="1009"/>
      <c r="SC283" s="1009"/>
      <c r="SD283" s="1009"/>
      <c r="SE283" s="1009"/>
      <c r="SF283" s="1009"/>
      <c r="SG283" s="1009"/>
      <c r="SH283" s="1009"/>
      <c r="SI283" s="1009"/>
      <c r="SJ283" s="1009"/>
      <c r="SK283" s="1009"/>
      <c r="SL283" s="1009"/>
      <c r="SM283" s="1009"/>
      <c r="SN283" s="1009"/>
      <c r="SO283" s="1009"/>
      <c r="SP283" s="1009"/>
      <c r="SQ283" s="1009"/>
      <c r="SR283" s="1009"/>
      <c r="SS283" s="1009"/>
      <c r="ST283" s="1009"/>
      <c r="SU283" s="1009"/>
      <c r="SV283" s="1009"/>
      <c r="SW283" s="1009"/>
      <c r="SX283" s="1009"/>
      <c r="SY283" s="1009"/>
      <c r="SZ283" s="1009"/>
      <c r="TA283" s="1009"/>
      <c r="TB283" s="1009"/>
      <c r="TC283" s="1009"/>
      <c r="TD283" s="1009"/>
      <c r="TE283" s="1009"/>
      <c r="TF283" s="1009"/>
      <c r="TG283" s="1009"/>
      <c r="TH283" s="1009"/>
      <c r="TI283" s="1009"/>
      <c r="TJ283" s="1009"/>
      <c r="TK283" s="1009"/>
      <c r="TL283" s="1009"/>
      <c r="TM283" s="1009"/>
      <c r="TN283" s="1009"/>
      <c r="TO283" s="1009"/>
      <c r="TP283" s="1009"/>
      <c r="TQ283" s="1009"/>
      <c r="TR283" s="1009"/>
      <c r="TS283" s="1009"/>
      <c r="TT283" s="1009"/>
      <c r="TU283" s="1009"/>
      <c r="TV283" s="1009"/>
      <c r="TW283" s="1009"/>
      <c r="TX283" s="1009"/>
      <c r="TY283" s="1009"/>
      <c r="TZ283" s="1009"/>
      <c r="UA283" s="1009"/>
      <c r="UB283" s="1009"/>
      <c r="UC283" s="1009"/>
      <c r="UD283" s="1009"/>
      <c r="UE283" s="1009"/>
      <c r="UF283" s="1009"/>
      <c r="UG283" s="1009"/>
      <c r="UH283" s="1009"/>
      <c r="UI283" s="1009"/>
      <c r="UJ283" s="1009"/>
      <c r="UK283" s="1009"/>
      <c r="UL283" s="1009"/>
      <c r="UM283" s="1009"/>
      <c r="UN283" s="1009"/>
      <c r="UO283" s="1009"/>
      <c r="UP283" s="1009"/>
      <c r="UQ283" s="1009"/>
      <c r="UR283" s="1009"/>
      <c r="US283" s="1009"/>
      <c r="UT283" s="1009"/>
      <c r="UU283" s="1009"/>
      <c r="UV283" s="1009"/>
      <c r="UW283" s="1009"/>
      <c r="UX283" s="1009"/>
      <c r="UY283" s="1009"/>
      <c r="UZ283" s="1009"/>
      <c r="VA283" s="1009"/>
      <c r="VB283" s="1009"/>
      <c r="VC283" s="1009"/>
      <c r="VD283" s="1009"/>
      <c r="VE283" s="1009"/>
      <c r="VF283" s="1009"/>
      <c r="VG283" s="1009"/>
      <c r="VH283" s="1009"/>
      <c r="VI283" s="1009"/>
      <c r="VJ283" s="1009"/>
      <c r="VK283" s="1009"/>
      <c r="VL283" s="1009"/>
      <c r="VM283" s="1009"/>
      <c r="VN283" s="1009"/>
      <c r="VO283" s="1009"/>
      <c r="VP283" s="1009"/>
      <c r="VQ283" s="1009"/>
      <c r="VR283" s="1009"/>
      <c r="VS283" s="1009"/>
      <c r="VT283" s="1009"/>
      <c r="VU283" s="1009"/>
      <c r="VV283" s="1009"/>
      <c r="VW283" s="1009"/>
      <c r="VX283" s="1009"/>
      <c r="VY283" s="1009"/>
      <c r="VZ283" s="1009"/>
      <c r="WA283" s="1009"/>
      <c r="WB283" s="1009"/>
      <c r="WC283" s="1009"/>
      <c r="WD283" s="1009"/>
      <c r="WE283" s="1009"/>
      <c r="WF283" s="1009"/>
      <c r="WG283" s="1009"/>
      <c r="WH283" s="1009"/>
      <c r="WI283" s="1009"/>
      <c r="WJ283" s="1009"/>
      <c r="WK283" s="1009"/>
      <c r="WL283" s="1009"/>
      <c r="WM283" s="1009"/>
      <c r="WN283" s="1009"/>
      <c r="WO283" s="1009"/>
      <c r="WP283" s="1009"/>
      <c r="WQ283" s="1009"/>
      <c r="WR283" s="1009"/>
      <c r="WS283" s="1009"/>
      <c r="WT283" s="1009"/>
      <c r="WU283" s="1009"/>
      <c r="WV283" s="1009"/>
      <c r="WW283" s="1009"/>
      <c r="WX283" s="1009"/>
      <c r="WY283" s="1009"/>
      <c r="WZ283" s="1009"/>
      <c r="XA283" s="1009"/>
      <c r="XB283" s="1009"/>
      <c r="XC283" s="1009"/>
      <c r="XD283" s="1009"/>
      <c r="XE283" s="1009"/>
      <c r="XF283" s="1009"/>
      <c r="XG283" s="1009"/>
      <c r="XH283" s="1009"/>
      <c r="XI283" s="1009"/>
      <c r="XJ283" s="1009"/>
      <c r="XK283" s="1009"/>
      <c r="XL283" s="1009"/>
      <c r="XM283" s="1009"/>
      <c r="XN283" s="1009"/>
      <c r="XO283" s="1009"/>
      <c r="XP283" s="1009"/>
      <c r="XQ283" s="1009"/>
      <c r="XR283" s="1009"/>
      <c r="XS283" s="1009"/>
      <c r="XT283" s="1009"/>
      <c r="XU283" s="1009"/>
      <c r="XV283" s="1009"/>
      <c r="XW283" s="1009"/>
      <c r="XX283" s="1009"/>
      <c r="XY283" s="1009"/>
      <c r="XZ283" s="1009"/>
      <c r="YA283" s="1009"/>
      <c r="YB283" s="1009"/>
      <c r="YC283" s="1009"/>
      <c r="YD283" s="1009"/>
      <c r="YE283" s="1009"/>
      <c r="YF283" s="1009"/>
      <c r="YG283" s="1009"/>
      <c r="YH283" s="1009"/>
      <c r="YI283" s="1009"/>
      <c r="YJ283" s="1009"/>
      <c r="YK283" s="1009"/>
      <c r="YL283" s="1009"/>
      <c r="YM283" s="1009"/>
      <c r="YN283" s="1009"/>
      <c r="YO283" s="1009"/>
      <c r="YP283" s="1009"/>
      <c r="YQ283" s="1009"/>
      <c r="YR283" s="1009"/>
      <c r="YS283" s="1009"/>
      <c r="YT283" s="1009"/>
      <c r="YU283" s="1009"/>
      <c r="YV283" s="1009"/>
      <c r="YW283" s="1009"/>
      <c r="YX283" s="1009"/>
      <c r="YY283" s="1009"/>
      <c r="YZ283" s="1009"/>
      <c r="ZA283" s="1009"/>
      <c r="ZB283" s="1009"/>
      <c r="ZC283" s="1009"/>
      <c r="ZD283" s="1009"/>
      <c r="ZE283" s="1009"/>
      <c r="ZF283" s="1009"/>
      <c r="ZG283" s="1009"/>
      <c r="ZH283" s="1009"/>
      <c r="ZI283" s="1009"/>
      <c r="ZJ283" s="1009"/>
      <c r="ZK283" s="1009"/>
      <c r="ZL283" s="1009"/>
      <c r="ZM283" s="1009"/>
      <c r="ZN283" s="1009"/>
      <c r="ZO283" s="1009"/>
      <c r="ZP283" s="1009"/>
      <c r="ZQ283" s="1009"/>
      <c r="ZR283" s="1009"/>
      <c r="ZS283" s="1009"/>
      <c r="ZT283" s="1009"/>
      <c r="ZU283" s="1009"/>
      <c r="ZV283" s="1009"/>
      <c r="ZW283" s="1009"/>
      <c r="ZX283" s="1009"/>
      <c r="ZY283" s="1009"/>
      <c r="ZZ283" s="1009"/>
      <c r="AAA283" s="1009"/>
      <c r="AAB283" s="1009"/>
      <c r="AAC283" s="1009"/>
      <c r="AAD283" s="1009"/>
      <c r="AAE283" s="1009"/>
      <c r="AAF283" s="1009"/>
      <c r="AAG283" s="1009"/>
      <c r="AAH283" s="1009"/>
      <c r="AAI283" s="1009"/>
      <c r="AAJ283" s="1009"/>
      <c r="AAK283" s="1009"/>
      <c r="AAL283" s="1009"/>
      <c r="AAM283" s="1009"/>
      <c r="AAN283" s="1009"/>
      <c r="AAO283" s="1009"/>
      <c r="AAP283" s="1009"/>
      <c r="AAQ283" s="1009"/>
      <c r="AAR283" s="1009"/>
      <c r="AAS283" s="1009"/>
      <c r="AAT283" s="1009"/>
      <c r="AAU283" s="1009"/>
      <c r="AAV283" s="1009"/>
      <c r="AAW283" s="1009"/>
      <c r="AAX283" s="1009"/>
      <c r="AAY283" s="1009"/>
      <c r="AAZ283" s="1009"/>
      <c r="ABA283" s="1009"/>
      <c r="ABB283" s="1009"/>
      <c r="ABC283" s="1009"/>
      <c r="ABD283" s="1009"/>
      <c r="ABE283" s="1009"/>
      <c r="ABF283" s="1009"/>
      <c r="ABG283" s="1009"/>
      <c r="ABH283" s="1009"/>
      <c r="ABI283" s="1009"/>
      <c r="ABJ283" s="1009"/>
      <c r="ABK283" s="1009"/>
      <c r="ABL283" s="1009"/>
      <c r="ABM283" s="1009"/>
      <c r="ABN283" s="1009"/>
      <c r="ABO283" s="1009"/>
      <c r="ABP283" s="1009"/>
      <c r="ABQ283" s="1009"/>
      <c r="ABR283" s="1009"/>
    </row>
    <row r="284" spans="1:746" s="111" customFormat="1" ht="12" hidden="1" customHeight="1">
      <c r="A284" s="1252"/>
      <c r="B284" s="1208"/>
      <c r="C284" s="2369"/>
      <c r="D284" s="2369"/>
      <c r="E284" s="2369"/>
      <c r="F284" s="2369"/>
      <c r="G284" s="2369"/>
      <c r="H284" s="2558"/>
      <c r="I284" s="1966"/>
      <c r="J284" s="1966"/>
      <c r="K284" s="1966"/>
      <c r="L284" s="1966"/>
      <c r="M284" s="1966"/>
      <c r="N284" s="1966"/>
      <c r="O284" s="1966"/>
      <c r="P284" s="1966"/>
      <c r="Q284" s="1966"/>
      <c r="R284" s="1966"/>
      <c r="S284" s="1966"/>
      <c r="T284" s="1966"/>
      <c r="U284" s="1966"/>
      <c r="V284" s="1966"/>
      <c r="W284" s="1966"/>
      <c r="X284" s="1966"/>
      <c r="Y284" s="1966"/>
      <c r="Z284" s="1966"/>
      <c r="AA284" s="1966"/>
      <c r="AB284" s="1966"/>
      <c r="AC284" s="1966"/>
      <c r="AD284" s="1966"/>
      <c r="AE284" s="1966"/>
      <c r="AF284" s="1966"/>
      <c r="AG284" s="337"/>
      <c r="AH284" s="1009"/>
      <c r="AI284" s="1009"/>
      <c r="AJ284" s="1956">
        <f>IF(fx!$C$57=1,SUMIF(fx!I$57:T$57,1,I284:T284),IF(fx!$C$57=2,SUMIF(fx!O$57:AF$57,1,O284:AF284)))</f>
        <v>0</v>
      </c>
      <c r="AK284" s="1207"/>
      <c r="AL284" s="1957">
        <f>IF(fx!$C$57=1,SUM(U284:AF284),0)</f>
        <v>0</v>
      </c>
      <c r="AM284" s="1036"/>
      <c r="AN284" s="1036"/>
      <c r="AO284" s="1034"/>
      <c r="AP284" s="1084"/>
      <c r="AQ284" s="1084"/>
      <c r="AR284" s="1009"/>
      <c r="AS284" s="1009"/>
      <c r="AT284" s="1009"/>
      <c r="AU284" s="1009"/>
      <c r="AV284" s="1009"/>
      <c r="AW284" s="1009"/>
      <c r="AX284" s="1009"/>
      <c r="AY284" s="1009"/>
      <c r="AZ284" s="1009"/>
      <c r="BA284" s="1009"/>
      <c r="BB284" s="1009"/>
      <c r="BC284" s="1009"/>
      <c r="BD284" s="1009"/>
      <c r="BE284" s="1009"/>
      <c r="BF284" s="1009"/>
      <c r="BG284" s="1009"/>
      <c r="BH284" s="1009"/>
      <c r="BI284" s="1009"/>
      <c r="BJ284" s="1009"/>
      <c r="BK284" s="1009"/>
      <c r="BL284" s="1009"/>
      <c r="BM284" s="1009"/>
      <c r="BN284" s="1009"/>
      <c r="BO284" s="1009"/>
      <c r="BP284" s="1009"/>
      <c r="BQ284" s="1009"/>
      <c r="BR284" s="1009"/>
      <c r="BS284" s="1009"/>
      <c r="BT284" s="1009"/>
      <c r="BU284" s="1009"/>
      <c r="BV284" s="1009"/>
      <c r="BW284" s="1009"/>
      <c r="BX284" s="1009"/>
      <c r="BY284" s="1009"/>
      <c r="BZ284" s="1009"/>
      <c r="CA284" s="1009"/>
      <c r="CB284" s="1009"/>
      <c r="CC284" s="1009"/>
      <c r="CD284" s="1009"/>
      <c r="CE284" s="1009"/>
      <c r="CF284" s="1009"/>
      <c r="CG284" s="1009"/>
      <c r="CH284" s="1009"/>
      <c r="CI284" s="1009"/>
      <c r="CJ284" s="1009"/>
      <c r="CK284" s="1009"/>
      <c r="CL284" s="1009"/>
      <c r="CM284" s="1009"/>
      <c r="CN284" s="1009"/>
      <c r="CO284" s="1009"/>
      <c r="CP284" s="1009"/>
      <c r="CQ284" s="1009"/>
      <c r="CR284" s="1009"/>
      <c r="CS284" s="1009"/>
      <c r="CT284" s="1009"/>
      <c r="CU284" s="1009"/>
      <c r="CV284" s="1009"/>
      <c r="CW284" s="1009"/>
      <c r="CX284" s="1009"/>
      <c r="CY284" s="1009"/>
      <c r="CZ284" s="1009"/>
      <c r="DA284" s="1009"/>
      <c r="DB284" s="1009"/>
      <c r="DC284" s="1009"/>
      <c r="DD284" s="1009"/>
      <c r="DE284" s="1009"/>
      <c r="DF284" s="1009"/>
      <c r="DG284" s="1009"/>
      <c r="DH284" s="1009"/>
      <c r="DI284" s="1009"/>
      <c r="DJ284" s="1009"/>
      <c r="DK284" s="1009"/>
      <c r="DL284" s="1009"/>
      <c r="DM284" s="1009"/>
      <c r="DN284" s="1009"/>
      <c r="DO284" s="1009"/>
      <c r="DP284" s="1009"/>
      <c r="DQ284" s="1009"/>
      <c r="DR284" s="1009"/>
      <c r="DS284" s="1009"/>
      <c r="DT284" s="1009"/>
      <c r="DU284" s="1009"/>
      <c r="DV284" s="1009"/>
      <c r="DW284" s="1009"/>
      <c r="DX284" s="1009"/>
      <c r="DY284" s="1009"/>
      <c r="DZ284" s="1009"/>
      <c r="EA284" s="1009"/>
      <c r="EB284" s="1009"/>
      <c r="EC284" s="1009"/>
      <c r="ED284" s="1009"/>
      <c r="EE284" s="1009"/>
      <c r="EF284" s="1009"/>
      <c r="EG284" s="1009"/>
      <c r="EH284" s="1009"/>
      <c r="EI284" s="1009"/>
      <c r="EJ284" s="1009"/>
      <c r="EK284" s="1009"/>
      <c r="EL284" s="1009"/>
      <c r="EM284" s="1009"/>
      <c r="EN284" s="1009"/>
      <c r="EO284" s="1009"/>
      <c r="EP284" s="1009"/>
      <c r="EQ284" s="1009"/>
      <c r="ER284" s="1009"/>
      <c r="ES284" s="1009"/>
      <c r="ET284" s="1009"/>
      <c r="EU284" s="1009"/>
      <c r="EV284" s="1009"/>
      <c r="EW284" s="1009"/>
      <c r="EX284" s="1009"/>
      <c r="EY284" s="1009"/>
      <c r="EZ284" s="1009"/>
      <c r="FA284" s="1009"/>
      <c r="FB284" s="1009"/>
      <c r="FC284" s="1009"/>
      <c r="FD284" s="1009"/>
      <c r="FE284" s="1009"/>
      <c r="FF284" s="1009"/>
      <c r="FG284" s="1009"/>
      <c r="FH284" s="1009"/>
      <c r="FI284" s="1009"/>
      <c r="FJ284" s="1009"/>
      <c r="FK284" s="1009"/>
      <c r="FL284" s="1009"/>
      <c r="FM284" s="1009"/>
      <c r="FN284" s="1009"/>
      <c r="FO284" s="1009"/>
      <c r="FP284" s="1009"/>
      <c r="FQ284" s="1009"/>
      <c r="FR284" s="1009"/>
      <c r="FS284" s="1009"/>
      <c r="FT284" s="1009"/>
      <c r="FU284" s="1009"/>
      <c r="FV284" s="1009"/>
      <c r="FW284" s="1009"/>
      <c r="FX284" s="1009"/>
      <c r="FY284" s="1009"/>
      <c r="FZ284" s="1009"/>
      <c r="GA284" s="1009"/>
      <c r="GB284" s="1009"/>
      <c r="GC284" s="1009"/>
      <c r="GD284" s="1009"/>
      <c r="GE284" s="1009"/>
      <c r="GF284" s="1009"/>
      <c r="GG284" s="1009"/>
      <c r="GH284" s="1009"/>
      <c r="GI284" s="1009"/>
      <c r="GJ284" s="1009"/>
      <c r="GK284" s="1009"/>
      <c r="GL284" s="1009"/>
      <c r="GM284" s="1009"/>
      <c r="GN284" s="1009"/>
      <c r="GO284" s="1009"/>
      <c r="GP284" s="1009"/>
      <c r="GQ284" s="1009"/>
      <c r="GR284" s="1009"/>
      <c r="GS284" s="1009"/>
      <c r="GT284" s="1009"/>
      <c r="GU284" s="1009"/>
      <c r="GV284" s="1009"/>
      <c r="GW284" s="1009"/>
      <c r="GX284" s="1009"/>
      <c r="GY284" s="1009"/>
      <c r="GZ284" s="1009"/>
      <c r="HA284" s="1009"/>
      <c r="HB284" s="1009"/>
      <c r="HC284" s="1009"/>
      <c r="HD284" s="1009"/>
      <c r="HE284" s="1009"/>
      <c r="HF284" s="1009"/>
      <c r="HG284" s="1009"/>
      <c r="HH284" s="1009"/>
      <c r="HI284" s="1009"/>
      <c r="HJ284" s="1009"/>
      <c r="HK284" s="1009"/>
      <c r="HL284" s="1009"/>
      <c r="HM284" s="1009"/>
      <c r="HN284" s="1009"/>
      <c r="HO284" s="1009"/>
      <c r="HP284" s="1009"/>
      <c r="HQ284" s="1009"/>
      <c r="HR284" s="1009"/>
      <c r="HS284" s="1009"/>
      <c r="HT284" s="1009"/>
      <c r="HU284" s="1009"/>
      <c r="HV284" s="1009"/>
      <c r="HW284" s="1009"/>
      <c r="HX284" s="1009"/>
      <c r="HY284" s="1009"/>
      <c r="HZ284" s="1009"/>
      <c r="IA284" s="1009"/>
      <c r="IB284" s="1009"/>
      <c r="IC284" s="1009"/>
      <c r="ID284" s="1009"/>
      <c r="IE284" s="1009"/>
      <c r="IF284" s="1009"/>
      <c r="IG284" s="1009"/>
      <c r="IH284" s="1009"/>
      <c r="II284" s="1009"/>
      <c r="IJ284" s="1009"/>
      <c r="IK284" s="1009"/>
      <c r="IL284" s="1009"/>
      <c r="IM284" s="1009"/>
      <c r="IN284" s="1009"/>
      <c r="IO284" s="1009"/>
      <c r="IP284" s="1009"/>
      <c r="IQ284" s="1009"/>
      <c r="IR284" s="1009"/>
      <c r="IS284" s="1009"/>
      <c r="IT284" s="1009"/>
      <c r="IU284" s="1009"/>
      <c r="IV284" s="1009"/>
      <c r="IW284" s="1009"/>
      <c r="IX284" s="1009"/>
      <c r="IY284" s="1009"/>
      <c r="IZ284" s="1009"/>
      <c r="JA284" s="1009"/>
      <c r="JB284" s="1009"/>
      <c r="JC284" s="1009"/>
      <c r="JD284" s="1009"/>
      <c r="JE284" s="1009"/>
      <c r="JF284" s="1009"/>
      <c r="JG284" s="1009"/>
      <c r="JH284" s="1009"/>
      <c r="JI284" s="1009"/>
      <c r="JJ284" s="1009"/>
      <c r="JK284" s="1009"/>
      <c r="JL284" s="1009"/>
      <c r="JM284" s="1009"/>
      <c r="JN284" s="1009"/>
      <c r="JO284" s="1009"/>
      <c r="JP284" s="1009"/>
      <c r="JQ284" s="1009"/>
      <c r="JR284" s="1009"/>
      <c r="JS284" s="1009"/>
      <c r="JT284" s="1009"/>
      <c r="JU284" s="1009"/>
      <c r="JV284" s="1009"/>
      <c r="JW284" s="1009"/>
      <c r="JX284" s="1009"/>
      <c r="JY284" s="1009"/>
      <c r="JZ284" s="1009"/>
      <c r="KA284" s="1009"/>
      <c r="KB284" s="1009"/>
      <c r="KC284" s="1009"/>
      <c r="KD284" s="1009"/>
      <c r="KE284" s="1009"/>
      <c r="KF284" s="1009"/>
      <c r="KG284" s="1009"/>
      <c r="KH284" s="1009"/>
      <c r="KI284" s="1009"/>
      <c r="KJ284" s="1009"/>
      <c r="KK284" s="1009"/>
      <c r="KL284" s="1009"/>
      <c r="KM284" s="1009"/>
      <c r="KN284" s="1009"/>
      <c r="KO284" s="1009"/>
      <c r="KP284" s="1009"/>
      <c r="KQ284" s="1009"/>
      <c r="KR284" s="1009"/>
      <c r="KS284" s="1009"/>
      <c r="KT284" s="1009"/>
      <c r="KU284" s="1009"/>
      <c r="KV284" s="1009"/>
      <c r="KW284" s="1009"/>
      <c r="KX284" s="1009"/>
      <c r="KY284" s="1009"/>
      <c r="KZ284" s="1009"/>
      <c r="LA284" s="1009"/>
      <c r="LB284" s="1009"/>
      <c r="LC284" s="1009"/>
      <c r="LD284" s="1009"/>
      <c r="LE284" s="1009"/>
      <c r="LF284" s="1009"/>
      <c r="LG284" s="1009"/>
      <c r="LH284" s="1009"/>
      <c r="LI284" s="1009"/>
      <c r="LJ284" s="1009"/>
      <c r="LK284" s="1009"/>
      <c r="LL284" s="1009"/>
      <c r="LM284" s="1009"/>
      <c r="LN284" s="1009"/>
      <c r="LO284" s="1009"/>
      <c r="LP284" s="1009"/>
      <c r="LQ284" s="1009"/>
      <c r="LR284" s="1009"/>
      <c r="LS284" s="1009"/>
      <c r="LT284" s="1009"/>
      <c r="LU284" s="1009"/>
      <c r="LV284" s="1009"/>
      <c r="LW284" s="1009"/>
      <c r="LX284" s="1009"/>
      <c r="LY284" s="1009"/>
      <c r="LZ284" s="1009"/>
      <c r="MA284" s="1009"/>
      <c r="MB284" s="1009"/>
      <c r="MC284" s="1009"/>
      <c r="MD284" s="1009"/>
      <c r="ME284" s="1009"/>
      <c r="MF284" s="1009"/>
      <c r="MG284" s="1009"/>
      <c r="MH284" s="1009"/>
      <c r="MI284" s="1009"/>
      <c r="MJ284" s="1009"/>
      <c r="MK284" s="1009"/>
      <c r="ML284" s="1009"/>
      <c r="MM284" s="1009"/>
      <c r="MN284" s="1009"/>
      <c r="MO284" s="1009"/>
      <c r="MP284" s="1009"/>
      <c r="MQ284" s="1009"/>
      <c r="MR284" s="1009"/>
      <c r="MS284" s="1009"/>
      <c r="MT284" s="1009"/>
      <c r="MU284" s="1009"/>
      <c r="MV284" s="1009"/>
      <c r="MW284" s="1009"/>
      <c r="MX284" s="1009"/>
      <c r="MY284" s="1009"/>
      <c r="MZ284" s="1009"/>
      <c r="NA284" s="1009"/>
      <c r="NB284" s="1009"/>
      <c r="NC284" s="1009"/>
      <c r="ND284" s="1009"/>
      <c r="NE284" s="1009"/>
      <c r="NF284" s="1009"/>
      <c r="NG284" s="1009"/>
      <c r="NH284" s="1009"/>
      <c r="NI284" s="1009"/>
      <c r="NJ284" s="1009"/>
      <c r="NK284" s="1009"/>
      <c r="NL284" s="1009"/>
      <c r="NM284" s="1009"/>
      <c r="NN284" s="1009"/>
      <c r="NO284" s="1009"/>
      <c r="NP284" s="1009"/>
      <c r="NQ284" s="1009"/>
      <c r="NR284" s="1009"/>
      <c r="NS284" s="1009"/>
      <c r="NT284" s="1009"/>
      <c r="NU284" s="1009"/>
      <c r="NV284" s="1009"/>
      <c r="NW284" s="1009"/>
      <c r="NX284" s="1009"/>
      <c r="NY284" s="1009"/>
      <c r="NZ284" s="1009"/>
      <c r="OA284" s="1009"/>
      <c r="OB284" s="1009"/>
      <c r="OC284" s="1009"/>
      <c r="OD284" s="1009"/>
      <c r="OE284" s="1009"/>
      <c r="OF284" s="1009"/>
      <c r="OG284" s="1009"/>
      <c r="OH284" s="1009"/>
      <c r="OI284" s="1009"/>
      <c r="OJ284" s="1009"/>
      <c r="OK284" s="1009"/>
      <c r="OL284" s="1009"/>
      <c r="OM284" s="1009"/>
      <c r="ON284" s="1009"/>
      <c r="OO284" s="1009"/>
      <c r="OP284" s="1009"/>
      <c r="OQ284" s="1009"/>
      <c r="OR284" s="1009"/>
      <c r="OS284" s="1009"/>
      <c r="OT284" s="1009"/>
      <c r="OU284" s="1009"/>
      <c r="OV284" s="1009"/>
      <c r="OW284" s="1009"/>
      <c r="OX284" s="1009"/>
      <c r="OY284" s="1009"/>
      <c r="OZ284" s="1009"/>
      <c r="PA284" s="1009"/>
      <c r="PB284" s="1009"/>
      <c r="PC284" s="1009"/>
      <c r="PD284" s="1009"/>
      <c r="PE284" s="1009"/>
      <c r="PF284" s="1009"/>
      <c r="PG284" s="1009"/>
      <c r="PH284" s="1009"/>
      <c r="PI284" s="1009"/>
      <c r="PJ284" s="1009"/>
      <c r="PK284" s="1009"/>
      <c r="PL284" s="1009"/>
      <c r="PM284" s="1009"/>
      <c r="PN284" s="1009"/>
      <c r="PO284" s="1009"/>
      <c r="PP284" s="1009"/>
      <c r="PQ284" s="1009"/>
      <c r="PR284" s="1009"/>
      <c r="PS284" s="1009"/>
      <c r="PT284" s="1009"/>
      <c r="PU284" s="1009"/>
      <c r="PV284" s="1009"/>
      <c r="PW284" s="1009"/>
      <c r="PX284" s="1009"/>
      <c r="PY284" s="1009"/>
      <c r="PZ284" s="1009"/>
      <c r="QA284" s="1009"/>
      <c r="QB284" s="1009"/>
      <c r="QC284" s="1009"/>
      <c r="QD284" s="1009"/>
      <c r="QE284" s="1009"/>
      <c r="QF284" s="1009"/>
      <c r="QG284" s="1009"/>
      <c r="QH284" s="1009"/>
      <c r="QI284" s="1009"/>
      <c r="QJ284" s="1009"/>
      <c r="QK284" s="1009"/>
      <c r="QL284" s="1009"/>
      <c r="QM284" s="1009"/>
      <c r="QN284" s="1009"/>
      <c r="QO284" s="1009"/>
      <c r="QP284" s="1009"/>
      <c r="QQ284" s="1009"/>
      <c r="QR284" s="1009"/>
      <c r="QS284" s="1009"/>
      <c r="QT284" s="1009"/>
      <c r="QU284" s="1009"/>
      <c r="QV284" s="1009"/>
      <c r="QW284" s="1009"/>
      <c r="QX284" s="1009"/>
      <c r="QY284" s="1009"/>
      <c r="QZ284" s="1009"/>
      <c r="RA284" s="1009"/>
      <c r="RB284" s="1009"/>
      <c r="RC284" s="1009"/>
      <c r="RD284" s="1009"/>
      <c r="RE284" s="1009"/>
      <c r="RF284" s="1009"/>
      <c r="RG284" s="1009"/>
      <c r="RH284" s="1009"/>
      <c r="RI284" s="1009"/>
      <c r="RJ284" s="1009"/>
      <c r="RK284" s="1009"/>
      <c r="RL284" s="1009"/>
      <c r="RM284" s="1009"/>
      <c r="RN284" s="1009"/>
      <c r="RO284" s="1009"/>
      <c r="RP284" s="1009"/>
      <c r="RQ284" s="1009"/>
      <c r="RR284" s="1009"/>
      <c r="RS284" s="1009"/>
      <c r="RT284" s="1009"/>
      <c r="RU284" s="1009"/>
      <c r="RV284" s="1009"/>
      <c r="RW284" s="1009"/>
      <c r="RX284" s="1009"/>
      <c r="RY284" s="1009"/>
      <c r="RZ284" s="1009"/>
      <c r="SA284" s="1009"/>
      <c r="SB284" s="1009"/>
      <c r="SC284" s="1009"/>
      <c r="SD284" s="1009"/>
      <c r="SE284" s="1009"/>
      <c r="SF284" s="1009"/>
      <c r="SG284" s="1009"/>
      <c r="SH284" s="1009"/>
      <c r="SI284" s="1009"/>
      <c r="SJ284" s="1009"/>
      <c r="SK284" s="1009"/>
      <c r="SL284" s="1009"/>
      <c r="SM284" s="1009"/>
      <c r="SN284" s="1009"/>
      <c r="SO284" s="1009"/>
      <c r="SP284" s="1009"/>
      <c r="SQ284" s="1009"/>
      <c r="SR284" s="1009"/>
      <c r="SS284" s="1009"/>
      <c r="ST284" s="1009"/>
      <c r="SU284" s="1009"/>
      <c r="SV284" s="1009"/>
      <c r="SW284" s="1009"/>
      <c r="SX284" s="1009"/>
      <c r="SY284" s="1009"/>
      <c r="SZ284" s="1009"/>
      <c r="TA284" s="1009"/>
      <c r="TB284" s="1009"/>
      <c r="TC284" s="1009"/>
      <c r="TD284" s="1009"/>
      <c r="TE284" s="1009"/>
      <c r="TF284" s="1009"/>
      <c r="TG284" s="1009"/>
      <c r="TH284" s="1009"/>
      <c r="TI284" s="1009"/>
      <c r="TJ284" s="1009"/>
      <c r="TK284" s="1009"/>
      <c r="TL284" s="1009"/>
      <c r="TM284" s="1009"/>
      <c r="TN284" s="1009"/>
      <c r="TO284" s="1009"/>
      <c r="TP284" s="1009"/>
      <c r="TQ284" s="1009"/>
      <c r="TR284" s="1009"/>
      <c r="TS284" s="1009"/>
      <c r="TT284" s="1009"/>
      <c r="TU284" s="1009"/>
      <c r="TV284" s="1009"/>
      <c r="TW284" s="1009"/>
      <c r="TX284" s="1009"/>
      <c r="TY284" s="1009"/>
      <c r="TZ284" s="1009"/>
      <c r="UA284" s="1009"/>
      <c r="UB284" s="1009"/>
      <c r="UC284" s="1009"/>
      <c r="UD284" s="1009"/>
      <c r="UE284" s="1009"/>
      <c r="UF284" s="1009"/>
      <c r="UG284" s="1009"/>
      <c r="UH284" s="1009"/>
      <c r="UI284" s="1009"/>
      <c r="UJ284" s="1009"/>
      <c r="UK284" s="1009"/>
      <c r="UL284" s="1009"/>
      <c r="UM284" s="1009"/>
      <c r="UN284" s="1009"/>
      <c r="UO284" s="1009"/>
      <c r="UP284" s="1009"/>
      <c r="UQ284" s="1009"/>
      <c r="UR284" s="1009"/>
      <c r="US284" s="1009"/>
      <c r="UT284" s="1009"/>
      <c r="UU284" s="1009"/>
      <c r="UV284" s="1009"/>
      <c r="UW284" s="1009"/>
      <c r="UX284" s="1009"/>
      <c r="UY284" s="1009"/>
      <c r="UZ284" s="1009"/>
      <c r="VA284" s="1009"/>
      <c r="VB284" s="1009"/>
      <c r="VC284" s="1009"/>
      <c r="VD284" s="1009"/>
      <c r="VE284" s="1009"/>
      <c r="VF284" s="1009"/>
      <c r="VG284" s="1009"/>
      <c r="VH284" s="1009"/>
      <c r="VI284" s="1009"/>
      <c r="VJ284" s="1009"/>
      <c r="VK284" s="1009"/>
      <c r="VL284" s="1009"/>
      <c r="VM284" s="1009"/>
      <c r="VN284" s="1009"/>
      <c r="VO284" s="1009"/>
      <c r="VP284" s="1009"/>
      <c r="VQ284" s="1009"/>
      <c r="VR284" s="1009"/>
      <c r="VS284" s="1009"/>
      <c r="VT284" s="1009"/>
      <c r="VU284" s="1009"/>
      <c r="VV284" s="1009"/>
      <c r="VW284" s="1009"/>
      <c r="VX284" s="1009"/>
      <c r="VY284" s="1009"/>
      <c r="VZ284" s="1009"/>
      <c r="WA284" s="1009"/>
      <c r="WB284" s="1009"/>
      <c r="WC284" s="1009"/>
      <c r="WD284" s="1009"/>
      <c r="WE284" s="1009"/>
      <c r="WF284" s="1009"/>
      <c r="WG284" s="1009"/>
      <c r="WH284" s="1009"/>
      <c r="WI284" s="1009"/>
      <c r="WJ284" s="1009"/>
      <c r="WK284" s="1009"/>
      <c r="WL284" s="1009"/>
      <c r="WM284" s="1009"/>
      <c r="WN284" s="1009"/>
      <c r="WO284" s="1009"/>
      <c r="WP284" s="1009"/>
      <c r="WQ284" s="1009"/>
      <c r="WR284" s="1009"/>
      <c r="WS284" s="1009"/>
      <c r="WT284" s="1009"/>
      <c r="WU284" s="1009"/>
      <c r="WV284" s="1009"/>
      <c r="WW284" s="1009"/>
      <c r="WX284" s="1009"/>
      <c r="WY284" s="1009"/>
      <c r="WZ284" s="1009"/>
      <c r="XA284" s="1009"/>
      <c r="XB284" s="1009"/>
      <c r="XC284" s="1009"/>
      <c r="XD284" s="1009"/>
      <c r="XE284" s="1009"/>
      <c r="XF284" s="1009"/>
      <c r="XG284" s="1009"/>
      <c r="XH284" s="1009"/>
      <c r="XI284" s="1009"/>
      <c r="XJ284" s="1009"/>
      <c r="XK284" s="1009"/>
      <c r="XL284" s="1009"/>
      <c r="XM284" s="1009"/>
      <c r="XN284" s="1009"/>
      <c r="XO284" s="1009"/>
      <c r="XP284" s="1009"/>
      <c r="XQ284" s="1009"/>
      <c r="XR284" s="1009"/>
      <c r="XS284" s="1009"/>
      <c r="XT284" s="1009"/>
      <c r="XU284" s="1009"/>
      <c r="XV284" s="1009"/>
      <c r="XW284" s="1009"/>
      <c r="XX284" s="1009"/>
      <c r="XY284" s="1009"/>
      <c r="XZ284" s="1009"/>
      <c r="YA284" s="1009"/>
      <c r="YB284" s="1009"/>
      <c r="YC284" s="1009"/>
      <c r="YD284" s="1009"/>
      <c r="YE284" s="1009"/>
      <c r="YF284" s="1009"/>
      <c r="YG284" s="1009"/>
      <c r="YH284" s="1009"/>
      <c r="YI284" s="1009"/>
      <c r="YJ284" s="1009"/>
      <c r="YK284" s="1009"/>
      <c r="YL284" s="1009"/>
      <c r="YM284" s="1009"/>
      <c r="YN284" s="1009"/>
      <c r="YO284" s="1009"/>
      <c r="YP284" s="1009"/>
      <c r="YQ284" s="1009"/>
      <c r="YR284" s="1009"/>
      <c r="YS284" s="1009"/>
      <c r="YT284" s="1009"/>
      <c r="YU284" s="1009"/>
      <c r="YV284" s="1009"/>
      <c r="YW284" s="1009"/>
      <c r="YX284" s="1009"/>
      <c r="YY284" s="1009"/>
      <c r="YZ284" s="1009"/>
      <c r="ZA284" s="1009"/>
      <c r="ZB284" s="1009"/>
      <c r="ZC284" s="1009"/>
      <c r="ZD284" s="1009"/>
      <c r="ZE284" s="1009"/>
      <c r="ZF284" s="1009"/>
      <c r="ZG284" s="1009"/>
      <c r="ZH284" s="1009"/>
      <c r="ZI284" s="1009"/>
      <c r="ZJ284" s="1009"/>
      <c r="ZK284" s="1009"/>
      <c r="ZL284" s="1009"/>
      <c r="ZM284" s="1009"/>
      <c r="ZN284" s="1009"/>
      <c r="ZO284" s="1009"/>
      <c r="ZP284" s="1009"/>
      <c r="ZQ284" s="1009"/>
      <c r="ZR284" s="1009"/>
      <c r="ZS284" s="1009"/>
      <c r="ZT284" s="1009"/>
      <c r="ZU284" s="1009"/>
      <c r="ZV284" s="1009"/>
      <c r="ZW284" s="1009"/>
      <c r="ZX284" s="1009"/>
      <c r="ZY284" s="1009"/>
      <c r="ZZ284" s="1009"/>
      <c r="AAA284" s="1009"/>
      <c r="AAB284" s="1009"/>
      <c r="AAC284" s="1009"/>
      <c r="AAD284" s="1009"/>
      <c r="AAE284" s="1009"/>
      <c r="AAF284" s="1009"/>
      <c r="AAG284" s="1009"/>
      <c r="AAH284" s="1009"/>
      <c r="AAI284" s="1009"/>
      <c r="AAJ284" s="1009"/>
      <c r="AAK284" s="1009"/>
      <c r="AAL284" s="1009"/>
      <c r="AAM284" s="1009"/>
      <c r="AAN284" s="1009"/>
      <c r="AAO284" s="1009"/>
      <c r="AAP284" s="1009"/>
      <c r="AAQ284" s="1009"/>
      <c r="AAR284" s="1009"/>
      <c r="AAS284" s="1009"/>
      <c r="AAT284" s="1009"/>
      <c r="AAU284" s="1009"/>
      <c r="AAV284" s="1009"/>
      <c r="AAW284" s="1009"/>
      <c r="AAX284" s="1009"/>
      <c r="AAY284" s="1009"/>
      <c r="AAZ284" s="1009"/>
      <c r="ABA284" s="1009"/>
      <c r="ABB284" s="1009"/>
      <c r="ABC284" s="1009"/>
      <c r="ABD284" s="1009"/>
      <c r="ABE284" s="1009"/>
      <c r="ABF284" s="1009"/>
      <c r="ABG284" s="1009"/>
      <c r="ABH284" s="1009"/>
      <c r="ABI284" s="1009"/>
      <c r="ABJ284" s="1009"/>
      <c r="ABK284" s="1009"/>
      <c r="ABL284" s="1009"/>
      <c r="ABM284" s="1009"/>
      <c r="ABN284" s="1009"/>
      <c r="ABO284" s="1009"/>
      <c r="ABP284" s="1009"/>
      <c r="ABQ284" s="1009"/>
      <c r="ABR284" s="1009"/>
    </row>
    <row r="285" spans="1:746" s="111" customFormat="1" ht="12" hidden="1" customHeight="1">
      <c r="A285" s="1252"/>
      <c r="B285" s="1208"/>
      <c r="C285" s="2369"/>
      <c r="D285" s="2369"/>
      <c r="E285" s="2369"/>
      <c r="F285" s="2369"/>
      <c r="G285" s="2369"/>
      <c r="H285" s="2558"/>
      <c r="I285" s="1966"/>
      <c r="J285" s="1966"/>
      <c r="K285" s="1966"/>
      <c r="L285" s="1966"/>
      <c r="M285" s="1966"/>
      <c r="N285" s="1966"/>
      <c r="O285" s="1966"/>
      <c r="P285" s="1966"/>
      <c r="Q285" s="1966"/>
      <c r="R285" s="1966"/>
      <c r="S285" s="1966"/>
      <c r="T285" s="1966"/>
      <c r="U285" s="1966"/>
      <c r="V285" s="1966"/>
      <c r="W285" s="1966"/>
      <c r="X285" s="1966"/>
      <c r="Y285" s="1966"/>
      <c r="Z285" s="1966"/>
      <c r="AA285" s="1966"/>
      <c r="AB285" s="1966"/>
      <c r="AC285" s="1966"/>
      <c r="AD285" s="1966"/>
      <c r="AE285" s="1966"/>
      <c r="AF285" s="1966"/>
      <c r="AG285" s="337"/>
      <c r="AH285" s="1009"/>
      <c r="AI285" s="1009"/>
      <c r="AJ285" s="1956">
        <f>IF(fx!$C$57=1,SUMIF(fx!I$57:T$57,1,I285:T285),IF(fx!$C$57=2,SUMIF(fx!O$57:AF$57,1,O285:AF285)))</f>
        <v>0</v>
      </c>
      <c r="AK285" s="1207"/>
      <c r="AL285" s="1957">
        <f>IF(fx!$C$57=1,SUM(U285:AF285),0)</f>
        <v>0</v>
      </c>
      <c r="AM285" s="1036"/>
      <c r="AN285" s="1036"/>
      <c r="AO285" s="1034"/>
      <c r="AP285" s="1084"/>
      <c r="AQ285" s="1084"/>
      <c r="AR285" s="1009"/>
      <c r="AS285" s="1009"/>
      <c r="AT285" s="1009"/>
      <c r="AU285" s="1009"/>
      <c r="AV285" s="1009"/>
      <c r="AW285" s="1009"/>
      <c r="AX285" s="1009"/>
      <c r="AY285" s="1009"/>
      <c r="AZ285" s="1009"/>
      <c r="BA285" s="1009"/>
      <c r="BB285" s="1009"/>
      <c r="BC285" s="1009"/>
      <c r="BD285" s="1009"/>
      <c r="BE285" s="1009"/>
      <c r="BF285" s="1009"/>
      <c r="BG285" s="1009"/>
      <c r="BH285" s="1009"/>
      <c r="BI285" s="1009"/>
      <c r="BJ285" s="1009"/>
      <c r="BK285" s="1009"/>
      <c r="BL285" s="1009"/>
      <c r="BM285" s="1009"/>
      <c r="BN285" s="1009"/>
      <c r="BO285" s="1009"/>
      <c r="BP285" s="1009"/>
      <c r="BQ285" s="1009"/>
      <c r="BR285" s="1009"/>
      <c r="BS285" s="1009"/>
      <c r="BT285" s="1009"/>
      <c r="BU285" s="1009"/>
      <c r="BV285" s="1009"/>
      <c r="BW285" s="1009"/>
      <c r="BX285" s="1009"/>
      <c r="BY285" s="1009"/>
      <c r="BZ285" s="1009"/>
      <c r="CA285" s="1009"/>
      <c r="CB285" s="1009"/>
      <c r="CC285" s="1009"/>
      <c r="CD285" s="1009"/>
      <c r="CE285" s="1009"/>
      <c r="CF285" s="1009"/>
      <c r="CG285" s="1009"/>
      <c r="CH285" s="1009"/>
      <c r="CI285" s="1009"/>
      <c r="CJ285" s="1009"/>
      <c r="CK285" s="1009"/>
      <c r="CL285" s="1009"/>
      <c r="CM285" s="1009"/>
      <c r="CN285" s="1009"/>
      <c r="CO285" s="1009"/>
      <c r="CP285" s="1009"/>
      <c r="CQ285" s="1009"/>
      <c r="CR285" s="1009"/>
      <c r="CS285" s="1009"/>
      <c r="CT285" s="1009"/>
      <c r="CU285" s="1009"/>
      <c r="CV285" s="1009"/>
      <c r="CW285" s="1009"/>
      <c r="CX285" s="1009"/>
      <c r="CY285" s="1009"/>
      <c r="CZ285" s="1009"/>
      <c r="DA285" s="1009"/>
      <c r="DB285" s="1009"/>
      <c r="DC285" s="1009"/>
      <c r="DD285" s="1009"/>
      <c r="DE285" s="1009"/>
      <c r="DF285" s="1009"/>
      <c r="DG285" s="1009"/>
      <c r="DH285" s="1009"/>
      <c r="DI285" s="1009"/>
      <c r="DJ285" s="1009"/>
      <c r="DK285" s="1009"/>
      <c r="DL285" s="1009"/>
      <c r="DM285" s="1009"/>
      <c r="DN285" s="1009"/>
      <c r="DO285" s="1009"/>
      <c r="DP285" s="1009"/>
      <c r="DQ285" s="1009"/>
      <c r="DR285" s="1009"/>
      <c r="DS285" s="1009"/>
      <c r="DT285" s="1009"/>
      <c r="DU285" s="1009"/>
      <c r="DV285" s="1009"/>
      <c r="DW285" s="1009"/>
      <c r="DX285" s="1009"/>
      <c r="DY285" s="1009"/>
      <c r="DZ285" s="1009"/>
      <c r="EA285" s="1009"/>
      <c r="EB285" s="1009"/>
      <c r="EC285" s="1009"/>
      <c r="ED285" s="1009"/>
      <c r="EE285" s="1009"/>
      <c r="EF285" s="1009"/>
      <c r="EG285" s="1009"/>
      <c r="EH285" s="1009"/>
      <c r="EI285" s="1009"/>
      <c r="EJ285" s="1009"/>
      <c r="EK285" s="1009"/>
      <c r="EL285" s="1009"/>
      <c r="EM285" s="1009"/>
      <c r="EN285" s="1009"/>
      <c r="EO285" s="1009"/>
      <c r="EP285" s="1009"/>
      <c r="EQ285" s="1009"/>
      <c r="ER285" s="1009"/>
      <c r="ES285" s="1009"/>
      <c r="ET285" s="1009"/>
      <c r="EU285" s="1009"/>
      <c r="EV285" s="1009"/>
      <c r="EW285" s="1009"/>
      <c r="EX285" s="1009"/>
      <c r="EY285" s="1009"/>
      <c r="EZ285" s="1009"/>
      <c r="FA285" s="1009"/>
      <c r="FB285" s="1009"/>
      <c r="FC285" s="1009"/>
      <c r="FD285" s="1009"/>
      <c r="FE285" s="1009"/>
      <c r="FF285" s="1009"/>
      <c r="FG285" s="1009"/>
      <c r="FH285" s="1009"/>
      <c r="FI285" s="1009"/>
      <c r="FJ285" s="1009"/>
      <c r="FK285" s="1009"/>
      <c r="FL285" s="1009"/>
      <c r="FM285" s="1009"/>
      <c r="FN285" s="1009"/>
      <c r="FO285" s="1009"/>
      <c r="FP285" s="1009"/>
      <c r="FQ285" s="1009"/>
      <c r="FR285" s="1009"/>
      <c r="FS285" s="1009"/>
      <c r="FT285" s="1009"/>
      <c r="FU285" s="1009"/>
      <c r="FV285" s="1009"/>
      <c r="FW285" s="1009"/>
      <c r="FX285" s="1009"/>
      <c r="FY285" s="1009"/>
      <c r="FZ285" s="1009"/>
      <c r="GA285" s="1009"/>
      <c r="GB285" s="1009"/>
      <c r="GC285" s="1009"/>
      <c r="GD285" s="1009"/>
      <c r="GE285" s="1009"/>
      <c r="GF285" s="1009"/>
      <c r="GG285" s="1009"/>
      <c r="GH285" s="1009"/>
      <c r="GI285" s="1009"/>
      <c r="GJ285" s="1009"/>
      <c r="GK285" s="1009"/>
      <c r="GL285" s="1009"/>
      <c r="GM285" s="1009"/>
      <c r="GN285" s="1009"/>
      <c r="GO285" s="1009"/>
      <c r="GP285" s="1009"/>
      <c r="GQ285" s="1009"/>
      <c r="GR285" s="1009"/>
      <c r="GS285" s="1009"/>
      <c r="GT285" s="1009"/>
      <c r="GU285" s="1009"/>
      <c r="GV285" s="1009"/>
      <c r="GW285" s="1009"/>
      <c r="GX285" s="1009"/>
      <c r="GY285" s="1009"/>
      <c r="GZ285" s="1009"/>
      <c r="HA285" s="1009"/>
      <c r="HB285" s="1009"/>
      <c r="HC285" s="1009"/>
      <c r="HD285" s="1009"/>
      <c r="HE285" s="1009"/>
      <c r="HF285" s="1009"/>
      <c r="HG285" s="1009"/>
      <c r="HH285" s="1009"/>
      <c r="HI285" s="1009"/>
      <c r="HJ285" s="1009"/>
      <c r="HK285" s="1009"/>
      <c r="HL285" s="1009"/>
      <c r="HM285" s="1009"/>
      <c r="HN285" s="1009"/>
      <c r="HO285" s="1009"/>
      <c r="HP285" s="1009"/>
      <c r="HQ285" s="1009"/>
      <c r="HR285" s="1009"/>
      <c r="HS285" s="1009"/>
      <c r="HT285" s="1009"/>
      <c r="HU285" s="1009"/>
      <c r="HV285" s="1009"/>
      <c r="HW285" s="1009"/>
      <c r="HX285" s="1009"/>
      <c r="HY285" s="1009"/>
      <c r="HZ285" s="1009"/>
      <c r="IA285" s="1009"/>
      <c r="IB285" s="1009"/>
      <c r="IC285" s="1009"/>
      <c r="ID285" s="1009"/>
      <c r="IE285" s="1009"/>
      <c r="IF285" s="1009"/>
      <c r="IG285" s="1009"/>
      <c r="IH285" s="1009"/>
      <c r="II285" s="1009"/>
      <c r="IJ285" s="1009"/>
      <c r="IK285" s="1009"/>
      <c r="IL285" s="1009"/>
      <c r="IM285" s="1009"/>
      <c r="IN285" s="1009"/>
      <c r="IO285" s="1009"/>
      <c r="IP285" s="1009"/>
      <c r="IQ285" s="1009"/>
      <c r="IR285" s="1009"/>
      <c r="IS285" s="1009"/>
      <c r="IT285" s="1009"/>
      <c r="IU285" s="1009"/>
      <c r="IV285" s="1009"/>
      <c r="IW285" s="1009"/>
      <c r="IX285" s="1009"/>
      <c r="IY285" s="1009"/>
      <c r="IZ285" s="1009"/>
      <c r="JA285" s="1009"/>
      <c r="JB285" s="1009"/>
      <c r="JC285" s="1009"/>
      <c r="JD285" s="1009"/>
      <c r="JE285" s="1009"/>
      <c r="JF285" s="1009"/>
      <c r="JG285" s="1009"/>
      <c r="JH285" s="1009"/>
      <c r="JI285" s="1009"/>
      <c r="JJ285" s="1009"/>
      <c r="JK285" s="1009"/>
      <c r="JL285" s="1009"/>
      <c r="JM285" s="1009"/>
      <c r="JN285" s="1009"/>
      <c r="JO285" s="1009"/>
      <c r="JP285" s="1009"/>
      <c r="JQ285" s="1009"/>
      <c r="JR285" s="1009"/>
      <c r="JS285" s="1009"/>
      <c r="JT285" s="1009"/>
      <c r="JU285" s="1009"/>
      <c r="JV285" s="1009"/>
      <c r="JW285" s="1009"/>
      <c r="JX285" s="1009"/>
      <c r="JY285" s="1009"/>
      <c r="JZ285" s="1009"/>
      <c r="KA285" s="1009"/>
      <c r="KB285" s="1009"/>
      <c r="KC285" s="1009"/>
      <c r="KD285" s="1009"/>
      <c r="KE285" s="1009"/>
      <c r="KF285" s="1009"/>
      <c r="KG285" s="1009"/>
      <c r="KH285" s="1009"/>
      <c r="KI285" s="1009"/>
      <c r="KJ285" s="1009"/>
      <c r="KK285" s="1009"/>
      <c r="KL285" s="1009"/>
      <c r="KM285" s="1009"/>
      <c r="KN285" s="1009"/>
      <c r="KO285" s="1009"/>
      <c r="KP285" s="1009"/>
      <c r="KQ285" s="1009"/>
      <c r="KR285" s="1009"/>
      <c r="KS285" s="1009"/>
      <c r="KT285" s="1009"/>
      <c r="KU285" s="1009"/>
      <c r="KV285" s="1009"/>
      <c r="KW285" s="1009"/>
      <c r="KX285" s="1009"/>
      <c r="KY285" s="1009"/>
      <c r="KZ285" s="1009"/>
      <c r="LA285" s="1009"/>
      <c r="LB285" s="1009"/>
      <c r="LC285" s="1009"/>
      <c r="LD285" s="1009"/>
      <c r="LE285" s="1009"/>
      <c r="LF285" s="1009"/>
      <c r="LG285" s="1009"/>
      <c r="LH285" s="1009"/>
      <c r="LI285" s="1009"/>
      <c r="LJ285" s="1009"/>
      <c r="LK285" s="1009"/>
      <c r="LL285" s="1009"/>
      <c r="LM285" s="1009"/>
      <c r="LN285" s="1009"/>
      <c r="LO285" s="1009"/>
      <c r="LP285" s="1009"/>
      <c r="LQ285" s="1009"/>
      <c r="LR285" s="1009"/>
      <c r="LS285" s="1009"/>
      <c r="LT285" s="1009"/>
      <c r="LU285" s="1009"/>
      <c r="LV285" s="1009"/>
      <c r="LW285" s="1009"/>
      <c r="LX285" s="1009"/>
      <c r="LY285" s="1009"/>
      <c r="LZ285" s="1009"/>
      <c r="MA285" s="1009"/>
      <c r="MB285" s="1009"/>
      <c r="MC285" s="1009"/>
      <c r="MD285" s="1009"/>
      <c r="ME285" s="1009"/>
      <c r="MF285" s="1009"/>
      <c r="MG285" s="1009"/>
      <c r="MH285" s="1009"/>
      <c r="MI285" s="1009"/>
      <c r="MJ285" s="1009"/>
      <c r="MK285" s="1009"/>
      <c r="ML285" s="1009"/>
      <c r="MM285" s="1009"/>
      <c r="MN285" s="1009"/>
      <c r="MO285" s="1009"/>
      <c r="MP285" s="1009"/>
      <c r="MQ285" s="1009"/>
      <c r="MR285" s="1009"/>
      <c r="MS285" s="1009"/>
      <c r="MT285" s="1009"/>
      <c r="MU285" s="1009"/>
      <c r="MV285" s="1009"/>
      <c r="MW285" s="1009"/>
      <c r="MX285" s="1009"/>
      <c r="MY285" s="1009"/>
      <c r="MZ285" s="1009"/>
      <c r="NA285" s="1009"/>
      <c r="NB285" s="1009"/>
      <c r="NC285" s="1009"/>
      <c r="ND285" s="1009"/>
      <c r="NE285" s="1009"/>
      <c r="NF285" s="1009"/>
      <c r="NG285" s="1009"/>
      <c r="NH285" s="1009"/>
      <c r="NI285" s="1009"/>
      <c r="NJ285" s="1009"/>
      <c r="NK285" s="1009"/>
      <c r="NL285" s="1009"/>
      <c r="NM285" s="1009"/>
      <c r="NN285" s="1009"/>
      <c r="NO285" s="1009"/>
      <c r="NP285" s="1009"/>
      <c r="NQ285" s="1009"/>
      <c r="NR285" s="1009"/>
      <c r="NS285" s="1009"/>
      <c r="NT285" s="1009"/>
      <c r="NU285" s="1009"/>
      <c r="NV285" s="1009"/>
      <c r="NW285" s="1009"/>
      <c r="NX285" s="1009"/>
      <c r="NY285" s="1009"/>
      <c r="NZ285" s="1009"/>
      <c r="OA285" s="1009"/>
      <c r="OB285" s="1009"/>
      <c r="OC285" s="1009"/>
      <c r="OD285" s="1009"/>
      <c r="OE285" s="1009"/>
      <c r="OF285" s="1009"/>
      <c r="OG285" s="1009"/>
      <c r="OH285" s="1009"/>
      <c r="OI285" s="1009"/>
      <c r="OJ285" s="1009"/>
      <c r="OK285" s="1009"/>
      <c r="OL285" s="1009"/>
      <c r="OM285" s="1009"/>
      <c r="ON285" s="1009"/>
      <c r="OO285" s="1009"/>
      <c r="OP285" s="1009"/>
      <c r="OQ285" s="1009"/>
      <c r="OR285" s="1009"/>
      <c r="OS285" s="1009"/>
      <c r="OT285" s="1009"/>
      <c r="OU285" s="1009"/>
      <c r="OV285" s="1009"/>
      <c r="OW285" s="1009"/>
      <c r="OX285" s="1009"/>
      <c r="OY285" s="1009"/>
      <c r="OZ285" s="1009"/>
      <c r="PA285" s="1009"/>
      <c r="PB285" s="1009"/>
      <c r="PC285" s="1009"/>
      <c r="PD285" s="1009"/>
      <c r="PE285" s="1009"/>
      <c r="PF285" s="1009"/>
      <c r="PG285" s="1009"/>
      <c r="PH285" s="1009"/>
      <c r="PI285" s="1009"/>
      <c r="PJ285" s="1009"/>
      <c r="PK285" s="1009"/>
      <c r="PL285" s="1009"/>
      <c r="PM285" s="1009"/>
      <c r="PN285" s="1009"/>
      <c r="PO285" s="1009"/>
      <c r="PP285" s="1009"/>
      <c r="PQ285" s="1009"/>
      <c r="PR285" s="1009"/>
      <c r="PS285" s="1009"/>
      <c r="PT285" s="1009"/>
      <c r="PU285" s="1009"/>
      <c r="PV285" s="1009"/>
      <c r="PW285" s="1009"/>
      <c r="PX285" s="1009"/>
      <c r="PY285" s="1009"/>
      <c r="PZ285" s="1009"/>
      <c r="QA285" s="1009"/>
      <c r="QB285" s="1009"/>
      <c r="QC285" s="1009"/>
      <c r="QD285" s="1009"/>
      <c r="QE285" s="1009"/>
      <c r="QF285" s="1009"/>
      <c r="QG285" s="1009"/>
      <c r="QH285" s="1009"/>
      <c r="QI285" s="1009"/>
      <c r="QJ285" s="1009"/>
      <c r="QK285" s="1009"/>
      <c r="QL285" s="1009"/>
      <c r="QM285" s="1009"/>
      <c r="QN285" s="1009"/>
      <c r="QO285" s="1009"/>
      <c r="QP285" s="1009"/>
      <c r="QQ285" s="1009"/>
      <c r="QR285" s="1009"/>
      <c r="QS285" s="1009"/>
      <c r="QT285" s="1009"/>
      <c r="QU285" s="1009"/>
      <c r="QV285" s="1009"/>
      <c r="QW285" s="1009"/>
      <c r="QX285" s="1009"/>
      <c r="QY285" s="1009"/>
      <c r="QZ285" s="1009"/>
      <c r="RA285" s="1009"/>
      <c r="RB285" s="1009"/>
      <c r="RC285" s="1009"/>
      <c r="RD285" s="1009"/>
      <c r="RE285" s="1009"/>
      <c r="RF285" s="1009"/>
      <c r="RG285" s="1009"/>
      <c r="RH285" s="1009"/>
      <c r="RI285" s="1009"/>
      <c r="RJ285" s="1009"/>
      <c r="RK285" s="1009"/>
      <c r="RL285" s="1009"/>
      <c r="RM285" s="1009"/>
      <c r="RN285" s="1009"/>
      <c r="RO285" s="1009"/>
      <c r="RP285" s="1009"/>
      <c r="RQ285" s="1009"/>
      <c r="RR285" s="1009"/>
      <c r="RS285" s="1009"/>
      <c r="RT285" s="1009"/>
      <c r="RU285" s="1009"/>
      <c r="RV285" s="1009"/>
      <c r="RW285" s="1009"/>
      <c r="RX285" s="1009"/>
      <c r="RY285" s="1009"/>
      <c r="RZ285" s="1009"/>
      <c r="SA285" s="1009"/>
      <c r="SB285" s="1009"/>
      <c r="SC285" s="1009"/>
      <c r="SD285" s="1009"/>
      <c r="SE285" s="1009"/>
      <c r="SF285" s="1009"/>
      <c r="SG285" s="1009"/>
      <c r="SH285" s="1009"/>
      <c r="SI285" s="1009"/>
      <c r="SJ285" s="1009"/>
      <c r="SK285" s="1009"/>
      <c r="SL285" s="1009"/>
      <c r="SM285" s="1009"/>
      <c r="SN285" s="1009"/>
      <c r="SO285" s="1009"/>
      <c r="SP285" s="1009"/>
      <c r="SQ285" s="1009"/>
      <c r="SR285" s="1009"/>
      <c r="SS285" s="1009"/>
      <c r="ST285" s="1009"/>
      <c r="SU285" s="1009"/>
      <c r="SV285" s="1009"/>
      <c r="SW285" s="1009"/>
      <c r="SX285" s="1009"/>
      <c r="SY285" s="1009"/>
      <c r="SZ285" s="1009"/>
      <c r="TA285" s="1009"/>
      <c r="TB285" s="1009"/>
      <c r="TC285" s="1009"/>
      <c r="TD285" s="1009"/>
      <c r="TE285" s="1009"/>
      <c r="TF285" s="1009"/>
      <c r="TG285" s="1009"/>
      <c r="TH285" s="1009"/>
      <c r="TI285" s="1009"/>
      <c r="TJ285" s="1009"/>
      <c r="TK285" s="1009"/>
      <c r="TL285" s="1009"/>
      <c r="TM285" s="1009"/>
      <c r="TN285" s="1009"/>
      <c r="TO285" s="1009"/>
      <c r="TP285" s="1009"/>
      <c r="TQ285" s="1009"/>
      <c r="TR285" s="1009"/>
      <c r="TS285" s="1009"/>
      <c r="TT285" s="1009"/>
      <c r="TU285" s="1009"/>
      <c r="TV285" s="1009"/>
      <c r="TW285" s="1009"/>
      <c r="TX285" s="1009"/>
      <c r="TY285" s="1009"/>
      <c r="TZ285" s="1009"/>
      <c r="UA285" s="1009"/>
      <c r="UB285" s="1009"/>
      <c r="UC285" s="1009"/>
      <c r="UD285" s="1009"/>
      <c r="UE285" s="1009"/>
      <c r="UF285" s="1009"/>
      <c r="UG285" s="1009"/>
      <c r="UH285" s="1009"/>
      <c r="UI285" s="1009"/>
      <c r="UJ285" s="1009"/>
      <c r="UK285" s="1009"/>
      <c r="UL285" s="1009"/>
      <c r="UM285" s="1009"/>
      <c r="UN285" s="1009"/>
      <c r="UO285" s="1009"/>
      <c r="UP285" s="1009"/>
      <c r="UQ285" s="1009"/>
      <c r="UR285" s="1009"/>
      <c r="US285" s="1009"/>
      <c r="UT285" s="1009"/>
      <c r="UU285" s="1009"/>
      <c r="UV285" s="1009"/>
      <c r="UW285" s="1009"/>
      <c r="UX285" s="1009"/>
      <c r="UY285" s="1009"/>
      <c r="UZ285" s="1009"/>
      <c r="VA285" s="1009"/>
      <c r="VB285" s="1009"/>
      <c r="VC285" s="1009"/>
      <c r="VD285" s="1009"/>
      <c r="VE285" s="1009"/>
      <c r="VF285" s="1009"/>
      <c r="VG285" s="1009"/>
      <c r="VH285" s="1009"/>
      <c r="VI285" s="1009"/>
      <c r="VJ285" s="1009"/>
      <c r="VK285" s="1009"/>
      <c r="VL285" s="1009"/>
      <c r="VM285" s="1009"/>
      <c r="VN285" s="1009"/>
      <c r="VO285" s="1009"/>
      <c r="VP285" s="1009"/>
      <c r="VQ285" s="1009"/>
      <c r="VR285" s="1009"/>
      <c r="VS285" s="1009"/>
      <c r="VT285" s="1009"/>
      <c r="VU285" s="1009"/>
      <c r="VV285" s="1009"/>
      <c r="VW285" s="1009"/>
      <c r="VX285" s="1009"/>
      <c r="VY285" s="1009"/>
      <c r="VZ285" s="1009"/>
      <c r="WA285" s="1009"/>
      <c r="WB285" s="1009"/>
      <c r="WC285" s="1009"/>
      <c r="WD285" s="1009"/>
      <c r="WE285" s="1009"/>
      <c r="WF285" s="1009"/>
      <c r="WG285" s="1009"/>
      <c r="WH285" s="1009"/>
      <c r="WI285" s="1009"/>
      <c r="WJ285" s="1009"/>
      <c r="WK285" s="1009"/>
      <c r="WL285" s="1009"/>
      <c r="WM285" s="1009"/>
      <c r="WN285" s="1009"/>
      <c r="WO285" s="1009"/>
      <c r="WP285" s="1009"/>
      <c r="WQ285" s="1009"/>
      <c r="WR285" s="1009"/>
      <c r="WS285" s="1009"/>
      <c r="WT285" s="1009"/>
      <c r="WU285" s="1009"/>
      <c r="WV285" s="1009"/>
      <c r="WW285" s="1009"/>
      <c r="WX285" s="1009"/>
      <c r="WY285" s="1009"/>
      <c r="WZ285" s="1009"/>
      <c r="XA285" s="1009"/>
      <c r="XB285" s="1009"/>
      <c r="XC285" s="1009"/>
      <c r="XD285" s="1009"/>
      <c r="XE285" s="1009"/>
      <c r="XF285" s="1009"/>
      <c r="XG285" s="1009"/>
      <c r="XH285" s="1009"/>
      <c r="XI285" s="1009"/>
      <c r="XJ285" s="1009"/>
      <c r="XK285" s="1009"/>
      <c r="XL285" s="1009"/>
      <c r="XM285" s="1009"/>
      <c r="XN285" s="1009"/>
      <c r="XO285" s="1009"/>
      <c r="XP285" s="1009"/>
      <c r="XQ285" s="1009"/>
      <c r="XR285" s="1009"/>
      <c r="XS285" s="1009"/>
      <c r="XT285" s="1009"/>
      <c r="XU285" s="1009"/>
      <c r="XV285" s="1009"/>
      <c r="XW285" s="1009"/>
      <c r="XX285" s="1009"/>
      <c r="XY285" s="1009"/>
      <c r="XZ285" s="1009"/>
      <c r="YA285" s="1009"/>
      <c r="YB285" s="1009"/>
      <c r="YC285" s="1009"/>
      <c r="YD285" s="1009"/>
      <c r="YE285" s="1009"/>
      <c r="YF285" s="1009"/>
      <c r="YG285" s="1009"/>
      <c r="YH285" s="1009"/>
      <c r="YI285" s="1009"/>
      <c r="YJ285" s="1009"/>
      <c r="YK285" s="1009"/>
      <c r="YL285" s="1009"/>
      <c r="YM285" s="1009"/>
      <c r="YN285" s="1009"/>
      <c r="YO285" s="1009"/>
      <c r="YP285" s="1009"/>
      <c r="YQ285" s="1009"/>
      <c r="YR285" s="1009"/>
      <c r="YS285" s="1009"/>
      <c r="YT285" s="1009"/>
      <c r="YU285" s="1009"/>
      <c r="YV285" s="1009"/>
      <c r="YW285" s="1009"/>
      <c r="YX285" s="1009"/>
      <c r="YY285" s="1009"/>
      <c r="YZ285" s="1009"/>
      <c r="ZA285" s="1009"/>
      <c r="ZB285" s="1009"/>
      <c r="ZC285" s="1009"/>
      <c r="ZD285" s="1009"/>
      <c r="ZE285" s="1009"/>
      <c r="ZF285" s="1009"/>
      <c r="ZG285" s="1009"/>
      <c r="ZH285" s="1009"/>
      <c r="ZI285" s="1009"/>
      <c r="ZJ285" s="1009"/>
      <c r="ZK285" s="1009"/>
      <c r="ZL285" s="1009"/>
      <c r="ZM285" s="1009"/>
      <c r="ZN285" s="1009"/>
      <c r="ZO285" s="1009"/>
      <c r="ZP285" s="1009"/>
      <c r="ZQ285" s="1009"/>
      <c r="ZR285" s="1009"/>
      <c r="ZS285" s="1009"/>
      <c r="ZT285" s="1009"/>
      <c r="ZU285" s="1009"/>
      <c r="ZV285" s="1009"/>
      <c r="ZW285" s="1009"/>
      <c r="ZX285" s="1009"/>
      <c r="ZY285" s="1009"/>
      <c r="ZZ285" s="1009"/>
      <c r="AAA285" s="1009"/>
      <c r="AAB285" s="1009"/>
      <c r="AAC285" s="1009"/>
      <c r="AAD285" s="1009"/>
      <c r="AAE285" s="1009"/>
      <c r="AAF285" s="1009"/>
      <c r="AAG285" s="1009"/>
      <c r="AAH285" s="1009"/>
      <c r="AAI285" s="1009"/>
      <c r="AAJ285" s="1009"/>
      <c r="AAK285" s="1009"/>
      <c r="AAL285" s="1009"/>
      <c r="AAM285" s="1009"/>
      <c r="AAN285" s="1009"/>
      <c r="AAO285" s="1009"/>
      <c r="AAP285" s="1009"/>
      <c r="AAQ285" s="1009"/>
      <c r="AAR285" s="1009"/>
      <c r="AAS285" s="1009"/>
      <c r="AAT285" s="1009"/>
      <c r="AAU285" s="1009"/>
      <c r="AAV285" s="1009"/>
      <c r="AAW285" s="1009"/>
      <c r="AAX285" s="1009"/>
      <c r="AAY285" s="1009"/>
      <c r="AAZ285" s="1009"/>
      <c r="ABA285" s="1009"/>
      <c r="ABB285" s="1009"/>
      <c r="ABC285" s="1009"/>
      <c r="ABD285" s="1009"/>
      <c r="ABE285" s="1009"/>
      <c r="ABF285" s="1009"/>
      <c r="ABG285" s="1009"/>
      <c r="ABH285" s="1009"/>
      <c r="ABI285" s="1009"/>
      <c r="ABJ285" s="1009"/>
      <c r="ABK285" s="1009"/>
      <c r="ABL285" s="1009"/>
      <c r="ABM285" s="1009"/>
      <c r="ABN285" s="1009"/>
      <c r="ABO285" s="1009"/>
      <c r="ABP285" s="1009"/>
      <c r="ABQ285" s="1009"/>
      <c r="ABR285" s="1009"/>
    </row>
    <row r="286" spans="1:746" s="111" customFormat="1" ht="12" hidden="1" customHeight="1">
      <c r="A286" s="1252"/>
      <c r="B286" s="1208"/>
      <c r="C286" s="2369"/>
      <c r="D286" s="2369"/>
      <c r="E286" s="2369"/>
      <c r="F286" s="2369"/>
      <c r="G286" s="2369"/>
      <c r="H286" s="2558"/>
      <c r="I286" s="1966"/>
      <c r="J286" s="1966"/>
      <c r="K286" s="1966"/>
      <c r="L286" s="1966"/>
      <c r="M286" s="1966"/>
      <c r="N286" s="1966"/>
      <c r="O286" s="1966"/>
      <c r="P286" s="1966"/>
      <c r="Q286" s="1966"/>
      <c r="R286" s="1966"/>
      <c r="S286" s="1966"/>
      <c r="T286" s="1966"/>
      <c r="U286" s="1966"/>
      <c r="V286" s="1966"/>
      <c r="W286" s="1966"/>
      <c r="X286" s="1966"/>
      <c r="Y286" s="1966"/>
      <c r="Z286" s="1966"/>
      <c r="AA286" s="1966"/>
      <c r="AB286" s="1966"/>
      <c r="AC286" s="1966"/>
      <c r="AD286" s="1966"/>
      <c r="AE286" s="1966"/>
      <c r="AF286" s="1966"/>
      <c r="AG286" s="337"/>
      <c r="AH286" s="1009"/>
      <c r="AI286" s="1009"/>
      <c r="AJ286" s="1956">
        <f>IF(fx!$C$57=1,SUMIF(fx!I$57:T$57,1,I286:T286),IF(fx!$C$57=2,SUMIF(fx!O$57:AF$57,1,O286:AF286)))</f>
        <v>0</v>
      </c>
      <c r="AK286" s="1207"/>
      <c r="AL286" s="1957">
        <f>IF(fx!$C$57=1,SUM(U286:AF286),0)</f>
        <v>0</v>
      </c>
      <c r="AM286" s="1036"/>
      <c r="AN286" s="1036"/>
      <c r="AO286" s="1034"/>
      <c r="AP286" s="1084"/>
      <c r="AQ286" s="1084"/>
      <c r="AR286" s="1009"/>
      <c r="AS286" s="1009"/>
      <c r="AT286" s="1009"/>
      <c r="AU286" s="1009"/>
      <c r="AV286" s="1009"/>
      <c r="AW286" s="1009"/>
      <c r="AX286" s="1009"/>
      <c r="AY286" s="1009"/>
      <c r="AZ286" s="1009"/>
      <c r="BA286" s="1009"/>
      <c r="BB286" s="1009"/>
      <c r="BC286" s="1009"/>
      <c r="BD286" s="1009"/>
      <c r="BE286" s="1009"/>
      <c r="BF286" s="1009"/>
      <c r="BG286" s="1009"/>
      <c r="BH286" s="1009"/>
      <c r="BI286" s="1009"/>
      <c r="BJ286" s="1009"/>
      <c r="BK286" s="1009"/>
      <c r="BL286" s="1009"/>
      <c r="BM286" s="1009"/>
      <c r="BN286" s="1009"/>
      <c r="BO286" s="1009"/>
      <c r="BP286" s="1009"/>
      <c r="BQ286" s="1009"/>
      <c r="BR286" s="1009"/>
      <c r="BS286" s="1009"/>
      <c r="BT286" s="1009"/>
      <c r="BU286" s="1009"/>
      <c r="BV286" s="1009"/>
      <c r="BW286" s="1009"/>
      <c r="BX286" s="1009"/>
      <c r="BY286" s="1009"/>
      <c r="BZ286" s="1009"/>
      <c r="CA286" s="1009"/>
      <c r="CB286" s="1009"/>
      <c r="CC286" s="1009"/>
      <c r="CD286" s="1009"/>
      <c r="CE286" s="1009"/>
      <c r="CF286" s="1009"/>
      <c r="CG286" s="1009"/>
      <c r="CH286" s="1009"/>
      <c r="CI286" s="1009"/>
      <c r="CJ286" s="1009"/>
      <c r="CK286" s="1009"/>
      <c r="CL286" s="1009"/>
      <c r="CM286" s="1009"/>
      <c r="CN286" s="1009"/>
      <c r="CO286" s="1009"/>
      <c r="CP286" s="1009"/>
      <c r="CQ286" s="1009"/>
      <c r="CR286" s="1009"/>
      <c r="CS286" s="1009"/>
      <c r="CT286" s="1009"/>
      <c r="CU286" s="1009"/>
      <c r="CV286" s="1009"/>
      <c r="CW286" s="1009"/>
      <c r="CX286" s="1009"/>
      <c r="CY286" s="1009"/>
      <c r="CZ286" s="1009"/>
      <c r="DA286" s="1009"/>
      <c r="DB286" s="1009"/>
      <c r="DC286" s="1009"/>
      <c r="DD286" s="1009"/>
      <c r="DE286" s="1009"/>
      <c r="DF286" s="1009"/>
      <c r="DG286" s="1009"/>
      <c r="DH286" s="1009"/>
      <c r="DI286" s="1009"/>
      <c r="DJ286" s="1009"/>
      <c r="DK286" s="1009"/>
      <c r="DL286" s="1009"/>
      <c r="DM286" s="1009"/>
      <c r="DN286" s="1009"/>
      <c r="DO286" s="1009"/>
      <c r="DP286" s="1009"/>
      <c r="DQ286" s="1009"/>
      <c r="DR286" s="1009"/>
      <c r="DS286" s="1009"/>
      <c r="DT286" s="1009"/>
      <c r="DU286" s="1009"/>
      <c r="DV286" s="1009"/>
      <c r="DW286" s="1009"/>
      <c r="DX286" s="1009"/>
      <c r="DY286" s="1009"/>
      <c r="DZ286" s="1009"/>
      <c r="EA286" s="1009"/>
      <c r="EB286" s="1009"/>
      <c r="EC286" s="1009"/>
      <c r="ED286" s="1009"/>
      <c r="EE286" s="1009"/>
      <c r="EF286" s="1009"/>
      <c r="EG286" s="1009"/>
      <c r="EH286" s="1009"/>
      <c r="EI286" s="1009"/>
      <c r="EJ286" s="1009"/>
      <c r="EK286" s="1009"/>
      <c r="EL286" s="1009"/>
      <c r="EM286" s="1009"/>
      <c r="EN286" s="1009"/>
      <c r="EO286" s="1009"/>
      <c r="EP286" s="1009"/>
      <c r="EQ286" s="1009"/>
      <c r="ER286" s="1009"/>
      <c r="ES286" s="1009"/>
      <c r="ET286" s="1009"/>
      <c r="EU286" s="1009"/>
      <c r="EV286" s="1009"/>
      <c r="EW286" s="1009"/>
      <c r="EX286" s="1009"/>
      <c r="EY286" s="1009"/>
      <c r="EZ286" s="1009"/>
      <c r="FA286" s="1009"/>
      <c r="FB286" s="1009"/>
      <c r="FC286" s="1009"/>
      <c r="FD286" s="1009"/>
      <c r="FE286" s="1009"/>
      <c r="FF286" s="1009"/>
      <c r="FG286" s="1009"/>
      <c r="FH286" s="1009"/>
      <c r="FI286" s="1009"/>
      <c r="FJ286" s="1009"/>
      <c r="FK286" s="1009"/>
      <c r="FL286" s="1009"/>
      <c r="FM286" s="1009"/>
      <c r="FN286" s="1009"/>
      <c r="FO286" s="1009"/>
      <c r="FP286" s="1009"/>
      <c r="FQ286" s="1009"/>
      <c r="FR286" s="1009"/>
      <c r="FS286" s="1009"/>
      <c r="FT286" s="1009"/>
      <c r="FU286" s="1009"/>
      <c r="FV286" s="1009"/>
      <c r="FW286" s="1009"/>
      <c r="FX286" s="1009"/>
      <c r="FY286" s="1009"/>
      <c r="FZ286" s="1009"/>
      <c r="GA286" s="1009"/>
      <c r="GB286" s="1009"/>
      <c r="GC286" s="1009"/>
      <c r="GD286" s="1009"/>
      <c r="GE286" s="1009"/>
      <c r="GF286" s="1009"/>
      <c r="GG286" s="1009"/>
      <c r="GH286" s="1009"/>
      <c r="GI286" s="1009"/>
      <c r="GJ286" s="1009"/>
      <c r="GK286" s="1009"/>
      <c r="GL286" s="1009"/>
      <c r="GM286" s="1009"/>
      <c r="GN286" s="1009"/>
      <c r="GO286" s="1009"/>
      <c r="GP286" s="1009"/>
      <c r="GQ286" s="1009"/>
      <c r="GR286" s="1009"/>
      <c r="GS286" s="1009"/>
      <c r="GT286" s="1009"/>
      <c r="GU286" s="1009"/>
      <c r="GV286" s="1009"/>
      <c r="GW286" s="1009"/>
      <c r="GX286" s="1009"/>
      <c r="GY286" s="1009"/>
      <c r="GZ286" s="1009"/>
      <c r="HA286" s="1009"/>
      <c r="HB286" s="1009"/>
      <c r="HC286" s="1009"/>
      <c r="HD286" s="1009"/>
      <c r="HE286" s="1009"/>
      <c r="HF286" s="1009"/>
      <c r="HG286" s="1009"/>
      <c r="HH286" s="1009"/>
      <c r="HI286" s="1009"/>
      <c r="HJ286" s="1009"/>
      <c r="HK286" s="1009"/>
      <c r="HL286" s="1009"/>
      <c r="HM286" s="1009"/>
      <c r="HN286" s="1009"/>
      <c r="HO286" s="1009"/>
      <c r="HP286" s="1009"/>
      <c r="HQ286" s="1009"/>
      <c r="HR286" s="1009"/>
      <c r="HS286" s="1009"/>
      <c r="HT286" s="1009"/>
      <c r="HU286" s="1009"/>
      <c r="HV286" s="1009"/>
      <c r="HW286" s="1009"/>
      <c r="HX286" s="1009"/>
      <c r="HY286" s="1009"/>
      <c r="HZ286" s="1009"/>
      <c r="IA286" s="1009"/>
      <c r="IB286" s="1009"/>
      <c r="IC286" s="1009"/>
      <c r="ID286" s="1009"/>
      <c r="IE286" s="1009"/>
      <c r="IF286" s="1009"/>
      <c r="IG286" s="1009"/>
      <c r="IH286" s="1009"/>
      <c r="II286" s="1009"/>
      <c r="IJ286" s="1009"/>
      <c r="IK286" s="1009"/>
      <c r="IL286" s="1009"/>
      <c r="IM286" s="1009"/>
      <c r="IN286" s="1009"/>
      <c r="IO286" s="1009"/>
      <c r="IP286" s="1009"/>
      <c r="IQ286" s="1009"/>
      <c r="IR286" s="1009"/>
      <c r="IS286" s="1009"/>
      <c r="IT286" s="1009"/>
      <c r="IU286" s="1009"/>
      <c r="IV286" s="1009"/>
      <c r="IW286" s="1009"/>
      <c r="IX286" s="1009"/>
      <c r="IY286" s="1009"/>
      <c r="IZ286" s="1009"/>
      <c r="JA286" s="1009"/>
      <c r="JB286" s="1009"/>
      <c r="JC286" s="1009"/>
      <c r="JD286" s="1009"/>
      <c r="JE286" s="1009"/>
      <c r="JF286" s="1009"/>
      <c r="JG286" s="1009"/>
      <c r="JH286" s="1009"/>
      <c r="JI286" s="1009"/>
      <c r="JJ286" s="1009"/>
      <c r="JK286" s="1009"/>
      <c r="JL286" s="1009"/>
      <c r="JM286" s="1009"/>
      <c r="JN286" s="1009"/>
      <c r="JO286" s="1009"/>
      <c r="JP286" s="1009"/>
      <c r="JQ286" s="1009"/>
      <c r="JR286" s="1009"/>
      <c r="JS286" s="1009"/>
      <c r="JT286" s="1009"/>
      <c r="JU286" s="1009"/>
      <c r="JV286" s="1009"/>
      <c r="JW286" s="1009"/>
      <c r="JX286" s="1009"/>
      <c r="JY286" s="1009"/>
      <c r="JZ286" s="1009"/>
      <c r="KA286" s="1009"/>
      <c r="KB286" s="1009"/>
      <c r="KC286" s="1009"/>
      <c r="KD286" s="1009"/>
      <c r="KE286" s="1009"/>
      <c r="KF286" s="1009"/>
      <c r="KG286" s="1009"/>
      <c r="KH286" s="1009"/>
      <c r="KI286" s="1009"/>
      <c r="KJ286" s="1009"/>
      <c r="KK286" s="1009"/>
      <c r="KL286" s="1009"/>
      <c r="KM286" s="1009"/>
      <c r="KN286" s="1009"/>
      <c r="KO286" s="1009"/>
      <c r="KP286" s="1009"/>
      <c r="KQ286" s="1009"/>
      <c r="KR286" s="1009"/>
      <c r="KS286" s="1009"/>
      <c r="KT286" s="1009"/>
      <c r="KU286" s="1009"/>
      <c r="KV286" s="1009"/>
      <c r="KW286" s="1009"/>
      <c r="KX286" s="1009"/>
      <c r="KY286" s="1009"/>
      <c r="KZ286" s="1009"/>
      <c r="LA286" s="1009"/>
      <c r="LB286" s="1009"/>
      <c r="LC286" s="1009"/>
      <c r="LD286" s="1009"/>
      <c r="LE286" s="1009"/>
      <c r="LF286" s="1009"/>
      <c r="LG286" s="1009"/>
      <c r="LH286" s="1009"/>
      <c r="LI286" s="1009"/>
      <c r="LJ286" s="1009"/>
      <c r="LK286" s="1009"/>
      <c r="LL286" s="1009"/>
      <c r="LM286" s="1009"/>
      <c r="LN286" s="1009"/>
      <c r="LO286" s="1009"/>
      <c r="LP286" s="1009"/>
      <c r="LQ286" s="1009"/>
      <c r="LR286" s="1009"/>
      <c r="LS286" s="1009"/>
      <c r="LT286" s="1009"/>
      <c r="LU286" s="1009"/>
      <c r="LV286" s="1009"/>
      <c r="LW286" s="1009"/>
      <c r="LX286" s="1009"/>
      <c r="LY286" s="1009"/>
      <c r="LZ286" s="1009"/>
      <c r="MA286" s="1009"/>
      <c r="MB286" s="1009"/>
      <c r="MC286" s="1009"/>
      <c r="MD286" s="1009"/>
      <c r="ME286" s="1009"/>
      <c r="MF286" s="1009"/>
      <c r="MG286" s="1009"/>
      <c r="MH286" s="1009"/>
      <c r="MI286" s="1009"/>
      <c r="MJ286" s="1009"/>
      <c r="MK286" s="1009"/>
      <c r="ML286" s="1009"/>
      <c r="MM286" s="1009"/>
      <c r="MN286" s="1009"/>
      <c r="MO286" s="1009"/>
      <c r="MP286" s="1009"/>
      <c r="MQ286" s="1009"/>
      <c r="MR286" s="1009"/>
      <c r="MS286" s="1009"/>
      <c r="MT286" s="1009"/>
      <c r="MU286" s="1009"/>
      <c r="MV286" s="1009"/>
      <c r="MW286" s="1009"/>
      <c r="MX286" s="1009"/>
      <c r="MY286" s="1009"/>
      <c r="MZ286" s="1009"/>
      <c r="NA286" s="1009"/>
      <c r="NB286" s="1009"/>
      <c r="NC286" s="1009"/>
      <c r="ND286" s="1009"/>
      <c r="NE286" s="1009"/>
      <c r="NF286" s="1009"/>
      <c r="NG286" s="1009"/>
      <c r="NH286" s="1009"/>
      <c r="NI286" s="1009"/>
      <c r="NJ286" s="1009"/>
      <c r="NK286" s="1009"/>
      <c r="NL286" s="1009"/>
      <c r="NM286" s="1009"/>
      <c r="NN286" s="1009"/>
      <c r="NO286" s="1009"/>
      <c r="NP286" s="1009"/>
      <c r="NQ286" s="1009"/>
      <c r="NR286" s="1009"/>
      <c r="NS286" s="1009"/>
      <c r="NT286" s="1009"/>
      <c r="NU286" s="1009"/>
      <c r="NV286" s="1009"/>
      <c r="NW286" s="1009"/>
      <c r="NX286" s="1009"/>
      <c r="NY286" s="1009"/>
      <c r="NZ286" s="1009"/>
      <c r="OA286" s="1009"/>
      <c r="OB286" s="1009"/>
      <c r="OC286" s="1009"/>
      <c r="OD286" s="1009"/>
      <c r="OE286" s="1009"/>
      <c r="OF286" s="1009"/>
      <c r="OG286" s="1009"/>
      <c r="OH286" s="1009"/>
      <c r="OI286" s="1009"/>
      <c r="OJ286" s="1009"/>
      <c r="OK286" s="1009"/>
      <c r="OL286" s="1009"/>
      <c r="OM286" s="1009"/>
      <c r="ON286" s="1009"/>
      <c r="OO286" s="1009"/>
      <c r="OP286" s="1009"/>
      <c r="OQ286" s="1009"/>
      <c r="OR286" s="1009"/>
      <c r="OS286" s="1009"/>
      <c r="OT286" s="1009"/>
      <c r="OU286" s="1009"/>
      <c r="OV286" s="1009"/>
      <c r="OW286" s="1009"/>
      <c r="OX286" s="1009"/>
      <c r="OY286" s="1009"/>
      <c r="OZ286" s="1009"/>
      <c r="PA286" s="1009"/>
      <c r="PB286" s="1009"/>
      <c r="PC286" s="1009"/>
      <c r="PD286" s="1009"/>
      <c r="PE286" s="1009"/>
      <c r="PF286" s="1009"/>
      <c r="PG286" s="1009"/>
      <c r="PH286" s="1009"/>
      <c r="PI286" s="1009"/>
      <c r="PJ286" s="1009"/>
      <c r="PK286" s="1009"/>
      <c r="PL286" s="1009"/>
      <c r="PM286" s="1009"/>
      <c r="PN286" s="1009"/>
      <c r="PO286" s="1009"/>
      <c r="PP286" s="1009"/>
      <c r="PQ286" s="1009"/>
      <c r="PR286" s="1009"/>
      <c r="PS286" s="1009"/>
      <c r="PT286" s="1009"/>
      <c r="PU286" s="1009"/>
      <c r="PV286" s="1009"/>
      <c r="PW286" s="1009"/>
      <c r="PX286" s="1009"/>
      <c r="PY286" s="1009"/>
      <c r="PZ286" s="1009"/>
      <c r="QA286" s="1009"/>
      <c r="QB286" s="1009"/>
      <c r="QC286" s="1009"/>
      <c r="QD286" s="1009"/>
      <c r="QE286" s="1009"/>
      <c r="QF286" s="1009"/>
      <c r="QG286" s="1009"/>
      <c r="QH286" s="1009"/>
      <c r="QI286" s="1009"/>
      <c r="QJ286" s="1009"/>
      <c r="QK286" s="1009"/>
      <c r="QL286" s="1009"/>
      <c r="QM286" s="1009"/>
      <c r="QN286" s="1009"/>
      <c r="QO286" s="1009"/>
      <c r="QP286" s="1009"/>
      <c r="QQ286" s="1009"/>
      <c r="QR286" s="1009"/>
      <c r="QS286" s="1009"/>
      <c r="QT286" s="1009"/>
      <c r="QU286" s="1009"/>
      <c r="QV286" s="1009"/>
      <c r="QW286" s="1009"/>
      <c r="QX286" s="1009"/>
      <c r="QY286" s="1009"/>
      <c r="QZ286" s="1009"/>
      <c r="RA286" s="1009"/>
      <c r="RB286" s="1009"/>
      <c r="RC286" s="1009"/>
      <c r="RD286" s="1009"/>
      <c r="RE286" s="1009"/>
      <c r="RF286" s="1009"/>
      <c r="RG286" s="1009"/>
      <c r="RH286" s="1009"/>
      <c r="RI286" s="1009"/>
      <c r="RJ286" s="1009"/>
      <c r="RK286" s="1009"/>
      <c r="RL286" s="1009"/>
      <c r="RM286" s="1009"/>
      <c r="RN286" s="1009"/>
      <c r="RO286" s="1009"/>
      <c r="RP286" s="1009"/>
      <c r="RQ286" s="1009"/>
      <c r="RR286" s="1009"/>
      <c r="RS286" s="1009"/>
      <c r="RT286" s="1009"/>
      <c r="RU286" s="1009"/>
      <c r="RV286" s="1009"/>
      <c r="RW286" s="1009"/>
      <c r="RX286" s="1009"/>
      <c r="RY286" s="1009"/>
      <c r="RZ286" s="1009"/>
      <c r="SA286" s="1009"/>
      <c r="SB286" s="1009"/>
      <c r="SC286" s="1009"/>
      <c r="SD286" s="1009"/>
      <c r="SE286" s="1009"/>
      <c r="SF286" s="1009"/>
      <c r="SG286" s="1009"/>
      <c r="SH286" s="1009"/>
      <c r="SI286" s="1009"/>
      <c r="SJ286" s="1009"/>
      <c r="SK286" s="1009"/>
      <c r="SL286" s="1009"/>
      <c r="SM286" s="1009"/>
      <c r="SN286" s="1009"/>
      <c r="SO286" s="1009"/>
      <c r="SP286" s="1009"/>
      <c r="SQ286" s="1009"/>
      <c r="SR286" s="1009"/>
      <c r="SS286" s="1009"/>
      <c r="ST286" s="1009"/>
      <c r="SU286" s="1009"/>
      <c r="SV286" s="1009"/>
      <c r="SW286" s="1009"/>
      <c r="SX286" s="1009"/>
      <c r="SY286" s="1009"/>
      <c r="SZ286" s="1009"/>
      <c r="TA286" s="1009"/>
      <c r="TB286" s="1009"/>
      <c r="TC286" s="1009"/>
      <c r="TD286" s="1009"/>
      <c r="TE286" s="1009"/>
      <c r="TF286" s="1009"/>
      <c r="TG286" s="1009"/>
      <c r="TH286" s="1009"/>
      <c r="TI286" s="1009"/>
      <c r="TJ286" s="1009"/>
      <c r="TK286" s="1009"/>
      <c r="TL286" s="1009"/>
      <c r="TM286" s="1009"/>
      <c r="TN286" s="1009"/>
      <c r="TO286" s="1009"/>
      <c r="TP286" s="1009"/>
      <c r="TQ286" s="1009"/>
      <c r="TR286" s="1009"/>
      <c r="TS286" s="1009"/>
      <c r="TT286" s="1009"/>
      <c r="TU286" s="1009"/>
      <c r="TV286" s="1009"/>
      <c r="TW286" s="1009"/>
      <c r="TX286" s="1009"/>
      <c r="TY286" s="1009"/>
      <c r="TZ286" s="1009"/>
      <c r="UA286" s="1009"/>
      <c r="UB286" s="1009"/>
      <c r="UC286" s="1009"/>
      <c r="UD286" s="1009"/>
      <c r="UE286" s="1009"/>
      <c r="UF286" s="1009"/>
      <c r="UG286" s="1009"/>
      <c r="UH286" s="1009"/>
      <c r="UI286" s="1009"/>
      <c r="UJ286" s="1009"/>
      <c r="UK286" s="1009"/>
      <c r="UL286" s="1009"/>
      <c r="UM286" s="1009"/>
      <c r="UN286" s="1009"/>
      <c r="UO286" s="1009"/>
      <c r="UP286" s="1009"/>
      <c r="UQ286" s="1009"/>
      <c r="UR286" s="1009"/>
      <c r="US286" s="1009"/>
      <c r="UT286" s="1009"/>
      <c r="UU286" s="1009"/>
      <c r="UV286" s="1009"/>
      <c r="UW286" s="1009"/>
      <c r="UX286" s="1009"/>
      <c r="UY286" s="1009"/>
      <c r="UZ286" s="1009"/>
      <c r="VA286" s="1009"/>
      <c r="VB286" s="1009"/>
      <c r="VC286" s="1009"/>
      <c r="VD286" s="1009"/>
      <c r="VE286" s="1009"/>
      <c r="VF286" s="1009"/>
      <c r="VG286" s="1009"/>
      <c r="VH286" s="1009"/>
      <c r="VI286" s="1009"/>
      <c r="VJ286" s="1009"/>
      <c r="VK286" s="1009"/>
      <c r="VL286" s="1009"/>
      <c r="VM286" s="1009"/>
      <c r="VN286" s="1009"/>
      <c r="VO286" s="1009"/>
      <c r="VP286" s="1009"/>
      <c r="VQ286" s="1009"/>
      <c r="VR286" s="1009"/>
      <c r="VS286" s="1009"/>
      <c r="VT286" s="1009"/>
      <c r="VU286" s="1009"/>
      <c r="VV286" s="1009"/>
      <c r="VW286" s="1009"/>
      <c r="VX286" s="1009"/>
      <c r="VY286" s="1009"/>
      <c r="VZ286" s="1009"/>
      <c r="WA286" s="1009"/>
      <c r="WB286" s="1009"/>
      <c r="WC286" s="1009"/>
      <c r="WD286" s="1009"/>
      <c r="WE286" s="1009"/>
      <c r="WF286" s="1009"/>
      <c r="WG286" s="1009"/>
      <c r="WH286" s="1009"/>
      <c r="WI286" s="1009"/>
      <c r="WJ286" s="1009"/>
      <c r="WK286" s="1009"/>
      <c r="WL286" s="1009"/>
      <c r="WM286" s="1009"/>
      <c r="WN286" s="1009"/>
      <c r="WO286" s="1009"/>
      <c r="WP286" s="1009"/>
      <c r="WQ286" s="1009"/>
      <c r="WR286" s="1009"/>
      <c r="WS286" s="1009"/>
      <c r="WT286" s="1009"/>
      <c r="WU286" s="1009"/>
      <c r="WV286" s="1009"/>
      <c r="WW286" s="1009"/>
      <c r="WX286" s="1009"/>
      <c r="WY286" s="1009"/>
      <c r="WZ286" s="1009"/>
      <c r="XA286" s="1009"/>
      <c r="XB286" s="1009"/>
      <c r="XC286" s="1009"/>
      <c r="XD286" s="1009"/>
      <c r="XE286" s="1009"/>
      <c r="XF286" s="1009"/>
      <c r="XG286" s="1009"/>
      <c r="XH286" s="1009"/>
      <c r="XI286" s="1009"/>
      <c r="XJ286" s="1009"/>
      <c r="XK286" s="1009"/>
      <c r="XL286" s="1009"/>
      <c r="XM286" s="1009"/>
      <c r="XN286" s="1009"/>
      <c r="XO286" s="1009"/>
      <c r="XP286" s="1009"/>
      <c r="XQ286" s="1009"/>
      <c r="XR286" s="1009"/>
      <c r="XS286" s="1009"/>
      <c r="XT286" s="1009"/>
      <c r="XU286" s="1009"/>
      <c r="XV286" s="1009"/>
      <c r="XW286" s="1009"/>
      <c r="XX286" s="1009"/>
      <c r="XY286" s="1009"/>
      <c r="XZ286" s="1009"/>
      <c r="YA286" s="1009"/>
      <c r="YB286" s="1009"/>
      <c r="YC286" s="1009"/>
      <c r="YD286" s="1009"/>
      <c r="YE286" s="1009"/>
      <c r="YF286" s="1009"/>
      <c r="YG286" s="1009"/>
      <c r="YH286" s="1009"/>
      <c r="YI286" s="1009"/>
      <c r="YJ286" s="1009"/>
      <c r="YK286" s="1009"/>
      <c r="YL286" s="1009"/>
      <c r="YM286" s="1009"/>
      <c r="YN286" s="1009"/>
      <c r="YO286" s="1009"/>
      <c r="YP286" s="1009"/>
      <c r="YQ286" s="1009"/>
      <c r="YR286" s="1009"/>
      <c r="YS286" s="1009"/>
      <c r="YT286" s="1009"/>
      <c r="YU286" s="1009"/>
      <c r="YV286" s="1009"/>
      <c r="YW286" s="1009"/>
      <c r="YX286" s="1009"/>
      <c r="YY286" s="1009"/>
      <c r="YZ286" s="1009"/>
      <c r="ZA286" s="1009"/>
      <c r="ZB286" s="1009"/>
      <c r="ZC286" s="1009"/>
      <c r="ZD286" s="1009"/>
      <c r="ZE286" s="1009"/>
      <c r="ZF286" s="1009"/>
      <c r="ZG286" s="1009"/>
      <c r="ZH286" s="1009"/>
      <c r="ZI286" s="1009"/>
      <c r="ZJ286" s="1009"/>
      <c r="ZK286" s="1009"/>
      <c r="ZL286" s="1009"/>
      <c r="ZM286" s="1009"/>
      <c r="ZN286" s="1009"/>
      <c r="ZO286" s="1009"/>
      <c r="ZP286" s="1009"/>
      <c r="ZQ286" s="1009"/>
      <c r="ZR286" s="1009"/>
      <c r="ZS286" s="1009"/>
      <c r="ZT286" s="1009"/>
      <c r="ZU286" s="1009"/>
      <c r="ZV286" s="1009"/>
      <c r="ZW286" s="1009"/>
      <c r="ZX286" s="1009"/>
      <c r="ZY286" s="1009"/>
      <c r="ZZ286" s="1009"/>
      <c r="AAA286" s="1009"/>
      <c r="AAB286" s="1009"/>
      <c r="AAC286" s="1009"/>
      <c r="AAD286" s="1009"/>
      <c r="AAE286" s="1009"/>
      <c r="AAF286" s="1009"/>
      <c r="AAG286" s="1009"/>
      <c r="AAH286" s="1009"/>
      <c r="AAI286" s="1009"/>
      <c r="AAJ286" s="1009"/>
      <c r="AAK286" s="1009"/>
      <c r="AAL286" s="1009"/>
      <c r="AAM286" s="1009"/>
      <c r="AAN286" s="1009"/>
      <c r="AAO286" s="1009"/>
      <c r="AAP286" s="1009"/>
      <c r="AAQ286" s="1009"/>
      <c r="AAR286" s="1009"/>
      <c r="AAS286" s="1009"/>
      <c r="AAT286" s="1009"/>
      <c r="AAU286" s="1009"/>
      <c r="AAV286" s="1009"/>
      <c r="AAW286" s="1009"/>
      <c r="AAX286" s="1009"/>
      <c r="AAY286" s="1009"/>
      <c r="AAZ286" s="1009"/>
      <c r="ABA286" s="1009"/>
      <c r="ABB286" s="1009"/>
      <c r="ABC286" s="1009"/>
      <c r="ABD286" s="1009"/>
      <c r="ABE286" s="1009"/>
      <c r="ABF286" s="1009"/>
      <c r="ABG286" s="1009"/>
      <c r="ABH286" s="1009"/>
      <c r="ABI286" s="1009"/>
      <c r="ABJ286" s="1009"/>
      <c r="ABK286" s="1009"/>
      <c r="ABL286" s="1009"/>
      <c r="ABM286" s="1009"/>
      <c r="ABN286" s="1009"/>
      <c r="ABO286" s="1009"/>
      <c r="ABP286" s="1009"/>
      <c r="ABQ286" s="1009"/>
      <c r="ABR286" s="1009"/>
    </row>
    <row r="287" spans="1:746" s="111" customFormat="1" ht="12" customHeight="1">
      <c r="A287" s="1252"/>
      <c r="B287" s="2370" t="s">
        <v>1288</v>
      </c>
      <c r="C287" s="2371"/>
      <c r="D287" s="2372"/>
      <c r="E287" s="2959"/>
      <c r="F287" s="2959"/>
      <c r="G287" s="2959"/>
      <c r="H287" s="2372"/>
      <c r="I287" s="1210">
        <f>SUM(I279:I286)*fx!I57</f>
        <v>0</v>
      </c>
      <c r="J287" s="1210">
        <f>SUM(J279:J286)*fx!J57</f>
        <v>0</v>
      </c>
      <c r="K287" s="1210">
        <f>SUM(K279:K286)*fx!K57</f>
        <v>0</v>
      </c>
      <c r="L287" s="1210">
        <f>SUM(L279:L286)*fx!L57</f>
        <v>0</v>
      </c>
      <c r="M287" s="1210">
        <f>SUM(M279:M286)*fx!M57</f>
        <v>0</v>
      </c>
      <c r="N287" s="1210">
        <f>SUM(N279:N286)*fx!N57</f>
        <v>0</v>
      </c>
      <c r="O287" s="1210">
        <f>SUM(O279:O286)*fx!O57</f>
        <v>0</v>
      </c>
      <c r="P287" s="1210">
        <f>SUM(P279:P286)*fx!P57</f>
        <v>0</v>
      </c>
      <c r="Q287" s="1210">
        <f>SUM(Q279:Q286)*fx!Q57</f>
        <v>0</v>
      </c>
      <c r="R287" s="1210">
        <f>SUM(R279:R286)*fx!R57</f>
        <v>0</v>
      </c>
      <c r="S287" s="1210">
        <f>SUM(S279:S286)*fx!S57</f>
        <v>0</v>
      </c>
      <c r="T287" s="1210">
        <f>SUM(T279:T286)*fx!T57</f>
        <v>0</v>
      </c>
      <c r="U287" s="1210">
        <f>SUM(U279:U286)*fx!U57</f>
        <v>0</v>
      </c>
      <c r="V287" s="1210">
        <f>SUM(V279:V286)*fx!V57</f>
        <v>0</v>
      </c>
      <c r="W287" s="1210">
        <f>SUM(W279:W286)*fx!W57</f>
        <v>0</v>
      </c>
      <c r="X287" s="1210">
        <f>SUM(X279:X286)*fx!X57</f>
        <v>0</v>
      </c>
      <c r="Y287" s="1210">
        <f>SUM(Y279:Y286)*fx!Y57</f>
        <v>0</v>
      </c>
      <c r="Z287" s="1210">
        <f>SUM(Z279:Z286)*fx!Z57</f>
        <v>0</v>
      </c>
      <c r="AA287" s="1210">
        <f>SUM(AA279:AA286)*fx!AA57</f>
        <v>0</v>
      </c>
      <c r="AB287" s="1210">
        <f>SUM(AB279:AB286)*fx!AB57</f>
        <v>0</v>
      </c>
      <c r="AC287" s="1210">
        <f>SUM(AC279:AC286)*fx!AC57</f>
        <v>0</v>
      </c>
      <c r="AD287" s="1210">
        <f>SUM(AD279:AD286)*fx!AD57</f>
        <v>0</v>
      </c>
      <c r="AE287" s="1210">
        <f>SUM(AE279:AE286)*fx!AE57</f>
        <v>0</v>
      </c>
      <c r="AF287" s="1210">
        <f>SUM(AF279:AF286)*fx!AF57</f>
        <v>0</v>
      </c>
      <c r="AG287" s="337"/>
      <c r="AH287" s="1009"/>
      <c r="AI287" s="1009"/>
      <c r="AJ287" s="1956">
        <f>IF(fx!$C$57=1,SUMIF(fx!I$57:T$57,1,I287:T287),IF(fx!$C$57=2,SUMIF(fx!O$57:AF$57,1,O287:AF287)))</f>
        <v>0</v>
      </c>
      <c r="AK287" s="1207"/>
      <c r="AL287" s="1957">
        <f>IF(fx!$C$57=1,SUM(U287:AF287),0)</f>
        <v>0</v>
      </c>
      <c r="AM287" s="1036"/>
      <c r="AN287" s="1036"/>
      <c r="AO287" s="1034"/>
      <c r="AP287" s="1084"/>
      <c r="AQ287" s="1084"/>
      <c r="AR287" s="1009"/>
      <c r="AS287" s="1009"/>
      <c r="AT287" s="1009"/>
      <c r="AU287" s="1009"/>
      <c r="AV287" s="1009"/>
      <c r="AW287" s="1009"/>
      <c r="AX287" s="1009"/>
      <c r="AY287" s="1009"/>
      <c r="AZ287" s="1009"/>
      <c r="BA287" s="1009"/>
      <c r="BB287" s="1009"/>
      <c r="BC287" s="1009"/>
      <c r="BD287" s="1009"/>
      <c r="BE287" s="1009"/>
      <c r="BF287" s="1009"/>
      <c r="BG287" s="1009"/>
      <c r="BH287" s="1009"/>
      <c r="BI287" s="1009"/>
      <c r="BJ287" s="1009"/>
      <c r="BK287" s="1009"/>
      <c r="BL287" s="1009"/>
      <c r="BM287" s="1009"/>
      <c r="BN287" s="1009"/>
      <c r="BO287" s="1009"/>
      <c r="BP287" s="1009"/>
      <c r="BQ287" s="1009"/>
      <c r="BR287" s="1009"/>
      <c r="BS287" s="1009"/>
      <c r="BT287" s="1009"/>
      <c r="BU287" s="1009"/>
      <c r="BV287" s="1009"/>
      <c r="BW287" s="1009"/>
      <c r="BX287" s="1009"/>
      <c r="BY287" s="1009"/>
      <c r="BZ287" s="1009"/>
      <c r="CA287" s="1009"/>
      <c r="CB287" s="1009"/>
      <c r="CC287" s="1009"/>
      <c r="CD287" s="1009"/>
      <c r="CE287" s="1009"/>
      <c r="CF287" s="1009"/>
      <c r="CG287" s="1009"/>
      <c r="CH287" s="1009"/>
      <c r="CI287" s="1009"/>
      <c r="CJ287" s="1009"/>
      <c r="CK287" s="1009"/>
      <c r="CL287" s="1009"/>
      <c r="CM287" s="1009"/>
      <c r="CN287" s="1009"/>
      <c r="CO287" s="1009"/>
      <c r="CP287" s="1009"/>
      <c r="CQ287" s="1009"/>
      <c r="CR287" s="1009"/>
      <c r="CS287" s="1009"/>
      <c r="CT287" s="1009"/>
      <c r="CU287" s="1009"/>
      <c r="CV287" s="1009"/>
      <c r="CW287" s="1009"/>
      <c r="CX287" s="1009"/>
      <c r="CY287" s="1009"/>
      <c r="CZ287" s="1009"/>
      <c r="DA287" s="1009"/>
      <c r="DB287" s="1009"/>
      <c r="DC287" s="1009"/>
      <c r="DD287" s="1009"/>
      <c r="DE287" s="1009"/>
      <c r="DF287" s="1009"/>
      <c r="DG287" s="1009"/>
      <c r="DH287" s="1009"/>
      <c r="DI287" s="1009"/>
      <c r="DJ287" s="1009"/>
      <c r="DK287" s="1009"/>
      <c r="DL287" s="1009"/>
      <c r="DM287" s="1009"/>
      <c r="DN287" s="1009"/>
      <c r="DO287" s="1009"/>
      <c r="DP287" s="1009"/>
      <c r="DQ287" s="1009"/>
      <c r="DR287" s="1009"/>
      <c r="DS287" s="1009"/>
      <c r="DT287" s="1009"/>
      <c r="DU287" s="1009"/>
      <c r="DV287" s="1009"/>
      <c r="DW287" s="1009"/>
      <c r="DX287" s="1009"/>
      <c r="DY287" s="1009"/>
      <c r="DZ287" s="1009"/>
      <c r="EA287" s="1009"/>
      <c r="EB287" s="1009"/>
      <c r="EC287" s="1009"/>
      <c r="ED287" s="1009"/>
      <c r="EE287" s="1009"/>
      <c r="EF287" s="1009"/>
      <c r="EG287" s="1009"/>
      <c r="EH287" s="1009"/>
      <c r="EI287" s="1009"/>
      <c r="EJ287" s="1009"/>
      <c r="EK287" s="1009"/>
      <c r="EL287" s="1009"/>
      <c r="EM287" s="1009"/>
      <c r="EN287" s="1009"/>
      <c r="EO287" s="1009"/>
      <c r="EP287" s="1009"/>
      <c r="EQ287" s="1009"/>
      <c r="ER287" s="1009"/>
      <c r="ES287" s="1009"/>
      <c r="ET287" s="1009"/>
      <c r="EU287" s="1009"/>
      <c r="EV287" s="1009"/>
      <c r="EW287" s="1009"/>
      <c r="EX287" s="1009"/>
      <c r="EY287" s="1009"/>
      <c r="EZ287" s="1009"/>
      <c r="FA287" s="1009"/>
      <c r="FB287" s="1009"/>
      <c r="FC287" s="1009"/>
      <c r="FD287" s="1009"/>
      <c r="FE287" s="1009"/>
      <c r="FF287" s="1009"/>
      <c r="FG287" s="1009"/>
      <c r="FH287" s="1009"/>
      <c r="FI287" s="1009"/>
      <c r="FJ287" s="1009"/>
      <c r="FK287" s="1009"/>
      <c r="FL287" s="1009"/>
      <c r="FM287" s="1009"/>
      <c r="FN287" s="1009"/>
      <c r="FO287" s="1009"/>
      <c r="FP287" s="1009"/>
      <c r="FQ287" s="1009"/>
      <c r="FR287" s="1009"/>
      <c r="FS287" s="1009"/>
      <c r="FT287" s="1009"/>
      <c r="FU287" s="1009"/>
      <c r="FV287" s="1009"/>
      <c r="FW287" s="1009"/>
      <c r="FX287" s="1009"/>
      <c r="FY287" s="1009"/>
      <c r="FZ287" s="1009"/>
      <c r="GA287" s="1009"/>
      <c r="GB287" s="1009"/>
      <c r="GC287" s="1009"/>
      <c r="GD287" s="1009"/>
      <c r="GE287" s="1009"/>
      <c r="GF287" s="1009"/>
      <c r="GG287" s="1009"/>
      <c r="GH287" s="1009"/>
      <c r="GI287" s="1009"/>
      <c r="GJ287" s="1009"/>
      <c r="GK287" s="1009"/>
      <c r="GL287" s="1009"/>
      <c r="GM287" s="1009"/>
      <c r="GN287" s="1009"/>
      <c r="GO287" s="1009"/>
      <c r="GP287" s="1009"/>
      <c r="GQ287" s="1009"/>
      <c r="GR287" s="1009"/>
      <c r="GS287" s="1009"/>
      <c r="GT287" s="1009"/>
      <c r="GU287" s="1009"/>
      <c r="GV287" s="1009"/>
      <c r="GW287" s="1009"/>
      <c r="GX287" s="1009"/>
      <c r="GY287" s="1009"/>
      <c r="GZ287" s="1009"/>
      <c r="HA287" s="1009"/>
      <c r="HB287" s="1009"/>
      <c r="HC287" s="1009"/>
      <c r="HD287" s="1009"/>
      <c r="HE287" s="1009"/>
      <c r="HF287" s="1009"/>
      <c r="HG287" s="1009"/>
      <c r="HH287" s="1009"/>
      <c r="HI287" s="1009"/>
      <c r="HJ287" s="1009"/>
      <c r="HK287" s="1009"/>
      <c r="HL287" s="1009"/>
      <c r="HM287" s="1009"/>
      <c r="HN287" s="1009"/>
      <c r="HO287" s="1009"/>
      <c r="HP287" s="1009"/>
      <c r="HQ287" s="1009"/>
      <c r="HR287" s="1009"/>
      <c r="HS287" s="1009"/>
      <c r="HT287" s="1009"/>
      <c r="HU287" s="1009"/>
      <c r="HV287" s="1009"/>
      <c r="HW287" s="1009"/>
      <c r="HX287" s="1009"/>
      <c r="HY287" s="1009"/>
      <c r="HZ287" s="1009"/>
      <c r="IA287" s="1009"/>
      <c r="IB287" s="1009"/>
      <c r="IC287" s="1009"/>
      <c r="ID287" s="1009"/>
      <c r="IE287" s="1009"/>
      <c r="IF287" s="1009"/>
      <c r="IG287" s="1009"/>
      <c r="IH287" s="1009"/>
      <c r="II287" s="1009"/>
      <c r="IJ287" s="1009"/>
      <c r="IK287" s="1009"/>
      <c r="IL287" s="1009"/>
      <c r="IM287" s="1009"/>
      <c r="IN287" s="1009"/>
      <c r="IO287" s="1009"/>
      <c r="IP287" s="1009"/>
      <c r="IQ287" s="1009"/>
      <c r="IR287" s="1009"/>
      <c r="IS287" s="1009"/>
      <c r="IT287" s="1009"/>
      <c r="IU287" s="1009"/>
      <c r="IV287" s="1009"/>
      <c r="IW287" s="1009"/>
      <c r="IX287" s="1009"/>
      <c r="IY287" s="1009"/>
      <c r="IZ287" s="1009"/>
      <c r="JA287" s="1009"/>
      <c r="JB287" s="1009"/>
      <c r="JC287" s="1009"/>
      <c r="JD287" s="1009"/>
      <c r="JE287" s="1009"/>
      <c r="JF287" s="1009"/>
      <c r="JG287" s="1009"/>
      <c r="JH287" s="1009"/>
      <c r="JI287" s="1009"/>
      <c r="JJ287" s="1009"/>
      <c r="JK287" s="1009"/>
      <c r="JL287" s="1009"/>
      <c r="JM287" s="1009"/>
      <c r="JN287" s="1009"/>
      <c r="JO287" s="1009"/>
      <c r="JP287" s="1009"/>
      <c r="JQ287" s="1009"/>
      <c r="JR287" s="1009"/>
      <c r="JS287" s="1009"/>
      <c r="JT287" s="1009"/>
      <c r="JU287" s="1009"/>
      <c r="JV287" s="1009"/>
      <c r="JW287" s="1009"/>
      <c r="JX287" s="1009"/>
      <c r="JY287" s="1009"/>
      <c r="JZ287" s="1009"/>
      <c r="KA287" s="1009"/>
      <c r="KB287" s="1009"/>
      <c r="KC287" s="1009"/>
      <c r="KD287" s="1009"/>
      <c r="KE287" s="1009"/>
      <c r="KF287" s="1009"/>
      <c r="KG287" s="1009"/>
      <c r="KH287" s="1009"/>
      <c r="KI287" s="1009"/>
      <c r="KJ287" s="1009"/>
      <c r="KK287" s="1009"/>
      <c r="KL287" s="1009"/>
      <c r="KM287" s="1009"/>
      <c r="KN287" s="1009"/>
      <c r="KO287" s="1009"/>
      <c r="KP287" s="1009"/>
      <c r="KQ287" s="1009"/>
      <c r="KR287" s="1009"/>
      <c r="KS287" s="1009"/>
      <c r="KT287" s="1009"/>
      <c r="KU287" s="1009"/>
      <c r="KV287" s="1009"/>
      <c r="KW287" s="1009"/>
      <c r="KX287" s="1009"/>
      <c r="KY287" s="1009"/>
      <c r="KZ287" s="1009"/>
      <c r="LA287" s="1009"/>
      <c r="LB287" s="1009"/>
      <c r="LC287" s="1009"/>
      <c r="LD287" s="1009"/>
      <c r="LE287" s="1009"/>
      <c r="LF287" s="1009"/>
      <c r="LG287" s="1009"/>
      <c r="LH287" s="1009"/>
      <c r="LI287" s="1009"/>
      <c r="LJ287" s="1009"/>
      <c r="LK287" s="1009"/>
      <c r="LL287" s="1009"/>
      <c r="LM287" s="1009"/>
      <c r="LN287" s="1009"/>
      <c r="LO287" s="1009"/>
      <c r="LP287" s="1009"/>
      <c r="LQ287" s="1009"/>
      <c r="LR287" s="1009"/>
      <c r="LS287" s="1009"/>
      <c r="LT287" s="1009"/>
      <c r="LU287" s="1009"/>
      <c r="LV287" s="1009"/>
      <c r="LW287" s="1009"/>
      <c r="LX287" s="1009"/>
      <c r="LY287" s="1009"/>
      <c r="LZ287" s="1009"/>
      <c r="MA287" s="1009"/>
      <c r="MB287" s="1009"/>
      <c r="MC287" s="1009"/>
      <c r="MD287" s="1009"/>
      <c r="ME287" s="1009"/>
      <c r="MF287" s="1009"/>
      <c r="MG287" s="1009"/>
      <c r="MH287" s="1009"/>
      <c r="MI287" s="1009"/>
      <c r="MJ287" s="1009"/>
      <c r="MK287" s="1009"/>
      <c r="ML287" s="1009"/>
      <c r="MM287" s="1009"/>
      <c r="MN287" s="1009"/>
      <c r="MO287" s="1009"/>
      <c r="MP287" s="1009"/>
      <c r="MQ287" s="1009"/>
      <c r="MR287" s="1009"/>
      <c r="MS287" s="1009"/>
      <c r="MT287" s="1009"/>
      <c r="MU287" s="1009"/>
      <c r="MV287" s="1009"/>
      <c r="MW287" s="1009"/>
      <c r="MX287" s="1009"/>
      <c r="MY287" s="1009"/>
      <c r="MZ287" s="1009"/>
      <c r="NA287" s="1009"/>
      <c r="NB287" s="1009"/>
      <c r="NC287" s="1009"/>
      <c r="ND287" s="1009"/>
      <c r="NE287" s="1009"/>
      <c r="NF287" s="1009"/>
      <c r="NG287" s="1009"/>
      <c r="NH287" s="1009"/>
      <c r="NI287" s="1009"/>
      <c r="NJ287" s="1009"/>
      <c r="NK287" s="1009"/>
      <c r="NL287" s="1009"/>
      <c r="NM287" s="1009"/>
      <c r="NN287" s="1009"/>
      <c r="NO287" s="1009"/>
      <c r="NP287" s="1009"/>
      <c r="NQ287" s="1009"/>
      <c r="NR287" s="1009"/>
      <c r="NS287" s="1009"/>
      <c r="NT287" s="1009"/>
      <c r="NU287" s="1009"/>
      <c r="NV287" s="1009"/>
      <c r="NW287" s="1009"/>
      <c r="NX287" s="1009"/>
      <c r="NY287" s="1009"/>
      <c r="NZ287" s="1009"/>
      <c r="OA287" s="1009"/>
      <c r="OB287" s="1009"/>
      <c r="OC287" s="1009"/>
      <c r="OD287" s="1009"/>
      <c r="OE287" s="1009"/>
      <c r="OF287" s="1009"/>
      <c r="OG287" s="1009"/>
      <c r="OH287" s="1009"/>
      <c r="OI287" s="1009"/>
      <c r="OJ287" s="1009"/>
      <c r="OK287" s="1009"/>
      <c r="OL287" s="1009"/>
      <c r="OM287" s="1009"/>
      <c r="ON287" s="1009"/>
      <c r="OO287" s="1009"/>
      <c r="OP287" s="1009"/>
      <c r="OQ287" s="1009"/>
      <c r="OR287" s="1009"/>
      <c r="OS287" s="1009"/>
      <c r="OT287" s="1009"/>
      <c r="OU287" s="1009"/>
      <c r="OV287" s="1009"/>
      <c r="OW287" s="1009"/>
      <c r="OX287" s="1009"/>
      <c r="OY287" s="1009"/>
      <c r="OZ287" s="1009"/>
      <c r="PA287" s="1009"/>
      <c r="PB287" s="1009"/>
      <c r="PC287" s="1009"/>
      <c r="PD287" s="1009"/>
      <c r="PE287" s="1009"/>
      <c r="PF287" s="1009"/>
      <c r="PG287" s="1009"/>
      <c r="PH287" s="1009"/>
      <c r="PI287" s="1009"/>
      <c r="PJ287" s="1009"/>
      <c r="PK287" s="1009"/>
      <c r="PL287" s="1009"/>
      <c r="PM287" s="1009"/>
      <c r="PN287" s="1009"/>
      <c r="PO287" s="1009"/>
      <c r="PP287" s="1009"/>
      <c r="PQ287" s="1009"/>
      <c r="PR287" s="1009"/>
      <c r="PS287" s="1009"/>
      <c r="PT287" s="1009"/>
      <c r="PU287" s="1009"/>
      <c r="PV287" s="1009"/>
      <c r="PW287" s="1009"/>
      <c r="PX287" s="1009"/>
      <c r="PY287" s="1009"/>
      <c r="PZ287" s="1009"/>
      <c r="QA287" s="1009"/>
      <c r="QB287" s="1009"/>
      <c r="QC287" s="1009"/>
      <c r="QD287" s="1009"/>
      <c r="QE287" s="1009"/>
      <c r="QF287" s="1009"/>
      <c r="QG287" s="1009"/>
      <c r="QH287" s="1009"/>
      <c r="QI287" s="1009"/>
      <c r="QJ287" s="1009"/>
      <c r="QK287" s="1009"/>
      <c r="QL287" s="1009"/>
      <c r="QM287" s="1009"/>
      <c r="QN287" s="1009"/>
      <c r="QO287" s="1009"/>
      <c r="QP287" s="1009"/>
      <c r="QQ287" s="1009"/>
      <c r="QR287" s="1009"/>
      <c r="QS287" s="1009"/>
      <c r="QT287" s="1009"/>
      <c r="QU287" s="1009"/>
      <c r="QV287" s="1009"/>
      <c r="QW287" s="1009"/>
      <c r="QX287" s="1009"/>
      <c r="QY287" s="1009"/>
      <c r="QZ287" s="1009"/>
      <c r="RA287" s="1009"/>
      <c r="RB287" s="1009"/>
      <c r="RC287" s="1009"/>
      <c r="RD287" s="1009"/>
      <c r="RE287" s="1009"/>
      <c r="RF287" s="1009"/>
      <c r="RG287" s="1009"/>
      <c r="RH287" s="1009"/>
      <c r="RI287" s="1009"/>
      <c r="RJ287" s="1009"/>
      <c r="RK287" s="1009"/>
      <c r="RL287" s="1009"/>
      <c r="RM287" s="1009"/>
      <c r="RN287" s="1009"/>
      <c r="RO287" s="1009"/>
      <c r="RP287" s="1009"/>
      <c r="RQ287" s="1009"/>
      <c r="RR287" s="1009"/>
      <c r="RS287" s="1009"/>
      <c r="RT287" s="1009"/>
      <c r="RU287" s="1009"/>
      <c r="RV287" s="1009"/>
      <c r="RW287" s="1009"/>
      <c r="RX287" s="1009"/>
      <c r="RY287" s="1009"/>
      <c r="RZ287" s="1009"/>
      <c r="SA287" s="1009"/>
      <c r="SB287" s="1009"/>
      <c r="SC287" s="1009"/>
      <c r="SD287" s="1009"/>
      <c r="SE287" s="1009"/>
      <c r="SF287" s="1009"/>
      <c r="SG287" s="1009"/>
      <c r="SH287" s="1009"/>
      <c r="SI287" s="1009"/>
      <c r="SJ287" s="1009"/>
      <c r="SK287" s="1009"/>
      <c r="SL287" s="1009"/>
      <c r="SM287" s="1009"/>
      <c r="SN287" s="1009"/>
      <c r="SO287" s="1009"/>
      <c r="SP287" s="1009"/>
      <c r="SQ287" s="1009"/>
      <c r="SR287" s="1009"/>
      <c r="SS287" s="1009"/>
      <c r="ST287" s="1009"/>
      <c r="SU287" s="1009"/>
      <c r="SV287" s="1009"/>
      <c r="SW287" s="1009"/>
      <c r="SX287" s="1009"/>
      <c r="SY287" s="1009"/>
      <c r="SZ287" s="1009"/>
      <c r="TA287" s="1009"/>
      <c r="TB287" s="1009"/>
      <c r="TC287" s="1009"/>
      <c r="TD287" s="1009"/>
      <c r="TE287" s="1009"/>
      <c r="TF287" s="1009"/>
      <c r="TG287" s="1009"/>
      <c r="TH287" s="1009"/>
      <c r="TI287" s="1009"/>
      <c r="TJ287" s="1009"/>
      <c r="TK287" s="1009"/>
      <c r="TL287" s="1009"/>
      <c r="TM287" s="1009"/>
      <c r="TN287" s="1009"/>
      <c r="TO287" s="1009"/>
      <c r="TP287" s="1009"/>
      <c r="TQ287" s="1009"/>
      <c r="TR287" s="1009"/>
      <c r="TS287" s="1009"/>
      <c r="TT287" s="1009"/>
      <c r="TU287" s="1009"/>
      <c r="TV287" s="1009"/>
      <c r="TW287" s="1009"/>
      <c r="TX287" s="1009"/>
      <c r="TY287" s="1009"/>
      <c r="TZ287" s="1009"/>
      <c r="UA287" s="1009"/>
      <c r="UB287" s="1009"/>
      <c r="UC287" s="1009"/>
      <c r="UD287" s="1009"/>
      <c r="UE287" s="1009"/>
      <c r="UF287" s="1009"/>
      <c r="UG287" s="1009"/>
      <c r="UH287" s="1009"/>
      <c r="UI287" s="1009"/>
      <c r="UJ287" s="1009"/>
      <c r="UK287" s="1009"/>
      <c r="UL287" s="1009"/>
      <c r="UM287" s="1009"/>
      <c r="UN287" s="1009"/>
      <c r="UO287" s="1009"/>
      <c r="UP287" s="1009"/>
      <c r="UQ287" s="1009"/>
      <c r="UR287" s="1009"/>
      <c r="US287" s="1009"/>
      <c r="UT287" s="1009"/>
      <c r="UU287" s="1009"/>
      <c r="UV287" s="1009"/>
      <c r="UW287" s="1009"/>
      <c r="UX287" s="1009"/>
      <c r="UY287" s="1009"/>
      <c r="UZ287" s="1009"/>
      <c r="VA287" s="1009"/>
      <c r="VB287" s="1009"/>
      <c r="VC287" s="1009"/>
      <c r="VD287" s="1009"/>
      <c r="VE287" s="1009"/>
      <c r="VF287" s="1009"/>
      <c r="VG287" s="1009"/>
      <c r="VH287" s="1009"/>
      <c r="VI287" s="1009"/>
      <c r="VJ287" s="1009"/>
      <c r="VK287" s="1009"/>
      <c r="VL287" s="1009"/>
      <c r="VM287" s="1009"/>
      <c r="VN287" s="1009"/>
      <c r="VO287" s="1009"/>
      <c r="VP287" s="1009"/>
      <c r="VQ287" s="1009"/>
      <c r="VR287" s="1009"/>
      <c r="VS287" s="1009"/>
      <c r="VT287" s="1009"/>
      <c r="VU287" s="1009"/>
      <c r="VV287" s="1009"/>
      <c r="VW287" s="1009"/>
      <c r="VX287" s="1009"/>
      <c r="VY287" s="1009"/>
      <c r="VZ287" s="1009"/>
      <c r="WA287" s="1009"/>
      <c r="WB287" s="1009"/>
      <c r="WC287" s="1009"/>
      <c r="WD287" s="1009"/>
      <c r="WE287" s="1009"/>
      <c r="WF287" s="1009"/>
      <c r="WG287" s="1009"/>
      <c r="WH287" s="1009"/>
      <c r="WI287" s="1009"/>
      <c r="WJ287" s="1009"/>
      <c r="WK287" s="1009"/>
      <c r="WL287" s="1009"/>
      <c r="WM287" s="1009"/>
      <c r="WN287" s="1009"/>
      <c r="WO287" s="1009"/>
      <c r="WP287" s="1009"/>
      <c r="WQ287" s="1009"/>
      <c r="WR287" s="1009"/>
      <c r="WS287" s="1009"/>
      <c r="WT287" s="1009"/>
      <c r="WU287" s="1009"/>
      <c r="WV287" s="1009"/>
      <c r="WW287" s="1009"/>
      <c r="WX287" s="1009"/>
      <c r="WY287" s="1009"/>
      <c r="WZ287" s="1009"/>
      <c r="XA287" s="1009"/>
      <c r="XB287" s="1009"/>
      <c r="XC287" s="1009"/>
      <c r="XD287" s="1009"/>
      <c r="XE287" s="1009"/>
      <c r="XF287" s="1009"/>
      <c r="XG287" s="1009"/>
      <c r="XH287" s="1009"/>
      <c r="XI287" s="1009"/>
      <c r="XJ287" s="1009"/>
      <c r="XK287" s="1009"/>
      <c r="XL287" s="1009"/>
      <c r="XM287" s="1009"/>
      <c r="XN287" s="1009"/>
      <c r="XO287" s="1009"/>
      <c r="XP287" s="1009"/>
      <c r="XQ287" s="1009"/>
      <c r="XR287" s="1009"/>
      <c r="XS287" s="1009"/>
      <c r="XT287" s="1009"/>
      <c r="XU287" s="1009"/>
      <c r="XV287" s="1009"/>
      <c r="XW287" s="1009"/>
      <c r="XX287" s="1009"/>
      <c r="XY287" s="1009"/>
      <c r="XZ287" s="1009"/>
      <c r="YA287" s="1009"/>
      <c r="YB287" s="1009"/>
      <c r="YC287" s="1009"/>
      <c r="YD287" s="1009"/>
      <c r="YE287" s="1009"/>
      <c r="YF287" s="1009"/>
      <c r="YG287" s="1009"/>
      <c r="YH287" s="1009"/>
      <c r="YI287" s="1009"/>
      <c r="YJ287" s="1009"/>
      <c r="YK287" s="1009"/>
      <c r="YL287" s="1009"/>
      <c r="YM287" s="1009"/>
      <c r="YN287" s="1009"/>
      <c r="YO287" s="1009"/>
      <c r="YP287" s="1009"/>
      <c r="YQ287" s="1009"/>
      <c r="YR287" s="1009"/>
      <c r="YS287" s="1009"/>
      <c r="YT287" s="1009"/>
      <c r="YU287" s="1009"/>
      <c r="YV287" s="1009"/>
      <c r="YW287" s="1009"/>
      <c r="YX287" s="1009"/>
      <c r="YY287" s="1009"/>
      <c r="YZ287" s="1009"/>
      <c r="ZA287" s="1009"/>
      <c r="ZB287" s="1009"/>
      <c r="ZC287" s="1009"/>
      <c r="ZD287" s="1009"/>
      <c r="ZE287" s="1009"/>
      <c r="ZF287" s="1009"/>
      <c r="ZG287" s="1009"/>
      <c r="ZH287" s="1009"/>
      <c r="ZI287" s="1009"/>
      <c r="ZJ287" s="1009"/>
      <c r="ZK287" s="1009"/>
      <c r="ZL287" s="1009"/>
      <c r="ZM287" s="1009"/>
      <c r="ZN287" s="1009"/>
      <c r="ZO287" s="1009"/>
      <c r="ZP287" s="1009"/>
      <c r="ZQ287" s="1009"/>
      <c r="ZR287" s="1009"/>
      <c r="ZS287" s="1009"/>
      <c r="ZT287" s="1009"/>
      <c r="ZU287" s="1009"/>
      <c r="ZV287" s="1009"/>
      <c r="ZW287" s="1009"/>
      <c r="ZX287" s="1009"/>
      <c r="ZY287" s="1009"/>
      <c r="ZZ287" s="1009"/>
      <c r="AAA287" s="1009"/>
      <c r="AAB287" s="1009"/>
      <c r="AAC287" s="1009"/>
      <c r="AAD287" s="1009"/>
      <c r="AAE287" s="1009"/>
      <c r="AAF287" s="1009"/>
      <c r="AAG287" s="1009"/>
      <c r="AAH287" s="1009"/>
      <c r="AAI287" s="1009"/>
      <c r="AAJ287" s="1009"/>
      <c r="AAK287" s="1009"/>
      <c r="AAL287" s="1009"/>
      <c r="AAM287" s="1009"/>
      <c r="AAN287" s="1009"/>
      <c r="AAO287" s="1009"/>
      <c r="AAP287" s="1009"/>
      <c r="AAQ287" s="1009"/>
      <c r="AAR287" s="1009"/>
      <c r="AAS287" s="1009"/>
      <c r="AAT287" s="1009"/>
      <c r="AAU287" s="1009"/>
      <c r="AAV287" s="1009"/>
      <c r="AAW287" s="1009"/>
      <c r="AAX287" s="1009"/>
      <c r="AAY287" s="1009"/>
      <c r="AAZ287" s="1009"/>
      <c r="ABA287" s="1009"/>
      <c r="ABB287" s="1009"/>
      <c r="ABC287" s="1009"/>
      <c r="ABD287" s="1009"/>
      <c r="ABE287" s="1009"/>
      <c r="ABF287" s="1009"/>
      <c r="ABG287" s="1009"/>
      <c r="ABH287" s="1009"/>
      <c r="ABI287" s="1009"/>
      <c r="ABJ287" s="1009"/>
      <c r="ABK287" s="1009"/>
      <c r="ABL287" s="1009"/>
      <c r="ABM287" s="1009"/>
      <c r="ABN287" s="1009"/>
      <c r="ABO287" s="1009"/>
      <c r="ABP287" s="1009"/>
      <c r="ABQ287" s="1009"/>
      <c r="ABR287" s="1009"/>
    </row>
    <row r="288" spans="1:746" s="111" customFormat="1" ht="12" customHeight="1">
      <c r="A288" s="2282"/>
      <c r="B288" s="2407" t="s">
        <v>1309</v>
      </c>
      <c r="C288" s="2408"/>
      <c r="D288" s="2409"/>
      <c r="E288" s="2410"/>
      <c r="F288" s="2410"/>
      <c r="G288" s="2410"/>
      <c r="H288" s="2559"/>
      <c r="I288" s="2591">
        <f>SUMIF(fx!$I57:I$57,1,$I$287:I$287)</f>
        <v>0</v>
      </c>
      <c r="J288" s="2385">
        <f>SUMIF(fx!$I57:J$57,1,$I$287:J$287)</f>
        <v>0</v>
      </c>
      <c r="K288" s="2385">
        <f>SUMIF(fx!$I57:K$57,1,$I$287:K$287)</f>
        <v>0</v>
      </c>
      <c r="L288" s="2385">
        <f>SUMIF(fx!$I57:L$57,1,$I$287:L$287)</f>
        <v>0</v>
      </c>
      <c r="M288" s="2385">
        <f>SUMIF(fx!$I57:M$57,1,$I$287:M$287)</f>
        <v>0</v>
      </c>
      <c r="N288" s="2385">
        <f>SUMIF(fx!$I57:N$57,1,$I$287:N$287)</f>
        <v>0</v>
      </c>
      <c r="O288" s="2385">
        <f>SUMIF(fx!$I57:O$57,1,$I$287:O$287)</f>
        <v>0</v>
      </c>
      <c r="P288" s="2385">
        <f>SUMIF(fx!$I57:P$57,1,$I$287:P$287)</f>
        <v>0</v>
      </c>
      <c r="Q288" s="2385">
        <f>SUMIF(fx!$I57:Q$57,1,$I$287:Q$287)</f>
        <v>0</v>
      </c>
      <c r="R288" s="2385">
        <f>SUMIF(fx!$I57:R$57,1,$I$287:R$287)</f>
        <v>0</v>
      </c>
      <c r="S288" s="2385">
        <f>SUMIF(fx!$I57:S$57,1,$I$287:S$287)</f>
        <v>0</v>
      </c>
      <c r="T288" s="2385">
        <f>SUMIF(fx!$I57:T$57,1,$I$287:T$287)</f>
        <v>0</v>
      </c>
      <c r="U288" s="2385">
        <f>SUMIF(fx!$I57:U$57,1,$I$287:U$287)</f>
        <v>0</v>
      </c>
      <c r="V288" s="2385">
        <f>SUMIF(fx!$I57:V$57,1,$I$287:V$287)</f>
        <v>0</v>
      </c>
      <c r="W288" s="2385">
        <f>SUMIF(fx!$I57:W$57,1,$I$287:W$287)</f>
        <v>0</v>
      </c>
      <c r="X288" s="2385">
        <f>SUMIF(fx!$I57:X$57,1,$I$287:X$287)</f>
        <v>0</v>
      </c>
      <c r="Y288" s="2385">
        <f>SUMIF(fx!$I57:Y$57,1,$I$287:Y$287)</f>
        <v>0</v>
      </c>
      <c r="Z288" s="2385">
        <f>SUMIF(fx!$I57:Z$57,1,$I$287:Z$287)</f>
        <v>0</v>
      </c>
      <c r="AA288" s="2385">
        <f>SUMIF(fx!$I57:AA$57,1,$I$287:AA$287)</f>
        <v>0</v>
      </c>
      <c r="AB288" s="2385">
        <f>SUMIF(fx!$I57:AB$57,1,$I$287:AB$287)</f>
        <v>0</v>
      </c>
      <c r="AC288" s="2385">
        <f>SUMIF(fx!$I57:AC$57,1,$I$287:AC$287)</f>
        <v>0</v>
      </c>
      <c r="AD288" s="2385">
        <f>SUMIF(fx!$I57:AD$57,1,$I$287:AD$287)</f>
        <v>0</v>
      </c>
      <c r="AE288" s="2385">
        <f>SUMIF(fx!$I57:AE$57,1,$I$287:AE$287)</f>
        <v>0</v>
      </c>
      <c r="AF288" s="2385">
        <f>SUMIF(fx!$I57:AF$57,1,$I$287:AF$287)</f>
        <v>0</v>
      </c>
      <c r="AG288" s="337"/>
      <c r="AH288" s="1009"/>
      <c r="AI288" s="1009"/>
      <c r="AJ288" s="1956">
        <f>IF(fx!$C$57=1,T288,IF(fx!$C$57=2,AF288))</f>
        <v>0</v>
      </c>
      <c r="AK288" s="1207"/>
      <c r="AL288" s="1957">
        <f>IF(fx!$C$57=1,AF288,0)</f>
        <v>0</v>
      </c>
      <c r="AM288" s="1036"/>
      <c r="AN288" s="1036"/>
      <c r="AO288" s="1034"/>
      <c r="AP288" s="1084"/>
      <c r="AQ288" s="1084"/>
      <c r="AR288" s="1009"/>
      <c r="AS288" s="1009"/>
      <c r="AT288" s="1009"/>
      <c r="AU288" s="1009"/>
      <c r="AV288" s="1009"/>
      <c r="AW288" s="1009"/>
      <c r="AX288" s="1009"/>
      <c r="AY288" s="1009"/>
      <c r="AZ288" s="1009"/>
      <c r="BA288" s="1009"/>
      <c r="BB288" s="1009"/>
      <c r="BC288" s="1009"/>
      <c r="BD288" s="1009"/>
      <c r="BE288" s="1009"/>
      <c r="BF288" s="1009"/>
      <c r="BG288" s="1009"/>
      <c r="BH288" s="1009"/>
      <c r="BI288" s="1009"/>
      <c r="BJ288" s="1009"/>
      <c r="BK288" s="1009"/>
      <c r="BL288" s="1009"/>
      <c r="BM288" s="1009"/>
      <c r="BN288" s="1009"/>
      <c r="BO288" s="1009"/>
      <c r="BP288" s="1009"/>
      <c r="BQ288" s="1009"/>
      <c r="BR288" s="1009"/>
      <c r="BS288" s="1009"/>
      <c r="BT288" s="1009"/>
      <c r="BU288" s="1009"/>
      <c r="BV288" s="1009"/>
      <c r="BW288" s="1009"/>
      <c r="BX288" s="1009"/>
      <c r="BY288" s="1009"/>
      <c r="BZ288" s="1009"/>
      <c r="CA288" s="1009"/>
      <c r="CB288" s="1009"/>
      <c r="CC288" s="1009"/>
      <c r="CD288" s="1009"/>
      <c r="CE288" s="1009"/>
      <c r="CF288" s="1009"/>
      <c r="CG288" s="1009"/>
      <c r="CH288" s="1009"/>
      <c r="CI288" s="1009"/>
      <c r="CJ288" s="1009"/>
      <c r="CK288" s="1009"/>
      <c r="CL288" s="1009"/>
      <c r="CM288" s="1009"/>
      <c r="CN288" s="1009"/>
      <c r="CO288" s="1009"/>
      <c r="CP288" s="1009"/>
      <c r="CQ288" s="1009"/>
      <c r="CR288" s="1009"/>
      <c r="CS288" s="1009"/>
      <c r="CT288" s="1009"/>
      <c r="CU288" s="1009"/>
      <c r="CV288" s="1009"/>
      <c r="CW288" s="1009"/>
      <c r="CX288" s="1009"/>
      <c r="CY288" s="1009"/>
      <c r="CZ288" s="1009"/>
      <c r="DA288" s="1009"/>
      <c r="DB288" s="1009"/>
      <c r="DC288" s="1009"/>
      <c r="DD288" s="1009"/>
      <c r="DE288" s="1009"/>
      <c r="DF288" s="1009"/>
      <c r="DG288" s="1009"/>
      <c r="DH288" s="1009"/>
      <c r="DI288" s="1009"/>
      <c r="DJ288" s="1009"/>
      <c r="DK288" s="1009"/>
      <c r="DL288" s="1009"/>
      <c r="DM288" s="1009"/>
      <c r="DN288" s="1009"/>
      <c r="DO288" s="1009"/>
      <c r="DP288" s="1009"/>
      <c r="DQ288" s="1009"/>
      <c r="DR288" s="1009"/>
      <c r="DS288" s="1009"/>
      <c r="DT288" s="1009"/>
      <c r="DU288" s="1009"/>
      <c r="DV288" s="1009"/>
      <c r="DW288" s="1009"/>
      <c r="DX288" s="1009"/>
      <c r="DY288" s="1009"/>
      <c r="DZ288" s="1009"/>
      <c r="EA288" s="1009"/>
      <c r="EB288" s="1009"/>
      <c r="EC288" s="1009"/>
      <c r="ED288" s="1009"/>
      <c r="EE288" s="1009"/>
      <c r="EF288" s="1009"/>
      <c r="EG288" s="1009"/>
      <c r="EH288" s="1009"/>
      <c r="EI288" s="1009"/>
      <c r="EJ288" s="1009"/>
      <c r="EK288" s="1009"/>
      <c r="EL288" s="1009"/>
      <c r="EM288" s="1009"/>
      <c r="EN288" s="1009"/>
      <c r="EO288" s="1009"/>
      <c r="EP288" s="1009"/>
      <c r="EQ288" s="1009"/>
      <c r="ER288" s="1009"/>
      <c r="ES288" s="1009"/>
      <c r="ET288" s="1009"/>
      <c r="EU288" s="1009"/>
      <c r="EV288" s="1009"/>
      <c r="EW288" s="1009"/>
      <c r="EX288" s="1009"/>
      <c r="EY288" s="1009"/>
      <c r="EZ288" s="1009"/>
      <c r="FA288" s="1009"/>
      <c r="FB288" s="1009"/>
      <c r="FC288" s="1009"/>
      <c r="FD288" s="1009"/>
      <c r="FE288" s="1009"/>
      <c r="FF288" s="1009"/>
      <c r="FG288" s="1009"/>
      <c r="FH288" s="1009"/>
      <c r="FI288" s="1009"/>
      <c r="FJ288" s="1009"/>
      <c r="FK288" s="1009"/>
      <c r="FL288" s="1009"/>
      <c r="FM288" s="1009"/>
      <c r="FN288" s="1009"/>
      <c r="FO288" s="1009"/>
      <c r="FP288" s="1009"/>
      <c r="FQ288" s="1009"/>
      <c r="FR288" s="1009"/>
      <c r="FS288" s="1009"/>
      <c r="FT288" s="1009"/>
      <c r="FU288" s="1009"/>
      <c r="FV288" s="1009"/>
      <c r="FW288" s="1009"/>
      <c r="FX288" s="1009"/>
      <c r="FY288" s="1009"/>
      <c r="FZ288" s="1009"/>
      <c r="GA288" s="1009"/>
      <c r="GB288" s="1009"/>
      <c r="GC288" s="1009"/>
      <c r="GD288" s="1009"/>
      <c r="GE288" s="1009"/>
      <c r="GF288" s="1009"/>
      <c r="GG288" s="1009"/>
      <c r="GH288" s="1009"/>
      <c r="GI288" s="1009"/>
      <c r="GJ288" s="1009"/>
      <c r="GK288" s="1009"/>
      <c r="GL288" s="1009"/>
      <c r="GM288" s="1009"/>
      <c r="GN288" s="1009"/>
      <c r="GO288" s="1009"/>
      <c r="GP288" s="1009"/>
      <c r="GQ288" s="1009"/>
      <c r="GR288" s="1009"/>
      <c r="GS288" s="1009"/>
      <c r="GT288" s="1009"/>
      <c r="GU288" s="1009"/>
      <c r="GV288" s="1009"/>
      <c r="GW288" s="1009"/>
      <c r="GX288" s="1009"/>
      <c r="GY288" s="1009"/>
      <c r="GZ288" s="1009"/>
      <c r="HA288" s="1009"/>
      <c r="HB288" s="1009"/>
      <c r="HC288" s="1009"/>
      <c r="HD288" s="1009"/>
      <c r="HE288" s="1009"/>
      <c r="HF288" s="1009"/>
      <c r="HG288" s="1009"/>
      <c r="HH288" s="1009"/>
      <c r="HI288" s="1009"/>
      <c r="HJ288" s="1009"/>
      <c r="HK288" s="1009"/>
      <c r="HL288" s="1009"/>
      <c r="HM288" s="1009"/>
      <c r="HN288" s="1009"/>
      <c r="HO288" s="1009"/>
      <c r="HP288" s="1009"/>
      <c r="HQ288" s="1009"/>
      <c r="HR288" s="1009"/>
      <c r="HS288" s="1009"/>
      <c r="HT288" s="1009"/>
      <c r="HU288" s="1009"/>
      <c r="HV288" s="1009"/>
      <c r="HW288" s="1009"/>
      <c r="HX288" s="1009"/>
      <c r="HY288" s="1009"/>
      <c r="HZ288" s="1009"/>
      <c r="IA288" s="1009"/>
      <c r="IB288" s="1009"/>
      <c r="IC288" s="1009"/>
      <c r="ID288" s="1009"/>
      <c r="IE288" s="1009"/>
      <c r="IF288" s="1009"/>
      <c r="IG288" s="1009"/>
      <c r="IH288" s="1009"/>
      <c r="II288" s="1009"/>
      <c r="IJ288" s="1009"/>
      <c r="IK288" s="1009"/>
      <c r="IL288" s="1009"/>
      <c r="IM288" s="1009"/>
      <c r="IN288" s="1009"/>
      <c r="IO288" s="1009"/>
      <c r="IP288" s="1009"/>
      <c r="IQ288" s="1009"/>
      <c r="IR288" s="1009"/>
      <c r="IS288" s="1009"/>
      <c r="IT288" s="1009"/>
      <c r="IU288" s="1009"/>
      <c r="IV288" s="1009"/>
      <c r="IW288" s="1009"/>
      <c r="IX288" s="1009"/>
      <c r="IY288" s="1009"/>
      <c r="IZ288" s="1009"/>
      <c r="JA288" s="1009"/>
      <c r="JB288" s="1009"/>
      <c r="JC288" s="1009"/>
      <c r="JD288" s="1009"/>
      <c r="JE288" s="1009"/>
      <c r="JF288" s="1009"/>
      <c r="JG288" s="1009"/>
      <c r="JH288" s="1009"/>
      <c r="JI288" s="1009"/>
      <c r="JJ288" s="1009"/>
      <c r="JK288" s="1009"/>
      <c r="JL288" s="1009"/>
      <c r="JM288" s="1009"/>
      <c r="JN288" s="1009"/>
      <c r="JO288" s="1009"/>
      <c r="JP288" s="1009"/>
      <c r="JQ288" s="1009"/>
      <c r="JR288" s="1009"/>
      <c r="JS288" s="1009"/>
      <c r="JT288" s="1009"/>
      <c r="JU288" s="1009"/>
      <c r="JV288" s="1009"/>
      <c r="JW288" s="1009"/>
      <c r="JX288" s="1009"/>
      <c r="JY288" s="1009"/>
      <c r="JZ288" s="1009"/>
      <c r="KA288" s="1009"/>
      <c r="KB288" s="1009"/>
      <c r="KC288" s="1009"/>
      <c r="KD288" s="1009"/>
      <c r="KE288" s="1009"/>
      <c r="KF288" s="1009"/>
      <c r="KG288" s="1009"/>
      <c r="KH288" s="1009"/>
      <c r="KI288" s="1009"/>
      <c r="KJ288" s="1009"/>
      <c r="KK288" s="1009"/>
      <c r="KL288" s="1009"/>
      <c r="KM288" s="1009"/>
      <c r="KN288" s="1009"/>
      <c r="KO288" s="1009"/>
      <c r="KP288" s="1009"/>
      <c r="KQ288" s="1009"/>
      <c r="KR288" s="1009"/>
      <c r="KS288" s="1009"/>
      <c r="KT288" s="1009"/>
      <c r="KU288" s="1009"/>
      <c r="KV288" s="1009"/>
      <c r="KW288" s="1009"/>
      <c r="KX288" s="1009"/>
      <c r="KY288" s="1009"/>
      <c r="KZ288" s="1009"/>
      <c r="LA288" s="1009"/>
      <c r="LB288" s="1009"/>
      <c r="LC288" s="1009"/>
      <c r="LD288" s="1009"/>
      <c r="LE288" s="1009"/>
      <c r="LF288" s="1009"/>
      <c r="LG288" s="1009"/>
      <c r="LH288" s="1009"/>
      <c r="LI288" s="1009"/>
      <c r="LJ288" s="1009"/>
      <c r="LK288" s="1009"/>
      <c r="LL288" s="1009"/>
      <c r="LM288" s="1009"/>
      <c r="LN288" s="1009"/>
      <c r="LO288" s="1009"/>
      <c r="LP288" s="1009"/>
      <c r="LQ288" s="1009"/>
      <c r="LR288" s="1009"/>
      <c r="LS288" s="1009"/>
      <c r="LT288" s="1009"/>
      <c r="LU288" s="1009"/>
      <c r="LV288" s="1009"/>
      <c r="LW288" s="1009"/>
      <c r="LX288" s="1009"/>
      <c r="LY288" s="1009"/>
      <c r="LZ288" s="1009"/>
      <c r="MA288" s="1009"/>
      <c r="MB288" s="1009"/>
      <c r="MC288" s="1009"/>
      <c r="MD288" s="1009"/>
      <c r="ME288" s="1009"/>
      <c r="MF288" s="1009"/>
      <c r="MG288" s="1009"/>
      <c r="MH288" s="1009"/>
      <c r="MI288" s="1009"/>
      <c r="MJ288" s="1009"/>
      <c r="MK288" s="1009"/>
      <c r="ML288" s="1009"/>
      <c r="MM288" s="1009"/>
      <c r="MN288" s="1009"/>
      <c r="MO288" s="1009"/>
      <c r="MP288" s="1009"/>
      <c r="MQ288" s="1009"/>
      <c r="MR288" s="1009"/>
      <c r="MS288" s="1009"/>
      <c r="MT288" s="1009"/>
      <c r="MU288" s="1009"/>
      <c r="MV288" s="1009"/>
      <c r="MW288" s="1009"/>
      <c r="MX288" s="1009"/>
      <c r="MY288" s="1009"/>
      <c r="MZ288" s="1009"/>
      <c r="NA288" s="1009"/>
      <c r="NB288" s="1009"/>
      <c r="NC288" s="1009"/>
      <c r="ND288" s="1009"/>
      <c r="NE288" s="1009"/>
      <c r="NF288" s="1009"/>
      <c r="NG288" s="1009"/>
      <c r="NH288" s="1009"/>
      <c r="NI288" s="1009"/>
      <c r="NJ288" s="1009"/>
      <c r="NK288" s="1009"/>
      <c r="NL288" s="1009"/>
      <c r="NM288" s="1009"/>
      <c r="NN288" s="1009"/>
      <c r="NO288" s="1009"/>
      <c r="NP288" s="1009"/>
      <c r="NQ288" s="1009"/>
      <c r="NR288" s="1009"/>
      <c r="NS288" s="1009"/>
      <c r="NT288" s="1009"/>
      <c r="NU288" s="1009"/>
      <c r="NV288" s="1009"/>
      <c r="NW288" s="1009"/>
      <c r="NX288" s="1009"/>
      <c r="NY288" s="1009"/>
      <c r="NZ288" s="1009"/>
      <c r="OA288" s="1009"/>
      <c r="OB288" s="1009"/>
      <c r="OC288" s="1009"/>
      <c r="OD288" s="1009"/>
      <c r="OE288" s="1009"/>
      <c r="OF288" s="1009"/>
      <c r="OG288" s="1009"/>
      <c r="OH288" s="1009"/>
      <c r="OI288" s="1009"/>
      <c r="OJ288" s="1009"/>
      <c r="OK288" s="1009"/>
      <c r="OL288" s="1009"/>
      <c r="OM288" s="1009"/>
      <c r="ON288" s="1009"/>
      <c r="OO288" s="1009"/>
      <c r="OP288" s="1009"/>
      <c r="OQ288" s="1009"/>
      <c r="OR288" s="1009"/>
      <c r="OS288" s="1009"/>
      <c r="OT288" s="1009"/>
      <c r="OU288" s="1009"/>
      <c r="OV288" s="1009"/>
      <c r="OW288" s="1009"/>
      <c r="OX288" s="1009"/>
      <c r="OY288" s="1009"/>
      <c r="OZ288" s="1009"/>
      <c r="PA288" s="1009"/>
      <c r="PB288" s="1009"/>
      <c r="PC288" s="1009"/>
      <c r="PD288" s="1009"/>
      <c r="PE288" s="1009"/>
      <c r="PF288" s="1009"/>
      <c r="PG288" s="1009"/>
      <c r="PH288" s="1009"/>
      <c r="PI288" s="1009"/>
      <c r="PJ288" s="1009"/>
      <c r="PK288" s="1009"/>
      <c r="PL288" s="1009"/>
      <c r="PM288" s="1009"/>
      <c r="PN288" s="1009"/>
      <c r="PO288" s="1009"/>
      <c r="PP288" s="1009"/>
      <c r="PQ288" s="1009"/>
      <c r="PR288" s="1009"/>
      <c r="PS288" s="1009"/>
      <c r="PT288" s="1009"/>
      <c r="PU288" s="1009"/>
      <c r="PV288" s="1009"/>
      <c r="PW288" s="1009"/>
      <c r="PX288" s="1009"/>
      <c r="PY288" s="1009"/>
      <c r="PZ288" s="1009"/>
      <c r="QA288" s="1009"/>
      <c r="QB288" s="1009"/>
      <c r="QC288" s="1009"/>
      <c r="QD288" s="1009"/>
      <c r="QE288" s="1009"/>
      <c r="QF288" s="1009"/>
      <c r="QG288" s="1009"/>
      <c r="QH288" s="1009"/>
      <c r="QI288" s="1009"/>
      <c r="QJ288" s="1009"/>
      <c r="QK288" s="1009"/>
      <c r="QL288" s="1009"/>
      <c r="QM288" s="1009"/>
      <c r="QN288" s="1009"/>
      <c r="QO288" s="1009"/>
      <c r="QP288" s="1009"/>
      <c r="QQ288" s="1009"/>
      <c r="QR288" s="1009"/>
      <c r="QS288" s="1009"/>
      <c r="QT288" s="1009"/>
      <c r="QU288" s="1009"/>
      <c r="QV288" s="1009"/>
      <c r="QW288" s="1009"/>
      <c r="QX288" s="1009"/>
      <c r="QY288" s="1009"/>
      <c r="QZ288" s="1009"/>
      <c r="RA288" s="1009"/>
      <c r="RB288" s="1009"/>
      <c r="RC288" s="1009"/>
      <c r="RD288" s="1009"/>
      <c r="RE288" s="1009"/>
      <c r="RF288" s="1009"/>
      <c r="RG288" s="1009"/>
      <c r="RH288" s="1009"/>
      <c r="RI288" s="1009"/>
      <c r="RJ288" s="1009"/>
      <c r="RK288" s="1009"/>
      <c r="RL288" s="1009"/>
      <c r="RM288" s="1009"/>
      <c r="RN288" s="1009"/>
      <c r="RO288" s="1009"/>
      <c r="RP288" s="1009"/>
      <c r="RQ288" s="1009"/>
      <c r="RR288" s="1009"/>
      <c r="RS288" s="1009"/>
      <c r="RT288" s="1009"/>
      <c r="RU288" s="1009"/>
      <c r="RV288" s="1009"/>
      <c r="RW288" s="1009"/>
      <c r="RX288" s="1009"/>
      <c r="RY288" s="1009"/>
      <c r="RZ288" s="1009"/>
      <c r="SA288" s="1009"/>
      <c r="SB288" s="1009"/>
      <c r="SC288" s="1009"/>
      <c r="SD288" s="1009"/>
      <c r="SE288" s="1009"/>
      <c r="SF288" s="1009"/>
      <c r="SG288" s="1009"/>
      <c r="SH288" s="1009"/>
      <c r="SI288" s="1009"/>
      <c r="SJ288" s="1009"/>
      <c r="SK288" s="1009"/>
      <c r="SL288" s="1009"/>
      <c r="SM288" s="1009"/>
      <c r="SN288" s="1009"/>
      <c r="SO288" s="1009"/>
      <c r="SP288" s="1009"/>
      <c r="SQ288" s="1009"/>
      <c r="SR288" s="1009"/>
      <c r="SS288" s="1009"/>
      <c r="ST288" s="1009"/>
      <c r="SU288" s="1009"/>
      <c r="SV288" s="1009"/>
      <c r="SW288" s="1009"/>
      <c r="SX288" s="1009"/>
      <c r="SY288" s="1009"/>
      <c r="SZ288" s="1009"/>
      <c r="TA288" s="1009"/>
      <c r="TB288" s="1009"/>
      <c r="TC288" s="1009"/>
      <c r="TD288" s="1009"/>
      <c r="TE288" s="1009"/>
      <c r="TF288" s="1009"/>
      <c r="TG288" s="1009"/>
      <c r="TH288" s="1009"/>
      <c r="TI288" s="1009"/>
      <c r="TJ288" s="1009"/>
      <c r="TK288" s="1009"/>
      <c r="TL288" s="1009"/>
      <c r="TM288" s="1009"/>
      <c r="TN288" s="1009"/>
      <c r="TO288" s="1009"/>
      <c r="TP288" s="1009"/>
      <c r="TQ288" s="1009"/>
      <c r="TR288" s="1009"/>
      <c r="TS288" s="1009"/>
      <c r="TT288" s="1009"/>
      <c r="TU288" s="1009"/>
      <c r="TV288" s="1009"/>
      <c r="TW288" s="1009"/>
      <c r="TX288" s="1009"/>
      <c r="TY288" s="1009"/>
      <c r="TZ288" s="1009"/>
      <c r="UA288" s="1009"/>
      <c r="UB288" s="1009"/>
      <c r="UC288" s="1009"/>
      <c r="UD288" s="1009"/>
      <c r="UE288" s="1009"/>
      <c r="UF288" s="1009"/>
      <c r="UG288" s="1009"/>
      <c r="UH288" s="1009"/>
      <c r="UI288" s="1009"/>
      <c r="UJ288" s="1009"/>
      <c r="UK288" s="1009"/>
      <c r="UL288" s="1009"/>
      <c r="UM288" s="1009"/>
      <c r="UN288" s="1009"/>
      <c r="UO288" s="1009"/>
      <c r="UP288" s="1009"/>
      <c r="UQ288" s="1009"/>
      <c r="UR288" s="1009"/>
      <c r="US288" s="1009"/>
      <c r="UT288" s="1009"/>
      <c r="UU288" s="1009"/>
      <c r="UV288" s="1009"/>
      <c r="UW288" s="1009"/>
      <c r="UX288" s="1009"/>
      <c r="UY288" s="1009"/>
      <c r="UZ288" s="1009"/>
      <c r="VA288" s="1009"/>
      <c r="VB288" s="1009"/>
      <c r="VC288" s="1009"/>
      <c r="VD288" s="1009"/>
      <c r="VE288" s="1009"/>
      <c r="VF288" s="1009"/>
      <c r="VG288" s="1009"/>
      <c r="VH288" s="1009"/>
      <c r="VI288" s="1009"/>
      <c r="VJ288" s="1009"/>
      <c r="VK288" s="1009"/>
      <c r="VL288" s="1009"/>
      <c r="VM288" s="1009"/>
      <c r="VN288" s="1009"/>
      <c r="VO288" s="1009"/>
      <c r="VP288" s="1009"/>
      <c r="VQ288" s="1009"/>
      <c r="VR288" s="1009"/>
      <c r="VS288" s="1009"/>
      <c r="VT288" s="1009"/>
      <c r="VU288" s="1009"/>
      <c r="VV288" s="1009"/>
      <c r="VW288" s="1009"/>
      <c r="VX288" s="1009"/>
      <c r="VY288" s="1009"/>
      <c r="VZ288" s="1009"/>
      <c r="WA288" s="1009"/>
      <c r="WB288" s="1009"/>
      <c r="WC288" s="1009"/>
      <c r="WD288" s="1009"/>
      <c r="WE288" s="1009"/>
      <c r="WF288" s="1009"/>
      <c r="WG288" s="1009"/>
      <c r="WH288" s="1009"/>
      <c r="WI288" s="1009"/>
      <c r="WJ288" s="1009"/>
      <c r="WK288" s="1009"/>
      <c r="WL288" s="1009"/>
      <c r="WM288" s="1009"/>
      <c r="WN288" s="1009"/>
      <c r="WO288" s="1009"/>
      <c r="WP288" s="1009"/>
      <c r="WQ288" s="1009"/>
      <c r="WR288" s="1009"/>
      <c r="WS288" s="1009"/>
      <c r="WT288" s="1009"/>
      <c r="WU288" s="1009"/>
      <c r="WV288" s="1009"/>
      <c r="WW288" s="1009"/>
      <c r="WX288" s="1009"/>
      <c r="WY288" s="1009"/>
      <c r="WZ288" s="1009"/>
      <c r="XA288" s="1009"/>
      <c r="XB288" s="1009"/>
      <c r="XC288" s="1009"/>
      <c r="XD288" s="1009"/>
      <c r="XE288" s="1009"/>
      <c r="XF288" s="1009"/>
      <c r="XG288" s="1009"/>
      <c r="XH288" s="1009"/>
      <c r="XI288" s="1009"/>
      <c r="XJ288" s="1009"/>
      <c r="XK288" s="1009"/>
      <c r="XL288" s="1009"/>
      <c r="XM288" s="1009"/>
      <c r="XN288" s="1009"/>
      <c r="XO288" s="1009"/>
      <c r="XP288" s="1009"/>
      <c r="XQ288" s="1009"/>
      <c r="XR288" s="1009"/>
      <c r="XS288" s="1009"/>
      <c r="XT288" s="1009"/>
      <c r="XU288" s="1009"/>
      <c r="XV288" s="1009"/>
      <c r="XW288" s="1009"/>
      <c r="XX288" s="1009"/>
      <c r="XY288" s="1009"/>
      <c r="XZ288" s="1009"/>
      <c r="YA288" s="1009"/>
      <c r="YB288" s="1009"/>
      <c r="YC288" s="1009"/>
      <c r="YD288" s="1009"/>
      <c r="YE288" s="1009"/>
      <c r="YF288" s="1009"/>
      <c r="YG288" s="1009"/>
      <c r="YH288" s="1009"/>
      <c r="YI288" s="1009"/>
      <c r="YJ288" s="1009"/>
      <c r="YK288" s="1009"/>
      <c r="YL288" s="1009"/>
      <c r="YM288" s="1009"/>
      <c r="YN288" s="1009"/>
      <c r="YO288" s="1009"/>
      <c r="YP288" s="1009"/>
      <c r="YQ288" s="1009"/>
      <c r="YR288" s="1009"/>
      <c r="YS288" s="1009"/>
      <c r="YT288" s="1009"/>
      <c r="YU288" s="1009"/>
      <c r="YV288" s="1009"/>
      <c r="YW288" s="1009"/>
      <c r="YX288" s="1009"/>
      <c r="YY288" s="1009"/>
      <c r="YZ288" s="1009"/>
      <c r="ZA288" s="1009"/>
      <c r="ZB288" s="1009"/>
      <c r="ZC288" s="1009"/>
      <c r="ZD288" s="1009"/>
      <c r="ZE288" s="1009"/>
      <c r="ZF288" s="1009"/>
      <c r="ZG288" s="1009"/>
      <c r="ZH288" s="1009"/>
      <c r="ZI288" s="1009"/>
      <c r="ZJ288" s="1009"/>
      <c r="ZK288" s="1009"/>
      <c r="ZL288" s="1009"/>
      <c r="ZM288" s="1009"/>
      <c r="ZN288" s="1009"/>
      <c r="ZO288" s="1009"/>
      <c r="ZP288" s="1009"/>
      <c r="ZQ288" s="1009"/>
      <c r="ZR288" s="1009"/>
      <c r="ZS288" s="1009"/>
      <c r="ZT288" s="1009"/>
      <c r="ZU288" s="1009"/>
      <c r="ZV288" s="1009"/>
      <c r="ZW288" s="1009"/>
      <c r="ZX288" s="1009"/>
      <c r="ZY288" s="1009"/>
      <c r="ZZ288" s="1009"/>
      <c r="AAA288" s="1009"/>
      <c r="AAB288" s="1009"/>
      <c r="AAC288" s="1009"/>
      <c r="AAD288" s="1009"/>
      <c r="AAE288" s="1009"/>
      <c r="AAF288" s="1009"/>
      <c r="AAG288" s="1009"/>
      <c r="AAH288" s="1009"/>
      <c r="AAI288" s="1009"/>
      <c r="AAJ288" s="1009"/>
      <c r="AAK288" s="1009"/>
      <c r="AAL288" s="1009"/>
      <c r="AAM288" s="1009"/>
      <c r="AAN288" s="1009"/>
      <c r="AAO288" s="1009"/>
      <c r="AAP288" s="1009"/>
      <c r="AAQ288" s="1009"/>
      <c r="AAR288" s="1009"/>
      <c r="AAS288" s="1009"/>
      <c r="AAT288" s="1009"/>
      <c r="AAU288" s="1009"/>
      <c r="AAV288" s="1009"/>
      <c r="AAW288" s="1009"/>
      <c r="AAX288" s="1009"/>
      <c r="AAY288" s="1009"/>
      <c r="AAZ288" s="1009"/>
      <c r="ABA288" s="1009"/>
      <c r="ABB288" s="1009"/>
      <c r="ABC288" s="1009"/>
      <c r="ABD288" s="1009"/>
      <c r="ABE288" s="1009"/>
      <c r="ABF288" s="1009"/>
      <c r="ABG288" s="1009"/>
      <c r="ABH288" s="1009"/>
      <c r="ABI288" s="1009"/>
      <c r="ABJ288" s="1009"/>
      <c r="ABK288" s="1009"/>
      <c r="ABL288" s="1009"/>
      <c r="ABM288" s="1009"/>
      <c r="ABN288" s="1009"/>
      <c r="ABO288" s="1009"/>
      <c r="ABP288" s="1009"/>
      <c r="ABQ288" s="1009"/>
      <c r="ABR288" s="1009"/>
    </row>
    <row r="289" spans="1:746" s="111" customFormat="1" ht="12" customHeight="1">
      <c r="A289" s="2282"/>
      <c r="B289" s="2404" t="s">
        <v>1289</v>
      </c>
      <c r="C289" s="131"/>
      <c r="D289" s="2405"/>
      <c r="E289" s="2406"/>
      <c r="F289" s="2406"/>
      <c r="G289" s="2406"/>
      <c r="H289" s="2405"/>
      <c r="I289" s="1966">
        <f>I288*0.2/12</f>
        <v>0</v>
      </c>
      <c r="J289" s="1966">
        <f t="shared" ref="J289:AF289" si="29">J288*0.2/12</f>
        <v>0</v>
      </c>
      <c r="K289" s="1966">
        <f t="shared" si="29"/>
        <v>0</v>
      </c>
      <c r="L289" s="1966">
        <f t="shared" si="29"/>
        <v>0</v>
      </c>
      <c r="M289" s="1966">
        <f t="shared" si="29"/>
        <v>0</v>
      </c>
      <c r="N289" s="1966">
        <f t="shared" si="29"/>
        <v>0</v>
      </c>
      <c r="O289" s="1966">
        <f t="shared" si="29"/>
        <v>0</v>
      </c>
      <c r="P289" s="1966">
        <f t="shared" si="29"/>
        <v>0</v>
      </c>
      <c r="Q289" s="1966">
        <f t="shared" si="29"/>
        <v>0</v>
      </c>
      <c r="R289" s="1966">
        <f t="shared" si="29"/>
        <v>0</v>
      </c>
      <c r="S289" s="1966">
        <f t="shared" si="29"/>
        <v>0</v>
      </c>
      <c r="T289" s="1966">
        <f t="shared" si="29"/>
        <v>0</v>
      </c>
      <c r="U289" s="1966">
        <f t="shared" si="29"/>
        <v>0</v>
      </c>
      <c r="V289" s="1966">
        <f t="shared" si="29"/>
        <v>0</v>
      </c>
      <c r="W289" s="1966">
        <f t="shared" si="29"/>
        <v>0</v>
      </c>
      <c r="X289" s="1966">
        <f t="shared" si="29"/>
        <v>0</v>
      </c>
      <c r="Y289" s="1966">
        <f t="shared" si="29"/>
        <v>0</v>
      </c>
      <c r="Z289" s="1966">
        <f t="shared" si="29"/>
        <v>0</v>
      </c>
      <c r="AA289" s="1966">
        <f t="shared" si="29"/>
        <v>0</v>
      </c>
      <c r="AB289" s="1966">
        <f t="shared" si="29"/>
        <v>0</v>
      </c>
      <c r="AC289" s="1966">
        <f t="shared" si="29"/>
        <v>0</v>
      </c>
      <c r="AD289" s="1966">
        <f t="shared" si="29"/>
        <v>0</v>
      </c>
      <c r="AE289" s="1966">
        <f t="shared" si="29"/>
        <v>0</v>
      </c>
      <c r="AF289" s="1966">
        <f t="shared" si="29"/>
        <v>0</v>
      </c>
      <c r="AG289" s="337"/>
      <c r="AH289" s="1009"/>
      <c r="AI289" s="1009"/>
      <c r="AJ289" s="1956">
        <f>IF(fx!$C$57=1,SUMIF(fx!I$57:T$57,1,I289:T289),IF(fx!$C$57=2,SUMIF(fx!O$57:AF$57,1,O289:AF289)))</f>
        <v>0</v>
      </c>
      <c r="AK289" s="1207"/>
      <c r="AL289" s="1957">
        <f>IF(fx!$C$57=1,SUM(U289:AF289),0)</f>
        <v>0</v>
      </c>
      <c r="AM289" s="1036"/>
      <c r="AN289" s="1036"/>
      <c r="AO289" s="1034"/>
      <c r="AP289" s="1084"/>
      <c r="AQ289" s="1084"/>
      <c r="AR289" s="1009"/>
      <c r="AS289" s="1009"/>
      <c r="AT289" s="1009"/>
      <c r="AU289" s="1009"/>
      <c r="AV289" s="1009"/>
      <c r="AW289" s="1009"/>
      <c r="AX289" s="1009"/>
      <c r="AY289" s="1009"/>
      <c r="AZ289" s="1009"/>
      <c r="BA289" s="1009"/>
      <c r="BB289" s="1009"/>
      <c r="BC289" s="1009"/>
      <c r="BD289" s="1009"/>
      <c r="BE289" s="1009"/>
      <c r="BF289" s="1009"/>
      <c r="BG289" s="1009"/>
      <c r="BH289" s="1009"/>
      <c r="BI289" s="1009"/>
      <c r="BJ289" s="1009"/>
      <c r="BK289" s="1009"/>
      <c r="BL289" s="1009"/>
      <c r="BM289" s="1009"/>
      <c r="BN289" s="1009"/>
      <c r="BO289" s="1009"/>
      <c r="BP289" s="1009"/>
      <c r="BQ289" s="1009"/>
      <c r="BR289" s="1009"/>
      <c r="BS289" s="1009"/>
      <c r="BT289" s="1009"/>
      <c r="BU289" s="1009"/>
      <c r="BV289" s="1009"/>
      <c r="BW289" s="1009"/>
      <c r="BX289" s="1009"/>
      <c r="BY289" s="1009"/>
      <c r="BZ289" s="1009"/>
      <c r="CA289" s="1009"/>
      <c r="CB289" s="1009"/>
      <c r="CC289" s="1009"/>
      <c r="CD289" s="1009"/>
      <c r="CE289" s="1009"/>
      <c r="CF289" s="1009"/>
      <c r="CG289" s="1009"/>
      <c r="CH289" s="1009"/>
      <c r="CI289" s="1009"/>
      <c r="CJ289" s="1009"/>
      <c r="CK289" s="1009"/>
      <c r="CL289" s="1009"/>
      <c r="CM289" s="1009"/>
      <c r="CN289" s="1009"/>
      <c r="CO289" s="1009"/>
      <c r="CP289" s="1009"/>
      <c r="CQ289" s="1009"/>
      <c r="CR289" s="1009"/>
      <c r="CS289" s="1009"/>
      <c r="CT289" s="1009"/>
      <c r="CU289" s="1009"/>
      <c r="CV289" s="1009"/>
      <c r="CW289" s="1009"/>
      <c r="CX289" s="1009"/>
      <c r="CY289" s="1009"/>
      <c r="CZ289" s="1009"/>
      <c r="DA289" s="1009"/>
      <c r="DB289" s="1009"/>
      <c r="DC289" s="1009"/>
      <c r="DD289" s="1009"/>
      <c r="DE289" s="1009"/>
      <c r="DF289" s="1009"/>
      <c r="DG289" s="1009"/>
      <c r="DH289" s="1009"/>
      <c r="DI289" s="1009"/>
      <c r="DJ289" s="1009"/>
      <c r="DK289" s="1009"/>
      <c r="DL289" s="1009"/>
      <c r="DM289" s="1009"/>
      <c r="DN289" s="1009"/>
      <c r="DO289" s="1009"/>
      <c r="DP289" s="1009"/>
      <c r="DQ289" s="1009"/>
      <c r="DR289" s="1009"/>
      <c r="DS289" s="1009"/>
      <c r="DT289" s="1009"/>
      <c r="DU289" s="1009"/>
      <c r="DV289" s="1009"/>
      <c r="DW289" s="1009"/>
      <c r="DX289" s="1009"/>
      <c r="DY289" s="1009"/>
      <c r="DZ289" s="1009"/>
      <c r="EA289" s="1009"/>
      <c r="EB289" s="1009"/>
      <c r="EC289" s="1009"/>
      <c r="ED289" s="1009"/>
      <c r="EE289" s="1009"/>
      <c r="EF289" s="1009"/>
      <c r="EG289" s="1009"/>
      <c r="EH289" s="1009"/>
      <c r="EI289" s="1009"/>
      <c r="EJ289" s="1009"/>
      <c r="EK289" s="1009"/>
      <c r="EL289" s="1009"/>
      <c r="EM289" s="1009"/>
      <c r="EN289" s="1009"/>
      <c r="EO289" s="1009"/>
      <c r="EP289" s="1009"/>
      <c r="EQ289" s="1009"/>
      <c r="ER289" s="1009"/>
      <c r="ES289" s="1009"/>
      <c r="ET289" s="1009"/>
      <c r="EU289" s="1009"/>
      <c r="EV289" s="1009"/>
      <c r="EW289" s="1009"/>
      <c r="EX289" s="1009"/>
      <c r="EY289" s="1009"/>
      <c r="EZ289" s="1009"/>
      <c r="FA289" s="1009"/>
      <c r="FB289" s="1009"/>
      <c r="FC289" s="1009"/>
      <c r="FD289" s="1009"/>
      <c r="FE289" s="1009"/>
      <c r="FF289" s="1009"/>
      <c r="FG289" s="1009"/>
      <c r="FH289" s="1009"/>
      <c r="FI289" s="1009"/>
      <c r="FJ289" s="1009"/>
      <c r="FK289" s="1009"/>
      <c r="FL289" s="1009"/>
      <c r="FM289" s="1009"/>
      <c r="FN289" s="1009"/>
      <c r="FO289" s="1009"/>
      <c r="FP289" s="1009"/>
      <c r="FQ289" s="1009"/>
      <c r="FR289" s="1009"/>
      <c r="FS289" s="1009"/>
      <c r="FT289" s="1009"/>
      <c r="FU289" s="1009"/>
      <c r="FV289" s="1009"/>
      <c r="FW289" s="1009"/>
      <c r="FX289" s="1009"/>
      <c r="FY289" s="1009"/>
      <c r="FZ289" s="1009"/>
      <c r="GA289" s="1009"/>
      <c r="GB289" s="1009"/>
      <c r="GC289" s="1009"/>
      <c r="GD289" s="1009"/>
      <c r="GE289" s="1009"/>
      <c r="GF289" s="1009"/>
      <c r="GG289" s="1009"/>
      <c r="GH289" s="1009"/>
      <c r="GI289" s="1009"/>
      <c r="GJ289" s="1009"/>
      <c r="GK289" s="1009"/>
      <c r="GL289" s="1009"/>
      <c r="GM289" s="1009"/>
      <c r="GN289" s="1009"/>
      <c r="GO289" s="1009"/>
      <c r="GP289" s="1009"/>
      <c r="GQ289" s="1009"/>
      <c r="GR289" s="1009"/>
      <c r="GS289" s="1009"/>
      <c r="GT289" s="1009"/>
      <c r="GU289" s="1009"/>
      <c r="GV289" s="1009"/>
      <c r="GW289" s="1009"/>
      <c r="GX289" s="1009"/>
      <c r="GY289" s="1009"/>
      <c r="GZ289" s="1009"/>
      <c r="HA289" s="1009"/>
      <c r="HB289" s="1009"/>
      <c r="HC289" s="1009"/>
      <c r="HD289" s="1009"/>
      <c r="HE289" s="1009"/>
      <c r="HF289" s="1009"/>
      <c r="HG289" s="1009"/>
      <c r="HH289" s="1009"/>
      <c r="HI289" s="1009"/>
      <c r="HJ289" s="1009"/>
      <c r="HK289" s="1009"/>
      <c r="HL289" s="1009"/>
      <c r="HM289" s="1009"/>
      <c r="HN289" s="1009"/>
      <c r="HO289" s="1009"/>
      <c r="HP289" s="1009"/>
      <c r="HQ289" s="1009"/>
      <c r="HR289" s="1009"/>
      <c r="HS289" s="1009"/>
      <c r="HT289" s="1009"/>
      <c r="HU289" s="1009"/>
      <c r="HV289" s="1009"/>
      <c r="HW289" s="1009"/>
      <c r="HX289" s="1009"/>
      <c r="HY289" s="1009"/>
      <c r="HZ289" s="1009"/>
      <c r="IA289" s="1009"/>
      <c r="IB289" s="1009"/>
      <c r="IC289" s="1009"/>
      <c r="ID289" s="1009"/>
      <c r="IE289" s="1009"/>
      <c r="IF289" s="1009"/>
      <c r="IG289" s="1009"/>
      <c r="IH289" s="1009"/>
      <c r="II289" s="1009"/>
      <c r="IJ289" s="1009"/>
      <c r="IK289" s="1009"/>
      <c r="IL289" s="1009"/>
      <c r="IM289" s="1009"/>
      <c r="IN289" s="1009"/>
      <c r="IO289" s="1009"/>
      <c r="IP289" s="1009"/>
      <c r="IQ289" s="1009"/>
      <c r="IR289" s="1009"/>
      <c r="IS289" s="1009"/>
      <c r="IT289" s="1009"/>
      <c r="IU289" s="1009"/>
      <c r="IV289" s="1009"/>
      <c r="IW289" s="1009"/>
      <c r="IX289" s="1009"/>
      <c r="IY289" s="1009"/>
      <c r="IZ289" s="1009"/>
      <c r="JA289" s="1009"/>
      <c r="JB289" s="1009"/>
      <c r="JC289" s="1009"/>
      <c r="JD289" s="1009"/>
      <c r="JE289" s="1009"/>
      <c r="JF289" s="1009"/>
      <c r="JG289" s="1009"/>
      <c r="JH289" s="1009"/>
      <c r="JI289" s="1009"/>
      <c r="JJ289" s="1009"/>
      <c r="JK289" s="1009"/>
      <c r="JL289" s="1009"/>
      <c r="JM289" s="1009"/>
      <c r="JN289" s="1009"/>
      <c r="JO289" s="1009"/>
      <c r="JP289" s="1009"/>
      <c r="JQ289" s="1009"/>
      <c r="JR289" s="1009"/>
      <c r="JS289" s="1009"/>
      <c r="JT289" s="1009"/>
      <c r="JU289" s="1009"/>
      <c r="JV289" s="1009"/>
      <c r="JW289" s="1009"/>
      <c r="JX289" s="1009"/>
      <c r="JY289" s="1009"/>
      <c r="JZ289" s="1009"/>
      <c r="KA289" s="1009"/>
      <c r="KB289" s="1009"/>
      <c r="KC289" s="1009"/>
      <c r="KD289" s="1009"/>
      <c r="KE289" s="1009"/>
      <c r="KF289" s="1009"/>
      <c r="KG289" s="1009"/>
      <c r="KH289" s="1009"/>
      <c r="KI289" s="1009"/>
      <c r="KJ289" s="1009"/>
      <c r="KK289" s="1009"/>
      <c r="KL289" s="1009"/>
      <c r="KM289" s="1009"/>
      <c r="KN289" s="1009"/>
      <c r="KO289" s="1009"/>
      <c r="KP289" s="1009"/>
      <c r="KQ289" s="1009"/>
      <c r="KR289" s="1009"/>
      <c r="KS289" s="1009"/>
      <c r="KT289" s="1009"/>
      <c r="KU289" s="1009"/>
      <c r="KV289" s="1009"/>
      <c r="KW289" s="1009"/>
      <c r="KX289" s="1009"/>
      <c r="KY289" s="1009"/>
      <c r="KZ289" s="1009"/>
      <c r="LA289" s="1009"/>
      <c r="LB289" s="1009"/>
      <c r="LC289" s="1009"/>
      <c r="LD289" s="1009"/>
      <c r="LE289" s="1009"/>
      <c r="LF289" s="1009"/>
      <c r="LG289" s="1009"/>
      <c r="LH289" s="1009"/>
      <c r="LI289" s="1009"/>
      <c r="LJ289" s="1009"/>
      <c r="LK289" s="1009"/>
      <c r="LL289" s="1009"/>
      <c r="LM289" s="1009"/>
      <c r="LN289" s="1009"/>
      <c r="LO289" s="1009"/>
      <c r="LP289" s="1009"/>
      <c r="LQ289" s="1009"/>
      <c r="LR289" s="1009"/>
      <c r="LS289" s="1009"/>
      <c r="LT289" s="1009"/>
      <c r="LU289" s="1009"/>
      <c r="LV289" s="1009"/>
      <c r="LW289" s="1009"/>
      <c r="LX289" s="1009"/>
      <c r="LY289" s="1009"/>
      <c r="LZ289" s="1009"/>
      <c r="MA289" s="1009"/>
      <c r="MB289" s="1009"/>
      <c r="MC289" s="1009"/>
      <c r="MD289" s="1009"/>
      <c r="ME289" s="1009"/>
      <c r="MF289" s="1009"/>
      <c r="MG289" s="1009"/>
      <c r="MH289" s="1009"/>
      <c r="MI289" s="1009"/>
      <c r="MJ289" s="1009"/>
      <c r="MK289" s="1009"/>
      <c r="ML289" s="1009"/>
      <c r="MM289" s="1009"/>
      <c r="MN289" s="1009"/>
      <c r="MO289" s="1009"/>
      <c r="MP289" s="1009"/>
      <c r="MQ289" s="1009"/>
      <c r="MR289" s="1009"/>
      <c r="MS289" s="1009"/>
      <c r="MT289" s="1009"/>
      <c r="MU289" s="1009"/>
      <c r="MV289" s="1009"/>
      <c r="MW289" s="1009"/>
      <c r="MX289" s="1009"/>
      <c r="MY289" s="1009"/>
      <c r="MZ289" s="1009"/>
      <c r="NA289" s="1009"/>
      <c r="NB289" s="1009"/>
      <c r="NC289" s="1009"/>
      <c r="ND289" s="1009"/>
      <c r="NE289" s="1009"/>
      <c r="NF289" s="1009"/>
      <c r="NG289" s="1009"/>
      <c r="NH289" s="1009"/>
      <c r="NI289" s="1009"/>
      <c r="NJ289" s="1009"/>
      <c r="NK289" s="1009"/>
      <c r="NL289" s="1009"/>
      <c r="NM289" s="1009"/>
      <c r="NN289" s="1009"/>
      <c r="NO289" s="1009"/>
      <c r="NP289" s="1009"/>
      <c r="NQ289" s="1009"/>
      <c r="NR289" s="1009"/>
      <c r="NS289" s="1009"/>
      <c r="NT289" s="1009"/>
      <c r="NU289" s="1009"/>
      <c r="NV289" s="1009"/>
      <c r="NW289" s="1009"/>
      <c r="NX289" s="1009"/>
      <c r="NY289" s="1009"/>
      <c r="NZ289" s="1009"/>
      <c r="OA289" s="1009"/>
      <c r="OB289" s="1009"/>
      <c r="OC289" s="1009"/>
      <c r="OD289" s="1009"/>
      <c r="OE289" s="1009"/>
      <c r="OF289" s="1009"/>
      <c r="OG289" s="1009"/>
      <c r="OH289" s="1009"/>
      <c r="OI289" s="1009"/>
      <c r="OJ289" s="1009"/>
      <c r="OK289" s="1009"/>
      <c r="OL289" s="1009"/>
      <c r="OM289" s="1009"/>
      <c r="ON289" s="1009"/>
      <c r="OO289" s="1009"/>
      <c r="OP289" s="1009"/>
      <c r="OQ289" s="1009"/>
      <c r="OR289" s="1009"/>
      <c r="OS289" s="1009"/>
      <c r="OT289" s="1009"/>
      <c r="OU289" s="1009"/>
      <c r="OV289" s="1009"/>
      <c r="OW289" s="1009"/>
      <c r="OX289" s="1009"/>
      <c r="OY289" s="1009"/>
      <c r="OZ289" s="1009"/>
      <c r="PA289" s="1009"/>
      <c r="PB289" s="1009"/>
      <c r="PC289" s="1009"/>
      <c r="PD289" s="1009"/>
      <c r="PE289" s="1009"/>
      <c r="PF289" s="1009"/>
      <c r="PG289" s="1009"/>
      <c r="PH289" s="1009"/>
      <c r="PI289" s="1009"/>
      <c r="PJ289" s="1009"/>
      <c r="PK289" s="1009"/>
      <c r="PL289" s="1009"/>
      <c r="PM289" s="1009"/>
      <c r="PN289" s="1009"/>
      <c r="PO289" s="1009"/>
      <c r="PP289" s="1009"/>
      <c r="PQ289" s="1009"/>
      <c r="PR289" s="1009"/>
      <c r="PS289" s="1009"/>
      <c r="PT289" s="1009"/>
      <c r="PU289" s="1009"/>
      <c r="PV289" s="1009"/>
      <c r="PW289" s="1009"/>
      <c r="PX289" s="1009"/>
      <c r="PY289" s="1009"/>
      <c r="PZ289" s="1009"/>
      <c r="QA289" s="1009"/>
      <c r="QB289" s="1009"/>
      <c r="QC289" s="1009"/>
      <c r="QD289" s="1009"/>
      <c r="QE289" s="1009"/>
      <c r="QF289" s="1009"/>
      <c r="QG289" s="1009"/>
      <c r="QH289" s="1009"/>
      <c r="QI289" s="1009"/>
      <c r="QJ289" s="1009"/>
      <c r="QK289" s="1009"/>
      <c r="QL289" s="1009"/>
      <c r="QM289" s="1009"/>
      <c r="QN289" s="1009"/>
      <c r="QO289" s="1009"/>
      <c r="QP289" s="1009"/>
      <c r="QQ289" s="1009"/>
      <c r="QR289" s="1009"/>
      <c r="QS289" s="1009"/>
      <c r="QT289" s="1009"/>
      <c r="QU289" s="1009"/>
      <c r="QV289" s="1009"/>
      <c r="QW289" s="1009"/>
      <c r="QX289" s="1009"/>
      <c r="QY289" s="1009"/>
      <c r="QZ289" s="1009"/>
      <c r="RA289" s="1009"/>
      <c r="RB289" s="1009"/>
      <c r="RC289" s="1009"/>
      <c r="RD289" s="1009"/>
      <c r="RE289" s="1009"/>
      <c r="RF289" s="1009"/>
      <c r="RG289" s="1009"/>
      <c r="RH289" s="1009"/>
      <c r="RI289" s="1009"/>
      <c r="RJ289" s="1009"/>
      <c r="RK289" s="1009"/>
      <c r="RL289" s="1009"/>
      <c r="RM289" s="1009"/>
      <c r="RN289" s="1009"/>
      <c r="RO289" s="1009"/>
      <c r="RP289" s="1009"/>
      <c r="RQ289" s="1009"/>
      <c r="RR289" s="1009"/>
      <c r="RS289" s="1009"/>
      <c r="RT289" s="1009"/>
      <c r="RU289" s="1009"/>
      <c r="RV289" s="1009"/>
      <c r="RW289" s="1009"/>
      <c r="RX289" s="1009"/>
      <c r="RY289" s="1009"/>
      <c r="RZ289" s="1009"/>
      <c r="SA289" s="1009"/>
      <c r="SB289" s="1009"/>
      <c r="SC289" s="1009"/>
      <c r="SD289" s="1009"/>
      <c r="SE289" s="1009"/>
      <c r="SF289" s="1009"/>
      <c r="SG289" s="1009"/>
      <c r="SH289" s="1009"/>
      <c r="SI289" s="1009"/>
      <c r="SJ289" s="1009"/>
      <c r="SK289" s="1009"/>
      <c r="SL289" s="1009"/>
      <c r="SM289" s="1009"/>
      <c r="SN289" s="1009"/>
      <c r="SO289" s="1009"/>
      <c r="SP289" s="1009"/>
      <c r="SQ289" s="1009"/>
      <c r="SR289" s="1009"/>
      <c r="SS289" s="1009"/>
      <c r="ST289" s="1009"/>
      <c r="SU289" s="1009"/>
      <c r="SV289" s="1009"/>
      <c r="SW289" s="1009"/>
      <c r="SX289" s="1009"/>
      <c r="SY289" s="1009"/>
      <c r="SZ289" s="1009"/>
      <c r="TA289" s="1009"/>
      <c r="TB289" s="1009"/>
      <c r="TC289" s="1009"/>
      <c r="TD289" s="1009"/>
      <c r="TE289" s="1009"/>
      <c r="TF289" s="1009"/>
      <c r="TG289" s="1009"/>
      <c r="TH289" s="1009"/>
      <c r="TI289" s="1009"/>
      <c r="TJ289" s="1009"/>
      <c r="TK289" s="1009"/>
      <c r="TL289" s="1009"/>
      <c r="TM289" s="1009"/>
      <c r="TN289" s="1009"/>
      <c r="TO289" s="1009"/>
      <c r="TP289" s="1009"/>
      <c r="TQ289" s="1009"/>
      <c r="TR289" s="1009"/>
      <c r="TS289" s="1009"/>
      <c r="TT289" s="1009"/>
      <c r="TU289" s="1009"/>
      <c r="TV289" s="1009"/>
      <c r="TW289" s="1009"/>
      <c r="TX289" s="1009"/>
      <c r="TY289" s="1009"/>
      <c r="TZ289" s="1009"/>
      <c r="UA289" s="1009"/>
      <c r="UB289" s="1009"/>
      <c r="UC289" s="1009"/>
      <c r="UD289" s="1009"/>
      <c r="UE289" s="1009"/>
      <c r="UF289" s="1009"/>
      <c r="UG289" s="1009"/>
      <c r="UH289" s="1009"/>
      <c r="UI289" s="1009"/>
      <c r="UJ289" s="1009"/>
      <c r="UK289" s="1009"/>
      <c r="UL289" s="1009"/>
      <c r="UM289" s="1009"/>
      <c r="UN289" s="1009"/>
      <c r="UO289" s="1009"/>
      <c r="UP289" s="1009"/>
      <c r="UQ289" s="1009"/>
      <c r="UR289" s="1009"/>
      <c r="US289" s="1009"/>
      <c r="UT289" s="1009"/>
      <c r="UU289" s="1009"/>
      <c r="UV289" s="1009"/>
      <c r="UW289" s="1009"/>
      <c r="UX289" s="1009"/>
      <c r="UY289" s="1009"/>
      <c r="UZ289" s="1009"/>
      <c r="VA289" s="1009"/>
      <c r="VB289" s="1009"/>
      <c r="VC289" s="1009"/>
      <c r="VD289" s="1009"/>
      <c r="VE289" s="1009"/>
      <c r="VF289" s="1009"/>
      <c r="VG289" s="1009"/>
      <c r="VH289" s="1009"/>
      <c r="VI289" s="1009"/>
      <c r="VJ289" s="1009"/>
      <c r="VK289" s="1009"/>
      <c r="VL289" s="1009"/>
      <c r="VM289" s="1009"/>
      <c r="VN289" s="1009"/>
      <c r="VO289" s="1009"/>
      <c r="VP289" s="1009"/>
      <c r="VQ289" s="1009"/>
      <c r="VR289" s="1009"/>
      <c r="VS289" s="1009"/>
      <c r="VT289" s="1009"/>
      <c r="VU289" s="1009"/>
      <c r="VV289" s="1009"/>
      <c r="VW289" s="1009"/>
      <c r="VX289" s="1009"/>
      <c r="VY289" s="1009"/>
      <c r="VZ289" s="1009"/>
      <c r="WA289" s="1009"/>
      <c r="WB289" s="1009"/>
      <c r="WC289" s="1009"/>
      <c r="WD289" s="1009"/>
      <c r="WE289" s="1009"/>
      <c r="WF289" s="1009"/>
      <c r="WG289" s="1009"/>
      <c r="WH289" s="1009"/>
      <c r="WI289" s="1009"/>
      <c r="WJ289" s="1009"/>
      <c r="WK289" s="1009"/>
      <c r="WL289" s="1009"/>
      <c r="WM289" s="1009"/>
      <c r="WN289" s="1009"/>
      <c r="WO289" s="1009"/>
      <c r="WP289" s="1009"/>
      <c r="WQ289" s="1009"/>
      <c r="WR289" s="1009"/>
      <c r="WS289" s="1009"/>
      <c r="WT289" s="1009"/>
      <c r="WU289" s="1009"/>
      <c r="WV289" s="1009"/>
      <c r="WW289" s="1009"/>
      <c r="WX289" s="1009"/>
      <c r="WY289" s="1009"/>
      <c r="WZ289" s="1009"/>
      <c r="XA289" s="1009"/>
      <c r="XB289" s="1009"/>
      <c r="XC289" s="1009"/>
      <c r="XD289" s="1009"/>
      <c r="XE289" s="1009"/>
      <c r="XF289" s="1009"/>
      <c r="XG289" s="1009"/>
      <c r="XH289" s="1009"/>
      <c r="XI289" s="1009"/>
      <c r="XJ289" s="1009"/>
      <c r="XK289" s="1009"/>
      <c r="XL289" s="1009"/>
      <c r="XM289" s="1009"/>
      <c r="XN289" s="1009"/>
      <c r="XO289" s="1009"/>
      <c r="XP289" s="1009"/>
      <c r="XQ289" s="1009"/>
      <c r="XR289" s="1009"/>
      <c r="XS289" s="1009"/>
      <c r="XT289" s="1009"/>
      <c r="XU289" s="1009"/>
      <c r="XV289" s="1009"/>
      <c r="XW289" s="1009"/>
      <c r="XX289" s="1009"/>
      <c r="XY289" s="1009"/>
      <c r="XZ289" s="1009"/>
      <c r="YA289" s="1009"/>
      <c r="YB289" s="1009"/>
      <c r="YC289" s="1009"/>
      <c r="YD289" s="1009"/>
      <c r="YE289" s="1009"/>
      <c r="YF289" s="1009"/>
      <c r="YG289" s="1009"/>
      <c r="YH289" s="1009"/>
      <c r="YI289" s="1009"/>
      <c r="YJ289" s="1009"/>
      <c r="YK289" s="1009"/>
      <c r="YL289" s="1009"/>
      <c r="YM289" s="1009"/>
      <c r="YN289" s="1009"/>
      <c r="YO289" s="1009"/>
      <c r="YP289" s="1009"/>
      <c r="YQ289" s="1009"/>
      <c r="YR289" s="1009"/>
      <c r="YS289" s="1009"/>
      <c r="YT289" s="1009"/>
      <c r="YU289" s="1009"/>
      <c r="YV289" s="1009"/>
      <c r="YW289" s="1009"/>
      <c r="YX289" s="1009"/>
      <c r="YY289" s="1009"/>
      <c r="YZ289" s="1009"/>
      <c r="ZA289" s="1009"/>
      <c r="ZB289" s="1009"/>
      <c r="ZC289" s="1009"/>
      <c r="ZD289" s="1009"/>
      <c r="ZE289" s="1009"/>
      <c r="ZF289" s="1009"/>
      <c r="ZG289" s="1009"/>
      <c r="ZH289" s="1009"/>
      <c r="ZI289" s="1009"/>
      <c r="ZJ289" s="1009"/>
      <c r="ZK289" s="1009"/>
      <c r="ZL289" s="1009"/>
      <c r="ZM289" s="1009"/>
      <c r="ZN289" s="1009"/>
      <c r="ZO289" s="1009"/>
      <c r="ZP289" s="1009"/>
      <c r="ZQ289" s="1009"/>
      <c r="ZR289" s="1009"/>
      <c r="ZS289" s="1009"/>
      <c r="ZT289" s="1009"/>
      <c r="ZU289" s="1009"/>
      <c r="ZV289" s="1009"/>
      <c r="ZW289" s="1009"/>
      <c r="ZX289" s="1009"/>
      <c r="ZY289" s="1009"/>
      <c r="ZZ289" s="1009"/>
      <c r="AAA289" s="1009"/>
      <c r="AAB289" s="1009"/>
      <c r="AAC289" s="1009"/>
      <c r="AAD289" s="1009"/>
      <c r="AAE289" s="1009"/>
      <c r="AAF289" s="1009"/>
      <c r="AAG289" s="1009"/>
      <c r="AAH289" s="1009"/>
      <c r="AAI289" s="1009"/>
      <c r="AAJ289" s="1009"/>
      <c r="AAK289" s="1009"/>
      <c r="AAL289" s="1009"/>
      <c r="AAM289" s="1009"/>
      <c r="AAN289" s="1009"/>
      <c r="AAO289" s="1009"/>
      <c r="AAP289" s="1009"/>
      <c r="AAQ289" s="1009"/>
      <c r="AAR289" s="1009"/>
      <c r="AAS289" s="1009"/>
      <c r="AAT289" s="1009"/>
      <c r="AAU289" s="1009"/>
      <c r="AAV289" s="1009"/>
      <c r="AAW289" s="1009"/>
      <c r="AAX289" s="1009"/>
      <c r="AAY289" s="1009"/>
      <c r="AAZ289" s="1009"/>
      <c r="ABA289" s="1009"/>
      <c r="ABB289" s="1009"/>
      <c r="ABC289" s="1009"/>
      <c r="ABD289" s="1009"/>
      <c r="ABE289" s="1009"/>
      <c r="ABF289" s="1009"/>
      <c r="ABG289" s="1009"/>
      <c r="ABH289" s="1009"/>
      <c r="ABI289" s="1009"/>
      <c r="ABJ289" s="1009"/>
      <c r="ABK289" s="1009"/>
      <c r="ABL289" s="1009"/>
      <c r="ABM289" s="1009"/>
      <c r="ABN289" s="1009"/>
      <c r="ABO289" s="1009"/>
      <c r="ABP289" s="1009"/>
      <c r="ABQ289" s="1009"/>
      <c r="ABR289" s="1009"/>
    </row>
    <row r="290" spans="1:746" s="111" customFormat="1" ht="12" customHeight="1">
      <c r="A290" s="2282"/>
      <c r="B290" s="2494" t="s">
        <v>1308</v>
      </c>
      <c r="C290" s="2495"/>
      <c r="D290" s="2496"/>
      <c r="E290" s="2497"/>
      <c r="F290" s="2497"/>
      <c r="G290" s="2497"/>
      <c r="H290" s="2560"/>
      <c r="I290" s="992">
        <f>I288-I289*fx!I57</f>
        <v>0</v>
      </c>
      <c r="J290" s="992">
        <f>J288-SUMIF(fx!$I57:J57,1,$I289:J289)</f>
        <v>0</v>
      </c>
      <c r="K290" s="992">
        <f>K288-SUMIF(fx!$I57:K57,1,$I289:K289)</f>
        <v>0</v>
      </c>
      <c r="L290" s="992">
        <f>L288-SUMIF(fx!$I57:L57,1,$I289:L289)</f>
        <v>0</v>
      </c>
      <c r="M290" s="992">
        <f>M288-SUMIF(fx!$I57:M57,1,$I289:M289)</f>
        <v>0</v>
      </c>
      <c r="N290" s="992">
        <f>N288-SUMIF(fx!$I57:N57,1,$I289:N289)</f>
        <v>0</v>
      </c>
      <c r="O290" s="992">
        <f>O288-SUMIF(fx!$I57:O57,1,$I289:O289)</f>
        <v>0</v>
      </c>
      <c r="P290" s="992">
        <f>P288-SUMIF(fx!$I57:P57,1,$I289:P289)</f>
        <v>0</v>
      </c>
      <c r="Q290" s="992">
        <f>Q288-SUMIF(fx!$I57:Q57,1,$I289:Q289)</f>
        <v>0</v>
      </c>
      <c r="R290" s="992">
        <f>R288-SUMIF(fx!$I57:R57,1,$I289:R289)</f>
        <v>0</v>
      </c>
      <c r="S290" s="992">
        <f>S288-SUMIF(fx!$I57:S57,1,$I289:S289)</f>
        <v>0</v>
      </c>
      <c r="T290" s="992">
        <f>T288-SUMIF(fx!$I57:T57,1,$I289:T289)</f>
        <v>0</v>
      </c>
      <c r="U290" s="992">
        <f>U288-SUM($I289:U289)</f>
        <v>0</v>
      </c>
      <c r="V290" s="992">
        <f>V288-SUM($I289:V289)</f>
        <v>0</v>
      </c>
      <c r="W290" s="992">
        <f>W288-SUM($I289:W289)</f>
        <v>0</v>
      </c>
      <c r="X290" s="992">
        <f>X288-SUM($I289:X289)</f>
        <v>0</v>
      </c>
      <c r="Y290" s="992">
        <f>Y288-SUM($I289:Y289)</f>
        <v>0</v>
      </c>
      <c r="Z290" s="992">
        <f>Z288-SUM($I289:Z289)</f>
        <v>0</v>
      </c>
      <c r="AA290" s="992">
        <f>AA288-SUM($I289:AA289)</f>
        <v>0</v>
      </c>
      <c r="AB290" s="992">
        <f>AB288-SUM($I289:AB289)</f>
        <v>0</v>
      </c>
      <c r="AC290" s="992">
        <f>AC288-SUM($I289:AC289)</f>
        <v>0</v>
      </c>
      <c r="AD290" s="992">
        <f>AD288-SUM($I289:AD289)</f>
        <v>0</v>
      </c>
      <c r="AE290" s="992">
        <f>AE288-SUM($I289:AE289)</f>
        <v>0</v>
      </c>
      <c r="AF290" s="992">
        <f>AF288-SUM($I289:AF289)</f>
        <v>0</v>
      </c>
      <c r="AG290" s="337"/>
      <c r="AH290" s="1009"/>
      <c r="AI290" s="1009"/>
      <c r="AJ290" s="1956">
        <f>IF(fx!$C$57=1,T290,IF(fx!$C$57=2,AF290))</f>
        <v>0</v>
      </c>
      <c r="AK290" s="1207"/>
      <c r="AL290" s="1957">
        <f>IF(fx!$C$57=1,AF290,0)</f>
        <v>0</v>
      </c>
      <c r="AM290" s="1036"/>
      <c r="AN290" s="1036"/>
      <c r="AO290" s="1034"/>
      <c r="AP290" s="1084"/>
      <c r="AQ290" s="1084"/>
      <c r="AR290" s="1009"/>
      <c r="AS290" s="1009"/>
      <c r="AT290" s="1009"/>
      <c r="AU290" s="1009"/>
      <c r="AV290" s="1009"/>
      <c r="AW290" s="1009"/>
      <c r="AX290" s="1009"/>
      <c r="AY290" s="1009"/>
      <c r="AZ290" s="1009"/>
      <c r="BA290" s="1009"/>
      <c r="BB290" s="1009"/>
      <c r="BC290" s="1009"/>
      <c r="BD290" s="1009"/>
      <c r="BE290" s="1009"/>
      <c r="BF290" s="1009"/>
      <c r="BG290" s="1009"/>
      <c r="BH290" s="1009"/>
      <c r="BI290" s="1009"/>
      <c r="BJ290" s="1009"/>
      <c r="BK290" s="1009"/>
      <c r="BL290" s="1009"/>
      <c r="BM290" s="1009"/>
      <c r="BN290" s="1009"/>
      <c r="BO290" s="1009"/>
      <c r="BP290" s="1009"/>
      <c r="BQ290" s="1009"/>
      <c r="BR290" s="1009"/>
      <c r="BS290" s="1009"/>
      <c r="BT290" s="1009"/>
      <c r="BU290" s="1009"/>
      <c r="BV290" s="1009"/>
      <c r="BW290" s="1009"/>
      <c r="BX290" s="1009"/>
      <c r="BY290" s="1009"/>
      <c r="BZ290" s="1009"/>
      <c r="CA290" s="1009"/>
      <c r="CB290" s="1009"/>
      <c r="CC290" s="1009"/>
      <c r="CD290" s="1009"/>
      <c r="CE290" s="1009"/>
      <c r="CF290" s="1009"/>
      <c r="CG290" s="1009"/>
      <c r="CH290" s="1009"/>
      <c r="CI290" s="1009"/>
      <c r="CJ290" s="1009"/>
      <c r="CK290" s="1009"/>
      <c r="CL290" s="1009"/>
      <c r="CM290" s="1009"/>
      <c r="CN290" s="1009"/>
      <c r="CO290" s="1009"/>
      <c r="CP290" s="1009"/>
      <c r="CQ290" s="1009"/>
      <c r="CR290" s="1009"/>
      <c r="CS290" s="1009"/>
      <c r="CT290" s="1009"/>
      <c r="CU290" s="1009"/>
      <c r="CV290" s="1009"/>
      <c r="CW290" s="1009"/>
      <c r="CX290" s="1009"/>
      <c r="CY290" s="1009"/>
      <c r="CZ290" s="1009"/>
      <c r="DA290" s="1009"/>
      <c r="DB290" s="1009"/>
      <c r="DC290" s="1009"/>
      <c r="DD290" s="1009"/>
      <c r="DE290" s="1009"/>
      <c r="DF290" s="1009"/>
      <c r="DG290" s="1009"/>
      <c r="DH290" s="1009"/>
      <c r="DI290" s="1009"/>
      <c r="DJ290" s="1009"/>
      <c r="DK290" s="1009"/>
      <c r="DL290" s="1009"/>
      <c r="DM290" s="1009"/>
      <c r="DN290" s="1009"/>
      <c r="DO290" s="1009"/>
      <c r="DP290" s="1009"/>
      <c r="DQ290" s="1009"/>
      <c r="DR290" s="1009"/>
      <c r="DS290" s="1009"/>
      <c r="DT290" s="1009"/>
      <c r="DU290" s="1009"/>
      <c r="DV290" s="1009"/>
      <c r="DW290" s="1009"/>
      <c r="DX290" s="1009"/>
      <c r="DY290" s="1009"/>
      <c r="DZ290" s="1009"/>
      <c r="EA290" s="1009"/>
      <c r="EB290" s="1009"/>
      <c r="EC290" s="1009"/>
      <c r="ED290" s="1009"/>
      <c r="EE290" s="1009"/>
      <c r="EF290" s="1009"/>
      <c r="EG290" s="1009"/>
      <c r="EH290" s="1009"/>
      <c r="EI290" s="1009"/>
      <c r="EJ290" s="1009"/>
      <c r="EK290" s="1009"/>
      <c r="EL290" s="1009"/>
      <c r="EM290" s="1009"/>
      <c r="EN290" s="1009"/>
      <c r="EO290" s="1009"/>
      <c r="EP290" s="1009"/>
      <c r="EQ290" s="1009"/>
      <c r="ER290" s="1009"/>
      <c r="ES290" s="1009"/>
      <c r="ET290" s="1009"/>
      <c r="EU290" s="1009"/>
      <c r="EV290" s="1009"/>
      <c r="EW290" s="1009"/>
      <c r="EX290" s="1009"/>
      <c r="EY290" s="1009"/>
      <c r="EZ290" s="1009"/>
      <c r="FA290" s="1009"/>
      <c r="FB290" s="1009"/>
      <c r="FC290" s="1009"/>
      <c r="FD290" s="1009"/>
      <c r="FE290" s="1009"/>
      <c r="FF290" s="1009"/>
      <c r="FG290" s="1009"/>
      <c r="FH290" s="1009"/>
      <c r="FI290" s="1009"/>
      <c r="FJ290" s="1009"/>
      <c r="FK290" s="1009"/>
      <c r="FL290" s="1009"/>
      <c r="FM290" s="1009"/>
      <c r="FN290" s="1009"/>
      <c r="FO290" s="1009"/>
      <c r="FP290" s="1009"/>
      <c r="FQ290" s="1009"/>
      <c r="FR290" s="1009"/>
      <c r="FS290" s="1009"/>
      <c r="FT290" s="1009"/>
      <c r="FU290" s="1009"/>
      <c r="FV290" s="1009"/>
      <c r="FW290" s="1009"/>
      <c r="FX290" s="1009"/>
      <c r="FY290" s="1009"/>
      <c r="FZ290" s="1009"/>
      <c r="GA290" s="1009"/>
      <c r="GB290" s="1009"/>
      <c r="GC290" s="1009"/>
      <c r="GD290" s="1009"/>
      <c r="GE290" s="1009"/>
      <c r="GF290" s="1009"/>
      <c r="GG290" s="1009"/>
      <c r="GH290" s="1009"/>
      <c r="GI290" s="1009"/>
      <c r="GJ290" s="1009"/>
      <c r="GK290" s="1009"/>
      <c r="GL290" s="1009"/>
      <c r="GM290" s="1009"/>
      <c r="GN290" s="1009"/>
      <c r="GO290" s="1009"/>
      <c r="GP290" s="1009"/>
      <c r="GQ290" s="1009"/>
      <c r="GR290" s="1009"/>
      <c r="GS290" s="1009"/>
      <c r="GT290" s="1009"/>
      <c r="GU290" s="1009"/>
      <c r="GV290" s="1009"/>
      <c r="GW290" s="1009"/>
      <c r="GX290" s="1009"/>
      <c r="GY290" s="1009"/>
      <c r="GZ290" s="1009"/>
      <c r="HA290" s="1009"/>
      <c r="HB290" s="1009"/>
      <c r="HC290" s="1009"/>
      <c r="HD290" s="1009"/>
      <c r="HE290" s="1009"/>
      <c r="HF290" s="1009"/>
      <c r="HG290" s="1009"/>
      <c r="HH290" s="1009"/>
      <c r="HI290" s="1009"/>
      <c r="HJ290" s="1009"/>
      <c r="HK290" s="1009"/>
      <c r="HL290" s="1009"/>
      <c r="HM290" s="1009"/>
      <c r="HN290" s="1009"/>
      <c r="HO290" s="1009"/>
      <c r="HP290" s="1009"/>
      <c r="HQ290" s="1009"/>
      <c r="HR290" s="1009"/>
      <c r="HS290" s="1009"/>
      <c r="HT290" s="1009"/>
      <c r="HU290" s="1009"/>
      <c r="HV290" s="1009"/>
      <c r="HW290" s="1009"/>
      <c r="HX290" s="1009"/>
      <c r="HY290" s="1009"/>
      <c r="HZ290" s="1009"/>
      <c r="IA290" s="1009"/>
      <c r="IB290" s="1009"/>
      <c r="IC290" s="1009"/>
      <c r="ID290" s="1009"/>
      <c r="IE290" s="1009"/>
      <c r="IF290" s="1009"/>
      <c r="IG290" s="1009"/>
      <c r="IH290" s="1009"/>
      <c r="II290" s="1009"/>
      <c r="IJ290" s="1009"/>
      <c r="IK290" s="1009"/>
      <c r="IL290" s="1009"/>
      <c r="IM290" s="1009"/>
      <c r="IN290" s="1009"/>
      <c r="IO290" s="1009"/>
      <c r="IP290" s="1009"/>
      <c r="IQ290" s="1009"/>
      <c r="IR290" s="1009"/>
      <c r="IS290" s="1009"/>
      <c r="IT290" s="1009"/>
      <c r="IU290" s="1009"/>
      <c r="IV290" s="1009"/>
      <c r="IW290" s="1009"/>
      <c r="IX290" s="1009"/>
      <c r="IY290" s="1009"/>
      <c r="IZ290" s="1009"/>
      <c r="JA290" s="1009"/>
      <c r="JB290" s="1009"/>
      <c r="JC290" s="1009"/>
      <c r="JD290" s="1009"/>
      <c r="JE290" s="1009"/>
      <c r="JF290" s="1009"/>
      <c r="JG290" s="1009"/>
      <c r="JH290" s="1009"/>
      <c r="JI290" s="1009"/>
      <c r="JJ290" s="1009"/>
      <c r="JK290" s="1009"/>
      <c r="JL290" s="1009"/>
      <c r="JM290" s="1009"/>
      <c r="JN290" s="1009"/>
      <c r="JO290" s="1009"/>
      <c r="JP290" s="1009"/>
      <c r="JQ290" s="1009"/>
      <c r="JR290" s="1009"/>
      <c r="JS290" s="1009"/>
      <c r="JT290" s="1009"/>
      <c r="JU290" s="1009"/>
      <c r="JV290" s="1009"/>
      <c r="JW290" s="1009"/>
      <c r="JX290" s="1009"/>
      <c r="JY290" s="1009"/>
      <c r="JZ290" s="1009"/>
      <c r="KA290" s="1009"/>
      <c r="KB290" s="1009"/>
      <c r="KC290" s="1009"/>
      <c r="KD290" s="1009"/>
      <c r="KE290" s="1009"/>
      <c r="KF290" s="1009"/>
      <c r="KG290" s="1009"/>
      <c r="KH290" s="1009"/>
      <c r="KI290" s="1009"/>
      <c r="KJ290" s="1009"/>
      <c r="KK290" s="1009"/>
      <c r="KL290" s="1009"/>
      <c r="KM290" s="1009"/>
      <c r="KN290" s="1009"/>
      <c r="KO290" s="1009"/>
      <c r="KP290" s="1009"/>
      <c r="KQ290" s="1009"/>
      <c r="KR290" s="1009"/>
      <c r="KS290" s="1009"/>
      <c r="KT290" s="1009"/>
      <c r="KU290" s="1009"/>
      <c r="KV290" s="1009"/>
      <c r="KW290" s="1009"/>
      <c r="KX290" s="1009"/>
      <c r="KY290" s="1009"/>
      <c r="KZ290" s="1009"/>
      <c r="LA290" s="1009"/>
      <c r="LB290" s="1009"/>
      <c r="LC290" s="1009"/>
      <c r="LD290" s="1009"/>
      <c r="LE290" s="1009"/>
      <c r="LF290" s="1009"/>
      <c r="LG290" s="1009"/>
      <c r="LH290" s="1009"/>
      <c r="LI290" s="1009"/>
      <c r="LJ290" s="1009"/>
      <c r="LK290" s="1009"/>
      <c r="LL290" s="1009"/>
      <c r="LM290" s="1009"/>
      <c r="LN290" s="1009"/>
      <c r="LO290" s="1009"/>
      <c r="LP290" s="1009"/>
      <c r="LQ290" s="1009"/>
      <c r="LR290" s="1009"/>
      <c r="LS290" s="1009"/>
      <c r="LT290" s="1009"/>
      <c r="LU290" s="1009"/>
      <c r="LV290" s="1009"/>
      <c r="LW290" s="1009"/>
      <c r="LX290" s="1009"/>
      <c r="LY290" s="1009"/>
      <c r="LZ290" s="1009"/>
      <c r="MA290" s="1009"/>
      <c r="MB290" s="1009"/>
      <c r="MC290" s="1009"/>
      <c r="MD290" s="1009"/>
      <c r="ME290" s="1009"/>
      <c r="MF290" s="1009"/>
      <c r="MG290" s="1009"/>
      <c r="MH290" s="1009"/>
      <c r="MI290" s="1009"/>
      <c r="MJ290" s="1009"/>
      <c r="MK290" s="1009"/>
      <c r="ML290" s="1009"/>
      <c r="MM290" s="1009"/>
      <c r="MN290" s="1009"/>
      <c r="MO290" s="1009"/>
      <c r="MP290" s="1009"/>
      <c r="MQ290" s="1009"/>
      <c r="MR290" s="1009"/>
      <c r="MS290" s="1009"/>
      <c r="MT290" s="1009"/>
      <c r="MU290" s="1009"/>
      <c r="MV290" s="1009"/>
      <c r="MW290" s="1009"/>
      <c r="MX290" s="1009"/>
      <c r="MY290" s="1009"/>
      <c r="MZ290" s="1009"/>
      <c r="NA290" s="1009"/>
      <c r="NB290" s="1009"/>
      <c r="NC290" s="1009"/>
      <c r="ND290" s="1009"/>
      <c r="NE290" s="1009"/>
      <c r="NF290" s="1009"/>
      <c r="NG290" s="1009"/>
      <c r="NH290" s="1009"/>
      <c r="NI290" s="1009"/>
      <c r="NJ290" s="1009"/>
      <c r="NK290" s="1009"/>
      <c r="NL290" s="1009"/>
      <c r="NM290" s="1009"/>
      <c r="NN290" s="1009"/>
      <c r="NO290" s="1009"/>
      <c r="NP290" s="1009"/>
      <c r="NQ290" s="1009"/>
      <c r="NR290" s="1009"/>
      <c r="NS290" s="1009"/>
      <c r="NT290" s="1009"/>
      <c r="NU290" s="1009"/>
      <c r="NV290" s="1009"/>
      <c r="NW290" s="1009"/>
      <c r="NX290" s="1009"/>
      <c r="NY290" s="1009"/>
      <c r="NZ290" s="1009"/>
      <c r="OA290" s="1009"/>
      <c r="OB290" s="1009"/>
      <c r="OC290" s="1009"/>
      <c r="OD290" s="1009"/>
      <c r="OE290" s="1009"/>
      <c r="OF290" s="1009"/>
      <c r="OG290" s="1009"/>
      <c r="OH290" s="1009"/>
      <c r="OI290" s="1009"/>
      <c r="OJ290" s="1009"/>
      <c r="OK290" s="1009"/>
      <c r="OL290" s="1009"/>
      <c r="OM290" s="1009"/>
      <c r="ON290" s="1009"/>
      <c r="OO290" s="1009"/>
      <c r="OP290" s="1009"/>
      <c r="OQ290" s="1009"/>
      <c r="OR290" s="1009"/>
      <c r="OS290" s="1009"/>
      <c r="OT290" s="1009"/>
      <c r="OU290" s="1009"/>
      <c r="OV290" s="1009"/>
      <c r="OW290" s="1009"/>
      <c r="OX290" s="1009"/>
      <c r="OY290" s="1009"/>
      <c r="OZ290" s="1009"/>
      <c r="PA290" s="1009"/>
      <c r="PB290" s="1009"/>
      <c r="PC290" s="1009"/>
      <c r="PD290" s="1009"/>
      <c r="PE290" s="1009"/>
      <c r="PF290" s="1009"/>
      <c r="PG290" s="1009"/>
      <c r="PH290" s="1009"/>
      <c r="PI290" s="1009"/>
      <c r="PJ290" s="1009"/>
      <c r="PK290" s="1009"/>
      <c r="PL290" s="1009"/>
      <c r="PM290" s="1009"/>
      <c r="PN290" s="1009"/>
      <c r="PO290" s="1009"/>
      <c r="PP290" s="1009"/>
      <c r="PQ290" s="1009"/>
      <c r="PR290" s="1009"/>
      <c r="PS290" s="1009"/>
      <c r="PT290" s="1009"/>
      <c r="PU290" s="1009"/>
      <c r="PV290" s="1009"/>
      <c r="PW290" s="1009"/>
      <c r="PX290" s="1009"/>
      <c r="PY290" s="1009"/>
      <c r="PZ290" s="1009"/>
      <c r="QA290" s="1009"/>
      <c r="QB290" s="1009"/>
      <c r="QC290" s="1009"/>
      <c r="QD290" s="1009"/>
      <c r="QE290" s="1009"/>
      <c r="QF290" s="1009"/>
      <c r="QG290" s="1009"/>
      <c r="QH290" s="1009"/>
      <c r="QI290" s="1009"/>
      <c r="QJ290" s="1009"/>
      <c r="QK290" s="1009"/>
      <c r="QL290" s="1009"/>
      <c r="QM290" s="1009"/>
      <c r="QN290" s="1009"/>
      <c r="QO290" s="1009"/>
      <c r="QP290" s="1009"/>
      <c r="QQ290" s="1009"/>
      <c r="QR290" s="1009"/>
      <c r="QS290" s="1009"/>
      <c r="QT290" s="1009"/>
      <c r="QU290" s="1009"/>
      <c r="QV290" s="1009"/>
      <c r="QW290" s="1009"/>
      <c r="QX290" s="1009"/>
      <c r="QY290" s="1009"/>
      <c r="QZ290" s="1009"/>
      <c r="RA290" s="1009"/>
      <c r="RB290" s="1009"/>
      <c r="RC290" s="1009"/>
      <c r="RD290" s="1009"/>
      <c r="RE290" s="1009"/>
      <c r="RF290" s="1009"/>
      <c r="RG290" s="1009"/>
      <c r="RH290" s="1009"/>
      <c r="RI290" s="1009"/>
      <c r="RJ290" s="1009"/>
      <c r="RK290" s="1009"/>
      <c r="RL290" s="1009"/>
      <c r="RM290" s="1009"/>
      <c r="RN290" s="1009"/>
      <c r="RO290" s="1009"/>
      <c r="RP290" s="1009"/>
      <c r="RQ290" s="1009"/>
      <c r="RR290" s="1009"/>
      <c r="RS290" s="1009"/>
      <c r="RT290" s="1009"/>
      <c r="RU290" s="1009"/>
      <c r="RV290" s="1009"/>
      <c r="RW290" s="1009"/>
      <c r="RX290" s="1009"/>
      <c r="RY290" s="1009"/>
      <c r="RZ290" s="1009"/>
      <c r="SA290" s="1009"/>
      <c r="SB290" s="1009"/>
      <c r="SC290" s="1009"/>
      <c r="SD290" s="1009"/>
      <c r="SE290" s="1009"/>
      <c r="SF290" s="1009"/>
      <c r="SG290" s="1009"/>
      <c r="SH290" s="1009"/>
      <c r="SI290" s="1009"/>
      <c r="SJ290" s="1009"/>
      <c r="SK290" s="1009"/>
      <c r="SL290" s="1009"/>
      <c r="SM290" s="1009"/>
      <c r="SN290" s="1009"/>
      <c r="SO290" s="1009"/>
      <c r="SP290" s="1009"/>
      <c r="SQ290" s="1009"/>
      <c r="SR290" s="1009"/>
      <c r="SS290" s="1009"/>
      <c r="ST290" s="1009"/>
      <c r="SU290" s="1009"/>
      <c r="SV290" s="1009"/>
      <c r="SW290" s="1009"/>
      <c r="SX290" s="1009"/>
      <c r="SY290" s="1009"/>
      <c r="SZ290" s="1009"/>
      <c r="TA290" s="1009"/>
      <c r="TB290" s="1009"/>
      <c r="TC290" s="1009"/>
      <c r="TD290" s="1009"/>
      <c r="TE290" s="1009"/>
      <c r="TF290" s="1009"/>
      <c r="TG290" s="1009"/>
      <c r="TH290" s="1009"/>
      <c r="TI290" s="1009"/>
      <c r="TJ290" s="1009"/>
      <c r="TK290" s="1009"/>
      <c r="TL290" s="1009"/>
      <c r="TM290" s="1009"/>
      <c r="TN290" s="1009"/>
      <c r="TO290" s="1009"/>
      <c r="TP290" s="1009"/>
      <c r="TQ290" s="1009"/>
      <c r="TR290" s="1009"/>
      <c r="TS290" s="1009"/>
      <c r="TT290" s="1009"/>
      <c r="TU290" s="1009"/>
      <c r="TV290" s="1009"/>
      <c r="TW290" s="1009"/>
      <c r="TX290" s="1009"/>
      <c r="TY290" s="1009"/>
      <c r="TZ290" s="1009"/>
      <c r="UA290" s="1009"/>
      <c r="UB290" s="1009"/>
      <c r="UC290" s="1009"/>
      <c r="UD290" s="1009"/>
      <c r="UE290" s="1009"/>
      <c r="UF290" s="1009"/>
      <c r="UG290" s="1009"/>
      <c r="UH290" s="1009"/>
      <c r="UI290" s="1009"/>
      <c r="UJ290" s="1009"/>
      <c r="UK290" s="1009"/>
      <c r="UL290" s="1009"/>
      <c r="UM290" s="1009"/>
      <c r="UN290" s="1009"/>
      <c r="UO290" s="1009"/>
      <c r="UP290" s="1009"/>
      <c r="UQ290" s="1009"/>
      <c r="UR290" s="1009"/>
      <c r="US290" s="1009"/>
      <c r="UT290" s="1009"/>
      <c r="UU290" s="1009"/>
      <c r="UV290" s="1009"/>
      <c r="UW290" s="1009"/>
      <c r="UX290" s="1009"/>
      <c r="UY290" s="1009"/>
      <c r="UZ290" s="1009"/>
      <c r="VA290" s="1009"/>
      <c r="VB290" s="1009"/>
      <c r="VC290" s="1009"/>
      <c r="VD290" s="1009"/>
      <c r="VE290" s="1009"/>
      <c r="VF290" s="1009"/>
      <c r="VG290" s="1009"/>
      <c r="VH290" s="1009"/>
      <c r="VI290" s="1009"/>
      <c r="VJ290" s="1009"/>
      <c r="VK290" s="1009"/>
      <c r="VL290" s="1009"/>
      <c r="VM290" s="1009"/>
      <c r="VN290" s="1009"/>
      <c r="VO290" s="1009"/>
      <c r="VP290" s="1009"/>
      <c r="VQ290" s="1009"/>
      <c r="VR290" s="1009"/>
      <c r="VS290" s="1009"/>
      <c r="VT290" s="1009"/>
      <c r="VU290" s="1009"/>
      <c r="VV290" s="1009"/>
      <c r="VW290" s="1009"/>
      <c r="VX290" s="1009"/>
      <c r="VY290" s="1009"/>
      <c r="VZ290" s="1009"/>
      <c r="WA290" s="1009"/>
      <c r="WB290" s="1009"/>
      <c r="WC290" s="1009"/>
      <c r="WD290" s="1009"/>
      <c r="WE290" s="1009"/>
      <c r="WF290" s="1009"/>
      <c r="WG290" s="1009"/>
      <c r="WH290" s="1009"/>
      <c r="WI290" s="1009"/>
      <c r="WJ290" s="1009"/>
      <c r="WK290" s="1009"/>
      <c r="WL290" s="1009"/>
      <c r="WM290" s="1009"/>
      <c r="WN290" s="1009"/>
      <c r="WO290" s="1009"/>
      <c r="WP290" s="1009"/>
      <c r="WQ290" s="1009"/>
      <c r="WR290" s="1009"/>
      <c r="WS290" s="1009"/>
      <c r="WT290" s="1009"/>
      <c r="WU290" s="1009"/>
      <c r="WV290" s="1009"/>
      <c r="WW290" s="1009"/>
      <c r="WX290" s="1009"/>
      <c r="WY290" s="1009"/>
      <c r="WZ290" s="1009"/>
      <c r="XA290" s="1009"/>
      <c r="XB290" s="1009"/>
      <c r="XC290" s="1009"/>
      <c r="XD290" s="1009"/>
      <c r="XE290" s="1009"/>
      <c r="XF290" s="1009"/>
      <c r="XG290" s="1009"/>
      <c r="XH290" s="1009"/>
      <c r="XI290" s="1009"/>
      <c r="XJ290" s="1009"/>
      <c r="XK290" s="1009"/>
      <c r="XL290" s="1009"/>
      <c r="XM290" s="1009"/>
      <c r="XN290" s="1009"/>
      <c r="XO290" s="1009"/>
      <c r="XP290" s="1009"/>
      <c r="XQ290" s="1009"/>
      <c r="XR290" s="1009"/>
      <c r="XS290" s="1009"/>
      <c r="XT290" s="1009"/>
      <c r="XU290" s="1009"/>
      <c r="XV290" s="1009"/>
      <c r="XW290" s="1009"/>
      <c r="XX290" s="1009"/>
      <c r="XY290" s="1009"/>
      <c r="XZ290" s="1009"/>
      <c r="YA290" s="1009"/>
      <c r="YB290" s="1009"/>
      <c r="YC290" s="1009"/>
      <c r="YD290" s="1009"/>
      <c r="YE290" s="1009"/>
      <c r="YF290" s="1009"/>
      <c r="YG290" s="1009"/>
      <c r="YH290" s="1009"/>
      <c r="YI290" s="1009"/>
      <c r="YJ290" s="1009"/>
      <c r="YK290" s="1009"/>
      <c r="YL290" s="1009"/>
      <c r="YM290" s="1009"/>
      <c r="YN290" s="1009"/>
      <c r="YO290" s="1009"/>
      <c r="YP290" s="1009"/>
      <c r="YQ290" s="1009"/>
      <c r="YR290" s="1009"/>
      <c r="YS290" s="1009"/>
      <c r="YT290" s="1009"/>
      <c r="YU290" s="1009"/>
      <c r="YV290" s="1009"/>
      <c r="YW290" s="1009"/>
      <c r="YX290" s="1009"/>
      <c r="YY290" s="1009"/>
      <c r="YZ290" s="1009"/>
      <c r="ZA290" s="1009"/>
      <c r="ZB290" s="1009"/>
      <c r="ZC290" s="1009"/>
      <c r="ZD290" s="1009"/>
      <c r="ZE290" s="1009"/>
      <c r="ZF290" s="1009"/>
      <c r="ZG290" s="1009"/>
      <c r="ZH290" s="1009"/>
      <c r="ZI290" s="1009"/>
      <c r="ZJ290" s="1009"/>
      <c r="ZK290" s="1009"/>
      <c r="ZL290" s="1009"/>
      <c r="ZM290" s="1009"/>
      <c r="ZN290" s="1009"/>
      <c r="ZO290" s="1009"/>
      <c r="ZP290" s="1009"/>
      <c r="ZQ290" s="1009"/>
      <c r="ZR290" s="1009"/>
      <c r="ZS290" s="1009"/>
      <c r="ZT290" s="1009"/>
      <c r="ZU290" s="1009"/>
      <c r="ZV290" s="1009"/>
      <c r="ZW290" s="1009"/>
      <c r="ZX290" s="1009"/>
      <c r="ZY290" s="1009"/>
      <c r="ZZ290" s="1009"/>
      <c r="AAA290" s="1009"/>
      <c r="AAB290" s="1009"/>
      <c r="AAC290" s="1009"/>
      <c r="AAD290" s="1009"/>
      <c r="AAE290" s="1009"/>
      <c r="AAF290" s="1009"/>
      <c r="AAG290" s="1009"/>
      <c r="AAH290" s="1009"/>
      <c r="AAI290" s="1009"/>
      <c r="AAJ290" s="1009"/>
      <c r="AAK290" s="1009"/>
      <c r="AAL290" s="1009"/>
      <c r="AAM290" s="1009"/>
      <c r="AAN290" s="1009"/>
      <c r="AAO290" s="1009"/>
      <c r="AAP290" s="1009"/>
      <c r="AAQ290" s="1009"/>
      <c r="AAR290" s="1009"/>
      <c r="AAS290" s="1009"/>
      <c r="AAT290" s="1009"/>
      <c r="AAU290" s="1009"/>
      <c r="AAV290" s="1009"/>
      <c r="AAW290" s="1009"/>
      <c r="AAX290" s="1009"/>
      <c r="AAY290" s="1009"/>
      <c r="AAZ290" s="1009"/>
      <c r="ABA290" s="1009"/>
      <c r="ABB290" s="1009"/>
      <c r="ABC290" s="1009"/>
      <c r="ABD290" s="1009"/>
      <c r="ABE290" s="1009"/>
      <c r="ABF290" s="1009"/>
      <c r="ABG290" s="1009"/>
      <c r="ABH290" s="1009"/>
      <c r="ABI290" s="1009"/>
      <c r="ABJ290" s="1009"/>
      <c r="ABK290" s="1009"/>
      <c r="ABL290" s="1009"/>
      <c r="ABM290" s="1009"/>
      <c r="ABN290" s="1009"/>
      <c r="ABO290" s="1009"/>
      <c r="ABP290" s="1009"/>
      <c r="ABQ290" s="1009"/>
      <c r="ABR290" s="1009"/>
    </row>
    <row r="291" spans="1:746" s="113" customFormat="1" ht="12" customHeight="1">
      <c r="A291" s="789"/>
      <c r="B291" s="2503"/>
      <c r="C291" s="2480"/>
      <c r="D291" s="2481"/>
      <c r="E291" s="2482"/>
      <c r="F291" s="2482"/>
      <c r="G291" s="2482"/>
      <c r="H291" s="2481"/>
      <c r="I291" s="2570" t="str">
        <f>IF(fx!I$57=0,"&gt;&gt;",IF($L$4=I$6,"","Välj 1-12 i P4"))</f>
        <v/>
      </c>
      <c r="J291" s="1843" t="str">
        <f>IF(fx!J$57=0,"&gt;&gt;",IF($L$4=J$6,"Startmånad",""))</f>
        <v/>
      </c>
      <c r="K291" s="1843" t="str">
        <f>IF(fx!K$57=0,"&gt;&gt;",IF($L$4=K$6,"Startmånad",""))</f>
        <v/>
      </c>
      <c r="L291" s="1843" t="str">
        <f>IF(fx!L$57=0,"&gt;&gt;",IF($L$4=L$6,"Startmånad",""))</f>
        <v/>
      </c>
      <c r="M291" s="1843" t="str">
        <f>IF(fx!M$57=0,"&gt;&gt;",IF($L$4=M$6,"Startmånad",""))</f>
        <v/>
      </c>
      <c r="N291" s="1843" t="str">
        <f>IF(fx!N$57=0,"&gt;&gt;",IF($L$4=N$6,"Startmånad",""))</f>
        <v/>
      </c>
      <c r="O291" s="1843" t="str">
        <f>IF(AND(fx!$C$57=1,fx!O$57=0),"&gt;&gt;",IF(AND(fx!$C$57=1,$L$4=$O$6),"Startmånad",IF(AND(fx!$C$57=2,$L$4&lt;7),"Välj 7-12 i P4",IF(AND(fx!$C$57=2,$L$4=$O$6),"Startmånad",IF(AND(fx!$C$57=2,$L$4&gt;$O$6),"&gt;&gt;","")))))</f>
        <v/>
      </c>
      <c r="P291" s="1843" t="str">
        <f>IF(fx!P$57=0,"&gt;&gt;",IF($L$4=P$6,"Startmånad",""))</f>
        <v/>
      </c>
      <c r="Q291" s="1843" t="str">
        <f>IF(fx!Q$57=0,"&gt;&gt;",IF($L$4=Q$6,"Startmånad",""))</f>
        <v/>
      </c>
      <c r="R291" s="1843" t="str">
        <f>IF(fx!R$57=0,"&gt;&gt;",IF($L$4=R$6,"Startmånad",""))</f>
        <v/>
      </c>
      <c r="S291" s="1843" t="str">
        <f>IF(fx!S$57=0,"&gt;&gt;",IF($L$4=S$6,"Startmånad",""))</f>
        <v/>
      </c>
      <c r="T291" s="2721" t="str">
        <f>IF(fx!T$57=0,"&gt;&gt;",IF($L$4=T$6,"Startmånad",""))</f>
        <v/>
      </c>
      <c r="U291" s="2722"/>
      <c r="V291" s="337"/>
      <c r="W291" s="337"/>
      <c r="X291" s="337"/>
      <c r="Y291" s="337"/>
      <c r="Z291" s="337"/>
      <c r="AA291" s="337"/>
      <c r="AB291" s="337"/>
      <c r="AC291" s="337"/>
      <c r="AD291" s="337"/>
      <c r="AE291" s="337"/>
      <c r="AF291" s="337"/>
      <c r="AG291" s="337"/>
      <c r="AH291" s="1005"/>
      <c r="AI291" s="1005"/>
      <c r="AJ291" s="421"/>
      <c r="AK291" s="421"/>
      <c r="AL291" s="421"/>
      <c r="AM291" s="1036"/>
      <c r="AN291" s="1036"/>
      <c r="AO291" s="1034"/>
      <c r="AP291" s="1037"/>
      <c r="AQ291" s="1037"/>
      <c r="AR291" s="1005"/>
      <c r="AS291" s="1005"/>
      <c r="AT291" s="1005"/>
      <c r="AU291" s="1005"/>
      <c r="AV291" s="1005"/>
      <c r="AW291" s="1005"/>
      <c r="AX291" s="1005"/>
      <c r="AY291" s="1005"/>
      <c r="AZ291" s="1005"/>
      <c r="BA291" s="1005"/>
      <c r="BB291" s="1005"/>
      <c r="BC291" s="1005"/>
      <c r="BD291" s="1005"/>
      <c r="BE291" s="1005"/>
      <c r="BF291" s="1005"/>
      <c r="BG291" s="1005"/>
      <c r="BH291" s="1005"/>
      <c r="BI291" s="1005"/>
      <c r="BJ291" s="1005"/>
      <c r="BK291" s="1005"/>
      <c r="BL291" s="1005"/>
      <c r="BM291" s="1005"/>
      <c r="BN291" s="1005"/>
      <c r="BO291" s="1005"/>
      <c r="BP291" s="1005"/>
      <c r="BQ291" s="1005"/>
      <c r="BR291" s="1005"/>
      <c r="BS291" s="1005"/>
      <c r="BT291" s="1005"/>
      <c r="BU291" s="1005"/>
      <c r="BV291" s="1005"/>
      <c r="BW291" s="1005"/>
      <c r="BX291" s="1005"/>
      <c r="BY291" s="1005"/>
      <c r="BZ291" s="1005"/>
      <c r="CA291" s="1005"/>
      <c r="CB291" s="1005"/>
      <c r="CC291" s="1005"/>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c r="EC291" s="1005"/>
      <c r="ED291" s="1005"/>
      <c r="EE291" s="1005"/>
      <c r="EF291" s="1005"/>
      <c r="EG291" s="1005"/>
      <c r="EH291" s="1005"/>
      <c r="EI291" s="1005"/>
      <c r="EJ291" s="1005"/>
      <c r="EK291" s="1005"/>
      <c r="EL291" s="1005"/>
      <c r="EM291" s="1005"/>
      <c r="EN291" s="1005"/>
      <c r="EO291" s="1005"/>
      <c r="EP291" s="1005"/>
      <c r="EQ291" s="1005"/>
      <c r="ER291" s="1005"/>
      <c r="ES291" s="1005"/>
      <c r="ET291" s="1005"/>
      <c r="EU291" s="1005"/>
      <c r="EV291" s="1005"/>
      <c r="EW291" s="1005"/>
      <c r="EX291" s="1005"/>
      <c r="EY291" s="1005"/>
      <c r="EZ291" s="1005"/>
      <c r="FA291" s="1005"/>
      <c r="FB291" s="1005"/>
      <c r="FC291" s="1005"/>
      <c r="FD291" s="1005"/>
      <c r="FE291" s="1005"/>
      <c r="FF291" s="1005"/>
      <c r="FG291" s="1005"/>
      <c r="FH291" s="1005"/>
      <c r="FI291" s="1005"/>
      <c r="FJ291" s="1005"/>
      <c r="FK291" s="1005"/>
      <c r="FL291" s="1005"/>
      <c r="FM291" s="1005"/>
      <c r="FN291" s="1005"/>
      <c r="FO291" s="1005"/>
      <c r="FP291" s="1005"/>
      <c r="FQ291" s="1005"/>
      <c r="FR291" s="1005"/>
      <c r="FS291" s="1005"/>
      <c r="FT291" s="1005"/>
      <c r="FU291" s="1005"/>
      <c r="FV291" s="1005"/>
      <c r="FW291" s="1005"/>
      <c r="FX291" s="1005"/>
      <c r="FY291" s="1005"/>
      <c r="FZ291" s="1005"/>
      <c r="GA291" s="1005"/>
      <c r="GB291" s="1005"/>
      <c r="GC291" s="1005"/>
      <c r="GD291" s="1005"/>
      <c r="GE291" s="1005"/>
      <c r="GF291" s="1005"/>
      <c r="GG291" s="1005"/>
      <c r="GH291" s="1005"/>
      <c r="GI291" s="1005"/>
      <c r="GJ291" s="1005"/>
      <c r="GK291" s="1005"/>
      <c r="GL291" s="1005"/>
      <c r="GM291" s="1005"/>
      <c r="GN291" s="1005"/>
      <c r="GO291" s="1005"/>
      <c r="GP291" s="1005"/>
      <c r="GQ291" s="1005"/>
      <c r="GR291" s="1005"/>
      <c r="GS291" s="1005"/>
      <c r="GT291" s="1005"/>
      <c r="GU291" s="1005"/>
      <c r="GV291" s="1005"/>
      <c r="GW291" s="1005"/>
      <c r="GX291" s="1005"/>
      <c r="GY291" s="1005"/>
      <c r="GZ291" s="1005"/>
      <c r="HA291" s="1005"/>
      <c r="HB291" s="1005"/>
      <c r="HC291" s="1005"/>
      <c r="HD291" s="1005"/>
      <c r="HE291" s="1005"/>
      <c r="HF291" s="1005"/>
      <c r="HG291" s="1005"/>
      <c r="HH291" s="1005"/>
      <c r="HI291" s="1005"/>
      <c r="HJ291" s="1005"/>
      <c r="HK291" s="1005"/>
      <c r="HL291" s="1005"/>
      <c r="HM291" s="1005"/>
      <c r="HN291" s="1005"/>
      <c r="HO291" s="1005"/>
      <c r="HP291" s="1005"/>
      <c r="HQ291" s="1005"/>
      <c r="HR291" s="1005"/>
      <c r="HS291" s="1005"/>
      <c r="HT291" s="1005"/>
      <c r="HU291" s="1005"/>
      <c r="HV291" s="1005"/>
      <c r="HW291" s="1005"/>
      <c r="HX291" s="1005"/>
      <c r="HY291" s="1005"/>
      <c r="HZ291" s="1005"/>
      <c r="IA291" s="1005"/>
      <c r="IB291" s="1005"/>
      <c r="IC291" s="1005"/>
      <c r="ID291" s="1005"/>
      <c r="IE291" s="1005"/>
      <c r="IF291" s="1005"/>
      <c r="IG291" s="1005"/>
      <c r="IH291" s="1005"/>
      <c r="II291" s="1005"/>
      <c r="IJ291" s="1005"/>
      <c r="IK291" s="1005"/>
      <c r="IL291" s="1005"/>
      <c r="IM291" s="1005"/>
      <c r="IN291" s="1005"/>
      <c r="IO291" s="1005"/>
      <c r="IP291" s="1005"/>
      <c r="IQ291" s="1005"/>
      <c r="IR291" s="1005"/>
      <c r="IS291" s="1005"/>
      <c r="IT291" s="1005"/>
      <c r="IU291" s="1005"/>
      <c r="IV291" s="1005"/>
      <c r="IW291" s="1005"/>
      <c r="IX291" s="1005"/>
      <c r="IY291" s="1005"/>
      <c r="IZ291" s="1005"/>
      <c r="JA291" s="1005"/>
      <c r="JB291" s="1005"/>
      <c r="JC291" s="1005"/>
      <c r="JD291" s="1005"/>
      <c r="JE291" s="1005"/>
      <c r="JF291" s="1005"/>
      <c r="JG291" s="1005"/>
      <c r="JH291" s="1005"/>
      <c r="JI291" s="1005"/>
      <c r="JJ291" s="1005"/>
      <c r="JK291" s="1005"/>
      <c r="JL291" s="1005"/>
      <c r="JM291" s="1005"/>
      <c r="JN291" s="1005"/>
      <c r="JO291" s="1005"/>
      <c r="JP291" s="1005"/>
      <c r="JQ291" s="1005"/>
      <c r="JR291" s="1005"/>
      <c r="JS291" s="1005"/>
      <c r="JT291" s="1005"/>
      <c r="JU291" s="1005"/>
      <c r="JV291" s="1005"/>
      <c r="JW291" s="1005"/>
      <c r="JX291" s="1005"/>
      <c r="JY291" s="1005"/>
      <c r="JZ291" s="1005"/>
      <c r="KA291" s="1005"/>
      <c r="KB291" s="1005"/>
      <c r="KC291" s="1005"/>
      <c r="KD291" s="1005"/>
      <c r="KE291" s="1005"/>
      <c r="KF291" s="1005"/>
      <c r="KG291" s="1005"/>
      <c r="KH291" s="1005"/>
      <c r="KI291" s="1005"/>
      <c r="KJ291" s="1005"/>
      <c r="KK291" s="1005"/>
      <c r="KL291" s="1005"/>
      <c r="KM291" s="1005"/>
      <c r="KN291" s="1005"/>
      <c r="KO291" s="1005"/>
      <c r="KP291" s="1005"/>
      <c r="KQ291" s="1005"/>
      <c r="KR291" s="1005"/>
      <c r="KS291" s="1005"/>
      <c r="KT291" s="1005"/>
      <c r="KU291" s="1005"/>
      <c r="KV291" s="1005"/>
      <c r="KW291" s="1005"/>
      <c r="KX291" s="1005"/>
      <c r="KY291" s="1005"/>
      <c r="KZ291" s="1005"/>
      <c r="LA291" s="1005"/>
      <c r="LB291" s="1005"/>
      <c r="LC291" s="1005"/>
      <c r="LD291" s="1005"/>
      <c r="LE291" s="1005"/>
      <c r="LF291" s="1005"/>
      <c r="LG291" s="1005"/>
      <c r="LH291" s="1005"/>
      <c r="LI291" s="1005"/>
      <c r="LJ291" s="1005"/>
      <c r="LK291" s="1005"/>
      <c r="LL291" s="1005"/>
      <c r="LM291" s="1005"/>
      <c r="LN291" s="1005"/>
      <c r="LO291" s="1005"/>
      <c r="LP291" s="1005"/>
      <c r="LQ291" s="1005"/>
      <c r="LR291" s="1005"/>
      <c r="LS291" s="1005"/>
      <c r="LT291" s="1005"/>
      <c r="LU291" s="1005"/>
      <c r="LV291" s="1005"/>
      <c r="LW291" s="1005"/>
      <c r="LX291" s="1005"/>
      <c r="LY291" s="1005"/>
      <c r="LZ291" s="1005"/>
      <c r="MA291" s="1005"/>
      <c r="MB291" s="1005"/>
      <c r="MC291" s="1005"/>
      <c r="MD291" s="1005"/>
      <c r="ME291" s="1005"/>
      <c r="MF291" s="1005"/>
      <c r="MG291" s="1005"/>
      <c r="MH291" s="1005"/>
      <c r="MI291" s="1005"/>
      <c r="MJ291" s="1005"/>
      <c r="MK291" s="1005"/>
      <c r="ML291" s="1005"/>
      <c r="MM291" s="1005"/>
      <c r="MN291" s="1005"/>
      <c r="MO291" s="1005"/>
      <c r="MP291" s="1005"/>
      <c r="MQ291" s="1005"/>
      <c r="MR291" s="1005"/>
      <c r="MS291" s="1005"/>
      <c r="MT291" s="1005"/>
      <c r="MU291" s="1005"/>
      <c r="MV291" s="1005"/>
      <c r="MW291" s="1005"/>
      <c r="MX291" s="1005"/>
      <c r="MY291" s="1005"/>
      <c r="MZ291" s="1005"/>
      <c r="NA291" s="1005"/>
      <c r="NB291" s="1005"/>
      <c r="NC291" s="1005"/>
      <c r="ND291" s="1005"/>
      <c r="NE291" s="1005"/>
      <c r="NF291" s="1005"/>
      <c r="NG291" s="1005"/>
      <c r="NH291" s="1005"/>
      <c r="NI291" s="1005"/>
      <c r="NJ291" s="1005"/>
      <c r="NK291" s="1005"/>
      <c r="NL291" s="1005"/>
      <c r="NM291" s="1005"/>
      <c r="NN291" s="1005"/>
      <c r="NO291" s="1005"/>
      <c r="NP291" s="1005"/>
      <c r="NQ291" s="1005"/>
      <c r="NR291" s="1005"/>
      <c r="NS291" s="1005"/>
      <c r="NT291" s="1005"/>
      <c r="NU291" s="1005"/>
      <c r="NV291" s="1005"/>
      <c r="NW291" s="1005"/>
      <c r="NX291" s="1005"/>
      <c r="NY291" s="1005"/>
      <c r="NZ291" s="1005"/>
      <c r="OA291" s="1005"/>
      <c r="OB291" s="1005"/>
      <c r="OC291" s="1005"/>
      <c r="OD291" s="1005"/>
      <c r="OE291" s="1005"/>
      <c r="OF291" s="1005"/>
      <c r="OG291" s="1005"/>
      <c r="OH291" s="1005"/>
      <c r="OI291" s="1005"/>
      <c r="OJ291" s="1005"/>
      <c r="OK291" s="1005"/>
      <c r="OL291" s="1005"/>
      <c r="OM291" s="1005"/>
      <c r="ON291" s="1005"/>
      <c r="OO291" s="1005"/>
      <c r="OP291" s="1005"/>
      <c r="OQ291" s="1005"/>
      <c r="OR291" s="1005"/>
      <c r="OS291" s="1005"/>
      <c r="OT291" s="1005"/>
      <c r="OU291" s="1005"/>
      <c r="OV291" s="1005"/>
      <c r="OW291" s="1005"/>
      <c r="OX291" s="1005"/>
      <c r="OY291" s="1005"/>
      <c r="OZ291" s="1005"/>
      <c r="PA291" s="1005"/>
      <c r="PB291" s="1005"/>
      <c r="PC291" s="1005"/>
      <c r="PD291" s="1005"/>
      <c r="PE291" s="1005"/>
      <c r="PF291" s="1005"/>
      <c r="PG291" s="1005"/>
      <c r="PH291" s="1005"/>
      <c r="PI291" s="1005"/>
      <c r="PJ291" s="1005"/>
      <c r="PK291" s="1005"/>
      <c r="PL291" s="1005"/>
      <c r="PM291" s="1005"/>
      <c r="PN291" s="1005"/>
      <c r="PO291" s="1005"/>
      <c r="PP291" s="1005"/>
      <c r="PQ291" s="1005"/>
      <c r="PR291" s="1005"/>
      <c r="PS291" s="1005"/>
      <c r="PT291" s="1005"/>
      <c r="PU291" s="1005"/>
      <c r="PV291" s="1005"/>
      <c r="PW291" s="1005"/>
      <c r="PX291" s="1005"/>
      <c r="PY291" s="1005"/>
      <c r="PZ291" s="1005"/>
      <c r="QA291" s="1005"/>
      <c r="QB291" s="1005"/>
      <c r="QC291" s="1005"/>
      <c r="QD291" s="1005"/>
      <c r="QE291" s="1005"/>
      <c r="QF291" s="1005"/>
      <c r="QG291" s="1005"/>
      <c r="QH291" s="1005"/>
      <c r="QI291" s="1005"/>
      <c r="QJ291" s="1005"/>
      <c r="QK291" s="1005"/>
      <c r="QL291" s="1005"/>
      <c r="QM291" s="1005"/>
      <c r="QN291" s="1005"/>
      <c r="QO291" s="1005"/>
      <c r="QP291" s="1005"/>
      <c r="QQ291" s="1005"/>
      <c r="QR291" s="1005"/>
      <c r="QS291" s="1005"/>
      <c r="QT291" s="1005"/>
      <c r="QU291" s="1005"/>
      <c r="QV291" s="1005"/>
      <c r="QW291" s="1005"/>
      <c r="QX291" s="1005"/>
      <c r="QY291" s="1005"/>
      <c r="QZ291" s="1005"/>
      <c r="RA291" s="1005"/>
      <c r="RB291" s="1005"/>
      <c r="RC291" s="1005"/>
      <c r="RD291" s="1005"/>
      <c r="RE291" s="1005"/>
      <c r="RF291" s="1005"/>
      <c r="RG291" s="1005"/>
      <c r="RH291" s="1005"/>
      <c r="RI291" s="1005"/>
      <c r="RJ291" s="1005"/>
      <c r="RK291" s="1005"/>
      <c r="RL291" s="1005"/>
      <c r="RM291" s="1005"/>
      <c r="RN291" s="1005"/>
      <c r="RO291" s="1005"/>
      <c r="RP291" s="1005"/>
      <c r="RQ291" s="1005"/>
      <c r="RR291" s="1005"/>
      <c r="RS291" s="1005"/>
      <c r="RT291" s="1005"/>
      <c r="RU291" s="1005"/>
      <c r="RV291" s="1005"/>
      <c r="RW291" s="1005"/>
      <c r="RX291" s="1005"/>
      <c r="RY291" s="1005"/>
      <c r="RZ291" s="1005"/>
      <c r="SA291" s="1005"/>
      <c r="SB291" s="1005"/>
      <c r="SC291" s="1005"/>
      <c r="SD291" s="1005"/>
      <c r="SE291" s="1005"/>
      <c r="SF291" s="1005"/>
      <c r="SG291" s="1005"/>
      <c r="SH291" s="1005"/>
      <c r="SI291" s="1005"/>
      <c r="SJ291" s="1005"/>
      <c r="SK291" s="1005"/>
      <c r="SL291" s="1005"/>
      <c r="SM291" s="1005"/>
      <c r="SN291" s="1005"/>
      <c r="SO291" s="1005"/>
      <c r="SP291" s="1005"/>
      <c r="SQ291" s="1005"/>
      <c r="SR291" s="1005"/>
      <c r="SS291" s="1005"/>
      <c r="ST291" s="1005"/>
      <c r="SU291" s="1005"/>
      <c r="SV291" s="1005"/>
      <c r="SW291" s="1005"/>
      <c r="SX291" s="1005"/>
      <c r="SY291" s="1005"/>
      <c r="SZ291" s="1005"/>
      <c r="TA291" s="1005"/>
      <c r="TB291" s="1005"/>
      <c r="TC291" s="1005"/>
      <c r="TD291" s="1005"/>
      <c r="TE291" s="1005"/>
      <c r="TF291" s="1005"/>
      <c r="TG291" s="1005"/>
      <c r="TH291" s="1005"/>
      <c r="TI291" s="1005"/>
      <c r="TJ291" s="1005"/>
      <c r="TK291" s="1005"/>
      <c r="TL291" s="1005"/>
      <c r="TM291" s="1005"/>
      <c r="TN291" s="1005"/>
      <c r="TO291" s="1005"/>
      <c r="TP291" s="1005"/>
      <c r="TQ291" s="1005"/>
      <c r="TR291" s="1005"/>
      <c r="TS291" s="1005"/>
      <c r="TT291" s="1005"/>
      <c r="TU291" s="1005"/>
      <c r="TV291" s="1005"/>
      <c r="TW291" s="1005"/>
      <c r="TX291" s="1005"/>
      <c r="TY291" s="1005"/>
      <c r="TZ291" s="1005"/>
      <c r="UA291" s="1005"/>
      <c r="UB291" s="1005"/>
      <c r="UC291" s="1005"/>
      <c r="UD291" s="1005"/>
      <c r="UE291" s="1005"/>
      <c r="UF291" s="1005"/>
      <c r="UG291" s="1005"/>
      <c r="UH291" s="1005"/>
      <c r="UI291" s="1005"/>
      <c r="UJ291" s="1005"/>
      <c r="UK291" s="1005"/>
      <c r="UL291" s="1005"/>
      <c r="UM291" s="1005"/>
      <c r="UN291" s="1005"/>
      <c r="UO291" s="1005"/>
      <c r="UP291" s="1005"/>
      <c r="UQ291" s="1005"/>
      <c r="UR291" s="1005"/>
      <c r="US291" s="1005"/>
      <c r="UT291" s="1005"/>
      <c r="UU291" s="1005"/>
      <c r="UV291" s="1005"/>
      <c r="UW291" s="1005"/>
      <c r="UX291" s="1005"/>
      <c r="UY291" s="1005"/>
      <c r="UZ291" s="1005"/>
      <c r="VA291" s="1005"/>
      <c r="VB291" s="1005"/>
      <c r="VC291" s="1005"/>
      <c r="VD291" s="1005"/>
      <c r="VE291" s="1005"/>
      <c r="VF291" s="1005"/>
      <c r="VG291" s="1005"/>
      <c r="VH291" s="1005"/>
      <c r="VI291" s="1005"/>
      <c r="VJ291" s="1005"/>
      <c r="VK291" s="1005"/>
      <c r="VL291" s="1005"/>
      <c r="VM291" s="1005"/>
      <c r="VN291" s="1005"/>
      <c r="VO291" s="1005"/>
      <c r="VP291" s="1005"/>
      <c r="VQ291" s="1005"/>
      <c r="VR291" s="1005"/>
      <c r="VS291" s="1005"/>
      <c r="VT291" s="1005"/>
      <c r="VU291" s="1005"/>
      <c r="VV291" s="1005"/>
      <c r="VW291" s="1005"/>
      <c r="VX291" s="1005"/>
      <c r="VY291" s="1005"/>
      <c r="VZ291" s="1005"/>
      <c r="WA291" s="1005"/>
      <c r="WB291" s="1005"/>
      <c r="WC291" s="1005"/>
      <c r="WD291" s="1005"/>
      <c r="WE291" s="1005"/>
      <c r="WF291" s="1005"/>
      <c r="WG291" s="1005"/>
      <c r="WH291" s="1005"/>
      <c r="WI291" s="1005"/>
      <c r="WJ291" s="1005"/>
      <c r="WK291" s="1005"/>
      <c r="WL291" s="1005"/>
      <c r="WM291" s="1005"/>
      <c r="WN291" s="1005"/>
      <c r="WO291" s="1005"/>
      <c r="WP291" s="1005"/>
      <c r="WQ291" s="1005"/>
      <c r="WR291" s="1005"/>
      <c r="WS291" s="1005"/>
      <c r="WT291" s="1005"/>
      <c r="WU291" s="1005"/>
      <c r="WV291" s="1005"/>
      <c r="WW291" s="1005"/>
      <c r="WX291" s="1005"/>
      <c r="WY291" s="1005"/>
      <c r="WZ291" s="1005"/>
      <c r="XA291" s="1005"/>
      <c r="XB291" s="1005"/>
      <c r="XC291" s="1005"/>
      <c r="XD291" s="1005"/>
      <c r="XE291" s="1005"/>
      <c r="XF291" s="1005"/>
      <c r="XG291" s="1005"/>
      <c r="XH291" s="1005"/>
      <c r="XI291" s="1005"/>
      <c r="XJ291" s="1005"/>
      <c r="XK291" s="1005"/>
      <c r="XL291" s="1005"/>
      <c r="XM291" s="1005"/>
      <c r="XN291" s="1005"/>
      <c r="XO291" s="1005"/>
      <c r="XP291" s="1005"/>
      <c r="XQ291" s="1005"/>
      <c r="XR291" s="1005"/>
      <c r="XS291" s="1005"/>
      <c r="XT291" s="1005"/>
      <c r="XU291" s="1005"/>
      <c r="XV291" s="1005"/>
      <c r="XW291" s="1005"/>
      <c r="XX291" s="1005"/>
      <c r="XY291" s="1005"/>
      <c r="XZ291" s="1005"/>
      <c r="YA291" s="1005"/>
      <c r="YB291" s="1005"/>
      <c r="YC291" s="1005"/>
      <c r="YD291" s="1005"/>
      <c r="YE291" s="1005"/>
      <c r="YF291" s="1005"/>
      <c r="YG291" s="1005"/>
      <c r="YH291" s="1005"/>
      <c r="YI291" s="1005"/>
      <c r="YJ291" s="1005"/>
      <c r="YK291" s="1005"/>
      <c r="YL291" s="1005"/>
      <c r="YM291" s="1005"/>
      <c r="YN291" s="1005"/>
      <c r="YO291" s="1005"/>
      <c r="YP291" s="1005"/>
      <c r="YQ291" s="1005"/>
      <c r="YR291" s="1005"/>
      <c r="YS291" s="1005"/>
      <c r="YT291" s="1005"/>
      <c r="YU291" s="1005"/>
      <c r="YV291" s="1005"/>
      <c r="YW291" s="1005"/>
      <c r="YX291" s="1005"/>
      <c r="YY291" s="1005"/>
      <c r="YZ291" s="1005"/>
      <c r="ZA291" s="1005"/>
      <c r="ZB291" s="1005"/>
      <c r="ZC291" s="1005"/>
      <c r="ZD291" s="1005"/>
      <c r="ZE291" s="1005"/>
      <c r="ZF291" s="1005"/>
      <c r="ZG291" s="1005"/>
      <c r="ZH291" s="1005"/>
      <c r="ZI291" s="1005"/>
      <c r="ZJ291" s="1005"/>
      <c r="ZK291" s="1005"/>
      <c r="ZL291" s="1005"/>
      <c r="ZM291" s="1005"/>
      <c r="ZN291" s="1005"/>
      <c r="ZO291" s="1005"/>
      <c r="ZP291" s="1005"/>
      <c r="ZQ291" s="1005"/>
      <c r="ZR291" s="1005"/>
      <c r="ZS291" s="1005"/>
      <c r="ZT291" s="1005"/>
      <c r="ZU291" s="1005"/>
      <c r="ZV291" s="1005"/>
      <c r="ZW291" s="1005"/>
      <c r="ZX291" s="1005"/>
      <c r="ZY291" s="1005"/>
      <c r="ZZ291" s="1005"/>
      <c r="AAA291" s="1005"/>
      <c r="AAB291" s="1005"/>
      <c r="AAC291" s="1005"/>
      <c r="AAD291" s="1005"/>
      <c r="AAE291" s="1005"/>
      <c r="AAF291" s="1005"/>
      <c r="AAG291" s="1005"/>
      <c r="AAH291" s="1005"/>
      <c r="AAI291" s="1005"/>
      <c r="AAJ291" s="1005"/>
      <c r="AAK291" s="1005"/>
      <c r="AAL291" s="1005"/>
      <c r="AAM291" s="1005"/>
      <c r="AAN291" s="1005"/>
      <c r="AAO291" s="1005"/>
      <c r="AAP291" s="1005"/>
      <c r="AAQ291" s="1005"/>
      <c r="AAR291" s="1005"/>
      <c r="AAS291" s="1005"/>
      <c r="AAT291" s="1005"/>
      <c r="AAU291" s="1005"/>
      <c r="AAV291" s="1005"/>
      <c r="AAW291" s="1005"/>
      <c r="AAX291" s="1005"/>
      <c r="AAY291" s="1005"/>
      <c r="AAZ291" s="1005"/>
      <c r="ABA291" s="1005"/>
      <c r="ABB291" s="1005"/>
      <c r="ABC291" s="1005"/>
      <c r="ABD291" s="1005"/>
      <c r="ABE291" s="1005"/>
      <c r="ABF291" s="1005"/>
      <c r="ABG291" s="1005"/>
      <c r="ABH291" s="1005"/>
      <c r="ABI291" s="1005"/>
      <c r="ABJ291" s="1005"/>
      <c r="ABK291" s="1005"/>
      <c r="ABL291" s="1005"/>
      <c r="ABM291" s="1005"/>
      <c r="ABN291" s="1005"/>
      <c r="ABO291" s="1005"/>
      <c r="ABP291" s="1005"/>
      <c r="ABQ291" s="1005"/>
      <c r="ABR291" s="1005"/>
    </row>
    <row r="292" spans="1:746" s="113" customFormat="1" ht="12" customHeight="1">
      <c r="A292" s="789"/>
      <c r="B292" s="2529" t="s">
        <v>1347</v>
      </c>
      <c r="C292" s="2760"/>
      <c r="D292" s="2760"/>
      <c r="E292" s="2761" t="s">
        <v>1384</v>
      </c>
      <c r="F292" s="2761"/>
      <c r="G292" s="2761"/>
      <c r="H292" s="2762"/>
      <c r="I292" s="2365" t="s">
        <v>1482</v>
      </c>
      <c r="J292" s="867"/>
      <c r="K292" s="867"/>
      <c r="L292" s="867"/>
      <c r="M292" s="867"/>
      <c r="N292" s="867"/>
      <c r="O292" s="867"/>
      <c r="P292" s="867"/>
      <c r="Q292" s="867"/>
      <c r="R292" s="867"/>
      <c r="S292" s="867"/>
      <c r="T292" s="985"/>
      <c r="U292" s="994"/>
      <c r="V292" s="2525"/>
      <c r="W292" s="867"/>
      <c r="X292" s="867"/>
      <c r="Y292" s="867"/>
      <c r="Z292" s="867"/>
      <c r="AA292" s="867"/>
      <c r="AB292" s="867"/>
      <c r="AC292" s="867"/>
      <c r="AD292" s="867"/>
      <c r="AE292" s="867"/>
      <c r="AF292" s="868"/>
      <c r="AG292" s="337"/>
      <c r="AH292" s="1005"/>
      <c r="AI292" s="1005"/>
      <c r="AJ292" s="421"/>
      <c r="AK292" s="421"/>
      <c r="AL292" s="421"/>
      <c r="AM292" s="1036"/>
      <c r="AN292" s="1036"/>
      <c r="AO292" s="1034"/>
      <c r="AP292" s="1037"/>
      <c r="AQ292" s="1037"/>
      <c r="AR292" s="1005"/>
      <c r="AS292" s="1005"/>
      <c r="AT292" s="1005"/>
      <c r="AU292" s="1005"/>
      <c r="AV292" s="1005"/>
      <c r="AW292" s="1005"/>
      <c r="AX292" s="1005"/>
      <c r="AY292" s="1005"/>
      <c r="AZ292" s="1005"/>
      <c r="BA292" s="1005"/>
      <c r="BB292" s="1005"/>
      <c r="BC292" s="1005"/>
      <c r="BD292" s="1005"/>
      <c r="BE292" s="1005"/>
      <c r="BF292" s="1005"/>
      <c r="BG292" s="1005"/>
      <c r="BH292" s="1005"/>
      <c r="BI292" s="1005"/>
      <c r="BJ292" s="1005"/>
      <c r="BK292" s="1005"/>
      <c r="BL292" s="1005"/>
      <c r="BM292" s="1005"/>
      <c r="BN292" s="1005"/>
      <c r="BO292" s="1005"/>
      <c r="BP292" s="1005"/>
      <c r="BQ292" s="1005"/>
      <c r="BR292" s="1005"/>
      <c r="BS292" s="1005"/>
      <c r="BT292" s="1005"/>
      <c r="BU292" s="1005"/>
      <c r="BV292" s="1005"/>
      <c r="BW292" s="1005"/>
      <c r="BX292" s="1005"/>
      <c r="BY292" s="1005"/>
      <c r="BZ292" s="1005"/>
      <c r="CA292" s="1005"/>
      <c r="CB292" s="1005"/>
      <c r="CC292" s="1005"/>
      <c r="CD292" s="1005"/>
      <c r="CE292" s="1005"/>
      <c r="CF292" s="1005"/>
      <c r="CG292" s="1005"/>
      <c r="CH292" s="1005"/>
      <c r="CI292" s="1005"/>
      <c r="CJ292" s="1005"/>
      <c r="CK292" s="1005"/>
      <c r="CL292" s="1005"/>
      <c r="CM292" s="1005"/>
      <c r="CN292" s="1005"/>
      <c r="CO292" s="1005"/>
      <c r="CP292" s="1005"/>
      <c r="CQ292" s="1005"/>
      <c r="CR292" s="1005"/>
      <c r="CS292" s="1005"/>
      <c r="CT292" s="1005"/>
      <c r="CU292" s="1005"/>
      <c r="CV292" s="1005"/>
      <c r="CW292" s="1005"/>
      <c r="CX292" s="1005"/>
      <c r="CY292" s="1005"/>
      <c r="CZ292" s="1005"/>
      <c r="DA292" s="1005"/>
      <c r="DB292" s="1005"/>
      <c r="DC292" s="1005"/>
      <c r="DD292" s="1005"/>
      <c r="DE292" s="1005"/>
      <c r="DF292" s="1005"/>
      <c r="DG292" s="1005"/>
      <c r="DH292" s="1005"/>
      <c r="DI292" s="1005"/>
      <c r="DJ292" s="1005"/>
      <c r="DK292" s="1005"/>
      <c r="DL292" s="1005"/>
      <c r="DM292" s="1005"/>
      <c r="DN292" s="1005"/>
      <c r="DO292" s="1005"/>
      <c r="DP292" s="1005"/>
      <c r="DQ292" s="1005"/>
      <c r="DR292" s="1005"/>
      <c r="DS292" s="1005"/>
      <c r="DT292" s="1005"/>
      <c r="DU292" s="1005"/>
      <c r="DV292" s="1005"/>
      <c r="DW292" s="1005"/>
      <c r="DX292" s="1005"/>
      <c r="DY292" s="1005"/>
      <c r="DZ292" s="1005"/>
      <c r="EA292" s="1005"/>
      <c r="EB292" s="1005"/>
      <c r="EC292" s="1005"/>
      <c r="ED292" s="1005"/>
      <c r="EE292" s="1005"/>
      <c r="EF292" s="1005"/>
      <c r="EG292" s="1005"/>
      <c r="EH292" s="1005"/>
      <c r="EI292" s="1005"/>
      <c r="EJ292" s="1005"/>
      <c r="EK292" s="1005"/>
      <c r="EL292" s="1005"/>
      <c r="EM292" s="1005"/>
      <c r="EN292" s="1005"/>
      <c r="EO292" s="1005"/>
      <c r="EP292" s="1005"/>
      <c r="EQ292" s="1005"/>
      <c r="ER292" s="1005"/>
      <c r="ES292" s="1005"/>
      <c r="ET292" s="1005"/>
      <c r="EU292" s="1005"/>
      <c r="EV292" s="1005"/>
      <c r="EW292" s="1005"/>
      <c r="EX292" s="1005"/>
      <c r="EY292" s="1005"/>
      <c r="EZ292" s="1005"/>
      <c r="FA292" s="1005"/>
      <c r="FB292" s="1005"/>
      <c r="FC292" s="1005"/>
      <c r="FD292" s="1005"/>
      <c r="FE292" s="1005"/>
      <c r="FF292" s="1005"/>
      <c r="FG292" s="1005"/>
      <c r="FH292" s="1005"/>
      <c r="FI292" s="1005"/>
      <c r="FJ292" s="1005"/>
      <c r="FK292" s="1005"/>
      <c r="FL292" s="1005"/>
      <c r="FM292" s="1005"/>
      <c r="FN292" s="1005"/>
      <c r="FO292" s="1005"/>
      <c r="FP292" s="1005"/>
      <c r="FQ292" s="1005"/>
      <c r="FR292" s="1005"/>
      <c r="FS292" s="1005"/>
      <c r="FT292" s="1005"/>
      <c r="FU292" s="1005"/>
      <c r="FV292" s="1005"/>
      <c r="FW292" s="1005"/>
      <c r="FX292" s="1005"/>
      <c r="FY292" s="1005"/>
      <c r="FZ292" s="1005"/>
      <c r="GA292" s="1005"/>
      <c r="GB292" s="1005"/>
      <c r="GC292" s="1005"/>
      <c r="GD292" s="1005"/>
      <c r="GE292" s="1005"/>
      <c r="GF292" s="1005"/>
      <c r="GG292" s="1005"/>
      <c r="GH292" s="1005"/>
      <c r="GI292" s="1005"/>
      <c r="GJ292" s="1005"/>
      <c r="GK292" s="1005"/>
      <c r="GL292" s="1005"/>
      <c r="GM292" s="1005"/>
      <c r="GN292" s="1005"/>
      <c r="GO292" s="1005"/>
      <c r="GP292" s="1005"/>
      <c r="GQ292" s="1005"/>
      <c r="GR292" s="1005"/>
      <c r="GS292" s="1005"/>
      <c r="GT292" s="1005"/>
      <c r="GU292" s="1005"/>
      <c r="GV292" s="1005"/>
      <c r="GW292" s="1005"/>
      <c r="GX292" s="1005"/>
      <c r="GY292" s="1005"/>
      <c r="GZ292" s="1005"/>
      <c r="HA292" s="1005"/>
      <c r="HB292" s="1005"/>
      <c r="HC292" s="1005"/>
      <c r="HD292" s="1005"/>
      <c r="HE292" s="1005"/>
      <c r="HF292" s="1005"/>
      <c r="HG292" s="1005"/>
      <c r="HH292" s="1005"/>
      <c r="HI292" s="1005"/>
      <c r="HJ292" s="1005"/>
      <c r="HK292" s="1005"/>
      <c r="HL292" s="1005"/>
      <c r="HM292" s="1005"/>
      <c r="HN292" s="1005"/>
      <c r="HO292" s="1005"/>
      <c r="HP292" s="1005"/>
      <c r="HQ292" s="1005"/>
      <c r="HR292" s="1005"/>
      <c r="HS292" s="1005"/>
      <c r="HT292" s="1005"/>
      <c r="HU292" s="1005"/>
      <c r="HV292" s="1005"/>
      <c r="HW292" s="1005"/>
      <c r="HX292" s="1005"/>
      <c r="HY292" s="1005"/>
      <c r="HZ292" s="1005"/>
      <c r="IA292" s="1005"/>
      <c r="IB292" s="1005"/>
      <c r="IC292" s="1005"/>
      <c r="ID292" s="1005"/>
      <c r="IE292" s="1005"/>
      <c r="IF292" s="1005"/>
      <c r="IG292" s="1005"/>
      <c r="IH292" s="1005"/>
      <c r="II292" s="1005"/>
      <c r="IJ292" s="1005"/>
      <c r="IK292" s="1005"/>
      <c r="IL292" s="1005"/>
      <c r="IM292" s="1005"/>
      <c r="IN292" s="1005"/>
      <c r="IO292" s="1005"/>
      <c r="IP292" s="1005"/>
      <c r="IQ292" s="1005"/>
      <c r="IR292" s="1005"/>
      <c r="IS292" s="1005"/>
      <c r="IT292" s="1005"/>
      <c r="IU292" s="1005"/>
      <c r="IV292" s="1005"/>
      <c r="IW292" s="1005"/>
      <c r="IX292" s="1005"/>
      <c r="IY292" s="1005"/>
      <c r="IZ292" s="1005"/>
      <c r="JA292" s="1005"/>
      <c r="JB292" s="1005"/>
      <c r="JC292" s="1005"/>
      <c r="JD292" s="1005"/>
      <c r="JE292" s="1005"/>
      <c r="JF292" s="1005"/>
      <c r="JG292" s="1005"/>
      <c r="JH292" s="1005"/>
      <c r="JI292" s="1005"/>
      <c r="JJ292" s="1005"/>
      <c r="JK292" s="1005"/>
      <c r="JL292" s="1005"/>
      <c r="JM292" s="1005"/>
      <c r="JN292" s="1005"/>
      <c r="JO292" s="1005"/>
      <c r="JP292" s="1005"/>
      <c r="JQ292" s="1005"/>
      <c r="JR292" s="1005"/>
      <c r="JS292" s="1005"/>
      <c r="JT292" s="1005"/>
      <c r="JU292" s="1005"/>
      <c r="JV292" s="1005"/>
      <c r="JW292" s="1005"/>
      <c r="JX292" s="1005"/>
      <c r="JY292" s="1005"/>
      <c r="JZ292" s="1005"/>
      <c r="KA292" s="1005"/>
      <c r="KB292" s="1005"/>
      <c r="KC292" s="1005"/>
      <c r="KD292" s="1005"/>
      <c r="KE292" s="1005"/>
      <c r="KF292" s="1005"/>
      <c r="KG292" s="1005"/>
      <c r="KH292" s="1005"/>
      <c r="KI292" s="1005"/>
      <c r="KJ292" s="1005"/>
      <c r="KK292" s="1005"/>
      <c r="KL292" s="1005"/>
      <c r="KM292" s="1005"/>
      <c r="KN292" s="1005"/>
      <c r="KO292" s="1005"/>
      <c r="KP292" s="1005"/>
      <c r="KQ292" s="1005"/>
      <c r="KR292" s="1005"/>
      <c r="KS292" s="1005"/>
      <c r="KT292" s="1005"/>
      <c r="KU292" s="1005"/>
      <c r="KV292" s="1005"/>
      <c r="KW292" s="1005"/>
      <c r="KX292" s="1005"/>
      <c r="KY292" s="1005"/>
      <c r="KZ292" s="1005"/>
      <c r="LA292" s="1005"/>
      <c r="LB292" s="1005"/>
      <c r="LC292" s="1005"/>
      <c r="LD292" s="1005"/>
      <c r="LE292" s="1005"/>
      <c r="LF292" s="1005"/>
      <c r="LG292" s="1005"/>
      <c r="LH292" s="1005"/>
      <c r="LI292" s="1005"/>
      <c r="LJ292" s="1005"/>
      <c r="LK292" s="1005"/>
      <c r="LL292" s="1005"/>
      <c r="LM292" s="1005"/>
      <c r="LN292" s="1005"/>
      <c r="LO292" s="1005"/>
      <c r="LP292" s="1005"/>
      <c r="LQ292" s="1005"/>
      <c r="LR292" s="1005"/>
      <c r="LS292" s="1005"/>
      <c r="LT292" s="1005"/>
      <c r="LU292" s="1005"/>
      <c r="LV292" s="1005"/>
      <c r="LW292" s="1005"/>
      <c r="LX292" s="1005"/>
      <c r="LY292" s="1005"/>
      <c r="LZ292" s="1005"/>
      <c r="MA292" s="1005"/>
      <c r="MB292" s="1005"/>
      <c r="MC292" s="1005"/>
      <c r="MD292" s="1005"/>
      <c r="ME292" s="1005"/>
      <c r="MF292" s="1005"/>
      <c r="MG292" s="1005"/>
      <c r="MH292" s="1005"/>
      <c r="MI292" s="1005"/>
      <c r="MJ292" s="1005"/>
      <c r="MK292" s="1005"/>
      <c r="ML292" s="1005"/>
      <c r="MM292" s="1005"/>
      <c r="MN292" s="1005"/>
      <c r="MO292" s="1005"/>
      <c r="MP292" s="1005"/>
      <c r="MQ292" s="1005"/>
      <c r="MR292" s="1005"/>
      <c r="MS292" s="1005"/>
      <c r="MT292" s="1005"/>
      <c r="MU292" s="1005"/>
      <c r="MV292" s="1005"/>
      <c r="MW292" s="1005"/>
      <c r="MX292" s="1005"/>
      <c r="MY292" s="1005"/>
      <c r="MZ292" s="1005"/>
      <c r="NA292" s="1005"/>
      <c r="NB292" s="1005"/>
      <c r="NC292" s="1005"/>
      <c r="ND292" s="1005"/>
      <c r="NE292" s="1005"/>
      <c r="NF292" s="1005"/>
      <c r="NG292" s="1005"/>
      <c r="NH292" s="1005"/>
      <c r="NI292" s="1005"/>
      <c r="NJ292" s="1005"/>
      <c r="NK292" s="1005"/>
      <c r="NL292" s="1005"/>
      <c r="NM292" s="1005"/>
      <c r="NN292" s="1005"/>
      <c r="NO292" s="1005"/>
      <c r="NP292" s="1005"/>
      <c r="NQ292" s="1005"/>
      <c r="NR292" s="1005"/>
      <c r="NS292" s="1005"/>
      <c r="NT292" s="1005"/>
      <c r="NU292" s="1005"/>
      <c r="NV292" s="1005"/>
      <c r="NW292" s="1005"/>
      <c r="NX292" s="1005"/>
      <c r="NY292" s="1005"/>
      <c r="NZ292" s="1005"/>
      <c r="OA292" s="1005"/>
      <c r="OB292" s="1005"/>
      <c r="OC292" s="1005"/>
      <c r="OD292" s="1005"/>
      <c r="OE292" s="1005"/>
      <c r="OF292" s="1005"/>
      <c r="OG292" s="1005"/>
      <c r="OH292" s="1005"/>
      <c r="OI292" s="1005"/>
      <c r="OJ292" s="1005"/>
      <c r="OK292" s="1005"/>
      <c r="OL292" s="1005"/>
      <c r="OM292" s="1005"/>
      <c r="ON292" s="1005"/>
      <c r="OO292" s="1005"/>
      <c r="OP292" s="1005"/>
      <c r="OQ292" s="1005"/>
      <c r="OR292" s="1005"/>
      <c r="OS292" s="1005"/>
      <c r="OT292" s="1005"/>
      <c r="OU292" s="1005"/>
      <c r="OV292" s="1005"/>
      <c r="OW292" s="1005"/>
      <c r="OX292" s="1005"/>
      <c r="OY292" s="1005"/>
      <c r="OZ292" s="1005"/>
      <c r="PA292" s="1005"/>
      <c r="PB292" s="1005"/>
      <c r="PC292" s="1005"/>
      <c r="PD292" s="1005"/>
      <c r="PE292" s="1005"/>
      <c r="PF292" s="1005"/>
      <c r="PG292" s="1005"/>
      <c r="PH292" s="1005"/>
      <c r="PI292" s="1005"/>
      <c r="PJ292" s="1005"/>
      <c r="PK292" s="1005"/>
      <c r="PL292" s="1005"/>
      <c r="PM292" s="1005"/>
      <c r="PN292" s="1005"/>
      <c r="PO292" s="1005"/>
      <c r="PP292" s="1005"/>
      <c r="PQ292" s="1005"/>
      <c r="PR292" s="1005"/>
      <c r="PS292" s="1005"/>
      <c r="PT292" s="1005"/>
      <c r="PU292" s="1005"/>
      <c r="PV292" s="1005"/>
      <c r="PW292" s="1005"/>
      <c r="PX292" s="1005"/>
      <c r="PY292" s="1005"/>
      <c r="PZ292" s="1005"/>
      <c r="QA292" s="1005"/>
      <c r="QB292" s="1005"/>
      <c r="QC292" s="1005"/>
      <c r="QD292" s="1005"/>
      <c r="QE292" s="1005"/>
      <c r="QF292" s="1005"/>
      <c r="QG292" s="1005"/>
      <c r="QH292" s="1005"/>
      <c r="QI292" s="1005"/>
      <c r="QJ292" s="1005"/>
      <c r="QK292" s="1005"/>
      <c r="QL292" s="1005"/>
      <c r="QM292" s="1005"/>
      <c r="QN292" s="1005"/>
      <c r="QO292" s="1005"/>
      <c r="QP292" s="1005"/>
      <c r="QQ292" s="1005"/>
      <c r="QR292" s="1005"/>
      <c r="QS292" s="1005"/>
      <c r="QT292" s="1005"/>
      <c r="QU292" s="1005"/>
      <c r="QV292" s="1005"/>
      <c r="QW292" s="1005"/>
      <c r="QX292" s="1005"/>
      <c r="QY292" s="1005"/>
      <c r="QZ292" s="1005"/>
      <c r="RA292" s="1005"/>
      <c r="RB292" s="1005"/>
      <c r="RC292" s="1005"/>
      <c r="RD292" s="1005"/>
      <c r="RE292" s="1005"/>
      <c r="RF292" s="1005"/>
      <c r="RG292" s="1005"/>
      <c r="RH292" s="1005"/>
      <c r="RI292" s="1005"/>
      <c r="RJ292" s="1005"/>
      <c r="RK292" s="1005"/>
      <c r="RL292" s="1005"/>
      <c r="RM292" s="1005"/>
      <c r="RN292" s="1005"/>
      <c r="RO292" s="1005"/>
      <c r="RP292" s="1005"/>
      <c r="RQ292" s="1005"/>
      <c r="RR292" s="1005"/>
      <c r="RS292" s="1005"/>
      <c r="RT292" s="1005"/>
      <c r="RU292" s="1005"/>
      <c r="RV292" s="1005"/>
      <c r="RW292" s="1005"/>
      <c r="RX292" s="1005"/>
      <c r="RY292" s="1005"/>
      <c r="RZ292" s="1005"/>
      <c r="SA292" s="1005"/>
      <c r="SB292" s="1005"/>
      <c r="SC292" s="1005"/>
      <c r="SD292" s="1005"/>
      <c r="SE292" s="1005"/>
      <c r="SF292" s="1005"/>
      <c r="SG292" s="1005"/>
      <c r="SH292" s="1005"/>
      <c r="SI292" s="1005"/>
      <c r="SJ292" s="1005"/>
      <c r="SK292" s="1005"/>
      <c r="SL292" s="1005"/>
      <c r="SM292" s="1005"/>
      <c r="SN292" s="1005"/>
      <c r="SO292" s="1005"/>
      <c r="SP292" s="1005"/>
      <c r="SQ292" s="1005"/>
      <c r="SR292" s="1005"/>
      <c r="SS292" s="1005"/>
      <c r="ST292" s="1005"/>
      <c r="SU292" s="1005"/>
      <c r="SV292" s="1005"/>
      <c r="SW292" s="1005"/>
      <c r="SX292" s="1005"/>
      <c r="SY292" s="1005"/>
      <c r="SZ292" s="1005"/>
      <c r="TA292" s="1005"/>
      <c r="TB292" s="1005"/>
      <c r="TC292" s="1005"/>
      <c r="TD292" s="1005"/>
      <c r="TE292" s="1005"/>
      <c r="TF292" s="1005"/>
      <c r="TG292" s="1005"/>
      <c r="TH292" s="1005"/>
      <c r="TI292" s="1005"/>
      <c r="TJ292" s="1005"/>
      <c r="TK292" s="1005"/>
      <c r="TL292" s="1005"/>
      <c r="TM292" s="1005"/>
      <c r="TN292" s="1005"/>
      <c r="TO292" s="1005"/>
      <c r="TP292" s="1005"/>
      <c r="TQ292" s="1005"/>
      <c r="TR292" s="1005"/>
      <c r="TS292" s="1005"/>
      <c r="TT292" s="1005"/>
      <c r="TU292" s="1005"/>
      <c r="TV292" s="1005"/>
      <c r="TW292" s="1005"/>
      <c r="TX292" s="1005"/>
      <c r="TY292" s="1005"/>
      <c r="TZ292" s="1005"/>
      <c r="UA292" s="1005"/>
      <c r="UB292" s="1005"/>
      <c r="UC292" s="1005"/>
      <c r="UD292" s="1005"/>
      <c r="UE292" s="1005"/>
      <c r="UF292" s="1005"/>
      <c r="UG292" s="1005"/>
      <c r="UH292" s="1005"/>
      <c r="UI292" s="1005"/>
      <c r="UJ292" s="1005"/>
      <c r="UK292" s="1005"/>
      <c r="UL292" s="1005"/>
      <c r="UM292" s="1005"/>
      <c r="UN292" s="1005"/>
      <c r="UO292" s="1005"/>
      <c r="UP292" s="1005"/>
      <c r="UQ292" s="1005"/>
      <c r="UR292" s="1005"/>
      <c r="US292" s="1005"/>
      <c r="UT292" s="1005"/>
      <c r="UU292" s="1005"/>
      <c r="UV292" s="1005"/>
      <c r="UW292" s="1005"/>
      <c r="UX292" s="1005"/>
      <c r="UY292" s="1005"/>
      <c r="UZ292" s="1005"/>
      <c r="VA292" s="1005"/>
      <c r="VB292" s="1005"/>
      <c r="VC292" s="1005"/>
      <c r="VD292" s="1005"/>
      <c r="VE292" s="1005"/>
      <c r="VF292" s="1005"/>
      <c r="VG292" s="1005"/>
      <c r="VH292" s="1005"/>
      <c r="VI292" s="1005"/>
      <c r="VJ292" s="1005"/>
      <c r="VK292" s="1005"/>
      <c r="VL292" s="1005"/>
      <c r="VM292" s="1005"/>
      <c r="VN292" s="1005"/>
      <c r="VO292" s="1005"/>
      <c r="VP292" s="1005"/>
      <c r="VQ292" s="1005"/>
      <c r="VR292" s="1005"/>
      <c r="VS292" s="1005"/>
      <c r="VT292" s="1005"/>
      <c r="VU292" s="1005"/>
      <c r="VV292" s="1005"/>
      <c r="VW292" s="1005"/>
      <c r="VX292" s="1005"/>
      <c r="VY292" s="1005"/>
      <c r="VZ292" s="1005"/>
      <c r="WA292" s="1005"/>
      <c r="WB292" s="1005"/>
      <c r="WC292" s="1005"/>
      <c r="WD292" s="1005"/>
      <c r="WE292" s="1005"/>
      <c r="WF292" s="1005"/>
      <c r="WG292" s="1005"/>
      <c r="WH292" s="1005"/>
      <c r="WI292" s="1005"/>
      <c r="WJ292" s="1005"/>
      <c r="WK292" s="1005"/>
      <c r="WL292" s="1005"/>
      <c r="WM292" s="1005"/>
      <c r="WN292" s="1005"/>
      <c r="WO292" s="1005"/>
      <c r="WP292" s="1005"/>
      <c r="WQ292" s="1005"/>
      <c r="WR292" s="1005"/>
      <c r="WS292" s="1005"/>
      <c r="WT292" s="1005"/>
      <c r="WU292" s="1005"/>
      <c r="WV292" s="1005"/>
      <c r="WW292" s="1005"/>
      <c r="WX292" s="1005"/>
      <c r="WY292" s="1005"/>
      <c r="WZ292" s="1005"/>
      <c r="XA292" s="1005"/>
      <c r="XB292" s="1005"/>
      <c r="XC292" s="1005"/>
      <c r="XD292" s="1005"/>
      <c r="XE292" s="1005"/>
      <c r="XF292" s="1005"/>
      <c r="XG292" s="1005"/>
      <c r="XH292" s="1005"/>
      <c r="XI292" s="1005"/>
      <c r="XJ292" s="1005"/>
      <c r="XK292" s="1005"/>
      <c r="XL292" s="1005"/>
      <c r="XM292" s="1005"/>
      <c r="XN292" s="1005"/>
      <c r="XO292" s="1005"/>
      <c r="XP292" s="1005"/>
      <c r="XQ292" s="1005"/>
      <c r="XR292" s="1005"/>
      <c r="XS292" s="1005"/>
      <c r="XT292" s="1005"/>
      <c r="XU292" s="1005"/>
      <c r="XV292" s="1005"/>
      <c r="XW292" s="1005"/>
      <c r="XX292" s="1005"/>
      <c r="XY292" s="1005"/>
      <c r="XZ292" s="1005"/>
      <c r="YA292" s="1005"/>
      <c r="YB292" s="1005"/>
      <c r="YC292" s="1005"/>
      <c r="YD292" s="1005"/>
      <c r="YE292" s="1005"/>
      <c r="YF292" s="1005"/>
      <c r="YG292" s="1005"/>
      <c r="YH292" s="1005"/>
      <c r="YI292" s="1005"/>
      <c r="YJ292" s="1005"/>
      <c r="YK292" s="1005"/>
      <c r="YL292" s="1005"/>
      <c r="YM292" s="1005"/>
      <c r="YN292" s="1005"/>
      <c r="YO292" s="1005"/>
      <c r="YP292" s="1005"/>
      <c r="YQ292" s="1005"/>
      <c r="YR292" s="1005"/>
      <c r="YS292" s="1005"/>
      <c r="YT292" s="1005"/>
      <c r="YU292" s="1005"/>
      <c r="YV292" s="1005"/>
      <c r="YW292" s="1005"/>
      <c r="YX292" s="1005"/>
      <c r="YY292" s="1005"/>
      <c r="YZ292" s="1005"/>
      <c r="ZA292" s="1005"/>
      <c r="ZB292" s="1005"/>
      <c r="ZC292" s="1005"/>
      <c r="ZD292" s="1005"/>
      <c r="ZE292" s="1005"/>
      <c r="ZF292" s="1005"/>
      <c r="ZG292" s="1005"/>
      <c r="ZH292" s="1005"/>
      <c r="ZI292" s="1005"/>
      <c r="ZJ292" s="1005"/>
      <c r="ZK292" s="1005"/>
      <c r="ZL292" s="1005"/>
      <c r="ZM292" s="1005"/>
      <c r="ZN292" s="1005"/>
      <c r="ZO292" s="1005"/>
      <c r="ZP292" s="1005"/>
      <c r="ZQ292" s="1005"/>
      <c r="ZR292" s="1005"/>
      <c r="ZS292" s="1005"/>
      <c r="ZT292" s="1005"/>
      <c r="ZU292" s="1005"/>
      <c r="ZV292" s="1005"/>
      <c r="ZW292" s="1005"/>
      <c r="ZX292" s="1005"/>
      <c r="ZY292" s="1005"/>
      <c r="ZZ292" s="1005"/>
      <c r="AAA292" s="1005"/>
      <c r="AAB292" s="1005"/>
      <c r="AAC292" s="1005"/>
      <c r="AAD292" s="1005"/>
      <c r="AAE292" s="1005"/>
      <c r="AAF292" s="1005"/>
      <c r="AAG292" s="1005"/>
      <c r="AAH292" s="1005"/>
      <c r="AAI292" s="1005"/>
      <c r="AAJ292" s="1005"/>
      <c r="AAK292" s="1005"/>
      <c r="AAL292" s="1005"/>
      <c r="AAM292" s="1005"/>
      <c r="AAN292" s="1005"/>
      <c r="AAO292" s="1005"/>
      <c r="AAP292" s="1005"/>
      <c r="AAQ292" s="1005"/>
      <c r="AAR292" s="1005"/>
      <c r="AAS292" s="1005"/>
      <c r="AAT292" s="1005"/>
      <c r="AAU292" s="1005"/>
      <c r="AAV292" s="1005"/>
      <c r="AAW292" s="1005"/>
      <c r="AAX292" s="1005"/>
      <c r="AAY292" s="1005"/>
      <c r="AAZ292" s="1005"/>
      <c r="ABA292" s="1005"/>
      <c r="ABB292" s="1005"/>
      <c r="ABC292" s="1005"/>
      <c r="ABD292" s="1005"/>
      <c r="ABE292" s="1005"/>
      <c r="ABF292" s="1005"/>
      <c r="ABG292" s="1005"/>
      <c r="ABH292" s="1005"/>
      <c r="ABI292" s="1005"/>
      <c r="ABJ292" s="1005"/>
      <c r="ABK292" s="1005"/>
      <c r="ABL292" s="1005"/>
      <c r="ABM292" s="1005"/>
      <c r="ABN292" s="1005"/>
      <c r="ABO292" s="1005"/>
      <c r="ABP292" s="1005"/>
      <c r="ABQ292" s="1005"/>
      <c r="ABR292" s="1005"/>
    </row>
    <row r="293" spans="1:746" s="113" customFormat="1" ht="12" customHeight="1" thickBot="1">
      <c r="A293" s="789"/>
      <c r="B293" s="2499" t="s">
        <v>1348</v>
      </c>
      <c r="C293" s="2321"/>
      <c r="D293" s="2321"/>
      <c r="E293" s="2990">
        <f>fx!C431</f>
        <v>0</v>
      </c>
      <c r="F293" s="2991"/>
      <c r="G293" s="2992"/>
      <c r="H293" s="2561"/>
      <c r="I293" s="2584" t="s">
        <v>1483</v>
      </c>
      <c r="J293" s="869"/>
      <c r="K293" s="869"/>
      <c r="L293" s="869"/>
      <c r="M293" s="869"/>
      <c r="N293" s="869"/>
      <c r="O293" s="869"/>
      <c r="P293" s="869"/>
      <c r="Q293" s="869"/>
      <c r="R293" s="869"/>
      <c r="S293" s="869"/>
      <c r="T293" s="986"/>
      <c r="U293" s="2763"/>
      <c r="V293" s="2766"/>
      <c r="W293" s="869">
        <f>IF(SUM(I305:AF305)&gt;ARBETSBLAD!E293,"Summa avskrivning överstiger ingående anläggningstillgångar!",0)</f>
        <v>0</v>
      </c>
      <c r="X293" s="869"/>
      <c r="Y293" s="869"/>
      <c r="Z293" s="869"/>
      <c r="AA293" s="869"/>
      <c r="AB293" s="869"/>
      <c r="AC293" s="869"/>
      <c r="AD293" s="869"/>
      <c r="AE293" s="869"/>
      <c r="AF293" s="344"/>
      <c r="AG293" s="337"/>
      <c r="AH293" s="2230" t="s">
        <v>1148</v>
      </c>
      <c r="AI293" s="1005"/>
      <c r="AJ293" s="421"/>
      <c r="AK293" s="421"/>
      <c r="AL293" s="421"/>
      <c r="AM293" s="1036"/>
      <c r="AN293" s="1036"/>
      <c r="AO293" s="1034"/>
      <c r="AP293" s="1037"/>
      <c r="AQ293" s="1037"/>
      <c r="AR293" s="1005"/>
      <c r="AS293" s="1005"/>
      <c r="AT293" s="1005"/>
      <c r="AU293" s="1005"/>
      <c r="AV293" s="1005"/>
      <c r="AW293" s="1005"/>
      <c r="AX293" s="1005"/>
      <c r="AY293" s="1005"/>
      <c r="AZ293" s="1005"/>
      <c r="BA293" s="1005"/>
      <c r="BB293" s="1005"/>
      <c r="BC293" s="1005"/>
      <c r="BD293" s="1005"/>
      <c r="BE293" s="1005"/>
      <c r="BF293" s="1005"/>
      <c r="BG293" s="1005"/>
      <c r="BH293" s="1005"/>
      <c r="BI293" s="1005"/>
      <c r="BJ293" s="1005"/>
      <c r="BK293" s="1005"/>
      <c r="BL293" s="1005"/>
      <c r="BM293" s="1005"/>
      <c r="BN293" s="1005"/>
      <c r="BO293" s="1005"/>
      <c r="BP293" s="1005"/>
      <c r="BQ293" s="1005"/>
      <c r="BR293" s="1005"/>
      <c r="BS293" s="1005"/>
      <c r="BT293" s="1005"/>
      <c r="BU293" s="1005"/>
      <c r="BV293" s="1005"/>
      <c r="BW293" s="1005"/>
      <c r="BX293" s="1005"/>
      <c r="BY293" s="1005"/>
      <c r="BZ293" s="1005"/>
      <c r="CA293" s="1005"/>
      <c r="CB293" s="1005"/>
      <c r="CC293" s="1005"/>
      <c r="CD293" s="1005"/>
      <c r="CE293" s="1005"/>
      <c r="CF293" s="1005"/>
      <c r="CG293" s="1005"/>
      <c r="CH293" s="1005"/>
      <c r="CI293" s="1005"/>
      <c r="CJ293" s="1005"/>
      <c r="CK293" s="1005"/>
      <c r="CL293" s="1005"/>
      <c r="CM293" s="1005"/>
      <c r="CN293" s="1005"/>
      <c r="CO293" s="1005"/>
      <c r="CP293" s="1005"/>
      <c r="CQ293" s="1005"/>
      <c r="CR293" s="1005"/>
      <c r="CS293" s="1005"/>
      <c r="CT293" s="1005"/>
      <c r="CU293" s="1005"/>
      <c r="CV293" s="1005"/>
      <c r="CW293" s="1005"/>
      <c r="CX293" s="1005"/>
      <c r="CY293" s="1005"/>
      <c r="CZ293" s="1005"/>
      <c r="DA293" s="1005"/>
      <c r="DB293" s="1005"/>
      <c r="DC293" s="1005"/>
      <c r="DD293" s="1005"/>
      <c r="DE293" s="1005"/>
      <c r="DF293" s="1005"/>
      <c r="DG293" s="1005"/>
      <c r="DH293" s="1005"/>
      <c r="DI293" s="1005"/>
      <c r="DJ293" s="1005"/>
      <c r="DK293" s="1005"/>
      <c r="DL293" s="1005"/>
      <c r="DM293" s="1005"/>
      <c r="DN293" s="1005"/>
      <c r="DO293" s="1005"/>
      <c r="DP293" s="1005"/>
      <c r="DQ293" s="1005"/>
      <c r="DR293" s="1005"/>
      <c r="DS293" s="1005"/>
      <c r="DT293" s="1005"/>
      <c r="DU293" s="1005"/>
      <c r="DV293" s="1005"/>
      <c r="DW293" s="1005"/>
      <c r="DX293" s="1005"/>
      <c r="DY293" s="1005"/>
      <c r="DZ293" s="1005"/>
      <c r="EA293" s="1005"/>
      <c r="EB293" s="1005"/>
      <c r="EC293" s="1005"/>
      <c r="ED293" s="1005"/>
      <c r="EE293" s="1005"/>
      <c r="EF293" s="1005"/>
      <c r="EG293" s="1005"/>
      <c r="EH293" s="1005"/>
      <c r="EI293" s="1005"/>
      <c r="EJ293" s="1005"/>
      <c r="EK293" s="1005"/>
      <c r="EL293" s="1005"/>
      <c r="EM293" s="1005"/>
      <c r="EN293" s="1005"/>
      <c r="EO293" s="1005"/>
      <c r="EP293" s="1005"/>
      <c r="EQ293" s="1005"/>
      <c r="ER293" s="1005"/>
      <c r="ES293" s="1005"/>
      <c r="ET293" s="1005"/>
      <c r="EU293" s="1005"/>
      <c r="EV293" s="1005"/>
      <c r="EW293" s="1005"/>
      <c r="EX293" s="1005"/>
      <c r="EY293" s="1005"/>
      <c r="EZ293" s="1005"/>
      <c r="FA293" s="1005"/>
      <c r="FB293" s="1005"/>
      <c r="FC293" s="1005"/>
      <c r="FD293" s="1005"/>
      <c r="FE293" s="1005"/>
      <c r="FF293" s="1005"/>
      <c r="FG293" s="1005"/>
      <c r="FH293" s="1005"/>
      <c r="FI293" s="1005"/>
      <c r="FJ293" s="1005"/>
      <c r="FK293" s="1005"/>
      <c r="FL293" s="1005"/>
      <c r="FM293" s="1005"/>
      <c r="FN293" s="1005"/>
      <c r="FO293" s="1005"/>
      <c r="FP293" s="1005"/>
      <c r="FQ293" s="1005"/>
      <c r="FR293" s="1005"/>
      <c r="FS293" s="1005"/>
      <c r="FT293" s="1005"/>
      <c r="FU293" s="1005"/>
      <c r="FV293" s="1005"/>
      <c r="FW293" s="1005"/>
      <c r="FX293" s="1005"/>
      <c r="FY293" s="1005"/>
      <c r="FZ293" s="1005"/>
      <c r="GA293" s="1005"/>
      <c r="GB293" s="1005"/>
      <c r="GC293" s="1005"/>
      <c r="GD293" s="1005"/>
      <c r="GE293" s="1005"/>
      <c r="GF293" s="1005"/>
      <c r="GG293" s="1005"/>
      <c r="GH293" s="1005"/>
      <c r="GI293" s="1005"/>
      <c r="GJ293" s="1005"/>
      <c r="GK293" s="1005"/>
      <c r="GL293" s="1005"/>
      <c r="GM293" s="1005"/>
      <c r="GN293" s="1005"/>
      <c r="GO293" s="1005"/>
      <c r="GP293" s="1005"/>
      <c r="GQ293" s="1005"/>
      <c r="GR293" s="1005"/>
      <c r="GS293" s="1005"/>
      <c r="GT293" s="1005"/>
      <c r="GU293" s="1005"/>
      <c r="GV293" s="1005"/>
      <c r="GW293" s="1005"/>
      <c r="GX293" s="1005"/>
      <c r="GY293" s="1005"/>
      <c r="GZ293" s="1005"/>
      <c r="HA293" s="1005"/>
      <c r="HB293" s="1005"/>
      <c r="HC293" s="1005"/>
      <c r="HD293" s="1005"/>
      <c r="HE293" s="1005"/>
      <c r="HF293" s="1005"/>
      <c r="HG293" s="1005"/>
      <c r="HH293" s="1005"/>
      <c r="HI293" s="1005"/>
      <c r="HJ293" s="1005"/>
      <c r="HK293" s="1005"/>
      <c r="HL293" s="1005"/>
      <c r="HM293" s="1005"/>
      <c r="HN293" s="1005"/>
      <c r="HO293" s="1005"/>
      <c r="HP293" s="1005"/>
      <c r="HQ293" s="1005"/>
      <c r="HR293" s="1005"/>
      <c r="HS293" s="1005"/>
      <c r="HT293" s="1005"/>
      <c r="HU293" s="1005"/>
      <c r="HV293" s="1005"/>
      <c r="HW293" s="1005"/>
      <c r="HX293" s="1005"/>
      <c r="HY293" s="1005"/>
      <c r="HZ293" s="1005"/>
      <c r="IA293" s="1005"/>
      <c r="IB293" s="1005"/>
      <c r="IC293" s="1005"/>
      <c r="ID293" s="1005"/>
      <c r="IE293" s="1005"/>
      <c r="IF293" s="1005"/>
      <c r="IG293" s="1005"/>
      <c r="IH293" s="1005"/>
      <c r="II293" s="1005"/>
      <c r="IJ293" s="1005"/>
      <c r="IK293" s="1005"/>
      <c r="IL293" s="1005"/>
      <c r="IM293" s="1005"/>
      <c r="IN293" s="1005"/>
      <c r="IO293" s="1005"/>
      <c r="IP293" s="1005"/>
      <c r="IQ293" s="1005"/>
      <c r="IR293" s="1005"/>
      <c r="IS293" s="1005"/>
      <c r="IT293" s="1005"/>
      <c r="IU293" s="1005"/>
      <c r="IV293" s="1005"/>
      <c r="IW293" s="1005"/>
      <c r="IX293" s="1005"/>
      <c r="IY293" s="1005"/>
      <c r="IZ293" s="1005"/>
      <c r="JA293" s="1005"/>
      <c r="JB293" s="1005"/>
      <c r="JC293" s="1005"/>
      <c r="JD293" s="1005"/>
      <c r="JE293" s="1005"/>
      <c r="JF293" s="1005"/>
      <c r="JG293" s="1005"/>
      <c r="JH293" s="1005"/>
      <c r="JI293" s="1005"/>
      <c r="JJ293" s="1005"/>
      <c r="JK293" s="1005"/>
      <c r="JL293" s="1005"/>
      <c r="JM293" s="1005"/>
      <c r="JN293" s="1005"/>
      <c r="JO293" s="1005"/>
      <c r="JP293" s="1005"/>
      <c r="JQ293" s="1005"/>
      <c r="JR293" s="1005"/>
      <c r="JS293" s="1005"/>
      <c r="JT293" s="1005"/>
      <c r="JU293" s="1005"/>
      <c r="JV293" s="1005"/>
      <c r="JW293" s="1005"/>
      <c r="JX293" s="1005"/>
      <c r="JY293" s="1005"/>
      <c r="JZ293" s="1005"/>
      <c r="KA293" s="1005"/>
      <c r="KB293" s="1005"/>
      <c r="KC293" s="1005"/>
      <c r="KD293" s="1005"/>
      <c r="KE293" s="1005"/>
      <c r="KF293" s="1005"/>
      <c r="KG293" s="1005"/>
      <c r="KH293" s="1005"/>
      <c r="KI293" s="1005"/>
      <c r="KJ293" s="1005"/>
      <c r="KK293" s="1005"/>
      <c r="KL293" s="1005"/>
      <c r="KM293" s="1005"/>
      <c r="KN293" s="1005"/>
      <c r="KO293" s="1005"/>
      <c r="KP293" s="1005"/>
      <c r="KQ293" s="1005"/>
      <c r="KR293" s="1005"/>
      <c r="KS293" s="1005"/>
      <c r="KT293" s="1005"/>
      <c r="KU293" s="1005"/>
      <c r="KV293" s="1005"/>
      <c r="KW293" s="1005"/>
      <c r="KX293" s="1005"/>
      <c r="KY293" s="1005"/>
      <c r="KZ293" s="1005"/>
      <c r="LA293" s="1005"/>
      <c r="LB293" s="1005"/>
      <c r="LC293" s="1005"/>
      <c r="LD293" s="1005"/>
      <c r="LE293" s="1005"/>
      <c r="LF293" s="1005"/>
      <c r="LG293" s="1005"/>
      <c r="LH293" s="1005"/>
      <c r="LI293" s="1005"/>
      <c r="LJ293" s="1005"/>
      <c r="LK293" s="1005"/>
      <c r="LL293" s="1005"/>
      <c r="LM293" s="1005"/>
      <c r="LN293" s="1005"/>
      <c r="LO293" s="1005"/>
      <c r="LP293" s="1005"/>
      <c r="LQ293" s="1005"/>
      <c r="LR293" s="1005"/>
      <c r="LS293" s="1005"/>
      <c r="LT293" s="1005"/>
      <c r="LU293" s="1005"/>
      <c r="LV293" s="1005"/>
      <c r="LW293" s="1005"/>
      <c r="LX293" s="1005"/>
      <c r="LY293" s="1005"/>
      <c r="LZ293" s="1005"/>
      <c r="MA293" s="1005"/>
      <c r="MB293" s="1005"/>
      <c r="MC293" s="1005"/>
      <c r="MD293" s="1005"/>
      <c r="ME293" s="1005"/>
      <c r="MF293" s="1005"/>
      <c r="MG293" s="1005"/>
      <c r="MH293" s="1005"/>
      <c r="MI293" s="1005"/>
      <c r="MJ293" s="1005"/>
      <c r="MK293" s="1005"/>
      <c r="ML293" s="1005"/>
      <c r="MM293" s="1005"/>
      <c r="MN293" s="1005"/>
      <c r="MO293" s="1005"/>
      <c r="MP293" s="1005"/>
      <c r="MQ293" s="1005"/>
      <c r="MR293" s="1005"/>
      <c r="MS293" s="1005"/>
      <c r="MT293" s="1005"/>
      <c r="MU293" s="1005"/>
      <c r="MV293" s="1005"/>
      <c r="MW293" s="1005"/>
      <c r="MX293" s="1005"/>
      <c r="MY293" s="1005"/>
      <c r="MZ293" s="1005"/>
      <c r="NA293" s="1005"/>
      <c r="NB293" s="1005"/>
      <c r="NC293" s="1005"/>
      <c r="ND293" s="1005"/>
      <c r="NE293" s="1005"/>
      <c r="NF293" s="1005"/>
      <c r="NG293" s="1005"/>
      <c r="NH293" s="1005"/>
      <c r="NI293" s="1005"/>
      <c r="NJ293" s="1005"/>
      <c r="NK293" s="1005"/>
      <c r="NL293" s="1005"/>
      <c r="NM293" s="1005"/>
      <c r="NN293" s="1005"/>
      <c r="NO293" s="1005"/>
      <c r="NP293" s="1005"/>
      <c r="NQ293" s="1005"/>
      <c r="NR293" s="1005"/>
      <c r="NS293" s="1005"/>
      <c r="NT293" s="1005"/>
      <c r="NU293" s="1005"/>
      <c r="NV293" s="1005"/>
      <c r="NW293" s="1005"/>
      <c r="NX293" s="1005"/>
      <c r="NY293" s="1005"/>
      <c r="NZ293" s="1005"/>
      <c r="OA293" s="1005"/>
      <c r="OB293" s="1005"/>
      <c r="OC293" s="1005"/>
      <c r="OD293" s="1005"/>
      <c r="OE293" s="1005"/>
      <c r="OF293" s="1005"/>
      <c r="OG293" s="1005"/>
      <c r="OH293" s="1005"/>
      <c r="OI293" s="1005"/>
      <c r="OJ293" s="1005"/>
      <c r="OK293" s="1005"/>
      <c r="OL293" s="1005"/>
      <c r="OM293" s="1005"/>
      <c r="ON293" s="1005"/>
      <c r="OO293" s="1005"/>
      <c r="OP293" s="1005"/>
      <c r="OQ293" s="1005"/>
      <c r="OR293" s="1005"/>
      <c r="OS293" s="1005"/>
      <c r="OT293" s="1005"/>
      <c r="OU293" s="1005"/>
      <c r="OV293" s="1005"/>
      <c r="OW293" s="1005"/>
      <c r="OX293" s="1005"/>
      <c r="OY293" s="1005"/>
      <c r="OZ293" s="1005"/>
      <c r="PA293" s="1005"/>
      <c r="PB293" s="1005"/>
      <c r="PC293" s="1005"/>
      <c r="PD293" s="1005"/>
      <c r="PE293" s="1005"/>
      <c r="PF293" s="1005"/>
      <c r="PG293" s="1005"/>
      <c r="PH293" s="1005"/>
      <c r="PI293" s="1005"/>
      <c r="PJ293" s="1005"/>
      <c r="PK293" s="1005"/>
      <c r="PL293" s="1005"/>
      <c r="PM293" s="1005"/>
      <c r="PN293" s="1005"/>
      <c r="PO293" s="1005"/>
      <c r="PP293" s="1005"/>
      <c r="PQ293" s="1005"/>
      <c r="PR293" s="1005"/>
      <c r="PS293" s="1005"/>
      <c r="PT293" s="1005"/>
      <c r="PU293" s="1005"/>
      <c r="PV293" s="1005"/>
      <c r="PW293" s="1005"/>
      <c r="PX293" s="1005"/>
      <c r="PY293" s="1005"/>
      <c r="PZ293" s="1005"/>
      <c r="QA293" s="1005"/>
      <c r="QB293" s="1005"/>
      <c r="QC293" s="1005"/>
      <c r="QD293" s="1005"/>
      <c r="QE293" s="1005"/>
      <c r="QF293" s="1005"/>
      <c r="QG293" s="1005"/>
      <c r="QH293" s="1005"/>
      <c r="QI293" s="1005"/>
      <c r="QJ293" s="1005"/>
      <c r="QK293" s="1005"/>
      <c r="QL293" s="1005"/>
      <c r="QM293" s="1005"/>
      <c r="QN293" s="1005"/>
      <c r="QO293" s="1005"/>
      <c r="QP293" s="1005"/>
      <c r="QQ293" s="1005"/>
      <c r="QR293" s="1005"/>
      <c r="QS293" s="1005"/>
      <c r="QT293" s="1005"/>
      <c r="QU293" s="1005"/>
      <c r="QV293" s="1005"/>
      <c r="QW293" s="1005"/>
      <c r="QX293" s="1005"/>
      <c r="QY293" s="1005"/>
      <c r="QZ293" s="1005"/>
      <c r="RA293" s="1005"/>
      <c r="RB293" s="1005"/>
      <c r="RC293" s="1005"/>
      <c r="RD293" s="1005"/>
      <c r="RE293" s="1005"/>
      <c r="RF293" s="1005"/>
      <c r="RG293" s="1005"/>
      <c r="RH293" s="1005"/>
      <c r="RI293" s="1005"/>
      <c r="RJ293" s="1005"/>
      <c r="RK293" s="1005"/>
      <c r="RL293" s="1005"/>
      <c r="RM293" s="1005"/>
      <c r="RN293" s="1005"/>
      <c r="RO293" s="1005"/>
      <c r="RP293" s="1005"/>
      <c r="RQ293" s="1005"/>
      <c r="RR293" s="1005"/>
      <c r="RS293" s="1005"/>
      <c r="RT293" s="1005"/>
      <c r="RU293" s="1005"/>
      <c r="RV293" s="1005"/>
      <c r="RW293" s="1005"/>
      <c r="RX293" s="1005"/>
      <c r="RY293" s="1005"/>
      <c r="RZ293" s="1005"/>
      <c r="SA293" s="1005"/>
      <c r="SB293" s="1005"/>
      <c r="SC293" s="1005"/>
      <c r="SD293" s="1005"/>
      <c r="SE293" s="1005"/>
      <c r="SF293" s="1005"/>
      <c r="SG293" s="1005"/>
      <c r="SH293" s="1005"/>
      <c r="SI293" s="1005"/>
      <c r="SJ293" s="1005"/>
      <c r="SK293" s="1005"/>
      <c r="SL293" s="1005"/>
      <c r="SM293" s="1005"/>
      <c r="SN293" s="1005"/>
      <c r="SO293" s="1005"/>
      <c r="SP293" s="1005"/>
      <c r="SQ293" s="1005"/>
      <c r="SR293" s="1005"/>
      <c r="SS293" s="1005"/>
      <c r="ST293" s="1005"/>
      <c r="SU293" s="1005"/>
      <c r="SV293" s="1005"/>
      <c r="SW293" s="1005"/>
      <c r="SX293" s="1005"/>
      <c r="SY293" s="1005"/>
      <c r="SZ293" s="1005"/>
      <c r="TA293" s="1005"/>
      <c r="TB293" s="1005"/>
      <c r="TC293" s="1005"/>
      <c r="TD293" s="1005"/>
      <c r="TE293" s="1005"/>
      <c r="TF293" s="1005"/>
      <c r="TG293" s="1005"/>
      <c r="TH293" s="1005"/>
      <c r="TI293" s="1005"/>
      <c r="TJ293" s="1005"/>
      <c r="TK293" s="1005"/>
      <c r="TL293" s="1005"/>
      <c r="TM293" s="1005"/>
      <c r="TN293" s="1005"/>
      <c r="TO293" s="1005"/>
      <c r="TP293" s="1005"/>
      <c r="TQ293" s="1005"/>
      <c r="TR293" s="1005"/>
      <c r="TS293" s="1005"/>
      <c r="TT293" s="1005"/>
      <c r="TU293" s="1005"/>
      <c r="TV293" s="1005"/>
      <c r="TW293" s="1005"/>
      <c r="TX293" s="1005"/>
      <c r="TY293" s="1005"/>
      <c r="TZ293" s="1005"/>
      <c r="UA293" s="1005"/>
      <c r="UB293" s="1005"/>
      <c r="UC293" s="1005"/>
      <c r="UD293" s="1005"/>
      <c r="UE293" s="1005"/>
      <c r="UF293" s="1005"/>
      <c r="UG293" s="1005"/>
      <c r="UH293" s="1005"/>
      <c r="UI293" s="1005"/>
      <c r="UJ293" s="1005"/>
      <c r="UK293" s="1005"/>
      <c r="UL293" s="1005"/>
      <c r="UM293" s="1005"/>
      <c r="UN293" s="1005"/>
      <c r="UO293" s="1005"/>
      <c r="UP293" s="1005"/>
      <c r="UQ293" s="1005"/>
      <c r="UR293" s="1005"/>
      <c r="US293" s="1005"/>
      <c r="UT293" s="1005"/>
      <c r="UU293" s="1005"/>
      <c r="UV293" s="1005"/>
      <c r="UW293" s="1005"/>
      <c r="UX293" s="1005"/>
      <c r="UY293" s="1005"/>
      <c r="UZ293" s="1005"/>
      <c r="VA293" s="1005"/>
      <c r="VB293" s="1005"/>
      <c r="VC293" s="1005"/>
      <c r="VD293" s="1005"/>
      <c r="VE293" s="1005"/>
      <c r="VF293" s="1005"/>
      <c r="VG293" s="1005"/>
      <c r="VH293" s="1005"/>
      <c r="VI293" s="1005"/>
      <c r="VJ293" s="1005"/>
      <c r="VK293" s="1005"/>
      <c r="VL293" s="1005"/>
      <c r="VM293" s="1005"/>
      <c r="VN293" s="1005"/>
      <c r="VO293" s="1005"/>
      <c r="VP293" s="1005"/>
      <c r="VQ293" s="1005"/>
      <c r="VR293" s="1005"/>
      <c r="VS293" s="1005"/>
      <c r="VT293" s="1005"/>
      <c r="VU293" s="1005"/>
      <c r="VV293" s="1005"/>
      <c r="VW293" s="1005"/>
      <c r="VX293" s="1005"/>
      <c r="VY293" s="1005"/>
      <c r="VZ293" s="1005"/>
      <c r="WA293" s="1005"/>
      <c r="WB293" s="1005"/>
      <c r="WC293" s="1005"/>
      <c r="WD293" s="1005"/>
      <c r="WE293" s="1005"/>
      <c r="WF293" s="1005"/>
      <c r="WG293" s="1005"/>
      <c r="WH293" s="1005"/>
      <c r="WI293" s="1005"/>
      <c r="WJ293" s="1005"/>
      <c r="WK293" s="1005"/>
      <c r="WL293" s="1005"/>
      <c r="WM293" s="1005"/>
      <c r="WN293" s="1005"/>
      <c r="WO293" s="1005"/>
      <c r="WP293" s="1005"/>
      <c r="WQ293" s="1005"/>
      <c r="WR293" s="1005"/>
      <c r="WS293" s="1005"/>
      <c r="WT293" s="1005"/>
      <c r="WU293" s="1005"/>
      <c r="WV293" s="1005"/>
      <c r="WW293" s="1005"/>
      <c r="WX293" s="1005"/>
      <c r="WY293" s="1005"/>
      <c r="WZ293" s="1005"/>
      <c r="XA293" s="1005"/>
      <c r="XB293" s="1005"/>
      <c r="XC293" s="1005"/>
      <c r="XD293" s="1005"/>
      <c r="XE293" s="1005"/>
      <c r="XF293" s="1005"/>
      <c r="XG293" s="1005"/>
      <c r="XH293" s="1005"/>
      <c r="XI293" s="1005"/>
      <c r="XJ293" s="1005"/>
      <c r="XK293" s="1005"/>
      <c r="XL293" s="1005"/>
      <c r="XM293" s="1005"/>
      <c r="XN293" s="1005"/>
      <c r="XO293" s="1005"/>
      <c r="XP293" s="1005"/>
      <c r="XQ293" s="1005"/>
      <c r="XR293" s="1005"/>
      <c r="XS293" s="1005"/>
      <c r="XT293" s="1005"/>
      <c r="XU293" s="1005"/>
      <c r="XV293" s="1005"/>
      <c r="XW293" s="1005"/>
      <c r="XX293" s="1005"/>
      <c r="XY293" s="1005"/>
      <c r="XZ293" s="1005"/>
      <c r="YA293" s="1005"/>
      <c r="YB293" s="1005"/>
      <c r="YC293" s="1005"/>
      <c r="YD293" s="1005"/>
      <c r="YE293" s="1005"/>
      <c r="YF293" s="1005"/>
      <c r="YG293" s="1005"/>
      <c r="YH293" s="1005"/>
      <c r="YI293" s="1005"/>
      <c r="YJ293" s="1005"/>
      <c r="YK293" s="1005"/>
      <c r="YL293" s="1005"/>
      <c r="YM293" s="1005"/>
      <c r="YN293" s="1005"/>
      <c r="YO293" s="1005"/>
      <c r="YP293" s="1005"/>
      <c r="YQ293" s="1005"/>
      <c r="YR293" s="1005"/>
      <c r="YS293" s="1005"/>
      <c r="YT293" s="1005"/>
      <c r="YU293" s="1005"/>
      <c r="YV293" s="1005"/>
      <c r="YW293" s="1005"/>
      <c r="YX293" s="1005"/>
      <c r="YY293" s="1005"/>
      <c r="YZ293" s="1005"/>
      <c r="ZA293" s="1005"/>
      <c r="ZB293" s="1005"/>
      <c r="ZC293" s="1005"/>
      <c r="ZD293" s="1005"/>
      <c r="ZE293" s="1005"/>
      <c r="ZF293" s="1005"/>
      <c r="ZG293" s="1005"/>
      <c r="ZH293" s="1005"/>
      <c r="ZI293" s="1005"/>
      <c r="ZJ293" s="1005"/>
      <c r="ZK293" s="1005"/>
      <c r="ZL293" s="1005"/>
      <c r="ZM293" s="1005"/>
      <c r="ZN293" s="1005"/>
      <c r="ZO293" s="1005"/>
      <c r="ZP293" s="1005"/>
      <c r="ZQ293" s="1005"/>
      <c r="ZR293" s="1005"/>
      <c r="ZS293" s="1005"/>
      <c r="ZT293" s="1005"/>
      <c r="ZU293" s="1005"/>
      <c r="ZV293" s="1005"/>
      <c r="ZW293" s="1005"/>
      <c r="ZX293" s="1005"/>
      <c r="ZY293" s="1005"/>
      <c r="ZZ293" s="1005"/>
      <c r="AAA293" s="1005"/>
      <c r="AAB293" s="1005"/>
      <c r="AAC293" s="1005"/>
      <c r="AAD293" s="1005"/>
      <c r="AAE293" s="1005"/>
      <c r="AAF293" s="1005"/>
      <c r="AAG293" s="1005"/>
      <c r="AAH293" s="1005"/>
      <c r="AAI293" s="1005"/>
      <c r="AAJ293" s="1005"/>
      <c r="AAK293" s="1005"/>
      <c r="AAL293" s="1005"/>
      <c r="AAM293" s="1005"/>
      <c r="AAN293" s="1005"/>
      <c r="AAO293" s="1005"/>
      <c r="AAP293" s="1005"/>
      <c r="AAQ293" s="1005"/>
      <c r="AAR293" s="1005"/>
      <c r="AAS293" s="1005"/>
      <c r="AAT293" s="1005"/>
      <c r="AAU293" s="1005"/>
      <c r="AAV293" s="1005"/>
      <c r="AAW293" s="1005"/>
      <c r="AAX293" s="1005"/>
      <c r="AAY293" s="1005"/>
      <c r="AAZ293" s="1005"/>
      <c r="ABA293" s="1005"/>
      <c r="ABB293" s="1005"/>
      <c r="ABC293" s="1005"/>
      <c r="ABD293" s="1005"/>
      <c r="ABE293" s="1005"/>
      <c r="ABF293" s="1005"/>
      <c r="ABG293" s="1005"/>
      <c r="ABH293" s="1005"/>
      <c r="ABI293" s="1005"/>
      <c r="ABJ293" s="1005"/>
      <c r="ABK293" s="1005"/>
      <c r="ABL293" s="1005"/>
      <c r="ABM293" s="1005"/>
      <c r="ABN293" s="1005"/>
      <c r="ABO293" s="1005"/>
      <c r="ABP293" s="1005"/>
      <c r="ABQ293" s="1005"/>
      <c r="ABR293" s="1005"/>
    </row>
    <row r="294" spans="1:746" s="113" customFormat="1" ht="12" customHeight="1">
      <c r="A294" s="789"/>
      <c r="B294" s="1868" t="s">
        <v>1361</v>
      </c>
      <c r="C294" s="2510"/>
      <c r="D294" s="2511"/>
      <c r="E294" s="2910">
        <f>IF(E293=0,0,IF(E293&gt;0,IF(E293-SUM(E295:E304)&gt;=0,E293-SUM(E295:E304))))</f>
        <v>0</v>
      </c>
      <c r="F294" s="2911"/>
      <c r="G294" s="2912"/>
      <c r="H294" s="2512"/>
      <c r="I294" s="374">
        <f>$E294*$AH294/12*fx!I57</f>
        <v>0</v>
      </c>
      <c r="J294" s="2431">
        <f>$E294*$AH294/12*fx!J57</f>
        <v>0</v>
      </c>
      <c r="K294" s="2431">
        <f>$E294*$AH294/12*fx!K57</f>
        <v>0</v>
      </c>
      <c r="L294" s="2431">
        <f>$E294*$AH294/12*fx!L57</f>
        <v>0</v>
      </c>
      <c r="M294" s="2431">
        <f>$E294*$AH294/12*fx!M57</f>
        <v>0</v>
      </c>
      <c r="N294" s="2431">
        <f>$E294*$AH294/12*fx!N57</f>
        <v>0</v>
      </c>
      <c r="O294" s="2431">
        <f>$E294*$AH294/12*fx!O57</f>
        <v>0</v>
      </c>
      <c r="P294" s="2431">
        <f>$E294*$AH294/12*fx!P57</f>
        <v>0</v>
      </c>
      <c r="Q294" s="2431">
        <f>$E294*$AH294/12*fx!Q57</f>
        <v>0</v>
      </c>
      <c r="R294" s="2431">
        <f>$E294*$AH294/12*fx!R57</f>
        <v>0</v>
      </c>
      <c r="S294" s="2431">
        <f>$E294*$AH294/12*fx!S57</f>
        <v>0</v>
      </c>
      <c r="T294" s="2431">
        <f>$E294*$AH294/12*fx!T57</f>
        <v>0</v>
      </c>
      <c r="U294" s="2431">
        <f>$E294*$AH294/12*fx!U57</f>
        <v>0</v>
      </c>
      <c r="V294" s="2431">
        <f>$E294*$AH294/12*fx!V57</f>
        <v>0</v>
      </c>
      <c r="W294" s="2431">
        <f>$E294*$AH294/12*fx!W57</f>
        <v>0</v>
      </c>
      <c r="X294" s="2431">
        <f>$E294*$AH294/12*fx!X57</f>
        <v>0</v>
      </c>
      <c r="Y294" s="2431">
        <f>$E294*$AH294/12*fx!Y57</f>
        <v>0</v>
      </c>
      <c r="Z294" s="2431">
        <f>$E294*$AH294/12*fx!Z57</f>
        <v>0</v>
      </c>
      <c r="AA294" s="2431">
        <f>$E294*$AH294/12*fx!AA57</f>
        <v>0</v>
      </c>
      <c r="AB294" s="2431">
        <f>$E294*$AH294/12*fx!AB57</f>
        <v>0</v>
      </c>
      <c r="AC294" s="2431">
        <f>$E294*$AH294/12*fx!AC57</f>
        <v>0</v>
      </c>
      <c r="AD294" s="2431">
        <f>$E294*$AH294/12*fx!AD57</f>
        <v>0</v>
      </c>
      <c r="AE294" s="2431">
        <f>$E294*$AH294/12*fx!AE57</f>
        <v>0</v>
      </c>
      <c r="AF294" s="2431">
        <f>$E294*$AH294/12*fx!AF57</f>
        <v>0</v>
      </c>
      <c r="AG294" s="337"/>
      <c r="AH294" s="2504">
        <v>0.33</v>
      </c>
      <c r="AI294" s="1005"/>
      <c r="AJ294" s="1956">
        <f>IF(fx!$C$57=1,SUMIF(fx!I$57:T$57,1,I294:T294),IF(fx!$C$57=2,SUMIF(fx!O$57:AF$57,1,O294:AF294)))</f>
        <v>0</v>
      </c>
      <c r="AK294" s="1207"/>
      <c r="AL294" s="1957">
        <f>IF(fx!$C$57=1,SUM(U294:AF294),0)</f>
        <v>0</v>
      </c>
      <c r="AM294" s="1036"/>
      <c r="AN294" s="1036"/>
      <c r="AO294" s="1034"/>
      <c r="AP294" s="1037"/>
      <c r="AQ294" s="1037"/>
      <c r="AR294" s="1005"/>
      <c r="AS294" s="1005"/>
      <c r="AT294" s="1005"/>
      <c r="AU294" s="1005"/>
      <c r="AV294" s="1005"/>
      <c r="AW294" s="1005"/>
      <c r="AX294" s="1005"/>
      <c r="AY294" s="1005"/>
      <c r="AZ294" s="1005"/>
      <c r="BA294" s="1005"/>
      <c r="BB294" s="1005"/>
      <c r="BC294" s="1005"/>
      <c r="BD294" s="1005"/>
      <c r="BE294" s="1005"/>
      <c r="BF294" s="1005"/>
      <c r="BG294" s="1005"/>
      <c r="BH294" s="1005"/>
      <c r="BI294" s="1005"/>
      <c r="BJ294" s="1005"/>
      <c r="BK294" s="1005"/>
      <c r="BL294" s="1005"/>
      <c r="BM294" s="1005"/>
      <c r="BN294" s="1005"/>
      <c r="BO294" s="1005"/>
      <c r="BP294" s="1005"/>
      <c r="BQ294" s="1005"/>
      <c r="BR294" s="1005"/>
      <c r="BS294" s="1005"/>
      <c r="BT294" s="1005"/>
      <c r="BU294" s="1005"/>
      <c r="BV294" s="1005"/>
      <c r="BW294" s="1005"/>
      <c r="BX294" s="1005"/>
      <c r="BY294" s="1005"/>
      <c r="BZ294" s="1005"/>
      <c r="CA294" s="1005"/>
      <c r="CB294" s="1005"/>
      <c r="CC294" s="1005"/>
      <c r="CD294" s="1005"/>
      <c r="CE294" s="1005"/>
      <c r="CF294" s="1005"/>
      <c r="CG294" s="1005"/>
      <c r="CH294" s="1005"/>
      <c r="CI294" s="1005"/>
      <c r="CJ294" s="1005"/>
      <c r="CK294" s="1005"/>
      <c r="CL294" s="1005"/>
      <c r="CM294" s="1005"/>
      <c r="CN294" s="1005"/>
      <c r="CO294" s="1005"/>
      <c r="CP294" s="1005"/>
      <c r="CQ294" s="1005"/>
      <c r="CR294" s="1005"/>
      <c r="CS294" s="1005"/>
      <c r="CT294" s="1005"/>
      <c r="CU294" s="1005"/>
      <c r="CV294" s="1005"/>
      <c r="CW294" s="1005"/>
      <c r="CX294" s="1005"/>
      <c r="CY294" s="1005"/>
      <c r="CZ294" s="1005"/>
      <c r="DA294" s="1005"/>
      <c r="DB294" s="1005"/>
      <c r="DC294" s="1005"/>
      <c r="DD294" s="1005"/>
      <c r="DE294" s="1005"/>
      <c r="DF294" s="1005"/>
      <c r="DG294" s="1005"/>
      <c r="DH294" s="1005"/>
      <c r="DI294" s="1005"/>
      <c r="DJ294" s="1005"/>
      <c r="DK294" s="1005"/>
      <c r="DL294" s="1005"/>
      <c r="DM294" s="1005"/>
      <c r="DN294" s="1005"/>
      <c r="DO294" s="1005"/>
      <c r="DP294" s="1005"/>
      <c r="DQ294" s="1005"/>
      <c r="DR294" s="1005"/>
      <c r="DS294" s="1005"/>
      <c r="DT294" s="1005"/>
      <c r="DU294" s="1005"/>
      <c r="DV294" s="1005"/>
      <c r="DW294" s="1005"/>
      <c r="DX294" s="1005"/>
      <c r="DY294" s="1005"/>
      <c r="DZ294" s="1005"/>
      <c r="EA294" s="1005"/>
      <c r="EB294" s="1005"/>
      <c r="EC294" s="1005"/>
      <c r="ED294" s="1005"/>
      <c r="EE294" s="1005"/>
      <c r="EF294" s="1005"/>
      <c r="EG294" s="1005"/>
      <c r="EH294" s="1005"/>
      <c r="EI294" s="1005"/>
      <c r="EJ294" s="1005"/>
      <c r="EK294" s="1005"/>
      <c r="EL294" s="1005"/>
      <c r="EM294" s="1005"/>
      <c r="EN294" s="1005"/>
      <c r="EO294" s="1005"/>
      <c r="EP294" s="1005"/>
      <c r="EQ294" s="1005"/>
      <c r="ER294" s="1005"/>
      <c r="ES294" s="1005"/>
      <c r="ET294" s="1005"/>
      <c r="EU294" s="1005"/>
      <c r="EV294" s="1005"/>
      <c r="EW294" s="1005"/>
      <c r="EX294" s="1005"/>
      <c r="EY294" s="1005"/>
      <c r="EZ294" s="1005"/>
      <c r="FA294" s="1005"/>
      <c r="FB294" s="1005"/>
      <c r="FC294" s="1005"/>
      <c r="FD294" s="1005"/>
      <c r="FE294" s="1005"/>
      <c r="FF294" s="1005"/>
      <c r="FG294" s="1005"/>
      <c r="FH294" s="1005"/>
      <c r="FI294" s="1005"/>
      <c r="FJ294" s="1005"/>
      <c r="FK294" s="1005"/>
      <c r="FL294" s="1005"/>
      <c r="FM294" s="1005"/>
      <c r="FN294" s="1005"/>
      <c r="FO294" s="1005"/>
      <c r="FP294" s="1005"/>
      <c r="FQ294" s="1005"/>
      <c r="FR294" s="1005"/>
      <c r="FS294" s="1005"/>
      <c r="FT294" s="1005"/>
      <c r="FU294" s="1005"/>
      <c r="FV294" s="1005"/>
      <c r="FW294" s="1005"/>
      <c r="FX294" s="1005"/>
      <c r="FY294" s="1005"/>
      <c r="FZ294" s="1005"/>
      <c r="GA294" s="1005"/>
      <c r="GB294" s="1005"/>
      <c r="GC294" s="1005"/>
      <c r="GD294" s="1005"/>
      <c r="GE294" s="1005"/>
      <c r="GF294" s="1005"/>
      <c r="GG294" s="1005"/>
      <c r="GH294" s="1005"/>
      <c r="GI294" s="1005"/>
      <c r="GJ294" s="1005"/>
      <c r="GK294" s="1005"/>
      <c r="GL294" s="1005"/>
      <c r="GM294" s="1005"/>
      <c r="GN294" s="1005"/>
      <c r="GO294" s="1005"/>
      <c r="GP294" s="1005"/>
      <c r="GQ294" s="1005"/>
      <c r="GR294" s="1005"/>
      <c r="GS294" s="1005"/>
      <c r="GT294" s="1005"/>
      <c r="GU294" s="1005"/>
      <c r="GV294" s="1005"/>
      <c r="GW294" s="1005"/>
      <c r="GX294" s="1005"/>
      <c r="GY294" s="1005"/>
      <c r="GZ294" s="1005"/>
      <c r="HA294" s="1005"/>
      <c r="HB294" s="1005"/>
      <c r="HC294" s="1005"/>
      <c r="HD294" s="1005"/>
      <c r="HE294" s="1005"/>
      <c r="HF294" s="1005"/>
      <c r="HG294" s="1005"/>
      <c r="HH294" s="1005"/>
      <c r="HI294" s="1005"/>
      <c r="HJ294" s="1005"/>
      <c r="HK294" s="1005"/>
      <c r="HL294" s="1005"/>
      <c r="HM294" s="1005"/>
      <c r="HN294" s="1005"/>
      <c r="HO294" s="1005"/>
      <c r="HP294" s="1005"/>
      <c r="HQ294" s="1005"/>
      <c r="HR294" s="1005"/>
      <c r="HS294" s="1005"/>
      <c r="HT294" s="1005"/>
      <c r="HU294" s="1005"/>
      <c r="HV294" s="1005"/>
      <c r="HW294" s="1005"/>
      <c r="HX294" s="1005"/>
      <c r="HY294" s="1005"/>
      <c r="HZ294" s="1005"/>
      <c r="IA294" s="1005"/>
      <c r="IB294" s="1005"/>
      <c r="IC294" s="1005"/>
      <c r="ID294" s="1005"/>
      <c r="IE294" s="1005"/>
      <c r="IF294" s="1005"/>
      <c r="IG294" s="1005"/>
      <c r="IH294" s="1005"/>
      <c r="II294" s="1005"/>
      <c r="IJ294" s="1005"/>
      <c r="IK294" s="1005"/>
      <c r="IL294" s="1005"/>
      <c r="IM294" s="1005"/>
      <c r="IN294" s="1005"/>
      <c r="IO294" s="1005"/>
      <c r="IP294" s="1005"/>
      <c r="IQ294" s="1005"/>
      <c r="IR294" s="1005"/>
      <c r="IS294" s="1005"/>
      <c r="IT294" s="1005"/>
      <c r="IU294" s="1005"/>
      <c r="IV294" s="1005"/>
      <c r="IW294" s="1005"/>
      <c r="IX294" s="1005"/>
      <c r="IY294" s="1005"/>
      <c r="IZ294" s="1005"/>
      <c r="JA294" s="1005"/>
      <c r="JB294" s="1005"/>
      <c r="JC294" s="1005"/>
      <c r="JD294" s="1005"/>
      <c r="JE294" s="1005"/>
      <c r="JF294" s="1005"/>
      <c r="JG294" s="1005"/>
      <c r="JH294" s="1005"/>
      <c r="JI294" s="1005"/>
      <c r="JJ294" s="1005"/>
      <c r="JK294" s="1005"/>
      <c r="JL294" s="1005"/>
      <c r="JM294" s="1005"/>
      <c r="JN294" s="1005"/>
      <c r="JO294" s="1005"/>
      <c r="JP294" s="1005"/>
      <c r="JQ294" s="1005"/>
      <c r="JR294" s="1005"/>
      <c r="JS294" s="1005"/>
      <c r="JT294" s="1005"/>
      <c r="JU294" s="1005"/>
      <c r="JV294" s="1005"/>
      <c r="JW294" s="1005"/>
      <c r="JX294" s="1005"/>
      <c r="JY294" s="1005"/>
      <c r="JZ294" s="1005"/>
      <c r="KA294" s="1005"/>
      <c r="KB294" s="1005"/>
      <c r="KC294" s="1005"/>
      <c r="KD294" s="1005"/>
      <c r="KE294" s="1005"/>
      <c r="KF294" s="1005"/>
      <c r="KG294" s="1005"/>
      <c r="KH294" s="1005"/>
      <c r="KI294" s="1005"/>
      <c r="KJ294" s="1005"/>
      <c r="KK294" s="1005"/>
      <c r="KL294" s="1005"/>
      <c r="KM294" s="1005"/>
      <c r="KN294" s="1005"/>
      <c r="KO294" s="1005"/>
      <c r="KP294" s="1005"/>
      <c r="KQ294" s="1005"/>
      <c r="KR294" s="1005"/>
      <c r="KS294" s="1005"/>
      <c r="KT294" s="1005"/>
      <c r="KU294" s="1005"/>
      <c r="KV294" s="1005"/>
      <c r="KW294" s="1005"/>
      <c r="KX294" s="1005"/>
      <c r="KY294" s="1005"/>
      <c r="KZ294" s="1005"/>
      <c r="LA294" s="1005"/>
      <c r="LB294" s="1005"/>
      <c r="LC294" s="1005"/>
      <c r="LD294" s="1005"/>
      <c r="LE294" s="1005"/>
      <c r="LF294" s="1005"/>
      <c r="LG294" s="1005"/>
      <c r="LH294" s="1005"/>
      <c r="LI294" s="1005"/>
      <c r="LJ294" s="1005"/>
      <c r="LK294" s="1005"/>
      <c r="LL294" s="1005"/>
      <c r="LM294" s="1005"/>
      <c r="LN294" s="1005"/>
      <c r="LO294" s="1005"/>
      <c r="LP294" s="1005"/>
      <c r="LQ294" s="1005"/>
      <c r="LR294" s="1005"/>
      <c r="LS294" s="1005"/>
      <c r="LT294" s="1005"/>
      <c r="LU294" s="1005"/>
      <c r="LV294" s="1005"/>
      <c r="LW294" s="1005"/>
      <c r="LX294" s="1005"/>
      <c r="LY294" s="1005"/>
      <c r="LZ294" s="1005"/>
      <c r="MA294" s="1005"/>
      <c r="MB294" s="1005"/>
      <c r="MC294" s="1005"/>
      <c r="MD294" s="1005"/>
      <c r="ME294" s="1005"/>
      <c r="MF294" s="1005"/>
      <c r="MG294" s="1005"/>
      <c r="MH294" s="1005"/>
      <c r="MI294" s="1005"/>
      <c r="MJ294" s="1005"/>
      <c r="MK294" s="1005"/>
      <c r="ML294" s="1005"/>
      <c r="MM294" s="1005"/>
      <c r="MN294" s="1005"/>
      <c r="MO294" s="1005"/>
      <c r="MP294" s="1005"/>
      <c r="MQ294" s="1005"/>
      <c r="MR294" s="1005"/>
      <c r="MS294" s="1005"/>
      <c r="MT294" s="1005"/>
      <c r="MU294" s="1005"/>
      <c r="MV294" s="1005"/>
      <c r="MW294" s="1005"/>
      <c r="MX294" s="1005"/>
      <c r="MY294" s="1005"/>
      <c r="MZ294" s="1005"/>
      <c r="NA294" s="1005"/>
      <c r="NB294" s="1005"/>
      <c r="NC294" s="1005"/>
      <c r="ND294" s="1005"/>
      <c r="NE294" s="1005"/>
      <c r="NF294" s="1005"/>
      <c r="NG294" s="1005"/>
      <c r="NH294" s="1005"/>
      <c r="NI294" s="1005"/>
      <c r="NJ294" s="1005"/>
      <c r="NK294" s="1005"/>
      <c r="NL294" s="1005"/>
      <c r="NM294" s="1005"/>
      <c r="NN294" s="1005"/>
      <c r="NO294" s="1005"/>
      <c r="NP294" s="1005"/>
      <c r="NQ294" s="1005"/>
      <c r="NR294" s="1005"/>
      <c r="NS294" s="1005"/>
      <c r="NT294" s="1005"/>
      <c r="NU294" s="1005"/>
      <c r="NV294" s="1005"/>
      <c r="NW294" s="1005"/>
      <c r="NX294" s="1005"/>
      <c r="NY294" s="1005"/>
      <c r="NZ294" s="1005"/>
      <c r="OA294" s="1005"/>
      <c r="OB294" s="1005"/>
      <c r="OC294" s="1005"/>
      <c r="OD294" s="1005"/>
      <c r="OE294" s="1005"/>
      <c r="OF294" s="1005"/>
      <c r="OG294" s="1005"/>
      <c r="OH294" s="1005"/>
      <c r="OI294" s="1005"/>
      <c r="OJ294" s="1005"/>
      <c r="OK294" s="1005"/>
      <c r="OL294" s="1005"/>
      <c r="OM294" s="1005"/>
      <c r="ON294" s="1005"/>
      <c r="OO294" s="1005"/>
      <c r="OP294" s="1005"/>
      <c r="OQ294" s="1005"/>
      <c r="OR294" s="1005"/>
      <c r="OS294" s="1005"/>
      <c r="OT294" s="1005"/>
      <c r="OU294" s="1005"/>
      <c r="OV294" s="1005"/>
      <c r="OW294" s="1005"/>
      <c r="OX294" s="1005"/>
      <c r="OY294" s="1005"/>
      <c r="OZ294" s="1005"/>
      <c r="PA294" s="1005"/>
      <c r="PB294" s="1005"/>
      <c r="PC294" s="1005"/>
      <c r="PD294" s="1005"/>
      <c r="PE294" s="1005"/>
      <c r="PF294" s="1005"/>
      <c r="PG294" s="1005"/>
      <c r="PH294" s="1005"/>
      <c r="PI294" s="1005"/>
      <c r="PJ294" s="1005"/>
      <c r="PK294" s="1005"/>
      <c r="PL294" s="1005"/>
      <c r="PM294" s="1005"/>
      <c r="PN294" s="1005"/>
      <c r="PO294" s="1005"/>
      <c r="PP294" s="1005"/>
      <c r="PQ294" s="1005"/>
      <c r="PR294" s="1005"/>
      <c r="PS294" s="1005"/>
      <c r="PT294" s="1005"/>
      <c r="PU294" s="1005"/>
      <c r="PV294" s="1005"/>
      <c r="PW294" s="1005"/>
      <c r="PX294" s="1005"/>
      <c r="PY294" s="1005"/>
      <c r="PZ294" s="1005"/>
      <c r="QA294" s="1005"/>
      <c r="QB294" s="1005"/>
      <c r="QC294" s="1005"/>
      <c r="QD294" s="1005"/>
      <c r="QE294" s="1005"/>
      <c r="QF294" s="1005"/>
      <c r="QG294" s="1005"/>
      <c r="QH294" s="1005"/>
      <c r="QI294" s="1005"/>
      <c r="QJ294" s="1005"/>
      <c r="QK294" s="1005"/>
      <c r="QL294" s="1005"/>
      <c r="QM294" s="1005"/>
      <c r="QN294" s="1005"/>
      <c r="QO294" s="1005"/>
      <c r="QP294" s="1005"/>
      <c r="QQ294" s="1005"/>
      <c r="QR294" s="1005"/>
      <c r="QS294" s="1005"/>
      <c r="QT294" s="1005"/>
      <c r="QU294" s="1005"/>
      <c r="QV294" s="1005"/>
      <c r="QW294" s="1005"/>
      <c r="QX294" s="1005"/>
      <c r="QY294" s="1005"/>
      <c r="QZ294" s="1005"/>
      <c r="RA294" s="1005"/>
      <c r="RB294" s="1005"/>
      <c r="RC294" s="1005"/>
      <c r="RD294" s="1005"/>
      <c r="RE294" s="1005"/>
      <c r="RF294" s="1005"/>
      <c r="RG294" s="1005"/>
      <c r="RH294" s="1005"/>
      <c r="RI294" s="1005"/>
      <c r="RJ294" s="1005"/>
      <c r="RK294" s="1005"/>
      <c r="RL294" s="1005"/>
      <c r="RM294" s="1005"/>
      <c r="RN294" s="1005"/>
      <c r="RO294" s="1005"/>
      <c r="RP294" s="1005"/>
      <c r="RQ294" s="1005"/>
      <c r="RR294" s="1005"/>
      <c r="RS294" s="1005"/>
      <c r="RT294" s="1005"/>
      <c r="RU294" s="1005"/>
      <c r="RV294" s="1005"/>
      <c r="RW294" s="1005"/>
      <c r="RX294" s="1005"/>
      <c r="RY294" s="1005"/>
      <c r="RZ294" s="1005"/>
      <c r="SA294" s="1005"/>
      <c r="SB294" s="1005"/>
      <c r="SC294" s="1005"/>
      <c r="SD294" s="1005"/>
      <c r="SE294" s="1005"/>
      <c r="SF294" s="1005"/>
      <c r="SG294" s="1005"/>
      <c r="SH294" s="1005"/>
      <c r="SI294" s="1005"/>
      <c r="SJ294" s="1005"/>
      <c r="SK294" s="1005"/>
      <c r="SL294" s="1005"/>
      <c r="SM294" s="1005"/>
      <c r="SN294" s="1005"/>
      <c r="SO294" s="1005"/>
      <c r="SP294" s="1005"/>
      <c r="SQ294" s="1005"/>
      <c r="SR294" s="1005"/>
      <c r="SS294" s="1005"/>
      <c r="ST294" s="1005"/>
      <c r="SU294" s="1005"/>
      <c r="SV294" s="1005"/>
      <c r="SW294" s="1005"/>
      <c r="SX294" s="1005"/>
      <c r="SY294" s="1005"/>
      <c r="SZ294" s="1005"/>
      <c r="TA294" s="1005"/>
      <c r="TB294" s="1005"/>
      <c r="TC294" s="1005"/>
      <c r="TD294" s="1005"/>
      <c r="TE294" s="1005"/>
      <c r="TF294" s="1005"/>
      <c r="TG294" s="1005"/>
      <c r="TH294" s="1005"/>
      <c r="TI294" s="1005"/>
      <c r="TJ294" s="1005"/>
      <c r="TK294" s="1005"/>
      <c r="TL294" s="1005"/>
      <c r="TM294" s="1005"/>
      <c r="TN294" s="1005"/>
      <c r="TO294" s="1005"/>
      <c r="TP294" s="1005"/>
      <c r="TQ294" s="1005"/>
      <c r="TR294" s="1005"/>
      <c r="TS294" s="1005"/>
      <c r="TT294" s="1005"/>
      <c r="TU294" s="1005"/>
      <c r="TV294" s="1005"/>
      <c r="TW294" s="1005"/>
      <c r="TX294" s="1005"/>
      <c r="TY294" s="1005"/>
      <c r="TZ294" s="1005"/>
      <c r="UA294" s="1005"/>
      <c r="UB294" s="1005"/>
      <c r="UC294" s="1005"/>
      <c r="UD294" s="1005"/>
      <c r="UE294" s="1005"/>
      <c r="UF294" s="1005"/>
      <c r="UG294" s="1005"/>
      <c r="UH294" s="1005"/>
      <c r="UI294" s="1005"/>
      <c r="UJ294" s="1005"/>
      <c r="UK294" s="1005"/>
      <c r="UL294" s="1005"/>
      <c r="UM294" s="1005"/>
      <c r="UN294" s="1005"/>
      <c r="UO294" s="1005"/>
      <c r="UP294" s="1005"/>
      <c r="UQ294" s="1005"/>
      <c r="UR294" s="1005"/>
      <c r="US294" s="1005"/>
      <c r="UT294" s="1005"/>
      <c r="UU294" s="1005"/>
      <c r="UV294" s="1005"/>
      <c r="UW294" s="1005"/>
      <c r="UX294" s="1005"/>
      <c r="UY294" s="1005"/>
      <c r="UZ294" s="1005"/>
      <c r="VA294" s="1005"/>
      <c r="VB294" s="1005"/>
      <c r="VC294" s="1005"/>
      <c r="VD294" s="1005"/>
      <c r="VE294" s="1005"/>
      <c r="VF294" s="1005"/>
      <c r="VG294" s="1005"/>
      <c r="VH294" s="1005"/>
      <c r="VI294" s="1005"/>
      <c r="VJ294" s="1005"/>
      <c r="VK294" s="1005"/>
      <c r="VL294" s="1005"/>
      <c r="VM294" s="1005"/>
      <c r="VN294" s="1005"/>
      <c r="VO294" s="1005"/>
      <c r="VP294" s="1005"/>
      <c r="VQ294" s="1005"/>
      <c r="VR294" s="1005"/>
      <c r="VS294" s="1005"/>
      <c r="VT294" s="1005"/>
      <c r="VU294" s="1005"/>
      <c r="VV294" s="1005"/>
      <c r="VW294" s="1005"/>
      <c r="VX294" s="1005"/>
      <c r="VY294" s="1005"/>
      <c r="VZ294" s="1005"/>
      <c r="WA294" s="1005"/>
      <c r="WB294" s="1005"/>
      <c r="WC294" s="1005"/>
      <c r="WD294" s="1005"/>
      <c r="WE294" s="1005"/>
      <c r="WF294" s="1005"/>
      <c r="WG294" s="1005"/>
      <c r="WH294" s="1005"/>
      <c r="WI294" s="1005"/>
      <c r="WJ294" s="1005"/>
      <c r="WK294" s="1005"/>
      <c r="WL294" s="1005"/>
      <c r="WM294" s="1005"/>
      <c r="WN294" s="1005"/>
      <c r="WO294" s="1005"/>
      <c r="WP294" s="1005"/>
      <c r="WQ294" s="1005"/>
      <c r="WR294" s="1005"/>
      <c r="WS294" s="1005"/>
      <c r="WT294" s="1005"/>
      <c r="WU294" s="1005"/>
      <c r="WV294" s="1005"/>
      <c r="WW294" s="1005"/>
      <c r="WX294" s="1005"/>
      <c r="WY294" s="1005"/>
      <c r="WZ294" s="1005"/>
      <c r="XA294" s="1005"/>
      <c r="XB294" s="1005"/>
      <c r="XC294" s="1005"/>
      <c r="XD294" s="1005"/>
      <c r="XE294" s="1005"/>
      <c r="XF294" s="1005"/>
      <c r="XG294" s="1005"/>
      <c r="XH294" s="1005"/>
      <c r="XI294" s="1005"/>
      <c r="XJ294" s="1005"/>
      <c r="XK294" s="1005"/>
      <c r="XL294" s="1005"/>
      <c r="XM294" s="1005"/>
      <c r="XN294" s="1005"/>
      <c r="XO294" s="1005"/>
      <c r="XP294" s="1005"/>
      <c r="XQ294" s="1005"/>
      <c r="XR294" s="1005"/>
      <c r="XS294" s="1005"/>
      <c r="XT294" s="1005"/>
      <c r="XU294" s="1005"/>
      <c r="XV294" s="1005"/>
      <c r="XW294" s="1005"/>
      <c r="XX294" s="1005"/>
      <c r="XY294" s="1005"/>
      <c r="XZ294" s="1005"/>
      <c r="YA294" s="1005"/>
      <c r="YB294" s="1005"/>
      <c r="YC294" s="1005"/>
      <c r="YD294" s="1005"/>
      <c r="YE294" s="1005"/>
      <c r="YF294" s="1005"/>
      <c r="YG294" s="1005"/>
      <c r="YH294" s="1005"/>
      <c r="YI294" s="1005"/>
      <c r="YJ294" s="1005"/>
      <c r="YK294" s="1005"/>
      <c r="YL294" s="1005"/>
      <c r="YM294" s="1005"/>
      <c r="YN294" s="1005"/>
      <c r="YO294" s="1005"/>
      <c r="YP294" s="1005"/>
      <c r="YQ294" s="1005"/>
      <c r="YR294" s="1005"/>
      <c r="YS294" s="1005"/>
      <c r="YT294" s="1005"/>
      <c r="YU294" s="1005"/>
      <c r="YV294" s="1005"/>
      <c r="YW294" s="1005"/>
      <c r="YX294" s="1005"/>
      <c r="YY294" s="1005"/>
      <c r="YZ294" s="1005"/>
      <c r="ZA294" s="1005"/>
      <c r="ZB294" s="1005"/>
      <c r="ZC294" s="1005"/>
      <c r="ZD294" s="1005"/>
      <c r="ZE294" s="1005"/>
      <c r="ZF294" s="1005"/>
      <c r="ZG294" s="1005"/>
      <c r="ZH294" s="1005"/>
      <c r="ZI294" s="1005"/>
      <c r="ZJ294" s="1005"/>
      <c r="ZK294" s="1005"/>
      <c r="ZL294" s="1005"/>
      <c r="ZM294" s="1005"/>
      <c r="ZN294" s="1005"/>
      <c r="ZO294" s="1005"/>
      <c r="ZP294" s="1005"/>
      <c r="ZQ294" s="1005"/>
      <c r="ZR294" s="1005"/>
      <c r="ZS294" s="1005"/>
      <c r="ZT294" s="1005"/>
      <c r="ZU294" s="1005"/>
      <c r="ZV294" s="1005"/>
      <c r="ZW294" s="1005"/>
      <c r="ZX294" s="1005"/>
      <c r="ZY294" s="1005"/>
      <c r="ZZ294" s="1005"/>
      <c r="AAA294" s="1005"/>
      <c r="AAB294" s="1005"/>
      <c r="AAC294" s="1005"/>
      <c r="AAD294" s="1005"/>
      <c r="AAE294" s="1005"/>
      <c r="AAF294" s="1005"/>
      <c r="AAG294" s="1005"/>
      <c r="AAH294" s="1005"/>
      <c r="AAI294" s="1005"/>
      <c r="AAJ294" s="1005"/>
      <c r="AAK294" s="1005"/>
      <c r="AAL294" s="1005"/>
      <c r="AAM294" s="1005"/>
      <c r="AAN294" s="1005"/>
      <c r="AAO294" s="1005"/>
      <c r="AAP294" s="1005"/>
      <c r="AAQ294" s="1005"/>
      <c r="AAR294" s="1005"/>
      <c r="AAS294" s="1005"/>
      <c r="AAT294" s="1005"/>
      <c r="AAU294" s="1005"/>
      <c r="AAV294" s="1005"/>
      <c r="AAW294" s="1005"/>
      <c r="AAX294" s="1005"/>
      <c r="AAY294" s="1005"/>
      <c r="AAZ294" s="1005"/>
      <c r="ABA294" s="1005"/>
      <c r="ABB294" s="1005"/>
      <c r="ABC294" s="1005"/>
      <c r="ABD294" s="1005"/>
      <c r="ABE294" s="1005"/>
      <c r="ABF294" s="1005"/>
      <c r="ABG294" s="1005"/>
      <c r="ABH294" s="1005"/>
      <c r="ABI294" s="1005"/>
      <c r="ABJ294" s="1005"/>
      <c r="ABK294" s="1005"/>
      <c r="ABL294" s="1005"/>
      <c r="ABM294" s="1005"/>
      <c r="ABN294" s="1005"/>
      <c r="ABO294" s="1005"/>
      <c r="ABP294" s="1005"/>
      <c r="ABQ294" s="1005"/>
      <c r="ABR294" s="1005"/>
    </row>
    <row r="295" spans="1:746" s="113" customFormat="1" ht="12" customHeight="1">
      <c r="A295" s="789"/>
      <c r="B295" s="1261" t="s">
        <v>1349</v>
      </c>
      <c r="C295" s="2507"/>
      <c r="D295" s="2500"/>
      <c r="E295" s="2919"/>
      <c r="F295" s="2920"/>
      <c r="G295" s="2921"/>
      <c r="H295" s="2501"/>
      <c r="I295" s="368"/>
      <c r="J295" s="368"/>
      <c r="K295" s="368"/>
      <c r="L295" s="368"/>
      <c r="M295" s="368"/>
      <c r="N295" s="368"/>
      <c r="O295" s="368"/>
      <c r="P295" s="368"/>
      <c r="Q295" s="368"/>
      <c r="R295" s="368"/>
      <c r="S295" s="368"/>
      <c r="T295" s="368"/>
      <c r="U295" s="368"/>
      <c r="V295" s="368"/>
      <c r="W295" s="368"/>
      <c r="X295" s="368"/>
      <c r="Y295" s="368"/>
      <c r="Z295" s="368"/>
      <c r="AA295" s="368"/>
      <c r="AB295" s="368"/>
      <c r="AC295" s="368"/>
      <c r="AD295" s="368"/>
      <c r="AE295" s="368"/>
      <c r="AF295" s="368"/>
      <c r="AG295" s="337"/>
      <c r="AH295" s="1817"/>
      <c r="AI295" s="1005"/>
      <c r="AJ295" s="1956">
        <f>IF(fx!$C$57=1,SUMIF(fx!I$57:T$57,1,I295:T295),IF(fx!$C$57=2,SUMIF(fx!O$57:AF$57,1,O295:AF295)))</f>
        <v>0</v>
      </c>
      <c r="AK295" s="1207"/>
      <c r="AL295" s="1957">
        <f>IF(fx!$C$57=1,SUM(U295:AF295),0)</f>
        <v>0</v>
      </c>
      <c r="AM295" s="1036"/>
      <c r="AN295" s="1036"/>
      <c r="AO295" s="1034"/>
      <c r="AP295" s="1037"/>
      <c r="AQ295" s="1037"/>
      <c r="AR295" s="1005"/>
      <c r="AS295" s="1005"/>
      <c r="AT295" s="1005"/>
      <c r="AU295" s="1005"/>
      <c r="AV295" s="1005"/>
      <c r="AW295" s="1005"/>
      <c r="AX295" s="1005"/>
      <c r="AY295" s="1005"/>
      <c r="AZ295" s="1005"/>
      <c r="BA295" s="1005"/>
      <c r="BB295" s="1005"/>
      <c r="BC295" s="1005"/>
      <c r="BD295" s="1005"/>
      <c r="BE295" s="1005"/>
      <c r="BF295" s="1005"/>
      <c r="BG295" s="1005"/>
      <c r="BH295" s="1005"/>
      <c r="BI295" s="1005"/>
      <c r="BJ295" s="1005"/>
      <c r="BK295" s="1005"/>
      <c r="BL295" s="1005"/>
      <c r="BM295" s="1005"/>
      <c r="BN295" s="1005"/>
      <c r="BO295" s="1005"/>
      <c r="BP295" s="1005"/>
      <c r="BQ295" s="1005"/>
      <c r="BR295" s="1005"/>
      <c r="BS295" s="1005"/>
      <c r="BT295" s="1005"/>
      <c r="BU295" s="1005"/>
      <c r="BV295" s="1005"/>
      <c r="BW295" s="1005"/>
      <c r="BX295" s="1005"/>
      <c r="BY295" s="1005"/>
      <c r="BZ295" s="1005"/>
      <c r="CA295" s="1005"/>
      <c r="CB295" s="1005"/>
      <c r="CC295" s="1005"/>
      <c r="CD295" s="1005"/>
      <c r="CE295" s="1005"/>
      <c r="CF295" s="1005"/>
      <c r="CG295" s="1005"/>
      <c r="CH295" s="1005"/>
      <c r="CI295" s="1005"/>
      <c r="CJ295" s="1005"/>
      <c r="CK295" s="1005"/>
      <c r="CL295" s="1005"/>
      <c r="CM295" s="1005"/>
      <c r="CN295" s="1005"/>
      <c r="CO295" s="1005"/>
      <c r="CP295" s="1005"/>
      <c r="CQ295" s="1005"/>
      <c r="CR295" s="1005"/>
      <c r="CS295" s="1005"/>
      <c r="CT295" s="1005"/>
      <c r="CU295" s="1005"/>
      <c r="CV295" s="1005"/>
      <c r="CW295" s="1005"/>
      <c r="CX295" s="1005"/>
      <c r="CY295" s="1005"/>
      <c r="CZ295" s="1005"/>
      <c r="DA295" s="1005"/>
      <c r="DB295" s="1005"/>
      <c r="DC295" s="1005"/>
      <c r="DD295" s="1005"/>
      <c r="DE295" s="1005"/>
      <c r="DF295" s="1005"/>
      <c r="DG295" s="1005"/>
      <c r="DH295" s="1005"/>
      <c r="DI295" s="1005"/>
      <c r="DJ295" s="1005"/>
      <c r="DK295" s="1005"/>
      <c r="DL295" s="1005"/>
      <c r="DM295" s="1005"/>
      <c r="DN295" s="1005"/>
      <c r="DO295" s="1005"/>
      <c r="DP295" s="1005"/>
      <c r="DQ295" s="1005"/>
      <c r="DR295" s="1005"/>
      <c r="DS295" s="1005"/>
      <c r="DT295" s="1005"/>
      <c r="DU295" s="1005"/>
      <c r="DV295" s="1005"/>
      <c r="DW295" s="1005"/>
      <c r="DX295" s="1005"/>
      <c r="DY295" s="1005"/>
      <c r="DZ295" s="1005"/>
      <c r="EA295" s="1005"/>
      <c r="EB295" s="1005"/>
      <c r="EC295" s="1005"/>
      <c r="ED295" s="1005"/>
      <c r="EE295" s="1005"/>
      <c r="EF295" s="1005"/>
      <c r="EG295" s="1005"/>
      <c r="EH295" s="1005"/>
      <c r="EI295" s="1005"/>
      <c r="EJ295" s="1005"/>
      <c r="EK295" s="1005"/>
      <c r="EL295" s="1005"/>
      <c r="EM295" s="1005"/>
      <c r="EN295" s="1005"/>
      <c r="EO295" s="1005"/>
      <c r="EP295" s="1005"/>
      <c r="EQ295" s="1005"/>
      <c r="ER295" s="1005"/>
      <c r="ES295" s="1005"/>
      <c r="ET295" s="1005"/>
      <c r="EU295" s="1005"/>
      <c r="EV295" s="1005"/>
      <c r="EW295" s="1005"/>
      <c r="EX295" s="1005"/>
      <c r="EY295" s="1005"/>
      <c r="EZ295" s="1005"/>
      <c r="FA295" s="1005"/>
      <c r="FB295" s="1005"/>
      <c r="FC295" s="1005"/>
      <c r="FD295" s="1005"/>
      <c r="FE295" s="1005"/>
      <c r="FF295" s="1005"/>
      <c r="FG295" s="1005"/>
      <c r="FH295" s="1005"/>
      <c r="FI295" s="1005"/>
      <c r="FJ295" s="1005"/>
      <c r="FK295" s="1005"/>
      <c r="FL295" s="1005"/>
      <c r="FM295" s="1005"/>
      <c r="FN295" s="1005"/>
      <c r="FO295" s="1005"/>
      <c r="FP295" s="1005"/>
      <c r="FQ295" s="1005"/>
      <c r="FR295" s="1005"/>
      <c r="FS295" s="1005"/>
      <c r="FT295" s="1005"/>
      <c r="FU295" s="1005"/>
      <c r="FV295" s="1005"/>
      <c r="FW295" s="1005"/>
      <c r="FX295" s="1005"/>
      <c r="FY295" s="1005"/>
      <c r="FZ295" s="1005"/>
      <c r="GA295" s="1005"/>
      <c r="GB295" s="1005"/>
      <c r="GC295" s="1005"/>
      <c r="GD295" s="1005"/>
      <c r="GE295" s="1005"/>
      <c r="GF295" s="1005"/>
      <c r="GG295" s="1005"/>
      <c r="GH295" s="1005"/>
      <c r="GI295" s="1005"/>
      <c r="GJ295" s="1005"/>
      <c r="GK295" s="1005"/>
      <c r="GL295" s="1005"/>
      <c r="GM295" s="1005"/>
      <c r="GN295" s="1005"/>
      <c r="GO295" s="1005"/>
      <c r="GP295" s="1005"/>
      <c r="GQ295" s="1005"/>
      <c r="GR295" s="1005"/>
      <c r="GS295" s="1005"/>
      <c r="GT295" s="1005"/>
      <c r="GU295" s="1005"/>
      <c r="GV295" s="1005"/>
      <c r="GW295" s="1005"/>
      <c r="GX295" s="1005"/>
      <c r="GY295" s="1005"/>
      <c r="GZ295" s="1005"/>
      <c r="HA295" s="1005"/>
      <c r="HB295" s="1005"/>
      <c r="HC295" s="1005"/>
      <c r="HD295" s="1005"/>
      <c r="HE295" s="1005"/>
      <c r="HF295" s="1005"/>
      <c r="HG295" s="1005"/>
      <c r="HH295" s="1005"/>
      <c r="HI295" s="1005"/>
      <c r="HJ295" s="1005"/>
      <c r="HK295" s="1005"/>
      <c r="HL295" s="1005"/>
      <c r="HM295" s="1005"/>
      <c r="HN295" s="1005"/>
      <c r="HO295" s="1005"/>
      <c r="HP295" s="1005"/>
      <c r="HQ295" s="1005"/>
      <c r="HR295" s="1005"/>
      <c r="HS295" s="1005"/>
      <c r="HT295" s="1005"/>
      <c r="HU295" s="1005"/>
      <c r="HV295" s="1005"/>
      <c r="HW295" s="1005"/>
      <c r="HX295" s="1005"/>
      <c r="HY295" s="1005"/>
      <c r="HZ295" s="1005"/>
      <c r="IA295" s="1005"/>
      <c r="IB295" s="1005"/>
      <c r="IC295" s="1005"/>
      <c r="ID295" s="1005"/>
      <c r="IE295" s="1005"/>
      <c r="IF295" s="1005"/>
      <c r="IG295" s="1005"/>
      <c r="IH295" s="1005"/>
      <c r="II295" s="1005"/>
      <c r="IJ295" s="1005"/>
      <c r="IK295" s="1005"/>
      <c r="IL295" s="1005"/>
      <c r="IM295" s="1005"/>
      <c r="IN295" s="1005"/>
      <c r="IO295" s="1005"/>
      <c r="IP295" s="1005"/>
      <c r="IQ295" s="1005"/>
      <c r="IR295" s="1005"/>
      <c r="IS295" s="1005"/>
      <c r="IT295" s="1005"/>
      <c r="IU295" s="1005"/>
      <c r="IV295" s="1005"/>
      <c r="IW295" s="1005"/>
      <c r="IX295" s="1005"/>
      <c r="IY295" s="1005"/>
      <c r="IZ295" s="1005"/>
      <c r="JA295" s="1005"/>
      <c r="JB295" s="1005"/>
      <c r="JC295" s="1005"/>
      <c r="JD295" s="1005"/>
      <c r="JE295" s="1005"/>
      <c r="JF295" s="1005"/>
      <c r="JG295" s="1005"/>
      <c r="JH295" s="1005"/>
      <c r="JI295" s="1005"/>
      <c r="JJ295" s="1005"/>
      <c r="JK295" s="1005"/>
      <c r="JL295" s="1005"/>
      <c r="JM295" s="1005"/>
      <c r="JN295" s="1005"/>
      <c r="JO295" s="1005"/>
      <c r="JP295" s="1005"/>
      <c r="JQ295" s="1005"/>
      <c r="JR295" s="1005"/>
      <c r="JS295" s="1005"/>
      <c r="JT295" s="1005"/>
      <c r="JU295" s="1005"/>
      <c r="JV295" s="1005"/>
      <c r="JW295" s="1005"/>
      <c r="JX295" s="1005"/>
      <c r="JY295" s="1005"/>
      <c r="JZ295" s="1005"/>
      <c r="KA295" s="1005"/>
      <c r="KB295" s="1005"/>
      <c r="KC295" s="1005"/>
      <c r="KD295" s="1005"/>
      <c r="KE295" s="1005"/>
      <c r="KF295" s="1005"/>
      <c r="KG295" s="1005"/>
      <c r="KH295" s="1005"/>
      <c r="KI295" s="1005"/>
      <c r="KJ295" s="1005"/>
      <c r="KK295" s="1005"/>
      <c r="KL295" s="1005"/>
      <c r="KM295" s="1005"/>
      <c r="KN295" s="1005"/>
      <c r="KO295" s="1005"/>
      <c r="KP295" s="1005"/>
      <c r="KQ295" s="1005"/>
      <c r="KR295" s="1005"/>
      <c r="KS295" s="1005"/>
      <c r="KT295" s="1005"/>
      <c r="KU295" s="1005"/>
      <c r="KV295" s="1005"/>
      <c r="KW295" s="1005"/>
      <c r="KX295" s="1005"/>
      <c r="KY295" s="1005"/>
      <c r="KZ295" s="1005"/>
      <c r="LA295" s="1005"/>
      <c r="LB295" s="1005"/>
      <c r="LC295" s="1005"/>
      <c r="LD295" s="1005"/>
      <c r="LE295" s="1005"/>
      <c r="LF295" s="1005"/>
      <c r="LG295" s="1005"/>
      <c r="LH295" s="1005"/>
      <c r="LI295" s="1005"/>
      <c r="LJ295" s="1005"/>
      <c r="LK295" s="1005"/>
      <c r="LL295" s="1005"/>
      <c r="LM295" s="1005"/>
      <c r="LN295" s="1005"/>
      <c r="LO295" s="1005"/>
      <c r="LP295" s="1005"/>
      <c r="LQ295" s="1005"/>
      <c r="LR295" s="1005"/>
      <c r="LS295" s="1005"/>
      <c r="LT295" s="1005"/>
      <c r="LU295" s="1005"/>
      <c r="LV295" s="1005"/>
      <c r="LW295" s="1005"/>
      <c r="LX295" s="1005"/>
      <c r="LY295" s="1005"/>
      <c r="LZ295" s="1005"/>
      <c r="MA295" s="1005"/>
      <c r="MB295" s="1005"/>
      <c r="MC295" s="1005"/>
      <c r="MD295" s="1005"/>
      <c r="ME295" s="1005"/>
      <c r="MF295" s="1005"/>
      <c r="MG295" s="1005"/>
      <c r="MH295" s="1005"/>
      <c r="MI295" s="1005"/>
      <c r="MJ295" s="1005"/>
      <c r="MK295" s="1005"/>
      <c r="ML295" s="1005"/>
      <c r="MM295" s="1005"/>
      <c r="MN295" s="1005"/>
      <c r="MO295" s="1005"/>
      <c r="MP295" s="1005"/>
      <c r="MQ295" s="1005"/>
      <c r="MR295" s="1005"/>
      <c r="MS295" s="1005"/>
      <c r="MT295" s="1005"/>
      <c r="MU295" s="1005"/>
      <c r="MV295" s="1005"/>
      <c r="MW295" s="1005"/>
      <c r="MX295" s="1005"/>
      <c r="MY295" s="1005"/>
      <c r="MZ295" s="1005"/>
      <c r="NA295" s="1005"/>
      <c r="NB295" s="1005"/>
      <c r="NC295" s="1005"/>
      <c r="ND295" s="1005"/>
      <c r="NE295" s="1005"/>
      <c r="NF295" s="1005"/>
      <c r="NG295" s="1005"/>
      <c r="NH295" s="1005"/>
      <c r="NI295" s="1005"/>
      <c r="NJ295" s="1005"/>
      <c r="NK295" s="1005"/>
      <c r="NL295" s="1005"/>
      <c r="NM295" s="1005"/>
      <c r="NN295" s="1005"/>
      <c r="NO295" s="1005"/>
      <c r="NP295" s="1005"/>
      <c r="NQ295" s="1005"/>
      <c r="NR295" s="1005"/>
      <c r="NS295" s="1005"/>
      <c r="NT295" s="1005"/>
      <c r="NU295" s="1005"/>
      <c r="NV295" s="1005"/>
      <c r="NW295" s="1005"/>
      <c r="NX295" s="1005"/>
      <c r="NY295" s="1005"/>
      <c r="NZ295" s="1005"/>
      <c r="OA295" s="1005"/>
      <c r="OB295" s="1005"/>
      <c r="OC295" s="1005"/>
      <c r="OD295" s="1005"/>
      <c r="OE295" s="1005"/>
      <c r="OF295" s="1005"/>
      <c r="OG295" s="1005"/>
      <c r="OH295" s="1005"/>
      <c r="OI295" s="1005"/>
      <c r="OJ295" s="1005"/>
      <c r="OK295" s="1005"/>
      <c r="OL295" s="1005"/>
      <c r="OM295" s="1005"/>
      <c r="ON295" s="1005"/>
      <c r="OO295" s="1005"/>
      <c r="OP295" s="1005"/>
      <c r="OQ295" s="1005"/>
      <c r="OR295" s="1005"/>
      <c r="OS295" s="1005"/>
      <c r="OT295" s="1005"/>
      <c r="OU295" s="1005"/>
      <c r="OV295" s="1005"/>
      <c r="OW295" s="1005"/>
      <c r="OX295" s="1005"/>
      <c r="OY295" s="1005"/>
      <c r="OZ295" s="1005"/>
      <c r="PA295" s="1005"/>
      <c r="PB295" s="1005"/>
      <c r="PC295" s="1005"/>
      <c r="PD295" s="1005"/>
      <c r="PE295" s="1005"/>
      <c r="PF295" s="1005"/>
      <c r="PG295" s="1005"/>
      <c r="PH295" s="1005"/>
      <c r="PI295" s="1005"/>
      <c r="PJ295" s="1005"/>
      <c r="PK295" s="1005"/>
      <c r="PL295" s="1005"/>
      <c r="PM295" s="1005"/>
      <c r="PN295" s="1005"/>
      <c r="PO295" s="1005"/>
      <c r="PP295" s="1005"/>
      <c r="PQ295" s="1005"/>
      <c r="PR295" s="1005"/>
      <c r="PS295" s="1005"/>
      <c r="PT295" s="1005"/>
      <c r="PU295" s="1005"/>
      <c r="PV295" s="1005"/>
      <c r="PW295" s="1005"/>
      <c r="PX295" s="1005"/>
      <c r="PY295" s="1005"/>
      <c r="PZ295" s="1005"/>
      <c r="QA295" s="1005"/>
      <c r="QB295" s="1005"/>
      <c r="QC295" s="1005"/>
      <c r="QD295" s="1005"/>
      <c r="QE295" s="1005"/>
      <c r="QF295" s="1005"/>
      <c r="QG295" s="1005"/>
      <c r="QH295" s="1005"/>
      <c r="QI295" s="1005"/>
      <c r="QJ295" s="1005"/>
      <c r="QK295" s="1005"/>
      <c r="QL295" s="1005"/>
      <c r="QM295" s="1005"/>
      <c r="QN295" s="1005"/>
      <c r="QO295" s="1005"/>
      <c r="QP295" s="1005"/>
      <c r="QQ295" s="1005"/>
      <c r="QR295" s="1005"/>
      <c r="QS295" s="1005"/>
      <c r="QT295" s="1005"/>
      <c r="QU295" s="1005"/>
      <c r="QV295" s="1005"/>
      <c r="QW295" s="1005"/>
      <c r="QX295" s="1005"/>
      <c r="QY295" s="1005"/>
      <c r="QZ295" s="1005"/>
      <c r="RA295" s="1005"/>
      <c r="RB295" s="1005"/>
      <c r="RC295" s="1005"/>
      <c r="RD295" s="1005"/>
      <c r="RE295" s="1005"/>
      <c r="RF295" s="1005"/>
      <c r="RG295" s="1005"/>
      <c r="RH295" s="1005"/>
      <c r="RI295" s="1005"/>
      <c r="RJ295" s="1005"/>
      <c r="RK295" s="1005"/>
      <c r="RL295" s="1005"/>
      <c r="RM295" s="1005"/>
      <c r="RN295" s="1005"/>
      <c r="RO295" s="1005"/>
      <c r="RP295" s="1005"/>
      <c r="RQ295" s="1005"/>
      <c r="RR295" s="1005"/>
      <c r="RS295" s="1005"/>
      <c r="RT295" s="1005"/>
      <c r="RU295" s="1005"/>
      <c r="RV295" s="1005"/>
      <c r="RW295" s="1005"/>
      <c r="RX295" s="1005"/>
      <c r="RY295" s="1005"/>
      <c r="RZ295" s="1005"/>
      <c r="SA295" s="1005"/>
      <c r="SB295" s="1005"/>
      <c r="SC295" s="1005"/>
      <c r="SD295" s="1005"/>
      <c r="SE295" s="1005"/>
      <c r="SF295" s="1005"/>
      <c r="SG295" s="1005"/>
      <c r="SH295" s="1005"/>
      <c r="SI295" s="1005"/>
      <c r="SJ295" s="1005"/>
      <c r="SK295" s="1005"/>
      <c r="SL295" s="1005"/>
      <c r="SM295" s="1005"/>
      <c r="SN295" s="1005"/>
      <c r="SO295" s="1005"/>
      <c r="SP295" s="1005"/>
      <c r="SQ295" s="1005"/>
      <c r="SR295" s="1005"/>
      <c r="SS295" s="1005"/>
      <c r="ST295" s="1005"/>
      <c r="SU295" s="1005"/>
      <c r="SV295" s="1005"/>
      <c r="SW295" s="1005"/>
      <c r="SX295" s="1005"/>
      <c r="SY295" s="1005"/>
      <c r="SZ295" s="1005"/>
      <c r="TA295" s="1005"/>
      <c r="TB295" s="1005"/>
      <c r="TC295" s="1005"/>
      <c r="TD295" s="1005"/>
      <c r="TE295" s="1005"/>
      <c r="TF295" s="1005"/>
      <c r="TG295" s="1005"/>
      <c r="TH295" s="1005"/>
      <c r="TI295" s="1005"/>
      <c r="TJ295" s="1005"/>
      <c r="TK295" s="1005"/>
      <c r="TL295" s="1005"/>
      <c r="TM295" s="1005"/>
      <c r="TN295" s="1005"/>
      <c r="TO295" s="1005"/>
      <c r="TP295" s="1005"/>
      <c r="TQ295" s="1005"/>
      <c r="TR295" s="1005"/>
      <c r="TS295" s="1005"/>
      <c r="TT295" s="1005"/>
      <c r="TU295" s="1005"/>
      <c r="TV295" s="1005"/>
      <c r="TW295" s="1005"/>
      <c r="TX295" s="1005"/>
      <c r="TY295" s="1005"/>
      <c r="TZ295" s="1005"/>
      <c r="UA295" s="1005"/>
      <c r="UB295" s="1005"/>
      <c r="UC295" s="1005"/>
      <c r="UD295" s="1005"/>
      <c r="UE295" s="1005"/>
      <c r="UF295" s="1005"/>
      <c r="UG295" s="1005"/>
      <c r="UH295" s="1005"/>
      <c r="UI295" s="1005"/>
      <c r="UJ295" s="1005"/>
      <c r="UK295" s="1005"/>
      <c r="UL295" s="1005"/>
      <c r="UM295" s="1005"/>
      <c r="UN295" s="1005"/>
      <c r="UO295" s="1005"/>
      <c r="UP295" s="1005"/>
      <c r="UQ295" s="1005"/>
      <c r="UR295" s="1005"/>
      <c r="US295" s="1005"/>
      <c r="UT295" s="1005"/>
      <c r="UU295" s="1005"/>
      <c r="UV295" s="1005"/>
      <c r="UW295" s="1005"/>
      <c r="UX295" s="1005"/>
      <c r="UY295" s="1005"/>
      <c r="UZ295" s="1005"/>
      <c r="VA295" s="1005"/>
      <c r="VB295" s="1005"/>
      <c r="VC295" s="1005"/>
      <c r="VD295" s="1005"/>
      <c r="VE295" s="1005"/>
      <c r="VF295" s="1005"/>
      <c r="VG295" s="1005"/>
      <c r="VH295" s="1005"/>
      <c r="VI295" s="1005"/>
      <c r="VJ295" s="1005"/>
      <c r="VK295" s="1005"/>
      <c r="VL295" s="1005"/>
      <c r="VM295" s="1005"/>
      <c r="VN295" s="1005"/>
      <c r="VO295" s="1005"/>
      <c r="VP295" s="1005"/>
      <c r="VQ295" s="1005"/>
      <c r="VR295" s="1005"/>
      <c r="VS295" s="1005"/>
      <c r="VT295" s="1005"/>
      <c r="VU295" s="1005"/>
      <c r="VV295" s="1005"/>
      <c r="VW295" s="1005"/>
      <c r="VX295" s="1005"/>
      <c r="VY295" s="1005"/>
      <c r="VZ295" s="1005"/>
      <c r="WA295" s="1005"/>
      <c r="WB295" s="1005"/>
      <c r="WC295" s="1005"/>
      <c r="WD295" s="1005"/>
      <c r="WE295" s="1005"/>
      <c r="WF295" s="1005"/>
      <c r="WG295" s="1005"/>
      <c r="WH295" s="1005"/>
      <c r="WI295" s="1005"/>
      <c r="WJ295" s="1005"/>
      <c r="WK295" s="1005"/>
      <c r="WL295" s="1005"/>
      <c r="WM295" s="1005"/>
      <c r="WN295" s="1005"/>
      <c r="WO295" s="1005"/>
      <c r="WP295" s="1005"/>
      <c r="WQ295" s="1005"/>
      <c r="WR295" s="1005"/>
      <c r="WS295" s="1005"/>
      <c r="WT295" s="1005"/>
      <c r="WU295" s="1005"/>
      <c r="WV295" s="1005"/>
      <c r="WW295" s="1005"/>
      <c r="WX295" s="1005"/>
      <c r="WY295" s="1005"/>
      <c r="WZ295" s="1005"/>
      <c r="XA295" s="1005"/>
      <c r="XB295" s="1005"/>
      <c r="XC295" s="1005"/>
      <c r="XD295" s="1005"/>
      <c r="XE295" s="1005"/>
      <c r="XF295" s="1005"/>
      <c r="XG295" s="1005"/>
      <c r="XH295" s="1005"/>
      <c r="XI295" s="1005"/>
      <c r="XJ295" s="1005"/>
      <c r="XK295" s="1005"/>
      <c r="XL295" s="1005"/>
      <c r="XM295" s="1005"/>
      <c r="XN295" s="1005"/>
      <c r="XO295" s="1005"/>
      <c r="XP295" s="1005"/>
      <c r="XQ295" s="1005"/>
      <c r="XR295" s="1005"/>
      <c r="XS295" s="1005"/>
      <c r="XT295" s="1005"/>
      <c r="XU295" s="1005"/>
      <c r="XV295" s="1005"/>
      <c r="XW295" s="1005"/>
      <c r="XX295" s="1005"/>
      <c r="XY295" s="1005"/>
      <c r="XZ295" s="1005"/>
      <c r="YA295" s="1005"/>
      <c r="YB295" s="1005"/>
      <c r="YC295" s="1005"/>
      <c r="YD295" s="1005"/>
      <c r="YE295" s="1005"/>
      <c r="YF295" s="1005"/>
      <c r="YG295" s="1005"/>
      <c r="YH295" s="1005"/>
      <c r="YI295" s="1005"/>
      <c r="YJ295" s="1005"/>
      <c r="YK295" s="1005"/>
      <c r="YL295" s="1005"/>
      <c r="YM295" s="1005"/>
      <c r="YN295" s="1005"/>
      <c r="YO295" s="1005"/>
      <c r="YP295" s="1005"/>
      <c r="YQ295" s="1005"/>
      <c r="YR295" s="1005"/>
      <c r="YS295" s="1005"/>
      <c r="YT295" s="1005"/>
      <c r="YU295" s="1005"/>
      <c r="YV295" s="1005"/>
      <c r="YW295" s="1005"/>
      <c r="YX295" s="1005"/>
      <c r="YY295" s="1005"/>
      <c r="YZ295" s="1005"/>
      <c r="ZA295" s="1005"/>
      <c r="ZB295" s="1005"/>
      <c r="ZC295" s="1005"/>
      <c r="ZD295" s="1005"/>
      <c r="ZE295" s="1005"/>
      <c r="ZF295" s="1005"/>
      <c r="ZG295" s="1005"/>
      <c r="ZH295" s="1005"/>
      <c r="ZI295" s="1005"/>
      <c r="ZJ295" s="1005"/>
      <c r="ZK295" s="1005"/>
      <c r="ZL295" s="1005"/>
      <c r="ZM295" s="1005"/>
      <c r="ZN295" s="1005"/>
      <c r="ZO295" s="1005"/>
      <c r="ZP295" s="1005"/>
      <c r="ZQ295" s="1005"/>
      <c r="ZR295" s="1005"/>
      <c r="ZS295" s="1005"/>
      <c r="ZT295" s="1005"/>
      <c r="ZU295" s="1005"/>
      <c r="ZV295" s="1005"/>
      <c r="ZW295" s="1005"/>
      <c r="ZX295" s="1005"/>
      <c r="ZY295" s="1005"/>
      <c r="ZZ295" s="1005"/>
      <c r="AAA295" s="1005"/>
      <c r="AAB295" s="1005"/>
      <c r="AAC295" s="1005"/>
      <c r="AAD295" s="1005"/>
      <c r="AAE295" s="1005"/>
      <c r="AAF295" s="1005"/>
      <c r="AAG295" s="1005"/>
      <c r="AAH295" s="1005"/>
      <c r="AAI295" s="1005"/>
      <c r="AAJ295" s="1005"/>
      <c r="AAK295" s="1005"/>
      <c r="AAL295" s="1005"/>
      <c r="AAM295" s="1005"/>
      <c r="AAN295" s="1005"/>
      <c r="AAO295" s="1005"/>
      <c r="AAP295" s="1005"/>
      <c r="AAQ295" s="1005"/>
      <c r="AAR295" s="1005"/>
      <c r="AAS295" s="1005"/>
      <c r="AAT295" s="1005"/>
      <c r="AAU295" s="1005"/>
      <c r="AAV295" s="1005"/>
      <c r="AAW295" s="1005"/>
      <c r="AAX295" s="1005"/>
      <c r="AAY295" s="1005"/>
      <c r="AAZ295" s="1005"/>
      <c r="ABA295" s="1005"/>
      <c r="ABB295" s="1005"/>
      <c r="ABC295" s="1005"/>
      <c r="ABD295" s="1005"/>
      <c r="ABE295" s="1005"/>
      <c r="ABF295" s="1005"/>
      <c r="ABG295" s="1005"/>
      <c r="ABH295" s="1005"/>
      <c r="ABI295" s="1005"/>
      <c r="ABJ295" s="1005"/>
      <c r="ABK295" s="1005"/>
      <c r="ABL295" s="1005"/>
      <c r="ABM295" s="1005"/>
      <c r="ABN295" s="1005"/>
      <c r="ABO295" s="1005"/>
      <c r="ABP295" s="1005"/>
      <c r="ABQ295" s="1005"/>
      <c r="ABR295" s="1005"/>
    </row>
    <row r="296" spans="1:746" s="113" customFormat="1" ht="12" customHeight="1">
      <c r="A296" s="789"/>
      <c r="B296" s="2508" t="s">
        <v>1350</v>
      </c>
      <c r="C296" s="2507"/>
      <c r="D296" s="2500"/>
      <c r="E296" s="2922"/>
      <c r="F296" s="2923"/>
      <c r="G296" s="2924"/>
      <c r="H296" s="2501"/>
      <c r="I296" s="368"/>
      <c r="J296" s="368"/>
      <c r="K296" s="368"/>
      <c r="L296" s="368"/>
      <c r="M296" s="368"/>
      <c r="N296" s="368"/>
      <c r="O296" s="368"/>
      <c r="P296" s="368"/>
      <c r="Q296" s="368"/>
      <c r="R296" s="368"/>
      <c r="S296" s="368"/>
      <c r="T296" s="368"/>
      <c r="U296" s="368"/>
      <c r="V296" s="368"/>
      <c r="W296" s="368"/>
      <c r="X296" s="368"/>
      <c r="Y296" s="368"/>
      <c r="Z296" s="368"/>
      <c r="AA296" s="368"/>
      <c r="AB296" s="368"/>
      <c r="AC296" s="368"/>
      <c r="AD296" s="368"/>
      <c r="AE296" s="368"/>
      <c r="AF296" s="368"/>
      <c r="AG296" s="337"/>
      <c r="AH296" s="1005"/>
      <c r="AI296" s="1005"/>
      <c r="AJ296" s="1956">
        <f>IF(fx!$C$57=1,SUMIF(fx!I$57:T$57,1,I296:T296),IF(fx!$C$57=2,SUMIF(fx!O$57:AF$57,1,O296:AF296)))</f>
        <v>0</v>
      </c>
      <c r="AK296" s="1207"/>
      <c r="AL296" s="1957">
        <f>IF(fx!$C$57=1,SUM(U296:AF296),0)</f>
        <v>0</v>
      </c>
      <c r="AM296" s="1036"/>
      <c r="AN296" s="1036"/>
      <c r="AO296" s="1034"/>
      <c r="AP296" s="1037"/>
      <c r="AQ296" s="1037"/>
      <c r="AR296" s="1005"/>
      <c r="AS296" s="1005"/>
      <c r="AT296" s="1005"/>
      <c r="AU296" s="1005"/>
      <c r="AV296" s="1005"/>
      <c r="AW296" s="1005"/>
      <c r="AX296" s="1005"/>
      <c r="AY296" s="1005"/>
      <c r="AZ296" s="1005"/>
      <c r="BA296" s="1005"/>
      <c r="BB296" s="1005"/>
      <c r="BC296" s="1005"/>
      <c r="BD296" s="1005"/>
      <c r="BE296" s="1005"/>
      <c r="BF296" s="1005"/>
      <c r="BG296" s="1005"/>
      <c r="BH296" s="1005"/>
      <c r="BI296" s="1005"/>
      <c r="BJ296" s="1005"/>
      <c r="BK296" s="1005"/>
      <c r="BL296" s="1005"/>
      <c r="BM296" s="1005"/>
      <c r="BN296" s="1005"/>
      <c r="BO296" s="1005"/>
      <c r="BP296" s="1005"/>
      <c r="BQ296" s="1005"/>
      <c r="BR296" s="1005"/>
      <c r="BS296" s="1005"/>
      <c r="BT296" s="1005"/>
      <c r="BU296" s="1005"/>
      <c r="BV296" s="1005"/>
      <c r="BW296" s="1005"/>
      <c r="BX296" s="1005"/>
      <c r="BY296" s="1005"/>
      <c r="BZ296" s="1005"/>
      <c r="CA296" s="1005"/>
      <c r="CB296" s="1005"/>
      <c r="CC296" s="1005"/>
      <c r="CD296" s="1005"/>
      <c r="CE296" s="1005"/>
      <c r="CF296" s="1005"/>
      <c r="CG296" s="1005"/>
      <c r="CH296" s="1005"/>
      <c r="CI296" s="1005"/>
      <c r="CJ296" s="1005"/>
      <c r="CK296" s="1005"/>
      <c r="CL296" s="1005"/>
      <c r="CM296" s="1005"/>
      <c r="CN296" s="1005"/>
      <c r="CO296" s="1005"/>
      <c r="CP296" s="1005"/>
      <c r="CQ296" s="1005"/>
      <c r="CR296" s="1005"/>
      <c r="CS296" s="1005"/>
      <c r="CT296" s="1005"/>
      <c r="CU296" s="1005"/>
      <c r="CV296" s="1005"/>
      <c r="CW296" s="1005"/>
      <c r="CX296" s="1005"/>
      <c r="CY296" s="1005"/>
      <c r="CZ296" s="1005"/>
      <c r="DA296" s="1005"/>
      <c r="DB296" s="1005"/>
      <c r="DC296" s="1005"/>
      <c r="DD296" s="1005"/>
      <c r="DE296" s="1005"/>
      <c r="DF296" s="1005"/>
      <c r="DG296" s="1005"/>
      <c r="DH296" s="1005"/>
      <c r="DI296" s="1005"/>
      <c r="DJ296" s="1005"/>
      <c r="DK296" s="1005"/>
      <c r="DL296" s="1005"/>
      <c r="DM296" s="1005"/>
      <c r="DN296" s="1005"/>
      <c r="DO296" s="1005"/>
      <c r="DP296" s="1005"/>
      <c r="DQ296" s="1005"/>
      <c r="DR296" s="1005"/>
      <c r="DS296" s="1005"/>
      <c r="DT296" s="1005"/>
      <c r="DU296" s="1005"/>
      <c r="DV296" s="1005"/>
      <c r="DW296" s="1005"/>
      <c r="DX296" s="1005"/>
      <c r="DY296" s="1005"/>
      <c r="DZ296" s="1005"/>
      <c r="EA296" s="1005"/>
      <c r="EB296" s="1005"/>
      <c r="EC296" s="1005"/>
      <c r="ED296" s="1005"/>
      <c r="EE296" s="1005"/>
      <c r="EF296" s="1005"/>
      <c r="EG296" s="1005"/>
      <c r="EH296" s="1005"/>
      <c r="EI296" s="1005"/>
      <c r="EJ296" s="1005"/>
      <c r="EK296" s="1005"/>
      <c r="EL296" s="1005"/>
      <c r="EM296" s="1005"/>
      <c r="EN296" s="1005"/>
      <c r="EO296" s="1005"/>
      <c r="EP296" s="1005"/>
      <c r="EQ296" s="1005"/>
      <c r="ER296" s="1005"/>
      <c r="ES296" s="1005"/>
      <c r="ET296" s="1005"/>
      <c r="EU296" s="1005"/>
      <c r="EV296" s="1005"/>
      <c r="EW296" s="1005"/>
      <c r="EX296" s="1005"/>
      <c r="EY296" s="1005"/>
      <c r="EZ296" s="1005"/>
      <c r="FA296" s="1005"/>
      <c r="FB296" s="1005"/>
      <c r="FC296" s="1005"/>
      <c r="FD296" s="1005"/>
      <c r="FE296" s="1005"/>
      <c r="FF296" s="1005"/>
      <c r="FG296" s="1005"/>
      <c r="FH296" s="1005"/>
      <c r="FI296" s="1005"/>
      <c r="FJ296" s="1005"/>
      <c r="FK296" s="1005"/>
      <c r="FL296" s="1005"/>
      <c r="FM296" s="1005"/>
      <c r="FN296" s="1005"/>
      <c r="FO296" s="1005"/>
      <c r="FP296" s="1005"/>
      <c r="FQ296" s="1005"/>
      <c r="FR296" s="1005"/>
      <c r="FS296" s="1005"/>
      <c r="FT296" s="1005"/>
      <c r="FU296" s="1005"/>
      <c r="FV296" s="1005"/>
      <c r="FW296" s="1005"/>
      <c r="FX296" s="1005"/>
      <c r="FY296" s="1005"/>
      <c r="FZ296" s="1005"/>
      <c r="GA296" s="1005"/>
      <c r="GB296" s="1005"/>
      <c r="GC296" s="1005"/>
      <c r="GD296" s="1005"/>
      <c r="GE296" s="1005"/>
      <c r="GF296" s="1005"/>
      <c r="GG296" s="1005"/>
      <c r="GH296" s="1005"/>
      <c r="GI296" s="1005"/>
      <c r="GJ296" s="1005"/>
      <c r="GK296" s="1005"/>
      <c r="GL296" s="1005"/>
      <c r="GM296" s="1005"/>
      <c r="GN296" s="1005"/>
      <c r="GO296" s="1005"/>
      <c r="GP296" s="1005"/>
      <c r="GQ296" s="1005"/>
      <c r="GR296" s="1005"/>
      <c r="GS296" s="1005"/>
      <c r="GT296" s="1005"/>
      <c r="GU296" s="1005"/>
      <c r="GV296" s="1005"/>
      <c r="GW296" s="1005"/>
      <c r="GX296" s="1005"/>
      <c r="GY296" s="1005"/>
      <c r="GZ296" s="1005"/>
      <c r="HA296" s="1005"/>
      <c r="HB296" s="1005"/>
      <c r="HC296" s="1005"/>
      <c r="HD296" s="1005"/>
      <c r="HE296" s="1005"/>
      <c r="HF296" s="1005"/>
      <c r="HG296" s="1005"/>
      <c r="HH296" s="1005"/>
      <c r="HI296" s="1005"/>
      <c r="HJ296" s="1005"/>
      <c r="HK296" s="1005"/>
      <c r="HL296" s="1005"/>
      <c r="HM296" s="1005"/>
      <c r="HN296" s="1005"/>
      <c r="HO296" s="1005"/>
      <c r="HP296" s="1005"/>
      <c r="HQ296" s="1005"/>
      <c r="HR296" s="1005"/>
      <c r="HS296" s="1005"/>
      <c r="HT296" s="1005"/>
      <c r="HU296" s="1005"/>
      <c r="HV296" s="1005"/>
      <c r="HW296" s="1005"/>
      <c r="HX296" s="1005"/>
      <c r="HY296" s="1005"/>
      <c r="HZ296" s="1005"/>
      <c r="IA296" s="1005"/>
      <c r="IB296" s="1005"/>
      <c r="IC296" s="1005"/>
      <c r="ID296" s="1005"/>
      <c r="IE296" s="1005"/>
      <c r="IF296" s="1005"/>
      <c r="IG296" s="1005"/>
      <c r="IH296" s="1005"/>
      <c r="II296" s="1005"/>
      <c r="IJ296" s="1005"/>
      <c r="IK296" s="1005"/>
      <c r="IL296" s="1005"/>
      <c r="IM296" s="1005"/>
      <c r="IN296" s="1005"/>
      <c r="IO296" s="1005"/>
      <c r="IP296" s="1005"/>
      <c r="IQ296" s="1005"/>
      <c r="IR296" s="1005"/>
      <c r="IS296" s="1005"/>
      <c r="IT296" s="1005"/>
      <c r="IU296" s="1005"/>
      <c r="IV296" s="1005"/>
      <c r="IW296" s="1005"/>
      <c r="IX296" s="1005"/>
      <c r="IY296" s="1005"/>
      <c r="IZ296" s="1005"/>
      <c r="JA296" s="1005"/>
      <c r="JB296" s="1005"/>
      <c r="JC296" s="1005"/>
      <c r="JD296" s="1005"/>
      <c r="JE296" s="1005"/>
      <c r="JF296" s="1005"/>
      <c r="JG296" s="1005"/>
      <c r="JH296" s="1005"/>
      <c r="JI296" s="1005"/>
      <c r="JJ296" s="1005"/>
      <c r="JK296" s="1005"/>
      <c r="JL296" s="1005"/>
      <c r="JM296" s="1005"/>
      <c r="JN296" s="1005"/>
      <c r="JO296" s="1005"/>
      <c r="JP296" s="1005"/>
      <c r="JQ296" s="1005"/>
      <c r="JR296" s="1005"/>
      <c r="JS296" s="1005"/>
      <c r="JT296" s="1005"/>
      <c r="JU296" s="1005"/>
      <c r="JV296" s="1005"/>
      <c r="JW296" s="1005"/>
      <c r="JX296" s="1005"/>
      <c r="JY296" s="1005"/>
      <c r="JZ296" s="1005"/>
      <c r="KA296" s="1005"/>
      <c r="KB296" s="1005"/>
      <c r="KC296" s="1005"/>
      <c r="KD296" s="1005"/>
      <c r="KE296" s="1005"/>
      <c r="KF296" s="1005"/>
      <c r="KG296" s="1005"/>
      <c r="KH296" s="1005"/>
      <c r="KI296" s="1005"/>
      <c r="KJ296" s="1005"/>
      <c r="KK296" s="1005"/>
      <c r="KL296" s="1005"/>
      <c r="KM296" s="1005"/>
      <c r="KN296" s="1005"/>
      <c r="KO296" s="1005"/>
      <c r="KP296" s="1005"/>
      <c r="KQ296" s="1005"/>
      <c r="KR296" s="1005"/>
      <c r="KS296" s="1005"/>
      <c r="KT296" s="1005"/>
      <c r="KU296" s="1005"/>
      <c r="KV296" s="1005"/>
      <c r="KW296" s="1005"/>
      <c r="KX296" s="1005"/>
      <c r="KY296" s="1005"/>
      <c r="KZ296" s="1005"/>
      <c r="LA296" s="1005"/>
      <c r="LB296" s="1005"/>
      <c r="LC296" s="1005"/>
      <c r="LD296" s="1005"/>
      <c r="LE296" s="1005"/>
      <c r="LF296" s="1005"/>
      <c r="LG296" s="1005"/>
      <c r="LH296" s="1005"/>
      <c r="LI296" s="1005"/>
      <c r="LJ296" s="1005"/>
      <c r="LK296" s="1005"/>
      <c r="LL296" s="1005"/>
      <c r="LM296" s="1005"/>
      <c r="LN296" s="1005"/>
      <c r="LO296" s="1005"/>
      <c r="LP296" s="1005"/>
      <c r="LQ296" s="1005"/>
      <c r="LR296" s="1005"/>
      <c r="LS296" s="1005"/>
      <c r="LT296" s="1005"/>
      <c r="LU296" s="1005"/>
      <c r="LV296" s="1005"/>
      <c r="LW296" s="1005"/>
      <c r="LX296" s="1005"/>
      <c r="LY296" s="1005"/>
      <c r="LZ296" s="1005"/>
      <c r="MA296" s="1005"/>
      <c r="MB296" s="1005"/>
      <c r="MC296" s="1005"/>
      <c r="MD296" s="1005"/>
      <c r="ME296" s="1005"/>
      <c r="MF296" s="1005"/>
      <c r="MG296" s="1005"/>
      <c r="MH296" s="1005"/>
      <c r="MI296" s="1005"/>
      <c r="MJ296" s="1005"/>
      <c r="MK296" s="1005"/>
      <c r="ML296" s="1005"/>
      <c r="MM296" s="1005"/>
      <c r="MN296" s="1005"/>
      <c r="MO296" s="1005"/>
      <c r="MP296" s="1005"/>
      <c r="MQ296" s="1005"/>
      <c r="MR296" s="1005"/>
      <c r="MS296" s="1005"/>
      <c r="MT296" s="1005"/>
      <c r="MU296" s="1005"/>
      <c r="MV296" s="1005"/>
      <c r="MW296" s="1005"/>
      <c r="MX296" s="1005"/>
      <c r="MY296" s="1005"/>
      <c r="MZ296" s="1005"/>
      <c r="NA296" s="1005"/>
      <c r="NB296" s="1005"/>
      <c r="NC296" s="1005"/>
      <c r="ND296" s="1005"/>
      <c r="NE296" s="1005"/>
      <c r="NF296" s="1005"/>
      <c r="NG296" s="1005"/>
      <c r="NH296" s="1005"/>
      <c r="NI296" s="1005"/>
      <c r="NJ296" s="1005"/>
      <c r="NK296" s="1005"/>
      <c r="NL296" s="1005"/>
      <c r="NM296" s="1005"/>
      <c r="NN296" s="1005"/>
      <c r="NO296" s="1005"/>
      <c r="NP296" s="1005"/>
      <c r="NQ296" s="1005"/>
      <c r="NR296" s="1005"/>
      <c r="NS296" s="1005"/>
      <c r="NT296" s="1005"/>
      <c r="NU296" s="1005"/>
      <c r="NV296" s="1005"/>
      <c r="NW296" s="1005"/>
      <c r="NX296" s="1005"/>
      <c r="NY296" s="1005"/>
      <c r="NZ296" s="1005"/>
      <c r="OA296" s="1005"/>
      <c r="OB296" s="1005"/>
      <c r="OC296" s="1005"/>
      <c r="OD296" s="1005"/>
      <c r="OE296" s="1005"/>
      <c r="OF296" s="1005"/>
      <c r="OG296" s="1005"/>
      <c r="OH296" s="1005"/>
      <c r="OI296" s="1005"/>
      <c r="OJ296" s="1005"/>
      <c r="OK296" s="1005"/>
      <c r="OL296" s="1005"/>
      <c r="OM296" s="1005"/>
      <c r="ON296" s="1005"/>
      <c r="OO296" s="1005"/>
      <c r="OP296" s="1005"/>
      <c r="OQ296" s="1005"/>
      <c r="OR296" s="1005"/>
      <c r="OS296" s="1005"/>
      <c r="OT296" s="1005"/>
      <c r="OU296" s="1005"/>
      <c r="OV296" s="1005"/>
      <c r="OW296" s="1005"/>
      <c r="OX296" s="1005"/>
      <c r="OY296" s="1005"/>
      <c r="OZ296" s="1005"/>
      <c r="PA296" s="1005"/>
      <c r="PB296" s="1005"/>
      <c r="PC296" s="1005"/>
      <c r="PD296" s="1005"/>
      <c r="PE296" s="1005"/>
      <c r="PF296" s="1005"/>
      <c r="PG296" s="1005"/>
      <c r="PH296" s="1005"/>
      <c r="PI296" s="1005"/>
      <c r="PJ296" s="1005"/>
      <c r="PK296" s="1005"/>
      <c r="PL296" s="1005"/>
      <c r="PM296" s="1005"/>
      <c r="PN296" s="1005"/>
      <c r="PO296" s="1005"/>
      <c r="PP296" s="1005"/>
      <c r="PQ296" s="1005"/>
      <c r="PR296" s="1005"/>
      <c r="PS296" s="1005"/>
      <c r="PT296" s="1005"/>
      <c r="PU296" s="1005"/>
      <c r="PV296" s="1005"/>
      <c r="PW296" s="1005"/>
      <c r="PX296" s="1005"/>
      <c r="PY296" s="1005"/>
      <c r="PZ296" s="1005"/>
      <c r="QA296" s="1005"/>
      <c r="QB296" s="1005"/>
      <c r="QC296" s="1005"/>
      <c r="QD296" s="1005"/>
      <c r="QE296" s="1005"/>
      <c r="QF296" s="1005"/>
      <c r="QG296" s="1005"/>
      <c r="QH296" s="1005"/>
      <c r="QI296" s="1005"/>
      <c r="QJ296" s="1005"/>
      <c r="QK296" s="1005"/>
      <c r="QL296" s="1005"/>
      <c r="QM296" s="1005"/>
      <c r="QN296" s="1005"/>
      <c r="QO296" s="1005"/>
      <c r="QP296" s="1005"/>
      <c r="QQ296" s="1005"/>
      <c r="QR296" s="1005"/>
      <c r="QS296" s="1005"/>
      <c r="QT296" s="1005"/>
      <c r="QU296" s="1005"/>
      <c r="QV296" s="1005"/>
      <c r="QW296" s="1005"/>
      <c r="QX296" s="1005"/>
      <c r="QY296" s="1005"/>
      <c r="QZ296" s="1005"/>
      <c r="RA296" s="1005"/>
      <c r="RB296" s="1005"/>
      <c r="RC296" s="1005"/>
      <c r="RD296" s="1005"/>
      <c r="RE296" s="1005"/>
      <c r="RF296" s="1005"/>
      <c r="RG296" s="1005"/>
      <c r="RH296" s="1005"/>
      <c r="RI296" s="1005"/>
      <c r="RJ296" s="1005"/>
      <c r="RK296" s="1005"/>
      <c r="RL296" s="1005"/>
      <c r="RM296" s="1005"/>
      <c r="RN296" s="1005"/>
      <c r="RO296" s="1005"/>
      <c r="RP296" s="1005"/>
      <c r="RQ296" s="1005"/>
      <c r="RR296" s="1005"/>
      <c r="RS296" s="1005"/>
      <c r="RT296" s="1005"/>
      <c r="RU296" s="1005"/>
      <c r="RV296" s="1005"/>
      <c r="RW296" s="1005"/>
      <c r="RX296" s="1005"/>
      <c r="RY296" s="1005"/>
      <c r="RZ296" s="1005"/>
      <c r="SA296" s="1005"/>
      <c r="SB296" s="1005"/>
      <c r="SC296" s="1005"/>
      <c r="SD296" s="1005"/>
      <c r="SE296" s="1005"/>
      <c r="SF296" s="1005"/>
      <c r="SG296" s="1005"/>
      <c r="SH296" s="1005"/>
      <c r="SI296" s="1005"/>
      <c r="SJ296" s="1005"/>
      <c r="SK296" s="1005"/>
      <c r="SL296" s="1005"/>
      <c r="SM296" s="1005"/>
      <c r="SN296" s="1005"/>
      <c r="SO296" s="1005"/>
      <c r="SP296" s="1005"/>
      <c r="SQ296" s="1005"/>
      <c r="SR296" s="1005"/>
      <c r="SS296" s="1005"/>
      <c r="ST296" s="1005"/>
      <c r="SU296" s="1005"/>
      <c r="SV296" s="1005"/>
      <c r="SW296" s="1005"/>
      <c r="SX296" s="1005"/>
      <c r="SY296" s="1005"/>
      <c r="SZ296" s="1005"/>
      <c r="TA296" s="1005"/>
      <c r="TB296" s="1005"/>
      <c r="TC296" s="1005"/>
      <c r="TD296" s="1005"/>
      <c r="TE296" s="1005"/>
      <c r="TF296" s="1005"/>
      <c r="TG296" s="1005"/>
      <c r="TH296" s="1005"/>
      <c r="TI296" s="1005"/>
      <c r="TJ296" s="1005"/>
      <c r="TK296" s="1005"/>
      <c r="TL296" s="1005"/>
      <c r="TM296" s="1005"/>
      <c r="TN296" s="1005"/>
      <c r="TO296" s="1005"/>
      <c r="TP296" s="1005"/>
      <c r="TQ296" s="1005"/>
      <c r="TR296" s="1005"/>
      <c r="TS296" s="1005"/>
      <c r="TT296" s="1005"/>
      <c r="TU296" s="1005"/>
      <c r="TV296" s="1005"/>
      <c r="TW296" s="1005"/>
      <c r="TX296" s="1005"/>
      <c r="TY296" s="1005"/>
      <c r="TZ296" s="1005"/>
      <c r="UA296" s="1005"/>
      <c r="UB296" s="1005"/>
      <c r="UC296" s="1005"/>
      <c r="UD296" s="1005"/>
      <c r="UE296" s="1005"/>
      <c r="UF296" s="1005"/>
      <c r="UG296" s="1005"/>
      <c r="UH296" s="1005"/>
      <c r="UI296" s="1005"/>
      <c r="UJ296" s="1005"/>
      <c r="UK296" s="1005"/>
      <c r="UL296" s="1005"/>
      <c r="UM296" s="1005"/>
      <c r="UN296" s="1005"/>
      <c r="UO296" s="1005"/>
      <c r="UP296" s="1005"/>
      <c r="UQ296" s="1005"/>
      <c r="UR296" s="1005"/>
      <c r="US296" s="1005"/>
      <c r="UT296" s="1005"/>
      <c r="UU296" s="1005"/>
      <c r="UV296" s="1005"/>
      <c r="UW296" s="1005"/>
      <c r="UX296" s="1005"/>
      <c r="UY296" s="1005"/>
      <c r="UZ296" s="1005"/>
      <c r="VA296" s="1005"/>
      <c r="VB296" s="1005"/>
      <c r="VC296" s="1005"/>
      <c r="VD296" s="1005"/>
      <c r="VE296" s="1005"/>
      <c r="VF296" s="1005"/>
      <c r="VG296" s="1005"/>
      <c r="VH296" s="1005"/>
      <c r="VI296" s="1005"/>
      <c r="VJ296" s="1005"/>
      <c r="VK296" s="1005"/>
      <c r="VL296" s="1005"/>
      <c r="VM296" s="1005"/>
      <c r="VN296" s="1005"/>
      <c r="VO296" s="1005"/>
      <c r="VP296" s="1005"/>
      <c r="VQ296" s="1005"/>
      <c r="VR296" s="1005"/>
      <c r="VS296" s="1005"/>
      <c r="VT296" s="1005"/>
      <c r="VU296" s="1005"/>
      <c r="VV296" s="1005"/>
      <c r="VW296" s="1005"/>
      <c r="VX296" s="1005"/>
      <c r="VY296" s="1005"/>
      <c r="VZ296" s="1005"/>
      <c r="WA296" s="1005"/>
      <c r="WB296" s="1005"/>
      <c r="WC296" s="1005"/>
      <c r="WD296" s="1005"/>
      <c r="WE296" s="1005"/>
      <c r="WF296" s="1005"/>
      <c r="WG296" s="1005"/>
      <c r="WH296" s="1005"/>
      <c r="WI296" s="1005"/>
      <c r="WJ296" s="1005"/>
      <c r="WK296" s="1005"/>
      <c r="WL296" s="1005"/>
      <c r="WM296" s="1005"/>
      <c r="WN296" s="1005"/>
      <c r="WO296" s="1005"/>
      <c r="WP296" s="1005"/>
      <c r="WQ296" s="1005"/>
      <c r="WR296" s="1005"/>
      <c r="WS296" s="1005"/>
      <c r="WT296" s="1005"/>
      <c r="WU296" s="1005"/>
      <c r="WV296" s="1005"/>
      <c r="WW296" s="1005"/>
      <c r="WX296" s="1005"/>
      <c r="WY296" s="1005"/>
      <c r="WZ296" s="1005"/>
      <c r="XA296" s="1005"/>
      <c r="XB296" s="1005"/>
      <c r="XC296" s="1005"/>
      <c r="XD296" s="1005"/>
      <c r="XE296" s="1005"/>
      <c r="XF296" s="1005"/>
      <c r="XG296" s="1005"/>
      <c r="XH296" s="1005"/>
      <c r="XI296" s="1005"/>
      <c r="XJ296" s="1005"/>
      <c r="XK296" s="1005"/>
      <c r="XL296" s="1005"/>
      <c r="XM296" s="1005"/>
      <c r="XN296" s="1005"/>
      <c r="XO296" s="1005"/>
      <c r="XP296" s="1005"/>
      <c r="XQ296" s="1005"/>
      <c r="XR296" s="1005"/>
      <c r="XS296" s="1005"/>
      <c r="XT296" s="1005"/>
      <c r="XU296" s="1005"/>
      <c r="XV296" s="1005"/>
      <c r="XW296" s="1005"/>
      <c r="XX296" s="1005"/>
      <c r="XY296" s="1005"/>
      <c r="XZ296" s="1005"/>
      <c r="YA296" s="1005"/>
      <c r="YB296" s="1005"/>
      <c r="YC296" s="1005"/>
      <c r="YD296" s="1005"/>
      <c r="YE296" s="1005"/>
      <c r="YF296" s="1005"/>
      <c r="YG296" s="1005"/>
      <c r="YH296" s="1005"/>
      <c r="YI296" s="1005"/>
      <c r="YJ296" s="1005"/>
      <c r="YK296" s="1005"/>
      <c r="YL296" s="1005"/>
      <c r="YM296" s="1005"/>
      <c r="YN296" s="1005"/>
      <c r="YO296" s="1005"/>
      <c r="YP296" s="1005"/>
      <c r="YQ296" s="1005"/>
      <c r="YR296" s="1005"/>
      <c r="YS296" s="1005"/>
      <c r="YT296" s="1005"/>
      <c r="YU296" s="1005"/>
      <c r="YV296" s="1005"/>
      <c r="YW296" s="1005"/>
      <c r="YX296" s="1005"/>
      <c r="YY296" s="1005"/>
      <c r="YZ296" s="1005"/>
      <c r="ZA296" s="1005"/>
      <c r="ZB296" s="1005"/>
      <c r="ZC296" s="1005"/>
      <c r="ZD296" s="1005"/>
      <c r="ZE296" s="1005"/>
      <c r="ZF296" s="1005"/>
      <c r="ZG296" s="1005"/>
      <c r="ZH296" s="1005"/>
      <c r="ZI296" s="1005"/>
      <c r="ZJ296" s="1005"/>
      <c r="ZK296" s="1005"/>
      <c r="ZL296" s="1005"/>
      <c r="ZM296" s="1005"/>
      <c r="ZN296" s="1005"/>
      <c r="ZO296" s="1005"/>
      <c r="ZP296" s="1005"/>
      <c r="ZQ296" s="1005"/>
      <c r="ZR296" s="1005"/>
      <c r="ZS296" s="1005"/>
      <c r="ZT296" s="1005"/>
      <c r="ZU296" s="1005"/>
      <c r="ZV296" s="1005"/>
      <c r="ZW296" s="1005"/>
      <c r="ZX296" s="1005"/>
      <c r="ZY296" s="1005"/>
      <c r="ZZ296" s="1005"/>
      <c r="AAA296" s="1005"/>
      <c r="AAB296" s="1005"/>
      <c r="AAC296" s="1005"/>
      <c r="AAD296" s="1005"/>
      <c r="AAE296" s="1005"/>
      <c r="AAF296" s="1005"/>
      <c r="AAG296" s="1005"/>
      <c r="AAH296" s="1005"/>
      <c r="AAI296" s="1005"/>
      <c r="AAJ296" s="1005"/>
      <c r="AAK296" s="1005"/>
      <c r="AAL296" s="1005"/>
      <c r="AAM296" s="1005"/>
      <c r="AAN296" s="1005"/>
      <c r="AAO296" s="1005"/>
      <c r="AAP296" s="1005"/>
      <c r="AAQ296" s="1005"/>
      <c r="AAR296" s="1005"/>
      <c r="AAS296" s="1005"/>
      <c r="AAT296" s="1005"/>
      <c r="AAU296" s="1005"/>
      <c r="AAV296" s="1005"/>
      <c r="AAW296" s="1005"/>
      <c r="AAX296" s="1005"/>
      <c r="AAY296" s="1005"/>
      <c r="AAZ296" s="1005"/>
      <c r="ABA296" s="1005"/>
      <c r="ABB296" s="1005"/>
      <c r="ABC296" s="1005"/>
      <c r="ABD296" s="1005"/>
      <c r="ABE296" s="1005"/>
      <c r="ABF296" s="1005"/>
      <c r="ABG296" s="1005"/>
      <c r="ABH296" s="1005"/>
      <c r="ABI296" s="1005"/>
      <c r="ABJ296" s="1005"/>
      <c r="ABK296" s="1005"/>
      <c r="ABL296" s="1005"/>
      <c r="ABM296" s="1005"/>
      <c r="ABN296" s="1005"/>
      <c r="ABO296" s="1005"/>
      <c r="ABP296" s="1005"/>
      <c r="ABQ296" s="1005"/>
      <c r="ABR296" s="1005"/>
    </row>
    <row r="297" spans="1:746" s="113" customFormat="1" ht="12" customHeight="1">
      <c r="A297" s="1252"/>
      <c r="B297" s="2508" t="s">
        <v>1351</v>
      </c>
      <c r="C297" s="2507"/>
      <c r="D297" s="2500"/>
      <c r="E297" s="2922"/>
      <c r="F297" s="2923"/>
      <c r="G297" s="2924"/>
      <c r="H297" s="2501"/>
      <c r="I297" s="368"/>
      <c r="J297" s="368"/>
      <c r="K297" s="368"/>
      <c r="L297" s="368"/>
      <c r="M297" s="368"/>
      <c r="N297" s="368"/>
      <c r="O297" s="368"/>
      <c r="P297" s="368"/>
      <c r="Q297" s="368"/>
      <c r="R297" s="368"/>
      <c r="S297" s="368"/>
      <c r="T297" s="368"/>
      <c r="U297" s="368"/>
      <c r="V297" s="368"/>
      <c r="W297" s="368"/>
      <c r="X297" s="368"/>
      <c r="Y297" s="368"/>
      <c r="Z297" s="368"/>
      <c r="AA297" s="368"/>
      <c r="AB297" s="368"/>
      <c r="AC297" s="368"/>
      <c r="AD297" s="368"/>
      <c r="AE297" s="368"/>
      <c r="AF297" s="368"/>
      <c r="AG297" s="337"/>
      <c r="AH297" s="1005"/>
      <c r="AI297" s="1005"/>
      <c r="AJ297" s="1956">
        <f>IF(fx!$C$57=1,SUMIF(fx!I$57:T$57,1,I297:T297),IF(fx!$C$57=2,SUMIF(fx!O$57:AF$57,1,O297:AF297)))</f>
        <v>0</v>
      </c>
      <c r="AK297" s="1207"/>
      <c r="AL297" s="1957">
        <f>IF(fx!$C$57=1,SUM(U297:AF297),0)</f>
        <v>0</v>
      </c>
      <c r="AM297" s="1036"/>
      <c r="AN297" s="1036"/>
      <c r="AO297" s="1034"/>
      <c r="AP297" s="1037"/>
      <c r="AQ297" s="1037"/>
      <c r="AR297" s="1005"/>
      <c r="AS297" s="1005"/>
      <c r="AT297" s="1005"/>
      <c r="AU297" s="1005"/>
      <c r="AV297" s="1005"/>
      <c r="AW297" s="1005"/>
      <c r="AX297" s="1005"/>
      <c r="AY297" s="1005"/>
      <c r="AZ297" s="1005"/>
      <c r="BA297" s="1005"/>
      <c r="BB297" s="1005"/>
      <c r="BC297" s="1005"/>
      <c r="BD297" s="1005"/>
      <c r="BE297" s="1005"/>
      <c r="BF297" s="1005"/>
      <c r="BG297" s="1005"/>
      <c r="BH297" s="1005"/>
      <c r="BI297" s="1005"/>
      <c r="BJ297" s="1005"/>
      <c r="BK297" s="1005"/>
      <c r="BL297" s="1005"/>
      <c r="BM297" s="1005"/>
      <c r="BN297" s="1005"/>
      <c r="BO297" s="1005"/>
      <c r="BP297" s="1005"/>
      <c r="BQ297" s="1005"/>
      <c r="BR297" s="1005"/>
      <c r="BS297" s="1005"/>
      <c r="BT297" s="1005"/>
      <c r="BU297" s="1005"/>
      <c r="BV297" s="1005"/>
      <c r="BW297" s="1005"/>
      <c r="BX297" s="1005"/>
      <c r="BY297" s="1005"/>
      <c r="BZ297" s="1005"/>
      <c r="CA297" s="1005"/>
      <c r="CB297" s="1005"/>
      <c r="CC297" s="1005"/>
      <c r="CD297" s="1005"/>
      <c r="CE297" s="1005"/>
      <c r="CF297" s="1005"/>
      <c r="CG297" s="1005"/>
      <c r="CH297" s="1005"/>
      <c r="CI297" s="1005"/>
      <c r="CJ297" s="1005"/>
      <c r="CK297" s="1005"/>
      <c r="CL297" s="1005"/>
      <c r="CM297" s="1005"/>
      <c r="CN297" s="1005"/>
      <c r="CO297" s="1005"/>
      <c r="CP297" s="1005"/>
      <c r="CQ297" s="1005"/>
      <c r="CR297" s="1005"/>
      <c r="CS297" s="1005"/>
      <c r="CT297" s="1005"/>
      <c r="CU297" s="1005"/>
      <c r="CV297" s="1005"/>
      <c r="CW297" s="1005"/>
      <c r="CX297" s="1005"/>
      <c r="CY297" s="1005"/>
      <c r="CZ297" s="1005"/>
      <c r="DA297" s="1005"/>
      <c r="DB297" s="1005"/>
      <c r="DC297" s="1005"/>
      <c r="DD297" s="1005"/>
      <c r="DE297" s="1005"/>
      <c r="DF297" s="1005"/>
      <c r="DG297" s="1005"/>
      <c r="DH297" s="1005"/>
      <c r="DI297" s="1005"/>
      <c r="DJ297" s="1005"/>
      <c r="DK297" s="1005"/>
      <c r="DL297" s="1005"/>
      <c r="DM297" s="1005"/>
      <c r="DN297" s="1005"/>
      <c r="DO297" s="1005"/>
      <c r="DP297" s="1005"/>
      <c r="DQ297" s="1005"/>
      <c r="DR297" s="1005"/>
      <c r="DS297" s="1005"/>
      <c r="DT297" s="1005"/>
      <c r="DU297" s="1005"/>
      <c r="DV297" s="1005"/>
      <c r="DW297" s="1005"/>
      <c r="DX297" s="1005"/>
      <c r="DY297" s="1005"/>
      <c r="DZ297" s="1005"/>
      <c r="EA297" s="1005"/>
      <c r="EB297" s="1005"/>
      <c r="EC297" s="1005"/>
      <c r="ED297" s="1005"/>
      <c r="EE297" s="1005"/>
      <c r="EF297" s="1005"/>
      <c r="EG297" s="1005"/>
      <c r="EH297" s="1005"/>
      <c r="EI297" s="1005"/>
      <c r="EJ297" s="1005"/>
      <c r="EK297" s="1005"/>
      <c r="EL297" s="1005"/>
      <c r="EM297" s="1005"/>
      <c r="EN297" s="1005"/>
      <c r="EO297" s="1005"/>
      <c r="EP297" s="1005"/>
      <c r="EQ297" s="1005"/>
      <c r="ER297" s="1005"/>
      <c r="ES297" s="1005"/>
      <c r="ET297" s="1005"/>
      <c r="EU297" s="1005"/>
      <c r="EV297" s="1005"/>
      <c r="EW297" s="1005"/>
      <c r="EX297" s="1005"/>
      <c r="EY297" s="1005"/>
      <c r="EZ297" s="1005"/>
      <c r="FA297" s="1005"/>
      <c r="FB297" s="1005"/>
      <c r="FC297" s="1005"/>
      <c r="FD297" s="1005"/>
      <c r="FE297" s="1005"/>
      <c r="FF297" s="1005"/>
      <c r="FG297" s="1005"/>
      <c r="FH297" s="1005"/>
      <c r="FI297" s="1005"/>
      <c r="FJ297" s="1005"/>
      <c r="FK297" s="1005"/>
      <c r="FL297" s="1005"/>
      <c r="FM297" s="1005"/>
      <c r="FN297" s="1005"/>
      <c r="FO297" s="1005"/>
      <c r="FP297" s="1005"/>
      <c r="FQ297" s="1005"/>
      <c r="FR297" s="1005"/>
      <c r="FS297" s="1005"/>
      <c r="FT297" s="1005"/>
      <c r="FU297" s="1005"/>
      <c r="FV297" s="1005"/>
      <c r="FW297" s="1005"/>
      <c r="FX297" s="1005"/>
      <c r="FY297" s="1005"/>
      <c r="FZ297" s="1005"/>
      <c r="GA297" s="1005"/>
      <c r="GB297" s="1005"/>
      <c r="GC297" s="1005"/>
      <c r="GD297" s="1005"/>
      <c r="GE297" s="1005"/>
      <c r="GF297" s="1005"/>
      <c r="GG297" s="1005"/>
      <c r="GH297" s="1005"/>
      <c r="GI297" s="1005"/>
      <c r="GJ297" s="1005"/>
      <c r="GK297" s="1005"/>
      <c r="GL297" s="1005"/>
      <c r="GM297" s="1005"/>
      <c r="GN297" s="1005"/>
      <c r="GO297" s="1005"/>
      <c r="GP297" s="1005"/>
      <c r="GQ297" s="1005"/>
      <c r="GR297" s="1005"/>
      <c r="GS297" s="1005"/>
      <c r="GT297" s="1005"/>
      <c r="GU297" s="1005"/>
      <c r="GV297" s="1005"/>
      <c r="GW297" s="1005"/>
      <c r="GX297" s="1005"/>
      <c r="GY297" s="1005"/>
      <c r="GZ297" s="1005"/>
      <c r="HA297" s="1005"/>
      <c r="HB297" s="1005"/>
      <c r="HC297" s="1005"/>
      <c r="HD297" s="1005"/>
      <c r="HE297" s="1005"/>
      <c r="HF297" s="1005"/>
      <c r="HG297" s="1005"/>
      <c r="HH297" s="1005"/>
      <c r="HI297" s="1005"/>
      <c r="HJ297" s="1005"/>
      <c r="HK297" s="1005"/>
      <c r="HL297" s="1005"/>
      <c r="HM297" s="1005"/>
      <c r="HN297" s="1005"/>
      <c r="HO297" s="1005"/>
      <c r="HP297" s="1005"/>
      <c r="HQ297" s="1005"/>
      <c r="HR297" s="1005"/>
      <c r="HS297" s="1005"/>
      <c r="HT297" s="1005"/>
      <c r="HU297" s="1005"/>
      <c r="HV297" s="1005"/>
      <c r="HW297" s="1005"/>
      <c r="HX297" s="1005"/>
      <c r="HY297" s="1005"/>
      <c r="HZ297" s="1005"/>
      <c r="IA297" s="1005"/>
      <c r="IB297" s="1005"/>
      <c r="IC297" s="1005"/>
      <c r="ID297" s="1005"/>
      <c r="IE297" s="1005"/>
      <c r="IF297" s="1005"/>
      <c r="IG297" s="1005"/>
      <c r="IH297" s="1005"/>
      <c r="II297" s="1005"/>
      <c r="IJ297" s="1005"/>
      <c r="IK297" s="1005"/>
      <c r="IL297" s="1005"/>
      <c r="IM297" s="1005"/>
      <c r="IN297" s="1005"/>
      <c r="IO297" s="1005"/>
      <c r="IP297" s="1005"/>
      <c r="IQ297" s="1005"/>
      <c r="IR297" s="1005"/>
      <c r="IS297" s="1005"/>
      <c r="IT297" s="1005"/>
      <c r="IU297" s="1005"/>
      <c r="IV297" s="1005"/>
      <c r="IW297" s="1005"/>
      <c r="IX297" s="1005"/>
      <c r="IY297" s="1005"/>
      <c r="IZ297" s="1005"/>
      <c r="JA297" s="1005"/>
      <c r="JB297" s="1005"/>
      <c r="JC297" s="1005"/>
      <c r="JD297" s="1005"/>
      <c r="JE297" s="1005"/>
      <c r="JF297" s="1005"/>
      <c r="JG297" s="1005"/>
      <c r="JH297" s="1005"/>
      <c r="JI297" s="1005"/>
      <c r="JJ297" s="1005"/>
      <c r="JK297" s="1005"/>
      <c r="JL297" s="1005"/>
      <c r="JM297" s="1005"/>
      <c r="JN297" s="1005"/>
      <c r="JO297" s="1005"/>
      <c r="JP297" s="1005"/>
      <c r="JQ297" s="1005"/>
      <c r="JR297" s="1005"/>
      <c r="JS297" s="1005"/>
      <c r="JT297" s="1005"/>
      <c r="JU297" s="1005"/>
      <c r="JV297" s="1005"/>
      <c r="JW297" s="1005"/>
      <c r="JX297" s="1005"/>
      <c r="JY297" s="1005"/>
      <c r="JZ297" s="1005"/>
      <c r="KA297" s="1005"/>
      <c r="KB297" s="1005"/>
      <c r="KC297" s="1005"/>
      <c r="KD297" s="1005"/>
      <c r="KE297" s="1005"/>
      <c r="KF297" s="1005"/>
      <c r="KG297" s="1005"/>
      <c r="KH297" s="1005"/>
      <c r="KI297" s="1005"/>
      <c r="KJ297" s="1005"/>
      <c r="KK297" s="1005"/>
      <c r="KL297" s="1005"/>
      <c r="KM297" s="1005"/>
      <c r="KN297" s="1005"/>
      <c r="KO297" s="1005"/>
      <c r="KP297" s="1005"/>
      <c r="KQ297" s="1005"/>
      <c r="KR297" s="1005"/>
      <c r="KS297" s="1005"/>
      <c r="KT297" s="1005"/>
      <c r="KU297" s="1005"/>
      <c r="KV297" s="1005"/>
      <c r="KW297" s="1005"/>
      <c r="KX297" s="1005"/>
      <c r="KY297" s="1005"/>
      <c r="KZ297" s="1005"/>
      <c r="LA297" s="1005"/>
      <c r="LB297" s="1005"/>
      <c r="LC297" s="1005"/>
      <c r="LD297" s="1005"/>
      <c r="LE297" s="1005"/>
      <c r="LF297" s="1005"/>
      <c r="LG297" s="1005"/>
      <c r="LH297" s="1005"/>
      <c r="LI297" s="1005"/>
      <c r="LJ297" s="1005"/>
      <c r="LK297" s="1005"/>
      <c r="LL297" s="1005"/>
      <c r="LM297" s="1005"/>
      <c r="LN297" s="1005"/>
      <c r="LO297" s="1005"/>
      <c r="LP297" s="1005"/>
      <c r="LQ297" s="1005"/>
      <c r="LR297" s="1005"/>
      <c r="LS297" s="1005"/>
      <c r="LT297" s="1005"/>
      <c r="LU297" s="1005"/>
      <c r="LV297" s="1005"/>
      <c r="LW297" s="1005"/>
      <c r="LX297" s="1005"/>
      <c r="LY297" s="1005"/>
      <c r="LZ297" s="1005"/>
      <c r="MA297" s="1005"/>
      <c r="MB297" s="1005"/>
      <c r="MC297" s="1005"/>
      <c r="MD297" s="1005"/>
      <c r="ME297" s="1005"/>
      <c r="MF297" s="1005"/>
      <c r="MG297" s="1005"/>
      <c r="MH297" s="1005"/>
      <c r="MI297" s="1005"/>
      <c r="MJ297" s="1005"/>
      <c r="MK297" s="1005"/>
      <c r="ML297" s="1005"/>
      <c r="MM297" s="1005"/>
      <c r="MN297" s="1005"/>
      <c r="MO297" s="1005"/>
      <c r="MP297" s="1005"/>
      <c r="MQ297" s="1005"/>
      <c r="MR297" s="1005"/>
      <c r="MS297" s="1005"/>
      <c r="MT297" s="1005"/>
      <c r="MU297" s="1005"/>
      <c r="MV297" s="1005"/>
      <c r="MW297" s="1005"/>
      <c r="MX297" s="1005"/>
      <c r="MY297" s="1005"/>
      <c r="MZ297" s="1005"/>
      <c r="NA297" s="1005"/>
      <c r="NB297" s="1005"/>
      <c r="NC297" s="1005"/>
      <c r="ND297" s="1005"/>
      <c r="NE297" s="1005"/>
      <c r="NF297" s="1005"/>
      <c r="NG297" s="1005"/>
      <c r="NH297" s="1005"/>
      <c r="NI297" s="1005"/>
      <c r="NJ297" s="1005"/>
      <c r="NK297" s="1005"/>
      <c r="NL297" s="1005"/>
      <c r="NM297" s="1005"/>
      <c r="NN297" s="1005"/>
      <c r="NO297" s="1005"/>
      <c r="NP297" s="1005"/>
      <c r="NQ297" s="1005"/>
      <c r="NR297" s="1005"/>
      <c r="NS297" s="1005"/>
      <c r="NT297" s="1005"/>
      <c r="NU297" s="1005"/>
      <c r="NV297" s="1005"/>
      <c r="NW297" s="1005"/>
      <c r="NX297" s="1005"/>
      <c r="NY297" s="1005"/>
      <c r="NZ297" s="1005"/>
      <c r="OA297" s="1005"/>
      <c r="OB297" s="1005"/>
      <c r="OC297" s="1005"/>
      <c r="OD297" s="1005"/>
      <c r="OE297" s="1005"/>
      <c r="OF297" s="1005"/>
      <c r="OG297" s="1005"/>
      <c r="OH297" s="1005"/>
      <c r="OI297" s="1005"/>
      <c r="OJ297" s="1005"/>
      <c r="OK297" s="1005"/>
      <c r="OL297" s="1005"/>
      <c r="OM297" s="1005"/>
      <c r="ON297" s="1005"/>
      <c r="OO297" s="1005"/>
      <c r="OP297" s="1005"/>
      <c r="OQ297" s="1005"/>
      <c r="OR297" s="1005"/>
      <c r="OS297" s="1005"/>
      <c r="OT297" s="1005"/>
      <c r="OU297" s="1005"/>
      <c r="OV297" s="1005"/>
      <c r="OW297" s="1005"/>
      <c r="OX297" s="1005"/>
      <c r="OY297" s="1005"/>
      <c r="OZ297" s="1005"/>
      <c r="PA297" s="1005"/>
      <c r="PB297" s="1005"/>
      <c r="PC297" s="1005"/>
      <c r="PD297" s="1005"/>
      <c r="PE297" s="1005"/>
      <c r="PF297" s="1005"/>
      <c r="PG297" s="1005"/>
      <c r="PH297" s="1005"/>
      <c r="PI297" s="1005"/>
      <c r="PJ297" s="1005"/>
      <c r="PK297" s="1005"/>
      <c r="PL297" s="1005"/>
      <c r="PM297" s="1005"/>
      <c r="PN297" s="1005"/>
      <c r="PO297" s="1005"/>
      <c r="PP297" s="1005"/>
      <c r="PQ297" s="1005"/>
      <c r="PR297" s="1005"/>
      <c r="PS297" s="1005"/>
      <c r="PT297" s="1005"/>
      <c r="PU297" s="1005"/>
      <c r="PV297" s="1005"/>
      <c r="PW297" s="1005"/>
      <c r="PX297" s="1005"/>
      <c r="PY297" s="1005"/>
      <c r="PZ297" s="1005"/>
      <c r="QA297" s="1005"/>
      <c r="QB297" s="1005"/>
      <c r="QC297" s="1005"/>
      <c r="QD297" s="1005"/>
      <c r="QE297" s="1005"/>
      <c r="QF297" s="1005"/>
      <c r="QG297" s="1005"/>
      <c r="QH297" s="1005"/>
      <c r="QI297" s="1005"/>
      <c r="QJ297" s="1005"/>
      <c r="QK297" s="1005"/>
      <c r="QL297" s="1005"/>
      <c r="QM297" s="1005"/>
      <c r="QN297" s="1005"/>
      <c r="QO297" s="1005"/>
      <c r="QP297" s="1005"/>
      <c r="QQ297" s="1005"/>
      <c r="QR297" s="1005"/>
      <c r="QS297" s="1005"/>
      <c r="QT297" s="1005"/>
      <c r="QU297" s="1005"/>
      <c r="QV297" s="1005"/>
      <c r="QW297" s="1005"/>
      <c r="QX297" s="1005"/>
      <c r="QY297" s="1005"/>
      <c r="QZ297" s="1005"/>
      <c r="RA297" s="1005"/>
      <c r="RB297" s="1005"/>
      <c r="RC297" s="1005"/>
      <c r="RD297" s="1005"/>
      <c r="RE297" s="1005"/>
      <c r="RF297" s="1005"/>
      <c r="RG297" s="1005"/>
      <c r="RH297" s="1005"/>
      <c r="RI297" s="1005"/>
      <c r="RJ297" s="1005"/>
      <c r="RK297" s="1005"/>
      <c r="RL297" s="1005"/>
      <c r="RM297" s="1005"/>
      <c r="RN297" s="1005"/>
      <c r="RO297" s="1005"/>
      <c r="RP297" s="1005"/>
      <c r="RQ297" s="1005"/>
      <c r="RR297" s="1005"/>
      <c r="RS297" s="1005"/>
      <c r="RT297" s="1005"/>
      <c r="RU297" s="1005"/>
      <c r="RV297" s="1005"/>
      <c r="RW297" s="1005"/>
      <c r="RX297" s="1005"/>
      <c r="RY297" s="1005"/>
      <c r="RZ297" s="1005"/>
      <c r="SA297" s="1005"/>
      <c r="SB297" s="1005"/>
      <c r="SC297" s="1005"/>
      <c r="SD297" s="1005"/>
      <c r="SE297" s="1005"/>
      <c r="SF297" s="1005"/>
      <c r="SG297" s="1005"/>
      <c r="SH297" s="1005"/>
      <c r="SI297" s="1005"/>
      <c r="SJ297" s="1005"/>
      <c r="SK297" s="1005"/>
      <c r="SL297" s="1005"/>
      <c r="SM297" s="1005"/>
      <c r="SN297" s="1005"/>
      <c r="SO297" s="1005"/>
      <c r="SP297" s="1005"/>
      <c r="SQ297" s="1005"/>
      <c r="SR297" s="1005"/>
      <c r="SS297" s="1005"/>
      <c r="ST297" s="1005"/>
      <c r="SU297" s="1005"/>
      <c r="SV297" s="1005"/>
      <c r="SW297" s="1005"/>
      <c r="SX297" s="1005"/>
      <c r="SY297" s="1005"/>
      <c r="SZ297" s="1005"/>
      <c r="TA297" s="1005"/>
      <c r="TB297" s="1005"/>
      <c r="TC297" s="1005"/>
      <c r="TD297" s="1005"/>
      <c r="TE297" s="1005"/>
      <c r="TF297" s="1005"/>
      <c r="TG297" s="1005"/>
      <c r="TH297" s="1005"/>
      <c r="TI297" s="1005"/>
      <c r="TJ297" s="1005"/>
      <c r="TK297" s="1005"/>
      <c r="TL297" s="1005"/>
      <c r="TM297" s="1005"/>
      <c r="TN297" s="1005"/>
      <c r="TO297" s="1005"/>
      <c r="TP297" s="1005"/>
      <c r="TQ297" s="1005"/>
      <c r="TR297" s="1005"/>
      <c r="TS297" s="1005"/>
      <c r="TT297" s="1005"/>
      <c r="TU297" s="1005"/>
      <c r="TV297" s="1005"/>
      <c r="TW297" s="1005"/>
      <c r="TX297" s="1005"/>
      <c r="TY297" s="1005"/>
      <c r="TZ297" s="1005"/>
      <c r="UA297" s="1005"/>
      <c r="UB297" s="1005"/>
      <c r="UC297" s="1005"/>
      <c r="UD297" s="1005"/>
      <c r="UE297" s="1005"/>
      <c r="UF297" s="1005"/>
      <c r="UG297" s="1005"/>
      <c r="UH297" s="1005"/>
      <c r="UI297" s="1005"/>
      <c r="UJ297" s="1005"/>
      <c r="UK297" s="1005"/>
      <c r="UL297" s="1005"/>
      <c r="UM297" s="1005"/>
      <c r="UN297" s="1005"/>
      <c r="UO297" s="1005"/>
      <c r="UP297" s="1005"/>
      <c r="UQ297" s="1005"/>
      <c r="UR297" s="1005"/>
      <c r="US297" s="1005"/>
      <c r="UT297" s="1005"/>
      <c r="UU297" s="1005"/>
      <c r="UV297" s="1005"/>
      <c r="UW297" s="1005"/>
      <c r="UX297" s="1005"/>
      <c r="UY297" s="1005"/>
      <c r="UZ297" s="1005"/>
      <c r="VA297" s="1005"/>
      <c r="VB297" s="1005"/>
      <c r="VC297" s="1005"/>
      <c r="VD297" s="1005"/>
      <c r="VE297" s="1005"/>
      <c r="VF297" s="1005"/>
      <c r="VG297" s="1005"/>
      <c r="VH297" s="1005"/>
      <c r="VI297" s="1005"/>
      <c r="VJ297" s="1005"/>
      <c r="VK297" s="1005"/>
      <c r="VL297" s="1005"/>
      <c r="VM297" s="1005"/>
      <c r="VN297" s="1005"/>
      <c r="VO297" s="1005"/>
      <c r="VP297" s="1005"/>
      <c r="VQ297" s="1005"/>
      <c r="VR297" s="1005"/>
      <c r="VS297" s="1005"/>
      <c r="VT297" s="1005"/>
      <c r="VU297" s="1005"/>
      <c r="VV297" s="1005"/>
      <c r="VW297" s="1005"/>
      <c r="VX297" s="1005"/>
      <c r="VY297" s="1005"/>
      <c r="VZ297" s="1005"/>
      <c r="WA297" s="1005"/>
      <c r="WB297" s="1005"/>
      <c r="WC297" s="1005"/>
      <c r="WD297" s="1005"/>
      <c r="WE297" s="1005"/>
      <c r="WF297" s="1005"/>
      <c r="WG297" s="1005"/>
      <c r="WH297" s="1005"/>
      <c r="WI297" s="1005"/>
      <c r="WJ297" s="1005"/>
      <c r="WK297" s="1005"/>
      <c r="WL297" s="1005"/>
      <c r="WM297" s="1005"/>
      <c r="WN297" s="1005"/>
      <c r="WO297" s="1005"/>
      <c r="WP297" s="1005"/>
      <c r="WQ297" s="1005"/>
      <c r="WR297" s="1005"/>
      <c r="WS297" s="1005"/>
      <c r="WT297" s="1005"/>
      <c r="WU297" s="1005"/>
      <c r="WV297" s="1005"/>
      <c r="WW297" s="1005"/>
      <c r="WX297" s="1005"/>
      <c r="WY297" s="1005"/>
      <c r="WZ297" s="1005"/>
      <c r="XA297" s="1005"/>
      <c r="XB297" s="1005"/>
      <c r="XC297" s="1005"/>
      <c r="XD297" s="1005"/>
      <c r="XE297" s="1005"/>
      <c r="XF297" s="1005"/>
      <c r="XG297" s="1005"/>
      <c r="XH297" s="1005"/>
      <c r="XI297" s="1005"/>
      <c r="XJ297" s="1005"/>
      <c r="XK297" s="1005"/>
      <c r="XL297" s="1005"/>
      <c r="XM297" s="1005"/>
      <c r="XN297" s="1005"/>
      <c r="XO297" s="1005"/>
      <c r="XP297" s="1005"/>
      <c r="XQ297" s="1005"/>
      <c r="XR297" s="1005"/>
      <c r="XS297" s="1005"/>
      <c r="XT297" s="1005"/>
      <c r="XU297" s="1005"/>
      <c r="XV297" s="1005"/>
      <c r="XW297" s="1005"/>
      <c r="XX297" s="1005"/>
      <c r="XY297" s="1005"/>
      <c r="XZ297" s="1005"/>
      <c r="YA297" s="1005"/>
      <c r="YB297" s="1005"/>
      <c r="YC297" s="1005"/>
      <c r="YD297" s="1005"/>
      <c r="YE297" s="1005"/>
      <c r="YF297" s="1005"/>
      <c r="YG297" s="1005"/>
      <c r="YH297" s="1005"/>
      <c r="YI297" s="1005"/>
      <c r="YJ297" s="1005"/>
      <c r="YK297" s="1005"/>
      <c r="YL297" s="1005"/>
      <c r="YM297" s="1005"/>
      <c r="YN297" s="1005"/>
      <c r="YO297" s="1005"/>
      <c r="YP297" s="1005"/>
      <c r="YQ297" s="1005"/>
      <c r="YR297" s="1005"/>
      <c r="YS297" s="1005"/>
      <c r="YT297" s="1005"/>
      <c r="YU297" s="1005"/>
      <c r="YV297" s="1005"/>
      <c r="YW297" s="1005"/>
      <c r="YX297" s="1005"/>
      <c r="YY297" s="1005"/>
      <c r="YZ297" s="1005"/>
      <c r="ZA297" s="1005"/>
      <c r="ZB297" s="1005"/>
      <c r="ZC297" s="1005"/>
      <c r="ZD297" s="1005"/>
      <c r="ZE297" s="1005"/>
      <c r="ZF297" s="1005"/>
      <c r="ZG297" s="1005"/>
      <c r="ZH297" s="1005"/>
      <c r="ZI297" s="1005"/>
      <c r="ZJ297" s="1005"/>
      <c r="ZK297" s="1005"/>
      <c r="ZL297" s="1005"/>
      <c r="ZM297" s="1005"/>
      <c r="ZN297" s="1005"/>
      <c r="ZO297" s="1005"/>
      <c r="ZP297" s="1005"/>
      <c r="ZQ297" s="1005"/>
      <c r="ZR297" s="1005"/>
      <c r="ZS297" s="1005"/>
      <c r="ZT297" s="1005"/>
      <c r="ZU297" s="1005"/>
      <c r="ZV297" s="1005"/>
      <c r="ZW297" s="1005"/>
      <c r="ZX297" s="1005"/>
      <c r="ZY297" s="1005"/>
      <c r="ZZ297" s="1005"/>
      <c r="AAA297" s="1005"/>
      <c r="AAB297" s="1005"/>
      <c r="AAC297" s="1005"/>
      <c r="AAD297" s="1005"/>
      <c r="AAE297" s="1005"/>
      <c r="AAF297" s="1005"/>
      <c r="AAG297" s="1005"/>
      <c r="AAH297" s="1005"/>
      <c r="AAI297" s="1005"/>
      <c r="AAJ297" s="1005"/>
      <c r="AAK297" s="1005"/>
      <c r="AAL297" s="1005"/>
      <c r="AAM297" s="1005"/>
      <c r="AAN297" s="1005"/>
      <c r="AAO297" s="1005"/>
      <c r="AAP297" s="1005"/>
      <c r="AAQ297" s="1005"/>
      <c r="AAR297" s="1005"/>
      <c r="AAS297" s="1005"/>
      <c r="AAT297" s="1005"/>
      <c r="AAU297" s="1005"/>
      <c r="AAV297" s="1005"/>
      <c r="AAW297" s="1005"/>
      <c r="AAX297" s="1005"/>
      <c r="AAY297" s="1005"/>
      <c r="AAZ297" s="1005"/>
      <c r="ABA297" s="1005"/>
      <c r="ABB297" s="1005"/>
      <c r="ABC297" s="1005"/>
      <c r="ABD297" s="1005"/>
      <c r="ABE297" s="1005"/>
      <c r="ABF297" s="1005"/>
      <c r="ABG297" s="1005"/>
      <c r="ABH297" s="1005"/>
      <c r="ABI297" s="1005"/>
      <c r="ABJ297" s="1005"/>
      <c r="ABK297" s="1005"/>
      <c r="ABL297" s="1005"/>
      <c r="ABM297" s="1005"/>
      <c r="ABN297" s="1005"/>
      <c r="ABO297" s="1005"/>
      <c r="ABP297" s="1005"/>
      <c r="ABQ297" s="1005"/>
      <c r="ABR297" s="1005"/>
    </row>
    <row r="298" spans="1:746" s="113" customFormat="1" ht="12" hidden="1" customHeight="1">
      <c r="A298" s="1252"/>
      <c r="B298" s="2508" t="s">
        <v>1352</v>
      </c>
      <c r="C298" s="2507"/>
      <c r="D298" s="2500"/>
      <c r="E298" s="2925"/>
      <c r="F298" s="2926"/>
      <c r="G298" s="2927"/>
      <c r="H298" s="2501"/>
      <c r="I298" s="368"/>
      <c r="J298" s="368"/>
      <c r="K298" s="368"/>
      <c r="L298" s="368"/>
      <c r="M298" s="368"/>
      <c r="N298" s="368"/>
      <c r="O298" s="368"/>
      <c r="P298" s="368"/>
      <c r="Q298" s="368"/>
      <c r="R298" s="368"/>
      <c r="S298" s="368"/>
      <c r="T298" s="368"/>
      <c r="U298" s="368"/>
      <c r="V298" s="368"/>
      <c r="W298" s="368"/>
      <c r="X298" s="368"/>
      <c r="Y298" s="368"/>
      <c r="Z298" s="368"/>
      <c r="AA298" s="368"/>
      <c r="AB298" s="368"/>
      <c r="AC298" s="368"/>
      <c r="AD298" s="368"/>
      <c r="AE298" s="368"/>
      <c r="AF298" s="368"/>
      <c r="AG298" s="337"/>
      <c r="AH298" s="1005"/>
      <c r="AI298" s="1005"/>
      <c r="AJ298" s="1956">
        <f>IF(fx!$C$57=1,SUMIF(fx!I$57:T$57,1,I298:T298),IF(fx!$C$57=2,SUMIF(fx!O$57:AF$57,1,O298:AF298)))</f>
        <v>0</v>
      </c>
      <c r="AK298" s="1207"/>
      <c r="AL298" s="1957">
        <f>IF(fx!$C$57=1,SUM(U298:AF298),0)</f>
        <v>0</v>
      </c>
      <c r="AM298" s="1036"/>
      <c r="AN298" s="1036"/>
      <c r="AO298" s="1034"/>
      <c r="AP298" s="1037"/>
      <c r="AQ298" s="1037"/>
      <c r="AR298" s="1005"/>
      <c r="AS298" s="1005"/>
      <c r="AT298" s="1005"/>
      <c r="AU298" s="1005"/>
      <c r="AV298" s="1005"/>
      <c r="AW298" s="1005"/>
      <c r="AX298" s="1005"/>
      <c r="AY298" s="1005"/>
      <c r="AZ298" s="1005"/>
      <c r="BA298" s="1005"/>
      <c r="BB298" s="1005"/>
      <c r="BC298" s="1005"/>
      <c r="BD298" s="1005"/>
      <c r="BE298" s="1005"/>
      <c r="BF298" s="1005"/>
      <c r="BG298" s="1005"/>
      <c r="BH298" s="1005"/>
      <c r="BI298" s="1005"/>
      <c r="BJ298" s="1005"/>
      <c r="BK298" s="1005"/>
      <c r="BL298" s="1005"/>
      <c r="BM298" s="1005"/>
      <c r="BN298" s="1005"/>
      <c r="BO298" s="1005"/>
      <c r="BP298" s="1005"/>
      <c r="BQ298" s="1005"/>
      <c r="BR298" s="1005"/>
      <c r="BS298" s="1005"/>
      <c r="BT298" s="1005"/>
      <c r="BU298" s="1005"/>
      <c r="BV298" s="1005"/>
      <c r="BW298" s="1005"/>
      <c r="BX298" s="1005"/>
      <c r="BY298" s="1005"/>
      <c r="BZ298" s="1005"/>
      <c r="CA298" s="1005"/>
      <c r="CB298" s="1005"/>
      <c r="CC298" s="1005"/>
      <c r="CD298" s="1005"/>
      <c r="CE298" s="1005"/>
      <c r="CF298" s="1005"/>
      <c r="CG298" s="1005"/>
      <c r="CH298" s="1005"/>
      <c r="CI298" s="1005"/>
      <c r="CJ298" s="1005"/>
      <c r="CK298" s="1005"/>
      <c r="CL298" s="1005"/>
      <c r="CM298" s="1005"/>
      <c r="CN298" s="1005"/>
      <c r="CO298" s="1005"/>
      <c r="CP298" s="1005"/>
      <c r="CQ298" s="1005"/>
      <c r="CR298" s="1005"/>
      <c r="CS298" s="1005"/>
      <c r="CT298" s="1005"/>
      <c r="CU298" s="1005"/>
      <c r="CV298" s="1005"/>
      <c r="CW298" s="1005"/>
      <c r="CX298" s="1005"/>
      <c r="CY298" s="1005"/>
      <c r="CZ298" s="1005"/>
      <c r="DA298" s="1005"/>
      <c r="DB298" s="1005"/>
      <c r="DC298" s="1005"/>
      <c r="DD298" s="1005"/>
      <c r="DE298" s="1005"/>
      <c r="DF298" s="1005"/>
      <c r="DG298" s="1005"/>
      <c r="DH298" s="1005"/>
      <c r="DI298" s="1005"/>
      <c r="DJ298" s="1005"/>
      <c r="DK298" s="1005"/>
      <c r="DL298" s="1005"/>
      <c r="DM298" s="1005"/>
      <c r="DN298" s="1005"/>
      <c r="DO298" s="1005"/>
      <c r="DP298" s="1005"/>
      <c r="DQ298" s="1005"/>
      <c r="DR298" s="1005"/>
      <c r="DS298" s="1005"/>
      <c r="DT298" s="1005"/>
      <c r="DU298" s="1005"/>
      <c r="DV298" s="1005"/>
      <c r="DW298" s="1005"/>
      <c r="DX298" s="1005"/>
      <c r="DY298" s="1005"/>
      <c r="DZ298" s="1005"/>
      <c r="EA298" s="1005"/>
      <c r="EB298" s="1005"/>
      <c r="EC298" s="1005"/>
      <c r="ED298" s="1005"/>
      <c r="EE298" s="1005"/>
      <c r="EF298" s="1005"/>
      <c r="EG298" s="1005"/>
      <c r="EH298" s="1005"/>
      <c r="EI298" s="1005"/>
      <c r="EJ298" s="1005"/>
      <c r="EK298" s="1005"/>
      <c r="EL298" s="1005"/>
      <c r="EM298" s="1005"/>
      <c r="EN298" s="1005"/>
      <c r="EO298" s="1005"/>
      <c r="EP298" s="1005"/>
      <c r="EQ298" s="1005"/>
      <c r="ER298" s="1005"/>
      <c r="ES298" s="1005"/>
      <c r="ET298" s="1005"/>
      <c r="EU298" s="1005"/>
      <c r="EV298" s="1005"/>
      <c r="EW298" s="1005"/>
      <c r="EX298" s="1005"/>
      <c r="EY298" s="1005"/>
      <c r="EZ298" s="1005"/>
      <c r="FA298" s="1005"/>
      <c r="FB298" s="1005"/>
      <c r="FC298" s="1005"/>
      <c r="FD298" s="1005"/>
      <c r="FE298" s="1005"/>
      <c r="FF298" s="1005"/>
      <c r="FG298" s="1005"/>
      <c r="FH298" s="1005"/>
      <c r="FI298" s="1005"/>
      <c r="FJ298" s="1005"/>
      <c r="FK298" s="1005"/>
      <c r="FL298" s="1005"/>
      <c r="FM298" s="1005"/>
      <c r="FN298" s="1005"/>
      <c r="FO298" s="1005"/>
      <c r="FP298" s="1005"/>
      <c r="FQ298" s="1005"/>
      <c r="FR298" s="1005"/>
      <c r="FS298" s="1005"/>
      <c r="FT298" s="1005"/>
      <c r="FU298" s="1005"/>
      <c r="FV298" s="1005"/>
      <c r="FW298" s="1005"/>
      <c r="FX298" s="1005"/>
      <c r="FY298" s="1005"/>
      <c r="FZ298" s="1005"/>
      <c r="GA298" s="1005"/>
      <c r="GB298" s="1005"/>
      <c r="GC298" s="1005"/>
      <c r="GD298" s="1005"/>
      <c r="GE298" s="1005"/>
      <c r="GF298" s="1005"/>
      <c r="GG298" s="1005"/>
      <c r="GH298" s="1005"/>
      <c r="GI298" s="1005"/>
      <c r="GJ298" s="1005"/>
      <c r="GK298" s="1005"/>
      <c r="GL298" s="1005"/>
      <c r="GM298" s="1005"/>
      <c r="GN298" s="1005"/>
      <c r="GO298" s="1005"/>
      <c r="GP298" s="1005"/>
      <c r="GQ298" s="1005"/>
      <c r="GR298" s="1005"/>
      <c r="GS298" s="1005"/>
      <c r="GT298" s="1005"/>
      <c r="GU298" s="1005"/>
      <c r="GV298" s="1005"/>
      <c r="GW298" s="1005"/>
      <c r="GX298" s="1005"/>
      <c r="GY298" s="1005"/>
      <c r="GZ298" s="1005"/>
      <c r="HA298" s="1005"/>
      <c r="HB298" s="1005"/>
      <c r="HC298" s="1005"/>
      <c r="HD298" s="1005"/>
      <c r="HE298" s="1005"/>
      <c r="HF298" s="1005"/>
      <c r="HG298" s="1005"/>
      <c r="HH298" s="1005"/>
      <c r="HI298" s="1005"/>
      <c r="HJ298" s="1005"/>
      <c r="HK298" s="1005"/>
      <c r="HL298" s="1005"/>
      <c r="HM298" s="1005"/>
      <c r="HN298" s="1005"/>
      <c r="HO298" s="1005"/>
      <c r="HP298" s="1005"/>
      <c r="HQ298" s="1005"/>
      <c r="HR298" s="1005"/>
      <c r="HS298" s="1005"/>
      <c r="HT298" s="1005"/>
      <c r="HU298" s="1005"/>
      <c r="HV298" s="1005"/>
      <c r="HW298" s="1005"/>
      <c r="HX298" s="1005"/>
      <c r="HY298" s="1005"/>
      <c r="HZ298" s="1005"/>
      <c r="IA298" s="1005"/>
      <c r="IB298" s="1005"/>
      <c r="IC298" s="1005"/>
      <c r="ID298" s="1005"/>
      <c r="IE298" s="1005"/>
      <c r="IF298" s="1005"/>
      <c r="IG298" s="1005"/>
      <c r="IH298" s="1005"/>
      <c r="II298" s="1005"/>
      <c r="IJ298" s="1005"/>
      <c r="IK298" s="1005"/>
      <c r="IL298" s="1005"/>
      <c r="IM298" s="1005"/>
      <c r="IN298" s="1005"/>
      <c r="IO298" s="1005"/>
      <c r="IP298" s="1005"/>
      <c r="IQ298" s="1005"/>
      <c r="IR298" s="1005"/>
      <c r="IS298" s="1005"/>
      <c r="IT298" s="1005"/>
      <c r="IU298" s="1005"/>
      <c r="IV298" s="1005"/>
      <c r="IW298" s="1005"/>
      <c r="IX298" s="1005"/>
      <c r="IY298" s="1005"/>
      <c r="IZ298" s="1005"/>
      <c r="JA298" s="1005"/>
      <c r="JB298" s="1005"/>
      <c r="JC298" s="1005"/>
      <c r="JD298" s="1005"/>
      <c r="JE298" s="1005"/>
      <c r="JF298" s="1005"/>
      <c r="JG298" s="1005"/>
      <c r="JH298" s="1005"/>
      <c r="JI298" s="1005"/>
      <c r="JJ298" s="1005"/>
      <c r="JK298" s="1005"/>
      <c r="JL298" s="1005"/>
      <c r="JM298" s="1005"/>
      <c r="JN298" s="1005"/>
      <c r="JO298" s="1005"/>
      <c r="JP298" s="1005"/>
      <c r="JQ298" s="1005"/>
      <c r="JR298" s="1005"/>
      <c r="JS298" s="1005"/>
      <c r="JT298" s="1005"/>
      <c r="JU298" s="1005"/>
      <c r="JV298" s="1005"/>
      <c r="JW298" s="1005"/>
      <c r="JX298" s="1005"/>
      <c r="JY298" s="1005"/>
      <c r="JZ298" s="1005"/>
      <c r="KA298" s="1005"/>
      <c r="KB298" s="1005"/>
      <c r="KC298" s="1005"/>
      <c r="KD298" s="1005"/>
      <c r="KE298" s="1005"/>
      <c r="KF298" s="1005"/>
      <c r="KG298" s="1005"/>
      <c r="KH298" s="1005"/>
      <c r="KI298" s="1005"/>
      <c r="KJ298" s="1005"/>
      <c r="KK298" s="1005"/>
      <c r="KL298" s="1005"/>
      <c r="KM298" s="1005"/>
      <c r="KN298" s="1005"/>
      <c r="KO298" s="1005"/>
      <c r="KP298" s="1005"/>
      <c r="KQ298" s="1005"/>
      <c r="KR298" s="1005"/>
      <c r="KS298" s="1005"/>
      <c r="KT298" s="1005"/>
      <c r="KU298" s="1005"/>
      <c r="KV298" s="1005"/>
      <c r="KW298" s="1005"/>
      <c r="KX298" s="1005"/>
      <c r="KY298" s="1005"/>
      <c r="KZ298" s="1005"/>
      <c r="LA298" s="1005"/>
      <c r="LB298" s="1005"/>
      <c r="LC298" s="1005"/>
      <c r="LD298" s="1005"/>
      <c r="LE298" s="1005"/>
      <c r="LF298" s="1005"/>
      <c r="LG298" s="1005"/>
      <c r="LH298" s="1005"/>
      <c r="LI298" s="1005"/>
      <c r="LJ298" s="1005"/>
      <c r="LK298" s="1005"/>
      <c r="LL298" s="1005"/>
      <c r="LM298" s="1005"/>
      <c r="LN298" s="1005"/>
      <c r="LO298" s="1005"/>
      <c r="LP298" s="1005"/>
      <c r="LQ298" s="1005"/>
      <c r="LR298" s="1005"/>
      <c r="LS298" s="1005"/>
      <c r="LT298" s="1005"/>
      <c r="LU298" s="1005"/>
      <c r="LV298" s="1005"/>
      <c r="LW298" s="1005"/>
      <c r="LX298" s="1005"/>
      <c r="LY298" s="1005"/>
      <c r="LZ298" s="1005"/>
      <c r="MA298" s="1005"/>
      <c r="MB298" s="1005"/>
      <c r="MC298" s="1005"/>
      <c r="MD298" s="1005"/>
      <c r="ME298" s="1005"/>
      <c r="MF298" s="1005"/>
      <c r="MG298" s="1005"/>
      <c r="MH298" s="1005"/>
      <c r="MI298" s="1005"/>
      <c r="MJ298" s="1005"/>
      <c r="MK298" s="1005"/>
      <c r="ML298" s="1005"/>
      <c r="MM298" s="1005"/>
      <c r="MN298" s="1005"/>
      <c r="MO298" s="1005"/>
      <c r="MP298" s="1005"/>
      <c r="MQ298" s="1005"/>
      <c r="MR298" s="1005"/>
      <c r="MS298" s="1005"/>
      <c r="MT298" s="1005"/>
      <c r="MU298" s="1005"/>
      <c r="MV298" s="1005"/>
      <c r="MW298" s="1005"/>
      <c r="MX298" s="1005"/>
      <c r="MY298" s="1005"/>
      <c r="MZ298" s="1005"/>
      <c r="NA298" s="1005"/>
      <c r="NB298" s="1005"/>
      <c r="NC298" s="1005"/>
      <c r="ND298" s="1005"/>
      <c r="NE298" s="1005"/>
      <c r="NF298" s="1005"/>
      <c r="NG298" s="1005"/>
      <c r="NH298" s="1005"/>
      <c r="NI298" s="1005"/>
      <c r="NJ298" s="1005"/>
      <c r="NK298" s="1005"/>
      <c r="NL298" s="1005"/>
      <c r="NM298" s="1005"/>
      <c r="NN298" s="1005"/>
      <c r="NO298" s="1005"/>
      <c r="NP298" s="1005"/>
      <c r="NQ298" s="1005"/>
      <c r="NR298" s="1005"/>
      <c r="NS298" s="1005"/>
      <c r="NT298" s="1005"/>
      <c r="NU298" s="1005"/>
      <c r="NV298" s="1005"/>
      <c r="NW298" s="1005"/>
      <c r="NX298" s="1005"/>
      <c r="NY298" s="1005"/>
      <c r="NZ298" s="1005"/>
      <c r="OA298" s="1005"/>
      <c r="OB298" s="1005"/>
      <c r="OC298" s="1005"/>
      <c r="OD298" s="1005"/>
      <c r="OE298" s="1005"/>
      <c r="OF298" s="1005"/>
      <c r="OG298" s="1005"/>
      <c r="OH298" s="1005"/>
      <c r="OI298" s="1005"/>
      <c r="OJ298" s="1005"/>
      <c r="OK298" s="1005"/>
      <c r="OL298" s="1005"/>
      <c r="OM298" s="1005"/>
      <c r="ON298" s="1005"/>
      <c r="OO298" s="1005"/>
      <c r="OP298" s="1005"/>
      <c r="OQ298" s="1005"/>
      <c r="OR298" s="1005"/>
      <c r="OS298" s="1005"/>
      <c r="OT298" s="1005"/>
      <c r="OU298" s="1005"/>
      <c r="OV298" s="1005"/>
      <c r="OW298" s="1005"/>
      <c r="OX298" s="1005"/>
      <c r="OY298" s="1005"/>
      <c r="OZ298" s="1005"/>
      <c r="PA298" s="1005"/>
      <c r="PB298" s="1005"/>
      <c r="PC298" s="1005"/>
      <c r="PD298" s="1005"/>
      <c r="PE298" s="1005"/>
      <c r="PF298" s="1005"/>
      <c r="PG298" s="1005"/>
      <c r="PH298" s="1005"/>
      <c r="PI298" s="1005"/>
      <c r="PJ298" s="1005"/>
      <c r="PK298" s="1005"/>
      <c r="PL298" s="1005"/>
      <c r="PM298" s="1005"/>
      <c r="PN298" s="1005"/>
      <c r="PO298" s="1005"/>
      <c r="PP298" s="1005"/>
      <c r="PQ298" s="1005"/>
      <c r="PR298" s="1005"/>
      <c r="PS298" s="1005"/>
      <c r="PT298" s="1005"/>
      <c r="PU298" s="1005"/>
      <c r="PV298" s="1005"/>
      <c r="PW298" s="1005"/>
      <c r="PX298" s="1005"/>
      <c r="PY298" s="1005"/>
      <c r="PZ298" s="1005"/>
      <c r="QA298" s="1005"/>
      <c r="QB298" s="1005"/>
      <c r="QC298" s="1005"/>
      <c r="QD298" s="1005"/>
      <c r="QE298" s="1005"/>
      <c r="QF298" s="1005"/>
      <c r="QG298" s="1005"/>
      <c r="QH298" s="1005"/>
      <c r="QI298" s="1005"/>
      <c r="QJ298" s="1005"/>
      <c r="QK298" s="1005"/>
      <c r="QL298" s="1005"/>
      <c r="QM298" s="1005"/>
      <c r="QN298" s="1005"/>
      <c r="QO298" s="1005"/>
      <c r="QP298" s="1005"/>
      <c r="QQ298" s="1005"/>
      <c r="QR298" s="1005"/>
      <c r="QS298" s="1005"/>
      <c r="QT298" s="1005"/>
      <c r="QU298" s="1005"/>
      <c r="QV298" s="1005"/>
      <c r="QW298" s="1005"/>
      <c r="QX298" s="1005"/>
      <c r="QY298" s="1005"/>
      <c r="QZ298" s="1005"/>
      <c r="RA298" s="1005"/>
      <c r="RB298" s="1005"/>
      <c r="RC298" s="1005"/>
      <c r="RD298" s="1005"/>
      <c r="RE298" s="1005"/>
      <c r="RF298" s="1005"/>
      <c r="RG298" s="1005"/>
      <c r="RH298" s="1005"/>
      <c r="RI298" s="1005"/>
      <c r="RJ298" s="1005"/>
      <c r="RK298" s="1005"/>
      <c r="RL298" s="1005"/>
      <c r="RM298" s="1005"/>
      <c r="RN298" s="1005"/>
      <c r="RO298" s="1005"/>
      <c r="RP298" s="1005"/>
      <c r="RQ298" s="1005"/>
      <c r="RR298" s="1005"/>
      <c r="RS298" s="1005"/>
      <c r="RT298" s="1005"/>
      <c r="RU298" s="1005"/>
      <c r="RV298" s="1005"/>
      <c r="RW298" s="1005"/>
      <c r="RX298" s="1005"/>
      <c r="RY298" s="1005"/>
      <c r="RZ298" s="1005"/>
      <c r="SA298" s="1005"/>
      <c r="SB298" s="1005"/>
      <c r="SC298" s="1005"/>
      <c r="SD298" s="1005"/>
      <c r="SE298" s="1005"/>
      <c r="SF298" s="1005"/>
      <c r="SG298" s="1005"/>
      <c r="SH298" s="1005"/>
      <c r="SI298" s="1005"/>
      <c r="SJ298" s="1005"/>
      <c r="SK298" s="1005"/>
      <c r="SL298" s="1005"/>
      <c r="SM298" s="1005"/>
      <c r="SN298" s="1005"/>
      <c r="SO298" s="1005"/>
      <c r="SP298" s="1005"/>
      <c r="SQ298" s="1005"/>
      <c r="SR298" s="1005"/>
      <c r="SS298" s="1005"/>
      <c r="ST298" s="1005"/>
      <c r="SU298" s="1005"/>
      <c r="SV298" s="1005"/>
      <c r="SW298" s="1005"/>
      <c r="SX298" s="1005"/>
      <c r="SY298" s="1005"/>
      <c r="SZ298" s="1005"/>
      <c r="TA298" s="1005"/>
      <c r="TB298" s="1005"/>
      <c r="TC298" s="1005"/>
      <c r="TD298" s="1005"/>
      <c r="TE298" s="1005"/>
      <c r="TF298" s="1005"/>
      <c r="TG298" s="1005"/>
      <c r="TH298" s="1005"/>
      <c r="TI298" s="1005"/>
      <c r="TJ298" s="1005"/>
      <c r="TK298" s="1005"/>
      <c r="TL298" s="1005"/>
      <c r="TM298" s="1005"/>
      <c r="TN298" s="1005"/>
      <c r="TO298" s="1005"/>
      <c r="TP298" s="1005"/>
      <c r="TQ298" s="1005"/>
      <c r="TR298" s="1005"/>
      <c r="TS298" s="1005"/>
      <c r="TT298" s="1005"/>
      <c r="TU298" s="1005"/>
      <c r="TV298" s="1005"/>
      <c r="TW298" s="1005"/>
      <c r="TX298" s="1005"/>
      <c r="TY298" s="1005"/>
      <c r="TZ298" s="1005"/>
      <c r="UA298" s="1005"/>
      <c r="UB298" s="1005"/>
      <c r="UC298" s="1005"/>
      <c r="UD298" s="1005"/>
      <c r="UE298" s="1005"/>
      <c r="UF298" s="1005"/>
      <c r="UG298" s="1005"/>
      <c r="UH298" s="1005"/>
      <c r="UI298" s="1005"/>
      <c r="UJ298" s="1005"/>
      <c r="UK298" s="1005"/>
      <c r="UL298" s="1005"/>
      <c r="UM298" s="1005"/>
      <c r="UN298" s="1005"/>
      <c r="UO298" s="1005"/>
      <c r="UP298" s="1005"/>
      <c r="UQ298" s="1005"/>
      <c r="UR298" s="1005"/>
      <c r="US298" s="1005"/>
      <c r="UT298" s="1005"/>
      <c r="UU298" s="1005"/>
      <c r="UV298" s="1005"/>
      <c r="UW298" s="1005"/>
      <c r="UX298" s="1005"/>
      <c r="UY298" s="1005"/>
      <c r="UZ298" s="1005"/>
      <c r="VA298" s="1005"/>
      <c r="VB298" s="1005"/>
      <c r="VC298" s="1005"/>
      <c r="VD298" s="1005"/>
      <c r="VE298" s="1005"/>
      <c r="VF298" s="1005"/>
      <c r="VG298" s="1005"/>
      <c r="VH298" s="1005"/>
      <c r="VI298" s="1005"/>
      <c r="VJ298" s="1005"/>
      <c r="VK298" s="1005"/>
      <c r="VL298" s="1005"/>
      <c r="VM298" s="1005"/>
      <c r="VN298" s="1005"/>
      <c r="VO298" s="1005"/>
      <c r="VP298" s="1005"/>
      <c r="VQ298" s="1005"/>
      <c r="VR298" s="1005"/>
      <c r="VS298" s="1005"/>
      <c r="VT298" s="1005"/>
      <c r="VU298" s="1005"/>
      <c r="VV298" s="1005"/>
      <c r="VW298" s="1005"/>
      <c r="VX298" s="1005"/>
      <c r="VY298" s="1005"/>
      <c r="VZ298" s="1005"/>
      <c r="WA298" s="1005"/>
      <c r="WB298" s="1005"/>
      <c r="WC298" s="1005"/>
      <c r="WD298" s="1005"/>
      <c r="WE298" s="1005"/>
      <c r="WF298" s="1005"/>
      <c r="WG298" s="1005"/>
      <c r="WH298" s="1005"/>
      <c r="WI298" s="1005"/>
      <c r="WJ298" s="1005"/>
      <c r="WK298" s="1005"/>
      <c r="WL298" s="1005"/>
      <c r="WM298" s="1005"/>
      <c r="WN298" s="1005"/>
      <c r="WO298" s="1005"/>
      <c r="WP298" s="1005"/>
      <c r="WQ298" s="1005"/>
      <c r="WR298" s="1005"/>
      <c r="WS298" s="1005"/>
      <c r="WT298" s="1005"/>
      <c r="WU298" s="1005"/>
      <c r="WV298" s="1005"/>
      <c r="WW298" s="1005"/>
      <c r="WX298" s="1005"/>
      <c r="WY298" s="1005"/>
      <c r="WZ298" s="1005"/>
      <c r="XA298" s="1005"/>
      <c r="XB298" s="1005"/>
      <c r="XC298" s="1005"/>
      <c r="XD298" s="1005"/>
      <c r="XE298" s="1005"/>
      <c r="XF298" s="1005"/>
      <c r="XG298" s="1005"/>
      <c r="XH298" s="1005"/>
      <c r="XI298" s="1005"/>
      <c r="XJ298" s="1005"/>
      <c r="XK298" s="1005"/>
      <c r="XL298" s="1005"/>
      <c r="XM298" s="1005"/>
      <c r="XN298" s="1005"/>
      <c r="XO298" s="1005"/>
      <c r="XP298" s="1005"/>
      <c r="XQ298" s="1005"/>
      <c r="XR298" s="1005"/>
      <c r="XS298" s="1005"/>
      <c r="XT298" s="1005"/>
      <c r="XU298" s="1005"/>
      <c r="XV298" s="1005"/>
      <c r="XW298" s="1005"/>
      <c r="XX298" s="1005"/>
      <c r="XY298" s="1005"/>
      <c r="XZ298" s="1005"/>
      <c r="YA298" s="1005"/>
      <c r="YB298" s="1005"/>
      <c r="YC298" s="1005"/>
      <c r="YD298" s="1005"/>
      <c r="YE298" s="1005"/>
      <c r="YF298" s="1005"/>
      <c r="YG298" s="1005"/>
      <c r="YH298" s="1005"/>
      <c r="YI298" s="1005"/>
      <c r="YJ298" s="1005"/>
      <c r="YK298" s="1005"/>
      <c r="YL298" s="1005"/>
      <c r="YM298" s="1005"/>
      <c r="YN298" s="1005"/>
      <c r="YO298" s="1005"/>
      <c r="YP298" s="1005"/>
      <c r="YQ298" s="1005"/>
      <c r="YR298" s="1005"/>
      <c r="YS298" s="1005"/>
      <c r="YT298" s="1005"/>
      <c r="YU298" s="1005"/>
      <c r="YV298" s="1005"/>
      <c r="YW298" s="1005"/>
      <c r="YX298" s="1005"/>
      <c r="YY298" s="1005"/>
      <c r="YZ298" s="1005"/>
      <c r="ZA298" s="1005"/>
      <c r="ZB298" s="1005"/>
      <c r="ZC298" s="1005"/>
      <c r="ZD298" s="1005"/>
      <c r="ZE298" s="1005"/>
      <c r="ZF298" s="1005"/>
      <c r="ZG298" s="1005"/>
      <c r="ZH298" s="1005"/>
      <c r="ZI298" s="1005"/>
      <c r="ZJ298" s="1005"/>
      <c r="ZK298" s="1005"/>
      <c r="ZL298" s="1005"/>
      <c r="ZM298" s="1005"/>
      <c r="ZN298" s="1005"/>
      <c r="ZO298" s="1005"/>
      <c r="ZP298" s="1005"/>
      <c r="ZQ298" s="1005"/>
      <c r="ZR298" s="1005"/>
      <c r="ZS298" s="1005"/>
      <c r="ZT298" s="1005"/>
      <c r="ZU298" s="1005"/>
      <c r="ZV298" s="1005"/>
      <c r="ZW298" s="1005"/>
      <c r="ZX298" s="1005"/>
      <c r="ZY298" s="1005"/>
      <c r="ZZ298" s="1005"/>
      <c r="AAA298" s="1005"/>
      <c r="AAB298" s="1005"/>
      <c r="AAC298" s="1005"/>
      <c r="AAD298" s="1005"/>
      <c r="AAE298" s="1005"/>
      <c r="AAF298" s="1005"/>
      <c r="AAG298" s="1005"/>
      <c r="AAH298" s="1005"/>
      <c r="AAI298" s="1005"/>
      <c r="AAJ298" s="1005"/>
      <c r="AAK298" s="1005"/>
      <c r="AAL298" s="1005"/>
      <c r="AAM298" s="1005"/>
      <c r="AAN298" s="1005"/>
      <c r="AAO298" s="1005"/>
      <c r="AAP298" s="1005"/>
      <c r="AAQ298" s="1005"/>
      <c r="AAR298" s="1005"/>
      <c r="AAS298" s="1005"/>
      <c r="AAT298" s="1005"/>
      <c r="AAU298" s="1005"/>
      <c r="AAV298" s="1005"/>
      <c r="AAW298" s="1005"/>
      <c r="AAX298" s="1005"/>
      <c r="AAY298" s="1005"/>
      <c r="AAZ298" s="1005"/>
      <c r="ABA298" s="1005"/>
      <c r="ABB298" s="1005"/>
      <c r="ABC298" s="1005"/>
      <c r="ABD298" s="1005"/>
      <c r="ABE298" s="1005"/>
      <c r="ABF298" s="1005"/>
      <c r="ABG298" s="1005"/>
      <c r="ABH298" s="1005"/>
      <c r="ABI298" s="1005"/>
      <c r="ABJ298" s="1005"/>
      <c r="ABK298" s="1005"/>
      <c r="ABL298" s="1005"/>
      <c r="ABM298" s="1005"/>
      <c r="ABN298" s="1005"/>
      <c r="ABO298" s="1005"/>
      <c r="ABP298" s="1005"/>
      <c r="ABQ298" s="1005"/>
      <c r="ABR298" s="1005"/>
    </row>
    <row r="299" spans="1:746" s="113" customFormat="1" ht="12" hidden="1" customHeight="1">
      <c r="A299" s="1252"/>
      <c r="B299" s="2508" t="s">
        <v>1353</v>
      </c>
      <c r="C299" s="2507"/>
      <c r="D299" s="2500"/>
      <c r="E299" s="2925"/>
      <c r="F299" s="2926"/>
      <c r="G299" s="2927"/>
      <c r="H299" s="2501"/>
      <c r="I299" s="368"/>
      <c r="J299" s="368"/>
      <c r="K299" s="368"/>
      <c r="L299" s="368"/>
      <c r="M299" s="368"/>
      <c r="N299" s="368"/>
      <c r="O299" s="368"/>
      <c r="P299" s="368"/>
      <c r="Q299" s="368"/>
      <c r="R299" s="368"/>
      <c r="S299" s="368"/>
      <c r="T299" s="368"/>
      <c r="U299" s="368"/>
      <c r="V299" s="368"/>
      <c r="W299" s="368"/>
      <c r="X299" s="368"/>
      <c r="Y299" s="368"/>
      <c r="Z299" s="368"/>
      <c r="AA299" s="368"/>
      <c r="AB299" s="368"/>
      <c r="AC299" s="368"/>
      <c r="AD299" s="368"/>
      <c r="AE299" s="368"/>
      <c r="AF299" s="368"/>
      <c r="AG299" s="337"/>
      <c r="AH299" s="1005"/>
      <c r="AI299" s="1005"/>
      <c r="AJ299" s="1956">
        <f>IF(fx!$C$57=1,SUMIF(fx!I$57:T$57,1,I299:T299),IF(fx!$C$57=2,SUMIF(fx!O$57:AF$57,1,O299:AF299)))</f>
        <v>0</v>
      </c>
      <c r="AK299" s="1207"/>
      <c r="AL299" s="1957">
        <f>IF(fx!$C$57=1,SUM(U299:AF299),0)</f>
        <v>0</v>
      </c>
      <c r="AM299" s="1036"/>
      <c r="AN299" s="1036"/>
      <c r="AO299" s="1034"/>
      <c r="AP299" s="1037"/>
      <c r="AQ299" s="1037"/>
      <c r="AR299" s="1005"/>
      <c r="AS299" s="1005"/>
      <c r="AT299" s="1005"/>
      <c r="AU299" s="1005"/>
      <c r="AV299" s="1005"/>
      <c r="AW299" s="1005"/>
      <c r="AX299" s="1005"/>
      <c r="AY299" s="1005"/>
      <c r="AZ299" s="1005"/>
      <c r="BA299" s="1005"/>
      <c r="BB299" s="1005"/>
      <c r="BC299" s="1005"/>
      <c r="BD299" s="1005"/>
      <c r="BE299" s="1005"/>
      <c r="BF299" s="1005"/>
      <c r="BG299" s="1005"/>
      <c r="BH299" s="1005"/>
      <c r="BI299" s="1005"/>
      <c r="BJ299" s="1005"/>
      <c r="BK299" s="1005"/>
      <c r="BL299" s="1005"/>
      <c r="BM299" s="1005"/>
      <c r="BN299" s="1005"/>
      <c r="BO299" s="1005"/>
      <c r="BP299" s="1005"/>
      <c r="BQ299" s="1005"/>
      <c r="BR299" s="1005"/>
      <c r="BS299" s="1005"/>
      <c r="BT299" s="1005"/>
      <c r="BU299" s="1005"/>
      <c r="BV299" s="1005"/>
      <c r="BW299" s="1005"/>
      <c r="BX299" s="1005"/>
      <c r="BY299" s="1005"/>
      <c r="BZ299" s="1005"/>
      <c r="CA299" s="1005"/>
      <c r="CB299" s="1005"/>
      <c r="CC299" s="1005"/>
      <c r="CD299" s="1005"/>
      <c r="CE299" s="1005"/>
      <c r="CF299" s="1005"/>
      <c r="CG299" s="1005"/>
      <c r="CH299" s="1005"/>
      <c r="CI299" s="1005"/>
      <c r="CJ299" s="1005"/>
      <c r="CK299" s="1005"/>
      <c r="CL299" s="1005"/>
      <c r="CM299" s="1005"/>
      <c r="CN299" s="1005"/>
      <c r="CO299" s="1005"/>
      <c r="CP299" s="1005"/>
      <c r="CQ299" s="1005"/>
      <c r="CR299" s="1005"/>
      <c r="CS299" s="1005"/>
      <c r="CT299" s="1005"/>
      <c r="CU299" s="1005"/>
      <c r="CV299" s="1005"/>
      <c r="CW299" s="1005"/>
      <c r="CX299" s="1005"/>
      <c r="CY299" s="1005"/>
      <c r="CZ299" s="1005"/>
      <c r="DA299" s="1005"/>
      <c r="DB299" s="1005"/>
      <c r="DC299" s="1005"/>
      <c r="DD299" s="1005"/>
      <c r="DE299" s="1005"/>
      <c r="DF299" s="1005"/>
      <c r="DG299" s="1005"/>
      <c r="DH299" s="1005"/>
      <c r="DI299" s="1005"/>
      <c r="DJ299" s="1005"/>
      <c r="DK299" s="1005"/>
      <c r="DL299" s="1005"/>
      <c r="DM299" s="1005"/>
      <c r="DN299" s="1005"/>
      <c r="DO299" s="1005"/>
      <c r="DP299" s="1005"/>
      <c r="DQ299" s="1005"/>
      <c r="DR299" s="1005"/>
      <c r="DS299" s="1005"/>
      <c r="DT299" s="1005"/>
      <c r="DU299" s="1005"/>
      <c r="DV299" s="1005"/>
      <c r="DW299" s="1005"/>
      <c r="DX299" s="1005"/>
      <c r="DY299" s="1005"/>
      <c r="DZ299" s="1005"/>
      <c r="EA299" s="1005"/>
      <c r="EB299" s="1005"/>
      <c r="EC299" s="1005"/>
      <c r="ED299" s="1005"/>
      <c r="EE299" s="1005"/>
      <c r="EF299" s="1005"/>
      <c r="EG299" s="1005"/>
      <c r="EH299" s="1005"/>
      <c r="EI299" s="1005"/>
      <c r="EJ299" s="1005"/>
      <c r="EK299" s="1005"/>
      <c r="EL299" s="1005"/>
      <c r="EM299" s="1005"/>
      <c r="EN299" s="1005"/>
      <c r="EO299" s="1005"/>
      <c r="EP299" s="1005"/>
      <c r="EQ299" s="1005"/>
      <c r="ER299" s="1005"/>
      <c r="ES299" s="1005"/>
      <c r="ET299" s="1005"/>
      <c r="EU299" s="1005"/>
      <c r="EV299" s="1005"/>
      <c r="EW299" s="1005"/>
      <c r="EX299" s="1005"/>
      <c r="EY299" s="1005"/>
      <c r="EZ299" s="1005"/>
      <c r="FA299" s="1005"/>
      <c r="FB299" s="1005"/>
      <c r="FC299" s="1005"/>
      <c r="FD299" s="1005"/>
      <c r="FE299" s="1005"/>
      <c r="FF299" s="1005"/>
      <c r="FG299" s="1005"/>
      <c r="FH299" s="1005"/>
      <c r="FI299" s="1005"/>
      <c r="FJ299" s="1005"/>
      <c r="FK299" s="1005"/>
      <c r="FL299" s="1005"/>
      <c r="FM299" s="1005"/>
      <c r="FN299" s="1005"/>
      <c r="FO299" s="1005"/>
      <c r="FP299" s="1005"/>
      <c r="FQ299" s="1005"/>
      <c r="FR299" s="1005"/>
      <c r="FS299" s="1005"/>
      <c r="FT299" s="1005"/>
      <c r="FU299" s="1005"/>
      <c r="FV299" s="1005"/>
      <c r="FW299" s="1005"/>
      <c r="FX299" s="1005"/>
      <c r="FY299" s="1005"/>
      <c r="FZ299" s="1005"/>
      <c r="GA299" s="1005"/>
      <c r="GB299" s="1005"/>
      <c r="GC299" s="1005"/>
      <c r="GD299" s="1005"/>
      <c r="GE299" s="1005"/>
      <c r="GF299" s="1005"/>
      <c r="GG299" s="1005"/>
      <c r="GH299" s="1005"/>
      <c r="GI299" s="1005"/>
      <c r="GJ299" s="1005"/>
      <c r="GK299" s="1005"/>
      <c r="GL299" s="1005"/>
      <c r="GM299" s="1005"/>
      <c r="GN299" s="1005"/>
      <c r="GO299" s="1005"/>
      <c r="GP299" s="1005"/>
      <c r="GQ299" s="1005"/>
      <c r="GR299" s="1005"/>
      <c r="GS299" s="1005"/>
      <c r="GT299" s="1005"/>
      <c r="GU299" s="1005"/>
      <c r="GV299" s="1005"/>
      <c r="GW299" s="1005"/>
      <c r="GX299" s="1005"/>
      <c r="GY299" s="1005"/>
      <c r="GZ299" s="1005"/>
      <c r="HA299" s="1005"/>
      <c r="HB299" s="1005"/>
      <c r="HC299" s="1005"/>
      <c r="HD299" s="1005"/>
      <c r="HE299" s="1005"/>
      <c r="HF299" s="1005"/>
      <c r="HG299" s="1005"/>
      <c r="HH299" s="1005"/>
      <c r="HI299" s="1005"/>
      <c r="HJ299" s="1005"/>
      <c r="HK299" s="1005"/>
      <c r="HL299" s="1005"/>
      <c r="HM299" s="1005"/>
      <c r="HN299" s="1005"/>
      <c r="HO299" s="1005"/>
      <c r="HP299" s="1005"/>
      <c r="HQ299" s="1005"/>
      <c r="HR299" s="1005"/>
      <c r="HS299" s="1005"/>
      <c r="HT299" s="1005"/>
      <c r="HU299" s="1005"/>
      <c r="HV299" s="1005"/>
      <c r="HW299" s="1005"/>
      <c r="HX299" s="1005"/>
      <c r="HY299" s="1005"/>
      <c r="HZ299" s="1005"/>
      <c r="IA299" s="1005"/>
      <c r="IB299" s="1005"/>
      <c r="IC299" s="1005"/>
      <c r="ID299" s="1005"/>
      <c r="IE299" s="1005"/>
      <c r="IF299" s="1005"/>
      <c r="IG299" s="1005"/>
      <c r="IH299" s="1005"/>
      <c r="II299" s="1005"/>
      <c r="IJ299" s="1005"/>
      <c r="IK299" s="1005"/>
      <c r="IL299" s="1005"/>
      <c r="IM299" s="1005"/>
      <c r="IN299" s="1005"/>
      <c r="IO299" s="1005"/>
      <c r="IP299" s="1005"/>
      <c r="IQ299" s="1005"/>
      <c r="IR299" s="1005"/>
      <c r="IS299" s="1005"/>
      <c r="IT299" s="1005"/>
      <c r="IU299" s="1005"/>
      <c r="IV299" s="1005"/>
      <c r="IW299" s="1005"/>
      <c r="IX299" s="1005"/>
      <c r="IY299" s="1005"/>
      <c r="IZ299" s="1005"/>
      <c r="JA299" s="1005"/>
      <c r="JB299" s="1005"/>
      <c r="JC299" s="1005"/>
      <c r="JD299" s="1005"/>
      <c r="JE299" s="1005"/>
      <c r="JF299" s="1005"/>
      <c r="JG299" s="1005"/>
      <c r="JH299" s="1005"/>
      <c r="JI299" s="1005"/>
      <c r="JJ299" s="1005"/>
      <c r="JK299" s="1005"/>
      <c r="JL299" s="1005"/>
      <c r="JM299" s="1005"/>
      <c r="JN299" s="1005"/>
      <c r="JO299" s="1005"/>
      <c r="JP299" s="1005"/>
      <c r="JQ299" s="1005"/>
      <c r="JR299" s="1005"/>
      <c r="JS299" s="1005"/>
      <c r="JT299" s="1005"/>
      <c r="JU299" s="1005"/>
      <c r="JV299" s="1005"/>
      <c r="JW299" s="1005"/>
      <c r="JX299" s="1005"/>
      <c r="JY299" s="1005"/>
      <c r="JZ299" s="1005"/>
      <c r="KA299" s="1005"/>
      <c r="KB299" s="1005"/>
      <c r="KC299" s="1005"/>
      <c r="KD299" s="1005"/>
      <c r="KE299" s="1005"/>
      <c r="KF299" s="1005"/>
      <c r="KG299" s="1005"/>
      <c r="KH299" s="1005"/>
      <c r="KI299" s="1005"/>
      <c r="KJ299" s="1005"/>
      <c r="KK299" s="1005"/>
      <c r="KL299" s="1005"/>
      <c r="KM299" s="1005"/>
      <c r="KN299" s="1005"/>
      <c r="KO299" s="1005"/>
      <c r="KP299" s="1005"/>
      <c r="KQ299" s="1005"/>
      <c r="KR299" s="1005"/>
      <c r="KS299" s="1005"/>
      <c r="KT299" s="1005"/>
      <c r="KU299" s="1005"/>
      <c r="KV299" s="1005"/>
      <c r="KW299" s="1005"/>
      <c r="KX299" s="1005"/>
      <c r="KY299" s="1005"/>
      <c r="KZ299" s="1005"/>
      <c r="LA299" s="1005"/>
      <c r="LB299" s="1005"/>
      <c r="LC299" s="1005"/>
      <c r="LD299" s="1005"/>
      <c r="LE299" s="1005"/>
      <c r="LF299" s="1005"/>
      <c r="LG299" s="1005"/>
      <c r="LH299" s="1005"/>
      <c r="LI299" s="1005"/>
      <c r="LJ299" s="1005"/>
      <c r="LK299" s="1005"/>
      <c r="LL299" s="1005"/>
      <c r="LM299" s="1005"/>
      <c r="LN299" s="1005"/>
      <c r="LO299" s="1005"/>
      <c r="LP299" s="1005"/>
      <c r="LQ299" s="1005"/>
      <c r="LR299" s="1005"/>
      <c r="LS299" s="1005"/>
      <c r="LT299" s="1005"/>
      <c r="LU299" s="1005"/>
      <c r="LV299" s="1005"/>
      <c r="LW299" s="1005"/>
      <c r="LX299" s="1005"/>
      <c r="LY299" s="1005"/>
      <c r="LZ299" s="1005"/>
      <c r="MA299" s="1005"/>
      <c r="MB299" s="1005"/>
      <c r="MC299" s="1005"/>
      <c r="MD299" s="1005"/>
      <c r="ME299" s="1005"/>
      <c r="MF299" s="1005"/>
      <c r="MG299" s="1005"/>
      <c r="MH299" s="1005"/>
      <c r="MI299" s="1005"/>
      <c r="MJ299" s="1005"/>
      <c r="MK299" s="1005"/>
      <c r="ML299" s="1005"/>
      <c r="MM299" s="1005"/>
      <c r="MN299" s="1005"/>
      <c r="MO299" s="1005"/>
      <c r="MP299" s="1005"/>
      <c r="MQ299" s="1005"/>
      <c r="MR299" s="1005"/>
      <c r="MS299" s="1005"/>
      <c r="MT299" s="1005"/>
      <c r="MU299" s="1005"/>
      <c r="MV299" s="1005"/>
      <c r="MW299" s="1005"/>
      <c r="MX299" s="1005"/>
      <c r="MY299" s="1005"/>
      <c r="MZ299" s="1005"/>
      <c r="NA299" s="1005"/>
      <c r="NB299" s="1005"/>
      <c r="NC299" s="1005"/>
      <c r="ND299" s="1005"/>
      <c r="NE299" s="1005"/>
      <c r="NF299" s="1005"/>
      <c r="NG299" s="1005"/>
      <c r="NH299" s="1005"/>
      <c r="NI299" s="1005"/>
      <c r="NJ299" s="1005"/>
      <c r="NK299" s="1005"/>
      <c r="NL299" s="1005"/>
      <c r="NM299" s="1005"/>
      <c r="NN299" s="1005"/>
      <c r="NO299" s="1005"/>
      <c r="NP299" s="1005"/>
      <c r="NQ299" s="1005"/>
      <c r="NR299" s="1005"/>
      <c r="NS299" s="1005"/>
      <c r="NT299" s="1005"/>
      <c r="NU299" s="1005"/>
      <c r="NV299" s="1005"/>
      <c r="NW299" s="1005"/>
      <c r="NX299" s="1005"/>
      <c r="NY299" s="1005"/>
      <c r="NZ299" s="1005"/>
      <c r="OA299" s="1005"/>
      <c r="OB299" s="1005"/>
      <c r="OC299" s="1005"/>
      <c r="OD299" s="1005"/>
      <c r="OE299" s="1005"/>
      <c r="OF299" s="1005"/>
      <c r="OG299" s="1005"/>
      <c r="OH299" s="1005"/>
      <c r="OI299" s="1005"/>
      <c r="OJ299" s="1005"/>
      <c r="OK299" s="1005"/>
      <c r="OL299" s="1005"/>
      <c r="OM299" s="1005"/>
      <c r="ON299" s="1005"/>
      <c r="OO299" s="1005"/>
      <c r="OP299" s="1005"/>
      <c r="OQ299" s="1005"/>
      <c r="OR299" s="1005"/>
      <c r="OS299" s="1005"/>
      <c r="OT299" s="1005"/>
      <c r="OU299" s="1005"/>
      <c r="OV299" s="1005"/>
      <c r="OW299" s="1005"/>
      <c r="OX299" s="1005"/>
      <c r="OY299" s="1005"/>
      <c r="OZ299" s="1005"/>
      <c r="PA299" s="1005"/>
      <c r="PB299" s="1005"/>
      <c r="PC299" s="1005"/>
      <c r="PD299" s="1005"/>
      <c r="PE299" s="1005"/>
      <c r="PF299" s="1005"/>
      <c r="PG299" s="1005"/>
      <c r="PH299" s="1005"/>
      <c r="PI299" s="1005"/>
      <c r="PJ299" s="1005"/>
      <c r="PK299" s="1005"/>
      <c r="PL299" s="1005"/>
      <c r="PM299" s="1005"/>
      <c r="PN299" s="1005"/>
      <c r="PO299" s="1005"/>
      <c r="PP299" s="1005"/>
      <c r="PQ299" s="1005"/>
      <c r="PR299" s="1005"/>
      <c r="PS299" s="1005"/>
      <c r="PT299" s="1005"/>
      <c r="PU299" s="1005"/>
      <c r="PV299" s="1005"/>
      <c r="PW299" s="1005"/>
      <c r="PX299" s="1005"/>
      <c r="PY299" s="1005"/>
      <c r="PZ299" s="1005"/>
      <c r="QA299" s="1005"/>
      <c r="QB299" s="1005"/>
      <c r="QC299" s="1005"/>
      <c r="QD299" s="1005"/>
      <c r="QE299" s="1005"/>
      <c r="QF299" s="1005"/>
      <c r="QG299" s="1005"/>
      <c r="QH299" s="1005"/>
      <c r="QI299" s="1005"/>
      <c r="QJ299" s="1005"/>
      <c r="QK299" s="1005"/>
      <c r="QL299" s="1005"/>
      <c r="QM299" s="1005"/>
      <c r="QN299" s="1005"/>
      <c r="QO299" s="1005"/>
      <c r="QP299" s="1005"/>
      <c r="QQ299" s="1005"/>
      <c r="QR299" s="1005"/>
      <c r="QS299" s="1005"/>
      <c r="QT299" s="1005"/>
      <c r="QU299" s="1005"/>
      <c r="QV299" s="1005"/>
      <c r="QW299" s="1005"/>
      <c r="QX299" s="1005"/>
      <c r="QY299" s="1005"/>
      <c r="QZ299" s="1005"/>
      <c r="RA299" s="1005"/>
      <c r="RB299" s="1005"/>
      <c r="RC299" s="1005"/>
      <c r="RD299" s="1005"/>
      <c r="RE299" s="1005"/>
      <c r="RF299" s="1005"/>
      <c r="RG299" s="1005"/>
      <c r="RH299" s="1005"/>
      <c r="RI299" s="1005"/>
      <c r="RJ299" s="1005"/>
      <c r="RK299" s="1005"/>
      <c r="RL299" s="1005"/>
      <c r="RM299" s="1005"/>
      <c r="RN299" s="1005"/>
      <c r="RO299" s="1005"/>
      <c r="RP299" s="1005"/>
      <c r="RQ299" s="1005"/>
      <c r="RR299" s="1005"/>
      <c r="RS299" s="1005"/>
      <c r="RT299" s="1005"/>
      <c r="RU299" s="1005"/>
      <c r="RV299" s="1005"/>
      <c r="RW299" s="1005"/>
      <c r="RX299" s="1005"/>
      <c r="RY299" s="1005"/>
      <c r="RZ299" s="1005"/>
      <c r="SA299" s="1005"/>
      <c r="SB299" s="1005"/>
      <c r="SC299" s="1005"/>
      <c r="SD299" s="1005"/>
      <c r="SE299" s="1005"/>
      <c r="SF299" s="1005"/>
      <c r="SG299" s="1005"/>
      <c r="SH299" s="1005"/>
      <c r="SI299" s="1005"/>
      <c r="SJ299" s="1005"/>
      <c r="SK299" s="1005"/>
      <c r="SL299" s="1005"/>
      <c r="SM299" s="1005"/>
      <c r="SN299" s="1005"/>
      <c r="SO299" s="1005"/>
      <c r="SP299" s="1005"/>
      <c r="SQ299" s="1005"/>
      <c r="SR299" s="1005"/>
      <c r="SS299" s="1005"/>
      <c r="ST299" s="1005"/>
      <c r="SU299" s="1005"/>
      <c r="SV299" s="1005"/>
      <c r="SW299" s="1005"/>
      <c r="SX299" s="1005"/>
      <c r="SY299" s="1005"/>
      <c r="SZ299" s="1005"/>
      <c r="TA299" s="1005"/>
      <c r="TB299" s="1005"/>
      <c r="TC299" s="1005"/>
      <c r="TD299" s="1005"/>
      <c r="TE299" s="1005"/>
      <c r="TF299" s="1005"/>
      <c r="TG299" s="1005"/>
      <c r="TH299" s="1005"/>
      <c r="TI299" s="1005"/>
      <c r="TJ299" s="1005"/>
      <c r="TK299" s="1005"/>
      <c r="TL299" s="1005"/>
      <c r="TM299" s="1005"/>
      <c r="TN299" s="1005"/>
      <c r="TO299" s="1005"/>
      <c r="TP299" s="1005"/>
      <c r="TQ299" s="1005"/>
      <c r="TR299" s="1005"/>
      <c r="TS299" s="1005"/>
      <c r="TT299" s="1005"/>
      <c r="TU299" s="1005"/>
      <c r="TV299" s="1005"/>
      <c r="TW299" s="1005"/>
      <c r="TX299" s="1005"/>
      <c r="TY299" s="1005"/>
      <c r="TZ299" s="1005"/>
      <c r="UA299" s="1005"/>
      <c r="UB299" s="1005"/>
      <c r="UC299" s="1005"/>
      <c r="UD299" s="1005"/>
      <c r="UE299" s="1005"/>
      <c r="UF299" s="1005"/>
      <c r="UG299" s="1005"/>
      <c r="UH299" s="1005"/>
      <c r="UI299" s="1005"/>
      <c r="UJ299" s="1005"/>
      <c r="UK299" s="1005"/>
      <c r="UL299" s="1005"/>
      <c r="UM299" s="1005"/>
      <c r="UN299" s="1005"/>
      <c r="UO299" s="1005"/>
      <c r="UP299" s="1005"/>
      <c r="UQ299" s="1005"/>
      <c r="UR299" s="1005"/>
      <c r="US299" s="1005"/>
      <c r="UT299" s="1005"/>
      <c r="UU299" s="1005"/>
      <c r="UV299" s="1005"/>
      <c r="UW299" s="1005"/>
      <c r="UX299" s="1005"/>
      <c r="UY299" s="1005"/>
      <c r="UZ299" s="1005"/>
      <c r="VA299" s="1005"/>
      <c r="VB299" s="1005"/>
      <c r="VC299" s="1005"/>
      <c r="VD299" s="1005"/>
      <c r="VE299" s="1005"/>
      <c r="VF299" s="1005"/>
      <c r="VG299" s="1005"/>
      <c r="VH299" s="1005"/>
      <c r="VI299" s="1005"/>
      <c r="VJ299" s="1005"/>
      <c r="VK299" s="1005"/>
      <c r="VL299" s="1005"/>
      <c r="VM299" s="1005"/>
      <c r="VN299" s="1005"/>
      <c r="VO299" s="1005"/>
      <c r="VP299" s="1005"/>
      <c r="VQ299" s="1005"/>
      <c r="VR299" s="1005"/>
      <c r="VS299" s="1005"/>
      <c r="VT299" s="1005"/>
      <c r="VU299" s="1005"/>
      <c r="VV299" s="1005"/>
      <c r="VW299" s="1005"/>
      <c r="VX299" s="1005"/>
      <c r="VY299" s="1005"/>
      <c r="VZ299" s="1005"/>
      <c r="WA299" s="1005"/>
      <c r="WB299" s="1005"/>
      <c r="WC299" s="1005"/>
      <c r="WD299" s="1005"/>
      <c r="WE299" s="1005"/>
      <c r="WF299" s="1005"/>
      <c r="WG299" s="1005"/>
      <c r="WH299" s="1005"/>
      <c r="WI299" s="1005"/>
      <c r="WJ299" s="1005"/>
      <c r="WK299" s="1005"/>
      <c r="WL299" s="1005"/>
      <c r="WM299" s="1005"/>
      <c r="WN299" s="1005"/>
      <c r="WO299" s="1005"/>
      <c r="WP299" s="1005"/>
      <c r="WQ299" s="1005"/>
      <c r="WR299" s="1005"/>
      <c r="WS299" s="1005"/>
      <c r="WT299" s="1005"/>
      <c r="WU299" s="1005"/>
      <c r="WV299" s="1005"/>
      <c r="WW299" s="1005"/>
      <c r="WX299" s="1005"/>
      <c r="WY299" s="1005"/>
      <c r="WZ299" s="1005"/>
      <c r="XA299" s="1005"/>
      <c r="XB299" s="1005"/>
      <c r="XC299" s="1005"/>
      <c r="XD299" s="1005"/>
      <c r="XE299" s="1005"/>
      <c r="XF299" s="1005"/>
      <c r="XG299" s="1005"/>
      <c r="XH299" s="1005"/>
      <c r="XI299" s="1005"/>
      <c r="XJ299" s="1005"/>
      <c r="XK299" s="1005"/>
      <c r="XL299" s="1005"/>
      <c r="XM299" s="1005"/>
      <c r="XN299" s="1005"/>
      <c r="XO299" s="1005"/>
      <c r="XP299" s="1005"/>
      <c r="XQ299" s="1005"/>
      <c r="XR299" s="1005"/>
      <c r="XS299" s="1005"/>
      <c r="XT299" s="1005"/>
      <c r="XU299" s="1005"/>
      <c r="XV299" s="1005"/>
      <c r="XW299" s="1005"/>
      <c r="XX299" s="1005"/>
      <c r="XY299" s="1005"/>
      <c r="XZ299" s="1005"/>
      <c r="YA299" s="1005"/>
      <c r="YB299" s="1005"/>
      <c r="YC299" s="1005"/>
      <c r="YD299" s="1005"/>
      <c r="YE299" s="1005"/>
      <c r="YF299" s="1005"/>
      <c r="YG299" s="1005"/>
      <c r="YH299" s="1005"/>
      <c r="YI299" s="1005"/>
      <c r="YJ299" s="1005"/>
      <c r="YK299" s="1005"/>
      <c r="YL299" s="1005"/>
      <c r="YM299" s="1005"/>
      <c r="YN299" s="1005"/>
      <c r="YO299" s="1005"/>
      <c r="YP299" s="1005"/>
      <c r="YQ299" s="1005"/>
      <c r="YR299" s="1005"/>
      <c r="YS299" s="1005"/>
      <c r="YT299" s="1005"/>
      <c r="YU299" s="1005"/>
      <c r="YV299" s="1005"/>
      <c r="YW299" s="1005"/>
      <c r="YX299" s="1005"/>
      <c r="YY299" s="1005"/>
      <c r="YZ299" s="1005"/>
      <c r="ZA299" s="1005"/>
      <c r="ZB299" s="1005"/>
      <c r="ZC299" s="1005"/>
      <c r="ZD299" s="1005"/>
      <c r="ZE299" s="1005"/>
      <c r="ZF299" s="1005"/>
      <c r="ZG299" s="1005"/>
      <c r="ZH299" s="1005"/>
      <c r="ZI299" s="1005"/>
      <c r="ZJ299" s="1005"/>
      <c r="ZK299" s="1005"/>
      <c r="ZL299" s="1005"/>
      <c r="ZM299" s="1005"/>
      <c r="ZN299" s="1005"/>
      <c r="ZO299" s="1005"/>
      <c r="ZP299" s="1005"/>
      <c r="ZQ299" s="1005"/>
      <c r="ZR299" s="1005"/>
      <c r="ZS299" s="1005"/>
      <c r="ZT299" s="1005"/>
      <c r="ZU299" s="1005"/>
      <c r="ZV299" s="1005"/>
      <c r="ZW299" s="1005"/>
      <c r="ZX299" s="1005"/>
      <c r="ZY299" s="1005"/>
      <c r="ZZ299" s="1005"/>
      <c r="AAA299" s="1005"/>
      <c r="AAB299" s="1005"/>
      <c r="AAC299" s="1005"/>
      <c r="AAD299" s="1005"/>
      <c r="AAE299" s="1005"/>
      <c r="AAF299" s="1005"/>
      <c r="AAG299" s="1005"/>
      <c r="AAH299" s="1005"/>
      <c r="AAI299" s="1005"/>
      <c r="AAJ299" s="1005"/>
      <c r="AAK299" s="1005"/>
      <c r="AAL299" s="1005"/>
      <c r="AAM299" s="1005"/>
      <c r="AAN299" s="1005"/>
      <c r="AAO299" s="1005"/>
      <c r="AAP299" s="1005"/>
      <c r="AAQ299" s="1005"/>
      <c r="AAR299" s="1005"/>
      <c r="AAS299" s="1005"/>
      <c r="AAT299" s="1005"/>
      <c r="AAU299" s="1005"/>
      <c r="AAV299" s="1005"/>
      <c r="AAW299" s="1005"/>
      <c r="AAX299" s="1005"/>
      <c r="AAY299" s="1005"/>
      <c r="AAZ299" s="1005"/>
      <c r="ABA299" s="1005"/>
      <c r="ABB299" s="1005"/>
      <c r="ABC299" s="1005"/>
      <c r="ABD299" s="1005"/>
      <c r="ABE299" s="1005"/>
      <c r="ABF299" s="1005"/>
      <c r="ABG299" s="1005"/>
      <c r="ABH299" s="1005"/>
      <c r="ABI299" s="1005"/>
      <c r="ABJ299" s="1005"/>
      <c r="ABK299" s="1005"/>
      <c r="ABL299" s="1005"/>
      <c r="ABM299" s="1005"/>
      <c r="ABN299" s="1005"/>
      <c r="ABO299" s="1005"/>
      <c r="ABP299" s="1005"/>
      <c r="ABQ299" s="1005"/>
      <c r="ABR299" s="1005"/>
    </row>
    <row r="300" spans="1:746" s="113" customFormat="1" ht="12" hidden="1" customHeight="1">
      <c r="A300" s="1252"/>
      <c r="B300" s="2508" t="s">
        <v>1354</v>
      </c>
      <c r="C300" s="2507"/>
      <c r="D300" s="2500"/>
      <c r="E300" s="2925"/>
      <c r="F300" s="2926"/>
      <c r="G300" s="2927"/>
      <c r="H300" s="2501"/>
      <c r="I300" s="368"/>
      <c r="J300" s="368"/>
      <c r="K300" s="368"/>
      <c r="L300" s="368"/>
      <c r="M300" s="368"/>
      <c r="N300" s="368"/>
      <c r="O300" s="368"/>
      <c r="P300" s="368"/>
      <c r="Q300" s="368"/>
      <c r="R300" s="368"/>
      <c r="S300" s="368"/>
      <c r="T300" s="368"/>
      <c r="U300" s="368"/>
      <c r="V300" s="368"/>
      <c r="W300" s="368"/>
      <c r="X300" s="368"/>
      <c r="Y300" s="368"/>
      <c r="Z300" s="368"/>
      <c r="AA300" s="368"/>
      <c r="AB300" s="368"/>
      <c r="AC300" s="368"/>
      <c r="AD300" s="368"/>
      <c r="AE300" s="368"/>
      <c r="AF300" s="368"/>
      <c r="AG300" s="337"/>
      <c r="AH300" s="1005"/>
      <c r="AI300" s="1005"/>
      <c r="AJ300" s="1956">
        <f>IF(fx!$C$57=1,SUMIF(fx!I$57:T$57,1,I300:T300),IF(fx!$C$57=2,SUMIF(fx!O$57:AF$57,1,O300:AF300)))</f>
        <v>0</v>
      </c>
      <c r="AK300" s="1207"/>
      <c r="AL300" s="1957">
        <f>IF(fx!$C$57=1,SUM(U300:AF300),0)</f>
        <v>0</v>
      </c>
      <c r="AM300" s="1036"/>
      <c r="AN300" s="1036"/>
      <c r="AO300" s="1034"/>
      <c r="AP300" s="1037"/>
      <c r="AQ300" s="1037"/>
      <c r="AR300" s="1005"/>
      <c r="AS300" s="1005"/>
      <c r="AT300" s="1005"/>
      <c r="AU300" s="1005"/>
      <c r="AV300" s="1005"/>
      <c r="AW300" s="1005"/>
      <c r="AX300" s="1005"/>
      <c r="AY300" s="1005"/>
      <c r="AZ300" s="1005"/>
      <c r="BA300" s="1005"/>
      <c r="BB300" s="1005"/>
      <c r="BC300" s="1005"/>
      <c r="BD300" s="1005"/>
      <c r="BE300" s="1005"/>
      <c r="BF300" s="1005"/>
      <c r="BG300" s="1005"/>
      <c r="BH300" s="1005"/>
      <c r="BI300" s="1005"/>
      <c r="BJ300" s="1005"/>
      <c r="BK300" s="1005"/>
      <c r="BL300" s="1005"/>
      <c r="BM300" s="1005"/>
      <c r="BN300" s="1005"/>
      <c r="BO300" s="1005"/>
      <c r="BP300" s="1005"/>
      <c r="BQ300" s="1005"/>
      <c r="BR300" s="1005"/>
      <c r="BS300" s="1005"/>
      <c r="BT300" s="1005"/>
      <c r="BU300" s="1005"/>
      <c r="BV300" s="1005"/>
      <c r="BW300" s="1005"/>
      <c r="BX300" s="1005"/>
      <c r="BY300" s="1005"/>
      <c r="BZ300" s="1005"/>
      <c r="CA300" s="1005"/>
      <c r="CB300" s="1005"/>
      <c r="CC300" s="1005"/>
      <c r="CD300" s="1005"/>
      <c r="CE300" s="1005"/>
      <c r="CF300" s="1005"/>
      <c r="CG300" s="1005"/>
      <c r="CH300" s="1005"/>
      <c r="CI300" s="1005"/>
      <c r="CJ300" s="1005"/>
      <c r="CK300" s="1005"/>
      <c r="CL300" s="1005"/>
      <c r="CM300" s="1005"/>
      <c r="CN300" s="1005"/>
      <c r="CO300" s="1005"/>
      <c r="CP300" s="1005"/>
      <c r="CQ300" s="1005"/>
      <c r="CR300" s="1005"/>
      <c r="CS300" s="1005"/>
      <c r="CT300" s="1005"/>
      <c r="CU300" s="1005"/>
      <c r="CV300" s="1005"/>
      <c r="CW300" s="1005"/>
      <c r="CX300" s="1005"/>
      <c r="CY300" s="1005"/>
      <c r="CZ300" s="1005"/>
      <c r="DA300" s="1005"/>
      <c r="DB300" s="1005"/>
      <c r="DC300" s="1005"/>
      <c r="DD300" s="1005"/>
      <c r="DE300" s="1005"/>
      <c r="DF300" s="1005"/>
      <c r="DG300" s="1005"/>
      <c r="DH300" s="1005"/>
      <c r="DI300" s="1005"/>
      <c r="DJ300" s="1005"/>
      <c r="DK300" s="1005"/>
      <c r="DL300" s="1005"/>
      <c r="DM300" s="1005"/>
      <c r="DN300" s="1005"/>
      <c r="DO300" s="1005"/>
      <c r="DP300" s="1005"/>
      <c r="DQ300" s="1005"/>
      <c r="DR300" s="1005"/>
      <c r="DS300" s="1005"/>
      <c r="DT300" s="1005"/>
      <c r="DU300" s="1005"/>
      <c r="DV300" s="1005"/>
      <c r="DW300" s="1005"/>
      <c r="DX300" s="1005"/>
      <c r="DY300" s="1005"/>
      <c r="DZ300" s="1005"/>
      <c r="EA300" s="1005"/>
      <c r="EB300" s="1005"/>
      <c r="EC300" s="1005"/>
      <c r="ED300" s="1005"/>
      <c r="EE300" s="1005"/>
      <c r="EF300" s="1005"/>
      <c r="EG300" s="1005"/>
      <c r="EH300" s="1005"/>
      <c r="EI300" s="1005"/>
      <c r="EJ300" s="1005"/>
      <c r="EK300" s="1005"/>
      <c r="EL300" s="1005"/>
      <c r="EM300" s="1005"/>
      <c r="EN300" s="1005"/>
      <c r="EO300" s="1005"/>
      <c r="EP300" s="1005"/>
      <c r="EQ300" s="1005"/>
      <c r="ER300" s="1005"/>
      <c r="ES300" s="1005"/>
      <c r="ET300" s="1005"/>
      <c r="EU300" s="1005"/>
      <c r="EV300" s="1005"/>
      <c r="EW300" s="1005"/>
      <c r="EX300" s="1005"/>
      <c r="EY300" s="1005"/>
      <c r="EZ300" s="1005"/>
      <c r="FA300" s="1005"/>
      <c r="FB300" s="1005"/>
      <c r="FC300" s="1005"/>
      <c r="FD300" s="1005"/>
      <c r="FE300" s="1005"/>
      <c r="FF300" s="1005"/>
      <c r="FG300" s="1005"/>
      <c r="FH300" s="1005"/>
      <c r="FI300" s="1005"/>
      <c r="FJ300" s="1005"/>
      <c r="FK300" s="1005"/>
      <c r="FL300" s="1005"/>
      <c r="FM300" s="1005"/>
      <c r="FN300" s="1005"/>
      <c r="FO300" s="1005"/>
      <c r="FP300" s="1005"/>
      <c r="FQ300" s="1005"/>
      <c r="FR300" s="1005"/>
      <c r="FS300" s="1005"/>
      <c r="FT300" s="1005"/>
      <c r="FU300" s="1005"/>
      <c r="FV300" s="1005"/>
      <c r="FW300" s="1005"/>
      <c r="FX300" s="1005"/>
      <c r="FY300" s="1005"/>
      <c r="FZ300" s="1005"/>
      <c r="GA300" s="1005"/>
      <c r="GB300" s="1005"/>
      <c r="GC300" s="1005"/>
      <c r="GD300" s="1005"/>
      <c r="GE300" s="1005"/>
      <c r="GF300" s="1005"/>
      <c r="GG300" s="1005"/>
      <c r="GH300" s="1005"/>
      <c r="GI300" s="1005"/>
      <c r="GJ300" s="1005"/>
      <c r="GK300" s="1005"/>
      <c r="GL300" s="1005"/>
      <c r="GM300" s="1005"/>
      <c r="GN300" s="1005"/>
      <c r="GO300" s="1005"/>
      <c r="GP300" s="1005"/>
      <c r="GQ300" s="1005"/>
      <c r="GR300" s="1005"/>
      <c r="GS300" s="1005"/>
      <c r="GT300" s="1005"/>
      <c r="GU300" s="1005"/>
      <c r="GV300" s="1005"/>
      <c r="GW300" s="1005"/>
      <c r="GX300" s="1005"/>
      <c r="GY300" s="1005"/>
      <c r="GZ300" s="1005"/>
      <c r="HA300" s="1005"/>
      <c r="HB300" s="1005"/>
      <c r="HC300" s="1005"/>
      <c r="HD300" s="1005"/>
      <c r="HE300" s="1005"/>
      <c r="HF300" s="1005"/>
      <c r="HG300" s="1005"/>
      <c r="HH300" s="1005"/>
      <c r="HI300" s="1005"/>
      <c r="HJ300" s="1005"/>
      <c r="HK300" s="1005"/>
      <c r="HL300" s="1005"/>
      <c r="HM300" s="1005"/>
      <c r="HN300" s="1005"/>
      <c r="HO300" s="1005"/>
      <c r="HP300" s="1005"/>
      <c r="HQ300" s="1005"/>
      <c r="HR300" s="1005"/>
      <c r="HS300" s="1005"/>
      <c r="HT300" s="1005"/>
      <c r="HU300" s="1005"/>
      <c r="HV300" s="1005"/>
      <c r="HW300" s="1005"/>
      <c r="HX300" s="1005"/>
      <c r="HY300" s="1005"/>
      <c r="HZ300" s="1005"/>
      <c r="IA300" s="1005"/>
      <c r="IB300" s="1005"/>
      <c r="IC300" s="1005"/>
      <c r="ID300" s="1005"/>
      <c r="IE300" s="1005"/>
      <c r="IF300" s="1005"/>
      <c r="IG300" s="1005"/>
      <c r="IH300" s="1005"/>
      <c r="II300" s="1005"/>
      <c r="IJ300" s="1005"/>
      <c r="IK300" s="1005"/>
      <c r="IL300" s="1005"/>
      <c r="IM300" s="1005"/>
      <c r="IN300" s="1005"/>
      <c r="IO300" s="1005"/>
      <c r="IP300" s="1005"/>
      <c r="IQ300" s="1005"/>
      <c r="IR300" s="1005"/>
      <c r="IS300" s="1005"/>
      <c r="IT300" s="1005"/>
      <c r="IU300" s="1005"/>
      <c r="IV300" s="1005"/>
      <c r="IW300" s="1005"/>
      <c r="IX300" s="1005"/>
      <c r="IY300" s="1005"/>
      <c r="IZ300" s="1005"/>
      <c r="JA300" s="1005"/>
      <c r="JB300" s="1005"/>
      <c r="JC300" s="1005"/>
      <c r="JD300" s="1005"/>
      <c r="JE300" s="1005"/>
      <c r="JF300" s="1005"/>
      <c r="JG300" s="1005"/>
      <c r="JH300" s="1005"/>
      <c r="JI300" s="1005"/>
      <c r="JJ300" s="1005"/>
      <c r="JK300" s="1005"/>
      <c r="JL300" s="1005"/>
      <c r="JM300" s="1005"/>
      <c r="JN300" s="1005"/>
      <c r="JO300" s="1005"/>
      <c r="JP300" s="1005"/>
      <c r="JQ300" s="1005"/>
      <c r="JR300" s="1005"/>
      <c r="JS300" s="1005"/>
      <c r="JT300" s="1005"/>
      <c r="JU300" s="1005"/>
      <c r="JV300" s="1005"/>
      <c r="JW300" s="1005"/>
      <c r="JX300" s="1005"/>
      <c r="JY300" s="1005"/>
      <c r="JZ300" s="1005"/>
      <c r="KA300" s="1005"/>
      <c r="KB300" s="1005"/>
      <c r="KC300" s="1005"/>
      <c r="KD300" s="1005"/>
      <c r="KE300" s="1005"/>
      <c r="KF300" s="1005"/>
      <c r="KG300" s="1005"/>
      <c r="KH300" s="1005"/>
      <c r="KI300" s="1005"/>
      <c r="KJ300" s="1005"/>
      <c r="KK300" s="1005"/>
      <c r="KL300" s="1005"/>
      <c r="KM300" s="1005"/>
      <c r="KN300" s="1005"/>
      <c r="KO300" s="1005"/>
      <c r="KP300" s="1005"/>
      <c r="KQ300" s="1005"/>
      <c r="KR300" s="1005"/>
      <c r="KS300" s="1005"/>
      <c r="KT300" s="1005"/>
      <c r="KU300" s="1005"/>
      <c r="KV300" s="1005"/>
      <c r="KW300" s="1005"/>
      <c r="KX300" s="1005"/>
      <c r="KY300" s="1005"/>
      <c r="KZ300" s="1005"/>
      <c r="LA300" s="1005"/>
      <c r="LB300" s="1005"/>
      <c r="LC300" s="1005"/>
      <c r="LD300" s="1005"/>
      <c r="LE300" s="1005"/>
      <c r="LF300" s="1005"/>
      <c r="LG300" s="1005"/>
      <c r="LH300" s="1005"/>
      <c r="LI300" s="1005"/>
      <c r="LJ300" s="1005"/>
      <c r="LK300" s="1005"/>
      <c r="LL300" s="1005"/>
      <c r="LM300" s="1005"/>
      <c r="LN300" s="1005"/>
      <c r="LO300" s="1005"/>
      <c r="LP300" s="1005"/>
      <c r="LQ300" s="1005"/>
      <c r="LR300" s="1005"/>
      <c r="LS300" s="1005"/>
      <c r="LT300" s="1005"/>
      <c r="LU300" s="1005"/>
      <c r="LV300" s="1005"/>
      <c r="LW300" s="1005"/>
      <c r="LX300" s="1005"/>
      <c r="LY300" s="1005"/>
      <c r="LZ300" s="1005"/>
      <c r="MA300" s="1005"/>
      <c r="MB300" s="1005"/>
      <c r="MC300" s="1005"/>
      <c r="MD300" s="1005"/>
      <c r="ME300" s="1005"/>
      <c r="MF300" s="1005"/>
      <c r="MG300" s="1005"/>
      <c r="MH300" s="1005"/>
      <c r="MI300" s="1005"/>
      <c r="MJ300" s="1005"/>
      <c r="MK300" s="1005"/>
      <c r="ML300" s="1005"/>
      <c r="MM300" s="1005"/>
      <c r="MN300" s="1005"/>
      <c r="MO300" s="1005"/>
      <c r="MP300" s="1005"/>
      <c r="MQ300" s="1005"/>
      <c r="MR300" s="1005"/>
      <c r="MS300" s="1005"/>
      <c r="MT300" s="1005"/>
      <c r="MU300" s="1005"/>
      <c r="MV300" s="1005"/>
      <c r="MW300" s="1005"/>
      <c r="MX300" s="1005"/>
      <c r="MY300" s="1005"/>
      <c r="MZ300" s="1005"/>
      <c r="NA300" s="1005"/>
      <c r="NB300" s="1005"/>
      <c r="NC300" s="1005"/>
      <c r="ND300" s="1005"/>
      <c r="NE300" s="1005"/>
      <c r="NF300" s="1005"/>
      <c r="NG300" s="1005"/>
      <c r="NH300" s="1005"/>
      <c r="NI300" s="1005"/>
      <c r="NJ300" s="1005"/>
      <c r="NK300" s="1005"/>
      <c r="NL300" s="1005"/>
      <c r="NM300" s="1005"/>
      <c r="NN300" s="1005"/>
      <c r="NO300" s="1005"/>
      <c r="NP300" s="1005"/>
      <c r="NQ300" s="1005"/>
      <c r="NR300" s="1005"/>
      <c r="NS300" s="1005"/>
      <c r="NT300" s="1005"/>
      <c r="NU300" s="1005"/>
      <c r="NV300" s="1005"/>
      <c r="NW300" s="1005"/>
      <c r="NX300" s="1005"/>
      <c r="NY300" s="1005"/>
      <c r="NZ300" s="1005"/>
      <c r="OA300" s="1005"/>
      <c r="OB300" s="1005"/>
      <c r="OC300" s="1005"/>
      <c r="OD300" s="1005"/>
      <c r="OE300" s="1005"/>
      <c r="OF300" s="1005"/>
      <c r="OG300" s="1005"/>
      <c r="OH300" s="1005"/>
      <c r="OI300" s="1005"/>
      <c r="OJ300" s="1005"/>
      <c r="OK300" s="1005"/>
      <c r="OL300" s="1005"/>
      <c r="OM300" s="1005"/>
      <c r="ON300" s="1005"/>
      <c r="OO300" s="1005"/>
      <c r="OP300" s="1005"/>
      <c r="OQ300" s="1005"/>
      <c r="OR300" s="1005"/>
      <c r="OS300" s="1005"/>
      <c r="OT300" s="1005"/>
      <c r="OU300" s="1005"/>
      <c r="OV300" s="1005"/>
      <c r="OW300" s="1005"/>
      <c r="OX300" s="1005"/>
      <c r="OY300" s="1005"/>
      <c r="OZ300" s="1005"/>
      <c r="PA300" s="1005"/>
      <c r="PB300" s="1005"/>
      <c r="PC300" s="1005"/>
      <c r="PD300" s="1005"/>
      <c r="PE300" s="1005"/>
      <c r="PF300" s="1005"/>
      <c r="PG300" s="1005"/>
      <c r="PH300" s="1005"/>
      <c r="PI300" s="1005"/>
      <c r="PJ300" s="1005"/>
      <c r="PK300" s="1005"/>
      <c r="PL300" s="1005"/>
      <c r="PM300" s="1005"/>
      <c r="PN300" s="1005"/>
      <c r="PO300" s="1005"/>
      <c r="PP300" s="1005"/>
      <c r="PQ300" s="1005"/>
      <c r="PR300" s="1005"/>
      <c r="PS300" s="1005"/>
      <c r="PT300" s="1005"/>
      <c r="PU300" s="1005"/>
      <c r="PV300" s="1005"/>
      <c r="PW300" s="1005"/>
      <c r="PX300" s="1005"/>
      <c r="PY300" s="1005"/>
      <c r="PZ300" s="1005"/>
      <c r="QA300" s="1005"/>
      <c r="QB300" s="1005"/>
      <c r="QC300" s="1005"/>
      <c r="QD300" s="1005"/>
      <c r="QE300" s="1005"/>
      <c r="QF300" s="1005"/>
      <c r="QG300" s="1005"/>
      <c r="QH300" s="1005"/>
      <c r="QI300" s="1005"/>
      <c r="QJ300" s="1005"/>
      <c r="QK300" s="1005"/>
      <c r="QL300" s="1005"/>
      <c r="QM300" s="1005"/>
      <c r="QN300" s="1005"/>
      <c r="QO300" s="1005"/>
      <c r="QP300" s="1005"/>
      <c r="QQ300" s="1005"/>
      <c r="QR300" s="1005"/>
      <c r="QS300" s="1005"/>
      <c r="QT300" s="1005"/>
      <c r="QU300" s="1005"/>
      <c r="QV300" s="1005"/>
      <c r="QW300" s="1005"/>
      <c r="QX300" s="1005"/>
      <c r="QY300" s="1005"/>
      <c r="QZ300" s="1005"/>
      <c r="RA300" s="1005"/>
      <c r="RB300" s="1005"/>
      <c r="RC300" s="1005"/>
      <c r="RD300" s="1005"/>
      <c r="RE300" s="1005"/>
      <c r="RF300" s="1005"/>
      <c r="RG300" s="1005"/>
      <c r="RH300" s="1005"/>
      <c r="RI300" s="1005"/>
      <c r="RJ300" s="1005"/>
      <c r="RK300" s="1005"/>
      <c r="RL300" s="1005"/>
      <c r="RM300" s="1005"/>
      <c r="RN300" s="1005"/>
      <c r="RO300" s="1005"/>
      <c r="RP300" s="1005"/>
      <c r="RQ300" s="1005"/>
      <c r="RR300" s="1005"/>
      <c r="RS300" s="1005"/>
      <c r="RT300" s="1005"/>
      <c r="RU300" s="1005"/>
      <c r="RV300" s="1005"/>
      <c r="RW300" s="1005"/>
      <c r="RX300" s="1005"/>
      <c r="RY300" s="1005"/>
      <c r="RZ300" s="1005"/>
      <c r="SA300" s="1005"/>
      <c r="SB300" s="1005"/>
      <c r="SC300" s="1005"/>
      <c r="SD300" s="1005"/>
      <c r="SE300" s="1005"/>
      <c r="SF300" s="1005"/>
      <c r="SG300" s="1005"/>
      <c r="SH300" s="1005"/>
      <c r="SI300" s="1005"/>
      <c r="SJ300" s="1005"/>
      <c r="SK300" s="1005"/>
      <c r="SL300" s="1005"/>
      <c r="SM300" s="1005"/>
      <c r="SN300" s="1005"/>
      <c r="SO300" s="1005"/>
      <c r="SP300" s="1005"/>
      <c r="SQ300" s="1005"/>
      <c r="SR300" s="1005"/>
      <c r="SS300" s="1005"/>
      <c r="ST300" s="1005"/>
      <c r="SU300" s="1005"/>
      <c r="SV300" s="1005"/>
      <c r="SW300" s="1005"/>
      <c r="SX300" s="1005"/>
      <c r="SY300" s="1005"/>
      <c r="SZ300" s="1005"/>
      <c r="TA300" s="1005"/>
      <c r="TB300" s="1005"/>
      <c r="TC300" s="1005"/>
      <c r="TD300" s="1005"/>
      <c r="TE300" s="1005"/>
      <c r="TF300" s="1005"/>
      <c r="TG300" s="1005"/>
      <c r="TH300" s="1005"/>
      <c r="TI300" s="1005"/>
      <c r="TJ300" s="1005"/>
      <c r="TK300" s="1005"/>
      <c r="TL300" s="1005"/>
      <c r="TM300" s="1005"/>
      <c r="TN300" s="1005"/>
      <c r="TO300" s="1005"/>
      <c r="TP300" s="1005"/>
      <c r="TQ300" s="1005"/>
      <c r="TR300" s="1005"/>
      <c r="TS300" s="1005"/>
      <c r="TT300" s="1005"/>
      <c r="TU300" s="1005"/>
      <c r="TV300" s="1005"/>
      <c r="TW300" s="1005"/>
      <c r="TX300" s="1005"/>
      <c r="TY300" s="1005"/>
      <c r="TZ300" s="1005"/>
      <c r="UA300" s="1005"/>
      <c r="UB300" s="1005"/>
      <c r="UC300" s="1005"/>
      <c r="UD300" s="1005"/>
      <c r="UE300" s="1005"/>
      <c r="UF300" s="1005"/>
      <c r="UG300" s="1005"/>
      <c r="UH300" s="1005"/>
      <c r="UI300" s="1005"/>
      <c r="UJ300" s="1005"/>
      <c r="UK300" s="1005"/>
      <c r="UL300" s="1005"/>
      <c r="UM300" s="1005"/>
      <c r="UN300" s="1005"/>
      <c r="UO300" s="1005"/>
      <c r="UP300" s="1005"/>
      <c r="UQ300" s="1005"/>
      <c r="UR300" s="1005"/>
      <c r="US300" s="1005"/>
      <c r="UT300" s="1005"/>
      <c r="UU300" s="1005"/>
      <c r="UV300" s="1005"/>
      <c r="UW300" s="1005"/>
      <c r="UX300" s="1005"/>
      <c r="UY300" s="1005"/>
      <c r="UZ300" s="1005"/>
      <c r="VA300" s="1005"/>
      <c r="VB300" s="1005"/>
      <c r="VC300" s="1005"/>
      <c r="VD300" s="1005"/>
      <c r="VE300" s="1005"/>
      <c r="VF300" s="1005"/>
      <c r="VG300" s="1005"/>
      <c r="VH300" s="1005"/>
      <c r="VI300" s="1005"/>
      <c r="VJ300" s="1005"/>
      <c r="VK300" s="1005"/>
      <c r="VL300" s="1005"/>
      <c r="VM300" s="1005"/>
      <c r="VN300" s="1005"/>
      <c r="VO300" s="1005"/>
      <c r="VP300" s="1005"/>
      <c r="VQ300" s="1005"/>
      <c r="VR300" s="1005"/>
      <c r="VS300" s="1005"/>
      <c r="VT300" s="1005"/>
      <c r="VU300" s="1005"/>
      <c r="VV300" s="1005"/>
      <c r="VW300" s="1005"/>
      <c r="VX300" s="1005"/>
      <c r="VY300" s="1005"/>
      <c r="VZ300" s="1005"/>
      <c r="WA300" s="1005"/>
      <c r="WB300" s="1005"/>
      <c r="WC300" s="1005"/>
      <c r="WD300" s="1005"/>
      <c r="WE300" s="1005"/>
      <c r="WF300" s="1005"/>
      <c r="WG300" s="1005"/>
      <c r="WH300" s="1005"/>
      <c r="WI300" s="1005"/>
      <c r="WJ300" s="1005"/>
      <c r="WK300" s="1005"/>
      <c r="WL300" s="1005"/>
      <c r="WM300" s="1005"/>
      <c r="WN300" s="1005"/>
      <c r="WO300" s="1005"/>
      <c r="WP300" s="1005"/>
      <c r="WQ300" s="1005"/>
      <c r="WR300" s="1005"/>
      <c r="WS300" s="1005"/>
      <c r="WT300" s="1005"/>
      <c r="WU300" s="1005"/>
      <c r="WV300" s="1005"/>
      <c r="WW300" s="1005"/>
      <c r="WX300" s="1005"/>
      <c r="WY300" s="1005"/>
      <c r="WZ300" s="1005"/>
      <c r="XA300" s="1005"/>
      <c r="XB300" s="1005"/>
      <c r="XC300" s="1005"/>
      <c r="XD300" s="1005"/>
      <c r="XE300" s="1005"/>
      <c r="XF300" s="1005"/>
      <c r="XG300" s="1005"/>
      <c r="XH300" s="1005"/>
      <c r="XI300" s="1005"/>
      <c r="XJ300" s="1005"/>
      <c r="XK300" s="1005"/>
      <c r="XL300" s="1005"/>
      <c r="XM300" s="1005"/>
      <c r="XN300" s="1005"/>
      <c r="XO300" s="1005"/>
      <c r="XP300" s="1005"/>
      <c r="XQ300" s="1005"/>
      <c r="XR300" s="1005"/>
      <c r="XS300" s="1005"/>
      <c r="XT300" s="1005"/>
      <c r="XU300" s="1005"/>
      <c r="XV300" s="1005"/>
      <c r="XW300" s="1005"/>
      <c r="XX300" s="1005"/>
      <c r="XY300" s="1005"/>
      <c r="XZ300" s="1005"/>
      <c r="YA300" s="1005"/>
      <c r="YB300" s="1005"/>
      <c r="YC300" s="1005"/>
      <c r="YD300" s="1005"/>
      <c r="YE300" s="1005"/>
      <c r="YF300" s="1005"/>
      <c r="YG300" s="1005"/>
      <c r="YH300" s="1005"/>
      <c r="YI300" s="1005"/>
      <c r="YJ300" s="1005"/>
      <c r="YK300" s="1005"/>
      <c r="YL300" s="1005"/>
      <c r="YM300" s="1005"/>
      <c r="YN300" s="1005"/>
      <c r="YO300" s="1005"/>
      <c r="YP300" s="1005"/>
      <c r="YQ300" s="1005"/>
      <c r="YR300" s="1005"/>
      <c r="YS300" s="1005"/>
      <c r="YT300" s="1005"/>
      <c r="YU300" s="1005"/>
      <c r="YV300" s="1005"/>
      <c r="YW300" s="1005"/>
      <c r="YX300" s="1005"/>
      <c r="YY300" s="1005"/>
      <c r="YZ300" s="1005"/>
      <c r="ZA300" s="1005"/>
      <c r="ZB300" s="1005"/>
      <c r="ZC300" s="1005"/>
      <c r="ZD300" s="1005"/>
      <c r="ZE300" s="1005"/>
      <c r="ZF300" s="1005"/>
      <c r="ZG300" s="1005"/>
      <c r="ZH300" s="1005"/>
      <c r="ZI300" s="1005"/>
      <c r="ZJ300" s="1005"/>
      <c r="ZK300" s="1005"/>
      <c r="ZL300" s="1005"/>
      <c r="ZM300" s="1005"/>
      <c r="ZN300" s="1005"/>
      <c r="ZO300" s="1005"/>
      <c r="ZP300" s="1005"/>
      <c r="ZQ300" s="1005"/>
      <c r="ZR300" s="1005"/>
      <c r="ZS300" s="1005"/>
      <c r="ZT300" s="1005"/>
      <c r="ZU300" s="1005"/>
      <c r="ZV300" s="1005"/>
      <c r="ZW300" s="1005"/>
      <c r="ZX300" s="1005"/>
      <c r="ZY300" s="1005"/>
      <c r="ZZ300" s="1005"/>
      <c r="AAA300" s="1005"/>
      <c r="AAB300" s="1005"/>
      <c r="AAC300" s="1005"/>
      <c r="AAD300" s="1005"/>
      <c r="AAE300" s="1005"/>
      <c r="AAF300" s="1005"/>
      <c r="AAG300" s="1005"/>
      <c r="AAH300" s="1005"/>
      <c r="AAI300" s="1005"/>
      <c r="AAJ300" s="1005"/>
      <c r="AAK300" s="1005"/>
      <c r="AAL300" s="1005"/>
      <c r="AAM300" s="1005"/>
      <c r="AAN300" s="1005"/>
      <c r="AAO300" s="1005"/>
      <c r="AAP300" s="1005"/>
      <c r="AAQ300" s="1005"/>
      <c r="AAR300" s="1005"/>
      <c r="AAS300" s="1005"/>
      <c r="AAT300" s="1005"/>
      <c r="AAU300" s="1005"/>
      <c r="AAV300" s="1005"/>
      <c r="AAW300" s="1005"/>
      <c r="AAX300" s="1005"/>
      <c r="AAY300" s="1005"/>
      <c r="AAZ300" s="1005"/>
      <c r="ABA300" s="1005"/>
      <c r="ABB300" s="1005"/>
      <c r="ABC300" s="1005"/>
      <c r="ABD300" s="1005"/>
      <c r="ABE300" s="1005"/>
      <c r="ABF300" s="1005"/>
      <c r="ABG300" s="1005"/>
      <c r="ABH300" s="1005"/>
      <c r="ABI300" s="1005"/>
      <c r="ABJ300" s="1005"/>
      <c r="ABK300" s="1005"/>
      <c r="ABL300" s="1005"/>
      <c r="ABM300" s="1005"/>
      <c r="ABN300" s="1005"/>
      <c r="ABO300" s="1005"/>
      <c r="ABP300" s="1005"/>
      <c r="ABQ300" s="1005"/>
      <c r="ABR300" s="1005"/>
    </row>
    <row r="301" spans="1:746" s="113" customFormat="1" ht="12" hidden="1" customHeight="1">
      <c r="A301" s="1252"/>
      <c r="B301" s="2508" t="s">
        <v>1355</v>
      </c>
      <c r="C301" s="2507"/>
      <c r="D301" s="2500"/>
      <c r="E301" s="2925"/>
      <c r="F301" s="2926"/>
      <c r="G301" s="2927"/>
      <c r="H301" s="2501"/>
      <c r="I301" s="368"/>
      <c r="J301" s="368"/>
      <c r="K301" s="368"/>
      <c r="L301" s="368"/>
      <c r="M301" s="368"/>
      <c r="N301" s="368"/>
      <c r="O301" s="368"/>
      <c r="P301" s="368"/>
      <c r="Q301" s="368"/>
      <c r="R301" s="368"/>
      <c r="S301" s="368"/>
      <c r="T301" s="368"/>
      <c r="U301" s="368"/>
      <c r="V301" s="368"/>
      <c r="W301" s="368"/>
      <c r="X301" s="368"/>
      <c r="Y301" s="368"/>
      <c r="Z301" s="368"/>
      <c r="AA301" s="368"/>
      <c r="AB301" s="368"/>
      <c r="AC301" s="368"/>
      <c r="AD301" s="368"/>
      <c r="AE301" s="368"/>
      <c r="AF301" s="368"/>
      <c r="AG301" s="337"/>
      <c r="AH301" s="1005"/>
      <c r="AI301" s="1005"/>
      <c r="AJ301" s="1956">
        <f>IF(fx!$C$57=1,SUMIF(fx!I$57:T$57,1,I301:T301),IF(fx!$C$57=2,SUMIF(fx!O$57:AF$57,1,O301:AF301)))</f>
        <v>0</v>
      </c>
      <c r="AK301" s="1207"/>
      <c r="AL301" s="1957">
        <f>IF(fx!$C$57=1,SUM(U301:AF301),0)</f>
        <v>0</v>
      </c>
      <c r="AM301" s="1036"/>
      <c r="AN301" s="1036"/>
      <c r="AO301" s="1034"/>
      <c r="AP301" s="1037"/>
      <c r="AQ301" s="1037"/>
      <c r="AR301" s="1005"/>
      <c r="AS301" s="1005"/>
      <c r="AT301" s="1005"/>
      <c r="AU301" s="1005"/>
      <c r="AV301" s="1005"/>
      <c r="AW301" s="1005"/>
      <c r="AX301" s="1005"/>
      <c r="AY301" s="1005"/>
      <c r="AZ301" s="1005"/>
      <c r="BA301" s="1005"/>
      <c r="BB301" s="1005"/>
      <c r="BC301" s="1005"/>
      <c r="BD301" s="1005"/>
      <c r="BE301" s="1005"/>
      <c r="BF301" s="1005"/>
      <c r="BG301" s="1005"/>
      <c r="BH301" s="1005"/>
      <c r="BI301" s="1005"/>
      <c r="BJ301" s="1005"/>
      <c r="BK301" s="1005"/>
      <c r="BL301" s="1005"/>
      <c r="BM301" s="1005"/>
      <c r="BN301" s="1005"/>
      <c r="BO301" s="1005"/>
      <c r="BP301" s="1005"/>
      <c r="BQ301" s="1005"/>
      <c r="BR301" s="1005"/>
      <c r="BS301" s="1005"/>
      <c r="BT301" s="1005"/>
      <c r="BU301" s="1005"/>
      <c r="BV301" s="1005"/>
      <c r="BW301" s="1005"/>
      <c r="BX301" s="1005"/>
      <c r="BY301" s="1005"/>
      <c r="BZ301" s="1005"/>
      <c r="CA301" s="1005"/>
      <c r="CB301" s="1005"/>
      <c r="CC301" s="1005"/>
      <c r="CD301" s="1005"/>
      <c r="CE301" s="1005"/>
      <c r="CF301" s="1005"/>
      <c r="CG301" s="1005"/>
      <c r="CH301" s="1005"/>
      <c r="CI301" s="1005"/>
      <c r="CJ301" s="1005"/>
      <c r="CK301" s="1005"/>
      <c r="CL301" s="1005"/>
      <c r="CM301" s="1005"/>
      <c r="CN301" s="1005"/>
      <c r="CO301" s="1005"/>
      <c r="CP301" s="1005"/>
      <c r="CQ301" s="1005"/>
      <c r="CR301" s="1005"/>
      <c r="CS301" s="1005"/>
      <c r="CT301" s="1005"/>
      <c r="CU301" s="1005"/>
      <c r="CV301" s="1005"/>
      <c r="CW301" s="1005"/>
      <c r="CX301" s="1005"/>
      <c r="CY301" s="1005"/>
      <c r="CZ301" s="1005"/>
      <c r="DA301" s="1005"/>
      <c r="DB301" s="1005"/>
      <c r="DC301" s="1005"/>
      <c r="DD301" s="1005"/>
      <c r="DE301" s="1005"/>
      <c r="DF301" s="1005"/>
      <c r="DG301" s="1005"/>
      <c r="DH301" s="1005"/>
      <c r="DI301" s="1005"/>
      <c r="DJ301" s="1005"/>
      <c r="DK301" s="1005"/>
      <c r="DL301" s="1005"/>
      <c r="DM301" s="1005"/>
      <c r="DN301" s="1005"/>
      <c r="DO301" s="1005"/>
      <c r="DP301" s="1005"/>
      <c r="DQ301" s="1005"/>
      <c r="DR301" s="1005"/>
      <c r="DS301" s="1005"/>
      <c r="DT301" s="1005"/>
      <c r="DU301" s="1005"/>
      <c r="DV301" s="1005"/>
      <c r="DW301" s="1005"/>
      <c r="DX301" s="1005"/>
      <c r="DY301" s="1005"/>
      <c r="DZ301" s="1005"/>
      <c r="EA301" s="1005"/>
      <c r="EB301" s="1005"/>
      <c r="EC301" s="1005"/>
      <c r="ED301" s="1005"/>
      <c r="EE301" s="1005"/>
      <c r="EF301" s="1005"/>
      <c r="EG301" s="1005"/>
      <c r="EH301" s="1005"/>
      <c r="EI301" s="1005"/>
      <c r="EJ301" s="1005"/>
      <c r="EK301" s="1005"/>
      <c r="EL301" s="1005"/>
      <c r="EM301" s="1005"/>
      <c r="EN301" s="1005"/>
      <c r="EO301" s="1005"/>
      <c r="EP301" s="1005"/>
      <c r="EQ301" s="1005"/>
      <c r="ER301" s="1005"/>
      <c r="ES301" s="1005"/>
      <c r="ET301" s="1005"/>
      <c r="EU301" s="1005"/>
      <c r="EV301" s="1005"/>
      <c r="EW301" s="1005"/>
      <c r="EX301" s="1005"/>
      <c r="EY301" s="1005"/>
      <c r="EZ301" s="1005"/>
      <c r="FA301" s="1005"/>
      <c r="FB301" s="1005"/>
      <c r="FC301" s="1005"/>
      <c r="FD301" s="1005"/>
      <c r="FE301" s="1005"/>
      <c r="FF301" s="1005"/>
      <c r="FG301" s="1005"/>
      <c r="FH301" s="1005"/>
      <c r="FI301" s="1005"/>
      <c r="FJ301" s="1005"/>
      <c r="FK301" s="1005"/>
      <c r="FL301" s="1005"/>
      <c r="FM301" s="1005"/>
      <c r="FN301" s="1005"/>
      <c r="FO301" s="1005"/>
      <c r="FP301" s="1005"/>
      <c r="FQ301" s="1005"/>
      <c r="FR301" s="1005"/>
      <c r="FS301" s="1005"/>
      <c r="FT301" s="1005"/>
      <c r="FU301" s="1005"/>
      <c r="FV301" s="1005"/>
      <c r="FW301" s="1005"/>
      <c r="FX301" s="1005"/>
      <c r="FY301" s="1005"/>
      <c r="FZ301" s="1005"/>
      <c r="GA301" s="1005"/>
      <c r="GB301" s="1005"/>
      <c r="GC301" s="1005"/>
      <c r="GD301" s="1005"/>
      <c r="GE301" s="1005"/>
      <c r="GF301" s="1005"/>
      <c r="GG301" s="1005"/>
      <c r="GH301" s="1005"/>
      <c r="GI301" s="1005"/>
      <c r="GJ301" s="1005"/>
      <c r="GK301" s="1005"/>
      <c r="GL301" s="1005"/>
      <c r="GM301" s="1005"/>
      <c r="GN301" s="1005"/>
      <c r="GO301" s="1005"/>
      <c r="GP301" s="1005"/>
      <c r="GQ301" s="1005"/>
      <c r="GR301" s="1005"/>
      <c r="GS301" s="1005"/>
      <c r="GT301" s="1005"/>
      <c r="GU301" s="1005"/>
      <c r="GV301" s="1005"/>
      <c r="GW301" s="1005"/>
      <c r="GX301" s="1005"/>
      <c r="GY301" s="1005"/>
      <c r="GZ301" s="1005"/>
      <c r="HA301" s="1005"/>
      <c r="HB301" s="1005"/>
      <c r="HC301" s="1005"/>
      <c r="HD301" s="1005"/>
      <c r="HE301" s="1005"/>
      <c r="HF301" s="1005"/>
      <c r="HG301" s="1005"/>
      <c r="HH301" s="1005"/>
      <c r="HI301" s="1005"/>
      <c r="HJ301" s="1005"/>
      <c r="HK301" s="1005"/>
      <c r="HL301" s="1005"/>
      <c r="HM301" s="1005"/>
      <c r="HN301" s="1005"/>
      <c r="HO301" s="1005"/>
      <c r="HP301" s="1005"/>
      <c r="HQ301" s="1005"/>
      <c r="HR301" s="1005"/>
      <c r="HS301" s="1005"/>
      <c r="HT301" s="1005"/>
      <c r="HU301" s="1005"/>
      <c r="HV301" s="1005"/>
      <c r="HW301" s="1005"/>
      <c r="HX301" s="1005"/>
      <c r="HY301" s="1005"/>
      <c r="HZ301" s="1005"/>
      <c r="IA301" s="1005"/>
      <c r="IB301" s="1005"/>
      <c r="IC301" s="1005"/>
      <c r="ID301" s="1005"/>
      <c r="IE301" s="1005"/>
      <c r="IF301" s="1005"/>
      <c r="IG301" s="1005"/>
      <c r="IH301" s="1005"/>
      <c r="II301" s="1005"/>
      <c r="IJ301" s="1005"/>
      <c r="IK301" s="1005"/>
      <c r="IL301" s="1005"/>
      <c r="IM301" s="1005"/>
      <c r="IN301" s="1005"/>
      <c r="IO301" s="1005"/>
      <c r="IP301" s="1005"/>
      <c r="IQ301" s="1005"/>
      <c r="IR301" s="1005"/>
      <c r="IS301" s="1005"/>
      <c r="IT301" s="1005"/>
      <c r="IU301" s="1005"/>
      <c r="IV301" s="1005"/>
      <c r="IW301" s="1005"/>
      <c r="IX301" s="1005"/>
      <c r="IY301" s="1005"/>
      <c r="IZ301" s="1005"/>
      <c r="JA301" s="1005"/>
      <c r="JB301" s="1005"/>
      <c r="JC301" s="1005"/>
      <c r="JD301" s="1005"/>
      <c r="JE301" s="1005"/>
      <c r="JF301" s="1005"/>
      <c r="JG301" s="1005"/>
      <c r="JH301" s="1005"/>
      <c r="JI301" s="1005"/>
      <c r="JJ301" s="1005"/>
      <c r="JK301" s="1005"/>
      <c r="JL301" s="1005"/>
      <c r="JM301" s="1005"/>
      <c r="JN301" s="1005"/>
      <c r="JO301" s="1005"/>
      <c r="JP301" s="1005"/>
      <c r="JQ301" s="1005"/>
      <c r="JR301" s="1005"/>
      <c r="JS301" s="1005"/>
      <c r="JT301" s="1005"/>
      <c r="JU301" s="1005"/>
      <c r="JV301" s="1005"/>
      <c r="JW301" s="1005"/>
      <c r="JX301" s="1005"/>
      <c r="JY301" s="1005"/>
      <c r="JZ301" s="1005"/>
      <c r="KA301" s="1005"/>
      <c r="KB301" s="1005"/>
      <c r="KC301" s="1005"/>
      <c r="KD301" s="1005"/>
      <c r="KE301" s="1005"/>
      <c r="KF301" s="1005"/>
      <c r="KG301" s="1005"/>
      <c r="KH301" s="1005"/>
      <c r="KI301" s="1005"/>
      <c r="KJ301" s="1005"/>
      <c r="KK301" s="1005"/>
      <c r="KL301" s="1005"/>
      <c r="KM301" s="1005"/>
      <c r="KN301" s="1005"/>
      <c r="KO301" s="1005"/>
      <c r="KP301" s="1005"/>
      <c r="KQ301" s="1005"/>
      <c r="KR301" s="1005"/>
      <c r="KS301" s="1005"/>
      <c r="KT301" s="1005"/>
      <c r="KU301" s="1005"/>
      <c r="KV301" s="1005"/>
      <c r="KW301" s="1005"/>
      <c r="KX301" s="1005"/>
      <c r="KY301" s="1005"/>
      <c r="KZ301" s="1005"/>
      <c r="LA301" s="1005"/>
      <c r="LB301" s="1005"/>
      <c r="LC301" s="1005"/>
      <c r="LD301" s="1005"/>
      <c r="LE301" s="1005"/>
      <c r="LF301" s="1005"/>
      <c r="LG301" s="1005"/>
      <c r="LH301" s="1005"/>
      <c r="LI301" s="1005"/>
      <c r="LJ301" s="1005"/>
      <c r="LK301" s="1005"/>
      <c r="LL301" s="1005"/>
      <c r="LM301" s="1005"/>
      <c r="LN301" s="1005"/>
      <c r="LO301" s="1005"/>
      <c r="LP301" s="1005"/>
      <c r="LQ301" s="1005"/>
      <c r="LR301" s="1005"/>
      <c r="LS301" s="1005"/>
      <c r="LT301" s="1005"/>
      <c r="LU301" s="1005"/>
      <c r="LV301" s="1005"/>
      <c r="LW301" s="1005"/>
      <c r="LX301" s="1005"/>
      <c r="LY301" s="1005"/>
      <c r="LZ301" s="1005"/>
      <c r="MA301" s="1005"/>
      <c r="MB301" s="1005"/>
      <c r="MC301" s="1005"/>
      <c r="MD301" s="1005"/>
      <c r="ME301" s="1005"/>
      <c r="MF301" s="1005"/>
      <c r="MG301" s="1005"/>
      <c r="MH301" s="1005"/>
      <c r="MI301" s="1005"/>
      <c r="MJ301" s="1005"/>
      <c r="MK301" s="1005"/>
      <c r="ML301" s="1005"/>
      <c r="MM301" s="1005"/>
      <c r="MN301" s="1005"/>
      <c r="MO301" s="1005"/>
      <c r="MP301" s="1005"/>
      <c r="MQ301" s="1005"/>
      <c r="MR301" s="1005"/>
      <c r="MS301" s="1005"/>
      <c r="MT301" s="1005"/>
      <c r="MU301" s="1005"/>
      <c r="MV301" s="1005"/>
      <c r="MW301" s="1005"/>
      <c r="MX301" s="1005"/>
      <c r="MY301" s="1005"/>
      <c r="MZ301" s="1005"/>
      <c r="NA301" s="1005"/>
      <c r="NB301" s="1005"/>
      <c r="NC301" s="1005"/>
      <c r="ND301" s="1005"/>
      <c r="NE301" s="1005"/>
      <c r="NF301" s="1005"/>
      <c r="NG301" s="1005"/>
      <c r="NH301" s="1005"/>
      <c r="NI301" s="1005"/>
      <c r="NJ301" s="1005"/>
      <c r="NK301" s="1005"/>
      <c r="NL301" s="1005"/>
      <c r="NM301" s="1005"/>
      <c r="NN301" s="1005"/>
      <c r="NO301" s="1005"/>
      <c r="NP301" s="1005"/>
      <c r="NQ301" s="1005"/>
      <c r="NR301" s="1005"/>
      <c r="NS301" s="1005"/>
      <c r="NT301" s="1005"/>
      <c r="NU301" s="1005"/>
      <c r="NV301" s="1005"/>
      <c r="NW301" s="1005"/>
      <c r="NX301" s="1005"/>
      <c r="NY301" s="1005"/>
      <c r="NZ301" s="1005"/>
      <c r="OA301" s="1005"/>
      <c r="OB301" s="1005"/>
      <c r="OC301" s="1005"/>
      <c r="OD301" s="1005"/>
      <c r="OE301" s="1005"/>
      <c r="OF301" s="1005"/>
      <c r="OG301" s="1005"/>
      <c r="OH301" s="1005"/>
      <c r="OI301" s="1005"/>
      <c r="OJ301" s="1005"/>
      <c r="OK301" s="1005"/>
      <c r="OL301" s="1005"/>
      <c r="OM301" s="1005"/>
      <c r="ON301" s="1005"/>
      <c r="OO301" s="1005"/>
      <c r="OP301" s="1005"/>
      <c r="OQ301" s="1005"/>
      <c r="OR301" s="1005"/>
      <c r="OS301" s="1005"/>
      <c r="OT301" s="1005"/>
      <c r="OU301" s="1005"/>
      <c r="OV301" s="1005"/>
      <c r="OW301" s="1005"/>
      <c r="OX301" s="1005"/>
      <c r="OY301" s="1005"/>
      <c r="OZ301" s="1005"/>
      <c r="PA301" s="1005"/>
      <c r="PB301" s="1005"/>
      <c r="PC301" s="1005"/>
      <c r="PD301" s="1005"/>
      <c r="PE301" s="1005"/>
      <c r="PF301" s="1005"/>
      <c r="PG301" s="1005"/>
      <c r="PH301" s="1005"/>
      <c r="PI301" s="1005"/>
      <c r="PJ301" s="1005"/>
      <c r="PK301" s="1005"/>
      <c r="PL301" s="1005"/>
      <c r="PM301" s="1005"/>
      <c r="PN301" s="1005"/>
      <c r="PO301" s="1005"/>
      <c r="PP301" s="1005"/>
      <c r="PQ301" s="1005"/>
      <c r="PR301" s="1005"/>
      <c r="PS301" s="1005"/>
      <c r="PT301" s="1005"/>
      <c r="PU301" s="1005"/>
      <c r="PV301" s="1005"/>
      <c r="PW301" s="1005"/>
      <c r="PX301" s="1005"/>
      <c r="PY301" s="1005"/>
      <c r="PZ301" s="1005"/>
      <c r="QA301" s="1005"/>
      <c r="QB301" s="1005"/>
      <c r="QC301" s="1005"/>
      <c r="QD301" s="1005"/>
      <c r="QE301" s="1005"/>
      <c r="QF301" s="1005"/>
      <c r="QG301" s="1005"/>
      <c r="QH301" s="1005"/>
      <c r="QI301" s="1005"/>
      <c r="QJ301" s="1005"/>
      <c r="QK301" s="1005"/>
      <c r="QL301" s="1005"/>
      <c r="QM301" s="1005"/>
      <c r="QN301" s="1005"/>
      <c r="QO301" s="1005"/>
      <c r="QP301" s="1005"/>
      <c r="QQ301" s="1005"/>
      <c r="QR301" s="1005"/>
      <c r="QS301" s="1005"/>
      <c r="QT301" s="1005"/>
      <c r="QU301" s="1005"/>
      <c r="QV301" s="1005"/>
      <c r="QW301" s="1005"/>
      <c r="QX301" s="1005"/>
      <c r="QY301" s="1005"/>
      <c r="QZ301" s="1005"/>
      <c r="RA301" s="1005"/>
      <c r="RB301" s="1005"/>
      <c r="RC301" s="1005"/>
      <c r="RD301" s="1005"/>
      <c r="RE301" s="1005"/>
      <c r="RF301" s="1005"/>
      <c r="RG301" s="1005"/>
      <c r="RH301" s="1005"/>
      <c r="RI301" s="1005"/>
      <c r="RJ301" s="1005"/>
      <c r="RK301" s="1005"/>
      <c r="RL301" s="1005"/>
      <c r="RM301" s="1005"/>
      <c r="RN301" s="1005"/>
      <c r="RO301" s="1005"/>
      <c r="RP301" s="1005"/>
      <c r="RQ301" s="1005"/>
      <c r="RR301" s="1005"/>
      <c r="RS301" s="1005"/>
      <c r="RT301" s="1005"/>
      <c r="RU301" s="1005"/>
      <c r="RV301" s="1005"/>
      <c r="RW301" s="1005"/>
      <c r="RX301" s="1005"/>
      <c r="RY301" s="1005"/>
      <c r="RZ301" s="1005"/>
      <c r="SA301" s="1005"/>
      <c r="SB301" s="1005"/>
      <c r="SC301" s="1005"/>
      <c r="SD301" s="1005"/>
      <c r="SE301" s="1005"/>
      <c r="SF301" s="1005"/>
      <c r="SG301" s="1005"/>
      <c r="SH301" s="1005"/>
      <c r="SI301" s="1005"/>
      <c r="SJ301" s="1005"/>
      <c r="SK301" s="1005"/>
      <c r="SL301" s="1005"/>
      <c r="SM301" s="1005"/>
      <c r="SN301" s="1005"/>
      <c r="SO301" s="1005"/>
      <c r="SP301" s="1005"/>
      <c r="SQ301" s="1005"/>
      <c r="SR301" s="1005"/>
      <c r="SS301" s="1005"/>
      <c r="ST301" s="1005"/>
      <c r="SU301" s="1005"/>
      <c r="SV301" s="1005"/>
      <c r="SW301" s="1005"/>
      <c r="SX301" s="1005"/>
      <c r="SY301" s="1005"/>
      <c r="SZ301" s="1005"/>
      <c r="TA301" s="1005"/>
      <c r="TB301" s="1005"/>
      <c r="TC301" s="1005"/>
      <c r="TD301" s="1005"/>
      <c r="TE301" s="1005"/>
      <c r="TF301" s="1005"/>
      <c r="TG301" s="1005"/>
      <c r="TH301" s="1005"/>
      <c r="TI301" s="1005"/>
      <c r="TJ301" s="1005"/>
      <c r="TK301" s="1005"/>
      <c r="TL301" s="1005"/>
      <c r="TM301" s="1005"/>
      <c r="TN301" s="1005"/>
      <c r="TO301" s="1005"/>
      <c r="TP301" s="1005"/>
      <c r="TQ301" s="1005"/>
      <c r="TR301" s="1005"/>
      <c r="TS301" s="1005"/>
      <c r="TT301" s="1005"/>
      <c r="TU301" s="1005"/>
      <c r="TV301" s="1005"/>
      <c r="TW301" s="1005"/>
      <c r="TX301" s="1005"/>
      <c r="TY301" s="1005"/>
      <c r="TZ301" s="1005"/>
      <c r="UA301" s="1005"/>
      <c r="UB301" s="1005"/>
      <c r="UC301" s="1005"/>
      <c r="UD301" s="1005"/>
      <c r="UE301" s="1005"/>
      <c r="UF301" s="1005"/>
      <c r="UG301" s="1005"/>
      <c r="UH301" s="1005"/>
      <c r="UI301" s="1005"/>
      <c r="UJ301" s="1005"/>
      <c r="UK301" s="1005"/>
      <c r="UL301" s="1005"/>
      <c r="UM301" s="1005"/>
      <c r="UN301" s="1005"/>
      <c r="UO301" s="1005"/>
      <c r="UP301" s="1005"/>
      <c r="UQ301" s="1005"/>
      <c r="UR301" s="1005"/>
      <c r="US301" s="1005"/>
      <c r="UT301" s="1005"/>
      <c r="UU301" s="1005"/>
      <c r="UV301" s="1005"/>
      <c r="UW301" s="1005"/>
      <c r="UX301" s="1005"/>
      <c r="UY301" s="1005"/>
      <c r="UZ301" s="1005"/>
      <c r="VA301" s="1005"/>
      <c r="VB301" s="1005"/>
      <c r="VC301" s="1005"/>
      <c r="VD301" s="1005"/>
      <c r="VE301" s="1005"/>
      <c r="VF301" s="1005"/>
      <c r="VG301" s="1005"/>
      <c r="VH301" s="1005"/>
      <c r="VI301" s="1005"/>
      <c r="VJ301" s="1005"/>
      <c r="VK301" s="1005"/>
      <c r="VL301" s="1005"/>
      <c r="VM301" s="1005"/>
      <c r="VN301" s="1005"/>
      <c r="VO301" s="1005"/>
      <c r="VP301" s="1005"/>
      <c r="VQ301" s="1005"/>
      <c r="VR301" s="1005"/>
      <c r="VS301" s="1005"/>
      <c r="VT301" s="1005"/>
      <c r="VU301" s="1005"/>
      <c r="VV301" s="1005"/>
      <c r="VW301" s="1005"/>
      <c r="VX301" s="1005"/>
      <c r="VY301" s="1005"/>
      <c r="VZ301" s="1005"/>
      <c r="WA301" s="1005"/>
      <c r="WB301" s="1005"/>
      <c r="WC301" s="1005"/>
      <c r="WD301" s="1005"/>
      <c r="WE301" s="1005"/>
      <c r="WF301" s="1005"/>
      <c r="WG301" s="1005"/>
      <c r="WH301" s="1005"/>
      <c r="WI301" s="1005"/>
      <c r="WJ301" s="1005"/>
      <c r="WK301" s="1005"/>
      <c r="WL301" s="1005"/>
      <c r="WM301" s="1005"/>
      <c r="WN301" s="1005"/>
      <c r="WO301" s="1005"/>
      <c r="WP301" s="1005"/>
      <c r="WQ301" s="1005"/>
      <c r="WR301" s="1005"/>
      <c r="WS301" s="1005"/>
      <c r="WT301" s="1005"/>
      <c r="WU301" s="1005"/>
      <c r="WV301" s="1005"/>
      <c r="WW301" s="1005"/>
      <c r="WX301" s="1005"/>
      <c r="WY301" s="1005"/>
      <c r="WZ301" s="1005"/>
      <c r="XA301" s="1005"/>
      <c r="XB301" s="1005"/>
      <c r="XC301" s="1005"/>
      <c r="XD301" s="1005"/>
      <c r="XE301" s="1005"/>
      <c r="XF301" s="1005"/>
      <c r="XG301" s="1005"/>
      <c r="XH301" s="1005"/>
      <c r="XI301" s="1005"/>
      <c r="XJ301" s="1005"/>
      <c r="XK301" s="1005"/>
      <c r="XL301" s="1005"/>
      <c r="XM301" s="1005"/>
      <c r="XN301" s="1005"/>
      <c r="XO301" s="1005"/>
      <c r="XP301" s="1005"/>
      <c r="XQ301" s="1005"/>
      <c r="XR301" s="1005"/>
      <c r="XS301" s="1005"/>
      <c r="XT301" s="1005"/>
      <c r="XU301" s="1005"/>
      <c r="XV301" s="1005"/>
      <c r="XW301" s="1005"/>
      <c r="XX301" s="1005"/>
      <c r="XY301" s="1005"/>
      <c r="XZ301" s="1005"/>
      <c r="YA301" s="1005"/>
      <c r="YB301" s="1005"/>
      <c r="YC301" s="1005"/>
      <c r="YD301" s="1005"/>
      <c r="YE301" s="1005"/>
      <c r="YF301" s="1005"/>
      <c r="YG301" s="1005"/>
      <c r="YH301" s="1005"/>
      <c r="YI301" s="1005"/>
      <c r="YJ301" s="1005"/>
      <c r="YK301" s="1005"/>
      <c r="YL301" s="1005"/>
      <c r="YM301" s="1005"/>
      <c r="YN301" s="1005"/>
      <c r="YO301" s="1005"/>
      <c r="YP301" s="1005"/>
      <c r="YQ301" s="1005"/>
      <c r="YR301" s="1005"/>
      <c r="YS301" s="1005"/>
      <c r="YT301" s="1005"/>
      <c r="YU301" s="1005"/>
      <c r="YV301" s="1005"/>
      <c r="YW301" s="1005"/>
      <c r="YX301" s="1005"/>
      <c r="YY301" s="1005"/>
      <c r="YZ301" s="1005"/>
      <c r="ZA301" s="1005"/>
      <c r="ZB301" s="1005"/>
      <c r="ZC301" s="1005"/>
      <c r="ZD301" s="1005"/>
      <c r="ZE301" s="1005"/>
      <c r="ZF301" s="1005"/>
      <c r="ZG301" s="1005"/>
      <c r="ZH301" s="1005"/>
      <c r="ZI301" s="1005"/>
      <c r="ZJ301" s="1005"/>
      <c r="ZK301" s="1005"/>
      <c r="ZL301" s="1005"/>
      <c r="ZM301" s="1005"/>
      <c r="ZN301" s="1005"/>
      <c r="ZO301" s="1005"/>
      <c r="ZP301" s="1005"/>
      <c r="ZQ301" s="1005"/>
      <c r="ZR301" s="1005"/>
      <c r="ZS301" s="1005"/>
      <c r="ZT301" s="1005"/>
      <c r="ZU301" s="1005"/>
      <c r="ZV301" s="1005"/>
      <c r="ZW301" s="1005"/>
      <c r="ZX301" s="1005"/>
      <c r="ZY301" s="1005"/>
      <c r="ZZ301" s="1005"/>
      <c r="AAA301" s="1005"/>
      <c r="AAB301" s="1005"/>
      <c r="AAC301" s="1005"/>
      <c r="AAD301" s="1005"/>
      <c r="AAE301" s="1005"/>
      <c r="AAF301" s="1005"/>
      <c r="AAG301" s="1005"/>
      <c r="AAH301" s="1005"/>
      <c r="AAI301" s="1005"/>
      <c r="AAJ301" s="1005"/>
      <c r="AAK301" s="1005"/>
      <c r="AAL301" s="1005"/>
      <c r="AAM301" s="1005"/>
      <c r="AAN301" s="1005"/>
      <c r="AAO301" s="1005"/>
      <c r="AAP301" s="1005"/>
      <c r="AAQ301" s="1005"/>
      <c r="AAR301" s="1005"/>
      <c r="AAS301" s="1005"/>
      <c r="AAT301" s="1005"/>
      <c r="AAU301" s="1005"/>
      <c r="AAV301" s="1005"/>
      <c r="AAW301" s="1005"/>
      <c r="AAX301" s="1005"/>
      <c r="AAY301" s="1005"/>
      <c r="AAZ301" s="1005"/>
      <c r="ABA301" s="1005"/>
      <c r="ABB301" s="1005"/>
      <c r="ABC301" s="1005"/>
      <c r="ABD301" s="1005"/>
      <c r="ABE301" s="1005"/>
      <c r="ABF301" s="1005"/>
      <c r="ABG301" s="1005"/>
      <c r="ABH301" s="1005"/>
      <c r="ABI301" s="1005"/>
      <c r="ABJ301" s="1005"/>
      <c r="ABK301" s="1005"/>
      <c r="ABL301" s="1005"/>
      <c r="ABM301" s="1005"/>
      <c r="ABN301" s="1005"/>
      <c r="ABO301" s="1005"/>
      <c r="ABP301" s="1005"/>
      <c r="ABQ301" s="1005"/>
      <c r="ABR301" s="1005"/>
    </row>
    <row r="302" spans="1:746" s="113" customFormat="1" ht="12" hidden="1" customHeight="1">
      <c r="A302" s="1252"/>
      <c r="B302" s="2508" t="s">
        <v>1356</v>
      </c>
      <c r="C302" s="2507"/>
      <c r="D302" s="2500"/>
      <c r="E302" s="2925"/>
      <c r="F302" s="2926"/>
      <c r="G302" s="2927"/>
      <c r="H302" s="2501"/>
      <c r="I302" s="368"/>
      <c r="J302" s="368"/>
      <c r="K302" s="368"/>
      <c r="L302" s="368"/>
      <c r="M302" s="368"/>
      <c r="N302" s="368"/>
      <c r="O302" s="368"/>
      <c r="P302" s="368"/>
      <c r="Q302" s="368"/>
      <c r="R302" s="368"/>
      <c r="S302" s="368"/>
      <c r="T302" s="368"/>
      <c r="U302" s="368"/>
      <c r="V302" s="368"/>
      <c r="W302" s="368"/>
      <c r="X302" s="368"/>
      <c r="Y302" s="368"/>
      <c r="Z302" s="368"/>
      <c r="AA302" s="368"/>
      <c r="AB302" s="368"/>
      <c r="AC302" s="368"/>
      <c r="AD302" s="368"/>
      <c r="AE302" s="368"/>
      <c r="AF302" s="368"/>
      <c r="AG302" s="337"/>
      <c r="AH302" s="1005"/>
      <c r="AI302" s="1005"/>
      <c r="AJ302" s="1956">
        <f>IF(fx!$C$57=1,SUMIF(fx!I$57:T$57,1,I302:T302),IF(fx!$C$57=2,SUMIF(fx!O$57:AF$57,1,O302:AF302)))</f>
        <v>0</v>
      </c>
      <c r="AK302" s="1207"/>
      <c r="AL302" s="1957">
        <f>IF(fx!$C$57=1,SUM(U302:AF302),0)</f>
        <v>0</v>
      </c>
      <c r="AM302" s="1036"/>
      <c r="AN302" s="1036"/>
      <c r="AO302" s="1034"/>
      <c r="AP302" s="1037"/>
      <c r="AQ302" s="1037"/>
      <c r="AR302" s="1005"/>
      <c r="AS302" s="1005"/>
      <c r="AT302" s="1005"/>
      <c r="AU302" s="1005"/>
      <c r="AV302" s="1005"/>
      <c r="AW302" s="1005"/>
      <c r="AX302" s="1005"/>
      <c r="AY302" s="1005"/>
      <c r="AZ302" s="1005"/>
      <c r="BA302" s="1005"/>
      <c r="BB302" s="1005"/>
      <c r="BC302" s="1005"/>
      <c r="BD302" s="1005"/>
      <c r="BE302" s="1005"/>
      <c r="BF302" s="1005"/>
      <c r="BG302" s="1005"/>
      <c r="BH302" s="1005"/>
      <c r="BI302" s="1005"/>
      <c r="BJ302" s="1005"/>
      <c r="BK302" s="1005"/>
      <c r="BL302" s="1005"/>
      <c r="BM302" s="1005"/>
      <c r="BN302" s="1005"/>
      <c r="BO302" s="1005"/>
      <c r="BP302" s="1005"/>
      <c r="BQ302" s="1005"/>
      <c r="BR302" s="1005"/>
      <c r="BS302" s="1005"/>
      <c r="BT302" s="1005"/>
      <c r="BU302" s="1005"/>
      <c r="BV302" s="1005"/>
      <c r="BW302" s="1005"/>
      <c r="BX302" s="1005"/>
      <c r="BY302" s="1005"/>
      <c r="BZ302" s="1005"/>
      <c r="CA302" s="1005"/>
      <c r="CB302" s="1005"/>
      <c r="CC302" s="1005"/>
      <c r="CD302" s="1005"/>
      <c r="CE302" s="1005"/>
      <c r="CF302" s="1005"/>
      <c r="CG302" s="1005"/>
      <c r="CH302" s="1005"/>
      <c r="CI302" s="1005"/>
      <c r="CJ302" s="1005"/>
      <c r="CK302" s="1005"/>
      <c r="CL302" s="1005"/>
      <c r="CM302" s="1005"/>
      <c r="CN302" s="1005"/>
      <c r="CO302" s="1005"/>
      <c r="CP302" s="1005"/>
      <c r="CQ302" s="1005"/>
      <c r="CR302" s="1005"/>
      <c r="CS302" s="1005"/>
      <c r="CT302" s="1005"/>
      <c r="CU302" s="1005"/>
      <c r="CV302" s="1005"/>
      <c r="CW302" s="1005"/>
      <c r="CX302" s="1005"/>
      <c r="CY302" s="1005"/>
      <c r="CZ302" s="1005"/>
      <c r="DA302" s="1005"/>
      <c r="DB302" s="1005"/>
      <c r="DC302" s="1005"/>
      <c r="DD302" s="1005"/>
      <c r="DE302" s="1005"/>
      <c r="DF302" s="1005"/>
      <c r="DG302" s="1005"/>
      <c r="DH302" s="1005"/>
      <c r="DI302" s="1005"/>
      <c r="DJ302" s="1005"/>
      <c r="DK302" s="1005"/>
      <c r="DL302" s="1005"/>
      <c r="DM302" s="1005"/>
      <c r="DN302" s="1005"/>
      <c r="DO302" s="1005"/>
      <c r="DP302" s="1005"/>
      <c r="DQ302" s="1005"/>
      <c r="DR302" s="1005"/>
      <c r="DS302" s="1005"/>
      <c r="DT302" s="1005"/>
      <c r="DU302" s="1005"/>
      <c r="DV302" s="1005"/>
      <c r="DW302" s="1005"/>
      <c r="DX302" s="1005"/>
      <c r="DY302" s="1005"/>
      <c r="DZ302" s="1005"/>
      <c r="EA302" s="1005"/>
      <c r="EB302" s="1005"/>
      <c r="EC302" s="1005"/>
      <c r="ED302" s="1005"/>
      <c r="EE302" s="1005"/>
      <c r="EF302" s="1005"/>
      <c r="EG302" s="1005"/>
      <c r="EH302" s="1005"/>
      <c r="EI302" s="1005"/>
      <c r="EJ302" s="1005"/>
      <c r="EK302" s="1005"/>
      <c r="EL302" s="1005"/>
      <c r="EM302" s="1005"/>
      <c r="EN302" s="1005"/>
      <c r="EO302" s="1005"/>
      <c r="EP302" s="1005"/>
      <c r="EQ302" s="1005"/>
      <c r="ER302" s="1005"/>
      <c r="ES302" s="1005"/>
      <c r="ET302" s="1005"/>
      <c r="EU302" s="1005"/>
      <c r="EV302" s="1005"/>
      <c r="EW302" s="1005"/>
      <c r="EX302" s="1005"/>
      <c r="EY302" s="1005"/>
      <c r="EZ302" s="1005"/>
      <c r="FA302" s="1005"/>
      <c r="FB302" s="1005"/>
      <c r="FC302" s="1005"/>
      <c r="FD302" s="1005"/>
      <c r="FE302" s="1005"/>
      <c r="FF302" s="1005"/>
      <c r="FG302" s="1005"/>
      <c r="FH302" s="1005"/>
      <c r="FI302" s="1005"/>
      <c r="FJ302" s="1005"/>
      <c r="FK302" s="1005"/>
      <c r="FL302" s="1005"/>
      <c r="FM302" s="1005"/>
      <c r="FN302" s="1005"/>
      <c r="FO302" s="1005"/>
      <c r="FP302" s="1005"/>
      <c r="FQ302" s="1005"/>
      <c r="FR302" s="1005"/>
      <c r="FS302" s="1005"/>
      <c r="FT302" s="1005"/>
      <c r="FU302" s="1005"/>
      <c r="FV302" s="1005"/>
      <c r="FW302" s="1005"/>
      <c r="FX302" s="1005"/>
      <c r="FY302" s="1005"/>
      <c r="FZ302" s="1005"/>
      <c r="GA302" s="1005"/>
      <c r="GB302" s="1005"/>
      <c r="GC302" s="1005"/>
      <c r="GD302" s="1005"/>
      <c r="GE302" s="1005"/>
      <c r="GF302" s="1005"/>
      <c r="GG302" s="1005"/>
      <c r="GH302" s="1005"/>
      <c r="GI302" s="1005"/>
      <c r="GJ302" s="1005"/>
      <c r="GK302" s="1005"/>
      <c r="GL302" s="1005"/>
      <c r="GM302" s="1005"/>
      <c r="GN302" s="1005"/>
      <c r="GO302" s="1005"/>
      <c r="GP302" s="1005"/>
      <c r="GQ302" s="1005"/>
      <c r="GR302" s="1005"/>
      <c r="GS302" s="1005"/>
      <c r="GT302" s="1005"/>
      <c r="GU302" s="1005"/>
      <c r="GV302" s="1005"/>
      <c r="GW302" s="1005"/>
      <c r="GX302" s="1005"/>
      <c r="GY302" s="1005"/>
      <c r="GZ302" s="1005"/>
      <c r="HA302" s="1005"/>
      <c r="HB302" s="1005"/>
      <c r="HC302" s="1005"/>
      <c r="HD302" s="1005"/>
      <c r="HE302" s="1005"/>
      <c r="HF302" s="1005"/>
      <c r="HG302" s="1005"/>
      <c r="HH302" s="1005"/>
      <c r="HI302" s="1005"/>
      <c r="HJ302" s="1005"/>
      <c r="HK302" s="1005"/>
      <c r="HL302" s="1005"/>
      <c r="HM302" s="1005"/>
      <c r="HN302" s="1005"/>
      <c r="HO302" s="1005"/>
      <c r="HP302" s="1005"/>
      <c r="HQ302" s="1005"/>
      <c r="HR302" s="1005"/>
      <c r="HS302" s="1005"/>
      <c r="HT302" s="1005"/>
      <c r="HU302" s="1005"/>
      <c r="HV302" s="1005"/>
      <c r="HW302" s="1005"/>
      <c r="HX302" s="1005"/>
      <c r="HY302" s="1005"/>
      <c r="HZ302" s="1005"/>
      <c r="IA302" s="1005"/>
      <c r="IB302" s="1005"/>
      <c r="IC302" s="1005"/>
      <c r="ID302" s="1005"/>
      <c r="IE302" s="1005"/>
      <c r="IF302" s="1005"/>
      <c r="IG302" s="1005"/>
      <c r="IH302" s="1005"/>
      <c r="II302" s="1005"/>
      <c r="IJ302" s="1005"/>
      <c r="IK302" s="1005"/>
      <c r="IL302" s="1005"/>
      <c r="IM302" s="1005"/>
      <c r="IN302" s="1005"/>
      <c r="IO302" s="1005"/>
      <c r="IP302" s="1005"/>
      <c r="IQ302" s="1005"/>
      <c r="IR302" s="1005"/>
      <c r="IS302" s="1005"/>
      <c r="IT302" s="1005"/>
      <c r="IU302" s="1005"/>
      <c r="IV302" s="1005"/>
      <c r="IW302" s="1005"/>
      <c r="IX302" s="1005"/>
      <c r="IY302" s="1005"/>
      <c r="IZ302" s="1005"/>
      <c r="JA302" s="1005"/>
      <c r="JB302" s="1005"/>
      <c r="JC302" s="1005"/>
      <c r="JD302" s="1005"/>
      <c r="JE302" s="1005"/>
      <c r="JF302" s="1005"/>
      <c r="JG302" s="1005"/>
      <c r="JH302" s="1005"/>
      <c r="JI302" s="1005"/>
      <c r="JJ302" s="1005"/>
      <c r="JK302" s="1005"/>
      <c r="JL302" s="1005"/>
      <c r="JM302" s="1005"/>
      <c r="JN302" s="1005"/>
      <c r="JO302" s="1005"/>
      <c r="JP302" s="1005"/>
      <c r="JQ302" s="1005"/>
      <c r="JR302" s="1005"/>
      <c r="JS302" s="1005"/>
      <c r="JT302" s="1005"/>
      <c r="JU302" s="1005"/>
      <c r="JV302" s="1005"/>
      <c r="JW302" s="1005"/>
      <c r="JX302" s="1005"/>
      <c r="JY302" s="1005"/>
      <c r="JZ302" s="1005"/>
      <c r="KA302" s="1005"/>
      <c r="KB302" s="1005"/>
      <c r="KC302" s="1005"/>
      <c r="KD302" s="1005"/>
      <c r="KE302" s="1005"/>
      <c r="KF302" s="1005"/>
      <c r="KG302" s="1005"/>
      <c r="KH302" s="1005"/>
      <c r="KI302" s="1005"/>
      <c r="KJ302" s="1005"/>
      <c r="KK302" s="1005"/>
      <c r="KL302" s="1005"/>
      <c r="KM302" s="1005"/>
      <c r="KN302" s="1005"/>
      <c r="KO302" s="1005"/>
      <c r="KP302" s="1005"/>
      <c r="KQ302" s="1005"/>
      <c r="KR302" s="1005"/>
      <c r="KS302" s="1005"/>
      <c r="KT302" s="1005"/>
      <c r="KU302" s="1005"/>
      <c r="KV302" s="1005"/>
      <c r="KW302" s="1005"/>
      <c r="KX302" s="1005"/>
      <c r="KY302" s="1005"/>
      <c r="KZ302" s="1005"/>
      <c r="LA302" s="1005"/>
      <c r="LB302" s="1005"/>
      <c r="LC302" s="1005"/>
      <c r="LD302" s="1005"/>
      <c r="LE302" s="1005"/>
      <c r="LF302" s="1005"/>
      <c r="LG302" s="1005"/>
      <c r="LH302" s="1005"/>
      <c r="LI302" s="1005"/>
      <c r="LJ302" s="1005"/>
      <c r="LK302" s="1005"/>
      <c r="LL302" s="1005"/>
      <c r="LM302" s="1005"/>
      <c r="LN302" s="1005"/>
      <c r="LO302" s="1005"/>
      <c r="LP302" s="1005"/>
      <c r="LQ302" s="1005"/>
      <c r="LR302" s="1005"/>
      <c r="LS302" s="1005"/>
      <c r="LT302" s="1005"/>
      <c r="LU302" s="1005"/>
      <c r="LV302" s="1005"/>
      <c r="LW302" s="1005"/>
      <c r="LX302" s="1005"/>
      <c r="LY302" s="1005"/>
      <c r="LZ302" s="1005"/>
      <c r="MA302" s="1005"/>
      <c r="MB302" s="1005"/>
      <c r="MC302" s="1005"/>
      <c r="MD302" s="1005"/>
      <c r="ME302" s="1005"/>
      <c r="MF302" s="1005"/>
      <c r="MG302" s="1005"/>
      <c r="MH302" s="1005"/>
      <c r="MI302" s="1005"/>
      <c r="MJ302" s="1005"/>
      <c r="MK302" s="1005"/>
      <c r="ML302" s="1005"/>
      <c r="MM302" s="1005"/>
      <c r="MN302" s="1005"/>
      <c r="MO302" s="1005"/>
      <c r="MP302" s="1005"/>
      <c r="MQ302" s="1005"/>
      <c r="MR302" s="1005"/>
      <c r="MS302" s="1005"/>
      <c r="MT302" s="1005"/>
      <c r="MU302" s="1005"/>
      <c r="MV302" s="1005"/>
      <c r="MW302" s="1005"/>
      <c r="MX302" s="1005"/>
      <c r="MY302" s="1005"/>
      <c r="MZ302" s="1005"/>
      <c r="NA302" s="1005"/>
      <c r="NB302" s="1005"/>
      <c r="NC302" s="1005"/>
      <c r="ND302" s="1005"/>
      <c r="NE302" s="1005"/>
      <c r="NF302" s="1005"/>
      <c r="NG302" s="1005"/>
      <c r="NH302" s="1005"/>
      <c r="NI302" s="1005"/>
      <c r="NJ302" s="1005"/>
      <c r="NK302" s="1005"/>
      <c r="NL302" s="1005"/>
      <c r="NM302" s="1005"/>
      <c r="NN302" s="1005"/>
      <c r="NO302" s="1005"/>
      <c r="NP302" s="1005"/>
      <c r="NQ302" s="1005"/>
      <c r="NR302" s="1005"/>
      <c r="NS302" s="1005"/>
      <c r="NT302" s="1005"/>
      <c r="NU302" s="1005"/>
      <c r="NV302" s="1005"/>
      <c r="NW302" s="1005"/>
      <c r="NX302" s="1005"/>
      <c r="NY302" s="1005"/>
      <c r="NZ302" s="1005"/>
      <c r="OA302" s="1005"/>
      <c r="OB302" s="1005"/>
      <c r="OC302" s="1005"/>
      <c r="OD302" s="1005"/>
      <c r="OE302" s="1005"/>
      <c r="OF302" s="1005"/>
      <c r="OG302" s="1005"/>
      <c r="OH302" s="1005"/>
      <c r="OI302" s="1005"/>
      <c r="OJ302" s="1005"/>
      <c r="OK302" s="1005"/>
      <c r="OL302" s="1005"/>
      <c r="OM302" s="1005"/>
      <c r="ON302" s="1005"/>
      <c r="OO302" s="1005"/>
      <c r="OP302" s="1005"/>
      <c r="OQ302" s="1005"/>
      <c r="OR302" s="1005"/>
      <c r="OS302" s="1005"/>
      <c r="OT302" s="1005"/>
      <c r="OU302" s="1005"/>
      <c r="OV302" s="1005"/>
      <c r="OW302" s="1005"/>
      <c r="OX302" s="1005"/>
      <c r="OY302" s="1005"/>
      <c r="OZ302" s="1005"/>
      <c r="PA302" s="1005"/>
      <c r="PB302" s="1005"/>
      <c r="PC302" s="1005"/>
      <c r="PD302" s="1005"/>
      <c r="PE302" s="1005"/>
      <c r="PF302" s="1005"/>
      <c r="PG302" s="1005"/>
      <c r="PH302" s="1005"/>
      <c r="PI302" s="1005"/>
      <c r="PJ302" s="1005"/>
      <c r="PK302" s="1005"/>
      <c r="PL302" s="1005"/>
      <c r="PM302" s="1005"/>
      <c r="PN302" s="1005"/>
      <c r="PO302" s="1005"/>
      <c r="PP302" s="1005"/>
      <c r="PQ302" s="1005"/>
      <c r="PR302" s="1005"/>
      <c r="PS302" s="1005"/>
      <c r="PT302" s="1005"/>
      <c r="PU302" s="1005"/>
      <c r="PV302" s="1005"/>
      <c r="PW302" s="1005"/>
      <c r="PX302" s="1005"/>
      <c r="PY302" s="1005"/>
      <c r="PZ302" s="1005"/>
      <c r="QA302" s="1005"/>
      <c r="QB302" s="1005"/>
      <c r="QC302" s="1005"/>
      <c r="QD302" s="1005"/>
      <c r="QE302" s="1005"/>
      <c r="QF302" s="1005"/>
      <c r="QG302" s="1005"/>
      <c r="QH302" s="1005"/>
      <c r="QI302" s="1005"/>
      <c r="QJ302" s="1005"/>
      <c r="QK302" s="1005"/>
      <c r="QL302" s="1005"/>
      <c r="QM302" s="1005"/>
      <c r="QN302" s="1005"/>
      <c r="QO302" s="1005"/>
      <c r="QP302" s="1005"/>
      <c r="QQ302" s="1005"/>
      <c r="QR302" s="1005"/>
      <c r="QS302" s="1005"/>
      <c r="QT302" s="1005"/>
      <c r="QU302" s="1005"/>
      <c r="QV302" s="1005"/>
      <c r="QW302" s="1005"/>
      <c r="QX302" s="1005"/>
      <c r="QY302" s="1005"/>
      <c r="QZ302" s="1005"/>
      <c r="RA302" s="1005"/>
      <c r="RB302" s="1005"/>
      <c r="RC302" s="1005"/>
      <c r="RD302" s="1005"/>
      <c r="RE302" s="1005"/>
      <c r="RF302" s="1005"/>
      <c r="RG302" s="1005"/>
      <c r="RH302" s="1005"/>
      <c r="RI302" s="1005"/>
      <c r="RJ302" s="1005"/>
      <c r="RK302" s="1005"/>
      <c r="RL302" s="1005"/>
      <c r="RM302" s="1005"/>
      <c r="RN302" s="1005"/>
      <c r="RO302" s="1005"/>
      <c r="RP302" s="1005"/>
      <c r="RQ302" s="1005"/>
      <c r="RR302" s="1005"/>
      <c r="RS302" s="1005"/>
      <c r="RT302" s="1005"/>
      <c r="RU302" s="1005"/>
      <c r="RV302" s="1005"/>
      <c r="RW302" s="1005"/>
      <c r="RX302" s="1005"/>
      <c r="RY302" s="1005"/>
      <c r="RZ302" s="1005"/>
      <c r="SA302" s="1005"/>
      <c r="SB302" s="1005"/>
      <c r="SC302" s="1005"/>
      <c r="SD302" s="1005"/>
      <c r="SE302" s="1005"/>
      <c r="SF302" s="1005"/>
      <c r="SG302" s="1005"/>
      <c r="SH302" s="1005"/>
      <c r="SI302" s="1005"/>
      <c r="SJ302" s="1005"/>
      <c r="SK302" s="1005"/>
      <c r="SL302" s="1005"/>
      <c r="SM302" s="1005"/>
      <c r="SN302" s="1005"/>
      <c r="SO302" s="1005"/>
      <c r="SP302" s="1005"/>
      <c r="SQ302" s="1005"/>
      <c r="SR302" s="1005"/>
      <c r="SS302" s="1005"/>
      <c r="ST302" s="1005"/>
      <c r="SU302" s="1005"/>
      <c r="SV302" s="1005"/>
      <c r="SW302" s="1005"/>
      <c r="SX302" s="1005"/>
      <c r="SY302" s="1005"/>
      <c r="SZ302" s="1005"/>
      <c r="TA302" s="1005"/>
      <c r="TB302" s="1005"/>
      <c r="TC302" s="1005"/>
      <c r="TD302" s="1005"/>
      <c r="TE302" s="1005"/>
      <c r="TF302" s="1005"/>
      <c r="TG302" s="1005"/>
      <c r="TH302" s="1005"/>
      <c r="TI302" s="1005"/>
      <c r="TJ302" s="1005"/>
      <c r="TK302" s="1005"/>
      <c r="TL302" s="1005"/>
      <c r="TM302" s="1005"/>
      <c r="TN302" s="1005"/>
      <c r="TO302" s="1005"/>
      <c r="TP302" s="1005"/>
      <c r="TQ302" s="1005"/>
      <c r="TR302" s="1005"/>
      <c r="TS302" s="1005"/>
      <c r="TT302" s="1005"/>
      <c r="TU302" s="1005"/>
      <c r="TV302" s="1005"/>
      <c r="TW302" s="1005"/>
      <c r="TX302" s="1005"/>
      <c r="TY302" s="1005"/>
      <c r="TZ302" s="1005"/>
      <c r="UA302" s="1005"/>
      <c r="UB302" s="1005"/>
      <c r="UC302" s="1005"/>
      <c r="UD302" s="1005"/>
      <c r="UE302" s="1005"/>
      <c r="UF302" s="1005"/>
      <c r="UG302" s="1005"/>
      <c r="UH302" s="1005"/>
      <c r="UI302" s="1005"/>
      <c r="UJ302" s="1005"/>
      <c r="UK302" s="1005"/>
      <c r="UL302" s="1005"/>
      <c r="UM302" s="1005"/>
      <c r="UN302" s="1005"/>
      <c r="UO302" s="1005"/>
      <c r="UP302" s="1005"/>
      <c r="UQ302" s="1005"/>
      <c r="UR302" s="1005"/>
      <c r="US302" s="1005"/>
      <c r="UT302" s="1005"/>
      <c r="UU302" s="1005"/>
      <c r="UV302" s="1005"/>
      <c r="UW302" s="1005"/>
      <c r="UX302" s="1005"/>
      <c r="UY302" s="1005"/>
      <c r="UZ302" s="1005"/>
      <c r="VA302" s="1005"/>
      <c r="VB302" s="1005"/>
      <c r="VC302" s="1005"/>
      <c r="VD302" s="1005"/>
      <c r="VE302" s="1005"/>
      <c r="VF302" s="1005"/>
      <c r="VG302" s="1005"/>
      <c r="VH302" s="1005"/>
      <c r="VI302" s="1005"/>
      <c r="VJ302" s="1005"/>
      <c r="VK302" s="1005"/>
      <c r="VL302" s="1005"/>
      <c r="VM302" s="1005"/>
      <c r="VN302" s="1005"/>
      <c r="VO302" s="1005"/>
      <c r="VP302" s="1005"/>
      <c r="VQ302" s="1005"/>
      <c r="VR302" s="1005"/>
      <c r="VS302" s="1005"/>
      <c r="VT302" s="1005"/>
      <c r="VU302" s="1005"/>
      <c r="VV302" s="1005"/>
      <c r="VW302" s="1005"/>
      <c r="VX302" s="1005"/>
      <c r="VY302" s="1005"/>
      <c r="VZ302" s="1005"/>
      <c r="WA302" s="1005"/>
      <c r="WB302" s="1005"/>
      <c r="WC302" s="1005"/>
      <c r="WD302" s="1005"/>
      <c r="WE302" s="1005"/>
      <c r="WF302" s="1005"/>
      <c r="WG302" s="1005"/>
      <c r="WH302" s="1005"/>
      <c r="WI302" s="1005"/>
      <c r="WJ302" s="1005"/>
      <c r="WK302" s="1005"/>
      <c r="WL302" s="1005"/>
      <c r="WM302" s="1005"/>
      <c r="WN302" s="1005"/>
      <c r="WO302" s="1005"/>
      <c r="WP302" s="1005"/>
      <c r="WQ302" s="1005"/>
      <c r="WR302" s="1005"/>
      <c r="WS302" s="1005"/>
      <c r="WT302" s="1005"/>
      <c r="WU302" s="1005"/>
      <c r="WV302" s="1005"/>
      <c r="WW302" s="1005"/>
      <c r="WX302" s="1005"/>
      <c r="WY302" s="1005"/>
      <c r="WZ302" s="1005"/>
      <c r="XA302" s="1005"/>
      <c r="XB302" s="1005"/>
      <c r="XC302" s="1005"/>
      <c r="XD302" s="1005"/>
      <c r="XE302" s="1005"/>
      <c r="XF302" s="1005"/>
      <c r="XG302" s="1005"/>
      <c r="XH302" s="1005"/>
      <c r="XI302" s="1005"/>
      <c r="XJ302" s="1005"/>
      <c r="XK302" s="1005"/>
      <c r="XL302" s="1005"/>
      <c r="XM302" s="1005"/>
      <c r="XN302" s="1005"/>
      <c r="XO302" s="1005"/>
      <c r="XP302" s="1005"/>
      <c r="XQ302" s="1005"/>
      <c r="XR302" s="1005"/>
      <c r="XS302" s="1005"/>
      <c r="XT302" s="1005"/>
      <c r="XU302" s="1005"/>
      <c r="XV302" s="1005"/>
      <c r="XW302" s="1005"/>
      <c r="XX302" s="1005"/>
      <c r="XY302" s="1005"/>
      <c r="XZ302" s="1005"/>
      <c r="YA302" s="1005"/>
      <c r="YB302" s="1005"/>
      <c r="YC302" s="1005"/>
      <c r="YD302" s="1005"/>
      <c r="YE302" s="1005"/>
      <c r="YF302" s="1005"/>
      <c r="YG302" s="1005"/>
      <c r="YH302" s="1005"/>
      <c r="YI302" s="1005"/>
      <c r="YJ302" s="1005"/>
      <c r="YK302" s="1005"/>
      <c r="YL302" s="1005"/>
      <c r="YM302" s="1005"/>
      <c r="YN302" s="1005"/>
      <c r="YO302" s="1005"/>
      <c r="YP302" s="1005"/>
      <c r="YQ302" s="1005"/>
      <c r="YR302" s="1005"/>
      <c r="YS302" s="1005"/>
      <c r="YT302" s="1005"/>
      <c r="YU302" s="1005"/>
      <c r="YV302" s="1005"/>
      <c r="YW302" s="1005"/>
      <c r="YX302" s="1005"/>
      <c r="YY302" s="1005"/>
      <c r="YZ302" s="1005"/>
      <c r="ZA302" s="1005"/>
      <c r="ZB302" s="1005"/>
      <c r="ZC302" s="1005"/>
      <c r="ZD302" s="1005"/>
      <c r="ZE302" s="1005"/>
      <c r="ZF302" s="1005"/>
      <c r="ZG302" s="1005"/>
      <c r="ZH302" s="1005"/>
      <c r="ZI302" s="1005"/>
      <c r="ZJ302" s="1005"/>
      <c r="ZK302" s="1005"/>
      <c r="ZL302" s="1005"/>
      <c r="ZM302" s="1005"/>
      <c r="ZN302" s="1005"/>
      <c r="ZO302" s="1005"/>
      <c r="ZP302" s="1005"/>
      <c r="ZQ302" s="1005"/>
      <c r="ZR302" s="1005"/>
      <c r="ZS302" s="1005"/>
      <c r="ZT302" s="1005"/>
      <c r="ZU302" s="1005"/>
      <c r="ZV302" s="1005"/>
      <c r="ZW302" s="1005"/>
      <c r="ZX302" s="1005"/>
      <c r="ZY302" s="1005"/>
      <c r="ZZ302" s="1005"/>
      <c r="AAA302" s="1005"/>
      <c r="AAB302" s="1005"/>
      <c r="AAC302" s="1005"/>
      <c r="AAD302" s="1005"/>
      <c r="AAE302" s="1005"/>
      <c r="AAF302" s="1005"/>
      <c r="AAG302" s="1005"/>
      <c r="AAH302" s="1005"/>
      <c r="AAI302" s="1005"/>
      <c r="AAJ302" s="1005"/>
      <c r="AAK302" s="1005"/>
      <c r="AAL302" s="1005"/>
      <c r="AAM302" s="1005"/>
      <c r="AAN302" s="1005"/>
      <c r="AAO302" s="1005"/>
      <c r="AAP302" s="1005"/>
      <c r="AAQ302" s="1005"/>
      <c r="AAR302" s="1005"/>
      <c r="AAS302" s="1005"/>
      <c r="AAT302" s="1005"/>
      <c r="AAU302" s="1005"/>
      <c r="AAV302" s="1005"/>
      <c r="AAW302" s="1005"/>
      <c r="AAX302" s="1005"/>
      <c r="AAY302" s="1005"/>
      <c r="AAZ302" s="1005"/>
      <c r="ABA302" s="1005"/>
      <c r="ABB302" s="1005"/>
      <c r="ABC302" s="1005"/>
      <c r="ABD302" s="1005"/>
      <c r="ABE302" s="1005"/>
      <c r="ABF302" s="1005"/>
      <c r="ABG302" s="1005"/>
      <c r="ABH302" s="1005"/>
      <c r="ABI302" s="1005"/>
      <c r="ABJ302" s="1005"/>
      <c r="ABK302" s="1005"/>
      <c r="ABL302" s="1005"/>
      <c r="ABM302" s="1005"/>
      <c r="ABN302" s="1005"/>
      <c r="ABO302" s="1005"/>
      <c r="ABP302" s="1005"/>
      <c r="ABQ302" s="1005"/>
      <c r="ABR302" s="1005"/>
    </row>
    <row r="303" spans="1:746" s="113" customFormat="1" ht="12" hidden="1" customHeight="1">
      <c r="A303" s="1252"/>
      <c r="B303" s="2508" t="s">
        <v>1357</v>
      </c>
      <c r="C303" s="2509"/>
      <c r="D303" s="2498"/>
      <c r="E303" s="2925"/>
      <c r="F303" s="2926"/>
      <c r="G303" s="2927"/>
      <c r="H303" s="2501"/>
      <c r="I303" s="2193"/>
      <c r="J303" s="2193"/>
      <c r="K303" s="2193"/>
      <c r="L303" s="2193"/>
      <c r="M303" s="2193"/>
      <c r="N303" s="2193"/>
      <c r="O303" s="2193"/>
      <c r="P303" s="2193"/>
      <c r="Q303" s="2193"/>
      <c r="R303" s="2193"/>
      <c r="S303" s="2193"/>
      <c r="T303" s="2193"/>
      <c r="U303" s="2193"/>
      <c r="V303" s="2193"/>
      <c r="W303" s="2193"/>
      <c r="X303" s="2193"/>
      <c r="Y303" s="2193"/>
      <c r="Z303" s="2193"/>
      <c r="AA303" s="2193"/>
      <c r="AB303" s="2193"/>
      <c r="AC303" s="2193"/>
      <c r="AD303" s="2193"/>
      <c r="AE303" s="2193"/>
      <c r="AF303" s="2193"/>
      <c r="AG303" s="337"/>
      <c r="AH303" s="1005"/>
      <c r="AI303" s="1005"/>
      <c r="AJ303" s="1956">
        <f>IF(fx!$C$57=1,SUMIF(fx!I$57:T$57,1,I303:T303),IF(fx!$C$57=2,SUMIF(fx!O$57:AF$57,1,O303:AF303)))</f>
        <v>0</v>
      </c>
      <c r="AK303" s="1207"/>
      <c r="AL303" s="1957">
        <f>IF(fx!$C$57=1,SUM(U303:AF303),0)</f>
        <v>0</v>
      </c>
      <c r="AM303" s="1036"/>
      <c r="AN303" s="1036"/>
      <c r="AO303" s="1034"/>
      <c r="AP303" s="1037"/>
      <c r="AQ303" s="1037"/>
      <c r="AR303" s="1005"/>
      <c r="AS303" s="1005"/>
      <c r="AT303" s="1005"/>
      <c r="AU303" s="1005"/>
      <c r="AV303" s="1005"/>
      <c r="AW303" s="1005"/>
      <c r="AX303" s="1005"/>
      <c r="AY303" s="1005"/>
      <c r="AZ303" s="1005"/>
      <c r="BA303" s="1005"/>
      <c r="BB303" s="1005"/>
      <c r="BC303" s="1005"/>
      <c r="BD303" s="1005"/>
      <c r="BE303" s="1005"/>
      <c r="BF303" s="1005"/>
      <c r="BG303" s="1005"/>
      <c r="BH303" s="1005"/>
      <c r="BI303" s="1005"/>
      <c r="BJ303" s="1005"/>
      <c r="BK303" s="1005"/>
      <c r="BL303" s="1005"/>
      <c r="BM303" s="1005"/>
      <c r="BN303" s="1005"/>
      <c r="BO303" s="1005"/>
      <c r="BP303" s="1005"/>
      <c r="BQ303" s="1005"/>
      <c r="BR303" s="1005"/>
      <c r="BS303" s="1005"/>
      <c r="BT303" s="1005"/>
      <c r="BU303" s="1005"/>
      <c r="BV303" s="1005"/>
      <c r="BW303" s="1005"/>
      <c r="BX303" s="1005"/>
      <c r="BY303" s="1005"/>
      <c r="BZ303" s="1005"/>
      <c r="CA303" s="1005"/>
      <c r="CB303" s="1005"/>
      <c r="CC303" s="1005"/>
      <c r="CD303" s="1005"/>
      <c r="CE303" s="1005"/>
      <c r="CF303" s="1005"/>
      <c r="CG303" s="1005"/>
      <c r="CH303" s="1005"/>
      <c r="CI303" s="1005"/>
      <c r="CJ303" s="1005"/>
      <c r="CK303" s="1005"/>
      <c r="CL303" s="1005"/>
      <c r="CM303" s="1005"/>
      <c r="CN303" s="1005"/>
      <c r="CO303" s="1005"/>
      <c r="CP303" s="1005"/>
      <c r="CQ303" s="1005"/>
      <c r="CR303" s="1005"/>
      <c r="CS303" s="1005"/>
      <c r="CT303" s="1005"/>
      <c r="CU303" s="1005"/>
      <c r="CV303" s="1005"/>
      <c r="CW303" s="1005"/>
      <c r="CX303" s="1005"/>
      <c r="CY303" s="1005"/>
      <c r="CZ303" s="1005"/>
      <c r="DA303" s="1005"/>
      <c r="DB303" s="1005"/>
      <c r="DC303" s="1005"/>
      <c r="DD303" s="1005"/>
      <c r="DE303" s="1005"/>
      <c r="DF303" s="1005"/>
      <c r="DG303" s="1005"/>
      <c r="DH303" s="1005"/>
      <c r="DI303" s="1005"/>
      <c r="DJ303" s="1005"/>
      <c r="DK303" s="1005"/>
      <c r="DL303" s="1005"/>
      <c r="DM303" s="1005"/>
      <c r="DN303" s="1005"/>
      <c r="DO303" s="1005"/>
      <c r="DP303" s="1005"/>
      <c r="DQ303" s="1005"/>
      <c r="DR303" s="1005"/>
      <c r="DS303" s="1005"/>
      <c r="DT303" s="1005"/>
      <c r="DU303" s="1005"/>
      <c r="DV303" s="1005"/>
      <c r="DW303" s="1005"/>
      <c r="DX303" s="1005"/>
      <c r="DY303" s="1005"/>
      <c r="DZ303" s="1005"/>
      <c r="EA303" s="1005"/>
      <c r="EB303" s="1005"/>
      <c r="EC303" s="1005"/>
      <c r="ED303" s="1005"/>
      <c r="EE303" s="1005"/>
      <c r="EF303" s="1005"/>
      <c r="EG303" s="1005"/>
      <c r="EH303" s="1005"/>
      <c r="EI303" s="1005"/>
      <c r="EJ303" s="1005"/>
      <c r="EK303" s="1005"/>
      <c r="EL303" s="1005"/>
      <c r="EM303" s="1005"/>
      <c r="EN303" s="1005"/>
      <c r="EO303" s="1005"/>
      <c r="EP303" s="1005"/>
      <c r="EQ303" s="1005"/>
      <c r="ER303" s="1005"/>
      <c r="ES303" s="1005"/>
      <c r="ET303" s="1005"/>
      <c r="EU303" s="1005"/>
      <c r="EV303" s="1005"/>
      <c r="EW303" s="1005"/>
      <c r="EX303" s="1005"/>
      <c r="EY303" s="1005"/>
      <c r="EZ303" s="1005"/>
      <c r="FA303" s="1005"/>
      <c r="FB303" s="1005"/>
      <c r="FC303" s="1005"/>
      <c r="FD303" s="1005"/>
      <c r="FE303" s="1005"/>
      <c r="FF303" s="1005"/>
      <c r="FG303" s="1005"/>
      <c r="FH303" s="1005"/>
      <c r="FI303" s="1005"/>
      <c r="FJ303" s="1005"/>
      <c r="FK303" s="1005"/>
      <c r="FL303" s="1005"/>
      <c r="FM303" s="1005"/>
      <c r="FN303" s="1005"/>
      <c r="FO303" s="1005"/>
      <c r="FP303" s="1005"/>
      <c r="FQ303" s="1005"/>
      <c r="FR303" s="1005"/>
      <c r="FS303" s="1005"/>
      <c r="FT303" s="1005"/>
      <c r="FU303" s="1005"/>
      <c r="FV303" s="1005"/>
      <c r="FW303" s="1005"/>
      <c r="FX303" s="1005"/>
      <c r="FY303" s="1005"/>
      <c r="FZ303" s="1005"/>
      <c r="GA303" s="1005"/>
      <c r="GB303" s="1005"/>
      <c r="GC303" s="1005"/>
      <c r="GD303" s="1005"/>
      <c r="GE303" s="1005"/>
      <c r="GF303" s="1005"/>
      <c r="GG303" s="1005"/>
      <c r="GH303" s="1005"/>
      <c r="GI303" s="1005"/>
      <c r="GJ303" s="1005"/>
      <c r="GK303" s="1005"/>
      <c r="GL303" s="1005"/>
      <c r="GM303" s="1005"/>
      <c r="GN303" s="1005"/>
      <c r="GO303" s="1005"/>
      <c r="GP303" s="1005"/>
      <c r="GQ303" s="1005"/>
      <c r="GR303" s="1005"/>
      <c r="GS303" s="1005"/>
      <c r="GT303" s="1005"/>
      <c r="GU303" s="1005"/>
      <c r="GV303" s="1005"/>
      <c r="GW303" s="1005"/>
      <c r="GX303" s="1005"/>
      <c r="GY303" s="1005"/>
      <c r="GZ303" s="1005"/>
      <c r="HA303" s="1005"/>
      <c r="HB303" s="1005"/>
      <c r="HC303" s="1005"/>
      <c r="HD303" s="1005"/>
      <c r="HE303" s="1005"/>
      <c r="HF303" s="1005"/>
      <c r="HG303" s="1005"/>
      <c r="HH303" s="1005"/>
      <c r="HI303" s="1005"/>
      <c r="HJ303" s="1005"/>
      <c r="HK303" s="1005"/>
      <c r="HL303" s="1005"/>
      <c r="HM303" s="1005"/>
      <c r="HN303" s="1005"/>
      <c r="HO303" s="1005"/>
      <c r="HP303" s="1005"/>
      <c r="HQ303" s="1005"/>
      <c r="HR303" s="1005"/>
      <c r="HS303" s="1005"/>
      <c r="HT303" s="1005"/>
      <c r="HU303" s="1005"/>
      <c r="HV303" s="1005"/>
      <c r="HW303" s="1005"/>
      <c r="HX303" s="1005"/>
      <c r="HY303" s="1005"/>
      <c r="HZ303" s="1005"/>
      <c r="IA303" s="1005"/>
      <c r="IB303" s="1005"/>
      <c r="IC303" s="1005"/>
      <c r="ID303" s="1005"/>
      <c r="IE303" s="1005"/>
      <c r="IF303" s="1005"/>
      <c r="IG303" s="1005"/>
      <c r="IH303" s="1005"/>
      <c r="II303" s="1005"/>
      <c r="IJ303" s="1005"/>
      <c r="IK303" s="1005"/>
      <c r="IL303" s="1005"/>
      <c r="IM303" s="1005"/>
      <c r="IN303" s="1005"/>
      <c r="IO303" s="1005"/>
      <c r="IP303" s="1005"/>
      <c r="IQ303" s="1005"/>
      <c r="IR303" s="1005"/>
      <c r="IS303" s="1005"/>
      <c r="IT303" s="1005"/>
      <c r="IU303" s="1005"/>
      <c r="IV303" s="1005"/>
      <c r="IW303" s="1005"/>
      <c r="IX303" s="1005"/>
      <c r="IY303" s="1005"/>
      <c r="IZ303" s="1005"/>
      <c r="JA303" s="1005"/>
      <c r="JB303" s="1005"/>
      <c r="JC303" s="1005"/>
      <c r="JD303" s="1005"/>
      <c r="JE303" s="1005"/>
      <c r="JF303" s="1005"/>
      <c r="JG303" s="1005"/>
      <c r="JH303" s="1005"/>
      <c r="JI303" s="1005"/>
      <c r="JJ303" s="1005"/>
      <c r="JK303" s="1005"/>
      <c r="JL303" s="1005"/>
      <c r="JM303" s="1005"/>
      <c r="JN303" s="1005"/>
      <c r="JO303" s="1005"/>
      <c r="JP303" s="1005"/>
      <c r="JQ303" s="1005"/>
      <c r="JR303" s="1005"/>
      <c r="JS303" s="1005"/>
      <c r="JT303" s="1005"/>
      <c r="JU303" s="1005"/>
      <c r="JV303" s="1005"/>
      <c r="JW303" s="1005"/>
      <c r="JX303" s="1005"/>
      <c r="JY303" s="1005"/>
      <c r="JZ303" s="1005"/>
      <c r="KA303" s="1005"/>
      <c r="KB303" s="1005"/>
      <c r="KC303" s="1005"/>
      <c r="KD303" s="1005"/>
      <c r="KE303" s="1005"/>
      <c r="KF303" s="1005"/>
      <c r="KG303" s="1005"/>
      <c r="KH303" s="1005"/>
      <c r="KI303" s="1005"/>
      <c r="KJ303" s="1005"/>
      <c r="KK303" s="1005"/>
      <c r="KL303" s="1005"/>
      <c r="KM303" s="1005"/>
      <c r="KN303" s="1005"/>
      <c r="KO303" s="1005"/>
      <c r="KP303" s="1005"/>
      <c r="KQ303" s="1005"/>
      <c r="KR303" s="1005"/>
      <c r="KS303" s="1005"/>
      <c r="KT303" s="1005"/>
      <c r="KU303" s="1005"/>
      <c r="KV303" s="1005"/>
      <c r="KW303" s="1005"/>
      <c r="KX303" s="1005"/>
      <c r="KY303" s="1005"/>
      <c r="KZ303" s="1005"/>
      <c r="LA303" s="1005"/>
      <c r="LB303" s="1005"/>
      <c r="LC303" s="1005"/>
      <c r="LD303" s="1005"/>
      <c r="LE303" s="1005"/>
      <c r="LF303" s="1005"/>
      <c r="LG303" s="1005"/>
      <c r="LH303" s="1005"/>
      <c r="LI303" s="1005"/>
      <c r="LJ303" s="1005"/>
      <c r="LK303" s="1005"/>
      <c r="LL303" s="1005"/>
      <c r="LM303" s="1005"/>
      <c r="LN303" s="1005"/>
      <c r="LO303" s="1005"/>
      <c r="LP303" s="1005"/>
      <c r="LQ303" s="1005"/>
      <c r="LR303" s="1005"/>
      <c r="LS303" s="1005"/>
      <c r="LT303" s="1005"/>
      <c r="LU303" s="1005"/>
      <c r="LV303" s="1005"/>
      <c r="LW303" s="1005"/>
      <c r="LX303" s="1005"/>
      <c r="LY303" s="1005"/>
      <c r="LZ303" s="1005"/>
      <c r="MA303" s="1005"/>
      <c r="MB303" s="1005"/>
      <c r="MC303" s="1005"/>
      <c r="MD303" s="1005"/>
      <c r="ME303" s="1005"/>
      <c r="MF303" s="1005"/>
      <c r="MG303" s="1005"/>
      <c r="MH303" s="1005"/>
      <c r="MI303" s="1005"/>
      <c r="MJ303" s="1005"/>
      <c r="MK303" s="1005"/>
      <c r="ML303" s="1005"/>
      <c r="MM303" s="1005"/>
      <c r="MN303" s="1005"/>
      <c r="MO303" s="1005"/>
      <c r="MP303" s="1005"/>
      <c r="MQ303" s="1005"/>
      <c r="MR303" s="1005"/>
      <c r="MS303" s="1005"/>
      <c r="MT303" s="1005"/>
      <c r="MU303" s="1005"/>
      <c r="MV303" s="1005"/>
      <c r="MW303" s="1005"/>
      <c r="MX303" s="1005"/>
      <c r="MY303" s="1005"/>
      <c r="MZ303" s="1005"/>
      <c r="NA303" s="1005"/>
      <c r="NB303" s="1005"/>
      <c r="NC303" s="1005"/>
      <c r="ND303" s="1005"/>
      <c r="NE303" s="1005"/>
      <c r="NF303" s="1005"/>
      <c r="NG303" s="1005"/>
      <c r="NH303" s="1005"/>
      <c r="NI303" s="1005"/>
      <c r="NJ303" s="1005"/>
      <c r="NK303" s="1005"/>
      <c r="NL303" s="1005"/>
      <c r="NM303" s="1005"/>
      <c r="NN303" s="1005"/>
      <c r="NO303" s="1005"/>
      <c r="NP303" s="1005"/>
      <c r="NQ303" s="1005"/>
      <c r="NR303" s="1005"/>
      <c r="NS303" s="1005"/>
      <c r="NT303" s="1005"/>
      <c r="NU303" s="1005"/>
      <c r="NV303" s="1005"/>
      <c r="NW303" s="1005"/>
      <c r="NX303" s="1005"/>
      <c r="NY303" s="1005"/>
      <c r="NZ303" s="1005"/>
      <c r="OA303" s="1005"/>
      <c r="OB303" s="1005"/>
      <c r="OC303" s="1005"/>
      <c r="OD303" s="1005"/>
      <c r="OE303" s="1005"/>
      <c r="OF303" s="1005"/>
      <c r="OG303" s="1005"/>
      <c r="OH303" s="1005"/>
      <c r="OI303" s="1005"/>
      <c r="OJ303" s="1005"/>
      <c r="OK303" s="1005"/>
      <c r="OL303" s="1005"/>
      <c r="OM303" s="1005"/>
      <c r="ON303" s="1005"/>
      <c r="OO303" s="1005"/>
      <c r="OP303" s="1005"/>
      <c r="OQ303" s="1005"/>
      <c r="OR303" s="1005"/>
      <c r="OS303" s="1005"/>
      <c r="OT303" s="1005"/>
      <c r="OU303" s="1005"/>
      <c r="OV303" s="1005"/>
      <c r="OW303" s="1005"/>
      <c r="OX303" s="1005"/>
      <c r="OY303" s="1005"/>
      <c r="OZ303" s="1005"/>
      <c r="PA303" s="1005"/>
      <c r="PB303" s="1005"/>
      <c r="PC303" s="1005"/>
      <c r="PD303" s="1005"/>
      <c r="PE303" s="1005"/>
      <c r="PF303" s="1005"/>
      <c r="PG303" s="1005"/>
      <c r="PH303" s="1005"/>
      <c r="PI303" s="1005"/>
      <c r="PJ303" s="1005"/>
      <c r="PK303" s="1005"/>
      <c r="PL303" s="1005"/>
      <c r="PM303" s="1005"/>
      <c r="PN303" s="1005"/>
      <c r="PO303" s="1005"/>
      <c r="PP303" s="1005"/>
      <c r="PQ303" s="1005"/>
      <c r="PR303" s="1005"/>
      <c r="PS303" s="1005"/>
      <c r="PT303" s="1005"/>
      <c r="PU303" s="1005"/>
      <c r="PV303" s="1005"/>
      <c r="PW303" s="1005"/>
      <c r="PX303" s="1005"/>
      <c r="PY303" s="1005"/>
      <c r="PZ303" s="1005"/>
      <c r="QA303" s="1005"/>
      <c r="QB303" s="1005"/>
      <c r="QC303" s="1005"/>
      <c r="QD303" s="1005"/>
      <c r="QE303" s="1005"/>
      <c r="QF303" s="1005"/>
      <c r="QG303" s="1005"/>
      <c r="QH303" s="1005"/>
      <c r="QI303" s="1005"/>
      <c r="QJ303" s="1005"/>
      <c r="QK303" s="1005"/>
      <c r="QL303" s="1005"/>
      <c r="QM303" s="1005"/>
      <c r="QN303" s="1005"/>
      <c r="QO303" s="1005"/>
      <c r="QP303" s="1005"/>
      <c r="QQ303" s="1005"/>
      <c r="QR303" s="1005"/>
      <c r="QS303" s="1005"/>
      <c r="QT303" s="1005"/>
      <c r="QU303" s="1005"/>
      <c r="QV303" s="1005"/>
      <c r="QW303" s="1005"/>
      <c r="QX303" s="1005"/>
      <c r="QY303" s="1005"/>
      <c r="QZ303" s="1005"/>
      <c r="RA303" s="1005"/>
      <c r="RB303" s="1005"/>
      <c r="RC303" s="1005"/>
      <c r="RD303" s="1005"/>
      <c r="RE303" s="1005"/>
      <c r="RF303" s="1005"/>
      <c r="RG303" s="1005"/>
      <c r="RH303" s="1005"/>
      <c r="RI303" s="1005"/>
      <c r="RJ303" s="1005"/>
      <c r="RK303" s="1005"/>
      <c r="RL303" s="1005"/>
      <c r="RM303" s="1005"/>
      <c r="RN303" s="1005"/>
      <c r="RO303" s="1005"/>
      <c r="RP303" s="1005"/>
      <c r="RQ303" s="1005"/>
      <c r="RR303" s="1005"/>
      <c r="RS303" s="1005"/>
      <c r="RT303" s="1005"/>
      <c r="RU303" s="1005"/>
      <c r="RV303" s="1005"/>
      <c r="RW303" s="1005"/>
      <c r="RX303" s="1005"/>
      <c r="RY303" s="1005"/>
      <c r="RZ303" s="1005"/>
      <c r="SA303" s="1005"/>
      <c r="SB303" s="1005"/>
      <c r="SC303" s="1005"/>
      <c r="SD303" s="1005"/>
      <c r="SE303" s="1005"/>
      <c r="SF303" s="1005"/>
      <c r="SG303" s="1005"/>
      <c r="SH303" s="1005"/>
      <c r="SI303" s="1005"/>
      <c r="SJ303" s="1005"/>
      <c r="SK303" s="1005"/>
      <c r="SL303" s="1005"/>
      <c r="SM303" s="1005"/>
      <c r="SN303" s="1005"/>
      <c r="SO303" s="1005"/>
      <c r="SP303" s="1005"/>
      <c r="SQ303" s="1005"/>
      <c r="SR303" s="1005"/>
      <c r="SS303" s="1005"/>
      <c r="ST303" s="1005"/>
      <c r="SU303" s="1005"/>
      <c r="SV303" s="1005"/>
      <c r="SW303" s="1005"/>
      <c r="SX303" s="1005"/>
      <c r="SY303" s="1005"/>
      <c r="SZ303" s="1005"/>
      <c r="TA303" s="1005"/>
      <c r="TB303" s="1005"/>
      <c r="TC303" s="1005"/>
      <c r="TD303" s="1005"/>
      <c r="TE303" s="1005"/>
      <c r="TF303" s="1005"/>
      <c r="TG303" s="1005"/>
      <c r="TH303" s="1005"/>
      <c r="TI303" s="1005"/>
      <c r="TJ303" s="1005"/>
      <c r="TK303" s="1005"/>
      <c r="TL303" s="1005"/>
      <c r="TM303" s="1005"/>
      <c r="TN303" s="1005"/>
      <c r="TO303" s="1005"/>
      <c r="TP303" s="1005"/>
      <c r="TQ303" s="1005"/>
      <c r="TR303" s="1005"/>
      <c r="TS303" s="1005"/>
      <c r="TT303" s="1005"/>
      <c r="TU303" s="1005"/>
      <c r="TV303" s="1005"/>
      <c r="TW303" s="1005"/>
      <c r="TX303" s="1005"/>
      <c r="TY303" s="1005"/>
      <c r="TZ303" s="1005"/>
      <c r="UA303" s="1005"/>
      <c r="UB303" s="1005"/>
      <c r="UC303" s="1005"/>
      <c r="UD303" s="1005"/>
      <c r="UE303" s="1005"/>
      <c r="UF303" s="1005"/>
      <c r="UG303" s="1005"/>
      <c r="UH303" s="1005"/>
      <c r="UI303" s="1005"/>
      <c r="UJ303" s="1005"/>
      <c r="UK303" s="1005"/>
      <c r="UL303" s="1005"/>
      <c r="UM303" s="1005"/>
      <c r="UN303" s="1005"/>
      <c r="UO303" s="1005"/>
      <c r="UP303" s="1005"/>
      <c r="UQ303" s="1005"/>
      <c r="UR303" s="1005"/>
      <c r="US303" s="1005"/>
      <c r="UT303" s="1005"/>
      <c r="UU303" s="1005"/>
      <c r="UV303" s="1005"/>
      <c r="UW303" s="1005"/>
      <c r="UX303" s="1005"/>
      <c r="UY303" s="1005"/>
      <c r="UZ303" s="1005"/>
      <c r="VA303" s="1005"/>
      <c r="VB303" s="1005"/>
      <c r="VC303" s="1005"/>
      <c r="VD303" s="1005"/>
      <c r="VE303" s="1005"/>
      <c r="VF303" s="1005"/>
      <c r="VG303" s="1005"/>
      <c r="VH303" s="1005"/>
      <c r="VI303" s="1005"/>
      <c r="VJ303" s="1005"/>
      <c r="VK303" s="1005"/>
      <c r="VL303" s="1005"/>
      <c r="VM303" s="1005"/>
      <c r="VN303" s="1005"/>
      <c r="VO303" s="1005"/>
      <c r="VP303" s="1005"/>
      <c r="VQ303" s="1005"/>
      <c r="VR303" s="1005"/>
      <c r="VS303" s="1005"/>
      <c r="VT303" s="1005"/>
      <c r="VU303" s="1005"/>
      <c r="VV303" s="1005"/>
      <c r="VW303" s="1005"/>
      <c r="VX303" s="1005"/>
      <c r="VY303" s="1005"/>
      <c r="VZ303" s="1005"/>
      <c r="WA303" s="1005"/>
      <c r="WB303" s="1005"/>
      <c r="WC303" s="1005"/>
      <c r="WD303" s="1005"/>
      <c r="WE303" s="1005"/>
      <c r="WF303" s="1005"/>
      <c r="WG303" s="1005"/>
      <c r="WH303" s="1005"/>
      <c r="WI303" s="1005"/>
      <c r="WJ303" s="1005"/>
      <c r="WK303" s="1005"/>
      <c r="WL303" s="1005"/>
      <c r="WM303" s="1005"/>
      <c r="WN303" s="1005"/>
      <c r="WO303" s="1005"/>
      <c r="WP303" s="1005"/>
      <c r="WQ303" s="1005"/>
      <c r="WR303" s="1005"/>
      <c r="WS303" s="1005"/>
      <c r="WT303" s="1005"/>
      <c r="WU303" s="1005"/>
      <c r="WV303" s="1005"/>
      <c r="WW303" s="1005"/>
      <c r="WX303" s="1005"/>
      <c r="WY303" s="1005"/>
      <c r="WZ303" s="1005"/>
      <c r="XA303" s="1005"/>
      <c r="XB303" s="1005"/>
      <c r="XC303" s="1005"/>
      <c r="XD303" s="1005"/>
      <c r="XE303" s="1005"/>
      <c r="XF303" s="1005"/>
      <c r="XG303" s="1005"/>
      <c r="XH303" s="1005"/>
      <c r="XI303" s="1005"/>
      <c r="XJ303" s="1005"/>
      <c r="XK303" s="1005"/>
      <c r="XL303" s="1005"/>
      <c r="XM303" s="1005"/>
      <c r="XN303" s="1005"/>
      <c r="XO303" s="1005"/>
      <c r="XP303" s="1005"/>
      <c r="XQ303" s="1005"/>
      <c r="XR303" s="1005"/>
      <c r="XS303" s="1005"/>
      <c r="XT303" s="1005"/>
      <c r="XU303" s="1005"/>
      <c r="XV303" s="1005"/>
      <c r="XW303" s="1005"/>
      <c r="XX303" s="1005"/>
      <c r="XY303" s="1005"/>
      <c r="XZ303" s="1005"/>
      <c r="YA303" s="1005"/>
      <c r="YB303" s="1005"/>
      <c r="YC303" s="1005"/>
      <c r="YD303" s="1005"/>
      <c r="YE303" s="1005"/>
      <c r="YF303" s="1005"/>
      <c r="YG303" s="1005"/>
      <c r="YH303" s="1005"/>
      <c r="YI303" s="1005"/>
      <c r="YJ303" s="1005"/>
      <c r="YK303" s="1005"/>
      <c r="YL303" s="1005"/>
      <c r="YM303" s="1005"/>
      <c r="YN303" s="1005"/>
      <c r="YO303" s="1005"/>
      <c r="YP303" s="1005"/>
      <c r="YQ303" s="1005"/>
      <c r="YR303" s="1005"/>
      <c r="YS303" s="1005"/>
      <c r="YT303" s="1005"/>
      <c r="YU303" s="1005"/>
      <c r="YV303" s="1005"/>
      <c r="YW303" s="1005"/>
      <c r="YX303" s="1005"/>
      <c r="YY303" s="1005"/>
      <c r="YZ303" s="1005"/>
      <c r="ZA303" s="1005"/>
      <c r="ZB303" s="1005"/>
      <c r="ZC303" s="1005"/>
      <c r="ZD303" s="1005"/>
      <c r="ZE303" s="1005"/>
      <c r="ZF303" s="1005"/>
      <c r="ZG303" s="1005"/>
      <c r="ZH303" s="1005"/>
      <c r="ZI303" s="1005"/>
      <c r="ZJ303" s="1005"/>
      <c r="ZK303" s="1005"/>
      <c r="ZL303" s="1005"/>
      <c r="ZM303" s="1005"/>
      <c r="ZN303" s="1005"/>
      <c r="ZO303" s="1005"/>
      <c r="ZP303" s="1005"/>
      <c r="ZQ303" s="1005"/>
      <c r="ZR303" s="1005"/>
      <c r="ZS303" s="1005"/>
      <c r="ZT303" s="1005"/>
      <c r="ZU303" s="1005"/>
      <c r="ZV303" s="1005"/>
      <c r="ZW303" s="1005"/>
      <c r="ZX303" s="1005"/>
      <c r="ZY303" s="1005"/>
      <c r="ZZ303" s="1005"/>
      <c r="AAA303" s="1005"/>
      <c r="AAB303" s="1005"/>
      <c r="AAC303" s="1005"/>
      <c r="AAD303" s="1005"/>
      <c r="AAE303" s="1005"/>
      <c r="AAF303" s="1005"/>
      <c r="AAG303" s="1005"/>
      <c r="AAH303" s="1005"/>
      <c r="AAI303" s="1005"/>
      <c r="AAJ303" s="1005"/>
      <c r="AAK303" s="1005"/>
      <c r="AAL303" s="1005"/>
      <c r="AAM303" s="1005"/>
      <c r="AAN303" s="1005"/>
      <c r="AAO303" s="1005"/>
      <c r="AAP303" s="1005"/>
      <c r="AAQ303" s="1005"/>
      <c r="AAR303" s="1005"/>
      <c r="AAS303" s="1005"/>
      <c r="AAT303" s="1005"/>
      <c r="AAU303" s="1005"/>
      <c r="AAV303" s="1005"/>
      <c r="AAW303" s="1005"/>
      <c r="AAX303" s="1005"/>
      <c r="AAY303" s="1005"/>
      <c r="AAZ303" s="1005"/>
      <c r="ABA303" s="1005"/>
      <c r="ABB303" s="1005"/>
      <c r="ABC303" s="1005"/>
      <c r="ABD303" s="1005"/>
      <c r="ABE303" s="1005"/>
      <c r="ABF303" s="1005"/>
      <c r="ABG303" s="1005"/>
      <c r="ABH303" s="1005"/>
      <c r="ABI303" s="1005"/>
      <c r="ABJ303" s="1005"/>
      <c r="ABK303" s="1005"/>
      <c r="ABL303" s="1005"/>
      <c r="ABM303" s="1005"/>
      <c r="ABN303" s="1005"/>
      <c r="ABO303" s="1005"/>
      <c r="ABP303" s="1005"/>
      <c r="ABQ303" s="1005"/>
      <c r="ABR303" s="1005"/>
    </row>
    <row r="304" spans="1:746" s="113" customFormat="1" ht="12" hidden="1" customHeight="1" thickBot="1">
      <c r="A304" s="1252"/>
      <c r="B304" s="1261" t="s">
        <v>1358</v>
      </c>
      <c r="C304" s="2509"/>
      <c r="D304" s="2498"/>
      <c r="E304" s="3016"/>
      <c r="F304" s="3017"/>
      <c r="G304" s="3018"/>
      <c r="H304" s="2251"/>
      <c r="I304" s="2193"/>
      <c r="J304" s="2193"/>
      <c r="K304" s="2193"/>
      <c r="L304" s="2193"/>
      <c r="M304" s="2193"/>
      <c r="N304" s="2193"/>
      <c r="O304" s="2193"/>
      <c r="P304" s="2193"/>
      <c r="Q304" s="2193"/>
      <c r="R304" s="2193"/>
      <c r="S304" s="2193"/>
      <c r="T304" s="2193"/>
      <c r="U304" s="2193"/>
      <c r="V304" s="2193"/>
      <c r="W304" s="2193"/>
      <c r="X304" s="2193"/>
      <c r="Y304" s="2193"/>
      <c r="Z304" s="2193"/>
      <c r="AA304" s="2193"/>
      <c r="AB304" s="2193"/>
      <c r="AC304" s="2193"/>
      <c r="AD304" s="2193"/>
      <c r="AE304" s="2193"/>
      <c r="AF304" s="2193"/>
      <c r="AG304" s="337"/>
      <c r="AH304" s="1005"/>
      <c r="AI304" s="1005"/>
      <c r="AJ304" s="1956">
        <f>IF(fx!$C$57=1,SUMIF(fx!I$57:T$57,1,I304:T304),IF(fx!$C$57=2,SUMIF(fx!O$57:AF$57,1,O304:AF304)))</f>
        <v>0</v>
      </c>
      <c r="AK304" s="1207"/>
      <c r="AL304" s="1957">
        <f>IF(fx!$C$57=1,SUM(U304:AF304),0)</f>
        <v>0</v>
      </c>
      <c r="AM304" s="1036"/>
      <c r="AN304" s="1036"/>
      <c r="AO304" s="1034"/>
      <c r="AP304" s="1037"/>
      <c r="AQ304" s="1037"/>
      <c r="AR304" s="1005"/>
      <c r="AS304" s="1005"/>
      <c r="AT304" s="1005"/>
      <c r="AU304" s="1005"/>
      <c r="AV304" s="1005"/>
      <c r="AW304" s="1005"/>
      <c r="AX304" s="1005"/>
      <c r="AY304" s="1005"/>
      <c r="AZ304" s="1005"/>
      <c r="BA304" s="1005"/>
      <c r="BB304" s="1005"/>
      <c r="BC304" s="1005"/>
      <c r="BD304" s="1005"/>
      <c r="BE304" s="1005"/>
      <c r="BF304" s="1005"/>
      <c r="BG304" s="1005"/>
      <c r="BH304" s="1005"/>
      <c r="BI304" s="1005"/>
      <c r="BJ304" s="1005"/>
      <c r="BK304" s="1005"/>
      <c r="BL304" s="1005"/>
      <c r="BM304" s="1005"/>
      <c r="BN304" s="1005"/>
      <c r="BO304" s="1005"/>
      <c r="BP304" s="1005"/>
      <c r="BQ304" s="1005"/>
      <c r="BR304" s="1005"/>
      <c r="BS304" s="1005"/>
      <c r="BT304" s="1005"/>
      <c r="BU304" s="1005"/>
      <c r="BV304" s="1005"/>
      <c r="BW304" s="1005"/>
      <c r="BX304" s="1005"/>
      <c r="BY304" s="1005"/>
      <c r="BZ304" s="1005"/>
      <c r="CA304" s="1005"/>
      <c r="CB304" s="1005"/>
      <c r="CC304" s="1005"/>
      <c r="CD304" s="1005"/>
      <c r="CE304" s="1005"/>
      <c r="CF304" s="1005"/>
      <c r="CG304" s="1005"/>
      <c r="CH304" s="1005"/>
      <c r="CI304" s="1005"/>
      <c r="CJ304" s="1005"/>
      <c r="CK304" s="1005"/>
      <c r="CL304" s="1005"/>
      <c r="CM304" s="1005"/>
      <c r="CN304" s="1005"/>
      <c r="CO304" s="1005"/>
      <c r="CP304" s="1005"/>
      <c r="CQ304" s="1005"/>
      <c r="CR304" s="1005"/>
      <c r="CS304" s="1005"/>
      <c r="CT304" s="1005"/>
      <c r="CU304" s="1005"/>
      <c r="CV304" s="1005"/>
      <c r="CW304" s="1005"/>
      <c r="CX304" s="1005"/>
      <c r="CY304" s="1005"/>
      <c r="CZ304" s="1005"/>
      <c r="DA304" s="1005"/>
      <c r="DB304" s="1005"/>
      <c r="DC304" s="1005"/>
      <c r="DD304" s="1005"/>
      <c r="DE304" s="1005"/>
      <c r="DF304" s="1005"/>
      <c r="DG304" s="1005"/>
      <c r="DH304" s="1005"/>
      <c r="DI304" s="1005"/>
      <c r="DJ304" s="1005"/>
      <c r="DK304" s="1005"/>
      <c r="DL304" s="1005"/>
      <c r="DM304" s="1005"/>
      <c r="DN304" s="1005"/>
      <c r="DO304" s="1005"/>
      <c r="DP304" s="1005"/>
      <c r="DQ304" s="1005"/>
      <c r="DR304" s="1005"/>
      <c r="DS304" s="1005"/>
      <c r="DT304" s="1005"/>
      <c r="DU304" s="1005"/>
      <c r="DV304" s="1005"/>
      <c r="DW304" s="1005"/>
      <c r="DX304" s="1005"/>
      <c r="DY304" s="1005"/>
      <c r="DZ304" s="1005"/>
      <c r="EA304" s="1005"/>
      <c r="EB304" s="1005"/>
      <c r="EC304" s="1005"/>
      <c r="ED304" s="1005"/>
      <c r="EE304" s="1005"/>
      <c r="EF304" s="1005"/>
      <c r="EG304" s="1005"/>
      <c r="EH304" s="1005"/>
      <c r="EI304" s="1005"/>
      <c r="EJ304" s="1005"/>
      <c r="EK304" s="1005"/>
      <c r="EL304" s="1005"/>
      <c r="EM304" s="1005"/>
      <c r="EN304" s="1005"/>
      <c r="EO304" s="1005"/>
      <c r="EP304" s="1005"/>
      <c r="EQ304" s="1005"/>
      <c r="ER304" s="1005"/>
      <c r="ES304" s="1005"/>
      <c r="ET304" s="1005"/>
      <c r="EU304" s="1005"/>
      <c r="EV304" s="1005"/>
      <c r="EW304" s="1005"/>
      <c r="EX304" s="1005"/>
      <c r="EY304" s="1005"/>
      <c r="EZ304" s="1005"/>
      <c r="FA304" s="1005"/>
      <c r="FB304" s="1005"/>
      <c r="FC304" s="1005"/>
      <c r="FD304" s="1005"/>
      <c r="FE304" s="1005"/>
      <c r="FF304" s="1005"/>
      <c r="FG304" s="1005"/>
      <c r="FH304" s="1005"/>
      <c r="FI304" s="1005"/>
      <c r="FJ304" s="1005"/>
      <c r="FK304" s="1005"/>
      <c r="FL304" s="1005"/>
      <c r="FM304" s="1005"/>
      <c r="FN304" s="1005"/>
      <c r="FO304" s="1005"/>
      <c r="FP304" s="1005"/>
      <c r="FQ304" s="1005"/>
      <c r="FR304" s="1005"/>
      <c r="FS304" s="1005"/>
      <c r="FT304" s="1005"/>
      <c r="FU304" s="1005"/>
      <c r="FV304" s="1005"/>
      <c r="FW304" s="1005"/>
      <c r="FX304" s="1005"/>
      <c r="FY304" s="1005"/>
      <c r="FZ304" s="1005"/>
      <c r="GA304" s="1005"/>
      <c r="GB304" s="1005"/>
      <c r="GC304" s="1005"/>
      <c r="GD304" s="1005"/>
      <c r="GE304" s="1005"/>
      <c r="GF304" s="1005"/>
      <c r="GG304" s="1005"/>
      <c r="GH304" s="1005"/>
      <c r="GI304" s="1005"/>
      <c r="GJ304" s="1005"/>
      <c r="GK304" s="1005"/>
      <c r="GL304" s="1005"/>
      <c r="GM304" s="1005"/>
      <c r="GN304" s="1005"/>
      <c r="GO304" s="1005"/>
      <c r="GP304" s="1005"/>
      <c r="GQ304" s="1005"/>
      <c r="GR304" s="1005"/>
      <c r="GS304" s="1005"/>
      <c r="GT304" s="1005"/>
      <c r="GU304" s="1005"/>
      <c r="GV304" s="1005"/>
      <c r="GW304" s="1005"/>
      <c r="GX304" s="1005"/>
      <c r="GY304" s="1005"/>
      <c r="GZ304" s="1005"/>
      <c r="HA304" s="1005"/>
      <c r="HB304" s="1005"/>
      <c r="HC304" s="1005"/>
      <c r="HD304" s="1005"/>
      <c r="HE304" s="1005"/>
      <c r="HF304" s="1005"/>
      <c r="HG304" s="1005"/>
      <c r="HH304" s="1005"/>
      <c r="HI304" s="1005"/>
      <c r="HJ304" s="1005"/>
      <c r="HK304" s="1005"/>
      <c r="HL304" s="1005"/>
      <c r="HM304" s="1005"/>
      <c r="HN304" s="1005"/>
      <c r="HO304" s="1005"/>
      <c r="HP304" s="1005"/>
      <c r="HQ304" s="1005"/>
      <c r="HR304" s="1005"/>
      <c r="HS304" s="1005"/>
      <c r="HT304" s="1005"/>
      <c r="HU304" s="1005"/>
      <c r="HV304" s="1005"/>
      <c r="HW304" s="1005"/>
      <c r="HX304" s="1005"/>
      <c r="HY304" s="1005"/>
      <c r="HZ304" s="1005"/>
      <c r="IA304" s="1005"/>
      <c r="IB304" s="1005"/>
      <c r="IC304" s="1005"/>
      <c r="ID304" s="1005"/>
      <c r="IE304" s="1005"/>
      <c r="IF304" s="1005"/>
      <c r="IG304" s="1005"/>
      <c r="IH304" s="1005"/>
      <c r="II304" s="1005"/>
      <c r="IJ304" s="1005"/>
      <c r="IK304" s="1005"/>
      <c r="IL304" s="1005"/>
      <c r="IM304" s="1005"/>
      <c r="IN304" s="1005"/>
      <c r="IO304" s="1005"/>
      <c r="IP304" s="1005"/>
      <c r="IQ304" s="1005"/>
      <c r="IR304" s="1005"/>
      <c r="IS304" s="1005"/>
      <c r="IT304" s="1005"/>
      <c r="IU304" s="1005"/>
      <c r="IV304" s="1005"/>
      <c r="IW304" s="1005"/>
      <c r="IX304" s="1005"/>
      <c r="IY304" s="1005"/>
      <c r="IZ304" s="1005"/>
      <c r="JA304" s="1005"/>
      <c r="JB304" s="1005"/>
      <c r="JC304" s="1005"/>
      <c r="JD304" s="1005"/>
      <c r="JE304" s="1005"/>
      <c r="JF304" s="1005"/>
      <c r="JG304" s="1005"/>
      <c r="JH304" s="1005"/>
      <c r="JI304" s="1005"/>
      <c r="JJ304" s="1005"/>
      <c r="JK304" s="1005"/>
      <c r="JL304" s="1005"/>
      <c r="JM304" s="1005"/>
      <c r="JN304" s="1005"/>
      <c r="JO304" s="1005"/>
      <c r="JP304" s="1005"/>
      <c r="JQ304" s="1005"/>
      <c r="JR304" s="1005"/>
      <c r="JS304" s="1005"/>
      <c r="JT304" s="1005"/>
      <c r="JU304" s="1005"/>
      <c r="JV304" s="1005"/>
      <c r="JW304" s="1005"/>
      <c r="JX304" s="1005"/>
      <c r="JY304" s="1005"/>
      <c r="JZ304" s="1005"/>
      <c r="KA304" s="1005"/>
      <c r="KB304" s="1005"/>
      <c r="KC304" s="1005"/>
      <c r="KD304" s="1005"/>
      <c r="KE304" s="1005"/>
      <c r="KF304" s="1005"/>
      <c r="KG304" s="1005"/>
      <c r="KH304" s="1005"/>
      <c r="KI304" s="1005"/>
      <c r="KJ304" s="1005"/>
      <c r="KK304" s="1005"/>
      <c r="KL304" s="1005"/>
      <c r="KM304" s="1005"/>
      <c r="KN304" s="1005"/>
      <c r="KO304" s="1005"/>
      <c r="KP304" s="1005"/>
      <c r="KQ304" s="1005"/>
      <c r="KR304" s="1005"/>
      <c r="KS304" s="1005"/>
      <c r="KT304" s="1005"/>
      <c r="KU304" s="1005"/>
      <c r="KV304" s="1005"/>
      <c r="KW304" s="1005"/>
      <c r="KX304" s="1005"/>
      <c r="KY304" s="1005"/>
      <c r="KZ304" s="1005"/>
      <c r="LA304" s="1005"/>
      <c r="LB304" s="1005"/>
      <c r="LC304" s="1005"/>
      <c r="LD304" s="1005"/>
      <c r="LE304" s="1005"/>
      <c r="LF304" s="1005"/>
      <c r="LG304" s="1005"/>
      <c r="LH304" s="1005"/>
      <c r="LI304" s="1005"/>
      <c r="LJ304" s="1005"/>
      <c r="LK304" s="1005"/>
      <c r="LL304" s="1005"/>
      <c r="LM304" s="1005"/>
      <c r="LN304" s="1005"/>
      <c r="LO304" s="1005"/>
      <c r="LP304" s="1005"/>
      <c r="LQ304" s="1005"/>
      <c r="LR304" s="1005"/>
      <c r="LS304" s="1005"/>
      <c r="LT304" s="1005"/>
      <c r="LU304" s="1005"/>
      <c r="LV304" s="1005"/>
      <c r="LW304" s="1005"/>
      <c r="LX304" s="1005"/>
      <c r="LY304" s="1005"/>
      <c r="LZ304" s="1005"/>
      <c r="MA304" s="1005"/>
      <c r="MB304" s="1005"/>
      <c r="MC304" s="1005"/>
      <c r="MD304" s="1005"/>
      <c r="ME304" s="1005"/>
      <c r="MF304" s="1005"/>
      <c r="MG304" s="1005"/>
      <c r="MH304" s="1005"/>
      <c r="MI304" s="1005"/>
      <c r="MJ304" s="1005"/>
      <c r="MK304" s="1005"/>
      <c r="ML304" s="1005"/>
      <c r="MM304" s="1005"/>
      <c r="MN304" s="1005"/>
      <c r="MO304" s="1005"/>
      <c r="MP304" s="1005"/>
      <c r="MQ304" s="1005"/>
      <c r="MR304" s="1005"/>
      <c r="MS304" s="1005"/>
      <c r="MT304" s="1005"/>
      <c r="MU304" s="1005"/>
      <c r="MV304" s="1005"/>
      <c r="MW304" s="1005"/>
      <c r="MX304" s="1005"/>
      <c r="MY304" s="1005"/>
      <c r="MZ304" s="1005"/>
      <c r="NA304" s="1005"/>
      <c r="NB304" s="1005"/>
      <c r="NC304" s="1005"/>
      <c r="ND304" s="1005"/>
      <c r="NE304" s="1005"/>
      <c r="NF304" s="1005"/>
      <c r="NG304" s="1005"/>
      <c r="NH304" s="1005"/>
      <c r="NI304" s="1005"/>
      <c r="NJ304" s="1005"/>
      <c r="NK304" s="1005"/>
      <c r="NL304" s="1005"/>
      <c r="NM304" s="1005"/>
      <c r="NN304" s="1005"/>
      <c r="NO304" s="1005"/>
      <c r="NP304" s="1005"/>
      <c r="NQ304" s="1005"/>
      <c r="NR304" s="1005"/>
      <c r="NS304" s="1005"/>
      <c r="NT304" s="1005"/>
      <c r="NU304" s="1005"/>
      <c r="NV304" s="1005"/>
      <c r="NW304" s="1005"/>
      <c r="NX304" s="1005"/>
      <c r="NY304" s="1005"/>
      <c r="NZ304" s="1005"/>
      <c r="OA304" s="1005"/>
      <c r="OB304" s="1005"/>
      <c r="OC304" s="1005"/>
      <c r="OD304" s="1005"/>
      <c r="OE304" s="1005"/>
      <c r="OF304" s="1005"/>
      <c r="OG304" s="1005"/>
      <c r="OH304" s="1005"/>
      <c r="OI304" s="1005"/>
      <c r="OJ304" s="1005"/>
      <c r="OK304" s="1005"/>
      <c r="OL304" s="1005"/>
      <c r="OM304" s="1005"/>
      <c r="ON304" s="1005"/>
      <c r="OO304" s="1005"/>
      <c r="OP304" s="1005"/>
      <c r="OQ304" s="1005"/>
      <c r="OR304" s="1005"/>
      <c r="OS304" s="1005"/>
      <c r="OT304" s="1005"/>
      <c r="OU304" s="1005"/>
      <c r="OV304" s="1005"/>
      <c r="OW304" s="1005"/>
      <c r="OX304" s="1005"/>
      <c r="OY304" s="1005"/>
      <c r="OZ304" s="1005"/>
      <c r="PA304" s="1005"/>
      <c r="PB304" s="1005"/>
      <c r="PC304" s="1005"/>
      <c r="PD304" s="1005"/>
      <c r="PE304" s="1005"/>
      <c r="PF304" s="1005"/>
      <c r="PG304" s="1005"/>
      <c r="PH304" s="1005"/>
      <c r="PI304" s="1005"/>
      <c r="PJ304" s="1005"/>
      <c r="PK304" s="1005"/>
      <c r="PL304" s="1005"/>
      <c r="PM304" s="1005"/>
      <c r="PN304" s="1005"/>
      <c r="PO304" s="1005"/>
      <c r="PP304" s="1005"/>
      <c r="PQ304" s="1005"/>
      <c r="PR304" s="1005"/>
      <c r="PS304" s="1005"/>
      <c r="PT304" s="1005"/>
      <c r="PU304" s="1005"/>
      <c r="PV304" s="1005"/>
      <c r="PW304" s="1005"/>
      <c r="PX304" s="1005"/>
      <c r="PY304" s="1005"/>
      <c r="PZ304" s="1005"/>
      <c r="QA304" s="1005"/>
      <c r="QB304" s="1005"/>
      <c r="QC304" s="1005"/>
      <c r="QD304" s="1005"/>
      <c r="QE304" s="1005"/>
      <c r="QF304" s="1005"/>
      <c r="QG304" s="1005"/>
      <c r="QH304" s="1005"/>
      <c r="QI304" s="1005"/>
      <c r="QJ304" s="1005"/>
      <c r="QK304" s="1005"/>
      <c r="QL304" s="1005"/>
      <c r="QM304" s="1005"/>
      <c r="QN304" s="1005"/>
      <c r="QO304" s="1005"/>
      <c r="QP304" s="1005"/>
      <c r="QQ304" s="1005"/>
      <c r="QR304" s="1005"/>
      <c r="QS304" s="1005"/>
      <c r="QT304" s="1005"/>
      <c r="QU304" s="1005"/>
      <c r="QV304" s="1005"/>
      <c r="QW304" s="1005"/>
      <c r="QX304" s="1005"/>
      <c r="QY304" s="1005"/>
      <c r="QZ304" s="1005"/>
      <c r="RA304" s="1005"/>
      <c r="RB304" s="1005"/>
      <c r="RC304" s="1005"/>
      <c r="RD304" s="1005"/>
      <c r="RE304" s="1005"/>
      <c r="RF304" s="1005"/>
      <c r="RG304" s="1005"/>
      <c r="RH304" s="1005"/>
      <c r="RI304" s="1005"/>
      <c r="RJ304" s="1005"/>
      <c r="RK304" s="1005"/>
      <c r="RL304" s="1005"/>
      <c r="RM304" s="1005"/>
      <c r="RN304" s="1005"/>
      <c r="RO304" s="1005"/>
      <c r="RP304" s="1005"/>
      <c r="RQ304" s="1005"/>
      <c r="RR304" s="1005"/>
      <c r="RS304" s="1005"/>
      <c r="RT304" s="1005"/>
      <c r="RU304" s="1005"/>
      <c r="RV304" s="1005"/>
      <c r="RW304" s="1005"/>
      <c r="RX304" s="1005"/>
      <c r="RY304" s="1005"/>
      <c r="RZ304" s="1005"/>
      <c r="SA304" s="1005"/>
      <c r="SB304" s="1005"/>
      <c r="SC304" s="1005"/>
      <c r="SD304" s="1005"/>
      <c r="SE304" s="1005"/>
      <c r="SF304" s="1005"/>
      <c r="SG304" s="1005"/>
      <c r="SH304" s="1005"/>
      <c r="SI304" s="1005"/>
      <c r="SJ304" s="1005"/>
      <c r="SK304" s="1005"/>
      <c r="SL304" s="1005"/>
      <c r="SM304" s="1005"/>
      <c r="SN304" s="1005"/>
      <c r="SO304" s="1005"/>
      <c r="SP304" s="1005"/>
      <c r="SQ304" s="1005"/>
      <c r="SR304" s="1005"/>
      <c r="SS304" s="1005"/>
      <c r="ST304" s="1005"/>
      <c r="SU304" s="1005"/>
      <c r="SV304" s="1005"/>
      <c r="SW304" s="1005"/>
      <c r="SX304" s="1005"/>
      <c r="SY304" s="1005"/>
      <c r="SZ304" s="1005"/>
      <c r="TA304" s="1005"/>
      <c r="TB304" s="1005"/>
      <c r="TC304" s="1005"/>
      <c r="TD304" s="1005"/>
      <c r="TE304" s="1005"/>
      <c r="TF304" s="1005"/>
      <c r="TG304" s="1005"/>
      <c r="TH304" s="1005"/>
      <c r="TI304" s="1005"/>
      <c r="TJ304" s="1005"/>
      <c r="TK304" s="1005"/>
      <c r="TL304" s="1005"/>
      <c r="TM304" s="1005"/>
      <c r="TN304" s="1005"/>
      <c r="TO304" s="1005"/>
      <c r="TP304" s="1005"/>
      <c r="TQ304" s="1005"/>
      <c r="TR304" s="1005"/>
      <c r="TS304" s="1005"/>
      <c r="TT304" s="1005"/>
      <c r="TU304" s="1005"/>
      <c r="TV304" s="1005"/>
      <c r="TW304" s="1005"/>
      <c r="TX304" s="1005"/>
      <c r="TY304" s="1005"/>
      <c r="TZ304" s="1005"/>
      <c r="UA304" s="1005"/>
      <c r="UB304" s="1005"/>
      <c r="UC304" s="1005"/>
      <c r="UD304" s="1005"/>
      <c r="UE304" s="1005"/>
      <c r="UF304" s="1005"/>
      <c r="UG304" s="1005"/>
      <c r="UH304" s="1005"/>
      <c r="UI304" s="1005"/>
      <c r="UJ304" s="1005"/>
      <c r="UK304" s="1005"/>
      <c r="UL304" s="1005"/>
      <c r="UM304" s="1005"/>
      <c r="UN304" s="1005"/>
      <c r="UO304" s="1005"/>
      <c r="UP304" s="1005"/>
      <c r="UQ304" s="1005"/>
      <c r="UR304" s="1005"/>
      <c r="US304" s="1005"/>
      <c r="UT304" s="1005"/>
      <c r="UU304" s="1005"/>
      <c r="UV304" s="1005"/>
      <c r="UW304" s="1005"/>
      <c r="UX304" s="1005"/>
      <c r="UY304" s="1005"/>
      <c r="UZ304" s="1005"/>
      <c r="VA304" s="1005"/>
      <c r="VB304" s="1005"/>
      <c r="VC304" s="1005"/>
      <c r="VD304" s="1005"/>
      <c r="VE304" s="1005"/>
      <c r="VF304" s="1005"/>
      <c r="VG304" s="1005"/>
      <c r="VH304" s="1005"/>
      <c r="VI304" s="1005"/>
      <c r="VJ304" s="1005"/>
      <c r="VK304" s="1005"/>
      <c r="VL304" s="1005"/>
      <c r="VM304" s="1005"/>
      <c r="VN304" s="1005"/>
      <c r="VO304" s="1005"/>
      <c r="VP304" s="1005"/>
      <c r="VQ304" s="1005"/>
      <c r="VR304" s="1005"/>
      <c r="VS304" s="1005"/>
      <c r="VT304" s="1005"/>
      <c r="VU304" s="1005"/>
      <c r="VV304" s="1005"/>
      <c r="VW304" s="1005"/>
      <c r="VX304" s="1005"/>
      <c r="VY304" s="1005"/>
      <c r="VZ304" s="1005"/>
      <c r="WA304" s="1005"/>
      <c r="WB304" s="1005"/>
      <c r="WC304" s="1005"/>
      <c r="WD304" s="1005"/>
      <c r="WE304" s="1005"/>
      <c r="WF304" s="1005"/>
      <c r="WG304" s="1005"/>
      <c r="WH304" s="1005"/>
      <c r="WI304" s="1005"/>
      <c r="WJ304" s="1005"/>
      <c r="WK304" s="1005"/>
      <c r="WL304" s="1005"/>
      <c r="WM304" s="1005"/>
      <c r="WN304" s="1005"/>
      <c r="WO304" s="1005"/>
      <c r="WP304" s="1005"/>
      <c r="WQ304" s="1005"/>
      <c r="WR304" s="1005"/>
      <c r="WS304" s="1005"/>
      <c r="WT304" s="1005"/>
      <c r="WU304" s="1005"/>
      <c r="WV304" s="1005"/>
      <c r="WW304" s="1005"/>
      <c r="WX304" s="1005"/>
      <c r="WY304" s="1005"/>
      <c r="WZ304" s="1005"/>
      <c r="XA304" s="1005"/>
      <c r="XB304" s="1005"/>
      <c r="XC304" s="1005"/>
      <c r="XD304" s="1005"/>
      <c r="XE304" s="1005"/>
      <c r="XF304" s="1005"/>
      <c r="XG304" s="1005"/>
      <c r="XH304" s="1005"/>
      <c r="XI304" s="1005"/>
      <c r="XJ304" s="1005"/>
      <c r="XK304" s="1005"/>
      <c r="XL304" s="1005"/>
      <c r="XM304" s="1005"/>
      <c r="XN304" s="1005"/>
      <c r="XO304" s="1005"/>
      <c r="XP304" s="1005"/>
      <c r="XQ304" s="1005"/>
      <c r="XR304" s="1005"/>
      <c r="XS304" s="1005"/>
      <c r="XT304" s="1005"/>
      <c r="XU304" s="1005"/>
      <c r="XV304" s="1005"/>
      <c r="XW304" s="1005"/>
      <c r="XX304" s="1005"/>
      <c r="XY304" s="1005"/>
      <c r="XZ304" s="1005"/>
      <c r="YA304" s="1005"/>
      <c r="YB304" s="1005"/>
      <c r="YC304" s="1005"/>
      <c r="YD304" s="1005"/>
      <c r="YE304" s="1005"/>
      <c r="YF304" s="1005"/>
      <c r="YG304" s="1005"/>
      <c r="YH304" s="1005"/>
      <c r="YI304" s="1005"/>
      <c r="YJ304" s="1005"/>
      <c r="YK304" s="1005"/>
      <c r="YL304" s="1005"/>
      <c r="YM304" s="1005"/>
      <c r="YN304" s="1005"/>
      <c r="YO304" s="1005"/>
      <c r="YP304" s="1005"/>
      <c r="YQ304" s="1005"/>
      <c r="YR304" s="1005"/>
      <c r="YS304" s="1005"/>
      <c r="YT304" s="1005"/>
      <c r="YU304" s="1005"/>
      <c r="YV304" s="1005"/>
      <c r="YW304" s="1005"/>
      <c r="YX304" s="1005"/>
      <c r="YY304" s="1005"/>
      <c r="YZ304" s="1005"/>
      <c r="ZA304" s="1005"/>
      <c r="ZB304" s="1005"/>
      <c r="ZC304" s="1005"/>
      <c r="ZD304" s="1005"/>
      <c r="ZE304" s="1005"/>
      <c r="ZF304" s="1005"/>
      <c r="ZG304" s="1005"/>
      <c r="ZH304" s="1005"/>
      <c r="ZI304" s="1005"/>
      <c r="ZJ304" s="1005"/>
      <c r="ZK304" s="1005"/>
      <c r="ZL304" s="1005"/>
      <c r="ZM304" s="1005"/>
      <c r="ZN304" s="1005"/>
      <c r="ZO304" s="1005"/>
      <c r="ZP304" s="1005"/>
      <c r="ZQ304" s="1005"/>
      <c r="ZR304" s="1005"/>
      <c r="ZS304" s="1005"/>
      <c r="ZT304" s="1005"/>
      <c r="ZU304" s="1005"/>
      <c r="ZV304" s="1005"/>
      <c r="ZW304" s="1005"/>
      <c r="ZX304" s="1005"/>
      <c r="ZY304" s="1005"/>
      <c r="ZZ304" s="1005"/>
      <c r="AAA304" s="1005"/>
      <c r="AAB304" s="1005"/>
      <c r="AAC304" s="1005"/>
      <c r="AAD304" s="1005"/>
      <c r="AAE304" s="1005"/>
      <c r="AAF304" s="1005"/>
      <c r="AAG304" s="1005"/>
      <c r="AAH304" s="1005"/>
      <c r="AAI304" s="1005"/>
      <c r="AAJ304" s="1005"/>
      <c r="AAK304" s="1005"/>
      <c r="AAL304" s="1005"/>
      <c r="AAM304" s="1005"/>
      <c r="AAN304" s="1005"/>
      <c r="AAO304" s="1005"/>
      <c r="AAP304" s="1005"/>
      <c r="AAQ304" s="1005"/>
      <c r="AAR304" s="1005"/>
      <c r="AAS304" s="1005"/>
      <c r="AAT304" s="1005"/>
      <c r="AAU304" s="1005"/>
      <c r="AAV304" s="1005"/>
      <c r="AAW304" s="1005"/>
      <c r="AAX304" s="1005"/>
      <c r="AAY304" s="1005"/>
      <c r="AAZ304" s="1005"/>
      <c r="ABA304" s="1005"/>
      <c r="ABB304" s="1005"/>
      <c r="ABC304" s="1005"/>
      <c r="ABD304" s="1005"/>
      <c r="ABE304" s="1005"/>
      <c r="ABF304" s="1005"/>
      <c r="ABG304" s="1005"/>
      <c r="ABH304" s="1005"/>
      <c r="ABI304" s="1005"/>
      <c r="ABJ304" s="1005"/>
      <c r="ABK304" s="1005"/>
      <c r="ABL304" s="1005"/>
      <c r="ABM304" s="1005"/>
      <c r="ABN304" s="1005"/>
      <c r="ABO304" s="1005"/>
      <c r="ABP304" s="1005"/>
      <c r="ABQ304" s="1005"/>
      <c r="ABR304" s="1005"/>
    </row>
    <row r="305" spans="1:746" s="113" customFormat="1" ht="12" customHeight="1">
      <c r="A305" s="1252"/>
      <c r="B305" s="910" t="s">
        <v>1491</v>
      </c>
      <c r="C305" s="911"/>
      <c r="D305" s="911"/>
      <c r="E305" s="2913" t="str">
        <f>IF(E293&gt;0,E293-SUM(E294:E304),"0")</f>
        <v>0</v>
      </c>
      <c r="F305" s="2914"/>
      <c r="G305" s="2915"/>
      <c r="H305" s="2552"/>
      <c r="I305" s="345">
        <f>SUM(I294:I304)*fx!I57</f>
        <v>0</v>
      </c>
      <c r="J305" s="344">
        <f>SUM(J294:J304)*fx!J57</f>
        <v>0</v>
      </c>
      <c r="K305" s="344">
        <f>SUM(K294:K304)*fx!K57</f>
        <v>0</v>
      </c>
      <c r="L305" s="344">
        <f>SUM(L294:L304)*fx!L57</f>
        <v>0</v>
      </c>
      <c r="M305" s="344">
        <f>SUM(M294:M304)*fx!M57</f>
        <v>0</v>
      </c>
      <c r="N305" s="344">
        <f>SUM(N294:N304)*fx!N57</f>
        <v>0</v>
      </c>
      <c r="O305" s="344">
        <f>SUM(O294:O304)*fx!O57</f>
        <v>0</v>
      </c>
      <c r="P305" s="344">
        <f>SUM(P294:P304)*fx!P57</f>
        <v>0</v>
      </c>
      <c r="Q305" s="344">
        <f>SUM(Q294:Q304)*fx!Q57</f>
        <v>0</v>
      </c>
      <c r="R305" s="344">
        <f>SUM(R294:R304)*fx!R57</f>
        <v>0</v>
      </c>
      <c r="S305" s="344">
        <f>SUM(S294:S304)*fx!S57</f>
        <v>0</v>
      </c>
      <c r="T305" s="344">
        <f>SUM(T294:T304)*fx!T57</f>
        <v>0</v>
      </c>
      <c r="U305" s="344">
        <f>SUM(U294:U304)*fx!U57</f>
        <v>0</v>
      </c>
      <c r="V305" s="344">
        <f>SUM(V294:V304)*fx!V57</f>
        <v>0</v>
      </c>
      <c r="W305" s="344">
        <f>SUM(W294:W304)*fx!W57</f>
        <v>0</v>
      </c>
      <c r="X305" s="344">
        <f>SUM(X294:X304)*fx!X57</f>
        <v>0</v>
      </c>
      <c r="Y305" s="344">
        <f>SUM(Y294:Y304)*fx!Y57</f>
        <v>0</v>
      </c>
      <c r="Z305" s="344">
        <f>SUM(Z294:Z304)*fx!Z57</f>
        <v>0</v>
      </c>
      <c r="AA305" s="344">
        <f>SUM(AA294:AA304)*fx!AA57</f>
        <v>0</v>
      </c>
      <c r="AB305" s="344">
        <f>SUM(AB294:AB304)*fx!AB57</f>
        <v>0</v>
      </c>
      <c r="AC305" s="344">
        <f>SUM(AC294:AC304)*fx!AC57</f>
        <v>0</v>
      </c>
      <c r="AD305" s="344">
        <f>SUM(AD294:AD304)*fx!AD57</f>
        <v>0</v>
      </c>
      <c r="AE305" s="344">
        <f>SUM(AE294:AE304)*fx!AE57</f>
        <v>0</v>
      </c>
      <c r="AF305" s="344">
        <f>SUM(AF294:AF304)*fx!AF57</f>
        <v>0</v>
      </c>
      <c r="AG305" s="337"/>
      <c r="AH305" s="1005"/>
      <c r="AI305" s="1005"/>
      <c r="AJ305" s="1956">
        <f>IF(fx!$C$57=1,SUMIF(fx!I$57:T$57,1,I305:T305),IF(fx!$C$57=2,SUMIF(fx!O$57:AF$57,1,O305:AF305)))</f>
        <v>0</v>
      </c>
      <c r="AK305" s="1207"/>
      <c r="AL305" s="1957">
        <f>IF(fx!$C$57=1,SUM(U305:AF305),0)</f>
        <v>0</v>
      </c>
      <c r="AM305" s="1036"/>
      <c r="AN305" s="1036"/>
      <c r="AO305" s="1034"/>
      <c r="AP305" s="1037"/>
      <c r="AQ305" s="1037"/>
      <c r="AR305" s="1005"/>
      <c r="AS305" s="1005"/>
      <c r="AT305" s="1005"/>
      <c r="AU305" s="1005"/>
      <c r="AV305" s="1005"/>
      <c r="AW305" s="1005"/>
      <c r="AX305" s="1005"/>
      <c r="AY305" s="1005"/>
      <c r="AZ305" s="1005"/>
      <c r="BA305" s="1005"/>
      <c r="BB305" s="1005"/>
      <c r="BC305" s="1005"/>
      <c r="BD305" s="1005"/>
      <c r="BE305" s="1005"/>
      <c r="BF305" s="1005"/>
      <c r="BG305" s="1005"/>
      <c r="BH305" s="1005"/>
      <c r="BI305" s="1005"/>
      <c r="BJ305" s="1005"/>
      <c r="BK305" s="1005"/>
      <c r="BL305" s="1005"/>
      <c r="BM305" s="1005"/>
      <c r="BN305" s="1005"/>
      <c r="BO305" s="1005"/>
      <c r="BP305" s="1005"/>
      <c r="BQ305" s="1005"/>
      <c r="BR305" s="1005"/>
      <c r="BS305" s="1005"/>
      <c r="BT305" s="1005"/>
      <c r="BU305" s="1005"/>
      <c r="BV305" s="1005"/>
      <c r="BW305" s="1005"/>
      <c r="BX305" s="1005"/>
      <c r="BY305" s="1005"/>
      <c r="BZ305" s="1005"/>
      <c r="CA305" s="1005"/>
      <c r="CB305" s="1005"/>
      <c r="CC305" s="1005"/>
      <c r="CD305" s="1005"/>
      <c r="CE305" s="1005"/>
      <c r="CF305" s="1005"/>
      <c r="CG305" s="1005"/>
      <c r="CH305" s="1005"/>
      <c r="CI305" s="1005"/>
      <c r="CJ305" s="1005"/>
      <c r="CK305" s="1005"/>
      <c r="CL305" s="1005"/>
      <c r="CM305" s="1005"/>
      <c r="CN305" s="1005"/>
      <c r="CO305" s="1005"/>
      <c r="CP305" s="1005"/>
      <c r="CQ305" s="1005"/>
      <c r="CR305" s="1005"/>
      <c r="CS305" s="1005"/>
      <c r="CT305" s="1005"/>
      <c r="CU305" s="1005"/>
      <c r="CV305" s="1005"/>
      <c r="CW305" s="1005"/>
      <c r="CX305" s="1005"/>
      <c r="CY305" s="1005"/>
      <c r="CZ305" s="1005"/>
      <c r="DA305" s="1005"/>
      <c r="DB305" s="1005"/>
      <c r="DC305" s="1005"/>
      <c r="DD305" s="1005"/>
      <c r="DE305" s="1005"/>
      <c r="DF305" s="1005"/>
      <c r="DG305" s="1005"/>
      <c r="DH305" s="1005"/>
      <c r="DI305" s="1005"/>
      <c r="DJ305" s="1005"/>
      <c r="DK305" s="1005"/>
      <c r="DL305" s="1005"/>
      <c r="DM305" s="1005"/>
      <c r="DN305" s="1005"/>
      <c r="DO305" s="1005"/>
      <c r="DP305" s="1005"/>
      <c r="DQ305" s="1005"/>
      <c r="DR305" s="1005"/>
      <c r="DS305" s="1005"/>
      <c r="DT305" s="1005"/>
      <c r="DU305" s="1005"/>
      <c r="DV305" s="1005"/>
      <c r="DW305" s="1005"/>
      <c r="DX305" s="1005"/>
      <c r="DY305" s="1005"/>
      <c r="DZ305" s="1005"/>
      <c r="EA305" s="1005"/>
      <c r="EB305" s="1005"/>
      <c r="EC305" s="1005"/>
      <c r="ED305" s="1005"/>
      <c r="EE305" s="1005"/>
      <c r="EF305" s="1005"/>
      <c r="EG305" s="1005"/>
      <c r="EH305" s="1005"/>
      <c r="EI305" s="1005"/>
      <c r="EJ305" s="1005"/>
      <c r="EK305" s="1005"/>
      <c r="EL305" s="1005"/>
      <c r="EM305" s="1005"/>
      <c r="EN305" s="1005"/>
      <c r="EO305" s="1005"/>
      <c r="EP305" s="1005"/>
      <c r="EQ305" s="1005"/>
      <c r="ER305" s="1005"/>
      <c r="ES305" s="1005"/>
      <c r="ET305" s="1005"/>
      <c r="EU305" s="1005"/>
      <c r="EV305" s="1005"/>
      <c r="EW305" s="1005"/>
      <c r="EX305" s="1005"/>
      <c r="EY305" s="1005"/>
      <c r="EZ305" s="1005"/>
      <c r="FA305" s="1005"/>
      <c r="FB305" s="1005"/>
      <c r="FC305" s="1005"/>
      <c r="FD305" s="1005"/>
      <c r="FE305" s="1005"/>
      <c r="FF305" s="1005"/>
      <c r="FG305" s="1005"/>
      <c r="FH305" s="1005"/>
      <c r="FI305" s="1005"/>
      <c r="FJ305" s="1005"/>
      <c r="FK305" s="1005"/>
      <c r="FL305" s="1005"/>
      <c r="FM305" s="1005"/>
      <c r="FN305" s="1005"/>
      <c r="FO305" s="1005"/>
      <c r="FP305" s="1005"/>
      <c r="FQ305" s="1005"/>
      <c r="FR305" s="1005"/>
      <c r="FS305" s="1005"/>
      <c r="FT305" s="1005"/>
      <c r="FU305" s="1005"/>
      <c r="FV305" s="1005"/>
      <c r="FW305" s="1005"/>
      <c r="FX305" s="1005"/>
      <c r="FY305" s="1005"/>
      <c r="FZ305" s="1005"/>
      <c r="GA305" s="1005"/>
      <c r="GB305" s="1005"/>
      <c r="GC305" s="1005"/>
      <c r="GD305" s="1005"/>
      <c r="GE305" s="1005"/>
      <c r="GF305" s="1005"/>
      <c r="GG305" s="1005"/>
      <c r="GH305" s="1005"/>
      <c r="GI305" s="1005"/>
      <c r="GJ305" s="1005"/>
      <c r="GK305" s="1005"/>
      <c r="GL305" s="1005"/>
      <c r="GM305" s="1005"/>
      <c r="GN305" s="1005"/>
      <c r="GO305" s="1005"/>
      <c r="GP305" s="1005"/>
      <c r="GQ305" s="1005"/>
      <c r="GR305" s="1005"/>
      <c r="GS305" s="1005"/>
      <c r="GT305" s="1005"/>
      <c r="GU305" s="1005"/>
      <c r="GV305" s="1005"/>
      <c r="GW305" s="1005"/>
      <c r="GX305" s="1005"/>
      <c r="GY305" s="1005"/>
      <c r="GZ305" s="1005"/>
      <c r="HA305" s="1005"/>
      <c r="HB305" s="1005"/>
      <c r="HC305" s="1005"/>
      <c r="HD305" s="1005"/>
      <c r="HE305" s="1005"/>
      <c r="HF305" s="1005"/>
      <c r="HG305" s="1005"/>
      <c r="HH305" s="1005"/>
      <c r="HI305" s="1005"/>
      <c r="HJ305" s="1005"/>
      <c r="HK305" s="1005"/>
      <c r="HL305" s="1005"/>
      <c r="HM305" s="1005"/>
      <c r="HN305" s="1005"/>
      <c r="HO305" s="1005"/>
      <c r="HP305" s="1005"/>
      <c r="HQ305" s="1005"/>
      <c r="HR305" s="1005"/>
      <c r="HS305" s="1005"/>
      <c r="HT305" s="1005"/>
      <c r="HU305" s="1005"/>
      <c r="HV305" s="1005"/>
      <c r="HW305" s="1005"/>
      <c r="HX305" s="1005"/>
      <c r="HY305" s="1005"/>
      <c r="HZ305" s="1005"/>
      <c r="IA305" s="1005"/>
      <c r="IB305" s="1005"/>
      <c r="IC305" s="1005"/>
      <c r="ID305" s="1005"/>
      <c r="IE305" s="1005"/>
      <c r="IF305" s="1005"/>
      <c r="IG305" s="1005"/>
      <c r="IH305" s="1005"/>
      <c r="II305" s="1005"/>
      <c r="IJ305" s="1005"/>
      <c r="IK305" s="1005"/>
      <c r="IL305" s="1005"/>
      <c r="IM305" s="1005"/>
      <c r="IN305" s="1005"/>
      <c r="IO305" s="1005"/>
      <c r="IP305" s="1005"/>
      <c r="IQ305" s="1005"/>
      <c r="IR305" s="1005"/>
      <c r="IS305" s="1005"/>
      <c r="IT305" s="1005"/>
      <c r="IU305" s="1005"/>
      <c r="IV305" s="1005"/>
      <c r="IW305" s="1005"/>
      <c r="IX305" s="1005"/>
      <c r="IY305" s="1005"/>
      <c r="IZ305" s="1005"/>
      <c r="JA305" s="1005"/>
      <c r="JB305" s="1005"/>
      <c r="JC305" s="1005"/>
      <c r="JD305" s="1005"/>
      <c r="JE305" s="1005"/>
      <c r="JF305" s="1005"/>
      <c r="JG305" s="1005"/>
      <c r="JH305" s="1005"/>
      <c r="JI305" s="1005"/>
      <c r="JJ305" s="1005"/>
      <c r="JK305" s="1005"/>
      <c r="JL305" s="1005"/>
      <c r="JM305" s="1005"/>
      <c r="JN305" s="1005"/>
      <c r="JO305" s="1005"/>
      <c r="JP305" s="1005"/>
      <c r="JQ305" s="1005"/>
      <c r="JR305" s="1005"/>
      <c r="JS305" s="1005"/>
      <c r="JT305" s="1005"/>
      <c r="JU305" s="1005"/>
      <c r="JV305" s="1005"/>
      <c r="JW305" s="1005"/>
      <c r="JX305" s="1005"/>
      <c r="JY305" s="1005"/>
      <c r="JZ305" s="1005"/>
      <c r="KA305" s="1005"/>
      <c r="KB305" s="1005"/>
      <c r="KC305" s="1005"/>
      <c r="KD305" s="1005"/>
      <c r="KE305" s="1005"/>
      <c r="KF305" s="1005"/>
      <c r="KG305" s="1005"/>
      <c r="KH305" s="1005"/>
      <c r="KI305" s="1005"/>
      <c r="KJ305" s="1005"/>
      <c r="KK305" s="1005"/>
      <c r="KL305" s="1005"/>
      <c r="KM305" s="1005"/>
      <c r="KN305" s="1005"/>
      <c r="KO305" s="1005"/>
      <c r="KP305" s="1005"/>
      <c r="KQ305" s="1005"/>
      <c r="KR305" s="1005"/>
      <c r="KS305" s="1005"/>
      <c r="KT305" s="1005"/>
      <c r="KU305" s="1005"/>
      <c r="KV305" s="1005"/>
      <c r="KW305" s="1005"/>
      <c r="KX305" s="1005"/>
      <c r="KY305" s="1005"/>
      <c r="KZ305" s="1005"/>
      <c r="LA305" s="1005"/>
      <c r="LB305" s="1005"/>
      <c r="LC305" s="1005"/>
      <c r="LD305" s="1005"/>
      <c r="LE305" s="1005"/>
      <c r="LF305" s="1005"/>
      <c r="LG305" s="1005"/>
      <c r="LH305" s="1005"/>
      <c r="LI305" s="1005"/>
      <c r="LJ305" s="1005"/>
      <c r="LK305" s="1005"/>
      <c r="LL305" s="1005"/>
      <c r="LM305" s="1005"/>
      <c r="LN305" s="1005"/>
      <c r="LO305" s="1005"/>
      <c r="LP305" s="1005"/>
      <c r="LQ305" s="1005"/>
      <c r="LR305" s="1005"/>
      <c r="LS305" s="1005"/>
      <c r="LT305" s="1005"/>
      <c r="LU305" s="1005"/>
      <c r="LV305" s="1005"/>
      <c r="LW305" s="1005"/>
      <c r="LX305" s="1005"/>
      <c r="LY305" s="1005"/>
      <c r="LZ305" s="1005"/>
      <c r="MA305" s="1005"/>
      <c r="MB305" s="1005"/>
      <c r="MC305" s="1005"/>
      <c r="MD305" s="1005"/>
      <c r="ME305" s="1005"/>
      <c r="MF305" s="1005"/>
      <c r="MG305" s="1005"/>
      <c r="MH305" s="1005"/>
      <c r="MI305" s="1005"/>
      <c r="MJ305" s="1005"/>
      <c r="MK305" s="1005"/>
      <c r="ML305" s="1005"/>
      <c r="MM305" s="1005"/>
      <c r="MN305" s="1005"/>
      <c r="MO305" s="1005"/>
      <c r="MP305" s="1005"/>
      <c r="MQ305" s="1005"/>
      <c r="MR305" s="1005"/>
      <c r="MS305" s="1005"/>
      <c r="MT305" s="1005"/>
      <c r="MU305" s="1005"/>
      <c r="MV305" s="1005"/>
      <c r="MW305" s="1005"/>
      <c r="MX305" s="1005"/>
      <c r="MY305" s="1005"/>
      <c r="MZ305" s="1005"/>
      <c r="NA305" s="1005"/>
      <c r="NB305" s="1005"/>
      <c r="NC305" s="1005"/>
      <c r="ND305" s="1005"/>
      <c r="NE305" s="1005"/>
      <c r="NF305" s="1005"/>
      <c r="NG305" s="1005"/>
      <c r="NH305" s="1005"/>
      <c r="NI305" s="1005"/>
      <c r="NJ305" s="1005"/>
      <c r="NK305" s="1005"/>
      <c r="NL305" s="1005"/>
      <c r="NM305" s="1005"/>
      <c r="NN305" s="1005"/>
      <c r="NO305" s="1005"/>
      <c r="NP305" s="1005"/>
      <c r="NQ305" s="1005"/>
      <c r="NR305" s="1005"/>
      <c r="NS305" s="1005"/>
      <c r="NT305" s="1005"/>
      <c r="NU305" s="1005"/>
      <c r="NV305" s="1005"/>
      <c r="NW305" s="1005"/>
      <c r="NX305" s="1005"/>
      <c r="NY305" s="1005"/>
      <c r="NZ305" s="1005"/>
      <c r="OA305" s="1005"/>
      <c r="OB305" s="1005"/>
      <c r="OC305" s="1005"/>
      <c r="OD305" s="1005"/>
      <c r="OE305" s="1005"/>
      <c r="OF305" s="1005"/>
      <c r="OG305" s="1005"/>
      <c r="OH305" s="1005"/>
      <c r="OI305" s="1005"/>
      <c r="OJ305" s="1005"/>
      <c r="OK305" s="1005"/>
      <c r="OL305" s="1005"/>
      <c r="OM305" s="1005"/>
      <c r="ON305" s="1005"/>
      <c r="OO305" s="1005"/>
      <c r="OP305" s="1005"/>
      <c r="OQ305" s="1005"/>
      <c r="OR305" s="1005"/>
      <c r="OS305" s="1005"/>
      <c r="OT305" s="1005"/>
      <c r="OU305" s="1005"/>
      <c r="OV305" s="1005"/>
      <c r="OW305" s="1005"/>
      <c r="OX305" s="1005"/>
      <c r="OY305" s="1005"/>
      <c r="OZ305" s="1005"/>
      <c r="PA305" s="1005"/>
      <c r="PB305" s="1005"/>
      <c r="PC305" s="1005"/>
      <c r="PD305" s="1005"/>
      <c r="PE305" s="1005"/>
      <c r="PF305" s="1005"/>
      <c r="PG305" s="1005"/>
      <c r="PH305" s="1005"/>
      <c r="PI305" s="1005"/>
      <c r="PJ305" s="1005"/>
      <c r="PK305" s="1005"/>
      <c r="PL305" s="1005"/>
      <c r="PM305" s="1005"/>
      <c r="PN305" s="1005"/>
      <c r="PO305" s="1005"/>
      <c r="PP305" s="1005"/>
      <c r="PQ305" s="1005"/>
      <c r="PR305" s="1005"/>
      <c r="PS305" s="1005"/>
      <c r="PT305" s="1005"/>
      <c r="PU305" s="1005"/>
      <c r="PV305" s="1005"/>
      <c r="PW305" s="1005"/>
      <c r="PX305" s="1005"/>
      <c r="PY305" s="1005"/>
      <c r="PZ305" s="1005"/>
      <c r="QA305" s="1005"/>
      <c r="QB305" s="1005"/>
      <c r="QC305" s="1005"/>
      <c r="QD305" s="1005"/>
      <c r="QE305" s="1005"/>
      <c r="QF305" s="1005"/>
      <c r="QG305" s="1005"/>
      <c r="QH305" s="1005"/>
      <c r="QI305" s="1005"/>
      <c r="QJ305" s="1005"/>
      <c r="QK305" s="1005"/>
      <c r="QL305" s="1005"/>
      <c r="QM305" s="1005"/>
      <c r="QN305" s="1005"/>
      <c r="QO305" s="1005"/>
      <c r="QP305" s="1005"/>
      <c r="QQ305" s="1005"/>
      <c r="QR305" s="1005"/>
      <c r="QS305" s="1005"/>
      <c r="QT305" s="1005"/>
      <c r="QU305" s="1005"/>
      <c r="QV305" s="1005"/>
      <c r="QW305" s="1005"/>
      <c r="QX305" s="1005"/>
      <c r="QY305" s="1005"/>
      <c r="QZ305" s="1005"/>
      <c r="RA305" s="1005"/>
      <c r="RB305" s="1005"/>
      <c r="RC305" s="1005"/>
      <c r="RD305" s="1005"/>
      <c r="RE305" s="1005"/>
      <c r="RF305" s="1005"/>
      <c r="RG305" s="1005"/>
      <c r="RH305" s="1005"/>
      <c r="RI305" s="1005"/>
      <c r="RJ305" s="1005"/>
      <c r="RK305" s="1005"/>
      <c r="RL305" s="1005"/>
      <c r="RM305" s="1005"/>
      <c r="RN305" s="1005"/>
      <c r="RO305" s="1005"/>
      <c r="RP305" s="1005"/>
      <c r="RQ305" s="1005"/>
      <c r="RR305" s="1005"/>
      <c r="RS305" s="1005"/>
      <c r="RT305" s="1005"/>
      <c r="RU305" s="1005"/>
      <c r="RV305" s="1005"/>
      <c r="RW305" s="1005"/>
      <c r="RX305" s="1005"/>
      <c r="RY305" s="1005"/>
      <c r="RZ305" s="1005"/>
      <c r="SA305" s="1005"/>
      <c r="SB305" s="1005"/>
      <c r="SC305" s="1005"/>
      <c r="SD305" s="1005"/>
      <c r="SE305" s="1005"/>
      <c r="SF305" s="1005"/>
      <c r="SG305" s="1005"/>
      <c r="SH305" s="1005"/>
      <c r="SI305" s="1005"/>
      <c r="SJ305" s="1005"/>
      <c r="SK305" s="1005"/>
      <c r="SL305" s="1005"/>
      <c r="SM305" s="1005"/>
      <c r="SN305" s="1005"/>
      <c r="SO305" s="1005"/>
      <c r="SP305" s="1005"/>
      <c r="SQ305" s="1005"/>
      <c r="SR305" s="1005"/>
      <c r="SS305" s="1005"/>
      <c r="ST305" s="1005"/>
      <c r="SU305" s="1005"/>
      <c r="SV305" s="1005"/>
      <c r="SW305" s="1005"/>
      <c r="SX305" s="1005"/>
      <c r="SY305" s="1005"/>
      <c r="SZ305" s="1005"/>
      <c r="TA305" s="1005"/>
      <c r="TB305" s="1005"/>
      <c r="TC305" s="1005"/>
      <c r="TD305" s="1005"/>
      <c r="TE305" s="1005"/>
      <c r="TF305" s="1005"/>
      <c r="TG305" s="1005"/>
      <c r="TH305" s="1005"/>
      <c r="TI305" s="1005"/>
      <c r="TJ305" s="1005"/>
      <c r="TK305" s="1005"/>
      <c r="TL305" s="1005"/>
      <c r="TM305" s="1005"/>
      <c r="TN305" s="1005"/>
      <c r="TO305" s="1005"/>
      <c r="TP305" s="1005"/>
      <c r="TQ305" s="1005"/>
      <c r="TR305" s="1005"/>
      <c r="TS305" s="1005"/>
      <c r="TT305" s="1005"/>
      <c r="TU305" s="1005"/>
      <c r="TV305" s="1005"/>
      <c r="TW305" s="1005"/>
      <c r="TX305" s="1005"/>
      <c r="TY305" s="1005"/>
      <c r="TZ305" s="1005"/>
      <c r="UA305" s="1005"/>
      <c r="UB305" s="1005"/>
      <c r="UC305" s="1005"/>
      <c r="UD305" s="1005"/>
      <c r="UE305" s="1005"/>
      <c r="UF305" s="1005"/>
      <c r="UG305" s="1005"/>
      <c r="UH305" s="1005"/>
      <c r="UI305" s="1005"/>
      <c r="UJ305" s="1005"/>
      <c r="UK305" s="1005"/>
      <c r="UL305" s="1005"/>
      <c r="UM305" s="1005"/>
      <c r="UN305" s="1005"/>
      <c r="UO305" s="1005"/>
      <c r="UP305" s="1005"/>
      <c r="UQ305" s="1005"/>
      <c r="UR305" s="1005"/>
      <c r="US305" s="1005"/>
      <c r="UT305" s="1005"/>
      <c r="UU305" s="1005"/>
      <c r="UV305" s="1005"/>
      <c r="UW305" s="1005"/>
      <c r="UX305" s="1005"/>
      <c r="UY305" s="1005"/>
      <c r="UZ305" s="1005"/>
      <c r="VA305" s="1005"/>
      <c r="VB305" s="1005"/>
      <c r="VC305" s="1005"/>
      <c r="VD305" s="1005"/>
      <c r="VE305" s="1005"/>
      <c r="VF305" s="1005"/>
      <c r="VG305" s="1005"/>
      <c r="VH305" s="1005"/>
      <c r="VI305" s="1005"/>
      <c r="VJ305" s="1005"/>
      <c r="VK305" s="1005"/>
      <c r="VL305" s="1005"/>
      <c r="VM305" s="1005"/>
      <c r="VN305" s="1005"/>
      <c r="VO305" s="1005"/>
      <c r="VP305" s="1005"/>
      <c r="VQ305" s="1005"/>
      <c r="VR305" s="1005"/>
      <c r="VS305" s="1005"/>
      <c r="VT305" s="1005"/>
      <c r="VU305" s="1005"/>
      <c r="VV305" s="1005"/>
      <c r="VW305" s="1005"/>
      <c r="VX305" s="1005"/>
      <c r="VY305" s="1005"/>
      <c r="VZ305" s="1005"/>
      <c r="WA305" s="1005"/>
      <c r="WB305" s="1005"/>
      <c r="WC305" s="1005"/>
      <c r="WD305" s="1005"/>
      <c r="WE305" s="1005"/>
      <c r="WF305" s="1005"/>
      <c r="WG305" s="1005"/>
      <c r="WH305" s="1005"/>
      <c r="WI305" s="1005"/>
      <c r="WJ305" s="1005"/>
      <c r="WK305" s="1005"/>
      <c r="WL305" s="1005"/>
      <c r="WM305" s="1005"/>
      <c r="WN305" s="1005"/>
      <c r="WO305" s="1005"/>
      <c r="WP305" s="1005"/>
      <c r="WQ305" s="1005"/>
      <c r="WR305" s="1005"/>
      <c r="WS305" s="1005"/>
      <c r="WT305" s="1005"/>
      <c r="WU305" s="1005"/>
      <c r="WV305" s="1005"/>
      <c r="WW305" s="1005"/>
      <c r="WX305" s="1005"/>
      <c r="WY305" s="1005"/>
      <c r="WZ305" s="1005"/>
      <c r="XA305" s="1005"/>
      <c r="XB305" s="1005"/>
      <c r="XC305" s="1005"/>
      <c r="XD305" s="1005"/>
      <c r="XE305" s="1005"/>
      <c r="XF305" s="1005"/>
      <c r="XG305" s="1005"/>
      <c r="XH305" s="1005"/>
      <c r="XI305" s="1005"/>
      <c r="XJ305" s="1005"/>
      <c r="XK305" s="1005"/>
      <c r="XL305" s="1005"/>
      <c r="XM305" s="1005"/>
      <c r="XN305" s="1005"/>
      <c r="XO305" s="1005"/>
      <c r="XP305" s="1005"/>
      <c r="XQ305" s="1005"/>
      <c r="XR305" s="1005"/>
      <c r="XS305" s="1005"/>
      <c r="XT305" s="1005"/>
      <c r="XU305" s="1005"/>
      <c r="XV305" s="1005"/>
      <c r="XW305" s="1005"/>
      <c r="XX305" s="1005"/>
      <c r="XY305" s="1005"/>
      <c r="XZ305" s="1005"/>
      <c r="YA305" s="1005"/>
      <c r="YB305" s="1005"/>
      <c r="YC305" s="1005"/>
      <c r="YD305" s="1005"/>
      <c r="YE305" s="1005"/>
      <c r="YF305" s="1005"/>
      <c r="YG305" s="1005"/>
      <c r="YH305" s="1005"/>
      <c r="YI305" s="1005"/>
      <c r="YJ305" s="1005"/>
      <c r="YK305" s="1005"/>
      <c r="YL305" s="1005"/>
      <c r="YM305" s="1005"/>
      <c r="YN305" s="1005"/>
      <c r="YO305" s="1005"/>
      <c r="YP305" s="1005"/>
      <c r="YQ305" s="1005"/>
      <c r="YR305" s="1005"/>
      <c r="YS305" s="1005"/>
      <c r="YT305" s="1005"/>
      <c r="YU305" s="1005"/>
      <c r="YV305" s="1005"/>
      <c r="YW305" s="1005"/>
      <c r="YX305" s="1005"/>
      <c r="YY305" s="1005"/>
      <c r="YZ305" s="1005"/>
      <c r="ZA305" s="1005"/>
      <c r="ZB305" s="1005"/>
      <c r="ZC305" s="1005"/>
      <c r="ZD305" s="1005"/>
      <c r="ZE305" s="1005"/>
      <c r="ZF305" s="1005"/>
      <c r="ZG305" s="1005"/>
      <c r="ZH305" s="1005"/>
      <c r="ZI305" s="1005"/>
      <c r="ZJ305" s="1005"/>
      <c r="ZK305" s="1005"/>
      <c r="ZL305" s="1005"/>
      <c r="ZM305" s="1005"/>
      <c r="ZN305" s="1005"/>
      <c r="ZO305" s="1005"/>
      <c r="ZP305" s="1005"/>
      <c r="ZQ305" s="1005"/>
      <c r="ZR305" s="1005"/>
      <c r="ZS305" s="1005"/>
      <c r="ZT305" s="1005"/>
      <c r="ZU305" s="1005"/>
      <c r="ZV305" s="1005"/>
      <c r="ZW305" s="1005"/>
      <c r="ZX305" s="1005"/>
      <c r="ZY305" s="1005"/>
      <c r="ZZ305" s="1005"/>
      <c r="AAA305" s="1005"/>
      <c r="AAB305" s="1005"/>
      <c r="AAC305" s="1005"/>
      <c r="AAD305" s="1005"/>
      <c r="AAE305" s="1005"/>
      <c r="AAF305" s="1005"/>
      <c r="AAG305" s="1005"/>
      <c r="AAH305" s="1005"/>
      <c r="AAI305" s="1005"/>
      <c r="AAJ305" s="1005"/>
      <c r="AAK305" s="1005"/>
      <c r="AAL305" s="1005"/>
      <c r="AAM305" s="1005"/>
      <c r="AAN305" s="1005"/>
      <c r="AAO305" s="1005"/>
      <c r="AAP305" s="1005"/>
      <c r="AAQ305" s="1005"/>
      <c r="AAR305" s="1005"/>
      <c r="AAS305" s="1005"/>
      <c r="AAT305" s="1005"/>
      <c r="AAU305" s="1005"/>
      <c r="AAV305" s="1005"/>
      <c r="AAW305" s="1005"/>
      <c r="AAX305" s="1005"/>
      <c r="AAY305" s="1005"/>
      <c r="AAZ305" s="1005"/>
      <c r="ABA305" s="1005"/>
      <c r="ABB305" s="1005"/>
      <c r="ABC305" s="1005"/>
      <c r="ABD305" s="1005"/>
      <c r="ABE305" s="1005"/>
      <c r="ABF305" s="1005"/>
      <c r="ABG305" s="1005"/>
      <c r="ABH305" s="1005"/>
      <c r="ABI305" s="1005"/>
      <c r="ABJ305" s="1005"/>
      <c r="ABK305" s="1005"/>
      <c r="ABL305" s="1005"/>
      <c r="ABM305" s="1005"/>
      <c r="ABN305" s="1005"/>
      <c r="ABO305" s="1005"/>
      <c r="ABP305" s="1005"/>
      <c r="ABQ305" s="1005"/>
      <c r="ABR305" s="1005"/>
    </row>
    <row r="306" spans="1:746" s="113" customFormat="1" ht="12" customHeight="1">
      <c r="A306" s="789"/>
      <c r="B306" s="2764">
        <f>IF(SUM(I305:AF305)&gt;ARBETSBLAD!E293,"Summa avskrivning överstiger ing anläggningstillgångar!",0)</f>
        <v>0</v>
      </c>
      <c r="C306" s="2483"/>
      <c r="D306" s="2483"/>
      <c r="E306" s="2483"/>
      <c r="F306" s="2483"/>
      <c r="G306" s="2483"/>
      <c r="H306" s="2481"/>
      <c r="I306" s="2570" t="str">
        <f>IF(fx!I$57=0,"&gt;&gt;",IF($L$4=I$6,"","Välj 1-12 i P4"))</f>
        <v/>
      </c>
      <c r="J306" s="1843" t="str">
        <f>IF(fx!J$57=0,"&gt;&gt;",IF($L$4=J$6,"Startmånad",""))</f>
        <v/>
      </c>
      <c r="K306" s="1843" t="str">
        <f>IF(fx!K$57=0,"&gt;&gt;",IF($L$4=K$6,"Startmånad",""))</f>
        <v/>
      </c>
      <c r="L306" s="1843" t="str">
        <f>IF(fx!L$57=0,"&gt;&gt;",IF($L$4=L$6,"Startmånad",""))</f>
        <v/>
      </c>
      <c r="M306" s="1843" t="str">
        <f>IF(fx!M$57=0,"&gt;&gt;",IF($L$4=M$6,"Startmånad",""))</f>
        <v/>
      </c>
      <c r="N306" s="1843" t="str">
        <f>IF(fx!N$57=0,"&gt;&gt;",IF($L$4=N$6,"Startmånad",""))</f>
        <v/>
      </c>
      <c r="O306" s="1843" t="str">
        <f>IF(AND(fx!$C$57=1,fx!O$57=0),"&gt;&gt;",IF(AND(fx!$C$57=1,$L$4=$O$6),"Startmånad",IF(AND(fx!$C$57=2,$L$4&lt;7),"Välj 7-12 i P4",IF(AND(fx!$C$57=2,$L$4=$O$6),"Startmånad",IF(AND(fx!$C$57=2,$L$4&gt;$O$6),"&gt;&gt;","")))))</f>
        <v/>
      </c>
      <c r="P306" s="1843" t="str">
        <f>IF(fx!P$57=0,"&gt;&gt;",IF($L$4=P$6,"Startmånad",""))</f>
        <v/>
      </c>
      <c r="Q306" s="1843" t="str">
        <f>IF(fx!Q$57=0,"&gt;&gt;",IF($L$4=Q$6,"Startmånad",""))</f>
        <v/>
      </c>
      <c r="R306" s="1843" t="str">
        <f>IF(fx!R$57=0,"&gt;&gt;",IF($L$4=R$6,"Startmånad",""))</f>
        <v/>
      </c>
      <c r="S306" s="1843" t="str">
        <f>IF(fx!S$57=0,"&gt;&gt;",IF($L$4=S$6,"Startmånad",""))</f>
        <v/>
      </c>
      <c r="T306" s="2721" t="str">
        <f>IF(fx!T$57=0,"&gt;&gt;",IF($L$4=T$6,"Startmånad",""))</f>
        <v/>
      </c>
      <c r="U306" s="2722"/>
      <c r="V306" s="337"/>
      <c r="W306" s="337"/>
      <c r="X306" s="337"/>
      <c r="Y306" s="337"/>
      <c r="Z306" s="337"/>
      <c r="AA306" s="337"/>
      <c r="AB306" s="337"/>
      <c r="AC306" s="337"/>
      <c r="AD306" s="337"/>
      <c r="AE306" s="337"/>
      <c r="AF306" s="337"/>
      <c r="AG306" s="337"/>
      <c r="AH306" s="337"/>
      <c r="AI306" s="337"/>
      <c r="AJ306" s="1036"/>
      <c r="AK306" s="1036"/>
      <c r="AL306" s="1036"/>
      <c r="AM306" s="1036"/>
      <c r="AN306" s="1036"/>
      <c r="AO306" s="1034"/>
      <c r="AP306" s="1037"/>
      <c r="AQ306" s="1037"/>
      <c r="AR306" s="1005"/>
      <c r="AS306" s="1005"/>
      <c r="AT306" s="1005"/>
      <c r="AU306" s="1005"/>
      <c r="AV306" s="1005"/>
      <c r="AW306" s="1005"/>
      <c r="AX306" s="1005"/>
      <c r="AY306" s="1005"/>
      <c r="AZ306" s="1005"/>
      <c r="BA306" s="1005"/>
      <c r="BB306" s="1005"/>
      <c r="BC306" s="1005"/>
      <c r="BD306" s="1005"/>
      <c r="BE306" s="1005"/>
      <c r="BF306" s="1005"/>
      <c r="BG306" s="1005"/>
      <c r="BH306" s="1005"/>
      <c r="BI306" s="1005"/>
      <c r="BJ306" s="1005"/>
      <c r="BK306" s="1005"/>
      <c r="BL306" s="1005"/>
      <c r="BM306" s="1005"/>
      <c r="BN306" s="1005"/>
      <c r="BO306" s="1005"/>
      <c r="BP306" s="1005"/>
      <c r="BQ306" s="1005"/>
      <c r="BR306" s="1005"/>
      <c r="BS306" s="1005"/>
      <c r="BT306" s="1005"/>
      <c r="BU306" s="1005"/>
      <c r="BV306" s="1005"/>
      <c r="BW306" s="1005"/>
      <c r="BX306" s="1005"/>
      <c r="BY306" s="1005"/>
      <c r="BZ306" s="1005"/>
      <c r="CA306" s="1005"/>
      <c r="CB306" s="1005"/>
      <c r="CC306" s="1005"/>
      <c r="CD306" s="1005"/>
      <c r="CE306" s="1005"/>
      <c r="CF306" s="1005"/>
      <c r="CG306" s="1005"/>
      <c r="CH306" s="1005"/>
      <c r="CI306" s="1005"/>
      <c r="CJ306" s="1005"/>
      <c r="CK306" s="1005"/>
      <c r="CL306" s="1005"/>
      <c r="CM306" s="1005"/>
      <c r="CN306" s="1005"/>
      <c r="CO306" s="1005"/>
      <c r="CP306" s="1005"/>
      <c r="CQ306" s="1005"/>
      <c r="CR306" s="1005"/>
      <c r="CS306" s="1005"/>
      <c r="CT306" s="1005"/>
      <c r="CU306" s="1005"/>
      <c r="CV306" s="1005"/>
      <c r="CW306" s="1005"/>
      <c r="CX306" s="1005"/>
      <c r="CY306" s="1005"/>
      <c r="CZ306" s="1005"/>
      <c r="DA306" s="1005"/>
      <c r="DB306" s="1005"/>
      <c r="DC306" s="1005"/>
      <c r="DD306" s="1005"/>
      <c r="DE306" s="1005"/>
      <c r="DF306" s="1005"/>
      <c r="DG306" s="1005"/>
      <c r="DH306" s="1005"/>
      <c r="DI306" s="1005"/>
      <c r="DJ306" s="1005"/>
      <c r="DK306" s="1005"/>
      <c r="DL306" s="1005"/>
      <c r="DM306" s="1005"/>
      <c r="DN306" s="1005"/>
      <c r="DO306" s="1005"/>
      <c r="DP306" s="1005"/>
      <c r="DQ306" s="1005"/>
      <c r="DR306" s="1005"/>
      <c r="DS306" s="1005"/>
      <c r="DT306" s="1005"/>
      <c r="DU306" s="1005"/>
      <c r="DV306" s="1005"/>
      <c r="DW306" s="1005"/>
      <c r="DX306" s="1005"/>
      <c r="DY306" s="1005"/>
      <c r="DZ306" s="1005"/>
      <c r="EA306" s="1005"/>
      <c r="EB306" s="1005"/>
      <c r="EC306" s="1005"/>
      <c r="ED306" s="1005"/>
      <c r="EE306" s="1005"/>
      <c r="EF306" s="1005"/>
      <c r="EG306" s="1005"/>
      <c r="EH306" s="1005"/>
      <c r="EI306" s="1005"/>
      <c r="EJ306" s="1005"/>
      <c r="EK306" s="1005"/>
      <c r="EL306" s="1005"/>
      <c r="EM306" s="1005"/>
      <c r="EN306" s="1005"/>
      <c r="EO306" s="1005"/>
      <c r="EP306" s="1005"/>
      <c r="EQ306" s="1005"/>
      <c r="ER306" s="1005"/>
      <c r="ES306" s="1005"/>
      <c r="ET306" s="1005"/>
      <c r="EU306" s="1005"/>
      <c r="EV306" s="1005"/>
      <c r="EW306" s="1005"/>
      <c r="EX306" s="1005"/>
      <c r="EY306" s="1005"/>
      <c r="EZ306" s="1005"/>
      <c r="FA306" s="1005"/>
      <c r="FB306" s="1005"/>
      <c r="FC306" s="1005"/>
      <c r="FD306" s="1005"/>
      <c r="FE306" s="1005"/>
      <c r="FF306" s="1005"/>
      <c r="FG306" s="1005"/>
      <c r="FH306" s="1005"/>
      <c r="FI306" s="1005"/>
      <c r="FJ306" s="1005"/>
      <c r="FK306" s="1005"/>
      <c r="FL306" s="1005"/>
      <c r="FM306" s="1005"/>
      <c r="FN306" s="1005"/>
      <c r="FO306" s="1005"/>
      <c r="FP306" s="1005"/>
      <c r="FQ306" s="1005"/>
      <c r="FR306" s="1005"/>
      <c r="FS306" s="1005"/>
      <c r="FT306" s="1005"/>
      <c r="FU306" s="1005"/>
      <c r="FV306" s="1005"/>
      <c r="FW306" s="1005"/>
      <c r="FX306" s="1005"/>
      <c r="FY306" s="1005"/>
      <c r="FZ306" s="1005"/>
      <c r="GA306" s="1005"/>
      <c r="GB306" s="1005"/>
      <c r="GC306" s="1005"/>
      <c r="GD306" s="1005"/>
      <c r="GE306" s="1005"/>
      <c r="GF306" s="1005"/>
      <c r="GG306" s="1005"/>
      <c r="GH306" s="1005"/>
      <c r="GI306" s="1005"/>
      <c r="GJ306" s="1005"/>
      <c r="GK306" s="1005"/>
      <c r="GL306" s="1005"/>
      <c r="GM306" s="1005"/>
      <c r="GN306" s="1005"/>
      <c r="GO306" s="1005"/>
      <c r="GP306" s="1005"/>
      <c r="GQ306" s="1005"/>
      <c r="GR306" s="1005"/>
      <c r="GS306" s="1005"/>
      <c r="GT306" s="1005"/>
      <c r="GU306" s="1005"/>
      <c r="GV306" s="1005"/>
      <c r="GW306" s="1005"/>
      <c r="GX306" s="1005"/>
      <c r="GY306" s="1005"/>
      <c r="GZ306" s="1005"/>
      <c r="HA306" s="1005"/>
      <c r="HB306" s="1005"/>
      <c r="HC306" s="1005"/>
      <c r="HD306" s="1005"/>
      <c r="HE306" s="1005"/>
      <c r="HF306" s="1005"/>
      <c r="HG306" s="1005"/>
      <c r="HH306" s="1005"/>
      <c r="HI306" s="1005"/>
      <c r="HJ306" s="1005"/>
      <c r="HK306" s="1005"/>
      <c r="HL306" s="1005"/>
      <c r="HM306" s="1005"/>
      <c r="HN306" s="1005"/>
      <c r="HO306" s="1005"/>
      <c r="HP306" s="1005"/>
      <c r="HQ306" s="1005"/>
      <c r="HR306" s="1005"/>
      <c r="HS306" s="1005"/>
      <c r="HT306" s="1005"/>
      <c r="HU306" s="1005"/>
      <c r="HV306" s="1005"/>
      <c r="HW306" s="1005"/>
      <c r="HX306" s="1005"/>
      <c r="HY306" s="1005"/>
      <c r="HZ306" s="1005"/>
      <c r="IA306" s="1005"/>
      <c r="IB306" s="1005"/>
      <c r="IC306" s="1005"/>
      <c r="ID306" s="1005"/>
      <c r="IE306" s="1005"/>
      <c r="IF306" s="1005"/>
      <c r="IG306" s="1005"/>
      <c r="IH306" s="1005"/>
      <c r="II306" s="1005"/>
      <c r="IJ306" s="1005"/>
      <c r="IK306" s="1005"/>
      <c r="IL306" s="1005"/>
      <c r="IM306" s="1005"/>
      <c r="IN306" s="1005"/>
      <c r="IO306" s="1005"/>
      <c r="IP306" s="1005"/>
      <c r="IQ306" s="1005"/>
      <c r="IR306" s="1005"/>
      <c r="IS306" s="1005"/>
      <c r="IT306" s="1005"/>
      <c r="IU306" s="1005"/>
      <c r="IV306" s="1005"/>
      <c r="IW306" s="1005"/>
      <c r="IX306" s="1005"/>
      <c r="IY306" s="1005"/>
      <c r="IZ306" s="1005"/>
      <c r="JA306" s="1005"/>
      <c r="JB306" s="1005"/>
      <c r="JC306" s="1005"/>
      <c r="JD306" s="1005"/>
      <c r="JE306" s="1005"/>
      <c r="JF306" s="1005"/>
      <c r="JG306" s="1005"/>
      <c r="JH306" s="1005"/>
      <c r="JI306" s="1005"/>
      <c r="JJ306" s="1005"/>
      <c r="JK306" s="1005"/>
      <c r="JL306" s="1005"/>
      <c r="JM306" s="1005"/>
      <c r="JN306" s="1005"/>
      <c r="JO306" s="1005"/>
      <c r="JP306" s="1005"/>
      <c r="JQ306" s="1005"/>
      <c r="JR306" s="1005"/>
      <c r="JS306" s="1005"/>
      <c r="JT306" s="1005"/>
      <c r="JU306" s="1005"/>
      <c r="JV306" s="1005"/>
      <c r="JW306" s="1005"/>
      <c r="JX306" s="1005"/>
      <c r="JY306" s="1005"/>
      <c r="JZ306" s="1005"/>
      <c r="KA306" s="1005"/>
      <c r="KB306" s="1005"/>
      <c r="KC306" s="1005"/>
      <c r="KD306" s="1005"/>
      <c r="KE306" s="1005"/>
      <c r="KF306" s="1005"/>
      <c r="KG306" s="1005"/>
      <c r="KH306" s="1005"/>
      <c r="KI306" s="1005"/>
      <c r="KJ306" s="1005"/>
      <c r="KK306" s="1005"/>
      <c r="KL306" s="1005"/>
      <c r="KM306" s="1005"/>
      <c r="KN306" s="1005"/>
      <c r="KO306" s="1005"/>
      <c r="KP306" s="1005"/>
      <c r="KQ306" s="1005"/>
      <c r="KR306" s="1005"/>
      <c r="KS306" s="1005"/>
      <c r="KT306" s="1005"/>
      <c r="KU306" s="1005"/>
      <c r="KV306" s="1005"/>
      <c r="KW306" s="1005"/>
      <c r="KX306" s="1005"/>
      <c r="KY306" s="1005"/>
      <c r="KZ306" s="1005"/>
      <c r="LA306" s="1005"/>
      <c r="LB306" s="1005"/>
      <c r="LC306" s="1005"/>
      <c r="LD306" s="1005"/>
      <c r="LE306" s="1005"/>
      <c r="LF306" s="1005"/>
      <c r="LG306" s="1005"/>
      <c r="LH306" s="1005"/>
      <c r="LI306" s="1005"/>
      <c r="LJ306" s="1005"/>
      <c r="LK306" s="1005"/>
      <c r="LL306" s="1005"/>
      <c r="LM306" s="1005"/>
      <c r="LN306" s="1005"/>
      <c r="LO306" s="1005"/>
      <c r="LP306" s="1005"/>
      <c r="LQ306" s="1005"/>
      <c r="LR306" s="1005"/>
      <c r="LS306" s="1005"/>
      <c r="LT306" s="1005"/>
      <c r="LU306" s="1005"/>
      <c r="LV306" s="1005"/>
      <c r="LW306" s="1005"/>
      <c r="LX306" s="1005"/>
      <c r="LY306" s="1005"/>
      <c r="LZ306" s="1005"/>
      <c r="MA306" s="1005"/>
      <c r="MB306" s="1005"/>
      <c r="MC306" s="1005"/>
      <c r="MD306" s="1005"/>
      <c r="ME306" s="1005"/>
      <c r="MF306" s="1005"/>
      <c r="MG306" s="1005"/>
      <c r="MH306" s="1005"/>
      <c r="MI306" s="1005"/>
      <c r="MJ306" s="1005"/>
      <c r="MK306" s="1005"/>
      <c r="ML306" s="1005"/>
      <c r="MM306" s="1005"/>
      <c r="MN306" s="1005"/>
      <c r="MO306" s="1005"/>
      <c r="MP306" s="1005"/>
      <c r="MQ306" s="1005"/>
      <c r="MR306" s="1005"/>
      <c r="MS306" s="1005"/>
      <c r="MT306" s="1005"/>
      <c r="MU306" s="1005"/>
      <c r="MV306" s="1005"/>
      <c r="MW306" s="1005"/>
      <c r="MX306" s="1005"/>
      <c r="MY306" s="1005"/>
      <c r="MZ306" s="1005"/>
      <c r="NA306" s="1005"/>
      <c r="NB306" s="1005"/>
      <c r="NC306" s="1005"/>
      <c r="ND306" s="1005"/>
      <c r="NE306" s="1005"/>
      <c r="NF306" s="1005"/>
      <c r="NG306" s="1005"/>
      <c r="NH306" s="1005"/>
      <c r="NI306" s="1005"/>
      <c r="NJ306" s="1005"/>
      <c r="NK306" s="1005"/>
      <c r="NL306" s="1005"/>
      <c r="NM306" s="1005"/>
      <c r="NN306" s="1005"/>
      <c r="NO306" s="1005"/>
      <c r="NP306" s="1005"/>
      <c r="NQ306" s="1005"/>
      <c r="NR306" s="1005"/>
      <c r="NS306" s="1005"/>
      <c r="NT306" s="1005"/>
      <c r="NU306" s="1005"/>
      <c r="NV306" s="1005"/>
      <c r="NW306" s="1005"/>
      <c r="NX306" s="1005"/>
      <c r="NY306" s="1005"/>
      <c r="NZ306" s="1005"/>
      <c r="OA306" s="1005"/>
      <c r="OB306" s="1005"/>
      <c r="OC306" s="1005"/>
      <c r="OD306" s="1005"/>
      <c r="OE306" s="1005"/>
      <c r="OF306" s="1005"/>
      <c r="OG306" s="1005"/>
      <c r="OH306" s="1005"/>
      <c r="OI306" s="1005"/>
      <c r="OJ306" s="1005"/>
      <c r="OK306" s="1005"/>
      <c r="OL306" s="1005"/>
      <c r="OM306" s="1005"/>
      <c r="ON306" s="1005"/>
      <c r="OO306" s="1005"/>
      <c r="OP306" s="1005"/>
      <c r="OQ306" s="1005"/>
      <c r="OR306" s="1005"/>
      <c r="OS306" s="1005"/>
      <c r="OT306" s="1005"/>
      <c r="OU306" s="1005"/>
      <c r="OV306" s="1005"/>
      <c r="OW306" s="1005"/>
      <c r="OX306" s="1005"/>
      <c r="OY306" s="1005"/>
      <c r="OZ306" s="1005"/>
      <c r="PA306" s="1005"/>
      <c r="PB306" s="1005"/>
      <c r="PC306" s="1005"/>
      <c r="PD306" s="1005"/>
      <c r="PE306" s="1005"/>
      <c r="PF306" s="1005"/>
      <c r="PG306" s="1005"/>
      <c r="PH306" s="1005"/>
      <c r="PI306" s="1005"/>
      <c r="PJ306" s="1005"/>
      <c r="PK306" s="1005"/>
      <c r="PL306" s="1005"/>
      <c r="PM306" s="1005"/>
      <c r="PN306" s="1005"/>
      <c r="PO306" s="1005"/>
      <c r="PP306" s="1005"/>
      <c r="PQ306" s="1005"/>
      <c r="PR306" s="1005"/>
      <c r="PS306" s="1005"/>
      <c r="PT306" s="1005"/>
      <c r="PU306" s="1005"/>
      <c r="PV306" s="1005"/>
      <c r="PW306" s="1005"/>
      <c r="PX306" s="1005"/>
      <c r="PY306" s="1005"/>
      <c r="PZ306" s="1005"/>
      <c r="QA306" s="1005"/>
      <c r="QB306" s="1005"/>
      <c r="QC306" s="1005"/>
      <c r="QD306" s="1005"/>
      <c r="QE306" s="1005"/>
      <c r="QF306" s="1005"/>
      <c r="QG306" s="1005"/>
      <c r="QH306" s="1005"/>
      <c r="QI306" s="1005"/>
      <c r="QJ306" s="1005"/>
      <c r="QK306" s="1005"/>
      <c r="QL306" s="1005"/>
      <c r="QM306" s="1005"/>
      <c r="QN306" s="1005"/>
      <c r="QO306" s="1005"/>
      <c r="QP306" s="1005"/>
      <c r="QQ306" s="1005"/>
      <c r="QR306" s="1005"/>
      <c r="QS306" s="1005"/>
      <c r="QT306" s="1005"/>
      <c r="QU306" s="1005"/>
      <c r="QV306" s="1005"/>
      <c r="QW306" s="1005"/>
      <c r="QX306" s="1005"/>
      <c r="QY306" s="1005"/>
      <c r="QZ306" s="1005"/>
      <c r="RA306" s="1005"/>
      <c r="RB306" s="1005"/>
      <c r="RC306" s="1005"/>
      <c r="RD306" s="1005"/>
      <c r="RE306" s="1005"/>
      <c r="RF306" s="1005"/>
      <c r="RG306" s="1005"/>
      <c r="RH306" s="1005"/>
      <c r="RI306" s="1005"/>
      <c r="RJ306" s="1005"/>
      <c r="RK306" s="1005"/>
      <c r="RL306" s="1005"/>
      <c r="RM306" s="1005"/>
      <c r="RN306" s="1005"/>
      <c r="RO306" s="1005"/>
      <c r="RP306" s="1005"/>
      <c r="RQ306" s="1005"/>
      <c r="RR306" s="1005"/>
      <c r="RS306" s="1005"/>
      <c r="RT306" s="1005"/>
      <c r="RU306" s="1005"/>
      <c r="RV306" s="1005"/>
      <c r="RW306" s="1005"/>
      <c r="RX306" s="1005"/>
      <c r="RY306" s="1005"/>
      <c r="RZ306" s="1005"/>
      <c r="SA306" s="1005"/>
      <c r="SB306" s="1005"/>
      <c r="SC306" s="1005"/>
      <c r="SD306" s="1005"/>
      <c r="SE306" s="1005"/>
      <c r="SF306" s="1005"/>
      <c r="SG306" s="1005"/>
      <c r="SH306" s="1005"/>
      <c r="SI306" s="1005"/>
      <c r="SJ306" s="1005"/>
      <c r="SK306" s="1005"/>
      <c r="SL306" s="1005"/>
      <c r="SM306" s="1005"/>
      <c r="SN306" s="1005"/>
      <c r="SO306" s="1005"/>
      <c r="SP306" s="1005"/>
      <c r="SQ306" s="1005"/>
      <c r="SR306" s="1005"/>
      <c r="SS306" s="1005"/>
      <c r="ST306" s="1005"/>
      <c r="SU306" s="1005"/>
      <c r="SV306" s="1005"/>
      <c r="SW306" s="1005"/>
      <c r="SX306" s="1005"/>
      <c r="SY306" s="1005"/>
      <c r="SZ306" s="1005"/>
      <c r="TA306" s="1005"/>
      <c r="TB306" s="1005"/>
      <c r="TC306" s="1005"/>
      <c r="TD306" s="1005"/>
      <c r="TE306" s="1005"/>
      <c r="TF306" s="1005"/>
      <c r="TG306" s="1005"/>
      <c r="TH306" s="1005"/>
      <c r="TI306" s="1005"/>
      <c r="TJ306" s="1005"/>
      <c r="TK306" s="1005"/>
      <c r="TL306" s="1005"/>
      <c r="TM306" s="1005"/>
      <c r="TN306" s="1005"/>
      <c r="TO306" s="1005"/>
      <c r="TP306" s="1005"/>
      <c r="TQ306" s="1005"/>
      <c r="TR306" s="1005"/>
      <c r="TS306" s="1005"/>
      <c r="TT306" s="1005"/>
      <c r="TU306" s="1005"/>
      <c r="TV306" s="1005"/>
      <c r="TW306" s="1005"/>
      <c r="TX306" s="1005"/>
      <c r="TY306" s="1005"/>
      <c r="TZ306" s="1005"/>
      <c r="UA306" s="1005"/>
      <c r="UB306" s="1005"/>
      <c r="UC306" s="1005"/>
      <c r="UD306" s="1005"/>
      <c r="UE306" s="1005"/>
      <c r="UF306" s="1005"/>
      <c r="UG306" s="1005"/>
      <c r="UH306" s="1005"/>
      <c r="UI306" s="1005"/>
      <c r="UJ306" s="1005"/>
      <c r="UK306" s="1005"/>
      <c r="UL306" s="1005"/>
      <c r="UM306" s="1005"/>
      <c r="UN306" s="1005"/>
      <c r="UO306" s="1005"/>
      <c r="UP306" s="1005"/>
      <c r="UQ306" s="1005"/>
      <c r="UR306" s="1005"/>
      <c r="US306" s="1005"/>
      <c r="UT306" s="1005"/>
      <c r="UU306" s="1005"/>
      <c r="UV306" s="1005"/>
      <c r="UW306" s="1005"/>
      <c r="UX306" s="1005"/>
      <c r="UY306" s="1005"/>
      <c r="UZ306" s="1005"/>
      <c r="VA306" s="1005"/>
      <c r="VB306" s="1005"/>
      <c r="VC306" s="1005"/>
      <c r="VD306" s="1005"/>
      <c r="VE306" s="1005"/>
      <c r="VF306" s="1005"/>
      <c r="VG306" s="1005"/>
      <c r="VH306" s="1005"/>
      <c r="VI306" s="1005"/>
      <c r="VJ306" s="1005"/>
      <c r="VK306" s="1005"/>
      <c r="VL306" s="1005"/>
      <c r="VM306" s="1005"/>
      <c r="VN306" s="1005"/>
      <c r="VO306" s="1005"/>
      <c r="VP306" s="1005"/>
      <c r="VQ306" s="1005"/>
      <c r="VR306" s="1005"/>
      <c r="VS306" s="1005"/>
      <c r="VT306" s="1005"/>
      <c r="VU306" s="1005"/>
      <c r="VV306" s="1005"/>
      <c r="VW306" s="1005"/>
      <c r="VX306" s="1005"/>
      <c r="VY306" s="1005"/>
      <c r="VZ306" s="1005"/>
      <c r="WA306" s="1005"/>
      <c r="WB306" s="1005"/>
      <c r="WC306" s="1005"/>
      <c r="WD306" s="1005"/>
      <c r="WE306" s="1005"/>
      <c r="WF306" s="1005"/>
      <c r="WG306" s="1005"/>
      <c r="WH306" s="1005"/>
      <c r="WI306" s="1005"/>
      <c r="WJ306" s="1005"/>
      <c r="WK306" s="1005"/>
      <c r="WL306" s="1005"/>
      <c r="WM306" s="1005"/>
      <c r="WN306" s="1005"/>
      <c r="WO306" s="1005"/>
      <c r="WP306" s="1005"/>
      <c r="WQ306" s="1005"/>
      <c r="WR306" s="1005"/>
      <c r="WS306" s="1005"/>
      <c r="WT306" s="1005"/>
      <c r="WU306" s="1005"/>
      <c r="WV306" s="1005"/>
      <c r="WW306" s="1005"/>
      <c r="WX306" s="1005"/>
      <c r="WY306" s="1005"/>
      <c r="WZ306" s="1005"/>
      <c r="XA306" s="1005"/>
      <c r="XB306" s="1005"/>
      <c r="XC306" s="1005"/>
      <c r="XD306" s="1005"/>
      <c r="XE306" s="1005"/>
      <c r="XF306" s="1005"/>
      <c r="XG306" s="1005"/>
      <c r="XH306" s="1005"/>
      <c r="XI306" s="1005"/>
      <c r="XJ306" s="1005"/>
      <c r="XK306" s="1005"/>
      <c r="XL306" s="1005"/>
      <c r="XM306" s="1005"/>
      <c r="XN306" s="1005"/>
      <c r="XO306" s="1005"/>
      <c r="XP306" s="1005"/>
      <c r="XQ306" s="1005"/>
      <c r="XR306" s="1005"/>
      <c r="XS306" s="1005"/>
      <c r="XT306" s="1005"/>
      <c r="XU306" s="1005"/>
      <c r="XV306" s="1005"/>
      <c r="XW306" s="1005"/>
      <c r="XX306" s="1005"/>
      <c r="XY306" s="1005"/>
      <c r="XZ306" s="1005"/>
      <c r="YA306" s="1005"/>
      <c r="YB306" s="1005"/>
      <c r="YC306" s="1005"/>
      <c r="YD306" s="1005"/>
      <c r="YE306" s="1005"/>
      <c r="YF306" s="1005"/>
      <c r="YG306" s="1005"/>
      <c r="YH306" s="1005"/>
      <c r="YI306" s="1005"/>
      <c r="YJ306" s="1005"/>
      <c r="YK306" s="1005"/>
      <c r="YL306" s="1005"/>
      <c r="YM306" s="1005"/>
      <c r="YN306" s="1005"/>
      <c r="YO306" s="1005"/>
      <c r="YP306" s="1005"/>
      <c r="YQ306" s="1005"/>
      <c r="YR306" s="1005"/>
      <c r="YS306" s="1005"/>
      <c r="YT306" s="1005"/>
      <c r="YU306" s="1005"/>
      <c r="YV306" s="1005"/>
      <c r="YW306" s="1005"/>
      <c r="YX306" s="1005"/>
      <c r="YY306" s="1005"/>
      <c r="YZ306" s="1005"/>
      <c r="ZA306" s="1005"/>
      <c r="ZB306" s="1005"/>
      <c r="ZC306" s="1005"/>
      <c r="ZD306" s="1005"/>
      <c r="ZE306" s="1005"/>
      <c r="ZF306" s="1005"/>
      <c r="ZG306" s="1005"/>
      <c r="ZH306" s="1005"/>
      <c r="ZI306" s="1005"/>
      <c r="ZJ306" s="1005"/>
      <c r="ZK306" s="1005"/>
      <c r="ZL306" s="1005"/>
      <c r="ZM306" s="1005"/>
      <c r="ZN306" s="1005"/>
      <c r="ZO306" s="1005"/>
      <c r="ZP306" s="1005"/>
      <c r="ZQ306" s="1005"/>
      <c r="ZR306" s="1005"/>
      <c r="ZS306" s="1005"/>
      <c r="ZT306" s="1005"/>
      <c r="ZU306" s="1005"/>
      <c r="ZV306" s="1005"/>
      <c r="ZW306" s="1005"/>
      <c r="ZX306" s="1005"/>
      <c r="ZY306" s="1005"/>
      <c r="ZZ306" s="1005"/>
      <c r="AAA306" s="1005"/>
      <c r="AAB306" s="1005"/>
      <c r="AAC306" s="1005"/>
      <c r="AAD306" s="1005"/>
      <c r="AAE306" s="1005"/>
      <c r="AAF306" s="1005"/>
      <c r="AAG306" s="1005"/>
      <c r="AAH306" s="1005"/>
      <c r="AAI306" s="1005"/>
      <c r="AAJ306" s="1005"/>
      <c r="AAK306" s="1005"/>
      <c r="AAL306" s="1005"/>
      <c r="AAM306" s="1005"/>
      <c r="AAN306" s="1005"/>
      <c r="AAO306" s="1005"/>
      <c r="AAP306" s="1005"/>
      <c r="AAQ306" s="1005"/>
      <c r="AAR306" s="1005"/>
      <c r="AAS306" s="1005"/>
      <c r="AAT306" s="1005"/>
      <c r="AAU306" s="1005"/>
      <c r="AAV306" s="1005"/>
      <c r="AAW306" s="1005"/>
      <c r="AAX306" s="1005"/>
      <c r="AAY306" s="1005"/>
      <c r="AAZ306" s="1005"/>
      <c r="ABA306" s="1005"/>
      <c r="ABB306" s="1005"/>
      <c r="ABC306" s="1005"/>
      <c r="ABD306" s="1005"/>
      <c r="ABE306" s="1005"/>
      <c r="ABF306" s="1005"/>
      <c r="ABG306" s="1005"/>
      <c r="ABH306" s="1005"/>
      <c r="ABI306" s="1005"/>
      <c r="ABJ306" s="1005"/>
      <c r="ABK306" s="1005"/>
      <c r="ABL306" s="1005"/>
      <c r="ABM306" s="1005"/>
      <c r="ABN306" s="1005"/>
      <c r="ABO306" s="1005"/>
      <c r="ABP306" s="1005"/>
      <c r="ABQ306" s="1005"/>
      <c r="ABR306" s="1005"/>
    </row>
    <row r="307" spans="1:746" s="113" customFormat="1" ht="12" customHeight="1">
      <c r="A307" s="789"/>
      <c r="B307" s="2916" t="s">
        <v>1359</v>
      </c>
      <c r="C307" s="2917"/>
      <c r="D307" s="2917"/>
      <c r="E307" s="2917"/>
      <c r="F307" s="2917"/>
      <c r="G307" s="2917"/>
      <c r="H307" s="2918"/>
      <c r="I307" s="2365" t="s">
        <v>1431</v>
      </c>
      <c r="J307" s="867"/>
      <c r="K307" s="867"/>
      <c r="L307" s="867"/>
      <c r="M307" s="867"/>
      <c r="N307" s="867"/>
      <c r="O307" s="867"/>
      <c r="P307" s="867"/>
      <c r="Q307" s="867"/>
      <c r="R307" s="867"/>
      <c r="S307" s="867"/>
      <c r="T307" s="985"/>
      <c r="U307" s="2769">
        <f>IF(SUM(I312:AF312)&gt;ARBETSBLAD!E308,"Summa avskrivning överstiger ing anläggningstillgångar!",0)</f>
        <v>0</v>
      </c>
      <c r="V307" s="867"/>
      <c r="W307" s="867"/>
      <c r="X307" s="867"/>
      <c r="Y307" s="867"/>
      <c r="Z307" s="867"/>
      <c r="AA307" s="867"/>
      <c r="AB307" s="867"/>
      <c r="AC307" s="867"/>
      <c r="AD307" s="867"/>
      <c r="AE307" s="867"/>
      <c r="AF307" s="868"/>
      <c r="AG307" s="337"/>
      <c r="AH307" s="337"/>
      <c r="AI307" s="337"/>
      <c r="AJ307" s="1036"/>
      <c r="AK307" s="1036"/>
      <c r="AL307" s="1036"/>
      <c r="AM307" s="1036"/>
      <c r="AN307" s="1036"/>
      <c r="AO307" s="1034"/>
      <c r="AP307" s="1037"/>
      <c r="AQ307" s="1037"/>
      <c r="AR307" s="1005"/>
      <c r="AS307" s="1005"/>
      <c r="AT307" s="1005"/>
      <c r="AU307" s="1005"/>
      <c r="AV307" s="1005"/>
      <c r="AW307" s="1005"/>
      <c r="AX307" s="1005"/>
      <c r="AY307" s="1005"/>
      <c r="AZ307" s="1005"/>
      <c r="BA307" s="1005"/>
      <c r="BB307" s="1005"/>
      <c r="BC307" s="1005"/>
      <c r="BD307" s="1005"/>
      <c r="BE307" s="1005"/>
      <c r="BF307" s="1005"/>
      <c r="BG307" s="1005"/>
      <c r="BH307" s="1005"/>
      <c r="BI307" s="1005"/>
      <c r="BJ307" s="1005"/>
      <c r="BK307" s="1005"/>
      <c r="BL307" s="1005"/>
      <c r="BM307" s="1005"/>
      <c r="BN307" s="1005"/>
      <c r="BO307" s="1005"/>
      <c r="BP307" s="1005"/>
      <c r="BQ307" s="1005"/>
      <c r="BR307" s="1005"/>
      <c r="BS307" s="1005"/>
      <c r="BT307" s="1005"/>
      <c r="BU307" s="1005"/>
      <c r="BV307" s="1005"/>
      <c r="BW307" s="1005"/>
      <c r="BX307" s="1005"/>
      <c r="BY307" s="1005"/>
      <c r="BZ307" s="1005"/>
      <c r="CA307" s="1005"/>
      <c r="CB307" s="1005"/>
      <c r="CC307" s="1005"/>
      <c r="CD307" s="1005"/>
      <c r="CE307" s="1005"/>
      <c r="CF307" s="1005"/>
      <c r="CG307" s="1005"/>
      <c r="CH307" s="1005"/>
      <c r="CI307" s="1005"/>
      <c r="CJ307" s="1005"/>
      <c r="CK307" s="1005"/>
      <c r="CL307" s="1005"/>
      <c r="CM307" s="1005"/>
      <c r="CN307" s="1005"/>
      <c r="CO307" s="1005"/>
      <c r="CP307" s="1005"/>
      <c r="CQ307" s="1005"/>
      <c r="CR307" s="1005"/>
      <c r="CS307" s="1005"/>
      <c r="CT307" s="1005"/>
      <c r="CU307" s="1005"/>
      <c r="CV307" s="1005"/>
      <c r="CW307" s="1005"/>
      <c r="CX307" s="1005"/>
      <c r="CY307" s="1005"/>
      <c r="CZ307" s="1005"/>
      <c r="DA307" s="1005"/>
      <c r="DB307" s="1005"/>
      <c r="DC307" s="1005"/>
      <c r="DD307" s="1005"/>
      <c r="DE307" s="1005"/>
      <c r="DF307" s="1005"/>
      <c r="DG307" s="1005"/>
      <c r="DH307" s="1005"/>
      <c r="DI307" s="1005"/>
      <c r="DJ307" s="1005"/>
      <c r="DK307" s="1005"/>
      <c r="DL307" s="1005"/>
      <c r="DM307" s="1005"/>
      <c r="DN307" s="1005"/>
      <c r="DO307" s="1005"/>
      <c r="DP307" s="1005"/>
      <c r="DQ307" s="1005"/>
      <c r="DR307" s="1005"/>
      <c r="DS307" s="1005"/>
      <c r="DT307" s="1005"/>
      <c r="DU307" s="1005"/>
      <c r="DV307" s="1005"/>
      <c r="DW307" s="1005"/>
      <c r="DX307" s="1005"/>
      <c r="DY307" s="1005"/>
      <c r="DZ307" s="1005"/>
      <c r="EA307" s="1005"/>
      <c r="EB307" s="1005"/>
      <c r="EC307" s="1005"/>
      <c r="ED307" s="1005"/>
      <c r="EE307" s="1005"/>
      <c r="EF307" s="1005"/>
      <c r="EG307" s="1005"/>
      <c r="EH307" s="1005"/>
      <c r="EI307" s="1005"/>
      <c r="EJ307" s="1005"/>
      <c r="EK307" s="1005"/>
      <c r="EL307" s="1005"/>
      <c r="EM307" s="1005"/>
      <c r="EN307" s="1005"/>
      <c r="EO307" s="1005"/>
      <c r="EP307" s="1005"/>
      <c r="EQ307" s="1005"/>
      <c r="ER307" s="1005"/>
      <c r="ES307" s="1005"/>
      <c r="ET307" s="1005"/>
      <c r="EU307" s="1005"/>
      <c r="EV307" s="1005"/>
      <c r="EW307" s="1005"/>
      <c r="EX307" s="1005"/>
      <c r="EY307" s="1005"/>
      <c r="EZ307" s="1005"/>
      <c r="FA307" s="1005"/>
      <c r="FB307" s="1005"/>
      <c r="FC307" s="1005"/>
      <c r="FD307" s="1005"/>
      <c r="FE307" s="1005"/>
      <c r="FF307" s="1005"/>
      <c r="FG307" s="1005"/>
      <c r="FH307" s="1005"/>
      <c r="FI307" s="1005"/>
      <c r="FJ307" s="1005"/>
      <c r="FK307" s="1005"/>
      <c r="FL307" s="1005"/>
      <c r="FM307" s="1005"/>
      <c r="FN307" s="1005"/>
      <c r="FO307" s="1005"/>
      <c r="FP307" s="1005"/>
      <c r="FQ307" s="1005"/>
      <c r="FR307" s="1005"/>
      <c r="FS307" s="1005"/>
      <c r="FT307" s="1005"/>
      <c r="FU307" s="1005"/>
      <c r="FV307" s="1005"/>
      <c r="FW307" s="1005"/>
      <c r="FX307" s="1005"/>
      <c r="FY307" s="1005"/>
      <c r="FZ307" s="1005"/>
      <c r="GA307" s="1005"/>
      <c r="GB307" s="1005"/>
      <c r="GC307" s="1005"/>
      <c r="GD307" s="1005"/>
      <c r="GE307" s="1005"/>
      <c r="GF307" s="1005"/>
      <c r="GG307" s="1005"/>
      <c r="GH307" s="1005"/>
      <c r="GI307" s="1005"/>
      <c r="GJ307" s="1005"/>
      <c r="GK307" s="1005"/>
      <c r="GL307" s="1005"/>
      <c r="GM307" s="1005"/>
      <c r="GN307" s="1005"/>
      <c r="GO307" s="1005"/>
      <c r="GP307" s="1005"/>
      <c r="GQ307" s="1005"/>
      <c r="GR307" s="1005"/>
      <c r="GS307" s="1005"/>
      <c r="GT307" s="1005"/>
      <c r="GU307" s="1005"/>
      <c r="GV307" s="1005"/>
      <c r="GW307" s="1005"/>
      <c r="GX307" s="1005"/>
      <c r="GY307" s="1005"/>
      <c r="GZ307" s="1005"/>
      <c r="HA307" s="1005"/>
      <c r="HB307" s="1005"/>
      <c r="HC307" s="1005"/>
      <c r="HD307" s="1005"/>
      <c r="HE307" s="1005"/>
      <c r="HF307" s="1005"/>
      <c r="HG307" s="1005"/>
      <c r="HH307" s="1005"/>
      <c r="HI307" s="1005"/>
      <c r="HJ307" s="1005"/>
      <c r="HK307" s="1005"/>
      <c r="HL307" s="1005"/>
      <c r="HM307" s="1005"/>
      <c r="HN307" s="1005"/>
      <c r="HO307" s="1005"/>
      <c r="HP307" s="1005"/>
      <c r="HQ307" s="1005"/>
      <c r="HR307" s="1005"/>
      <c r="HS307" s="1005"/>
      <c r="HT307" s="1005"/>
      <c r="HU307" s="1005"/>
      <c r="HV307" s="1005"/>
      <c r="HW307" s="1005"/>
      <c r="HX307" s="1005"/>
      <c r="HY307" s="1005"/>
      <c r="HZ307" s="1005"/>
      <c r="IA307" s="1005"/>
      <c r="IB307" s="1005"/>
      <c r="IC307" s="1005"/>
      <c r="ID307" s="1005"/>
      <c r="IE307" s="1005"/>
      <c r="IF307" s="1005"/>
      <c r="IG307" s="1005"/>
      <c r="IH307" s="1005"/>
      <c r="II307" s="1005"/>
      <c r="IJ307" s="1005"/>
      <c r="IK307" s="1005"/>
      <c r="IL307" s="1005"/>
      <c r="IM307" s="1005"/>
      <c r="IN307" s="1005"/>
      <c r="IO307" s="1005"/>
      <c r="IP307" s="1005"/>
      <c r="IQ307" s="1005"/>
      <c r="IR307" s="1005"/>
      <c r="IS307" s="1005"/>
      <c r="IT307" s="1005"/>
      <c r="IU307" s="1005"/>
      <c r="IV307" s="1005"/>
      <c r="IW307" s="1005"/>
      <c r="IX307" s="1005"/>
      <c r="IY307" s="1005"/>
      <c r="IZ307" s="1005"/>
      <c r="JA307" s="1005"/>
      <c r="JB307" s="1005"/>
      <c r="JC307" s="1005"/>
      <c r="JD307" s="1005"/>
      <c r="JE307" s="1005"/>
      <c r="JF307" s="1005"/>
      <c r="JG307" s="1005"/>
      <c r="JH307" s="1005"/>
      <c r="JI307" s="1005"/>
      <c r="JJ307" s="1005"/>
      <c r="JK307" s="1005"/>
      <c r="JL307" s="1005"/>
      <c r="JM307" s="1005"/>
      <c r="JN307" s="1005"/>
      <c r="JO307" s="1005"/>
      <c r="JP307" s="1005"/>
      <c r="JQ307" s="1005"/>
      <c r="JR307" s="1005"/>
      <c r="JS307" s="1005"/>
      <c r="JT307" s="1005"/>
      <c r="JU307" s="1005"/>
      <c r="JV307" s="1005"/>
      <c r="JW307" s="1005"/>
      <c r="JX307" s="1005"/>
      <c r="JY307" s="1005"/>
      <c r="JZ307" s="1005"/>
      <c r="KA307" s="1005"/>
      <c r="KB307" s="1005"/>
      <c r="KC307" s="1005"/>
      <c r="KD307" s="1005"/>
      <c r="KE307" s="1005"/>
      <c r="KF307" s="1005"/>
      <c r="KG307" s="1005"/>
      <c r="KH307" s="1005"/>
      <c r="KI307" s="1005"/>
      <c r="KJ307" s="1005"/>
      <c r="KK307" s="1005"/>
      <c r="KL307" s="1005"/>
      <c r="KM307" s="1005"/>
      <c r="KN307" s="1005"/>
      <c r="KO307" s="1005"/>
      <c r="KP307" s="1005"/>
      <c r="KQ307" s="1005"/>
      <c r="KR307" s="1005"/>
      <c r="KS307" s="1005"/>
      <c r="KT307" s="1005"/>
      <c r="KU307" s="1005"/>
      <c r="KV307" s="1005"/>
      <c r="KW307" s="1005"/>
      <c r="KX307" s="1005"/>
      <c r="KY307" s="1005"/>
      <c r="KZ307" s="1005"/>
      <c r="LA307" s="1005"/>
      <c r="LB307" s="1005"/>
      <c r="LC307" s="1005"/>
      <c r="LD307" s="1005"/>
      <c r="LE307" s="1005"/>
      <c r="LF307" s="1005"/>
      <c r="LG307" s="1005"/>
      <c r="LH307" s="1005"/>
      <c r="LI307" s="1005"/>
      <c r="LJ307" s="1005"/>
      <c r="LK307" s="1005"/>
      <c r="LL307" s="1005"/>
      <c r="LM307" s="1005"/>
      <c r="LN307" s="1005"/>
      <c r="LO307" s="1005"/>
      <c r="LP307" s="1005"/>
      <c r="LQ307" s="1005"/>
      <c r="LR307" s="1005"/>
      <c r="LS307" s="1005"/>
      <c r="LT307" s="1005"/>
      <c r="LU307" s="1005"/>
      <c r="LV307" s="1005"/>
      <c r="LW307" s="1005"/>
      <c r="LX307" s="1005"/>
      <c r="LY307" s="1005"/>
      <c r="LZ307" s="1005"/>
      <c r="MA307" s="1005"/>
      <c r="MB307" s="1005"/>
      <c r="MC307" s="1005"/>
      <c r="MD307" s="1005"/>
      <c r="ME307" s="1005"/>
      <c r="MF307" s="1005"/>
      <c r="MG307" s="1005"/>
      <c r="MH307" s="1005"/>
      <c r="MI307" s="1005"/>
      <c r="MJ307" s="1005"/>
      <c r="MK307" s="1005"/>
      <c r="ML307" s="1005"/>
      <c r="MM307" s="1005"/>
      <c r="MN307" s="1005"/>
      <c r="MO307" s="1005"/>
      <c r="MP307" s="1005"/>
      <c r="MQ307" s="1005"/>
      <c r="MR307" s="1005"/>
      <c r="MS307" s="1005"/>
      <c r="MT307" s="1005"/>
      <c r="MU307" s="1005"/>
      <c r="MV307" s="1005"/>
      <c r="MW307" s="1005"/>
      <c r="MX307" s="1005"/>
      <c r="MY307" s="1005"/>
      <c r="MZ307" s="1005"/>
      <c r="NA307" s="1005"/>
      <c r="NB307" s="1005"/>
      <c r="NC307" s="1005"/>
      <c r="ND307" s="1005"/>
      <c r="NE307" s="1005"/>
      <c r="NF307" s="1005"/>
      <c r="NG307" s="1005"/>
      <c r="NH307" s="1005"/>
      <c r="NI307" s="1005"/>
      <c r="NJ307" s="1005"/>
      <c r="NK307" s="1005"/>
      <c r="NL307" s="1005"/>
      <c r="NM307" s="1005"/>
      <c r="NN307" s="1005"/>
      <c r="NO307" s="1005"/>
      <c r="NP307" s="1005"/>
      <c r="NQ307" s="1005"/>
      <c r="NR307" s="1005"/>
      <c r="NS307" s="1005"/>
      <c r="NT307" s="1005"/>
      <c r="NU307" s="1005"/>
      <c r="NV307" s="1005"/>
      <c r="NW307" s="1005"/>
      <c r="NX307" s="1005"/>
      <c r="NY307" s="1005"/>
      <c r="NZ307" s="1005"/>
      <c r="OA307" s="1005"/>
      <c r="OB307" s="1005"/>
      <c r="OC307" s="1005"/>
      <c r="OD307" s="1005"/>
      <c r="OE307" s="1005"/>
      <c r="OF307" s="1005"/>
      <c r="OG307" s="1005"/>
      <c r="OH307" s="1005"/>
      <c r="OI307" s="1005"/>
      <c r="OJ307" s="1005"/>
      <c r="OK307" s="1005"/>
      <c r="OL307" s="1005"/>
      <c r="OM307" s="1005"/>
      <c r="ON307" s="1005"/>
      <c r="OO307" s="1005"/>
      <c r="OP307" s="1005"/>
      <c r="OQ307" s="1005"/>
      <c r="OR307" s="1005"/>
      <c r="OS307" s="1005"/>
      <c r="OT307" s="1005"/>
      <c r="OU307" s="1005"/>
      <c r="OV307" s="1005"/>
      <c r="OW307" s="1005"/>
      <c r="OX307" s="1005"/>
      <c r="OY307" s="1005"/>
      <c r="OZ307" s="1005"/>
      <c r="PA307" s="1005"/>
      <c r="PB307" s="1005"/>
      <c r="PC307" s="1005"/>
      <c r="PD307" s="1005"/>
      <c r="PE307" s="1005"/>
      <c r="PF307" s="1005"/>
      <c r="PG307" s="1005"/>
      <c r="PH307" s="1005"/>
      <c r="PI307" s="1005"/>
      <c r="PJ307" s="1005"/>
      <c r="PK307" s="1005"/>
      <c r="PL307" s="1005"/>
      <c r="PM307" s="1005"/>
      <c r="PN307" s="1005"/>
      <c r="PO307" s="1005"/>
      <c r="PP307" s="1005"/>
      <c r="PQ307" s="1005"/>
      <c r="PR307" s="1005"/>
      <c r="PS307" s="1005"/>
      <c r="PT307" s="1005"/>
      <c r="PU307" s="1005"/>
      <c r="PV307" s="1005"/>
      <c r="PW307" s="1005"/>
      <c r="PX307" s="1005"/>
      <c r="PY307" s="1005"/>
      <c r="PZ307" s="1005"/>
      <c r="QA307" s="1005"/>
      <c r="QB307" s="1005"/>
      <c r="QC307" s="1005"/>
      <c r="QD307" s="1005"/>
      <c r="QE307" s="1005"/>
      <c r="QF307" s="1005"/>
      <c r="QG307" s="1005"/>
      <c r="QH307" s="1005"/>
      <c r="QI307" s="1005"/>
      <c r="QJ307" s="1005"/>
      <c r="QK307" s="1005"/>
      <c r="QL307" s="1005"/>
      <c r="QM307" s="1005"/>
      <c r="QN307" s="1005"/>
      <c r="QO307" s="1005"/>
      <c r="QP307" s="1005"/>
      <c r="QQ307" s="1005"/>
      <c r="QR307" s="1005"/>
      <c r="QS307" s="1005"/>
      <c r="QT307" s="1005"/>
      <c r="QU307" s="1005"/>
      <c r="QV307" s="1005"/>
      <c r="QW307" s="1005"/>
      <c r="QX307" s="1005"/>
      <c r="QY307" s="1005"/>
      <c r="QZ307" s="1005"/>
      <c r="RA307" s="1005"/>
      <c r="RB307" s="1005"/>
      <c r="RC307" s="1005"/>
      <c r="RD307" s="1005"/>
      <c r="RE307" s="1005"/>
      <c r="RF307" s="1005"/>
      <c r="RG307" s="1005"/>
      <c r="RH307" s="1005"/>
      <c r="RI307" s="1005"/>
      <c r="RJ307" s="1005"/>
      <c r="RK307" s="1005"/>
      <c r="RL307" s="1005"/>
      <c r="RM307" s="1005"/>
      <c r="RN307" s="1005"/>
      <c r="RO307" s="1005"/>
      <c r="RP307" s="1005"/>
      <c r="RQ307" s="1005"/>
      <c r="RR307" s="1005"/>
      <c r="RS307" s="1005"/>
      <c r="RT307" s="1005"/>
      <c r="RU307" s="1005"/>
      <c r="RV307" s="1005"/>
      <c r="RW307" s="1005"/>
      <c r="RX307" s="1005"/>
      <c r="RY307" s="1005"/>
      <c r="RZ307" s="1005"/>
      <c r="SA307" s="1005"/>
      <c r="SB307" s="1005"/>
      <c r="SC307" s="1005"/>
      <c r="SD307" s="1005"/>
      <c r="SE307" s="1005"/>
      <c r="SF307" s="1005"/>
      <c r="SG307" s="1005"/>
      <c r="SH307" s="1005"/>
      <c r="SI307" s="1005"/>
      <c r="SJ307" s="1005"/>
      <c r="SK307" s="1005"/>
      <c r="SL307" s="1005"/>
      <c r="SM307" s="1005"/>
      <c r="SN307" s="1005"/>
      <c r="SO307" s="1005"/>
      <c r="SP307" s="1005"/>
      <c r="SQ307" s="1005"/>
      <c r="SR307" s="1005"/>
      <c r="SS307" s="1005"/>
      <c r="ST307" s="1005"/>
      <c r="SU307" s="1005"/>
      <c r="SV307" s="1005"/>
      <c r="SW307" s="1005"/>
      <c r="SX307" s="1005"/>
      <c r="SY307" s="1005"/>
      <c r="SZ307" s="1005"/>
      <c r="TA307" s="1005"/>
      <c r="TB307" s="1005"/>
      <c r="TC307" s="1005"/>
      <c r="TD307" s="1005"/>
      <c r="TE307" s="1005"/>
      <c r="TF307" s="1005"/>
      <c r="TG307" s="1005"/>
      <c r="TH307" s="1005"/>
      <c r="TI307" s="1005"/>
      <c r="TJ307" s="1005"/>
      <c r="TK307" s="1005"/>
      <c r="TL307" s="1005"/>
      <c r="TM307" s="1005"/>
      <c r="TN307" s="1005"/>
      <c r="TO307" s="1005"/>
      <c r="TP307" s="1005"/>
      <c r="TQ307" s="1005"/>
      <c r="TR307" s="1005"/>
      <c r="TS307" s="1005"/>
      <c r="TT307" s="1005"/>
      <c r="TU307" s="1005"/>
      <c r="TV307" s="1005"/>
      <c r="TW307" s="1005"/>
      <c r="TX307" s="1005"/>
      <c r="TY307" s="1005"/>
      <c r="TZ307" s="1005"/>
      <c r="UA307" s="1005"/>
      <c r="UB307" s="1005"/>
      <c r="UC307" s="1005"/>
      <c r="UD307" s="1005"/>
      <c r="UE307" s="1005"/>
      <c r="UF307" s="1005"/>
      <c r="UG307" s="1005"/>
      <c r="UH307" s="1005"/>
      <c r="UI307" s="1005"/>
      <c r="UJ307" s="1005"/>
      <c r="UK307" s="1005"/>
      <c r="UL307" s="1005"/>
      <c r="UM307" s="1005"/>
      <c r="UN307" s="1005"/>
      <c r="UO307" s="1005"/>
      <c r="UP307" s="1005"/>
      <c r="UQ307" s="1005"/>
      <c r="UR307" s="1005"/>
      <c r="US307" s="1005"/>
      <c r="UT307" s="1005"/>
      <c r="UU307" s="1005"/>
      <c r="UV307" s="1005"/>
      <c r="UW307" s="1005"/>
      <c r="UX307" s="1005"/>
      <c r="UY307" s="1005"/>
      <c r="UZ307" s="1005"/>
      <c r="VA307" s="1005"/>
      <c r="VB307" s="1005"/>
      <c r="VC307" s="1005"/>
      <c r="VD307" s="1005"/>
      <c r="VE307" s="1005"/>
      <c r="VF307" s="1005"/>
      <c r="VG307" s="1005"/>
      <c r="VH307" s="1005"/>
      <c r="VI307" s="1005"/>
      <c r="VJ307" s="1005"/>
      <c r="VK307" s="1005"/>
      <c r="VL307" s="1005"/>
      <c r="VM307" s="1005"/>
      <c r="VN307" s="1005"/>
      <c r="VO307" s="1005"/>
      <c r="VP307" s="1005"/>
      <c r="VQ307" s="1005"/>
      <c r="VR307" s="1005"/>
      <c r="VS307" s="1005"/>
      <c r="VT307" s="1005"/>
      <c r="VU307" s="1005"/>
      <c r="VV307" s="1005"/>
      <c r="VW307" s="1005"/>
      <c r="VX307" s="1005"/>
      <c r="VY307" s="1005"/>
      <c r="VZ307" s="1005"/>
      <c r="WA307" s="1005"/>
      <c r="WB307" s="1005"/>
      <c r="WC307" s="1005"/>
      <c r="WD307" s="1005"/>
      <c r="WE307" s="1005"/>
      <c r="WF307" s="1005"/>
      <c r="WG307" s="1005"/>
      <c r="WH307" s="1005"/>
      <c r="WI307" s="1005"/>
      <c r="WJ307" s="1005"/>
      <c r="WK307" s="1005"/>
      <c r="WL307" s="1005"/>
      <c r="WM307" s="1005"/>
      <c r="WN307" s="1005"/>
      <c r="WO307" s="1005"/>
      <c r="WP307" s="1005"/>
      <c r="WQ307" s="1005"/>
      <c r="WR307" s="1005"/>
      <c r="WS307" s="1005"/>
      <c r="WT307" s="1005"/>
      <c r="WU307" s="1005"/>
      <c r="WV307" s="1005"/>
      <c r="WW307" s="1005"/>
      <c r="WX307" s="1005"/>
      <c r="WY307" s="1005"/>
      <c r="WZ307" s="1005"/>
      <c r="XA307" s="1005"/>
      <c r="XB307" s="1005"/>
      <c r="XC307" s="1005"/>
      <c r="XD307" s="1005"/>
      <c r="XE307" s="1005"/>
      <c r="XF307" s="1005"/>
      <c r="XG307" s="1005"/>
      <c r="XH307" s="1005"/>
      <c r="XI307" s="1005"/>
      <c r="XJ307" s="1005"/>
      <c r="XK307" s="1005"/>
      <c r="XL307" s="1005"/>
      <c r="XM307" s="1005"/>
      <c r="XN307" s="1005"/>
      <c r="XO307" s="1005"/>
      <c r="XP307" s="1005"/>
      <c r="XQ307" s="1005"/>
      <c r="XR307" s="1005"/>
      <c r="XS307" s="1005"/>
      <c r="XT307" s="1005"/>
      <c r="XU307" s="1005"/>
      <c r="XV307" s="1005"/>
      <c r="XW307" s="1005"/>
      <c r="XX307" s="1005"/>
      <c r="XY307" s="1005"/>
      <c r="XZ307" s="1005"/>
      <c r="YA307" s="1005"/>
      <c r="YB307" s="1005"/>
      <c r="YC307" s="1005"/>
      <c r="YD307" s="1005"/>
      <c r="YE307" s="1005"/>
      <c r="YF307" s="1005"/>
      <c r="YG307" s="1005"/>
      <c r="YH307" s="1005"/>
      <c r="YI307" s="1005"/>
      <c r="YJ307" s="1005"/>
      <c r="YK307" s="1005"/>
      <c r="YL307" s="1005"/>
      <c r="YM307" s="1005"/>
      <c r="YN307" s="1005"/>
      <c r="YO307" s="1005"/>
      <c r="YP307" s="1005"/>
      <c r="YQ307" s="1005"/>
      <c r="YR307" s="1005"/>
      <c r="YS307" s="1005"/>
      <c r="YT307" s="1005"/>
      <c r="YU307" s="1005"/>
      <c r="YV307" s="1005"/>
      <c r="YW307" s="1005"/>
      <c r="YX307" s="1005"/>
      <c r="YY307" s="1005"/>
      <c r="YZ307" s="1005"/>
      <c r="ZA307" s="1005"/>
      <c r="ZB307" s="1005"/>
      <c r="ZC307" s="1005"/>
      <c r="ZD307" s="1005"/>
      <c r="ZE307" s="1005"/>
      <c r="ZF307" s="1005"/>
      <c r="ZG307" s="1005"/>
      <c r="ZH307" s="1005"/>
      <c r="ZI307" s="1005"/>
      <c r="ZJ307" s="1005"/>
      <c r="ZK307" s="1005"/>
      <c r="ZL307" s="1005"/>
      <c r="ZM307" s="1005"/>
      <c r="ZN307" s="1005"/>
      <c r="ZO307" s="1005"/>
      <c r="ZP307" s="1005"/>
      <c r="ZQ307" s="1005"/>
      <c r="ZR307" s="1005"/>
      <c r="ZS307" s="1005"/>
      <c r="ZT307" s="1005"/>
      <c r="ZU307" s="1005"/>
      <c r="ZV307" s="1005"/>
      <c r="ZW307" s="1005"/>
      <c r="ZX307" s="1005"/>
      <c r="ZY307" s="1005"/>
      <c r="ZZ307" s="1005"/>
      <c r="AAA307" s="1005"/>
      <c r="AAB307" s="1005"/>
      <c r="AAC307" s="1005"/>
      <c r="AAD307" s="1005"/>
      <c r="AAE307" s="1005"/>
      <c r="AAF307" s="1005"/>
      <c r="AAG307" s="1005"/>
      <c r="AAH307" s="1005"/>
      <c r="AAI307" s="1005"/>
      <c r="AAJ307" s="1005"/>
      <c r="AAK307" s="1005"/>
      <c r="AAL307" s="1005"/>
      <c r="AAM307" s="1005"/>
      <c r="AAN307" s="1005"/>
      <c r="AAO307" s="1005"/>
      <c r="AAP307" s="1005"/>
      <c r="AAQ307" s="1005"/>
      <c r="AAR307" s="1005"/>
      <c r="AAS307" s="1005"/>
      <c r="AAT307" s="1005"/>
      <c r="AAU307" s="1005"/>
      <c r="AAV307" s="1005"/>
      <c r="AAW307" s="1005"/>
      <c r="AAX307" s="1005"/>
      <c r="AAY307" s="1005"/>
      <c r="AAZ307" s="1005"/>
      <c r="ABA307" s="1005"/>
      <c r="ABB307" s="1005"/>
      <c r="ABC307" s="1005"/>
      <c r="ABD307" s="1005"/>
      <c r="ABE307" s="1005"/>
      <c r="ABF307" s="1005"/>
      <c r="ABG307" s="1005"/>
      <c r="ABH307" s="1005"/>
      <c r="ABI307" s="1005"/>
      <c r="ABJ307" s="1005"/>
      <c r="ABK307" s="1005"/>
      <c r="ABL307" s="1005"/>
      <c r="ABM307" s="1005"/>
      <c r="ABN307" s="1005"/>
      <c r="ABO307" s="1005"/>
      <c r="ABP307" s="1005"/>
      <c r="ABQ307" s="1005"/>
      <c r="ABR307" s="1005"/>
    </row>
    <row r="308" spans="1:746" s="113" customFormat="1" ht="12" customHeight="1" thickBot="1">
      <c r="A308" s="789"/>
      <c r="B308" s="2499" t="s">
        <v>1348</v>
      </c>
      <c r="C308" s="2321"/>
      <c r="D308" s="2321"/>
      <c r="E308" s="2990">
        <f>fx!C432</f>
        <v>0</v>
      </c>
      <c r="F308" s="2991"/>
      <c r="G308" s="2992"/>
      <c r="H308" s="2561"/>
      <c r="I308" s="2584" t="s">
        <v>1432</v>
      </c>
      <c r="J308" s="869"/>
      <c r="K308" s="869"/>
      <c r="L308" s="869"/>
      <c r="M308" s="869"/>
      <c r="N308" s="869"/>
      <c r="O308" s="869"/>
      <c r="P308" s="2303" t="s">
        <v>1384</v>
      </c>
      <c r="Q308" s="2765"/>
      <c r="R308" s="2768"/>
      <c r="S308" s="869"/>
      <c r="T308" s="986"/>
      <c r="U308" s="995"/>
      <c r="V308" s="869"/>
      <c r="W308" s="869"/>
      <c r="X308" s="869"/>
      <c r="Y308" s="869"/>
      <c r="Z308" s="869"/>
      <c r="AA308" s="869"/>
      <c r="AB308" s="869"/>
      <c r="AC308" s="869"/>
      <c r="AD308" s="869"/>
      <c r="AE308" s="869"/>
      <c r="AF308" s="344"/>
      <c r="AG308" s="337"/>
      <c r="AH308" s="2230" t="s">
        <v>1148</v>
      </c>
      <c r="AI308" s="337"/>
      <c r="AJ308" s="1036"/>
      <c r="AK308" s="1036"/>
      <c r="AL308" s="1036"/>
      <c r="AM308" s="1036"/>
      <c r="AN308" s="1036"/>
      <c r="AO308" s="1034"/>
      <c r="AP308" s="1037"/>
      <c r="AQ308" s="1037"/>
      <c r="AR308" s="1005"/>
      <c r="AS308" s="1005"/>
      <c r="AT308" s="1005"/>
      <c r="AU308" s="1005"/>
      <c r="AV308" s="1005"/>
      <c r="AW308" s="1005"/>
      <c r="AX308" s="1005"/>
      <c r="AY308" s="1005"/>
      <c r="AZ308" s="1005"/>
      <c r="BA308" s="1005"/>
      <c r="BB308" s="1005"/>
      <c r="BC308" s="1005"/>
      <c r="BD308" s="1005"/>
      <c r="BE308" s="1005"/>
      <c r="BF308" s="1005"/>
      <c r="BG308" s="1005"/>
      <c r="BH308" s="1005"/>
      <c r="BI308" s="1005"/>
      <c r="BJ308" s="1005"/>
      <c r="BK308" s="1005"/>
      <c r="BL308" s="1005"/>
      <c r="BM308" s="1005"/>
      <c r="BN308" s="1005"/>
      <c r="BO308" s="1005"/>
      <c r="BP308" s="1005"/>
      <c r="BQ308" s="1005"/>
      <c r="BR308" s="1005"/>
      <c r="BS308" s="1005"/>
      <c r="BT308" s="1005"/>
      <c r="BU308" s="1005"/>
      <c r="BV308" s="1005"/>
      <c r="BW308" s="1005"/>
      <c r="BX308" s="1005"/>
      <c r="BY308" s="1005"/>
      <c r="BZ308" s="1005"/>
      <c r="CA308" s="1005"/>
      <c r="CB308" s="1005"/>
      <c r="CC308" s="1005"/>
      <c r="CD308" s="1005"/>
      <c r="CE308" s="1005"/>
      <c r="CF308" s="1005"/>
      <c r="CG308" s="1005"/>
      <c r="CH308" s="1005"/>
      <c r="CI308" s="1005"/>
      <c r="CJ308" s="1005"/>
      <c r="CK308" s="1005"/>
      <c r="CL308" s="1005"/>
      <c r="CM308" s="1005"/>
      <c r="CN308" s="1005"/>
      <c r="CO308" s="1005"/>
      <c r="CP308" s="1005"/>
      <c r="CQ308" s="1005"/>
      <c r="CR308" s="1005"/>
      <c r="CS308" s="1005"/>
      <c r="CT308" s="1005"/>
      <c r="CU308" s="1005"/>
      <c r="CV308" s="1005"/>
      <c r="CW308" s="1005"/>
      <c r="CX308" s="1005"/>
      <c r="CY308" s="1005"/>
      <c r="CZ308" s="1005"/>
      <c r="DA308" s="1005"/>
      <c r="DB308" s="1005"/>
      <c r="DC308" s="1005"/>
      <c r="DD308" s="1005"/>
      <c r="DE308" s="1005"/>
      <c r="DF308" s="1005"/>
      <c r="DG308" s="1005"/>
      <c r="DH308" s="1005"/>
      <c r="DI308" s="1005"/>
      <c r="DJ308" s="1005"/>
      <c r="DK308" s="1005"/>
      <c r="DL308" s="1005"/>
      <c r="DM308" s="1005"/>
      <c r="DN308" s="1005"/>
      <c r="DO308" s="1005"/>
      <c r="DP308" s="1005"/>
      <c r="DQ308" s="1005"/>
      <c r="DR308" s="1005"/>
      <c r="DS308" s="1005"/>
      <c r="DT308" s="1005"/>
      <c r="DU308" s="1005"/>
      <c r="DV308" s="1005"/>
      <c r="DW308" s="1005"/>
      <c r="DX308" s="1005"/>
      <c r="DY308" s="1005"/>
      <c r="DZ308" s="1005"/>
      <c r="EA308" s="1005"/>
      <c r="EB308" s="1005"/>
      <c r="EC308" s="1005"/>
      <c r="ED308" s="1005"/>
      <c r="EE308" s="1005"/>
      <c r="EF308" s="1005"/>
      <c r="EG308" s="1005"/>
      <c r="EH308" s="1005"/>
      <c r="EI308" s="1005"/>
      <c r="EJ308" s="1005"/>
      <c r="EK308" s="1005"/>
      <c r="EL308" s="1005"/>
      <c r="EM308" s="1005"/>
      <c r="EN308" s="1005"/>
      <c r="EO308" s="1005"/>
      <c r="EP308" s="1005"/>
      <c r="EQ308" s="1005"/>
      <c r="ER308" s="1005"/>
      <c r="ES308" s="1005"/>
      <c r="ET308" s="1005"/>
      <c r="EU308" s="1005"/>
      <c r="EV308" s="1005"/>
      <c r="EW308" s="1005"/>
      <c r="EX308" s="1005"/>
      <c r="EY308" s="1005"/>
      <c r="EZ308" s="1005"/>
      <c r="FA308" s="1005"/>
      <c r="FB308" s="1005"/>
      <c r="FC308" s="1005"/>
      <c r="FD308" s="1005"/>
      <c r="FE308" s="1005"/>
      <c r="FF308" s="1005"/>
      <c r="FG308" s="1005"/>
      <c r="FH308" s="1005"/>
      <c r="FI308" s="1005"/>
      <c r="FJ308" s="1005"/>
      <c r="FK308" s="1005"/>
      <c r="FL308" s="1005"/>
      <c r="FM308" s="1005"/>
      <c r="FN308" s="1005"/>
      <c r="FO308" s="1005"/>
      <c r="FP308" s="1005"/>
      <c r="FQ308" s="1005"/>
      <c r="FR308" s="1005"/>
      <c r="FS308" s="1005"/>
      <c r="FT308" s="1005"/>
      <c r="FU308" s="1005"/>
      <c r="FV308" s="1005"/>
      <c r="FW308" s="1005"/>
      <c r="FX308" s="1005"/>
      <c r="FY308" s="1005"/>
      <c r="FZ308" s="1005"/>
      <c r="GA308" s="1005"/>
      <c r="GB308" s="1005"/>
      <c r="GC308" s="1005"/>
      <c r="GD308" s="1005"/>
      <c r="GE308" s="1005"/>
      <c r="GF308" s="1005"/>
      <c r="GG308" s="1005"/>
      <c r="GH308" s="1005"/>
      <c r="GI308" s="1005"/>
      <c r="GJ308" s="1005"/>
      <c r="GK308" s="1005"/>
      <c r="GL308" s="1005"/>
      <c r="GM308" s="1005"/>
      <c r="GN308" s="1005"/>
      <c r="GO308" s="1005"/>
      <c r="GP308" s="1005"/>
      <c r="GQ308" s="1005"/>
      <c r="GR308" s="1005"/>
      <c r="GS308" s="1005"/>
      <c r="GT308" s="1005"/>
      <c r="GU308" s="1005"/>
      <c r="GV308" s="1005"/>
      <c r="GW308" s="1005"/>
      <c r="GX308" s="1005"/>
      <c r="GY308" s="1005"/>
      <c r="GZ308" s="1005"/>
      <c r="HA308" s="1005"/>
      <c r="HB308" s="1005"/>
      <c r="HC308" s="1005"/>
      <c r="HD308" s="1005"/>
      <c r="HE308" s="1005"/>
      <c r="HF308" s="1005"/>
      <c r="HG308" s="1005"/>
      <c r="HH308" s="1005"/>
      <c r="HI308" s="1005"/>
      <c r="HJ308" s="1005"/>
      <c r="HK308" s="1005"/>
      <c r="HL308" s="1005"/>
      <c r="HM308" s="1005"/>
      <c r="HN308" s="1005"/>
      <c r="HO308" s="1005"/>
      <c r="HP308" s="1005"/>
      <c r="HQ308" s="1005"/>
      <c r="HR308" s="1005"/>
      <c r="HS308" s="1005"/>
      <c r="HT308" s="1005"/>
      <c r="HU308" s="1005"/>
      <c r="HV308" s="1005"/>
      <c r="HW308" s="1005"/>
      <c r="HX308" s="1005"/>
      <c r="HY308" s="1005"/>
      <c r="HZ308" s="1005"/>
      <c r="IA308" s="1005"/>
      <c r="IB308" s="1005"/>
      <c r="IC308" s="1005"/>
      <c r="ID308" s="1005"/>
      <c r="IE308" s="1005"/>
      <c r="IF308" s="1005"/>
      <c r="IG308" s="1005"/>
      <c r="IH308" s="1005"/>
      <c r="II308" s="1005"/>
      <c r="IJ308" s="1005"/>
      <c r="IK308" s="1005"/>
      <c r="IL308" s="1005"/>
      <c r="IM308" s="1005"/>
      <c r="IN308" s="1005"/>
      <c r="IO308" s="1005"/>
      <c r="IP308" s="1005"/>
      <c r="IQ308" s="1005"/>
      <c r="IR308" s="1005"/>
      <c r="IS308" s="1005"/>
      <c r="IT308" s="1005"/>
      <c r="IU308" s="1005"/>
      <c r="IV308" s="1005"/>
      <c r="IW308" s="1005"/>
      <c r="IX308" s="1005"/>
      <c r="IY308" s="1005"/>
      <c r="IZ308" s="1005"/>
      <c r="JA308" s="1005"/>
      <c r="JB308" s="1005"/>
      <c r="JC308" s="1005"/>
      <c r="JD308" s="1005"/>
      <c r="JE308" s="1005"/>
      <c r="JF308" s="1005"/>
      <c r="JG308" s="1005"/>
      <c r="JH308" s="1005"/>
      <c r="JI308" s="1005"/>
      <c r="JJ308" s="1005"/>
      <c r="JK308" s="1005"/>
      <c r="JL308" s="1005"/>
      <c r="JM308" s="1005"/>
      <c r="JN308" s="1005"/>
      <c r="JO308" s="1005"/>
      <c r="JP308" s="1005"/>
      <c r="JQ308" s="1005"/>
      <c r="JR308" s="1005"/>
      <c r="JS308" s="1005"/>
      <c r="JT308" s="1005"/>
      <c r="JU308" s="1005"/>
      <c r="JV308" s="1005"/>
      <c r="JW308" s="1005"/>
      <c r="JX308" s="1005"/>
      <c r="JY308" s="1005"/>
      <c r="JZ308" s="1005"/>
      <c r="KA308" s="1005"/>
      <c r="KB308" s="1005"/>
      <c r="KC308" s="1005"/>
      <c r="KD308" s="1005"/>
      <c r="KE308" s="1005"/>
      <c r="KF308" s="1005"/>
      <c r="KG308" s="1005"/>
      <c r="KH308" s="1005"/>
      <c r="KI308" s="1005"/>
      <c r="KJ308" s="1005"/>
      <c r="KK308" s="1005"/>
      <c r="KL308" s="1005"/>
      <c r="KM308" s="1005"/>
      <c r="KN308" s="1005"/>
      <c r="KO308" s="1005"/>
      <c r="KP308" s="1005"/>
      <c r="KQ308" s="1005"/>
      <c r="KR308" s="1005"/>
      <c r="KS308" s="1005"/>
      <c r="KT308" s="1005"/>
      <c r="KU308" s="1005"/>
      <c r="KV308" s="1005"/>
      <c r="KW308" s="1005"/>
      <c r="KX308" s="1005"/>
      <c r="KY308" s="1005"/>
      <c r="KZ308" s="1005"/>
      <c r="LA308" s="1005"/>
      <c r="LB308" s="1005"/>
      <c r="LC308" s="1005"/>
      <c r="LD308" s="1005"/>
      <c r="LE308" s="1005"/>
      <c r="LF308" s="1005"/>
      <c r="LG308" s="1005"/>
      <c r="LH308" s="1005"/>
      <c r="LI308" s="1005"/>
      <c r="LJ308" s="1005"/>
      <c r="LK308" s="1005"/>
      <c r="LL308" s="1005"/>
      <c r="LM308" s="1005"/>
      <c r="LN308" s="1005"/>
      <c r="LO308" s="1005"/>
      <c r="LP308" s="1005"/>
      <c r="LQ308" s="1005"/>
      <c r="LR308" s="1005"/>
      <c r="LS308" s="1005"/>
      <c r="LT308" s="1005"/>
      <c r="LU308" s="1005"/>
      <c r="LV308" s="1005"/>
      <c r="LW308" s="1005"/>
      <c r="LX308" s="1005"/>
      <c r="LY308" s="1005"/>
      <c r="LZ308" s="1005"/>
      <c r="MA308" s="1005"/>
      <c r="MB308" s="1005"/>
      <c r="MC308" s="1005"/>
      <c r="MD308" s="1005"/>
      <c r="ME308" s="1005"/>
      <c r="MF308" s="1005"/>
      <c r="MG308" s="1005"/>
      <c r="MH308" s="1005"/>
      <c r="MI308" s="1005"/>
      <c r="MJ308" s="1005"/>
      <c r="MK308" s="1005"/>
      <c r="ML308" s="1005"/>
      <c r="MM308" s="1005"/>
      <c r="MN308" s="1005"/>
      <c r="MO308" s="1005"/>
      <c r="MP308" s="1005"/>
      <c r="MQ308" s="1005"/>
      <c r="MR308" s="1005"/>
      <c r="MS308" s="1005"/>
      <c r="MT308" s="1005"/>
      <c r="MU308" s="1005"/>
      <c r="MV308" s="1005"/>
      <c r="MW308" s="1005"/>
      <c r="MX308" s="1005"/>
      <c r="MY308" s="1005"/>
      <c r="MZ308" s="1005"/>
      <c r="NA308" s="1005"/>
      <c r="NB308" s="1005"/>
      <c r="NC308" s="1005"/>
      <c r="ND308" s="1005"/>
      <c r="NE308" s="1005"/>
      <c r="NF308" s="1005"/>
      <c r="NG308" s="1005"/>
      <c r="NH308" s="1005"/>
      <c r="NI308" s="1005"/>
      <c r="NJ308" s="1005"/>
      <c r="NK308" s="1005"/>
      <c r="NL308" s="1005"/>
      <c r="NM308" s="1005"/>
      <c r="NN308" s="1005"/>
      <c r="NO308" s="1005"/>
      <c r="NP308" s="1005"/>
      <c r="NQ308" s="1005"/>
      <c r="NR308" s="1005"/>
      <c r="NS308" s="1005"/>
      <c r="NT308" s="1005"/>
      <c r="NU308" s="1005"/>
      <c r="NV308" s="1005"/>
      <c r="NW308" s="1005"/>
      <c r="NX308" s="1005"/>
      <c r="NY308" s="1005"/>
      <c r="NZ308" s="1005"/>
      <c r="OA308" s="1005"/>
      <c r="OB308" s="1005"/>
      <c r="OC308" s="1005"/>
      <c r="OD308" s="1005"/>
      <c r="OE308" s="1005"/>
      <c r="OF308" s="1005"/>
      <c r="OG308" s="1005"/>
      <c r="OH308" s="1005"/>
      <c r="OI308" s="1005"/>
      <c r="OJ308" s="1005"/>
      <c r="OK308" s="1005"/>
      <c r="OL308" s="1005"/>
      <c r="OM308" s="1005"/>
      <c r="ON308" s="1005"/>
      <c r="OO308" s="1005"/>
      <c r="OP308" s="1005"/>
      <c r="OQ308" s="1005"/>
      <c r="OR308" s="1005"/>
      <c r="OS308" s="1005"/>
      <c r="OT308" s="1005"/>
      <c r="OU308" s="1005"/>
      <c r="OV308" s="1005"/>
      <c r="OW308" s="1005"/>
      <c r="OX308" s="1005"/>
      <c r="OY308" s="1005"/>
      <c r="OZ308" s="1005"/>
      <c r="PA308" s="1005"/>
      <c r="PB308" s="1005"/>
      <c r="PC308" s="1005"/>
      <c r="PD308" s="1005"/>
      <c r="PE308" s="1005"/>
      <c r="PF308" s="1005"/>
      <c r="PG308" s="1005"/>
      <c r="PH308" s="1005"/>
      <c r="PI308" s="1005"/>
      <c r="PJ308" s="1005"/>
      <c r="PK308" s="1005"/>
      <c r="PL308" s="1005"/>
      <c r="PM308" s="1005"/>
      <c r="PN308" s="1005"/>
      <c r="PO308" s="1005"/>
      <c r="PP308" s="1005"/>
      <c r="PQ308" s="1005"/>
      <c r="PR308" s="1005"/>
      <c r="PS308" s="1005"/>
      <c r="PT308" s="1005"/>
      <c r="PU308" s="1005"/>
      <c r="PV308" s="1005"/>
      <c r="PW308" s="1005"/>
      <c r="PX308" s="1005"/>
      <c r="PY308" s="1005"/>
      <c r="PZ308" s="1005"/>
      <c r="QA308" s="1005"/>
      <c r="QB308" s="1005"/>
      <c r="QC308" s="1005"/>
      <c r="QD308" s="1005"/>
      <c r="QE308" s="1005"/>
      <c r="QF308" s="1005"/>
      <c r="QG308" s="1005"/>
      <c r="QH308" s="1005"/>
      <c r="QI308" s="1005"/>
      <c r="QJ308" s="1005"/>
      <c r="QK308" s="1005"/>
      <c r="QL308" s="1005"/>
      <c r="QM308" s="1005"/>
      <c r="QN308" s="1005"/>
      <c r="QO308" s="1005"/>
      <c r="QP308" s="1005"/>
      <c r="QQ308" s="1005"/>
      <c r="QR308" s="1005"/>
      <c r="QS308" s="1005"/>
      <c r="QT308" s="1005"/>
      <c r="QU308" s="1005"/>
      <c r="QV308" s="1005"/>
      <c r="QW308" s="1005"/>
      <c r="QX308" s="1005"/>
      <c r="QY308" s="1005"/>
      <c r="QZ308" s="1005"/>
      <c r="RA308" s="1005"/>
      <c r="RB308" s="1005"/>
      <c r="RC308" s="1005"/>
      <c r="RD308" s="1005"/>
      <c r="RE308" s="1005"/>
      <c r="RF308" s="1005"/>
      <c r="RG308" s="1005"/>
      <c r="RH308" s="1005"/>
      <c r="RI308" s="1005"/>
      <c r="RJ308" s="1005"/>
      <c r="RK308" s="1005"/>
      <c r="RL308" s="1005"/>
      <c r="RM308" s="1005"/>
      <c r="RN308" s="1005"/>
      <c r="RO308" s="1005"/>
      <c r="RP308" s="1005"/>
      <c r="RQ308" s="1005"/>
      <c r="RR308" s="1005"/>
      <c r="RS308" s="1005"/>
      <c r="RT308" s="1005"/>
      <c r="RU308" s="1005"/>
      <c r="RV308" s="1005"/>
      <c r="RW308" s="1005"/>
      <c r="RX308" s="1005"/>
      <c r="RY308" s="1005"/>
      <c r="RZ308" s="1005"/>
      <c r="SA308" s="1005"/>
      <c r="SB308" s="1005"/>
      <c r="SC308" s="1005"/>
      <c r="SD308" s="1005"/>
      <c r="SE308" s="1005"/>
      <c r="SF308" s="1005"/>
      <c r="SG308" s="1005"/>
      <c r="SH308" s="1005"/>
      <c r="SI308" s="1005"/>
      <c r="SJ308" s="1005"/>
      <c r="SK308" s="1005"/>
      <c r="SL308" s="1005"/>
      <c r="SM308" s="1005"/>
      <c r="SN308" s="1005"/>
      <c r="SO308" s="1005"/>
      <c r="SP308" s="1005"/>
      <c r="SQ308" s="1005"/>
      <c r="SR308" s="1005"/>
      <c r="SS308" s="1005"/>
      <c r="ST308" s="1005"/>
      <c r="SU308" s="1005"/>
      <c r="SV308" s="1005"/>
      <c r="SW308" s="1005"/>
      <c r="SX308" s="1005"/>
      <c r="SY308" s="1005"/>
      <c r="SZ308" s="1005"/>
      <c r="TA308" s="1005"/>
      <c r="TB308" s="1005"/>
      <c r="TC308" s="1005"/>
      <c r="TD308" s="1005"/>
      <c r="TE308" s="1005"/>
      <c r="TF308" s="1005"/>
      <c r="TG308" s="1005"/>
      <c r="TH308" s="1005"/>
      <c r="TI308" s="1005"/>
      <c r="TJ308" s="1005"/>
      <c r="TK308" s="1005"/>
      <c r="TL308" s="1005"/>
      <c r="TM308" s="1005"/>
      <c r="TN308" s="1005"/>
      <c r="TO308" s="1005"/>
      <c r="TP308" s="1005"/>
      <c r="TQ308" s="1005"/>
      <c r="TR308" s="1005"/>
      <c r="TS308" s="1005"/>
      <c r="TT308" s="1005"/>
      <c r="TU308" s="1005"/>
      <c r="TV308" s="1005"/>
      <c r="TW308" s="1005"/>
      <c r="TX308" s="1005"/>
      <c r="TY308" s="1005"/>
      <c r="TZ308" s="1005"/>
      <c r="UA308" s="1005"/>
      <c r="UB308" s="1005"/>
      <c r="UC308" s="1005"/>
      <c r="UD308" s="1005"/>
      <c r="UE308" s="1005"/>
      <c r="UF308" s="1005"/>
      <c r="UG308" s="1005"/>
      <c r="UH308" s="1005"/>
      <c r="UI308" s="1005"/>
      <c r="UJ308" s="1005"/>
      <c r="UK308" s="1005"/>
      <c r="UL308" s="1005"/>
      <c r="UM308" s="1005"/>
      <c r="UN308" s="1005"/>
      <c r="UO308" s="1005"/>
      <c r="UP308" s="1005"/>
      <c r="UQ308" s="1005"/>
      <c r="UR308" s="1005"/>
      <c r="US308" s="1005"/>
      <c r="UT308" s="1005"/>
      <c r="UU308" s="1005"/>
      <c r="UV308" s="1005"/>
      <c r="UW308" s="1005"/>
      <c r="UX308" s="1005"/>
      <c r="UY308" s="1005"/>
      <c r="UZ308" s="1005"/>
      <c r="VA308" s="1005"/>
      <c r="VB308" s="1005"/>
      <c r="VC308" s="1005"/>
      <c r="VD308" s="1005"/>
      <c r="VE308" s="1005"/>
      <c r="VF308" s="1005"/>
      <c r="VG308" s="1005"/>
      <c r="VH308" s="1005"/>
      <c r="VI308" s="1005"/>
      <c r="VJ308" s="1005"/>
      <c r="VK308" s="1005"/>
      <c r="VL308" s="1005"/>
      <c r="VM308" s="1005"/>
      <c r="VN308" s="1005"/>
      <c r="VO308" s="1005"/>
      <c r="VP308" s="1005"/>
      <c r="VQ308" s="1005"/>
      <c r="VR308" s="1005"/>
      <c r="VS308" s="1005"/>
      <c r="VT308" s="1005"/>
      <c r="VU308" s="1005"/>
      <c r="VV308" s="1005"/>
      <c r="VW308" s="1005"/>
      <c r="VX308" s="1005"/>
      <c r="VY308" s="1005"/>
      <c r="VZ308" s="1005"/>
      <c r="WA308" s="1005"/>
      <c r="WB308" s="1005"/>
      <c r="WC308" s="1005"/>
      <c r="WD308" s="1005"/>
      <c r="WE308" s="1005"/>
      <c r="WF308" s="1005"/>
      <c r="WG308" s="1005"/>
      <c r="WH308" s="1005"/>
      <c r="WI308" s="1005"/>
      <c r="WJ308" s="1005"/>
      <c r="WK308" s="1005"/>
      <c r="WL308" s="1005"/>
      <c r="WM308" s="1005"/>
      <c r="WN308" s="1005"/>
      <c r="WO308" s="1005"/>
      <c r="WP308" s="1005"/>
      <c r="WQ308" s="1005"/>
      <c r="WR308" s="1005"/>
      <c r="WS308" s="1005"/>
      <c r="WT308" s="1005"/>
      <c r="WU308" s="1005"/>
      <c r="WV308" s="1005"/>
      <c r="WW308" s="1005"/>
      <c r="WX308" s="1005"/>
      <c r="WY308" s="1005"/>
      <c r="WZ308" s="1005"/>
      <c r="XA308" s="1005"/>
      <c r="XB308" s="1005"/>
      <c r="XC308" s="1005"/>
      <c r="XD308" s="1005"/>
      <c r="XE308" s="1005"/>
      <c r="XF308" s="1005"/>
      <c r="XG308" s="1005"/>
      <c r="XH308" s="1005"/>
      <c r="XI308" s="1005"/>
      <c r="XJ308" s="1005"/>
      <c r="XK308" s="1005"/>
      <c r="XL308" s="1005"/>
      <c r="XM308" s="1005"/>
      <c r="XN308" s="1005"/>
      <c r="XO308" s="1005"/>
      <c r="XP308" s="1005"/>
      <c r="XQ308" s="1005"/>
      <c r="XR308" s="1005"/>
      <c r="XS308" s="1005"/>
      <c r="XT308" s="1005"/>
      <c r="XU308" s="1005"/>
      <c r="XV308" s="1005"/>
      <c r="XW308" s="1005"/>
      <c r="XX308" s="1005"/>
      <c r="XY308" s="1005"/>
      <c r="XZ308" s="1005"/>
      <c r="YA308" s="1005"/>
      <c r="YB308" s="1005"/>
      <c r="YC308" s="1005"/>
      <c r="YD308" s="1005"/>
      <c r="YE308" s="1005"/>
      <c r="YF308" s="1005"/>
      <c r="YG308" s="1005"/>
      <c r="YH308" s="1005"/>
      <c r="YI308" s="1005"/>
      <c r="YJ308" s="1005"/>
      <c r="YK308" s="1005"/>
      <c r="YL308" s="1005"/>
      <c r="YM308" s="1005"/>
      <c r="YN308" s="1005"/>
      <c r="YO308" s="1005"/>
      <c r="YP308" s="1005"/>
      <c r="YQ308" s="1005"/>
      <c r="YR308" s="1005"/>
      <c r="YS308" s="1005"/>
      <c r="YT308" s="1005"/>
      <c r="YU308" s="1005"/>
      <c r="YV308" s="1005"/>
      <c r="YW308" s="1005"/>
      <c r="YX308" s="1005"/>
      <c r="YY308" s="1005"/>
      <c r="YZ308" s="1005"/>
      <c r="ZA308" s="1005"/>
      <c r="ZB308" s="1005"/>
      <c r="ZC308" s="1005"/>
      <c r="ZD308" s="1005"/>
      <c r="ZE308" s="1005"/>
      <c r="ZF308" s="1005"/>
      <c r="ZG308" s="1005"/>
      <c r="ZH308" s="1005"/>
      <c r="ZI308" s="1005"/>
      <c r="ZJ308" s="1005"/>
      <c r="ZK308" s="1005"/>
      <c r="ZL308" s="1005"/>
      <c r="ZM308" s="1005"/>
      <c r="ZN308" s="1005"/>
      <c r="ZO308" s="1005"/>
      <c r="ZP308" s="1005"/>
      <c r="ZQ308" s="1005"/>
      <c r="ZR308" s="1005"/>
      <c r="ZS308" s="1005"/>
      <c r="ZT308" s="1005"/>
      <c r="ZU308" s="1005"/>
      <c r="ZV308" s="1005"/>
      <c r="ZW308" s="1005"/>
      <c r="ZX308" s="1005"/>
      <c r="ZY308" s="1005"/>
      <c r="ZZ308" s="1005"/>
      <c r="AAA308" s="1005"/>
      <c r="AAB308" s="1005"/>
      <c r="AAC308" s="1005"/>
      <c r="AAD308" s="1005"/>
      <c r="AAE308" s="1005"/>
      <c r="AAF308" s="1005"/>
      <c r="AAG308" s="1005"/>
      <c r="AAH308" s="1005"/>
      <c r="AAI308" s="1005"/>
      <c r="AAJ308" s="1005"/>
      <c r="AAK308" s="1005"/>
      <c r="AAL308" s="1005"/>
      <c r="AAM308" s="1005"/>
      <c r="AAN308" s="1005"/>
      <c r="AAO308" s="1005"/>
      <c r="AAP308" s="1005"/>
      <c r="AAQ308" s="1005"/>
      <c r="AAR308" s="1005"/>
      <c r="AAS308" s="1005"/>
      <c r="AAT308" s="1005"/>
      <c r="AAU308" s="1005"/>
      <c r="AAV308" s="1005"/>
      <c r="AAW308" s="1005"/>
      <c r="AAX308" s="1005"/>
      <c r="AAY308" s="1005"/>
      <c r="AAZ308" s="1005"/>
      <c r="ABA308" s="1005"/>
      <c r="ABB308" s="1005"/>
      <c r="ABC308" s="1005"/>
      <c r="ABD308" s="1005"/>
      <c r="ABE308" s="1005"/>
      <c r="ABF308" s="1005"/>
      <c r="ABG308" s="1005"/>
      <c r="ABH308" s="1005"/>
      <c r="ABI308" s="1005"/>
      <c r="ABJ308" s="1005"/>
      <c r="ABK308" s="1005"/>
      <c r="ABL308" s="1005"/>
      <c r="ABM308" s="1005"/>
      <c r="ABN308" s="1005"/>
      <c r="ABO308" s="1005"/>
      <c r="ABP308" s="1005"/>
      <c r="ABQ308" s="1005"/>
      <c r="ABR308" s="1005"/>
    </row>
    <row r="309" spans="1:746" s="113" customFormat="1" ht="12" customHeight="1">
      <c r="A309" s="789"/>
      <c r="B309" s="1868" t="s">
        <v>1360</v>
      </c>
      <c r="C309" s="2510"/>
      <c r="D309" s="2511"/>
      <c r="E309" s="2910">
        <f>IF(E293=0,0,IF(E308&gt;0,IF(E308-SUM(E310:E311)&gt;=0,E308-SUM(E310:G311),0)))</f>
        <v>0</v>
      </c>
      <c r="F309" s="2911"/>
      <c r="G309" s="2912"/>
      <c r="H309" s="2512"/>
      <c r="I309" s="374">
        <f>$E309*$AH309/12*fx!I57</f>
        <v>0</v>
      </c>
      <c r="J309" s="2431">
        <f>$E309*$AH309/12*fx!J57</f>
        <v>0</v>
      </c>
      <c r="K309" s="2431">
        <f>$E309*$AH309/12*fx!K57</f>
        <v>0</v>
      </c>
      <c r="L309" s="2431">
        <f>$E309*$AH309/12*fx!L57</f>
        <v>0</v>
      </c>
      <c r="M309" s="2431">
        <f>$E309*$AH309/12*fx!M57</f>
        <v>0</v>
      </c>
      <c r="N309" s="2431">
        <f>$E309*$AH309/12*fx!N57</f>
        <v>0</v>
      </c>
      <c r="O309" s="2431">
        <f>$E309*$AH309/12*fx!O57</f>
        <v>0</v>
      </c>
      <c r="P309" s="2431">
        <f>$E309*$AH309/12*fx!P57</f>
        <v>0</v>
      </c>
      <c r="Q309" s="2431">
        <f>$E309*$AH309/12*fx!Q57</f>
        <v>0</v>
      </c>
      <c r="R309" s="2431">
        <f>$E309*$AH309/12*fx!R57</f>
        <v>0</v>
      </c>
      <c r="S309" s="2431">
        <f>$E309*$AH309/12*fx!S57</f>
        <v>0</v>
      </c>
      <c r="T309" s="2431">
        <f>$E309*$AH309/12*fx!T57</f>
        <v>0</v>
      </c>
      <c r="U309" s="2431">
        <f>$E309*$AH309/12*fx!U57</f>
        <v>0</v>
      </c>
      <c r="V309" s="2431">
        <f>$E309*$AH309/12*fx!V57</f>
        <v>0</v>
      </c>
      <c r="W309" s="2431">
        <f>$E309*$AH309/12*fx!W57</f>
        <v>0</v>
      </c>
      <c r="X309" s="2431">
        <f>$E309*$AH309/12*fx!X57</f>
        <v>0</v>
      </c>
      <c r="Y309" s="2431">
        <f>$E309*$AH309/12*fx!Y57</f>
        <v>0</v>
      </c>
      <c r="Z309" s="2431">
        <f>$E309*$AH309/12*fx!Z57</f>
        <v>0</v>
      </c>
      <c r="AA309" s="2431">
        <f>$E309*$AH309/12*fx!AA57</f>
        <v>0</v>
      </c>
      <c r="AB309" s="2431">
        <f>$E309*$AH309/12*fx!AB57</f>
        <v>0</v>
      </c>
      <c r="AC309" s="2431">
        <f>$E309*$AH309/12*fx!AC57</f>
        <v>0</v>
      </c>
      <c r="AD309" s="2431">
        <f>$E309*$AH309/12*fx!AD57</f>
        <v>0</v>
      </c>
      <c r="AE309" s="2431">
        <f>$E309*$AH309/12*fx!AE57</f>
        <v>0</v>
      </c>
      <c r="AF309" s="2431">
        <f>$E309*$AH309/12*fx!AF57</f>
        <v>0</v>
      </c>
      <c r="AG309" s="337"/>
      <c r="AH309" s="2504">
        <v>0.33</v>
      </c>
      <c r="AI309" s="337"/>
      <c r="AJ309" s="1956">
        <f>IF(fx!$C$57=1,SUMIF(fx!I$57:T$57,1,I309:T309),IF(fx!$C$57=2,SUMIF(fx!O$57:AF$57,1,O309:AF309)))</f>
        <v>0</v>
      </c>
      <c r="AK309" s="1207"/>
      <c r="AL309" s="1957">
        <f>IF(fx!$C$57=1,SUM(U309:AF309),0)</f>
        <v>0</v>
      </c>
      <c r="AM309" s="1036"/>
      <c r="AN309" s="1036"/>
      <c r="AO309" s="1034"/>
      <c r="AP309" s="1037"/>
      <c r="AQ309" s="1037"/>
      <c r="AR309" s="1005"/>
      <c r="AS309" s="1005"/>
      <c r="AT309" s="1005"/>
      <c r="AU309" s="1005"/>
      <c r="AV309" s="1005"/>
      <c r="AW309" s="1005"/>
      <c r="AX309" s="1005"/>
      <c r="AY309" s="1005"/>
      <c r="AZ309" s="1005"/>
      <c r="BA309" s="1005"/>
      <c r="BB309" s="1005"/>
      <c r="BC309" s="1005"/>
      <c r="BD309" s="1005"/>
      <c r="BE309" s="1005"/>
      <c r="BF309" s="1005"/>
      <c r="BG309" s="1005"/>
      <c r="BH309" s="1005"/>
      <c r="BI309" s="1005"/>
      <c r="BJ309" s="1005"/>
      <c r="BK309" s="1005"/>
      <c r="BL309" s="1005"/>
      <c r="BM309" s="1005"/>
      <c r="BN309" s="1005"/>
      <c r="BO309" s="1005"/>
      <c r="BP309" s="1005"/>
      <c r="BQ309" s="1005"/>
      <c r="BR309" s="1005"/>
      <c r="BS309" s="1005"/>
      <c r="BT309" s="1005"/>
      <c r="BU309" s="1005"/>
      <c r="BV309" s="1005"/>
      <c r="BW309" s="1005"/>
      <c r="BX309" s="1005"/>
      <c r="BY309" s="1005"/>
      <c r="BZ309" s="1005"/>
      <c r="CA309" s="1005"/>
      <c r="CB309" s="1005"/>
      <c r="CC309" s="1005"/>
      <c r="CD309" s="1005"/>
      <c r="CE309" s="1005"/>
      <c r="CF309" s="1005"/>
      <c r="CG309" s="1005"/>
      <c r="CH309" s="1005"/>
      <c r="CI309" s="1005"/>
      <c r="CJ309" s="1005"/>
      <c r="CK309" s="1005"/>
      <c r="CL309" s="1005"/>
      <c r="CM309" s="1005"/>
      <c r="CN309" s="1005"/>
      <c r="CO309" s="1005"/>
      <c r="CP309" s="1005"/>
      <c r="CQ309" s="1005"/>
      <c r="CR309" s="1005"/>
      <c r="CS309" s="1005"/>
      <c r="CT309" s="1005"/>
      <c r="CU309" s="1005"/>
      <c r="CV309" s="1005"/>
      <c r="CW309" s="1005"/>
      <c r="CX309" s="1005"/>
      <c r="CY309" s="1005"/>
      <c r="CZ309" s="1005"/>
      <c r="DA309" s="1005"/>
      <c r="DB309" s="1005"/>
      <c r="DC309" s="1005"/>
      <c r="DD309" s="1005"/>
      <c r="DE309" s="1005"/>
      <c r="DF309" s="1005"/>
      <c r="DG309" s="1005"/>
      <c r="DH309" s="1005"/>
      <c r="DI309" s="1005"/>
      <c r="DJ309" s="1005"/>
      <c r="DK309" s="1005"/>
      <c r="DL309" s="1005"/>
      <c r="DM309" s="1005"/>
      <c r="DN309" s="1005"/>
      <c r="DO309" s="1005"/>
      <c r="DP309" s="1005"/>
      <c r="DQ309" s="1005"/>
      <c r="DR309" s="1005"/>
      <c r="DS309" s="1005"/>
      <c r="DT309" s="1005"/>
      <c r="DU309" s="1005"/>
      <c r="DV309" s="1005"/>
      <c r="DW309" s="1005"/>
      <c r="DX309" s="1005"/>
      <c r="DY309" s="1005"/>
      <c r="DZ309" s="1005"/>
      <c r="EA309" s="1005"/>
      <c r="EB309" s="1005"/>
      <c r="EC309" s="1005"/>
      <c r="ED309" s="1005"/>
      <c r="EE309" s="1005"/>
      <c r="EF309" s="1005"/>
      <c r="EG309" s="1005"/>
      <c r="EH309" s="1005"/>
      <c r="EI309" s="1005"/>
      <c r="EJ309" s="1005"/>
      <c r="EK309" s="1005"/>
      <c r="EL309" s="1005"/>
      <c r="EM309" s="1005"/>
      <c r="EN309" s="1005"/>
      <c r="EO309" s="1005"/>
      <c r="EP309" s="1005"/>
      <c r="EQ309" s="1005"/>
      <c r="ER309" s="1005"/>
      <c r="ES309" s="1005"/>
      <c r="ET309" s="1005"/>
      <c r="EU309" s="1005"/>
      <c r="EV309" s="1005"/>
      <c r="EW309" s="1005"/>
      <c r="EX309" s="1005"/>
      <c r="EY309" s="1005"/>
      <c r="EZ309" s="1005"/>
      <c r="FA309" s="1005"/>
      <c r="FB309" s="1005"/>
      <c r="FC309" s="1005"/>
      <c r="FD309" s="1005"/>
      <c r="FE309" s="1005"/>
      <c r="FF309" s="1005"/>
      <c r="FG309" s="1005"/>
      <c r="FH309" s="1005"/>
      <c r="FI309" s="1005"/>
      <c r="FJ309" s="1005"/>
      <c r="FK309" s="1005"/>
      <c r="FL309" s="1005"/>
      <c r="FM309" s="1005"/>
      <c r="FN309" s="1005"/>
      <c r="FO309" s="1005"/>
      <c r="FP309" s="1005"/>
      <c r="FQ309" s="1005"/>
      <c r="FR309" s="1005"/>
      <c r="FS309" s="1005"/>
      <c r="FT309" s="1005"/>
      <c r="FU309" s="1005"/>
      <c r="FV309" s="1005"/>
      <c r="FW309" s="1005"/>
      <c r="FX309" s="1005"/>
      <c r="FY309" s="1005"/>
      <c r="FZ309" s="1005"/>
      <c r="GA309" s="1005"/>
      <c r="GB309" s="1005"/>
      <c r="GC309" s="1005"/>
      <c r="GD309" s="1005"/>
      <c r="GE309" s="1005"/>
      <c r="GF309" s="1005"/>
      <c r="GG309" s="1005"/>
      <c r="GH309" s="1005"/>
      <c r="GI309" s="1005"/>
      <c r="GJ309" s="1005"/>
      <c r="GK309" s="1005"/>
      <c r="GL309" s="1005"/>
      <c r="GM309" s="1005"/>
      <c r="GN309" s="1005"/>
      <c r="GO309" s="1005"/>
      <c r="GP309" s="1005"/>
      <c r="GQ309" s="1005"/>
      <c r="GR309" s="1005"/>
      <c r="GS309" s="1005"/>
      <c r="GT309" s="1005"/>
      <c r="GU309" s="1005"/>
      <c r="GV309" s="1005"/>
      <c r="GW309" s="1005"/>
      <c r="GX309" s="1005"/>
      <c r="GY309" s="1005"/>
      <c r="GZ309" s="1005"/>
      <c r="HA309" s="1005"/>
      <c r="HB309" s="1005"/>
      <c r="HC309" s="1005"/>
      <c r="HD309" s="1005"/>
      <c r="HE309" s="1005"/>
      <c r="HF309" s="1005"/>
      <c r="HG309" s="1005"/>
      <c r="HH309" s="1005"/>
      <c r="HI309" s="1005"/>
      <c r="HJ309" s="1005"/>
      <c r="HK309" s="1005"/>
      <c r="HL309" s="1005"/>
      <c r="HM309" s="1005"/>
      <c r="HN309" s="1005"/>
      <c r="HO309" s="1005"/>
      <c r="HP309" s="1005"/>
      <c r="HQ309" s="1005"/>
      <c r="HR309" s="1005"/>
      <c r="HS309" s="1005"/>
      <c r="HT309" s="1005"/>
      <c r="HU309" s="1005"/>
      <c r="HV309" s="1005"/>
      <c r="HW309" s="1005"/>
      <c r="HX309" s="1005"/>
      <c r="HY309" s="1005"/>
      <c r="HZ309" s="1005"/>
      <c r="IA309" s="1005"/>
      <c r="IB309" s="1005"/>
      <c r="IC309" s="1005"/>
      <c r="ID309" s="1005"/>
      <c r="IE309" s="1005"/>
      <c r="IF309" s="1005"/>
      <c r="IG309" s="1005"/>
      <c r="IH309" s="1005"/>
      <c r="II309" s="1005"/>
      <c r="IJ309" s="1005"/>
      <c r="IK309" s="1005"/>
      <c r="IL309" s="1005"/>
      <c r="IM309" s="1005"/>
      <c r="IN309" s="1005"/>
      <c r="IO309" s="1005"/>
      <c r="IP309" s="1005"/>
      <c r="IQ309" s="1005"/>
      <c r="IR309" s="1005"/>
      <c r="IS309" s="1005"/>
      <c r="IT309" s="1005"/>
      <c r="IU309" s="1005"/>
      <c r="IV309" s="1005"/>
      <c r="IW309" s="1005"/>
      <c r="IX309" s="1005"/>
      <c r="IY309" s="1005"/>
      <c r="IZ309" s="1005"/>
      <c r="JA309" s="1005"/>
      <c r="JB309" s="1005"/>
      <c r="JC309" s="1005"/>
      <c r="JD309" s="1005"/>
      <c r="JE309" s="1005"/>
      <c r="JF309" s="1005"/>
      <c r="JG309" s="1005"/>
      <c r="JH309" s="1005"/>
      <c r="JI309" s="1005"/>
      <c r="JJ309" s="1005"/>
      <c r="JK309" s="1005"/>
      <c r="JL309" s="1005"/>
      <c r="JM309" s="1005"/>
      <c r="JN309" s="1005"/>
      <c r="JO309" s="1005"/>
      <c r="JP309" s="1005"/>
      <c r="JQ309" s="1005"/>
      <c r="JR309" s="1005"/>
      <c r="JS309" s="1005"/>
      <c r="JT309" s="1005"/>
      <c r="JU309" s="1005"/>
      <c r="JV309" s="1005"/>
      <c r="JW309" s="1005"/>
      <c r="JX309" s="1005"/>
      <c r="JY309" s="1005"/>
      <c r="JZ309" s="1005"/>
      <c r="KA309" s="1005"/>
      <c r="KB309" s="1005"/>
      <c r="KC309" s="1005"/>
      <c r="KD309" s="1005"/>
      <c r="KE309" s="1005"/>
      <c r="KF309" s="1005"/>
      <c r="KG309" s="1005"/>
      <c r="KH309" s="1005"/>
      <c r="KI309" s="1005"/>
      <c r="KJ309" s="1005"/>
      <c r="KK309" s="1005"/>
      <c r="KL309" s="1005"/>
      <c r="KM309" s="1005"/>
      <c r="KN309" s="1005"/>
      <c r="KO309" s="1005"/>
      <c r="KP309" s="1005"/>
      <c r="KQ309" s="1005"/>
      <c r="KR309" s="1005"/>
      <c r="KS309" s="1005"/>
      <c r="KT309" s="1005"/>
      <c r="KU309" s="1005"/>
      <c r="KV309" s="1005"/>
      <c r="KW309" s="1005"/>
      <c r="KX309" s="1005"/>
      <c r="KY309" s="1005"/>
      <c r="KZ309" s="1005"/>
      <c r="LA309" s="1005"/>
      <c r="LB309" s="1005"/>
      <c r="LC309" s="1005"/>
      <c r="LD309" s="1005"/>
      <c r="LE309" s="1005"/>
      <c r="LF309" s="1005"/>
      <c r="LG309" s="1005"/>
      <c r="LH309" s="1005"/>
      <c r="LI309" s="1005"/>
      <c r="LJ309" s="1005"/>
      <c r="LK309" s="1005"/>
      <c r="LL309" s="1005"/>
      <c r="LM309" s="1005"/>
      <c r="LN309" s="1005"/>
      <c r="LO309" s="1005"/>
      <c r="LP309" s="1005"/>
      <c r="LQ309" s="1005"/>
      <c r="LR309" s="1005"/>
      <c r="LS309" s="1005"/>
      <c r="LT309" s="1005"/>
      <c r="LU309" s="1005"/>
      <c r="LV309" s="1005"/>
      <c r="LW309" s="1005"/>
      <c r="LX309" s="1005"/>
      <c r="LY309" s="1005"/>
      <c r="LZ309" s="1005"/>
      <c r="MA309" s="1005"/>
      <c r="MB309" s="1005"/>
      <c r="MC309" s="1005"/>
      <c r="MD309" s="1005"/>
      <c r="ME309" s="1005"/>
      <c r="MF309" s="1005"/>
      <c r="MG309" s="1005"/>
      <c r="MH309" s="1005"/>
      <c r="MI309" s="1005"/>
      <c r="MJ309" s="1005"/>
      <c r="MK309" s="1005"/>
      <c r="ML309" s="1005"/>
      <c r="MM309" s="1005"/>
      <c r="MN309" s="1005"/>
      <c r="MO309" s="1005"/>
      <c r="MP309" s="1005"/>
      <c r="MQ309" s="1005"/>
      <c r="MR309" s="1005"/>
      <c r="MS309" s="1005"/>
      <c r="MT309" s="1005"/>
      <c r="MU309" s="1005"/>
      <c r="MV309" s="1005"/>
      <c r="MW309" s="1005"/>
      <c r="MX309" s="1005"/>
      <c r="MY309" s="1005"/>
      <c r="MZ309" s="1005"/>
      <c r="NA309" s="1005"/>
      <c r="NB309" s="1005"/>
      <c r="NC309" s="1005"/>
      <c r="ND309" s="1005"/>
      <c r="NE309" s="1005"/>
      <c r="NF309" s="1005"/>
      <c r="NG309" s="1005"/>
      <c r="NH309" s="1005"/>
      <c r="NI309" s="1005"/>
      <c r="NJ309" s="1005"/>
      <c r="NK309" s="1005"/>
      <c r="NL309" s="1005"/>
      <c r="NM309" s="1005"/>
      <c r="NN309" s="1005"/>
      <c r="NO309" s="1005"/>
      <c r="NP309" s="1005"/>
      <c r="NQ309" s="1005"/>
      <c r="NR309" s="1005"/>
      <c r="NS309" s="1005"/>
      <c r="NT309" s="1005"/>
      <c r="NU309" s="1005"/>
      <c r="NV309" s="1005"/>
      <c r="NW309" s="1005"/>
      <c r="NX309" s="1005"/>
      <c r="NY309" s="1005"/>
      <c r="NZ309" s="1005"/>
      <c r="OA309" s="1005"/>
      <c r="OB309" s="1005"/>
      <c r="OC309" s="1005"/>
      <c r="OD309" s="1005"/>
      <c r="OE309" s="1005"/>
      <c r="OF309" s="1005"/>
      <c r="OG309" s="1005"/>
      <c r="OH309" s="1005"/>
      <c r="OI309" s="1005"/>
      <c r="OJ309" s="1005"/>
      <c r="OK309" s="1005"/>
      <c r="OL309" s="1005"/>
      <c r="OM309" s="1005"/>
      <c r="ON309" s="1005"/>
      <c r="OO309" s="1005"/>
      <c r="OP309" s="1005"/>
      <c r="OQ309" s="1005"/>
      <c r="OR309" s="1005"/>
      <c r="OS309" s="1005"/>
      <c r="OT309" s="1005"/>
      <c r="OU309" s="1005"/>
      <c r="OV309" s="1005"/>
      <c r="OW309" s="1005"/>
      <c r="OX309" s="1005"/>
      <c r="OY309" s="1005"/>
      <c r="OZ309" s="1005"/>
      <c r="PA309" s="1005"/>
      <c r="PB309" s="1005"/>
      <c r="PC309" s="1005"/>
      <c r="PD309" s="1005"/>
      <c r="PE309" s="1005"/>
      <c r="PF309" s="1005"/>
      <c r="PG309" s="1005"/>
      <c r="PH309" s="1005"/>
      <c r="PI309" s="1005"/>
      <c r="PJ309" s="1005"/>
      <c r="PK309" s="1005"/>
      <c r="PL309" s="1005"/>
      <c r="PM309" s="1005"/>
      <c r="PN309" s="1005"/>
      <c r="PO309" s="1005"/>
      <c r="PP309" s="1005"/>
      <c r="PQ309" s="1005"/>
      <c r="PR309" s="1005"/>
      <c r="PS309" s="1005"/>
      <c r="PT309" s="1005"/>
      <c r="PU309" s="1005"/>
      <c r="PV309" s="1005"/>
      <c r="PW309" s="1005"/>
      <c r="PX309" s="1005"/>
      <c r="PY309" s="1005"/>
      <c r="PZ309" s="1005"/>
      <c r="QA309" s="1005"/>
      <c r="QB309" s="1005"/>
      <c r="QC309" s="1005"/>
      <c r="QD309" s="1005"/>
      <c r="QE309" s="1005"/>
      <c r="QF309" s="1005"/>
      <c r="QG309" s="1005"/>
      <c r="QH309" s="1005"/>
      <c r="QI309" s="1005"/>
      <c r="QJ309" s="1005"/>
      <c r="QK309" s="1005"/>
      <c r="QL309" s="1005"/>
      <c r="QM309" s="1005"/>
      <c r="QN309" s="1005"/>
      <c r="QO309" s="1005"/>
      <c r="QP309" s="1005"/>
      <c r="QQ309" s="1005"/>
      <c r="QR309" s="1005"/>
      <c r="QS309" s="1005"/>
      <c r="QT309" s="1005"/>
      <c r="QU309" s="1005"/>
      <c r="QV309" s="1005"/>
      <c r="QW309" s="1005"/>
      <c r="QX309" s="1005"/>
      <c r="QY309" s="1005"/>
      <c r="QZ309" s="1005"/>
      <c r="RA309" s="1005"/>
      <c r="RB309" s="1005"/>
      <c r="RC309" s="1005"/>
      <c r="RD309" s="1005"/>
      <c r="RE309" s="1005"/>
      <c r="RF309" s="1005"/>
      <c r="RG309" s="1005"/>
      <c r="RH309" s="1005"/>
      <c r="RI309" s="1005"/>
      <c r="RJ309" s="1005"/>
      <c r="RK309" s="1005"/>
      <c r="RL309" s="1005"/>
      <c r="RM309" s="1005"/>
      <c r="RN309" s="1005"/>
      <c r="RO309" s="1005"/>
      <c r="RP309" s="1005"/>
      <c r="RQ309" s="1005"/>
      <c r="RR309" s="1005"/>
      <c r="RS309" s="1005"/>
      <c r="RT309" s="1005"/>
      <c r="RU309" s="1005"/>
      <c r="RV309" s="1005"/>
      <c r="RW309" s="1005"/>
      <c r="RX309" s="1005"/>
      <c r="RY309" s="1005"/>
      <c r="RZ309" s="1005"/>
      <c r="SA309" s="1005"/>
      <c r="SB309" s="1005"/>
      <c r="SC309" s="1005"/>
      <c r="SD309" s="1005"/>
      <c r="SE309" s="1005"/>
      <c r="SF309" s="1005"/>
      <c r="SG309" s="1005"/>
      <c r="SH309" s="1005"/>
      <c r="SI309" s="1005"/>
      <c r="SJ309" s="1005"/>
      <c r="SK309" s="1005"/>
      <c r="SL309" s="1005"/>
      <c r="SM309" s="1005"/>
      <c r="SN309" s="1005"/>
      <c r="SO309" s="1005"/>
      <c r="SP309" s="1005"/>
      <c r="SQ309" s="1005"/>
      <c r="SR309" s="1005"/>
      <c r="SS309" s="1005"/>
      <c r="ST309" s="1005"/>
      <c r="SU309" s="1005"/>
      <c r="SV309" s="1005"/>
      <c r="SW309" s="1005"/>
      <c r="SX309" s="1005"/>
      <c r="SY309" s="1005"/>
      <c r="SZ309" s="1005"/>
      <c r="TA309" s="1005"/>
      <c r="TB309" s="1005"/>
      <c r="TC309" s="1005"/>
      <c r="TD309" s="1005"/>
      <c r="TE309" s="1005"/>
      <c r="TF309" s="1005"/>
      <c r="TG309" s="1005"/>
      <c r="TH309" s="1005"/>
      <c r="TI309" s="1005"/>
      <c r="TJ309" s="1005"/>
      <c r="TK309" s="1005"/>
      <c r="TL309" s="1005"/>
      <c r="TM309" s="1005"/>
      <c r="TN309" s="1005"/>
      <c r="TO309" s="1005"/>
      <c r="TP309" s="1005"/>
      <c r="TQ309" s="1005"/>
      <c r="TR309" s="1005"/>
      <c r="TS309" s="1005"/>
      <c r="TT309" s="1005"/>
      <c r="TU309" s="1005"/>
      <c r="TV309" s="1005"/>
      <c r="TW309" s="1005"/>
      <c r="TX309" s="1005"/>
      <c r="TY309" s="1005"/>
      <c r="TZ309" s="1005"/>
      <c r="UA309" s="1005"/>
      <c r="UB309" s="1005"/>
      <c r="UC309" s="1005"/>
      <c r="UD309" s="1005"/>
      <c r="UE309" s="1005"/>
      <c r="UF309" s="1005"/>
      <c r="UG309" s="1005"/>
      <c r="UH309" s="1005"/>
      <c r="UI309" s="1005"/>
      <c r="UJ309" s="1005"/>
      <c r="UK309" s="1005"/>
      <c r="UL309" s="1005"/>
      <c r="UM309" s="1005"/>
      <c r="UN309" s="1005"/>
      <c r="UO309" s="1005"/>
      <c r="UP309" s="1005"/>
      <c r="UQ309" s="1005"/>
      <c r="UR309" s="1005"/>
      <c r="US309" s="1005"/>
      <c r="UT309" s="1005"/>
      <c r="UU309" s="1005"/>
      <c r="UV309" s="1005"/>
      <c r="UW309" s="1005"/>
      <c r="UX309" s="1005"/>
      <c r="UY309" s="1005"/>
      <c r="UZ309" s="1005"/>
      <c r="VA309" s="1005"/>
      <c r="VB309" s="1005"/>
      <c r="VC309" s="1005"/>
      <c r="VD309" s="1005"/>
      <c r="VE309" s="1005"/>
      <c r="VF309" s="1005"/>
      <c r="VG309" s="1005"/>
      <c r="VH309" s="1005"/>
      <c r="VI309" s="1005"/>
      <c r="VJ309" s="1005"/>
      <c r="VK309" s="1005"/>
      <c r="VL309" s="1005"/>
      <c r="VM309" s="1005"/>
      <c r="VN309" s="1005"/>
      <c r="VO309" s="1005"/>
      <c r="VP309" s="1005"/>
      <c r="VQ309" s="1005"/>
      <c r="VR309" s="1005"/>
      <c r="VS309" s="1005"/>
      <c r="VT309" s="1005"/>
      <c r="VU309" s="1005"/>
      <c r="VV309" s="1005"/>
      <c r="VW309" s="1005"/>
      <c r="VX309" s="1005"/>
      <c r="VY309" s="1005"/>
      <c r="VZ309" s="1005"/>
      <c r="WA309" s="1005"/>
      <c r="WB309" s="1005"/>
      <c r="WC309" s="1005"/>
      <c r="WD309" s="1005"/>
      <c r="WE309" s="1005"/>
      <c r="WF309" s="1005"/>
      <c r="WG309" s="1005"/>
      <c r="WH309" s="1005"/>
      <c r="WI309" s="1005"/>
      <c r="WJ309" s="1005"/>
      <c r="WK309" s="1005"/>
      <c r="WL309" s="1005"/>
      <c r="WM309" s="1005"/>
      <c r="WN309" s="1005"/>
      <c r="WO309" s="1005"/>
      <c r="WP309" s="1005"/>
      <c r="WQ309" s="1005"/>
      <c r="WR309" s="1005"/>
      <c r="WS309" s="1005"/>
      <c r="WT309" s="1005"/>
      <c r="WU309" s="1005"/>
      <c r="WV309" s="1005"/>
      <c r="WW309" s="1005"/>
      <c r="WX309" s="1005"/>
      <c r="WY309" s="1005"/>
      <c r="WZ309" s="1005"/>
      <c r="XA309" s="1005"/>
      <c r="XB309" s="1005"/>
      <c r="XC309" s="1005"/>
      <c r="XD309" s="1005"/>
      <c r="XE309" s="1005"/>
      <c r="XF309" s="1005"/>
      <c r="XG309" s="1005"/>
      <c r="XH309" s="1005"/>
      <c r="XI309" s="1005"/>
      <c r="XJ309" s="1005"/>
      <c r="XK309" s="1005"/>
      <c r="XL309" s="1005"/>
      <c r="XM309" s="1005"/>
      <c r="XN309" s="1005"/>
      <c r="XO309" s="1005"/>
      <c r="XP309" s="1005"/>
      <c r="XQ309" s="1005"/>
      <c r="XR309" s="1005"/>
      <c r="XS309" s="1005"/>
      <c r="XT309" s="1005"/>
      <c r="XU309" s="1005"/>
      <c r="XV309" s="1005"/>
      <c r="XW309" s="1005"/>
      <c r="XX309" s="1005"/>
      <c r="XY309" s="1005"/>
      <c r="XZ309" s="1005"/>
      <c r="YA309" s="1005"/>
      <c r="YB309" s="1005"/>
      <c r="YC309" s="1005"/>
      <c r="YD309" s="1005"/>
      <c r="YE309" s="1005"/>
      <c r="YF309" s="1005"/>
      <c r="YG309" s="1005"/>
      <c r="YH309" s="1005"/>
      <c r="YI309" s="1005"/>
      <c r="YJ309" s="1005"/>
      <c r="YK309" s="1005"/>
      <c r="YL309" s="1005"/>
      <c r="YM309" s="1005"/>
      <c r="YN309" s="1005"/>
      <c r="YO309" s="1005"/>
      <c r="YP309" s="1005"/>
      <c r="YQ309" s="1005"/>
      <c r="YR309" s="1005"/>
      <c r="YS309" s="1005"/>
      <c r="YT309" s="1005"/>
      <c r="YU309" s="1005"/>
      <c r="YV309" s="1005"/>
      <c r="YW309" s="1005"/>
      <c r="YX309" s="1005"/>
      <c r="YY309" s="1005"/>
      <c r="YZ309" s="1005"/>
      <c r="ZA309" s="1005"/>
      <c r="ZB309" s="1005"/>
      <c r="ZC309" s="1005"/>
      <c r="ZD309" s="1005"/>
      <c r="ZE309" s="1005"/>
      <c r="ZF309" s="1005"/>
      <c r="ZG309" s="1005"/>
      <c r="ZH309" s="1005"/>
      <c r="ZI309" s="1005"/>
      <c r="ZJ309" s="1005"/>
      <c r="ZK309" s="1005"/>
      <c r="ZL309" s="1005"/>
      <c r="ZM309" s="1005"/>
      <c r="ZN309" s="1005"/>
      <c r="ZO309" s="1005"/>
      <c r="ZP309" s="1005"/>
      <c r="ZQ309" s="1005"/>
      <c r="ZR309" s="1005"/>
      <c r="ZS309" s="1005"/>
      <c r="ZT309" s="1005"/>
      <c r="ZU309" s="1005"/>
      <c r="ZV309" s="1005"/>
      <c r="ZW309" s="1005"/>
      <c r="ZX309" s="1005"/>
      <c r="ZY309" s="1005"/>
      <c r="ZZ309" s="1005"/>
      <c r="AAA309" s="1005"/>
      <c r="AAB309" s="1005"/>
      <c r="AAC309" s="1005"/>
      <c r="AAD309" s="1005"/>
      <c r="AAE309" s="1005"/>
      <c r="AAF309" s="1005"/>
      <c r="AAG309" s="1005"/>
      <c r="AAH309" s="1005"/>
      <c r="AAI309" s="1005"/>
      <c r="AAJ309" s="1005"/>
      <c r="AAK309" s="1005"/>
      <c r="AAL309" s="1005"/>
      <c r="AAM309" s="1005"/>
      <c r="AAN309" s="1005"/>
      <c r="AAO309" s="1005"/>
      <c r="AAP309" s="1005"/>
      <c r="AAQ309" s="1005"/>
      <c r="AAR309" s="1005"/>
      <c r="AAS309" s="1005"/>
      <c r="AAT309" s="1005"/>
      <c r="AAU309" s="1005"/>
      <c r="AAV309" s="1005"/>
      <c r="AAW309" s="1005"/>
      <c r="AAX309" s="1005"/>
      <c r="AAY309" s="1005"/>
      <c r="AAZ309" s="1005"/>
      <c r="ABA309" s="1005"/>
      <c r="ABB309" s="1005"/>
      <c r="ABC309" s="1005"/>
      <c r="ABD309" s="1005"/>
      <c r="ABE309" s="1005"/>
      <c r="ABF309" s="1005"/>
      <c r="ABG309" s="1005"/>
      <c r="ABH309" s="1005"/>
      <c r="ABI309" s="1005"/>
      <c r="ABJ309" s="1005"/>
      <c r="ABK309" s="1005"/>
      <c r="ABL309" s="1005"/>
      <c r="ABM309" s="1005"/>
      <c r="ABN309" s="1005"/>
      <c r="ABO309" s="1005"/>
      <c r="ABP309" s="1005"/>
      <c r="ABQ309" s="1005"/>
      <c r="ABR309" s="1005"/>
    </row>
    <row r="310" spans="1:746" s="113" customFormat="1" ht="12" customHeight="1">
      <c r="A310" s="789"/>
      <c r="B310" s="1261" t="s">
        <v>1362</v>
      </c>
      <c r="C310" s="2507"/>
      <c r="D310" s="2500"/>
      <c r="E310" s="2919"/>
      <c r="F310" s="2920"/>
      <c r="G310" s="2921"/>
      <c r="H310" s="2501"/>
      <c r="I310" s="368"/>
      <c r="J310" s="368"/>
      <c r="K310" s="368"/>
      <c r="L310" s="368"/>
      <c r="M310" s="368"/>
      <c r="N310" s="368"/>
      <c r="O310" s="368"/>
      <c r="P310" s="368"/>
      <c r="Q310" s="368"/>
      <c r="R310" s="368"/>
      <c r="S310" s="368"/>
      <c r="T310" s="368"/>
      <c r="U310" s="368"/>
      <c r="V310" s="368"/>
      <c r="W310" s="368"/>
      <c r="X310" s="368"/>
      <c r="Y310" s="368"/>
      <c r="Z310" s="368"/>
      <c r="AA310" s="368"/>
      <c r="AB310" s="368"/>
      <c r="AC310" s="368"/>
      <c r="AD310" s="368"/>
      <c r="AE310" s="368"/>
      <c r="AF310" s="368"/>
      <c r="AG310" s="337"/>
      <c r="AH310" s="337"/>
      <c r="AI310" s="337"/>
      <c r="AJ310" s="1956">
        <f>IF(fx!$C$57=1,SUMIF(fx!I$57:T$57,1,I310:T310),IF(fx!$C$57=2,SUMIF(fx!O$57:AF$57,1,O310:AF310)))</f>
        <v>0</v>
      </c>
      <c r="AK310" s="1207"/>
      <c r="AL310" s="1957">
        <f>IF(fx!$C$57=1,SUM(U310:AF310),0)</f>
        <v>0</v>
      </c>
      <c r="AM310" s="1036"/>
      <c r="AN310" s="1036"/>
      <c r="AO310" s="1034"/>
      <c r="AP310" s="1037"/>
      <c r="AQ310" s="1037"/>
      <c r="AR310" s="1005"/>
      <c r="AS310" s="1005"/>
      <c r="AT310" s="1005"/>
      <c r="AU310" s="1005"/>
      <c r="AV310" s="1005"/>
      <c r="AW310" s="1005"/>
      <c r="AX310" s="1005"/>
      <c r="AY310" s="1005"/>
      <c r="AZ310" s="1005"/>
      <c r="BA310" s="1005"/>
      <c r="BB310" s="1005"/>
      <c r="BC310" s="1005"/>
      <c r="BD310" s="1005"/>
      <c r="BE310" s="1005"/>
      <c r="BF310" s="1005"/>
      <c r="BG310" s="1005"/>
      <c r="BH310" s="1005"/>
      <c r="BI310" s="1005"/>
      <c r="BJ310" s="1005"/>
      <c r="BK310" s="1005"/>
      <c r="BL310" s="1005"/>
      <c r="BM310" s="1005"/>
      <c r="BN310" s="1005"/>
      <c r="BO310" s="1005"/>
      <c r="BP310" s="1005"/>
      <c r="BQ310" s="1005"/>
      <c r="BR310" s="1005"/>
      <c r="BS310" s="1005"/>
      <c r="BT310" s="1005"/>
      <c r="BU310" s="1005"/>
      <c r="BV310" s="1005"/>
      <c r="BW310" s="1005"/>
      <c r="BX310" s="1005"/>
      <c r="BY310" s="1005"/>
      <c r="BZ310" s="1005"/>
      <c r="CA310" s="1005"/>
      <c r="CB310" s="1005"/>
      <c r="CC310" s="1005"/>
      <c r="CD310" s="1005"/>
      <c r="CE310" s="1005"/>
      <c r="CF310" s="1005"/>
      <c r="CG310" s="1005"/>
      <c r="CH310" s="1005"/>
      <c r="CI310" s="1005"/>
      <c r="CJ310" s="1005"/>
      <c r="CK310" s="1005"/>
      <c r="CL310" s="1005"/>
      <c r="CM310" s="1005"/>
      <c r="CN310" s="1005"/>
      <c r="CO310" s="1005"/>
      <c r="CP310" s="1005"/>
      <c r="CQ310" s="1005"/>
      <c r="CR310" s="1005"/>
      <c r="CS310" s="1005"/>
      <c r="CT310" s="1005"/>
      <c r="CU310" s="1005"/>
      <c r="CV310" s="1005"/>
      <c r="CW310" s="1005"/>
      <c r="CX310" s="1005"/>
      <c r="CY310" s="1005"/>
      <c r="CZ310" s="1005"/>
      <c r="DA310" s="1005"/>
      <c r="DB310" s="1005"/>
      <c r="DC310" s="1005"/>
      <c r="DD310" s="1005"/>
      <c r="DE310" s="1005"/>
      <c r="DF310" s="1005"/>
      <c r="DG310" s="1005"/>
      <c r="DH310" s="1005"/>
      <c r="DI310" s="1005"/>
      <c r="DJ310" s="1005"/>
      <c r="DK310" s="1005"/>
      <c r="DL310" s="1005"/>
      <c r="DM310" s="1005"/>
      <c r="DN310" s="1005"/>
      <c r="DO310" s="1005"/>
      <c r="DP310" s="1005"/>
      <c r="DQ310" s="1005"/>
      <c r="DR310" s="1005"/>
      <c r="DS310" s="1005"/>
      <c r="DT310" s="1005"/>
      <c r="DU310" s="1005"/>
      <c r="DV310" s="1005"/>
      <c r="DW310" s="1005"/>
      <c r="DX310" s="1005"/>
      <c r="DY310" s="1005"/>
      <c r="DZ310" s="1005"/>
      <c r="EA310" s="1005"/>
      <c r="EB310" s="1005"/>
      <c r="EC310" s="1005"/>
      <c r="ED310" s="1005"/>
      <c r="EE310" s="1005"/>
      <c r="EF310" s="1005"/>
      <c r="EG310" s="1005"/>
      <c r="EH310" s="1005"/>
      <c r="EI310" s="1005"/>
      <c r="EJ310" s="1005"/>
      <c r="EK310" s="1005"/>
      <c r="EL310" s="1005"/>
      <c r="EM310" s="1005"/>
      <c r="EN310" s="1005"/>
      <c r="EO310" s="1005"/>
      <c r="EP310" s="1005"/>
      <c r="EQ310" s="1005"/>
      <c r="ER310" s="1005"/>
      <c r="ES310" s="1005"/>
      <c r="ET310" s="1005"/>
      <c r="EU310" s="1005"/>
      <c r="EV310" s="1005"/>
      <c r="EW310" s="1005"/>
      <c r="EX310" s="1005"/>
      <c r="EY310" s="1005"/>
      <c r="EZ310" s="1005"/>
      <c r="FA310" s="1005"/>
      <c r="FB310" s="1005"/>
      <c r="FC310" s="1005"/>
      <c r="FD310" s="1005"/>
      <c r="FE310" s="1005"/>
      <c r="FF310" s="1005"/>
      <c r="FG310" s="1005"/>
      <c r="FH310" s="1005"/>
      <c r="FI310" s="1005"/>
      <c r="FJ310" s="1005"/>
      <c r="FK310" s="1005"/>
      <c r="FL310" s="1005"/>
      <c r="FM310" s="1005"/>
      <c r="FN310" s="1005"/>
      <c r="FO310" s="1005"/>
      <c r="FP310" s="1005"/>
      <c r="FQ310" s="1005"/>
      <c r="FR310" s="1005"/>
      <c r="FS310" s="1005"/>
      <c r="FT310" s="1005"/>
      <c r="FU310" s="1005"/>
      <c r="FV310" s="1005"/>
      <c r="FW310" s="1005"/>
      <c r="FX310" s="1005"/>
      <c r="FY310" s="1005"/>
      <c r="FZ310" s="1005"/>
      <c r="GA310" s="1005"/>
      <c r="GB310" s="1005"/>
      <c r="GC310" s="1005"/>
      <c r="GD310" s="1005"/>
      <c r="GE310" s="1005"/>
      <c r="GF310" s="1005"/>
      <c r="GG310" s="1005"/>
      <c r="GH310" s="1005"/>
      <c r="GI310" s="1005"/>
      <c r="GJ310" s="1005"/>
      <c r="GK310" s="1005"/>
      <c r="GL310" s="1005"/>
      <c r="GM310" s="1005"/>
      <c r="GN310" s="1005"/>
      <c r="GO310" s="1005"/>
      <c r="GP310" s="1005"/>
      <c r="GQ310" s="1005"/>
      <c r="GR310" s="1005"/>
      <c r="GS310" s="1005"/>
      <c r="GT310" s="1005"/>
      <c r="GU310" s="1005"/>
      <c r="GV310" s="1005"/>
      <c r="GW310" s="1005"/>
      <c r="GX310" s="1005"/>
      <c r="GY310" s="1005"/>
      <c r="GZ310" s="1005"/>
      <c r="HA310" s="1005"/>
      <c r="HB310" s="1005"/>
      <c r="HC310" s="1005"/>
      <c r="HD310" s="1005"/>
      <c r="HE310" s="1005"/>
      <c r="HF310" s="1005"/>
      <c r="HG310" s="1005"/>
      <c r="HH310" s="1005"/>
      <c r="HI310" s="1005"/>
      <c r="HJ310" s="1005"/>
      <c r="HK310" s="1005"/>
      <c r="HL310" s="1005"/>
      <c r="HM310" s="1005"/>
      <c r="HN310" s="1005"/>
      <c r="HO310" s="1005"/>
      <c r="HP310" s="1005"/>
      <c r="HQ310" s="1005"/>
      <c r="HR310" s="1005"/>
      <c r="HS310" s="1005"/>
      <c r="HT310" s="1005"/>
      <c r="HU310" s="1005"/>
      <c r="HV310" s="1005"/>
      <c r="HW310" s="1005"/>
      <c r="HX310" s="1005"/>
      <c r="HY310" s="1005"/>
      <c r="HZ310" s="1005"/>
      <c r="IA310" s="1005"/>
      <c r="IB310" s="1005"/>
      <c r="IC310" s="1005"/>
      <c r="ID310" s="1005"/>
      <c r="IE310" s="1005"/>
      <c r="IF310" s="1005"/>
      <c r="IG310" s="1005"/>
      <c r="IH310" s="1005"/>
      <c r="II310" s="1005"/>
      <c r="IJ310" s="1005"/>
      <c r="IK310" s="1005"/>
      <c r="IL310" s="1005"/>
      <c r="IM310" s="1005"/>
      <c r="IN310" s="1005"/>
      <c r="IO310" s="1005"/>
      <c r="IP310" s="1005"/>
      <c r="IQ310" s="1005"/>
      <c r="IR310" s="1005"/>
      <c r="IS310" s="1005"/>
      <c r="IT310" s="1005"/>
      <c r="IU310" s="1005"/>
      <c r="IV310" s="1005"/>
      <c r="IW310" s="1005"/>
      <c r="IX310" s="1005"/>
      <c r="IY310" s="1005"/>
      <c r="IZ310" s="1005"/>
      <c r="JA310" s="1005"/>
      <c r="JB310" s="1005"/>
      <c r="JC310" s="1005"/>
      <c r="JD310" s="1005"/>
      <c r="JE310" s="1005"/>
      <c r="JF310" s="1005"/>
      <c r="JG310" s="1005"/>
      <c r="JH310" s="1005"/>
      <c r="JI310" s="1005"/>
      <c r="JJ310" s="1005"/>
      <c r="JK310" s="1005"/>
      <c r="JL310" s="1005"/>
      <c r="JM310" s="1005"/>
      <c r="JN310" s="1005"/>
      <c r="JO310" s="1005"/>
      <c r="JP310" s="1005"/>
      <c r="JQ310" s="1005"/>
      <c r="JR310" s="1005"/>
      <c r="JS310" s="1005"/>
      <c r="JT310" s="1005"/>
      <c r="JU310" s="1005"/>
      <c r="JV310" s="1005"/>
      <c r="JW310" s="1005"/>
      <c r="JX310" s="1005"/>
      <c r="JY310" s="1005"/>
      <c r="JZ310" s="1005"/>
      <c r="KA310" s="1005"/>
      <c r="KB310" s="1005"/>
      <c r="KC310" s="1005"/>
      <c r="KD310" s="1005"/>
      <c r="KE310" s="1005"/>
      <c r="KF310" s="1005"/>
      <c r="KG310" s="1005"/>
      <c r="KH310" s="1005"/>
      <c r="KI310" s="1005"/>
      <c r="KJ310" s="1005"/>
      <c r="KK310" s="1005"/>
      <c r="KL310" s="1005"/>
      <c r="KM310" s="1005"/>
      <c r="KN310" s="1005"/>
      <c r="KO310" s="1005"/>
      <c r="KP310" s="1005"/>
      <c r="KQ310" s="1005"/>
      <c r="KR310" s="1005"/>
      <c r="KS310" s="1005"/>
      <c r="KT310" s="1005"/>
      <c r="KU310" s="1005"/>
      <c r="KV310" s="1005"/>
      <c r="KW310" s="1005"/>
      <c r="KX310" s="1005"/>
      <c r="KY310" s="1005"/>
      <c r="KZ310" s="1005"/>
      <c r="LA310" s="1005"/>
      <c r="LB310" s="1005"/>
      <c r="LC310" s="1005"/>
      <c r="LD310" s="1005"/>
      <c r="LE310" s="1005"/>
      <c r="LF310" s="1005"/>
      <c r="LG310" s="1005"/>
      <c r="LH310" s="1005"/>
      <c r="LI310" s="1005"/>
      <c r="LJ310" s="1005"/>
      <c r="LK310" s="1005"/>
      <c r="LL310" s="1005"/>
      <c r="LM310" s="1005"/>
      <c r="LN310" s="1005"/>
      <c r="LO310" s="1005"/>
      <c r="LP310" s="1005"/>
      <c r="LQ310" s="1005"/>
      <c r="LR310" s="1005"/>
      <c r="LS310" s="1005"/>
      <c r="LT310" s="1005"/>
      <c r="LU310" s="1005"/>
      <c r="LV310" s="1005"/>
      <c r="LW310" s="1005"/>
      <c r="LX310" s="1005"/>
      <c r="LY310" s="1005"/>
      <c r="LZ310" s="1005"/>
      <c r="MA310" s="1005"/>
      <c r="MB310" s="1005"/>
      <c r="MC310" s="1005"/>
      <c r="MD310" s="1005"/>
      <c r="ME310" s="1005"/>
      <c r="MF310" s="1005"/>
      <c r="MG310" s="1005"/>
      <c r="MH310" s="1005"/>
      <c r="MI310" s="1005"/>
      <c r="MJ310" s="1005"/>
      <c r="MK310" s="1005"/>
      <c r="ML310" s="1005"/>
      <c r="MM310" s="1005"/>
      <c r="MN310" s="1005"/>
      <c r="MO310" s="1005"/>
      <c r="MP310" s="1005"/>
      <c r="MQ310" s="1005"/>
      <c r="MR310" s="1005"/>
      <c r="MS310" s="1005"/>
      <c r="MT310" s="1005"/>
      <c r="MU310" s="1005"/>
      <c r="MV310" s="1005"/>
      <c r="MW310" s="1005"/>
      <c r="MX310" s="1005"/>
      <c r="MY310" s="1005"/>
      <c r="MZ310" s="1005"/>
      <c r="NA310" s="1005"/>
      <c r="NB310" s="1005"/>
      <c r="NC310" s="1005"/>
      <c r="ND310" s="1005"/>
      <c r="NE310" s="1005"/>
      <c r="NF310" s="1005"/>
      <c r="NG310" s="1005"/>
      <c r="NH310" s="1005"/>
      <c r="NI310" s="1005"/>
      <c r="NJ310" s="1005"/>
      <c r="NK310" s="1005"/>
      <c r="NL310" s="1005"/>
      <c r="NM310" s="1005"/>
      <c r="NN310" s="1005"/>
      <c r="NO310" s="1005"/>
      <c r="NP310" s="1005"/>
      <c r="NQ310" s="1005"/>
      <c r="NR310" s="1005"/>
      <c r="NS310" s="1005"/>
      <c r="NT310" s="1005"/>
      <c r="NU310" s="1005"/>
      <c r="NV310" s="1005"/>
      <c r="NW310" s="1005"/>
      <c r="NX310" s="1005"/>
      <c r="NY310" s="1005"/>
      <c r="NZ310" s="1005"/>
      <c r="OA310" s="1005"/>
      <c r="OB310" s="1005"/>
      <c r="OC310" s="1005"/>
      <c r="OD310" s="1005"/>
      <c r="OE310" s="1005"/>
      <c r="OF310" s="1005"/>
      <c r="OG310" s="1005"/>
      <c r="OH310" s="1005"/>
      <c r="OI310" s="1005"/>
      <c r="OJ310" s="1005"/>
      <c r="OK310" s="1005"/>
      <c r="OL310" s="1005"/>
      <c r="OM310" s="1005"/>
      <c r="ON310" s="1005"/>
      <c r="OO310" s="1005"/>
      <c r="OP310" s="1005"/>
      <c r="OQ310" s="1005"/>
      <c r="OR310" s="1005"/>
      <c r="OS310" s="1005"/>
      <c r="OT310" s="1005"/>
      <c r="OU310" s="1005"/>
      <c r="OV310" s="1005"/>
      <c r="OW310" s="1005"/>
      <c r="OX310" s="1005"/>
      <c r="OY310" s="1005"/>
      <c r="OZ310" s="1005"/>
      <c r="PA310" s="1005"/>
      <c r="PB310" s="1005"/>
      <c r="PC310" s="1005"/>
      <c r="PD310" s="1005"/>
      <c r="PE310" s="1005"/>
      <c r="PF310" s="1005"/>
      <c r="PG310" s="1005"/>
      <c r="PH310" s="1005"/>
      <c r="PI310" s="1005"/>
      <c r="PJ310" s="1005"/>
      <c r="PK310" s="1005"/>
      <c r="PL310" s="1005"/>
      <c r="PM310" s="1005"/>
      <c r="PN310" s="1005"/>
      <c r="PO310" s="1005"/>
      <c r="PP310" s="1005"/>
      <c r="PQ310" s="1005"/>
      <c r="PR310" s="1005"/>
      <c r="PS310" s="1005"/>
      <c r="PT310" s="1005"/>
      <c r="PU310" s="1005"/>
      <c r="PV310" s="1005"/>
      <c r="PW310" s="1005"/>
      <c r="PX310" s="1005"/>
      <c r="PY310" s="1005"/>
      <c r="PZ310" s="1005"/>
      <c r="QA310" s="1005"/>
      <c r="QB310" s="1005"/>
      <c r="QC310" s="1005"/>
      <c r="QD310" s="1005"/>
      <c r="QE310" s="1005"/>
      <c r="QF310" s="1005"/>
      <c r="QG310" s="1005"/>
      <c r="QH310" s="1005"/>
      <c r="QI310" s="1005"/>
      <c r="QJ310" s="1005"/>
      <c r="QK310" s="1005"/>
      <c r="QL310" s="1005"/>
      <c r="QM310" s="1005"/>
      <c r="QN310" s="1005"/>
      <c r="QO310" s="1005"/>
      <c r="QP310" s="1005"/>
      <c r="QQ310" s="1005"/>
      <c r="QR310" s="1005"/>
      <c r="QS310" s="1005"/>
      <c r="QT310" s="1005"/>
      <c r="QU310" s="1005"/>
      <c r="QV310" s="1005"/>
      <c r="QW310" s="1005"/>
      <c r="QX310" s="1005"/>
      <c r="QY310" s="1005"/>
      <c r="QZ310" s="1005"/>
      <c r="RA310" s="1005"/>
      <c r="RB310" s="1005"/>
      <c r="RC310" s="1005"/>
      <c r="RD310" s="1005"/>
      <c r="RE310" s="1005"/>
      <c r="RF310" s="1005"/>
      <c r="RG310" s="1005"/>
      <c r="RH310" s="1005"/>
      <c r="RI310" s="1005"/>
      <c r="RJ310" s="1005"/>
      <c r="RK310" s="1005"/>
      <c r="RL310" s="1005"/>
      <c r="RM310" s="1005"/>
      <c r="RN310" s="1005"/>
      <c r="RO310" s="1005"/>
      <c r="RP310" s="1005"/>
      <c r="RQ310" s="1005"/>
      <c r="RR310" s="1005"/>
      <c r="RS310" s="1005"/>
      <c r="RT310" s="1005"/>
      <c r="RU310" s="1005"/>
      <c r="RV310" s="1005"/>
      <c r="RW310" s="1005"/>
      <c r="RX310" s="1005"/>
      <c r="RY310" s="1005"/>
      <c r="RZ310" s="1005"/>
      <c r="SA310" s="1005"/>
      <c r="SB310" s="1005"/>
      <c r="SC310" s="1005"/>
      <c r="SD310" s="1005"/>
      <c r="SE310" s="1005"/>
      <c r="SF310" s="1005"/>
      <c r="SG310" s="1005"/>
      <c r="SH310" s="1005"/>
      <c r="SI310" s="1005"/>
      <c r="SJ310" s="1005"/>
      <c r="SK310" s="1005"/>
      <c r="SL310" s="1005"/>
      <c r="SM310" s="1005"/>
      <c r="SN310" s="1005"/>
      <c r="SO310" s="1005"/>
      <c r="SP310" s="1005"/>
      <c r="SQ310" s="1005"/>
      <c r="SR310" s="1005"/>
      <c r="SS310" s="1005"/>
      <c r="ST310" s="1005"/>
      <c r="SU310" s="1005"/>
      <c r="SV310" s="1005"/>
      <c r="SW310" s="1005"/>
      <c r="SX310" s="1005"/>
      <c r="SY310" s="1005"/>
      <c r="SZ310" s="1005"/>
      <c r="TA310" s="1005"/>
      <c r="TB310" s="1005"/>
      <c r="TC310" s="1005"/>
      <c r="TD310" s="1005"/>
      <c r="TE310" s="1005"/>
      <c r="TF310" s="1005"/>
      <c r="TG310" s="1005"/>
      <c r="TH310" s="1005"/>
      <c r="TI310" s="1005"/>
      <c r="TJ310" s="1005"/>
      <c r="TK310" s="1005"/>
      <c r="TL310" s="1005"/>
      <c r="TM310" s="1005"/>
      <c r="TN310" s="1005"/>
      <c r="TO310" s="1005"/>
      <c r="TP310" s="1005"/>
      <c r="TQ310" s="1005"/>
      <c r="TR310" s="1005"/>
      <c r="TS310" s="1005"/>
      <c r="TT310" s="1005"/>
      <c r="TU310" s="1005"/>
      <c r="TV310" s="1005"/>
      <c r="TW310" s="1005"/>
      <c r="TX310" s="1005"/>
      <c r="TY310" s="1005"/>
      <c r="TZ310" s="1005"/>
      <c r="UA310" s="1005"/>
      <c r="UB310" s="1005"/>
      <c r="UC310" s="1005"/>
      <c r="UD310" s="1005"/>
      <c r="UE310" s="1005"/>
      <c r="UF310" s="1005"/>
      <c r="UG310" s="1005"/>
      <c r="UH310" s="1005"/>
      <c r="UI310" s="1005"/>
      <c r="UJ310" s="1005"/>
      <c r="UK310" s="1005"/>
      <c r="UL310" s="1005"/>
      <c r="UM310" s="1005"/>
      <c r="UN310" s="1005"/>
      <c r="UO310" s="1005"/>
      <c r="UP310" s="1005"/>
      <c r="UQ310" s="1005"/>
      <c r="UR310" s="1005"/>
      <c r="US310" s="1005"/>
      <c r="UT310" s="1005"/>
      <c r="UU310" s="1005"/>
      <c r="UV310" s="1005"/>
      <c r="UW310" s="1005"/>
      <c r="UX310" s="1005"/>
      <c r="UY310" s="1005"/>
      <c r="UZ310" s="1005"/>
      <c r="VA310" s="1005"/>
      <c r="VB310" s="1005"/>
      <c r="VC310" s="1005"/>
      <c r="VD310" s="1005"/>
      <c r="VE310" s="1005"/>
      <c r="VF310" s="1005"/>
      <c r="VG310" s="1005"/>
      <c r="VH310" s="1005"/>
      <c r="VI310" s="1005"/>
      <c r="VJ310" s="1005"/>
      <c r="VK310" s="1005"/>
      <c r="VL310" s="1005"/>
      <c r="VM310" s="1005"/>
      <c r="VN310" s="1005"/>
      <c r="VO310" s="1005"/>
      <c r="VP310" s="1005"/>
      <c r="VQ310" s="1005"/>
      <c r="VR310" s="1005"/>
      <c r="VS310" s="1005"/>
      <c r="VT310" s="1005"/>
      <c r="VU310" s="1005"/>
      <c r="VV310" s="1005"/>
      <c r="VW310" s="1005"/>
      <c r="VX310" s="1005"/>
      <c r="VY310" s="1005"/>
      <c r="VZ310" s="1005"/>
      <c r="WA310" s="1005"/>
      <c r="WB310" s="1005"/>
      <c r="WC310" s="1005"/>
      <c r="WD310" s="1005"/>
      <c r="WE310" s="1005"/>
      <c r="WF310" s="1005"/>
      <c r="WG310" s="1005"/>
      <c r="WH310" s="1005"/>
      <c r="WI310" s="1005"/>
      <c r="WJ310" s="1005"/>
      <c r="WK310" s="1005"/>
      <c r="WL310" s="1005"/>
      <c r="WM310" s="1005"/>
      <c r="WN310" s="1005"/>
      <c r="WO310" s="1005"/>
      <c r="WP310" s="1005"/>
      <c r="WQ310" s="1005"/>
      <c r="WR310" s="1005"/>
      <c r="WS310" s="1005"/>
      <c r="WT310" s="1005"/>
      <c r="WU310" s="1005"/>
      <c r="WV310" s="1005"/>
      <c r="WW310" s="1005"/>
      <c r="WX310" s="1005"/>
      <c r="WY310" s="1005"/>
      <c r="WZ310" s="1005"/>
      <c r="XA310" s="1005"/>
      <c r="XB310" s="1005"/>
      <c r="XC310" s="1005"/>
      <c r="XD310" s="1005"/>
      <c r="XE310" s="1005"/>
      <c r="XF310" s="1005"/>
      <c r="XG310" s="1005"/>
      <c r="XH310" s="1005"/>
      <c r="XI310" s="1005"/>
      <c r="XJ310" s="1005"/>
      <c r="XK310" s="1005"/>
      <c r="XL310" s="1005"/>
      <c r="XM310" s="1005"/>
      <c r="XN310" s="1005"/>
      <c r="XO310" s="1005"/>
      <c r="XP310" s="1005"/>
      <c r="XQ310" s="1005"/>
      <c r="XR310" s="1005"/>
      <c r="XS310" s="1005"/>
      <c r="XT310" s="1005"/>
      <c r="XU310" s="1005"/>
      <c r="XV310" s="1005"/>
      <c r="XW310" s="1005"/>
      <c r="XX310" s="1005"/>
      <c r="XY310" s="1005"/>
      <c r="XZ310" s="1005"/>
      <c r="YA310" s="1005"/>
      <c r="YB310" s="1005"/>
      <c r="YC310" s="1005"/>
      <c r="YD310" s="1005"/>
      <c r="YE310" s="1005"/>
      <c r="YF310" s="1005"/>
      <c r="YG310" s="1005"/>
      <c r="YH310" s="1005"/>
      <c r="YI310" s="1005"/>
      <c r="YJ310" s="1005"/>
      <c r="YK310" s="1005"/>
      <c r="YL310" s="1005"/>
      <c r="YM310" s="1005"/>
      <c r="YN310" s="1005"/>
      <c r="YO310" s="1005"/>
      <c r="YP310" s="1005"/>
      <c r="YQ310" s="1005"/>
      <c r="YR310" s="1005"/>
      <c r="YS310" s="1005"/>
      <c r="YT310" s="1005"/>
      <c r="YU310" s="1005"/>
      <c r="YV310" s="1005"/>
      <c r="YW310" s="1005"/>
      <c r="YX310" s="1005"/>
      <c r="YY310" s="1005"/>
      <c r="YZ310" s="1005"/>
      <c r="ZA310" s="1005"/>
      <c r="ZB310" s="1005"/>
      <c r="ZC310" s="1005"/>
      <c r="ZD310" s="1005"/>
      <c r="ZE310" s="1005"/>
      <c r="ZF310" s="1005"/>
      <c r="ZG310" s="1005"/>
      <c r="ZH310" s="1005"/>
      <c r="ZI310" s="1005"/>
      <c r="ZJ310" s="1005"/>
      <c r="ZK310" s="1005"/>
      <c r="ZL310" s="1005"/>
      <c r="ZM310" s="1005"/>
      <c r="ZN310" s="1005"/>
      <c r="ZO310" s="1005"/>
      <c r="ZP310" s="1005"/>
      <c r="ZQ310" s="1005"/>
      <c r="ZR310" s="1005"/>
      <c r="ZS310" s="1005"/>
      <c r="ZT310" s="1005"/>
      <c r="ZU310" s="1005"/>
      <c r="ZV310" s="1005"/>
      <c r="ZW310" s="1005"/>
      <c r="ZX310" s="1005"/>
      <c r="ZY310" s="1005"/>
      <c r="ZZ310" s="1005"/>
      <c r="AAA310" s="1005"/>
      <c r="AAB310" s="1005"/>
      <c r="AAC310" s="1005"/>
      <c r="AAD310" s="1005"/>
      <c r="AAE310" s="1005"/>
      <c r="AAF310" s="1005"/>
      <c r="AAG310" s="1005"/>
      <c r="AAH310" s="1005"/>
      <c r="AAI310" s="1005"/>
      <c r="AAJ310" s="1005"/>
      <c r="AAK310" s="1005"/>
      <c r="AAL310" s="1005"/>
      <c r="AAM310" s="1005"/>
      <c r="AAN310" s="1005"/>
      <c r="AAO310" s="1005"/>
      <c r="AAP310" s="1005"/>
      <c r="AAQ310" s="1005"/>
      <c r="AAR310" s="1005"/>
      <c r="AAS310" s="1005"/>
      <c r="AAT310" s="1005"/>
      <c r="AAU310" s="1005"/>
      <c r="AAV310" s="1005"/>
      <c r="AAW310" s="1005"/>
      <c r="AAX310" s="1005"/>
      <c r="AAY310" s="1005"/>
      <c r="AAZ310" s="1005"/>
      <c r="ABA310" s="1005"/>
      <c r="ABB310" s="1005"/>
      <c r="ABC310" s="1005"/>
      <c r="ABD310" s="1005"/>
      <c r="ABE310" s="1005"/>
      <c r="ABF310" s="1005"/>
      <c r="ABG310" s="1005"/>
      <c r="ABH310" s="1005"/>
      <c r="ABI310" s="1005"/>
      <c r="ABJ310" s="1005"/>
      <c r="ABK310" s="1005"/>
      <c r="ABL310" s="1005"/>
      <c r="ABM310" s="1005"/>
      <c r="ABN310" s="1005"/>
      <c r="ABO310" s="1005"/>
      <c r="ABP310" s="1005"/>
      <c r="ABQ310" s="1005"/>
      <c r="ABR310" s="1005"/>
    </row>
    <row r="311" spans="1:746" s="113" customFormat="1" ht="12" customHeight="1">
      <c r="A311" s="789"/>
      <c r="B311" s="1261" t="s">
        <v>1363</v>
      </c>
      <c r="C311" s="2507"/>
      <c r="D311" s="2505"/>
      <c r="E311" s="2922"/>
      <c r="F311" s="2923"/>
      <c r="G311" s="2924"/>
      <c r="H311" s="2506"/>
      <c r="I311" s="368"/>
      <c r="J311" s="368"/>
      <c r="K311" s="368"/>
      <c r="L311" s="368"/>
      <c r="M311" s="368"/>
      <c r="N311" s="368"/>
      <c r="O311" s="368"/>
      <c r="P311" s="368"/>
      <c r="Q311" s="368"/>
      <c r="R311" s="368"/>
      <c r="S311" s="368"/>
      <c r="T311" s="368"/>
      <c r="U311" s="368"/>
      <c r="V311" s="368"/>
      <c r="W311" s="368"/>
      <c r="X311" s="368"/>
      <c r="Y311" s="368"/>
      <c r="Z311" s="368"/>
      <c r="AA311" s="368"/>
      <c r="AB311" s="368"/>
      <c r="AC311" s="368"/>
      <c r="AD311" s="368"/>
      <c r="AE311" s="368"/>
      <c r="AF311" s="368"/>
      <c r="AG311" s="337"/>
      <c r="AH311" s="337"/>
      <c r="AI311" s="337"/>
      <c r="AJ311" s="1956">
        <f>IF(fx!$C$57=1,SUMIF(fx!I$57:T$57,1,I311:T311),IF(fx!$C$57=2,SUMIF(fx!O$57:AF$57,1,O311:AF311)))</f>
        <v>0</v>
      </c>
      <c r="AK311" s="1207"/>
      <c r="AL311" s="1957">
        <f>IF(fx!$C$57=1,SUM(U311:AF311),0)</f>
        <v>0</v>
      </c>
      <c r="AM311" s="1036"/>
      <c r="AN311" s="1036"/>
      <c r="AO311" s="1034"/>
      <c r="AP311" s="1037"/>
      <c r="AQ311" s="1037"/>
      <c r="AR311" s="1005"/>
      <c r="AS311" s="1005"/>
      <c r="AT311" s="1005"/>
      <c r="AU311" s="1005"/>
      <c r="AV311" s="1005"/>
      <c r="AW311" s="1005"/>
      <c r="AX311" s="1005"/>
      <c r="AY311" s="1005"/>
      <c r="AZ311" s="1005"/>
      <c r="BA311" s="1005"/>
      <c r="BB311" s="1005"/>
      <c r="BC311" s="1005"/>
      <c r="BD311" s="1005"/>
      <c r="BE311" s="1005"/>
      <c r="BF311" s="1005"/>
      <c r="BG311" s="1005"/>
      <c r="BH311" s="1005"/>
      <c r="BI311" s="1005"/>
      <c r="BJ311" s="1005"/>
      <c r="BK311" s="1005"/>
      <c r="BL311" s="1005"/>
      <c r="BM311" s="1005"/>
      <c r="BN311" s="1005"/>
      <c r="BO311" s="1005"/>
      <c r="BP311" s="1005"/>
      <c r="BQ311" s="1005"/>
      <c r="BR311" s="1005"/>
      <c r="BS311" s="1005"/>
      <c r="BT311" s="1005"/>
      <c r="BU311" s="1005"/>
      <c r="BV311" s="1005"/>
      <c r="BW311" s="1005"/>
      <c r="BX311" s="1005"/>
      <c r="BY311" s="1005"/>
      <c r="BZ311" s="1005"/>
      <c r="CA311" s="1005"/>
      <c r="CB311" s="1005"/>
      <c r="CC311" s="1005"/>
      <c r="CD311" s="1005"/>
      <c r="CE311" s="1005"/>
      <c r="CF311" s="1005"/>
      <c r="CG311" s="1005"/>
      <c r="CH311" s="1005"/>
      <c r="CI311" s="1005"/>
      <c r="CJ311" s="1005"/>
      <c r="CK311" s="1005"/>
      <c r="CL311" s="1005"/>
      <c r="CM311" s="1005"/>
      <c r="CN311" s="1005"/>
      <c r="CO311" s="1005"/>
      <c r="CP311" s="1005"/>
      <c r="CQ311" s="1005"/>
      <c r="CR311" s="1005"/>
      <c r="CS311" s="1005"/>
      <c r="CT311" s="1005"/>
      <c r="CU311" s="1005"/>
      <c r="CV311" s="1005"/>
      <c r="CW311" s="1005"/>
      <c r="CX311" s="1005"/>
      <c r="CY311" s="1005"/>
      <c r="CZ311" s="1005"/>
      <c r="DA311" s="1005"/>
      <c r="DB311" s="1005"/>
      <c r="DC311" s="1005"/>
      <c r="DD311" s="1005"/>
      <c r="DE311" s="1005"/>
      <c r="DF311" s="1005"/>
      <c r="DG311" s="1005"/>
      <c r="DH311" s="1005"/>
      <c r="DI311" s="1005"/>
      <c r="DJ311" s="1005"/>
      <c r="DK311" s="1005"/>
      <c r="DL311" s="1005"/>
      <c r="DM311" s="1005"/>
      <c r="DN311" s="1005"/>
      <c r="DO311" s="1005"/>
      <c r="DP311" s="1005"/>
      <c r="DQ311" s="1005"/>
      <c r="DR311" s="1005"/>
      <c r="DS311" s="1005"/>
      <c r="DT311" s="1005"/>
      <c r="DU311" s="1005"/>
      <c r="DV311" s="1005"/>
      <c r="DW311" s="1005"/>
      <c r="DX311" s="1005"/>
      <c r="DY311" s="1005"/>
      <c r="DZ311" s="1005"/>
      <c r="EA311" s="1005"/>
      <c r="EB311" s="1005"/>
      <c r="EC311" s="1005"/>
      <c r="ED311" s="1005"/>
      <c r="EE311" s="1005"/>
      <c r="EF311" s="1005"/>
      <c r="EG311" s="1005"/>
      <c r="EH311" s="1005"/>
      <c r="EI311" s="1005"/>
      <c r="EJ311" s="1005"/>
      <c r="EK311" s="1005"/>
      <c r="EL311" s="1005"/>
      <c r="EM311" s="1005"/>
      <c r="EN311" s="1005"/>
      <c r="EO311" s="1005"/>
      <c r="EP311" s="1005"/>
      <c r="EQ311" s="1005"/>
      <c r="ER311" s="1005"/>
      <c r="ES311" s="1005"/>
      <c r="ET311" s="1005"/>
      <c r="EU311" s="1005"/>
      <c r="EV311" s="1005"/>
      <c r="EW311" s="1005"/>
      <c r="EX311" s="1005"/>
      <c r="EY311" s="1005"/>
      <c r="EZ311" s="1005"/>
      <c r="FA311" s="1005"/>
      <c r="FB311" s="1005"/>
      <c r="FC311" s="1005"/>
      <c r="FD311" s="1005"/>
      <c r="FE311" s="1005"/>
      <c r="FF311" s="1005"/>
      <c r="FG311" s="1005"/>
      <c r="FH311" s="1005"/>
      <c r="FI311" s="1005"/>
      <c r="FJ311" s="1005"/>
      <c r="FK311" s="1005"/>
      <c r="FL311" s="1005"/>
      <c r="FM311" s="1005"/>
      <c r="FN311" s="1005"/>
      <c r="FO311" s="1005"/>
      <c r="FP311" s="1005"/>
      <c r="FQ311" s="1005"/>
      <c r="FR311" s="1005"/>
      <c r="FS311" s="1005"/>
      <c r="FT311" s="1005"/>
      <c r="FU311" s="1005"/>
      <c r="FV311" s="1005"/>
      <c r="FW311" s="1005"/>
      <c r="FX311" s="1005"/>
      <c r="FY311" s="1005"/>
      <c r="FZ311" s="1005"/>
      <c r="GA311" s="1005"/>
      <c r="GB311" s="1005"/>
      <c r="GC311" s="1005"/>
      <c r="GD311" s="1005"/>
      <c r="GE311" s="1005"/>
      <c r="GF311" s="1005"/>
      <c r="GG311" s="1005"/>
      <c r="GH311" s="1005"/>
      <c r="GI311" s="1005"/>
      <c r="GJ311" s="1005"/>
      <c r="GK311" s="1005"/>
      <c r="GL311" s="1005"/>
      <c r="GM311" s="1005"/>
      <c r="GN311" s="1005"/>
      <c r="GO311" s="1005"/>
      <c r="GP311" s="1005"/>
      <c r="GQ311" s="1005"/>
      <c r="GR311" s="1005"/>
      <c r="GS311" s="1005"/>
      <c r="GT311" s="1005"/>
      <c r="GU311" s="1005"/>
      <c r="GV311" s="1005"/>
      <c r="GW311" s="1005"/>
      <c r="GX311" s="1005"/>
      <c r="GY311" s="1005"/>
      <c r="GZ311" s="1005"/>
      <c r="HA311" s="1005"/>
      <c r="HB311" s="1005"/>
      <c r="HC311" s="1005"/>
      <c r="HD311" s="1005"/>
      <c r="HE311" s="1005"/>
      <c r="HF311" s="1005"/>
      <c r="HG311" s="1005"/>
      <c r="HH311" s="1005"/>
      <c r="HI311" s="1005"/>
      <c r="HJ311" s="1005"/>
      <c r="HK311" s="1005"/>
      <c r="HL311" s="1005"/>
      <c r="HM311" s="1005"/>
      <c r="HN311" s="1005"/>
      <c r="HO311" s="1005"/>
      <c r="HP311" s="1005"/>
      <c r="HQ311" s="1005"/>
      <c r="HR311" s="1005"/>
      <c r="HS311" s="1005"/>
      <c r="HT311" s="1005"/>
      <c r="HU311" s="1005"/>
      <c r="HV311" s="1005"/>
      <c r="HW311" s="1005"/>
      <c r="HX311" s="1005"/>
      <c r="HY311" s="1005"/>
      <c r="HZ311" s="1005"/>
      <c r="IA311" s="1005"/>
      <c r="IB311" s="1005"/>
      <c r="IC311" s="1005"/>
      <c r="ID311" s="1005"/>
      <c r="IE311" s="1005"/>
      <c r="IF311" s="1005"/>
      <c r="IG311" s="1005"/>
      <c r="IH311" s="1005"/>
      <c r="II311" s="1005"/>
      <c r="IJ311" s="1005"/>
      <c r="IK311" s="1005"/>
      <c r="IL311" s="1005"/>
      <c r="IM311" s="1005"/>
      <c r="IN311" s="1005"/>
      <c r="IO311" s="1005"/>
      <c r="IP311" s="1005"/>
      <c r="IQ311" s="1005"/>
      <c r="IR311" s="1005"/>
      <c r="IS311" s="1005"/>
      <c r="IT311" s="1005"/>
      <c r="IU311" s="1005"/>
      <c r="IV311" s="1005"/>
      <c r="IW311" s="1005"/>
      <c r="IX311" s="1005"/>
      <c r="IY311" s="1005"/>
      <c r="IZ311" s="1005"/>
      <c r="JA311" s="1005"/>
      <c r="JB311" s="1005"/>
      <c r="JC311" s="1005"/>
      <c r="JD311" s="1005"/>
      <c r="JE311" s="1005"/>
      <c r="JF311" s="1005"/>
      <c r="JG311" s="1005"/>
      <c r="JH311" s="1005"/>
      <c r="JI311" s="1005"/>
      <c r="JJ311" s="1005"/>
      <c r="JK311" s="1005"/>
      <c r="JL311" s="1005"/>
      <c r="JM311" s="1005"/>
      <c r="JN311" s="1005"/>
      <c r="JO311" s="1005"/>
      <c r="JP311" s="1005"/>
      <c r="JQ311" s="1005"/>
      <c r="JR311" s="1005"/>
      <c r="JS311" s="1005"/>
      <c r="JT311" s="1005"/>
      <c r="JU311" s="1005"/>
      <c r="JV311" s="1005"/>
      <c r="JW311" s="1005"/>
      <c r="JX311" s="1005"/>
      <c r="JY311" s="1005"/>
      <c r="JZ311" s="1005"/>
      <c r="KA311" s="1005"/>
      <c r="KB311" s="1005"/>
      <c r="KC311" s="1005"/>
      <c r="KD311" s="1005"/>
      <c r="KE311" s="1005"/>
      <c r="KF311" s="1005"/>
      <c r="KG311" s="1005"/>
      <c r="KH311" s="1005"/>
      <c r="KI311" s="1005"/>
      <c r="KJ311" s="1005"/>
      <c r="KK311" s="1005"/>
      <c r="KL311" s="1005"/>
      <c r="KM311" s="1005"/>
      <c r="KN311" s="1005"/>
      <c r="KO311" s="1005"/>
      <c r="KP311" s="1005"/>
      <c r="KQ311" s="1005"/>
      <c r="KR311" s="1005"/>
      <c r="KS311" s="1005"/>
      <c r="KT311" s="1005"/>
      <c r="KU311" s="1005"/>
      <c r="KV311" s="1005"/>
      <c r="KW311" s="1005"/>
      <c r="KX311" s="1005"/>
      <c r="KY311" s="1005"/>
      <c r="KZ311" s="1005"/>
      <c r="LA311" s="1005"/>
      <c r="LB311" s="1005"/>
      <c r="LC311" s="1005"/>
      <c r="LD311" s="1005"/>
      <c r="LE311" s="1005"/>
      <c r="LF311" s="1005"/>
      <c r="LG311" s="1005"/>
      <c r="LH311" s="1005"/>
      <c r="LI311" s="1005"/>
      <c r="LJ311" s="1005"/>
      <c r="LK311" s="1005"/>
      <c r="LL311" s="1005"/>
      <c r="LM311" s="1005"/>
      <c r="LN311" s="1005"/>
      <c r="LO311" s="1005"/>
      <c r="LP311" s="1005"/>
      <c r="LQ311" s="1005"/>
      <c r="LR311" s="1005"/>
      <c r="LS311" s="1005"/>
      <c r="LT311" s="1005"/>
      <c r="LU311" s="1005"/>
      <c r="LV311" s="1005"/>
      <c r="LW311" s="1005"/>
      <c r="LX311" s="1005"/>
      <c r="LY311" s="1005"/>
      <c r="LZ311" s="1005"/>
      <c r="MA311" s="1005"/>
      <c r="MB311" s="1005"/>
      <c r="MC311" s="1005"/>
      <c r="MD311" s="1005"/>
      <c r="ME311" s="1005"/>
      <c r="MF311" s="1005"/>
      <c r="MG311" s="1005"/>
      <c r="MH311" s="1005"/>
      <c r="MI311" s="1005"/>
      <c r="MJ311" s="1005"/>
      <c r="MK311" s="1005"/>
      <c r="ML311" s="1005"/>
      <c r="MM311" s="1005"/>
      <c r="MN311" s="1005"/>
      <c r="MO311" s="1005"/>
      <c r="MP311" s="1005"/>
      <c r="MQ311" s="1005"/>
      <c r="MR311" s="1005"/>
      <c r="MS311" s="1005"/>
      <c r="MT311" s="1005"/>
      <c r="MU311" s="1005"/>
      <c r="MV311" s="1005"/>
      <c r="MW311" s="1005"/>
      <c r="MX311" s="1005"/>
      <c r="MY311" s="1005"/>
      <c r="MZ311" s="1005"/>
      <c r="NA311" s="1005"/>
      <c r="NB311" s="1005"/>
      <c r="NC311" s="1005"/>
      <c r="ND311" s="1005"/>
      <c r="NE311" s="1005"/>
      <c r="NF311" s="1005"/>
      <c r="NG311" s="1005"/>
      <c r="NH311" s="1005"/>
      <c r="NI311" s="1005"/>
      <c r="NJ311" s="1005"/>
      <c r="NK311" s="1005"/>
      <c r="NL311" s="1005"/>
      <c r="NM311" s="1005"/>
      <c r="NN311" s="1005"/>
      <c r="NO311" s="1005"/>
      <c r="NP311" s="1005"/>
      <c r="NQ311" s="1005"/>
      <c r="NR311" s="1005"/>
      <c r="NS311" s="1005"/>
      <c r="NT311" s="1005"/>
      <c r="NU311" s="1005"/>
      <c r="NV311" s="1005"/>
      <c r="NW311" s="1005"/>
      <c r="NX311" s="1005"/>
      <c r="NY311" s="1005"/>
      <c r="NZ311" s="1005"/>
      <c r="OA311" s="1005"/>
      <c r="OB311" s="1005"/>
      <c r="OC311" s="1005"/>
      <c r="OD311" s="1005"/>
      <c r="OE311" s="1005"/>
      <c r="OF311" s="1005"/>
      <c r="OG311" s="1005"/>
      <c r="OH311" s="1005"/>
      <c r="OI311" s="1005"/>
      <c r="OJ311" s="1005"/>
      <c r="OK311" s="1005"/>
      <c r="OL311" s="1005"/>
      <c r="OM311" s="1005"/>
      <c r="ON311" s="1005"/>
      <c r="OO311" s="1005"/>
      <c r="OP311" s="1005"/>
      <c r="OQ311" s="1005"/>
      <c r="OR311" s="1005"/>
      <c r="OS311" s="1005"/>
      <c r="OT311" s="1005"/>
      <c r="OU311" s="1005"/>
      <c r="OV311" s="1005"/>
      <c r="OW311" s="1005"/>
      <c r="OX311" s="1005"/>
      <c r="OY311" s="1005"/>
      <c r="OZ311" s="1005"/>
      <c r="PA311" s="1005"/>
      <c r="PB311" s="1005"/>
      <c r="PC311" s="1005"/>
      <c r="PD311" s="1005"/>
      <c r="PE311" s="1005"/>
      <c r="PF311" s="1005"/>
      <c r="PG311" s="1005"/>
      <c r="PH311" s="1005"/>
      <c r="PI311" s="1005"/>
      <c r="PJ311" s="1005"/>
      <c r="PK311" s="1005"/>
      <c r="PL311" s="1005"/>
      <c r="PM311" s="1005"/>
      <c r="PN311" s="1005"/>
      <c r="PO311" s="1005"/>
      <c r="PP311" s="1005"/>
      <c r="PQ311" s="1005"/>
      <c r="PR311" s="1005"/>
      <c r="PS311" s="1005"/>
      <c r="PT311" s="1005"/>
      <c r="PU311" s="1005"/>
      <c r="PV311" s="1005"/>
      <c r="PW311" s="1005"/>
      <c r="PX311" s="1005"/>
      <c r="PY311" s="1005"/>
      <c r="PZ311" s="1005"/>
      <c r="QA311" s="1005"/>
      <c r="QB311" s="1005"/>
      <c r="QC311" s="1005"/>
      <c r="QD311" s="1005"/>
      <c r="QE311" s="1005"/>
      <c r="QF311" s="1005"/>
      <c r="QG311" s="1005"/>
      <c r="QH311" s="1005"/>
      <c r="QI311" s="1005"/>
      <c r="QJ311" s="1005"/>
      <c r="QK311" s="1005"/>
      <c r="QL311" s="1005"/>
      <c r="QM311" s="1005"/>
      <c r="QN311" s="1005"/>
      <c r="QO311" s="1005"/>
      <c r="QP311" s="1005"/>
      <c r="QQ311" s="1005"/>
      <c r="QR311" s="1005"/>
      <c r="QS311" s="1005"/>
      <c r="QT311" s="1005"/>
      <c r="QU311" s="1005"/>
      <c r="QV311" s="1005"/>
      <c r="QW311" s="1005"/>
      <c r="QX311" s="1005"/>
      <c r="QY311" s="1005"/>
      <c r="QZ311" s="1005"/>
      <c r="RA311" s="1005"/>
      <c r="RB311" s="1005"/>
      <c r="RC311" s="1005"/>
      <c r="RD311" s="1005"/>
      <c r="RE311" s="1005"/>
      <c r="RF311" s="1005"/>
      <c r="RG311" s="1005"/>
      <c r="RH311" s="1005"/>
      <c r="RI311" s="1005"/>
      <c r="RJ311" s="1005"/>
      <c r="RK311" s="1005"/>
      <c r="RL311" s="1005"/>
      <c r="RM311" s="1005"/>
      <c r="RN311" s="1005"/>
      <c r="RO311" s="1005"/>
      <c r="RP311" s="1005"/>
      <c r="RQ311" s="1005"/>
      <c r="RR311" s="1005"/>
      <c r="RS311" s="1005"/>
      <c r="RT311" s="1005"/>
      <c r="RU311" s="1005"/>
      <c r="RV311" s="1005"/>
      <c r="RW311" s="1005"/>
      <c r="RX311" s="1005"/>
      <c r="RY311" s="1005"/>
      <c r="RZ311" s="1005"/>
      <c r="SA311" s="1005"/>
      <c r="SB311" s="1005"/>
      <c r="SC311" s="1005"/>
      <c r="SD311" s="1005"/>
      <c r="SE311" s="1005"/>
      <c r="SF311" s="1005"/>
      <c r="SG311" s="1005"/>
      <c r="SH311" s="1005"/>
      <c r="SI311" s="1005"/>
      <c r="SJ311" s="1005"/>
      <c r="SK311" s="1005"/>
      <c r="SL311" s="1005"/>
      <c r="SM311" s="1005"/>
      <c r="SN311" s="1005"/>
      <c r="SO311" s="1005"/>
      <c r="SP311" s="1005"/>
      <c r="SQ311" s="1005"/>
      <c r="SR311" s="1005"/>
      <c r="SS311" s="1005"/>
      <c r="ST311" s="1005"/>
      <c r="SU311" s="1005"/>
      <c r="SV311" s="1005"/>
      <c r="SW311" s="1005"/>
      <c r="SX311" s="1005"/>
      <c r="SY311" s="1005"/>
      <c r="SZ311" s="1005"/>
      <c r="TA311" s="1005"/>
      <c r="TB311" s="1005"/>
      <c r="TC311" s="1005"/>
      <c r="TD311" s="1005"/>
      <c r="TE311" s="1005"/>
      <c r="TF311" s="1005"/>
      <c r="TG311" s="1005"/>
      <c r="TH311" s="1005"/>
      <c r="TI311" s="1005"/>
      <c r="TJ311" s="1005"/>
      <c r="TK311" s="1005"/>
      <c r="TL311" s="1005"/>
      <c r="TM311" s="1005"/>
      <c r="TN311" s="1005"/>
      <c r="TO311" s="1005"/>
      <c r="TP311" s="1005"/>
      <c r="TQ311" s="1005"/>
      <c r="TR311" s="1005"/>
      <c r="TS311" s="1005"/>
      <c r="TT311" s="1005"/>
      <c r="TU311" s="1005"/>
      <c r="TV311" s="1005"/>
      <c r="TW311" s="1005"/>
      <c r="TX311" s="1005"/>
      <c r="TY311" s="1005"/>
      <c r="TZ311" s="1005"/>
      <c r="UA311" s="1005"/>
      <c r="UB311" s="1005"/>
      <c r="UC311" s="1005"/>
      <c r="UD311" s="1005"/>
      <c r="UE311" s="1005"/>
      <c r="UF311" s="1005"/>
      <c r="UG311" s="1005"/>
      <c r="UH311" s="1005"/>
      <c r="UI311" s="1005"/>
      <c r="UJ311" s="1005"/>
      <c r="UK311" s="1005"/>
      <c r="UL311" s="1005"/>
      <c r="UM311" s="1005"/>
      <c r="UN311" s="1005"/>
      <c r="UO311" s="1005"/>
      <c r="UP311" s="1005"/>
      <c r="UQ311" s="1005"/>
      <c r="UR311" s="1005"/>
      <c r="US311" s="1005"/>
      <c r="UT311" s="1005"/>
      <c r="UU311" s="1005"/>
      <c r="UV311" s="1005"/>
      <c r="UW311" s="1005"/>
      <c r="UX311" s="1005"/>
      <c r="UY311" s="1005"/>
      <c r="UZ311" s="1005"/>
      <c r="VA311" s="1005"/>
      <c r="VB311" s="1005"/>
      <c r="VC311" s="1005"/>
      <c r="VD311" s="1005"/>
      <c r="VE311" s="1005"/>
      <c r="VF311" s="1005"/>
      <c r="VG311" s="1005"/>
      <c r="VH311" s="1005"/>
      <c r="VI311" s="1005"/>
      <c r="VJ311" s="1005"/>
      <c r="VK311" s="1005"/>
      <c r="VL311" s="1005"/>
      <c r="VM311" s="1005"/>
      <c r="VN311" s="1005"/>
      <c r="VO311" s="1005"/>
      <c r="VP311" s="1005"/>
      <c r="VQ311" s="1005"/>
      <c r="VR311" s="1005"/>
      <c r="VS311" s="1005"/>
      <c r="VT311" s="1005"/>
      <c r="VU311" s="1005"/>
      <c r="VV311" s="1005"/>
      <c r="VW311" s="1005"/>
      <c r="VX311" s="1005"/>
      <c r="VY311" s="1005"/>
      <c r="VZ311" s="1005"/>
      <c r="WA311" s="1005"/>
      <c r="WB311" s="1005"/>
      <c r="WC311" s="1005"/>
      <c r="WD311" s="1005"/>
      <c r="WE311" s="1005"/>
      <c r="WF311" s="1005"/>
      <c r="WG311" s="1005"/>
      <c r="WH311" s="1005"/>
      <c r="WI311" s="1005"/>
      <c r="WJ311" s="1005"/>
      <c r="WK311" s="1005"/>
      <c r="WL311" s="1005"/>
      <c r="WM311" s="1005"/>
      <c r="WN311" s="1005"/>
      <c r="WO311" s="1005"/>
      <c r="WP311" s="1005"/>
      <c r="WQ311" s="1005"/>
      <c r="WR311" s="1005"/>
      <c r="WS311" s="1005"/>
      <c r="WT311" s="1005"/>
      <c r="WU311" s="1005"/>
      <c r="WV311" s="1005"/>
      <c r="WW311" s="1005"/>
      <c r="WX311" s="1005"/>
      <c r="WY311" s="1005"/>
      <c r="WZ311" s="1005"/>
      <c r="XA311" s="1005"/>
      <c r="XB311" s="1005"/>
      <c r="XC311" s="1005"/>
      <c r="XD311" s="1005"/>
      <c r="XE311" s="1005"/>
      <c r="XF311" s="1005"/>
      <c r="XG311" s="1005"/>
      <c r="XH311" s="1005"/>
      <c r="XI311" s="1005"/>
      <c r="XJ311" s="1005"/>
      <c r="XK311" s="1005"/>
      <c r="XL311" s="1005"/>
      <c r="XM311" s="1005"/>
      <c r="XN311" s="1005"/>
      <c r="XO311" s="1005"/>
      <c r="XP311" s="1005"/>
      <c r="XQ311" s="1005"/>
      <c r="XR311" s="1005"/>
      <c r="XS311" s="1005"/>
      <c r="XT311" s="1005"/>
      <c r="XU311" s="1005"/>
      <c r="XV311" s="1005"/>
      <c r="XW311" s="1005"/>
      <c r="XX311" s="1005"/>
      <c r="XY311" s="1005"/>
      <c r="XZ311" s="1005"/>
      <c r="YA311" s="1005"/>
      <c r="YB311" s="1005"/>
      <c r="YC311" s="1005"/>
      <c r="YD311" s="1005"/>
      <c r="YE311" s="1005"/>
      <c r="YF311" s="1005"/>
      <c r="YG311" s="1005"/>
      <c r="YH311" s="1005"/>
      <c r="YI311" s="1005"/>
      <c r="YJ311" s="1005"/>
      <c r="YK311" s="1005"/>
      <c r="YL311" s="1005"/>
      <c r="YM311" s="1005"/>
      <c r="YN311" s="1005"/>
      <c r="YO311" s="1005"/>
      <c r="YP311" s="1005"/>
      <c r="YQ311" s="1005"/>
      <c r="YR311" s="1005"/>
      <c r="YS311" s="1005"/>
      <c r="YT311" s="1005"/>
      <c r="YU311" s="1005"/>
      <c r="YV311" s="1005"/>
      <c r="YW311" s="1005"/>
      <c r="YX311" s="1005"/>
      <c r="YY311" s="1005"/>
      <c r="YZ311" s="1005"/>
      <c r="ZA311" s="1005"/>
      <c r="ZB311" s="1005"/>
      <c r="ZC311" s="1005"/>
      <c r="ZD311" s="1005"/>
      <c r="ZE311" s="1005"/>
      <c r="ZF311" s="1005"/>
      <c r="ZG311" s="1005"/>
      <c r="ZH311" s="1005"/>
      <c r="ZI311" s="1005"/>
      <c r="ZJ311" s="1005"/>
      <c r="ZK311" s="1005"/>
      <c r="ZL311" s="1005"/>
      <c r="ZM311" s="1005"/>
      <c r="ZN311" s="1005"/>
      <c r="ZO311" s="1005"/>
      <c r="ZP311" s="1005"/>
      <c r="ZQ311" s="1005"/>
      <c r="ZR311" s="1005"/>
      <c r="ZS311" s="1005"/>
      <c r="ZT311" s="1005"/>
      <c r="ZU311" s="1005"/>
      <c r="ZV311" s="1005"/>
      <c r="ZW311" s="1005"/>
      <c r="ZX311" s="1005"/>
      <c r="ZY311" s="1005"/>
      <c r="ZZ311" s="1005"/>
      <c r="AAA311" s="1005"/>
      <c r="AAB311" s="1005"/>
      <c r="AAC311" s="1005"/>
      <c r="AAD311" s="1005"/>
      <c r="AAE311" s="1005"/>
      <c r="AAF311" s="1005"/>
      <c r="AAG311" s="1005"/>
      <c r="AAH311" s="1005"/>
      <c r="AAI311" s="1005"/>
      <c r="AAJ311" s="1005"/>
      <c r="AAK311" s="1005"/>
      <c r="AAL311" s="1005"/>
      <c r="AAM311" s="1005"/>
      <c r="AAN311" s="1005"/>
      <c r="AAO311" s="1005"/>
      <c r="AAP311" s="1005"/>
      <c r="AAQ311" s="1005"/>
      <c r="AAR311" s="1005"/>
      <c r="AAS311" s="1005"/>
      <c r="AAT311" s="1005"/>
      <c r="AAU311" s="1005"/>
      <c r="AAV311" s="1005"/>
      <c r="AAW311" s="1005"/>
      <c r="AAX311" s="1005"/>
      <c r="AAY311" s="1005"/>
      <c r="AAZ311" s="1005"/>
      <c r="ABA311" s="1005"/>
      <c r="ABB311" s="1005"/>
      <c r="ABC311" s="1005"/>
      <c r="ABD311" s="1005"/>
      <c r="ABE311" s="1005"/>
      <c r="ABF311" s="1005"/>
      <c r="ABG311" s="1005"/>
      <c r="ABH311" s="1005"/>
      <c r="ABI311" s="1005"/>
      <c r="ABJ311" s="1005"/>
      <c r="ABK311" s="1005"/>
      <c r="ABL311" s="1005"/>
      <c r="ABM311" s="1005"/>
      <c r="ABN311" s="1005"/>
      <c r="ABO311" s="1005"/>
      <c r="ABP311" s="1005"/>
      <c r="ABQ311" s="1005"/>
      <c r="ABR311" s="1005"/>
    </row>
    <row r="312" spans="1:746" s="113" customFormat="1" ht="12" customHeight="1">
      <c r="A312" s="789"/>
      <c r="B312" s="910" t="s">
        <v>1374</v>
      </c>
      <c r="C312" s="911"/>
      <c r="D312" s="911"/>
      <c r="E312" s="2913" t="str">
        <f>IF(E308&gt;0,E308-SUM(E309:E311),"0")</f>
        <v>0</v>
      </c>
      <c r="F312" s="2914"/>
      <c r="G312" s="2915"/>
      <c r="H312" s="2552"/>
      <c r="I312" s="345">
        <f>SUM(I309:I310)*fx!I57</f>
        <v>0</v>
      </c>
      <c r="J312" s="344">
        <f>SUM(J309:J310)*fx!J57</f>
        <v>0</v>
      </c>
      <c r="K312" s="344">
        <f>SUM(K309:K310)*fx!K57</f>
        <v>0</v>
      </c>
      <c r="L312" s="344">
        <f>SUM(L309:L310)*fx!L57</f>
        <v>0</v>
      </c>
      <c r="M312" s="344">
        <f>SUM(M309:M310)*fx!M57</f>
        <v>0</v>
      </c>
      <c r="N312" s="344">
        <f>SUM(N309:N310)*fx!N57</f>
        <v>0</v>
      </c>
      <c r="O312" s="344">
        <f>SUM(O309:O310)*fx!O57</f>
        <v>0</v>
      </c>
      <c r="P312" s="344">
        <f>SUM(P309:P310)*fx!P57</f>
        <v>0</v>
      </c>
      <c r="Q312" s="344">
        <f>SUM(Q309:Q310)*fx!Q57</f>
        <v>0</v>
      </c>
      <c r="R312" s="344">
        <f>SUM(R309:R310)*fx!R57</f>
        <v>0</v>
      </c>
      <c r="S312" s="344">
        <f>SUM(S309:S310)*fx!S57</f>
        <v>0</v>
      </c>
      <c r="T312" s="344">
        <f>SUM(T309:T310)*fx!T57</f>
        <v>0</v>
      </c>
      <c r="U312" s="344">
        <f>SUM(U309:U310)*fx!U57</f>
        <v>0</v>
      </c>
      <c r="V312" s="344">
        <f>SUM(V309:V310)*fx!V57</f>
        <v>0</v>
      </c>
      <c r="W312" s="344">
        <f>SUM(W309:W310)*fx!W57</f>
        <v>0</v>
      </c>
      <c r="X312" s="344">
        <f>SUM(X309:X310)*fx!X57</f>
        <v>0</v>
      </c>
      <c r="Y312" s="344">
        <f>SUM(Y309:Y310)*fx!Y57</f>
        <v>0</v>
      </c>
      <c r="Z312" s="344">
        <f>SUM(Z309:Z310)*fx!Z57</f>
        <v>0</v>
      </c>
      <c r="AA312" s="344">
        <f>SUM(AA309:AA310)*fx!AA57</f>
        <v>0</v>
      </c>
      <c r="AB312" s="344">
        <f>SUM(AB309:AB310)*fx!AB57</f>
        <v>0</v>
      </c>
      <c r="AC312" s="344">
        <f>SUM(AC309:AC310)*fx!AC57</f>
        <v>0</v>
      </c>
      <c r="AD312" s="344">
        <f>SUM(AD309:AD310)*fx!AD57</f>
        <v>0</v>
      </c>
      <c r="AE312" s="344">
        <f>SUM(AE309:AE310)*fx!AE57</f>
        <v>0</v>
      </c>
      <c r="AF312" s="344">
        <f>SUM(AF309:AF310)*fx!AF57</f>
        <v>0</v>
      </c>
      <c r="AG312" s="337"/>
      <c r="AH312" s="337"/>
      <c r="AI312" s="337"/>
      <c r="AJ312" s="1956">
        <f>IF(fx!$C$57=1,SUMIF(fx!I$57:T$57,1,I312:T312),IF(fx!$C$57=2,SUMIF(fx!O$57:AF$57,1,O312:AF312)))</f>
        <v>0</v>
      </c>
      <c r="AK312" s="1207"/>
      <c r="AL312" s="1957">
        <f>IF(fx!$C$57=1,SUM(U312:AF312),0)</f>
        <v>0</v>
      </c>
      <c r="AM312" s="1036"/>
      <c r="AN312" s="1036"/>
      <c r="AO312" s="1034"/>
      <c r="AP312" s="1037"/>
      <c r="AQ312" s="1037"/>
      <c r="AR312" s="1005"/>
      <c r="AS312" s="1005"/>
      <c r="AT312" s="1005"/>
      <c r="AU312" s="1005"/>
      <c r="AV312" s="1005"/>
      <c r="AW312" s="1005"/>
      <c r="AX312" s="1005"/>
      <c r="AY312" s="1005"/>
      <c r="AZ312" s="1005"/>
      <c r="BA312" s="1005"/>
      <c r="BB312" s="1005"/>
      <c r="BC312" s="1005"/>
      <c r="BD312" s="1005"/>
      <c r="BE312" s="1005"/>
      <c r="BF312" s="1005"/>
      <c r="BG312" s="1005"/>
      <c r="BH312" s="1005"/>
      <c r="BI312" s="1005"/>
      <c r="BJ312" s="1005"/>
      <c r="BK312" s="1005"/>
      <c r="BL312" s="1005"/>
      <c r="BM312" s="1005"/>
      <c r="BN312" s="1005"/>
      <c r="BO312" s="1005"/>
      <c r="BP312" s="1005"/>
      <c r="BQ312" s="1005"/>
      <c r="BR312" s="1005"/>
      <c r="BS312" s="1005"/>
      <c r="BT312" s="1005"/>
      <c r="BU312" s="1005"/>
      <c r="BV312" s="1005"/>
      <c r="BW312" s="1005"/>
      <c r="BX312" s="1005"/>
      <c r="BY312" s="1005"/>
      <c r="BZ312" s="1005"/>
      <c r="CA312" s="1005"/>
      <c r="CB312" s="1005"/>
      <c r="CC312" s="1005"/>
      <c r="CD312" s="1005"/>
      <c r="CE312" s="1005"/>
      <c r="CF312" s="1005"/>
      <c r="CG312" s="1005"/>
      <c r="CH312" s="1005"/>
      <c r="CI312" s="1005"/>
      <c r="CJ312" s="1005"/>
      <c r="CK312" s="1005"/>
      <c r="CL312" s="1005"/>
      <c r="CM312" s="1005"/>
      <c r="CN312" s="1005"/>
      <c r="CO312" s="1005"/>
      <c r="CP312" s="1005"/>
      <c r="CQ312" s="1005"/>
      <c r="CR312" s="1005"/>
      <c r="CS312" s="1005"/>
      <c r="CT312" s="1005"/>
      <c r="CU312" s="1005"/>
      <c r="CV312" s="1005"/>
      <c r="CW312" s="1005"/>
      <c r="CX312" s="1005"/>
      <c r="CY312" s="1005"/>
      <c r="CZ312" s="1005"/>
      <c r="DA312" s="1005"/>
      <c r="DB312" s="1005"/>
      <c r="DC312" s="1005"/>
      <c r="DD312" s="1005"/>
      <c r="DE312" s="1005"/>
      <c r="DF312" s="1005"/>
      <c r="DG312" s="1005"/>
      <c r="DH312" s="1005"/>
      <c r="DI312" s="1005"/>
      <c r="DJ312" s="1005"/>
      <c r="DK312" s="1005"/>
      <c r="DL312" s="1005"/>
      <c r="DM312" s="1005"/>
      <c r="DN312" s="1005"/>
      <c r="DO312" s="1005"/>
      <c r="DP312" s="1005"/>
      <c r="DQ312" s="1005"/>
      <c r="DR312" s="1005"/>
      <c r="DS312" s="1005"/>
      <c r="DT312" s="1005"/>
      <c r="DU312" s="1005"/>
      <c r="DV312" s="1005"/>
      <c r="DW312" s="1005"/>
      <c r="DX312" s="1005"/>
      <c r="DY312" s="1005"/>
      <c r="DZ312" s="1005"/>
      <c r="EA312" s="1005"/>
      <c r="EB312" s="1005"/>
      <c r="EC312" s="1005"/>
      <c r="ED312" s="1005"/>
      <c r="EE312" s="1005"/>
      <c r="EF312" s="1005"/>
      <c r="EG312" s="1005"/>
      <c r="EH312" s="1005"/>
      <c r="EI312" s="1005"/>
      <c r="EJ312" s="1005"/>
      <c r="EK312" s="1005"/>
      <c r="EL312" s="1005"/>
      <c r="EM312" s="1005"/>
      <c r="EN312" s="1005"/>
      <c r="EO312" s="1005"/>
      <c r="EP312" s="1005"/>
      <c r="EQ312" s="1005"/>
      <c r="ER312" s="1005"/>
      <c r="ES312" s="1005"/>
      <c r="ET312" s="1005"/>
      <c r="EU312" s="1005"/>
      <c r="EV312" s="1005"/>
      <c r="EW312" s="1005"/>
      <c r="EX312" s="1005"/>
      <c r="EY312" s="1005"/>
      <c r="EZ312" s="1005"/>
      <c r="FA312" s="1005"/>
      <c r="FB312" s="1005"/>
      <c r="FC312" s="1005"/>
      <c r="FD312" s="1005"/>
      <c r="FE312" s="1005"/>
      <c r="FF312" s="1005"/>
      <c r="FG312" s="1005"/>
      <c r="FH312" s="1005"/>
      <c r="FI312" s="1005"/>
      <c r="FJ312" s="1005"/>
      <c r="FK312" s="1005"/>
      <c r="FL312" s="1005"/>
      <c r="FM312" s="1005"/>
      <c r="FN312" s="1005"/>
      <c r="FO312" s="1005"/>
      <c r="FP312" s="1005"/>
      <c r="FQ312" s="1005"/>
      <c r="FR312" s="1005"/>
      <c r="FS312" s="1005"/>
      <c r="FT312" s="1005"/>
      <c r="FU312" s="1005"/>
      <c r="FV312" s="1005"/>
      <c r="FW312" s="1005"/>
      <c r="FX312" s="1005"/>
      <c r="FY312" s="1005"/>
      <c r="FZ312" s="1005"/>
      <c r="GA312" s="1005"/>
      <c r="GB312" s="1005"/>
      <c r="GC312" s="1005"/>
      <c r="GD312" s="1005"/>
      <c r="GE312" s="1005"/>
      <c r="GF312" s="1005"/>
      <c r="GG312" s="1005"/>
      <c r="GH312" s="1005"/>
      <c r="GI312" s="1005"/>
      <c r="GJ312" s="1005"/>
      <c r="GK312" s="1005"/>
      <c r="GL312" s="1005"/>
      <c r="GM312" s="1005"/>
      <c r="GN312" s="1005"/>
      <c r="GO312" s="1005"/>
      <c r="GP312" s="1005"/>
      <c r="GQ312" s="1005"/>
      <c r="GR312" s="1005"/>
      <c r="GS312" s="1005"/>
      <c r="GT312" s="1005"/>
      <c r="GU312" s="1005"/>
      <c r="GV312" s="1005"/>
      <c r="GW312" s="1005"/>
      <c r="GX312" s="1005"/>
      <c r="GY312" s="1005"/>
      <c r="GZ312" s="1005"/>
      <c r="HA312" s="1005"/>
      <c r="HB312" s="1005"/>
      <c r="HC312" s="1005"/>
      <c r="HD312" s="1005"/>
      <c r="HE312" s="1005"/>
      <c r="HF312" s="1005"/>
      <c r="HG312" s="1005"/>
      <c r="HH312" s="1005"/>
      <c r="HI312" s="1005"/>
      <c r="HJ312" s="1005"/>
      <c r="HK312" s="1005"/>
      <c r="HL312" s="1005"/>
      <c r="HM312" s="1005"/>
      <c r="HN312" s="1005"/>
      <c r="HO312" s="1005"/>
      <c r="HP312" s="1005"/>
      <c r="HQ312" s="1005"/>
      <c r="HR312" s="1005"/>
      <c r="HS312" s="1005"/>
      <c r="HT312" s="1005"/>
      <c r="HU312" s="1005"/>
      <c r="HV312" s="1005"/>
      <c r="HW312" s="1005"/>
      <c r="HX312" s="1005"/>
      <c r="HY312" s="1005"/>
      <c r="HZ312" s="1005"/>
      <c r="IA312" s="1005"/>
      <c r="IB312" s="1005"/>
      <c r="IC312" s="1005"/>
      <c r="ID312" s="1005"/>
      <c r="IE312" s="1005"/>
      <c r="IF312" s="1005"/>
      <c r="IG312" s="1005"/>
      <c r="IH312" s="1005"/>
      <c r="II312" s="1005"/>
      <c r="IJ312" s="1005"/>
      <c r="IK312" s="1005"/>
      <c r="IL312" s="1005"/>
      <c r="IM312" s="1005"/>
      <c r="IN312" s="1005"/>
      <c r="IO312" s="1005"/>
      <c r="IP312" s="1005"/>
      <c r="IQ312" s="1005"/>
      <c r="IR312" s="1005"/>
      <c r="IS312" s="1005"/>
      <c r="IT312" s="1005"/>
      <c r="IU312" s="1005"/>
      <c r="IV312" s="1005"/>
      <c r="IW312" s="1005"/>
      <c r="IX312" s="1005"/>
      <c r="IY312" s="1005"/>
      <c r="IZ312" s="1005"/>
      <c r="JA312" s="1005"/>
      <c r="JB312" s="1005"/>
      <c r="JC312" s="1005"/>
      <c r="JD312" s="1005"/>
      <c r="JE312" s="1005"/>
      <c r="JF312" s="1005"/>
      <c r="JG312" s="1005"/>
      <c r="JH312" s="1005"/>
      <c r="JI312" s="1005"/>
      <c r="JJ312" s="1005"/>
      <c r="JK312" s="1005"/>
      <c r="JL312" s="1005"/>
      <c r="JM312" s="1005"/>
      <c r="JN312" s="1005"/>
      <c r="JO312" s="1005"/>
      <c r="JP312" s="1005"/>
      <c r="JQ312" s="1005"/>
      <c r="JR312" s="1005"/>
      <c r="JS312" s="1005"/>
      <c r="JT312" s="1005"/>
      <c r="JU312" s="1005"/>
      <c r="JV312" s="1005"/>
      <c r="JW312" s="1005"/>
      <c r="JX312" s="1005"/>
      <c r="JY312" s="1005"/>
      <c r="JZ312" s="1005"/>
      <c r="KA312" s="1005"/>
      <c r="KB312" s="1005"/>
      <c r="KC312" s="1005"/>
      <c r="KD312" s="1005"/>
      <c r="KE312" s="1005"/>
      <c r="KF312" s="1005"/>
      <c r="KG312" s="1005"/>
      <c r="KH312" s="1005"/>
      <c r="KI312" s="1005"/>
      <c r="KJ312" s="1005"/>
      <c r="KK312" s="1005"/>
      <c r="KL312" s="1005"/>
      <c r="KM312" s="1005"/>
      <c r="KN312" s="1005"/>
      <c r="KO312" s="1005"/>
      <c r="KP312" s="1005"/>
      <c r="KQ312" s="1005"/>
      <c r="KR312" s="1005"/>
      <c r="KS312" s="1005"/>
      <c r="KT312" s="1005"/>
      <c r="KU312" s="1005"/>
      <c r="KV312" s="1005"/>
      <c r="KW312" s="1005"/>
      <c r="KX312" s="1005"/>
      <c r="KY312" s="1005"/>
      <c r="KZ312" s="1005"/>
      <c r="LA312" s="1005"/>
      <c r="LB312" s="1005"/>
      <c r="LC312" s="1005"/>
      <c r="LD312" s="1005"/>
      <c r="LE312" s="1005"/>
      <c r="LF312" s="1005"/>
      <c r="LG312" s="1005"/>
      <c r="LH312" s="1005"/>
      <c r="LI312" s="1005"/>
      <c r="LJ312" s="1005"/>
      <c r="LK312" s="1005"/>
      <c r="LL312" s="1005"/>
      <c r="LM312" s="1005"/>
      <c r="LN312" s="1005"/>
      <c r="LO312" s="1005"/>
      <c r="LP312" s="1005"/>
      <c r="LQ312" s="1005"/>
      <c r="LR312" s="1005"/>
      <c r="LS312" s="1005"/>
      <c r="LT312" s="1005"/>
      <c r="LU312" s="1005"/>
      <c r="LV312" s="1005"/>
      <c r="LW312" s="1005"/>
      <c r="LX312" s="1005"/>
      <c r="LY312" s="1005"/>
      <c r="LZ312" s="1005"/>
      <c r="MA312" s="1005"/>
      <c r="MB312" s="1005"/>
      <c r="MC312" s="1005"/>
      <c r="MD312" s="1005"/>
      <c r="ME312" s="1005"/>
      <c r="MF312" s="1005"/>
      <c r="MG312" s="1005"/>
      <c r="MH312" s="1005"/>
      <c r="MI312" s="1005"/>
      <c r="MJ312" s="1005"/>
      <c r="MK312" s="1005"/>
      <c r="ML312" s="1005"/>
      <c r="MM312" s="1005"/>
      <c r="MN312" s="1005"/>
      <c r="MO312" s="1005"/>
      <c r="MP312" s="1005"/>
      <c r="MQ312" s="1005"/>
      <c r="MR312" s="1005"/>
      <c r="MS312" s="1005"/>
      <c r="MT312" s="1005"/>
      <c r="MU312" s="1005"/>
      <c r="MV312" s="1005"/>
      <c r="MW312" s="1005"/>
      <c r="MX312" s="1005"/>
      <c r="MY312" s="1005"/>
      <c r="MZ312" s="1005"/>
      <c r="NA312" s="1005"/>
      <c r="NB312" s="1005"/>
      <c r="NC312" s="1005"/>
      <c r="ND312" s="1005"/>
      <c r="NE312" s="1005"/>
      <c r="NF312" s="1005"/>
      <c r="NG312" s="1005"/>
      <c r="NH312" s="1005"/>
      <c r="NI312" s="1005"/>
      <c r="NJ312" s="1005"/>
      <c r="NK312" s="1005"/>
      <c r="NL312" s="1005"/>
      <c r="NM312" s="1005"/>
      <c r="NN312" s="1005"/>
      <c r="NO312" s="1005"/>
      <c r="NP312" s="1005"/>
      <c r="NQ312" s="1005"/>
      <c r="NR312" s="1005"/>
      <c r="NS312" s="1005"/>
      <c r="NT312" s="1005"/>
      <c r="NU312" s="1005"/>
      <c r="NV312" s="1005"/>
      <c r="NW312" s="1005"/>
      <c r="NX312" s="1005"/>
      <c r="NY312" s="1005"/>
      <c r="NZ312" s="1005"/>
      <c r="OA312" s="1005"/>
      <c r="OB312" s="1005"/>
      <c r="OC312" s="1005"/>
      <c r="OD312" s="1005"/>
      <c r="OE312" s="1005"/>
      <c r="OF312" s="1005"/>
      <c r="OG312" s="1005"/>
      <c r="OH312" s="1005"/>
      <c r="OI312" s="1005"/>
      <c r="OJ312" s="1005"/>
      <c r="OK312" s="1005"/>
      <c r="OL312" s="1005"/>
      <c r="OM312" s="1005"/>
      <c r="ON312" s="1005"/>
      <c r="OO312" s="1005"/>
      <c r="OP312" s="1005"/>
      <c r="OQ312" s="1005"/>
      <c r="OR312" s="1005"/>
      <c r="OS312" s="1005"/>
      <c r="OT312" s="1005"/>
      <c r="OU312" s="1005"/>
      <c r="OV312" s="1005"/>
      <c r="OW312" s="1005"/>
      <c r="OX312" s="1005"/>
      <c r="OY312" s="1005"/>
      <c r="OZ312" s="1005"/>
      <c r="PA312" s="1005"/>
      <c r="PB312" s="1005"/>
      <c r="PC312" s="1005"/>
      <c r="PD312" s="1005"/>
      <c r="PE312" s="1005"/>
      <c r="PF312" s="1005"/>
      <c r="PG312" s="1005"/>
      <c r="PH312" s="1005"/>
      <c r="PI312" s="1005"/>
      <c r="PJ312" s="1005"/>
      <c r="PK312" s="1005"/>
      <c r="PL312" s="1005"/>
      <c r="PM312" s="1005"/>
      <c r="PN312" s="1005"/>
      <c r="PO312" s="1005"/>
      <c r="PP312" s="1005"/>
      <c r="PQ312" s="1005"/>
      <c r="PR312" s="1005"/>
      <c r="PS312" s="1005"/>
      <c r="PT312" s="1005"/>
      <c r="PU312" s="1005"/>
      <c r="PV312" s="1005"/>
      <c r="PW312" s="1005"/>
      <c r="PX312" s="1005"/>
      <c r="PY312" s="1005"/>
      <c r="PZ312" s="1005"/>
      <c r="QA312" s="1005"/>
      <c r="QB312" s="1005"/>
      <c r="QC312" s="1005"/>
      <c r="QD312" s="1005"/>
      <c r="QE312" s="1005"/>
      <c r="QF312" s="1005"/>
      <c r="QG312" s="1005"/>
      <c r="QH312" s="1005"/>
      <c r="QI312" s="1005"/>
      <c r="QJ312" s="1005"/>
      <c r="QK312" s="1005"/>
      <c r="QL312" s="1005"/>
      <c r="QM312" s="1005"/>
      <c r="QN312" s="1005"/>
      <c r="QO312" s="1005"/>
      <c r="QP312" s="1005"/>
      <c r="QQ312" s="1005"/>
      <c r="QR312" s="1005"/>
      <c r="QS312" s="1005"/>
      <c r="QT312" s="1005"/>
      <c r="QU312" s="1005"/>
      <c r="QV312" s="1005"/>
      <c r="QW312" s="1005"/>
      <c r="QX312" s="1005"/>
      <c r="QY312" s="1005"/>
      <c r="QZ312" s="1005"/>
      <c r="RA312" s="1005"/>
      <c r="RB312" s="1005"/>
      <c r="RC312" s="1005"/>
      <c r="RD312" s="1005"/>
      <c r="RE312" s="1005"/>
      <c r="RF312" s="1005"/>
      <c r="RG312" s="1005"/>
      <c r="RH312" s="1005"/>
      <c r="RI312" s="1005"/>
      <c r="RJ312" s="1005"/>
      <c r="RK312" s="1005"/>
      <c r="RL312" s="1005"/>
      <c r="RM312" s="1005"/>
      <c r="RN312" s="1005"/>
      <c r="RO312" s="1005"/>
      <c r="RP312" s="1005"/>
      <c r="RQ312" s="1005"/>
      <c r="RR312" s="1005"/>
      <c r="RS312" s="1005"/>
      <c r="RT312" s="1005"/>
      <c r="RU312" s="1005"/>
      <c r="RV312" s="1005"/>
      <c r="RW312" s="1005"/>
      <c r="RX312" s="1005"/>
      <c r="RY312" s="1005"/>
      <c r="RZ312" s="1005"/>
      <c r="SA312" s="1005"/>
      <c r="SB312" s="1005"/>
      <c r="SC312" s="1005"/>
      <c r="SD312" s="1005"/>
      <c r="SE312" s="1005"/>
      <c r="SF312" s="1005"/>
      <c r="SG312" s="1005"/>
      <c r="SH312" s="1005"/>
      <c r="SI312" s="1005"/>
      <c r="SJ312" s="1005"/>
      <c r="SK312" s="1005"/>
      <c r="SL312" s="1005"/>
      <c r="SM312" s="1005"/>
      <c r="SN312" s="1005"/>
      <c r="SO312" s="1005"/>
      <c r="SP312" s="1005"/>
      <c r="SQ312" s="1005"/>
      <c r="SR312" s="1005"/>
      <c r="SS312" s="1005"/>
      <c r="ST312" s="1005"/>
      <c r="SU312" s="1005"/>
      <c r="SV312" s="1005"/>
      <c r="SW312" s="1005"/>
      <c r="SX312" s="1005"/>
      <c r="SY312" s="1005"/>
      <c r="SZ312" s="1005"/>
      <c r="TA312" s="1005"/>
      <c r="TB312" s="1005"/>
      <c r="TC312" s="1005"/>
      <c r="TD312" s="1005"/>
      <c r="TE312" s="1005"/>
      <c r="TF312" s="1005"/>
      <c r="TG312" s="1005"/>
      <c r="TH312" s="1005"/>
      <c r="TI312" s="1005"/>
      <c r="TJ312" s="1005"/>
      <c r="TK312" s="1005"/>
      <c r="TL312" s="1005"/>
      <c r="TM312" s="1005"/>
      <c r="TN312" s="1005"/>
      <c r="TO312" s="1005"/>
      <c r="TP312" s="1005"/>
      <c r="TQ312" s="1005"/>
      <c r="TR312" s="1005"/>
      <c r="TS312" s="1005"/>
      <c r="TT312" s="1005"/>
      <c r="TU312" s="1005"/>
      <c r="TV312" s="1005"/>
      <c r="TW312" s="1005"/>
      <c r="TX312" s="1005"/>
      <c r="TY312" s="1005"/>
      <c r="TZ312" s="1005"/>
      <c r="UA312" s="1005"/>
      <c r="UB312" s="1005"/>
      <c r="UC312" s="1005"/>
      <c r="UD312" s="1005"/>
      <c r="UE312" s="1005"/>
      <c r="UF312" s="1005"/>
      <c r="UG312" s="1005"/>
      <c r="UH312" s="1005"/>
      <c r="UI312" s="1005"/>
      <c r="UJ312" s="1005"/>
      <c r="UK312" s="1005"/>
      <c r="UL312" s="1005"/>
      <c r="UM312" s="1005"/>
      <c r="UN312" s="1005"/>
      <c r="UO312" s="1005"/>
      <c r="UP312" s="1005"/>
      <c r="UQ312" s="1005"/>
      <c r="UR312" s="1005"/>
      <c r="US312" s="1005"/>
      <c r="UT312" s="1005"/>
      <c r="UU312" s="1005"/>
      <c r="UV312" s="1005"/>
      <c r="UW312" s="1005"/>
      <c r="UX312" s="1005"/>
      <c r="UY312" s="1005"/>
      <c r="UZ312" s="1005"/>
      <c r="VA312" s="1005"/>
      <c r="VB312" s="1005"/>
      <c r="VC312" s="1005"/>
      <c r="VD312" s="1005"/>
      <c r="VE312" s="1005"/>
      <c r="VF312" s="1005"/>
      <c r="VG312" s="1005"/>
      <c r="VH312" s="1005"/>
      <c r="VI312" s="1005"/>
      <c r="VJ312" s="1005"/>
      <c r="VK312" s="1005"/>
      <c r="VL312" s="1005"/>
      <c r="VM312" s="1005"/>
      <c r="VN312" s="1005"/>
      <c r="VO312" s="1005"/>
      <c r="VP312" s="1005"/>
      <c r="VQ312" s="1005"/>
      <c r="VR312" s="1005"/>
      <c r="VS312" s="1005"/>
      <c r="VT312" s="1005"/>
      <c r="VU312" s="1005"/>
      <c r="VV312" s="1005"/>
      <c r="VW312" s="1005"/>
      <c r="VX312" s="1005"/>
      <c r="VY312" s="1005"/>
      <c r="VZ312" s="1005"/>
      <c r="WA312" s="1005"/>
      <c r="WB312" s="1005"/>
      <c r="WC312" s="1005"/>
      <c r="WD312" s="1005"/>
      <c r="WE312" s="1005"/>
      <c r="WF312" s="1005"/>
      <c r="WG312" s="1005"/>
      <c r="WH312" s="1005"/>
      <c r="WI312" s="1005"/>
      <c r="WJ312" s="1005"/>
      <c r="WK312" s="1005"/>
      <c r="WL312" s="1005"/>
      <c r="WM312" s="1005"/>
      <c r="WN312" s="1005"/>
      <c r="WO312" s="1005"/>
      <c r="WP312" s="1005"/>
      <c r="WQ312" s="1005"/>
      <c r="WR312" s="1005"/>
      <c r="WS312" s="1005"/>
      <c r="WT312" s="1005"/>
      <c r="WU312" s="1005"/>
      <c r="WV312" s="1005"/>
      <c r="WW312" s="1005"/>
      <c r="WX312" s="1005"/>
      <c r="WY312" s="1005"/>
      <c r="WZ312" s="1005"/>
      <c r="XA312" s="1005"/>
      <c r="XB312" s="1005"/>
      <c r="XC312" s="1005"/>
      <c r="XD312" s="1005"/>
      <c r="XE312" s="1005"/>
      <c r="XF312" s="1005"/>
      <c r="XG312" s="1005"/>
      <c r="XH312" s="1005"/>
      <c r="XI312" s="1005"/>
      <c r="XJ312" s="1005"/>
      <c r="XK312" s="1005"/>
      <c r="XL312" s="1005"/>
      <c r="XM312" s="1005"/>
      <c r="XN312" s="1005"/>
      <c r="XO312" s="1005"/>
      <c r="XP312" s="1005"/>
      <c r="XQ312" s="1005"/>
      <c r="XR312" s="1005"/>
      <c r="XS312" s="1005"/>
      <c r="XT312" s="1005"/>
      <c r="XU312" s="1005"/>
      <c r="XV312" s="1005"/>
      <c r="XW312" s="1005"/>
      <c r="XX312" s="1005"/>
      <c r="XY312" s="1005"/>
      <c r="XZ312" s="1005"/>
      <c r="YA312" s="1005"/>
      <c r="YB312" s="1005"/>
      <c r="YC312" s="1005"/>
      <c r="YD312" s="1005"/>
      <c r="YE312" s="1005"/>
      <c r="YF312" s="1005"/>
      <c r="YG312" s="1005"/>
      <c r="YH312" s="1005"/>
      <c r="YI312" s="1005"/>
      <c r="YJ312" s="1005"/>
      <c r="YK312" s="1005"/>
      <c r="YL312" s="1005"/>
      <c r="YM312" s="1005"/>
      <c r="YN312" s="1005"/>
      <c r="YO312" s="1005"/>
      <c r="YP312" s="1005"/>
      <c r="YQ312" s="1005"/>
      <c r="YR312" s="1005"/>
      <c r="YS312" s="1005"/>
      <c r="YT312" s="1005"/>
      <c r="YU312" s="1005"/>
      <c r="YV312" s="1005"/>
      <c r="YW312" s="1005"/>
      <c r="YX312" s="1005"/>
      <c r="YY312" s="1005"/>
      <c r="YZ312" s="1005"/>
      <c r="ZA312" s="1005"/>
      <c r="ZB312" s="1005"/>
      <c r="ZC312" s="1005"/>
      <c r="ZD312" s="1005"/>
      <c r="ZE312" s="1005"/>
      <c r="ZF312" s="1005"/>
      <c r="ZG312" s="1005"/>
      <c r="ZH312" s="1005"/>
      <c r="ZI312" s="1005"/>
      <c r="ZJ312" s="1005"/>
      <c r="ZK312" s="1005"/>
      <c r="ZL312" s="1005"/>
      <c r="ZM312" s="1005"/>
      <c r="ZN312" s="1005"/>
      <c r="ZO312" s="1005"/>
      <c r="ZP312" s="1005"/>
      <c r="ZQ312" s="1005"/>
      <c r="ZR312" s="1005"/>
      <c r="ZS312" s="1005"/>
      <c r="ZT312" s="1005"/>
      <c r="ZU312" s="1005"/>
      <c r="ZV312" s="1005"/>
      <c r="ZW312" s="1005"/>
      <c r="ZX312" s="1005"/>
      <c r="ZY312" s="1005"/>
      <c r="ZZ312" s="1005"/>
      <c r="AAA312" s="1005"/>
      <c r="AAB312" s="1005"/>
      <c r="AAC312" s="1005"/>
      <c r="AAD312" s="1005"/>
      <c r="AAE312" s="1005"/>
      <c r="AAF312" s="1005"/>
      <c r="AAG312" s="1005"/>
      <c r="AAH312" s="1005"/>
      <c r="AAI312" s="1005"/>
      <c r="AAJ312" s="1005"/>
      <c r="AAK312" s="1005"/>
      <c r="AAL312" s="1005"/>
      <c r="AAM312" s="1005"/>
      <c r="AAN312" s="1005"/>
      <c r="AAO312" s="1005"/>
      <c r="AAP312" s="1005"/>
      <c r="AAQ312" s="1005"/>
      <c r="AAR312" s="1005"/>
      <c r="AAS312" s="1005"/>
      <c r="AAT312" s="1005"/>
      <c r="AAU312" s="1005"/>
      <c r="AAV312" s="1005"/>
      <c r="AAW312" s="1005"/>
      <c r="AAX312" s="1005"/>
      <c r="AAY312" s="1005"/>
      <c r="AAZ312" s="1005"/>
      <c r="ABA312" s="1005"/>
      <c r="ABB312" s="1005"/>
      <c r="ABC312" s="1005"/>
      <c r="ABD312" s="1005"/>
      <c r="ABE312" s="1005"/>
      <c r="ABF312" s="1005"/>
      <c r="ABG312" s="1005"/>
      <c r="ABH312" s="1005"/>
      <c r="ABI312" s="1005"/>
      <c r="ABJ312" s="1005"/>
      <c r="ABK312" s="1005"/>
      <c r="ABL312" s="1005"/>
      <c r="ABM312" s="1005"/>
      <c r="ABN312" s="1005"/>
      <c r="ABO312" s="1005"/>
      <c r="ABP312" s="1005"/>
      <c r="ABQ312" s="1005"/>
      <c r="ABR312" s="1005"/>
    </row>
    <row r="313" spans="1:746" s="113" customFormat="1" ht="12" customHeight="1">
      <c r="A313" s="789"/>
      <c r="B313" s="2767">
        <f>IF(SUM(I312:AF312)&gt;ARBETSBLAD!E308,"Summa avskrivning överstiger ing anläggningstillgångar!",0)</f>
        <v>0</v>
      </c>
      <c r="C313" s="2483"/>
      <c r="D313" s="2483"/>
      <c r="E313" s="2483"/>
      <c r="F313" s="2483"/>
      <c r="G313" s="2483"/>
      <c r="H313" s="2481"/>
      <c r="I313" s="2570" t="str">
        <f>IF(fx!I$57=0,"&gt;&gt;",IF($L$4=I$6,"","Välj 1-12 i P4"))</f>
        <v/>
      </c>
      <c r="J313" s="1843" t="str">
        <f>IF(fx!J$57=0,"&gt;&gt;",IF($L$4=J$6,"Startmånad",""))</f>
        <v/>
      </c>
      <c r="K313" s="1843" t="str">
        <f>IF(fx!K$57=0,"&gt;&gt;",IF($L$4=K$6,"Startmånad",""))</f>
        <v/>
      </c>
      <c r="L313" s="1843" t="str">
        <f>IF(fx!L$57=0,"&gt;&gt;",IF($L$4=L$6,"Startmånad",""))</f>
        <v/>
      </c>
      <c r="M313" s="1843" t="str">
        <f>IF(fx!M$57=0,"&gt;&gt;",IF($L$4=M$6,"Startmånad",""))</f>
        <v/>
      </c>
      <c r="N313" s="1843" t="str">
        <f>IF(fx!N$57=0,"&gt;&gt;",IF($L$4=N$6,"Startmånad",""))</f>
        <v/>
      </c>
      <c r="O313" s="1843" t="str">
        <f>IF(AND(fx!$C$57=1,fx!O$57=0),"&gt;&gt;",IF(AND(fx!$C$57=1,$L$4=$O$6),"Startmånad",IF(AND(fx!$C$57=2,$L$4&lt;7),"Välj 7-12 i P4",IF(AND(fx!$C$57=2,$L$4=$O$6),"Startmånad",IF(AND(fx!$C$57=2,$L$4&gt;$O$6),"&gt;&gt;","")))))</f>
        <v/>
      </c>
      <c r="P313" s="1843" t="str">
        <f>IF(fx!P$57=0,"&gt;&gt;",IF($L$4=P$6,"Startmånad",""))</f>
        <v/>
      </c>
      <c r="Q313" s="1843" t="str">
        <f>IF(fx!Q$57=0,"&gt;&gt;",IF($L$4=Q$6,"Startmånad",""))</f>
        <v/>
      </c>
      <c r="R313" s="1843" t="str">
        <f>IF(fx!R$57=0,"&gt;&gt;",IF($L$4=R$6,"Startmånad",""))</f>
        <v/>
      </c>
      <c r="S313" s="1843" t="str">
        <f>IF(fx!S$57=0,"&gt;&gt;",IF($L$4=S$6,"Startmånad",""))</f>
        <v/>
      </c>
      <c r="T313" s="2721" t="str">
        <f>IF(fx!T$57=0,"&gt;&gt;",IF($L$4=T$6,"Startmånad",""))</f>
        <v/>
      </c>
      <c r="U313" s="2722"/>
      <c r="V313" s="337"/>
      <c r="W313" s="337"/>
      <c r="X313" s="337"/>
      <c r="Y313" s="337"/>
      <c r="Z313" s="337"/>
      <c r="AA313" s="337"/>
      <c r="AB313" s="337"/>
      <c r="AC313" s="337"/>
      <c r="AD313" s="337"/>
      <c r="AE313" s="337"/>
      <c r="AF313" s="337"/>
      <c r="AG313" s="337"/>
      <c r="AH313" s="337"/>
      <c r="AI313" s="337"/>
      <c r="AJ313" s="1036"/>
      <c r="AK313" s="1036"/>
      <c r="AL313" s="1036"/>
      <c r="AM313" s="1036"/>
      <c r="AN313" s="1036"/>
      <c r="AO313" s="1034"/>
      <c r="AP313" s="1037"/>
      <c r="AQ313" s="1037"/>
      <c r="AR313" s="1005"/>
      <c r="AS313" s="1005"/>
      <c r="AT313" s="1005"/>
      <c r="AU313" s="1005"/>
      <c r="AV313" s="1005"/>
      <c r="AW313" s="1005"/>
      <c r="AX313" s="1005"/>
      <c r="AY313" s="1005"/>
      <c r="AZ313" s="1005"/>
      <c r="BA313" s="1005"/>
      <c r="BB313" s="1005"/>
      <c r="BC313" s="1005"/>
      <c r="BD313" s="1005"/>
      <c r="BE313" s="1005"/>
      <c r="BF313" s="1005"/>
      <c r="BG313" s="1005"/>
      <c r="BH313" s="1005"/>
      <c r="BI313" s="1005"/>
      <c r="BJ313" s="1005"/>
      <c r="BK313" s="1005"/>
      <c r="BL313" s="1005"/>
      <c r="BM313" s="1005"/>
      <c r="BN313" s="1005"/>
      <c r="BO313" s="1005"/>
      <c r="BP313" s="1005"/>
      <c r="BQ313" s="1005"/>
      <c r="BR313" s="1005"/>
      <c r="BS313" s="1005"/>
      <c r="BT313" s="1005"/>
      <c r="BU313" s="1005"/>
      <c r="BV313" s="1005"/>
      <c r="BW313" s="1005"/>
      <c r="BX313" s="1005"/>
      <c r="BY313" s="1005"/>
      <c r="BZ313" s="1005"/>
      <c r="CA313" s="1005"/>
      <c r="CB313" s="1005"/>
      <c r="CC313" s="1005"/>
      <c r="CD313" s="1005"/>
      <c r="CE313" s="1005"/>
      <c r="CF313" s="1005"/>
      <c r="CG313" s="1005"/>
      <c r="CH313" s="1005"/>
      <c r="CI313" s="1005"/>
      <c r="CJ313" s="1005"/>
      <c r="CK313" s="1005"/>
      <c r="CL313" s="1005"/>
      <c r="CM313" s="1005"/>
      <c r="CN313" s="1005"/>
      <c r="CO313" s="1005"/>
      <c r="CP313" s="1005"/>
      <c r="CQ313" s="1005"/>
      <c r="CR313" s="1005"/>
      <c r="CS313" s="1005"/>
      <c r="CT313" s="1005"/>
      <c r="CU313" s="1005"/>
      <c r="CV313" s="1005"/>
      <c r="CW313" s="1005"/>
      <c r="CX313" s="1005"/>
      <c r="CY313" s="1005"/>
      <c r="CZ313" s="1005"/>
      <c r="DA313" s="1005"/>
      <c r="DB313" s="1005"/>
      <c r="DC313" s="1005"/>
      <c r="DD313" s="1005"/>
      <c r="DE313" s="1005"/>
      <c r="DF313" s="1005"/>
      <c r="DG313" s="1005"/>
      <c r="DH313" s="1005"/>
      <c r="DI313" s="1005"/>
      <c r="DJ313" s="1005"/>
      <c r="DK313" s="1005"/>
      <c r="DL313" s="1005"/>
      <c r="DM313" s="1005"/>
      <c r="DN313" s="1005"/>
      <c r="DO313" s="1005"/>
      <c r="DP313" s="1005"/>
      <c r="DQ313" s="1005"/>
      <c r="DR313" s="1005"/>
      <c r="DS313" s="1005"/>
      <c r="DT313" s="1005"/>
      <c r="DU313" s="1005"/>
      <c r="DV313" s="1005"/>
      <c r="DW313" s="1005"/>
      <c r="DX313" s="1005"/>
      <c r="DY313" s="1005"/>
      <c r="DZ313" s="1005"/>
      <c r="EA313" s="1005"/>
      <c r="EB313" s="1005"/>
      <c r="EC313" s="1005"/>
      <c r="ED313" s="1005"/>
      <c r="EE313" s="1005"/>
      <c r="EF313" s="1005"/>
      <c r="EG313" s="1005"/>
      <c r="EH313" s="1005"/>
      <c r="EI313" s="1005"/>
      <c r="EJ313" s="1005"/>
      <c r="EK313" s="1005"/>
      <c r="EL313" s="1005"/>
      <c r="EM313" s="1005"/>
      <c r="EN313" s="1005"/>
      <c r="EO313" s="1005"/>
      <c r="EP313" s="1005"/>
      <c r="EQ313" s="1005"/>
      <c r="ER313" s="1005"/>
      <c r="ES313" s="1005"/>
      <c r="ET313" s="1005"/>
      <c r="EU313" s="1005"/>
      <c r="EV313" s="1005"/>
      <c r="EW313" s="1005"/>
      <c r="EX313" s="1005"/>
      <c r="EY313" s="1005"/>
      <c r="EZ313" s="1005"/>
      <c r="FA313" s="1005"/>
      <c r="FB313" s="1005"/>
      <c r="FC313" s="1005"/>
      <c r="FD313" s="1005"/>
      <c r="FE313" s="1005"/>
      <c r="FF313" s="1005"/>
      <c r="FG313" s="1005"/>
      <c r="FH313" s="1005"/>
      <c r="FI313" s="1005"/>
      <c r="FJ313" s="1005"/>
      <c r="FK313" s="1005"/>
      <c r="FL313" s="1005"/>
      <c r="FM313" s="1005"/>
      <c r="FN313" s="1005"/>
      <c r="FO313" s="1005"/>
      <c r="FP313" s="1005"/>
      <c r="FQ313" s="1005"/>
      <c r="FR313" s="1005"/>
      <c r="FS313" s="1005"/>
      <c r="FT313" s="1005"/>
      <c r="FU313" s="1005"/>
      <c r="FV313" s="1005"/>
      <c r="FW313" s="1005"/>
      <c r="FX313" s="1005"/>
      <c r="FY313" s="1005"/>
      <c r="FZ313" s="1005"/>
      <c r="GA313" s="1005"/>
      <c r="GB313" s="1005"/>
      <c r="GC313" s="1005"/>
      <c r="GD313" s="1005"/>
      <c r="GE313" s="1005"/>
      <c r="GF313" s="1005"/>
      <c r="GG313" s="1005"/>
      <c r="GH313" s="1005"/>
      <c r="GI313" s="1005"/>
      <c r="GJ313" s="1005"/>
      <c r="GK313" s="1005"/>
      <c r="GL313" s="1005"/>
      <c r="GM313" s="1005"/>
      <c r="GN313" s="1005"/>
      <c r="GO313" s="1005"/>
      <c r="GP313" s="1005"/>
      <c r="GQ313" s="1005"/>
      <c r="GR313" s="1005"/>
      <c r="GS313" s="1005"/>
      <c r="GT313" s="1005"/>
      <c r="GU313" s="1005"/>
      <c r="GV313" s="1005"/>
      <c r="GW313" s="1005"/>
      <c r="GX313" s="1005"/>
      <c r="GY313" s="1005"/>
      <c r="GZ313" s="1005"/>
      <c r="HA313" s="1005"/>
      <c r="HB313" s="1005"/>
      <c r="HC313" s="1005"/>
      <c r="HD313" s="1005"/>
      <c r="HE313" s="1005"/>
      <c r="HF313" s="1005"/>
      <c r="HG313" s="1005"/>
      <c r="HH313" s="1005"/>
      <c r="HI313" s="1005"/>
      <c r="HJ313" s="1005"/>
      <c r="HK313" s="1005"/>
      <c r="HL313" s="1005"/>
      <c r="HM313" s="1005"/>
      <c r="HN313" s="1005"/>
      <c r="HO313" s="1005"/>
      <c r="HP313" s="1005"/>
      <c r="HQ313" s="1005"/>
      <c r="HR313" s="1005"/>
      <c r="HS313" s="1005"/>
      <c r="HT313" s="1005"/>
      <c r="HU313" s="1005"/>
      <c r="HV313" s="1005"/>
      <c r="HW313" s="1005"/>
      <c r="HX313" s="1005"/>
      <c r="HY313" s="1005"/>
      <c r="HZ313" s="1005"/>
      <c r="IA313" s="1005"/>
      <c r="IB313" s="1005"/>
      <c r="IC313" s="1005"/>
      <c r="ID313" s="1005"/>
      <c r="IE313" s="1005"/>
      <c r="IF313" s="1005"/>
      <c r="IG313" s="1005"/>
      <c r="IH313" s="1005"/>
      <c r="II313" s="1005"/>
      <c r="IJ313" s="1005"/>
      <c r="IK313" s="1005"/>
      <c r="IL313" s="1005"/>
      <c r="IM313" s="1005"/>
      <c r="IN313" s="1005"/>
      <c r="IO313" s="1005"/>
      <c r="IP313" s="1005"/>
      <c r="IQ313" s="1005"/>
      <c r="IR313" s="1005"/>
      <c r="IS313" s="1005"/>
      <c r="IT313" s="1005"/>
      <c r="IU313" s="1005"/>
      <c r="IV313" s="1005"/>
      <c r="IW313" s="1005"/>
      <c r="IX313" s="1005"/>
      <c r="IY313" s="1005"/>
      <c r="IZ313" s="1005"/>
      <c r="JA313" s="1005"/>
      <c r="JB313" s="1005"/>
      <c r="JC313" s="1005"/>
      <c r="JD313" s="1005"/>
      <c r="JE313" s="1005"/>
      <c r="JF313" s="1005"/>
      <c r="JG313" s="1005"/>
      <c r="JH313" s="1005"/>
      <c r="JI313" s="1005"/>
      <c r="JJ313" s="1005"/>
      <c r="JK313" s="1005"/>
      <c r="JL313" s="1005"/>
      <c r="JM313" s="1005"/>
      <c r="JN313" s="1005"/>
      <c r="JO313" s="1005"/>
      <c r="JP313" s="1005"/>
      <c r="JQ313" s="1005"/>
      <c r="JR313" s="1005"/>
      <c r="JS313" s="1005"/>
      <c r="JT313" s="1005"/>
      <c r="JU313" s="1005"/>
      <c r="JV313" s="1005"/>
      <c r="JW313" s="1005"/>
      <c r="JX313" s="1005"/>
      <c r="JY313" s="1005"/>
      <c r="JZ313" s="1005"/>
      <c r="KA313" s="1005"/>
      <c r="KB313" s="1005"/>
      <c r="KC313" s="1005"/>
      <c r="KD313" s="1005"/>
      <c r="KE313" s="1005"/>
      <c r="KF313" s="1005"/>
      <c r="KG313" s="1005"/>
      <c r="KH313" s="1005"/>
      <c r="KI313" s="1005"/>
      <c r="KJ313" s="1005"/>
      <c r="KK313" s="1005"/>
      <c r="KL313" s="1005"/>
      <c r="KM313" s="1005"/>
      <c r="KN313" s="1005"/>
      <c r="KO313" s="1005"/>
      <c r="KP313" s="1005"/>
      <c r="KQ313" s="1005"/>
      <c r="KR313" s="1005"/>
      <c r="KS313" s="1005"/>
      <c r="KT313" s="1005"/>
      <c r="KU313" s="1005"/>
      <c r="KV313" s="1005"/>
      <c r="KW313" s="1005"/>
      <c r="KX313" s="1005"/>
      <c r="KY313" s="1005"/>
      <c r="KZ313" s="1005"/>
      <c r="LA313" s="1005"/>
      <c r="LB313" s="1005"/>
      <c r="LC313" s="1005"/>
      <c r="LD313" s="1005"/>
      <c r="LE313" s="1005"/>
      <c r="LF313" s="1005"/>
      <c r="LG313" s="1005"/>
      <c r="LH313" s="1005"/>
      <c r="LI313" s="1005"/>
      <c r="LJ313" s="1005"/>
      <c r="LK313" s="1005"/>
      <c r="LL313" s="1005"/>
      <c r="LM313" s="1005"/>
      <c r="LN313" s="1005"/>
      <c r="LO313" s="1005"/>
      <c r="LP313" s="1005"/>
      <c r="LQ313" s="1005"/>
      <c r="LR313" s="1005"/>
      <c r="LS313" s="1005"/>
      <c r="LT313" s="1005"/>
      <c r="LU313" s="1005"/>
      <c r="LV313" s="1005"/>
      <c r="LW313" s="1005"/>
      <c r="LX313" s="1005"/>
      <c r="LY313" s="1005"/>
      <c r="LZ313" s="1005"/>
      <c r="MA313" s="1005"/>
      <c r="MB313" s="1005"/>
      <c r="MC313" s="1005"/>
      <c r="MD313" s="1005"/>
      <c r="ME313" s="1005"/>
      <c r="MF313" s="1005"/>
      <c r="MG313" s="1005"/>
      <c r="MH313" s="1005"/>
      <c r="MI313" s="1005"/>
      <c r="MJ313" s="1005"/>
      <c r="MK313" s="1005"/>
      <c r="ML313" s="1005"/>
      <c r="MM313" s="1005"/>
      <c r="MN313" s="1005"/>
      <c r="MO313" s="1005"/>
      <c r="MP313" s="1005"/>
      <c r="MQ313" s="1005"/>
      <c r="MR313" s="1005"/>
      <c r="MS313" s="1005"/>
      <c r="MT313" s="1005"/>
      <c r="MU313" s="1005"/>
      <c r="MV313" s="1005"/>
      <c r="MW313" s="1005"/>
      <c r="MX313" s="1005"/>
      <c r="MY313" s="1005"/>
      <c r="MZ313" s="1005"/>
      <c r="NA313" s="1005"/>
      <c r="NB313" s="1005"/>
      <c r="NC313" s="1005"/>
      <c r="ND313" s="1005"/>
      <c r="NE313" s="1005"/>
      <c r="NF313" s="1005"/>
      <c r="NG313" s="1005"/>
      <c r="NH313" s="1005"/>
      <c r="NI313" s="1005"/>
      <c r="NJ313" s="1005"/>
      <c r="NK313" s="1005"/>
      <c r="NL313" s="1005"/>
      <c r="NM313" s="1005"/>
      <c r="NN313" s="1005"/>
      <c r="NO313" s="1005"/>
      <c r="NP313" s="1005"/>
      <c r="NQ313" s="1005"/>
      <c r="NR313" s="1005"/>
      <c r="NS313" s="1005"/>
      <c r="NT313" s="1005"/>
      <c r="NU313" s="1005"/>
      <c r="NV313" s="1005"/>
      <c r="NW313" s="1005"/>
      <c r="NX313" s="1005"/>
      <c r="NY313" s="1005"/>
      <c r="NZ313" s="1005"/>
      <c r="OA313" s="1005"/>
      <c r="OB313" s="1005"/>
      <c r="OC313" s="1005"/>
      <c r="OD313" s="1005"/>
      <c r="OE313" s="1005"/>
      <c r="OF313" s="1005"/>
      <c r="OG313" s="1005"/>
      <c r="OH313" s="1005"/>
      <c r="OI313" s="1005"/>
      <c r="OJ313" s="1005"/>
      <c r="OK313" s="1005"/>
      <c r="OL313" s="1005"/>
      <c r="OM313" s="1005"/>
      <c r="ON313" s="1005"/>
      <c r="OO313" s="1005"/>
      <c r="OP313" s="1005"/>
      <c r="OQ313" s="1005"/>
      <c r="OR313" s="1005"/>
      <c r="OS313" s="1005"/>
      <c r="OT313" s="1005"/>
      <c r="OU313" s="1005"/>
      <c r="OV313" s="1005"/>
      <c r="OW313" s="1005"/>
      <c r="OX313" s="1005"/>
      <c r="OY313" s="1005"/>
      <c r="OZ313" s="1005"/>
      <c r="PA313" s="1005"/>
      <c r="PB313" s="1005"/>
      <c r="PC313" s="1005"/>
      <c r="PD313" s="1005"/>
      <c r="PE313" s="1005"/>
      <c r="PF313" s="1005"/>
      <c r="PG313" s="1005"/>
      <c r="PH313" s="1005"/>
      <c r="PI313" s="1005"/>
      <c r="PJ313" s="1005"/>
      <c r="PK313" s="1005"/>
      <c r="PL313" s="1005"/>
      <c r="PM313" s="1005"/>
      <c r="PN313" s="1005"/>
      <c r="PO313" s="1005"/>
      <c r="PP313" s="1005"/>
      <c r="PQ313" s="1005"/>
      <c r="PR313" s="1005"/>
      <c r="PS313" s="1005"/>
      <c r="PT313" s="1005"/>
      <c r="PU313" s="1005"/>
      <c r="PV313" s="1005"/>
      <c r="PW313" s="1005"/>
      <c r="PX313" s="1005"/>
      <c r="PY313" s="1005"/>
      <c r="PZ313" s="1005"/>
      <c r="QA313" s="1005"/>
      <c r="QB313" s="1005"/>
      <c r="QC313" s="1005"/>
      <c r="QD313" s="1005"/>
      <c r="QE313" s="1005"/>
      <c r="QF313" s="1005"/>
      <c r="QG313" s="1005"/>
      <c r="QH313" s="1005"/>
      <c r="QI313" s="1005"/>
      <c r="QJ313" s="1005"/>
      <c r="QK313" s="1005"/>
      <c r="QL313" s="1005"/>
      <c r="QM313" s="1005"/>
      <c r="QN313" s="1005"/>
      <c r="QO313" s="1005"/>
      <c r="QP313" s="1005"/>
      <c r="QQ313" s="1005"/>
      <c r="QR313" s="1005"/>
      <c r="QS313" s="1005"/>
      <c r="QT313" s="1005"/>
      <c r="QU313" s="1005"/>
      <c r="QV313" s="1005"/>
      <c r="QW313" s="1005"/>
      <c r="QX313" s="1005"/>
      <c r="QY313" s="1005"/>
      <c r="QZ313" s="1005"/>
      <c r="RA313" s="1005"/>
      <c r="RB313" s="1005"/>
      <c r="RC313" s="1005"/>
      <c r="RD313" s="1005"/>
      <c r="RE313" s="1005"/>
      <c r="RF313" s="1005"/>
      <c r="RG313" s="1005"/>
      <c r="RH313" s="1005"/>
      <c r="RI313" s="1005"/>
      <c r="RJ313" s="1005"/>
      <c r="RK313" s="1005"/>
      <c r="RL313" s="1005"/>
      <c r="RM313" s="1005"/>
      <c r="RN313" s="1005"/>
      <c r="RO313" s="1005"/>
      <c r="RP313" s="1005"/>
      <c r="RQ313" s="1005"/>
      <c r="RR313" s="1005"/>
      <c r="RS313" s="1005"/>
      <c r="RT313" s="1005"/>
      <c r="RU313" s="1005"/>
      <c r="RV313" s="1005"/>
      <c r="RW313" s="1005"/>
      <c r="RX313" s="1005"/>
      <c r="RY313" s="1005"/>
      <c r="RZ313" s="1005"/>
      <c r="SA313" s="1005"/>
      <c r="SB313" s="1005"/>
      <c r="SC313" s="1005"/>
      <c r="SD313" s="1005"/>
      <c r="SE313" s="1005"/>
      <c r="SF313" s="1005"/>
      <c r="SG313" s="1005"/>
      <c r="SH313" s="1005"/>
      <c r="SI313" s="1005"/>
      <c r="SJ313" s="1005"/>
      <c r="SK313" s="1005"/>
      <c r="SL313" s="1005"/>
      <c r="SM313" s="1005"/>
      <c r="SN313" s="1005"/>
      <c r="SO313" s="1005"/>
      <c r="SP313" s="1005"/>
      <c r="SQ313" s="1005"/>
      <c r="SR313" s="1005"/>
      <c r="SS313" s="1005"/>
      <c r="ST313" s="1005"/>
      <c r="SU313" s="1005"/>
      <c r="SV313" s="1005"/>
      <c r="SW313" s="1005"/>
      <c r="SX313" s="1005"/>
      <c r="SY313" s="1005"/>
      <c r="SZ313" s="1005"/>
      <c r="TA313" s="1005"/>
      <c r="TB313" s="1005"/>
      <c r="TC313" s="1005"/>
      <c r="TD313" s="1005"/>
      <c r="TE313" s="1005"/>
      <c r="TF313" s="1005"/>
      <c r="TG313" s="1005"/>
      <c r="TH313" s="1005"/>
      <c r="TI313" s="1005"/>
      <c r="TJ313" s="1005"/>
      <c r="TK313" s="1005"/>
      <c r="TL313" s="1005"/>
      <c r="TM313" s="1005"/>
      <c r="TN313" s="1005"/>
      <c r="TO313" s="1005"/>
      <c r="TP313" s="1005"/>
      <c r="TQ313" s="1005"/>
      <c r="TR313" s="1005"/>
      <c r="TS313" s="1005"/>
      <c r="TT313" s="1005"/>
      <c r="TU313" s="1005"/>
      <c r="TV313" s="1005"/>
      <c r="TW313" s="1005"/>
      <c r="TX313" s="1005"/>
      <c r="TY313" s="1005"/>
      <c r="TZ313" s="1005"/>
      <c r="UA313" s="1005"/>
      <c r="UB313" s="1005"/>
      <c r="UC313" s="1005"/>
      <c r="UD313" s="1005"/>
      <c r="UE313" s="1005"/>
      <c r="UF313" s="1005"/>
      <c r="UG313" s="1005"/>
      <c r="UH313" s="1005"/>
      <c r="UI313" s="1005"/>
      <c r="UJ313" s="1005"/>
      <c r="UK313" s="1005"/>
      <c r="UL313" s="1005"/>
      <c r="UM313" s="1005"/>
      <c r="UN313" s="1005"/>
      <c r="UO313" s="1005"/>
      <c r="UP313" s="1005"/>
      <c r="UQ313" s="1005"/>
      <c r="UR313" s="1005"/>
      <c r="US313" s="1005"/>
      <c r="UT313" s="1005"/>
      <c r="UU313" s="1005"/>
      <c r="UV313" s="1005"/>
      <c r="UW313" s="1005"/>
      <c r="UX313" s="1005"/>
      <c r="UY313" s="1005"/>
      <c r="UZ313" s="1005"/>
      <c r="VA313" s="1005"/>
      <c r="VB313" s="1005"/>
      <c r="VC313" s="1005"/>
      <c r="VD313" s="1005"/>
      <c r="VE313" s="1005"/>
      <c r="VF313" s="1005"/>
      <c r="VG313" s="1005"/>
      <c r="VH313" s="1005"/>
      <c r="VI313" s="1005"/>
      <c r="VJ313" s="1005"/>
      <c r="VK313" s="1005"/>
      <c r="VL313" s="1005"/>
      <c r="VM313" s="1005"/>
      <c r="VN313" s="1005"/>
      <c r="VO313" s="1005"/>
      <c r="VP313" s="1005"/>
      <c r="VQ313" s="1005"/>
      <c r="VR313" s="1005"/>
      <c r="VS313" s="1005"/>
      <c r="VT313" s="1005"/>
      <c r="VU313" s="1005"/>
      <c r="VV313" s="1005"/>
      <c r="VW313" s="1005"/>
      <c r="VX313" s="1005"/>
      <c r="VY313" s="1005"/>
      <c r="VZ313" s="1005"/>
      <c r="WA313" s="1005"/>
      <c r="WB313" s="1005"/>
      <c r="WC313" s="1005"/>
      <c r="WD313" s="1005"/>
      <c r="WE313" s="1005"/>
      <c r="WF313" s="1005"/>
      <c r="WG313" s="1005"/>
      <c r="WH313" s="1005"/>
      <c r="WI313" s="1005"/>
      <c r="WJ313" s="1005"/>
      <c r="WK313" s="1005"/>
      <c r="WL313" s="1005"/>
      <c r="WM313" s="1005"/>
      <c r="WN313" s="1005"/>
      <c r="WO313" s="1005"/>
      <c r="WP313" s="1005"/>
      <c r="WQ313" s="1005"/>
      <c r="WR313" s="1005"/>
      <c r="WS313" s="1005"/>
      <c r="WT313" s="1005"/>
      <c r="WU313" s="1005"/>
      <c r="WV313" s="1005"/>
      <c r="WW313" s="1005"/>
      <c r="WX313" s="1005"/>
      <c r="WY313" s="1005"/>
      <c r="WZ313" s="1005"/>
      <c r="XA313" s="1005"/>
      <c r="XB313" s="1005"/>
      <c r="XC313" s="1005"/>
      <c r="XD313" s="1005"/>
      <c r="XE313" s="1005"/>
      <c r="XF313" s="1005"/>
      <c r="XG313" s="1005"/>
      <c r="XH313" s="1005"/>
      <c r="XI313" s="1005"/>
      <c r="XJ313" s="1005"/>
      <c r="XK313" s="1005"/>
      <c r="XL313" s="1005"/>
      <c r="XM313" s="1005"/>
      <c r="XN313" s="1005"/>
      <c r="XO313" s="1005"/>
      <c r="XP313" s="1005"/>
      <c r="XQ313" s="1005"/>
      <c r="XR313" s="1005"/>
      <c r="XS313" s="1005"/>
      <c r="XT313" s="1005"/>
      <c r="XU313" s="1005"/>
      <c r="XV313" s="1005"/>
      <c r="XW313" s="1005"/>
      <c r="XX313" s="1005"/>
      <c r="XY313" s="1005"/>
      <c r="XZ313" s="1005"/>
      <c r="YA313" s="1005"/>
      <c r="YB313" s="1005"/>
      <c r="YC313" s="1005"/>
      <c r="YD313" s="1005"/>
      <c r="YE313" s="1005"/>
      <c r="YF313" s="1005"/>
      <c r="YG313" s="1005"/>
      <c r="YH313" s="1005"/>
      <c r="YI313" s="1005"/>
      <c r="YJ313" s="1005"/>
      <c r="YK313" s="1005"/>
      <c r="YL313" s="1005"/>
      <c r="YM313" s="1005"/>
      <c r="YN313" s="1005"/>
      <c r="YO313" s="1005"/>
      <c r="YP313" s="1005"/>
      <c r="YQ313" s="1005"/>
      <c r="YR313" s="1005"/>
      <c r="YS313" s="1005"/>
      <c r="YT313" s="1005"/>
      <c r="YU313" s="1005"/>
      <c r="YV313" s="1005"/>
      <c r="YW313" s="1005"/>
      <c r="YX313" s="1005"/>
      <c r="YY313" s="1005"/>
      <c r="YZ313" s="1005"/>
      <c r="ZA313" s="1005"/>
      <c r="ZB313" s="1005"/>
      <c r="ZC313" s="1005"/>
      <c r="ZD313" s="1005"/>
      <c r="ZE313" s="1005"/>
      <c r="ZF313" s="1005"/>
      <c r="ZG313" s="1005"/>
      <c r="ZH313" s="1005"/>
      <c r="ZI313" s="1005"/>
      <c r="ZJ313" s="1005"/>
      <c r="ZK313" s="1005"/>
      <c r="ZL313" s="1005"/>
      <c r="ZM313" s="1005"/>
      <c r="ZN313" s="1005"/>
      <c r="ZO313" s="1005"/>
      <c r="ZP313" s="1005"/>
      <c r="ZQ313" s="1005"/>
      <c r="ZR313" s="1005"/>
      <c r="ZS313" s="1005"/>
      <c r="ZT313" s="1005"/>
      <c r="ZU313" s="1005"/>
      <c r="ZV313" s="1005"/>
      <c r="ZW313" s="1005"/>
      <c r="ZX313" s="1005"/>
      <c r="ZY313" s="1005"/>
      <c r="ZZ313" s="1005"/>
      <c r="AAA313" s="1005"/>
      <c r="AAB313" s="1005"/>
      <c r="AAC313" s="1005"/>
      <c r="AAD313" s="1005"/>
      <c r="AAE313" s="1005"/>
      <c r="AAF313" s="1005"/>
      <c r="AAG313" s="1005"/>
      <c r="AAH313" s="1005"/>
      <c r="AAI313" s="1005"/>
      <c r="AAJ313" s="1005"/>
      <c r="AAK313" s="1005"/>
      <c r="AAL313" s="1005"/>
      <c r="AAM313" s="1005"/>
      <c r="AAN313" s="1005"/>
      <c r="AAO313" s="1005"/>
      <c r="AAP313" s="1005"/>
      <c r="AAQ313" s="1005"/>
      <c r="AAR313" s="1005"/>
      <c r="AAS313" s="1005"/>
      <c r="AAT313" s="1005"/>
      <c r="AAU313" s="1005"/>
      <c r="AAV313" s="1005"/>
      <c r="AAW313" s="1005"/>
      <c r="AAX313" s="1005"/>
      <c r="AAY313" s="1005"/>
      <c r="AAZ313" s="1005"/>
      <c r="ABA313" s="1005"/>
      <c r="ABB313" s="1005"/>
      <c r="ABC313" s="1005"/>
      <c r="ABD313" s="1005"/>
      <c r="ABE313" s="1005"/>
      <c r="ABF313" s="1005"/>
      <c r="ABG313" s="1005"/>
      <c r="ABH313" s="1005"/>
      <c r="ABI313" s="1005"/>
      <c r="ABJ313" s="1005"/>
      <c r="ABK313" s="1005"/>
      <c r="ABL313" s="1005"/>
      <c r="ABM313" s="1005"/>
      <c r="ABN313" s="1005"/>
      <c r="ABO313" s="1005"/>
      <c r="ABP313" s="1005"/>
      <c r="ABQ313" s="1005"/>
      <c r="ABR313" s="1005"/>
    </row>
    <row r="314" spans="1:746" s="111" customFormat="1" ht="12" customHeight="1">
      <c r="A314" s="2282"/>
      <c r="B314" s="2486" t="s">
        <v>919</v>
      </c>
      <c r="C314" s="2487"/>
      <c r="D314" s="2488"/>
      <c r="E314" s="2489"/>
      <c r="F314" s="2489"/>
      <c r="G314" s="2489"/>
      <c r="H314" s="2490"/>
      <c r="I314" s="2493" t="s">
        <v>1485</v>
      </c>
      <c r="J314" s="2491"/>
      <c r="K314" s="2491"/>
      <c r="L314" s="2491"/>
      <c r="M314" s="2491"/>
      <c r="N314" s="2491"/>
      <c r="O314" s="2491"/>
      <c r="P314" s="2491"/>
      <c r="Q314" s="2491"/>
      <c r="R314" s="2491"/>
      <c r="S314" s="2305"/>
      <c r="T314" s="2492"/>
      <c r="U314" s="1695"/>
      <c r="V314" s="2305"/>
      <c r="W314" s="2305"/>
      <c r="X314" s="2305"/>
      <c r="Y314" s="2305"/>
      <c r="Z314" s="2305"/>
      <c r="AA314" s="2305"/>
      <c r="AB314" s="2305"/>
      <c r="AC314" s="2305"/>
      <c r="AD314" s="2305"/>
      <c r="AE314" s="2305"/>
      <c r="AF314" s="2306"/>
      <c r="AG314" s="376"/>
      <c r="AH314" s="786"/>
      <c r="AI314" s="786"/>
      <c r="AJ314" s="773"/>
      <c r="AK314" s="774"/>
      <c r="AL314" s="773"/>
      <c r="AM314" s="1237"/>
      <c r="AN314" s="1238"/>
      <c r="AO314" s="1034"/>
      <c r="AP314" s="1084"/>
      <c r="AQ314" s="1084"/>
      <c r="AR314" s="1009"/>
      <c r="AS314" s="1009"/>
      <c r="AT314" s="1009"/>
      <c r="AU314" s="1009"/>
      <c r="AV314" s="1009"/>
      <c r="AW314" s="1009"/>
      <c r="AX314" s="1009"/>
      <c r="AY314" s="1009"/>
      <c r="AZ314" s="1009"/>
      <c r="BA314" s="1009"/>
      <c r="BB314" s="1009"/>
      <c r="BC314" s="1009"/>
      <c r="BD314" s="1009"/>
      <c r="BE314" s="1009"/>
      <c r="BF314" s="1009"/>
      <c r="BG314" s="1009"/>
      <c r="BH314" s="1009"/>
      <c r="BI314" s="1009"/>
      <c r="BJ314" s="1009"/>
      <c r="BK314" s="1009"/>
      <c r="BL314" s="1009"/>
      <c r="BM314" s="1009"/>
      <c r="BN314" s="1009"/>
      <c r="BO314" s="1009"/>
      <c r="BP314" s="1009"/>
      <c r="BQ314" s="1009"/>
      <c r="BR314" s="1009"/>
      <c r="BS314" s="1009"/>
      <c r="BT314" s="1009"/>
      <c r="BU314" s="1009"/>
      <c r="BV314" s="1009"/>
      <c r="BW314" s="1009"/>
      <c r="BX314" s="1009"/>
      <c r="BY314" s="1009"/>
      <c r="BZ314" s="1009"/>
      <c r="CA314" s="1009"/>
      <c r="CB314" s="1009"/>
      <c r="CC314" s="1009"/>
      <c r="CD314" s="1009"/>
      <c r="CE314" s="1009"/>
      <c r="CF314" s="1009"/>
      <c r="CG314" s="1009"/>
      <c r="CH314" s="1009"/>
      <c r="CI314" s="1009"/>
      <c r="CJ314" s="1009"/>
      <c r="CK314" s="1009"/>
      <c r="CL314" s="1009"/>
      <c r="CM314" s="1009"/>
      <c r="CN314" s="1009"/>
      <c r="CO314" s="1009"/>
      <c r="CP314" s="1009"/>
      <c r="CQ314" s="1009"/>
      <c r="CR314" s="1009"/>
      <c r="CS314" s="1009"/>
      <c r="CT314" s="1009"/>
      <c r="CU314" s="1009"/>
      <c r="CV314" s="1009"/>
      <c r="CW314" s="1009"/>
      <c r="CX314" s="1009"/>
      <c r="CY314" s="1009"/>
      <c r="CZ314" s="1009"/>
      <c r="DA314" s="1009"/>
      <c r="DB314" s="1009"/>
      <c r="DC314" s="1009"/>
      <c r="DD314" s="1009"/>
      <c r="DE314" s="1009"/>
      <c r="DF314" s="1009"/>
      <c r="DG314" s="1009"/>
      <c r="DH314" s="1009"/>
      <c r="DI314" s="1009"/>
      <c r="DJ314" s="1009"/>
      <c r="DK314" s="1009"/>
      <c r="DL314" s="1009"/>
      <c r="DM314" s="1009"/>
      <c r="DN314" s="1009"/>
      <c r="DO314" s="1009"/>
      <c r="DP314" s="1009"/>
      <c r="DQ314" s="1009"/>
      <c r="DR314" s="1009"/>
      <c r="DS314" s="1009"/>
      <c r="DT314" s="1009"/>
      <c r="DU314" s="1009"/>
      <c r="DV314" s="1009"/>
      <c r="DW314" s="1009"/>
      <c r="DX314" s="1009"/>
      <c r="DY314" s="1009"/>
      <c r="DZ314" s="1009"/>
      <c r="EA314" s="1009"/>
      <c r="EB314" s="1009"/>
      <c r="EC314" s="1009"/>
      <c r="ED314" s="1009"/>
      <c r="EE314" s="1009"/>
      <c r="EF314" s="1009"/>
      <c r="EG314" s="1009"/>
      <c r="EH314" s="1009"/>
      <c r="EI314" s="1009"/>
      <c r="EJ314" s="1009"/>
      <c r="EK314" s="1009"/>
      <c r="EL314" s="1009"/>
      <c r="EM314" s="1009"/>
      <c r="EN314" s="1009"/>
      <c r="EO314" s="1009"/>
      <c r="EP314" s="1009"/>
      <c r="EQ314" s="1009"/>
      <c r="ER314" s="1009"/>
      <c r="ES314" s="1009"/>
      <c r="ET314" s="1009"/>
      <c r="EU314" s="1009"/>
      <c r="EV314" s="1009"/>
      <c r="EW314" s="1009"/>
      <c r="EX314" s="1009"/>
      <c r="EY314" s="1009"/>
      <c r="EZ314" s="1009"/>
      <c r="FA314" s="1009"/>
      <c r="FB314" s="1009"/>
      <c r="FC314" s="1009"/>
      <c r="FD314" s="1009"/>
      <c r="FE314" s="1009"/>
      <c r="FF314" s="1009"/>
      <c r="FG314" s="1009"/>
      <c r="FH314" s="1009"/>
      <c r="FI314" s="1009"/>
      <c r="FJ314" s="1009"/>
      <c r="FK314" s="1009"/>
      <c r="FL314" s="1009"/>
      <c r="FM314" s="1009"/>
      <c r="FN314" s="1009"/>
      <c r="FO314" s="1009"/>
      <c r="FP314" s="1009"/>
      <c r="FQ314" s="1009"/>
      <c r="FR314" s="1009"/>
      <c r="FS314" s="1009"/>
      <c r="FT314" s="1009"/>
      <c r="FU314" s="1009"/>
      <c r="FV314" s="1009"/>
      <c r="FW314" s="1009"/>
      <c r="FX314" s="1009"/>
      <c r="FY314" s="1009"/>
      <c r="FZ314" s="1009"/>
      <c r="GA314" s="1009"/>
      <c r="GB314" s="1009"/>
      <c r="GC314" s="1009"/>
      <c r="GD314" s="1009"/>
      <c r="GE314" s="1009"/>
      <c r="GF314" s="1009"/>
      <c r="GG314" s="1009"/>
      <c r="GH314" s="1009"/>
      <c r="GI314" s="1009"/>
      <c r="GJ314" s="1009"/>
      <c r="GK314" s="1009"/>
      <c r="GL314" s="1009"/>
      <c r="GM314" s="1009"/>
      <c r="GN314" s="1009"/>
      <c r="GO314" s="1009"/>
      <c r="GP314" s="1009"/>
      <c r="GQ314" s="1009"/>
      <c r="GR314" s="1009"/>
      <c r="GS314" s="1009"/>
      <c r="GT314" s="1009"/>
      <c r="GU314" s="1009"/>
      <c r="GV314" s="1009"/>
      <c r="GW314" s="1009"/>
      <c r="GX314" s="1009"/>
      <c r="GY314" s="1009"/>
      <c r="GZ314" s="1009"/>
      <c r="HA314" s="1009"/>
      <c r="HB314" s="1009"/>
      <c r="HC314" s="1009"/>
      <c r="HD314" s="1009"/>
      <c r="HE314" s="1009"/>
      <c r="HF314" s="1009"/>
      <c r="HG314" s="1009"/>
      <c r="HH314" s="1009"/>
      <c r="HI314" s="1009"/>
      <c r="HJ314" s="1009"/>
      <c r="HK314" s="1009"/>
      <c r="HL314" s="1009"/>
      <c r="HM314" s="1009"/>
      <c r="HN314" s="1009"/>
      <c r="HO314" s="1009"/>
      <c r="HP314" s="1009"/>
      <c r="HQ314" s="1009"/>
      <c r="HR314" s="1009"/>
      <c r="HS314" s="1009"/>
      <c r="HT314" s="1009"/>
      <c r="HU314" s="1009"/>
      <c r="HV314" s="1009"/>
      <c r="HW314" s="1009"/>
      <c r="HX314" s="1009"/>
      <c r="HY314" s="1009"/>
      <c r="HZ314" s="1009"/>
      <c r="IA314" s="1009"/>
      <c r="IB314" s="1009"/>
      <c r="IC314" s="1009"/>
      <c r="ID314" s="1009"/>
      <c r="IE314" s="1009"/>
      <c r="IF314" s="1009"/>
      <c r="IG314" s="1009"/>
      <c r="IH314" s="1009"/>
      <c r="II314" s="1009"/>
      <c r="IJ314" s="1009"/>
      <c r="IK314" s="1009"/>
      <c r="IL314" s="1009"/>
      <c r="IM314" s="1009"/>
      <c r="IN314" s="1009"/>
      <c r="IO314" s="1009"/>
      <c r="IP314" s="1009"/>
      <c r="IQ314" s="1009"/>
      <c r="IR314" s="1009"/>
      <c r="IS314" s="1009"/>
      <c r="IT314" s="1009"/>
      <c r="IU314" s="1009"/>
      <c r="IV314" s="1009"/>
      <c r="IW314" s="1009"/>
      <c r="IX314" s="1009"/>
      <c r="IY314" s="1009"/>
      <c r="IZ314" s="1009"/>
      <c r="JA314" s="1009"/>
      <c r="JB314" s="1009"/>
      <c r="JC314" s="1009"/>
      <c r="JD314" s="1009"/>
      <c r="JE314" s="1009"/>
      <c r="JF314" s="1009"/>
      <c r="JG314" s="1009"/>
      <c r="JH314" s="1009"/>
      <c r="JI314" s="1009"/>
      <c r="JJ314" s="1009"/>
      <c r="JK314" s="1009"/>
      <c r="JL314" s="1009"/>
      <c r="JM314" s="1009"/>
      <c r="JN314" s="1009"/>
      <c r="JO314" s="1009"/>
      <c r="JP314" s="1009"/>
      <c r="JQ314" s="1009"/>
      <c r="JR314" s="1009"/>
      <c r="JS314" s="1009"/>
      <c r="JT314" s="1009"/>
      <c r="JU314" s="1009"/>
      <c r="JV314" s="1009"/>
      <c r="JW314" s="1009"/>
      <c r="JX314" s="1009"/>
      <c r="JY314" s="1009"/>
      <c r="JZ314" s="1009"/>
      <c r="KA314" s="1009"/>
      <c r="KB314" s="1009"/>
      <c r="KC314" s="1009"/>
      <c r="KD314" s="1009"/>
      <c r="KE314" s="1009"/>
      <c r="KF314" s="1009"/>
      <c r="KG314" s="1009"/>
      <c r="KH314" s="1009"/>
      <c r="KI314" s="1009"/>
      <c r="KJ314" s="1009"/>
      <c r="KK314" s="1009"/>
      <c r="KL314" s="1009"/>
      <c r="KM314" s="1009"/>
      <c r="KN314" s="1009"/>
      <c r="KO314" s="1009"/>
      <c r="KP314" s="1009"/>
      <c r="KQ314" s="1009"/>
      <c r="KR314" s="1009"/>
      <c r="KS314" s="1009"/>
      <c r="KT314" s="1009"/>
      <c r="KU314" s="1009"/>
      <c r="KV314" s="1009"/>
      <c r="KW314" s="1009"/>
      <c r="KX314" s="1009"/>
      <c r="KY314" s="1009"/>
      <c r="KZ314" s="1009"/>
      <c r="LA314" s="1009"/>
      <c r="LB314" s="1009"/>
      <c r="LC314" s="1009"/>
      <c r="LD314" s="1009"/>
      <c r="LE314" s="1009"/>
      <c r="LF314" s="1009"/>
      <c r="LG314" s="1009"/>
      <c r="LH314" s="1009"/>
      <c r="LI314" s="1009"/>
      <c r="LJ314" s="1009"/>
      <c r="LK314" s="1009"/>
      <c r="LL314" s="1009"/>
      <c r="LM314" s="1009"/>
      <c r="LN314" s="1009"/>
      <c r="LO314" s="1009"/>
      <c r="LP314" s="1009"/>
      <c r="LQ314" s="1009"/>
      <c r="LR314" s="1009"/>
      <c r="LS314" s="1009"/>
      <c r="LT314" s="1009"/>
      <c r="LU314" s="1009"/>
      <c r="LV314" s="1009"/>
      <c r="LW314" s="1009"/>
      <c r="LX314" s="1009"/>
      <c r="LY314" s="1009"/>
      <c r="LZ314" s="1009"/>
      <c r="MA314" s="1009"/>
      <c r="MB314" s="1009"/>
      <c r="MC314" s="1009"/>
      <c r="MD314" s="1009"/>
      <c r="ME314" s="1009"/>
      <c r="MF314" s="1009"/>
      <c r="MG314" s="1009"/>
      <c r="MH314" s="1009"/>
      <c r="MI314" s="1009"/>
      <c r="MJ314" s="1009"/>
      <c r="MK314" s="1009"/>
      <c r="ML314" s="1009"/>
      <c r="MM314" s="1009"/>
      <c r="MN314" s="1009"/>
      <c r="MO314" s="1009"/>
      <c r="MP314" s="1009"/>
      <c r="MQ314" s="1009"/>
      <c r="MR314" s="1009"/>
      <c r="MS314" s="1009"/>
      <c r="MT314" s="1009"/>
      <c r="MU314" s="1009"/>
      <c r="MV314" s="1009"/>
      <c r="MW314" s="1009"/>
      <c r="MX314" s="1009"/>
      <c r="MY314" s="1009"/>
      <c r="MZ314" s="1009"/>
      <c r="NA314" s="1009"/>
      <c r="NB314" s="1009"/>
      <c r="NC314" s="1009"/>
      <c r="ND314" s="1009"/>
      <c r="NE314" s="1009"/>
      <c r="NF314" s="1009"/>
      <c r="NG314" s="1009"/>
      <c r="NH314" s="1009"/>
      <c r="NI314" s="1009"/>
      <c r="NJ314" s="1009"/>
      <c r="NK314" s="1009"/>
      <c r="NL314" s="1009"/>
      <c r="NM314" s="1009"/>
      <c r="NN314" s="1009"/>
      <c r="NO314" s="1009"/>
      <c r="NP314" s="1009"/>
      <c r="NQ314" s="1009"/>
      <c r="NR314" s="1009"/>
      <c r="NS314" s="1009"/>
      <c r="NT314" s="1009"/>
      <c r="NU314" s="1009"/>
      <c r="NV314" s="1009"/>
      <c r="NW314" s="1009"/>
      <c r="NX314" s="1009"/>
      <c r="NY314" s="1009"/>
      <c r="NZ314" s="1009"/>
      <c r="OA314" s="1009"/>
      <c r="OB314" s="1009"/>
      <c r="OC314" s="1009"/>
      <c r="OD314" s="1009"/>
      <c r="OE314" s="1009"/>
      <c r="OF314" s="1009"/>
      <c r="OG314" s="1009"/>
      <c r="OH314" s="1009"/>
      <c r="OI314" s="1009"/>
      <c r="OJ314" s="1009"/>
      <c r="OK314" s="1009"/>
      <c r="OL314" s="1009"/>
      <c r="OM314" s="1009"/>
      <c r="ON314" s="1009"/>
      <c r="OO314" s="1009"/>
      <c r="OP314" s="1009"/>
      <c r="OQ314" s="1009"/>
      <c r="OR314" s="1009"/>
      <c r="OS314" s="1009"/>
      <c r="OT314" s="1009"/>
      <c r="OU314" s="1009"/>
      <c r="OV314" s="1009"/>
      <c r="OW314" s="1009"/>
      <c r="OX314" s="1009"/>
      <c r="OY314" s="1009"/>
      <c r="OZ314" s="1009"/>
      <c r="PA314" s="1009"/>
      <c r="PB314" s="1009"/>
      <c r="PC314" s="1009"/>
      <c r="PD314" s="1009"/>
      <c r="PE314" s="1009"/>
      <c r="PF314" s="1009"/>
      <c r="PG314" s="1009"/>
      <c r="PH314" s="1009"/>
      <c r="PI314" s="1009"/>
      <c r="PJ314" s="1009"/>
      <c r="PK314" s="1009"/>
      <c r="PL314" s="1009"/>
      <c r="PM314" s="1009"/>
      <c r="PN314" s="1009"/>
      <c r="PO314" s="1009"/>
      <c r="PP314" s="1009"/>
      <c r="PQ314" s="1009"/>
      <c r="PR314" s="1009"/>
      <c r="PS314" s="1009"/>
      <c r="PT314" s="1009"/>
      <c r="PU314" s="1009"/>
      <c r="PV314" s="1009"/>
      <c r="PW314" s="1009"/>
      <c r="PX314" s="1009"/>
      <c r="PY314" s="1009"/>
      <c r="PZ314" s="1009"/>
      <c r="QA314" s="1009"/>
      <c r="QB314" s="1009"/>
      <c r="QC314" s="1009"/>
      <c r="QD314" s="1009"/>
      <c r="QE314" s="1009"/>
      <c r="QF314" s="1009"/>
      <c r="QG314" s="1009"/>
      <c r="QH314" s="1009"/>
      <c r="QI314" s="1009"/>
      <c r="QJ314" s="1009"/>
      <c r="QK314" s="1009"/>
      <c r="QL314" s="1009"/>
      <c r="QM314" s="1009"/>
      <c r="QN314" s="1009"/>
      <c r="QO314" s="1009"/>
      <c r="QP314" s="1009"/>
      <c r="QQ314" s="1009"/>
      <c r="QR314" s="1009"/>
      <c r="QS314" s="1009"/>
      <c r="QT314" s="1009"/>
      <c r="QU314" s="1009"/>
      <c r="QV314" s="1009"/>
      <c r="QW314" s="1009"/>
      <c r="QX314" s="1009"/>
      <c r="QY314" s="1009"/>
      <c r="QZ314" s="1009"/>
      <c r="RA314" s="1009"/>
      <c r="RB314" s="1009"/>
      <c r="RC314" s="1009"/>
      <c r="RD314" s="1009"/>
      <c r="RE314" s="1009"/>
      <c r="RF314" s="1009"/>
      <c r="RG314" s="1009"/>
      <c r="RH314" s="1009"/>
      <c r="RI314" s="1009"/>
      <c r="RJ314" s="1009"/>
      <c r="RK314" s="1009"/>
      <c r="RL314" s="1009"/>
      <c r="RM314" s="1009"/>
      <c r="RN314" s="1009"/>
      <c r="RO314" s="1009"/>
      <c r="RP314" s="1009"/>
      <c r="RQ314" s="1009"/>
      <c r="RR314" s="1009"/>
      <c r="RS314" s="1009"/>
      <c r="RT314" s="1009"/>
      <c r="RU314" s="1009"/>
      <c r="RV314" s="1009"/>
      <c r="RW314" s="1009"/>
      <c r="RX314" s="1009"/>
      <c r="RY314" s="1009"/>
      <c r="RZ314" s="1009"/>
      <c r="SA314" s="1009"/>
      <c r="SB314" s="1009"/>
      <c r="SC314" s="1009"/>
      <c r="SD314" s="1009"/>
      <c r="SE314" s="1009"/>
      <c r="SF314" s="1009"/>
      <c r="SG314" s="1009"/>
      <c r="SH314" s="1009"/>
      <c r="SI314" s="1009"/>
      <c r="SJ314" s="1009"/>
      <c r="SK314" s="1009"/>
      <c r="SL314" s="1009"/>
      <c r="SM314" s="1009"/>
      <c r="SN314" s="1009"/>
      <c r="SO314" s="1009"/>
      <c r="SP314" s="1009"/>
      <c r="SQ314" s="1009"/>
      <c r="SR314" s="1009"/>
      <c r="SS314" s="1009"/>
      <c r="ST314" s="1009"/>
      <c r="SU314" s="1009"/>
      <c r="SV314" s="1009"/>
      <c r="SW314" s="1009"/>
      <c r="SX314" s="1009"/>
      <c r="SY314" s="1009"/>
      <c r="SZ314" s="1009"/>
      <c r="TA314" s="1009"/>
      <c r="TB314" s="1009"/>
      <c r="TC314" s="1009"/>
      <c r="TD314" s="1009"/>
      <c r="TE314" s="1009"/>
      <c r="TF314" s="1009"/>
      <c r="TG314" s="1009"/>
      <c r="TH314" s="1009"/>
      <c r="TI314" s="1009"/>
      <c r="TJ314" s="1009"/>
      <c r="TK314" s="1009"/>
      <c r="TL314" s="1009"/>
      <c r="TM314" s="1009"/>
      <c r="TN314" s="1009"/>
      <c r="TO314" s="1009"/>
      <c r="TP314" s="1009"/>
      <c r="TQ314" s="1009"/>
      <c r="TR314" s="1009"/>
      <c r="TS314" s="1009"/>
      <c r="TT314" s="1009"/>
      <c r="TU314" s="1009"/>
      <c r="TV314" s="1009"/>
      <c r="TW314" s="1009"/>
      <c r="TX314" s="1009"/>
      <c r="TY314" s="1009"/>
      <c r="TZ314" s="1009"/>
      <c r="UA314" s="1009"/>
      <c r="UB314" s="1009"/>
      <c r="UC314" s="1009"/>
      <c r="UD314" s="1009"/>
      <c r="UE314" s="1009"/>
      <c r="UF314" s="1009"/>
      <c r="UG314" s="1009"/>
      <c r="UH314" s="1009"/>
      <c r="UI314" s="1009"/>
      <c r="UJ314" s="1009"/>
      <c r="UK314" s="1009"/>
      <c r="UL314" s="1009"/>
      <c r="UM314" s="1009"/>
      <c r="UN314" s="1009"/>
      <c r="UO314" s="1009"/>
      <c r="UP314" s="1009"/>
      <c r="UQ314" s="1009"/>
      <c r="UR314" s="1009"/>
      <c r="US314" s="1009"/>
      <c r="UT314" s="1009"/>
      <c r="UU314" s="1009"/>
      <c r="UV314" s="1009"/>
      <c r="UW314" s="1009"/>
      <c r="UX314" s="1009"/>
      <c r="UY314" s="1009"/>
      <c r="UZ314" s="1009"/>
      <c r="VA314" s="1009"/>
      <c r="VB314" s="1009"/>
      <c r="VC314" s="1009"/>
      <c r="VD314" s="1009"/>
      <c r="VE314" s="1009"/>
      <c r="VF314" s="1009"/>
      <c r="VG314" s="1009"/>
      <c r="VH314" s="1009"/>
      <c r="VI314" s="1009"/>
      <c r="VJ314" s="1009"/>
      <c r="VK314" s="1009"/>
      <c r="VL314" s="1009"/>
      <c r="VM314" s="1009"/>
      <c r="VN314" s="1009"/>
      <c r="VO314" s="1009"/>
      <c r="VP314" s="1009"/>
      <c r="VQ314" s="1009"/>
      <c r="VR314" s="1009"/>
      <c r="VS314" s="1009"/>
      <c r="VT314" s="1009"/>
      <c r="VU314" s="1009"/>
      <c r="VV314" s="1009"/>
      <c r="VW314" s="1009"/>
      <c r="VX314" s="1009"/>
      <c r="VY314" s="1009"/>
      <c r="VZ314" s="1009"/>
      <c r="WA314" s="1009"/>
      <c r="WB314" s="1009"/>
      <c r="WC314" s="1009"/>
      <c r="WD314" s="1009"/>
      <c r="WE314" s="1009"/>
      <c r="WF314" s="1009"/>
      <c r="WG314" s="1009"/>
      <c r="WH314" s="1009"/>
      <c r="WI314" s="1009"/>
      <c r="WJ314" s="1009"/>
      <c r="WK314" s="1009"/>
      <c r="WL314" s="1009"/>
      <c r="WM314" s="1009"/>
      <c r="WN314" s="1009"/>
      <c r="WO314" s="1009"/>
      <c r="WP314" s="1009"/>
      <c r="WQ314" s="1009"/>
      <c r="WR314" s="1009"/>
      <c r="WS314" s="1009"/>
      <c r="WT314" s="1009"/>
      <c r="WU314" s="1009"/>
      <c r="WV314" s="1009"/>
      <c r="WW314" s="1009"/>
      <c r="WX314" s="1009"/>
      <c r="WY314" s="1009"/>
      <c r="WZ314" s="1009"/>
      <c r="XA314" s="1009"/>
      <c r="XB314" s="1009"/>
      <c r="XC314" s="1009"/>
      <c r="XD314" s="1009"/>
      <c r="XE314" s="1009"/>
      <c r="XF314" s="1009"/>
      <c r="XG314" s="1009"/>
      <c r="XH314" s="1009"/>
      <c r="XI314" s="1009"/>
      <c r="XJ314" s="1009"/>
      <c r="XK314" s="1009"/>
      <c r="XL314" s="1009"/>
      <c r="XM314" s="1009"/>
      <c r="XN314" s="1009"/>
      <c r="XO314" s="1009"/>
      <c r="XP314" s="1009"/>
      <c r="XQ314" s="1009"/>
      <c r="XR314" s="1009"/>
      <c r="XS314" s="1009"/>
      <c r="XT314" s="1009"/>
      <c r="XU314" s="1009"/>
      <c r="XV314" s="1009"/>
      <c r="XW314" s="1009"/>
      <c r="XX314" s="1009"/>
      <c r="XY314" s="1009"/>
      <c r="XZ314" s="1009"/>
      <c r="YA314" s="1009"/>
      <c r="YB314" s="1009"/>
      <c r="YC314" s="1009"/>
      <c r="YD314" s="1009"/>
      <c r="YE314" s="1009"/>
      <c r="YF314" s="1009"/>
      <c r="YG314" s="1009"/>
      <c r="YH314" s="1009"/>
      <c r="YI314" s="1009"/>
      <c r="YJ314" s="1009"/>
      <c r="YK314" s="1009"/>
      <c r="YL314" s="1009"/>
      <c r="YM314" s="1009"/>
      <c r="YN314" s="1009"/>
      <c r="YO314" s="1009"/>
      <c r="YP314" s="1009"/>
      <c r="YQ314" s="1009"/>
      <c r="YR314" s="1009"/>
      <c r="YS314" s="1009"/>
      <c r="YT314" s="1009"/>
      <c r="YU314" s="1009"/>
      <c r="YV314" s="1009"/>
      <c r="YW314" s="1009"/>
      <c r="YX314" s="1009"/>
      <c r="YY314" s="1009"/>
      <c r="YZ314" s="1009"/>
      <c r="ZA314" s="1009"/>
      <c r="ZB314" s="1009"/>
      <c r="ZC314" s="1009"/>
      <c r="ZD314" s="1009"/>
      <c r="ZE314" s="1009"/>
      <c r="ZF314" s="1009"/>
      <c r="ZG314" s="1009"/>
      <c r="ZH314" s="1009"/>
      <c r="ZI314" s="1009"/>
      <c r="ZJ314" s="1009"/>
      <c r="ZK314" s="1009"/>
      <c r="ZL314" s="1009"/>
      <c r="ZM314" s="1009"/>
      <c r="ZN314" s="1009"/>
      <c r="ZO314" s="1009"/>
      <c r="ZP314" s="1009"/>
      <c r="ZQ314" s="1009"/>
      <c r="ZR314" s="1009"/>
      <c r="ZS314" s="1009"/>
      <c r="ZT314" s="1009"/>
      <c r="ZU314" s="1009"/>
      <c r="ZV314" s="1009"/>
      <c r="ZW314" s="1009"/>
      <c r="ZX314" s="1009"/>
      <c r="ZY314" s="1009"/>
      <c r="ZZ314" s="1009"/>
      <c r="AAA314" s="1009"/>
      <c r="AAB314" s="1009"/>
      <c r="AAC314" s="1009"/>
      <c r="AAD314" s="1009"/>
      <c r="AAE314" s="1009"/>
      <c r="AAF314" s="1009"/>
      <c r="AAG314" s="1009"/>
      <c r="AAH314" s="1009"/>
      <c r="AAI314" s="1009"/>
      <c r="AAJ314" s="1009"/>
      <c r="AAK314" s="1009"/>
      <c r="AAL314" s="1009"/>
      <c r="AAM314" s="1009"/>
      <c r="AAN314" s="1009"/>
      <c r="AAO314" s="1009"/>
      <c r="AAP314" s="1009"/>
      <c r="AAQ314" s="1009"/>
      <c r="AAR314" s="1009"/>
      <c r="AAS314" s="1009"/>
      <c r="AAT314" s="1009"/>
      <c r="AAU314" s="1009"/>
      <c r="AAV314" s="1009"/>
      <c r="AAW314" s="1009"/>
      <c r="AAX314" s="1009"/>
      <c r="AAY314" s="1009"/>
      <c r="AAZ314" s="1009"/>
      <c r="ABA314" s="1009"/>
      <c r="ABB314" s="1009"/>
      <c r="ABC314" s="1009"/>
      <c r="ABD314" s="1009"/>
      <c r="ABE314" s="1009"/>
      <c r="ABF314" s="1009"/>
      <c r="ABG314" s="1009"/>
      <c r="ABH314" s="1009"/>
      <c r="ABI314" s="1009"/>
      <c r="ABJ314" s="1009"/>
      <c r="ABK314" s="1009"/>
      <c r="ABL314" s="1009"/>
      <c r="ABM314" s="1009"/>
      <c r="ABN314" s="1009"/>
      <c r="ABO314" s="1009"/>
      <c r="ABP314" s="1009"/>
      <c r="ABQ314" s="1009"/>
      <c r="ABR314" s="1009"/>
    </row>
    <row r="315" spans="1:746" s="111" customFormat="1" ht="12" customHeight="1" thickBot="1">
      <c r="A315" s="1758"/>
      <c r="B315" s="2484" t="s">
        <v>920</v>
      </c>
      <c r="C315" s="1232"/>
      <c r="D315" s="1232"/>
      <c r="E315" s="1232"/>
      <c r="F315" s="1232"/>
      <c r="G315" s="2485">
        <v>9.9999999999999995E-7</v>
      </c>
      <c r="H315" s="2562"/>
      <c r="I315" s="2209"/>
      <c r="J315" s="376"/>
      <c r="K315" s="376"/>
      <c r="L315" s="376"/>
      <c r="M315" s="376"/>
      <c r="N315" s="376"/>
      <c r="O315" s="376"/>
      <c r="P315" s="376"/>
      <c r="Q315" s="376"/>
      <c r="R315" s="376"/>
      <c r="S315" s="1042"/>
      <c r="T315" s="1042"/>
      <c r="U315" s="1042"/>
      <c r="V315" s="1042"/>
      <c r="W315" s="1042"/>
      <c r="X315" s="1042"/>
      <c r="Y315" s="1042"/>
      <c r="Z315" s="1042"/>
      <c r="AA315" s="1042"/>
      <c r="AB315" s="1042"/>
      <c r="AC315" s="1042"/>
      <c r="AD315" s="1042"/>
      <c r="AE315" s="1042"/>
      <c r="AF315" s="376"/>
      <c r="AG315" s="376"/>
      <c r="AH315" s="2304"/>
      <c r="AI315" s="786"/>
      <c r="AJ315" s="773"/>
      <c r="AK315" s="774"/>
      <c r="AL315" s="773"/>
      <c r="AM315" s="1009"/>
      <c r="AN315" s="1034"/>
      <c r="AO315" s="1034"/>
      <c r="AP315" s="1084"/>
      <c r="AQ315" s="1084"/>
      <c r="AR315" s="1009"/>
      <c r="AS315" s="1009"/>
      <c r="AT315" s="1009"/>
      <c r="AU315" s="1009"/>
      <c r="AV315" s="1009"/>
      <c r="AW315" s="1009"/>
      <c r="AX315" s="1009"/>
      <c r="AY315" s="1009"/>
      <c r="AZ315" s="1009"/>
      <c r="BA315" s="1009"/>
      <c r="BB315" s="1009"/>
      <c r="BC315" s="1009"/>
      <c r="BD315" s="1009"/>
      <c r="BE315" s="1009"/>
      <c r="BF315" s="1009"/>
      <c r="BG315" s="1009"/>
      <c r="BH315" s="1009"/>
      <c r="BI315" s="1009"/>
      <c r="BJ315" s="1009"/>
      <c r="BK315" s="1009"/>
      <c r="BL315" s="1009"/>
      <c r="BM315" s="1009"/>
      <c r="BN315" s="1009"/>
      <c r="BO315" s="1009"/>
      <c r="BP315" s="1009"/>
      <c r="BQ315" s="1009"/>
      <c r="BR315" s="1009"/>
      <c r="BS315" s="1009"/>
      <c r="BT315" s="1009"/>
      <c r="BU315" s="1009"/>
      <c r="BV315" s="1009"/>
      <c r="BW315" s="1009"/>
      <c r="BX315" s="1009"/>
      <c r="BY315" s="1009"/>
      <c r="BZ315" s="1009"/>
      <c r="CA315" s="1009"/>
      <c r="CB315" s="1009"/>
      <c r="CC315" s="1009"/>
      <c r="CD315" s="1009"/>
      <c r="CE315" s="1009"/>
      <c r="CF315" s="1009"/>
      <c r="CG315" s="1009"/>
      <c r="CH315" s="1009"/>
      <c r="CI315" s="1009"/>
      <c r="CJ315" s="1009"/>
      <c r="CK315" s="1009"/>
      <c r="CL315" s="1009"/>
      <c r="CM315" s="1009"/>
      <c r="CN315" s="1009"/>
      <c r="CO315" s="1009"/>
      <c r="CP315" s="1009"/>
      <c r="CQ315" s="1009"/>
      <c r="CR315" s="1009"/>
      <c r="CS315" s="1009"/>
      <c r="CT315" s="1009"/>
      <c r="CU315" s="1009"/>
      <c r="CV315" s="1009"/>
      <c r="CW315" s="1009"/>
      <c r="CX315" s="1009"/>
      <c r="CY315" s="1009"/>
      <c r="CZ315" s="1009"/>
      <c r="DA315" s="1009"/>
      <c r="DB315" s="1009"/>
      <c r="DC315" s="1009"/>
      <c r="DD315" s="1009"/>
      <c r="DE315" s="1009"/>
      <c r="DF315" s="1009"/>
      <c r="DG315" s="1009"/>
      <c r="DH315" s="1009"/>
      <c r="DI315" s="1009"/>
      <c r="DJ315" s="1009"/>
      <c r="DK315" s="1009"/>
      <c r="DL315" s="1009"/>
      <c r="DM315" s="1009"/>
      <c r="DN315" s="1009"/>
      <c r="DO315" s="1009"/>
      <c r="DP315" s="1009"/>
      <c r="DQ315" s="1009"/>
      <c r="DR315" s="1009"/>
      <c r="DS315" s="1009"/>
      <c r="DT315" s="1009"/>
      <c r="DU315" s="1009"/>
      <c r="DV315" s="1009"/>
      <c r="DW315" s="1009"/>
      <c r="DX315" s="1009"/>
      <c r="DY315" s="1009"/>
      <c r="DZ315" s="1009"/>
      <c r="EA315" s="1009"/>
      <c r="EB315" s="1009"/>
      <c r="EC315" s="1009"/>
      <c r="ED315" s="1009"/>
      <c r="EE315" s="1009"/>
      <c r="EF315" s="1009"/>
      <c r="EG315" s="1009"/>
      <c r="EH315" s="1009"/>
      <c r="EI315" s="1009"/>
      <c r="EJ315" s="1009"/>
      <c r="EK315" s="1009"/>
      <c r="EL315" s="1009"/>
      <c r="EM315" s="1009"/>
      <c r="EN315" s="1009"/>
      <c r="EO315" s="1009"/>
      <c r="EP315" s="1009"/>
      <c r="EQ315" s="1009"/>
      <c r="ER315" s="1009"/>
      <c r="ES315" s="1009"/>
      <c r="ET315" s="1009"/>
      <c r="EU315" s="1009"/>
      <c r="EV315" s="1009"/>
      <c r="EW315" s="1009"/>
      <c r="EX315" s="1009"/>
      <c r="EY315" s="1009"/>
      <c r="EZ315" s="1009"/>
      <c r="FA315" s="1009"/>
      <c r="FB315" s="1009"/>
      <c r="FC315" s="1009"/>
      <c r="FD315" s="1009"/>
      <c r="FE315" s="1009"/>
      <c r="FF315" s="1009"/>
      <c r="FG315" s="1009"/>
      <c r="FH315" s="1009"/>
      <c r="FI315" s="1009"/>
      <c r="FJ315" s="1009"/>
      <c r="FK315" s="1009"/>
      <c r="FL315" s="1009"/>
      <c r="FM315" s="1009"/>
      <c r="FN315" s="1009"/>
      <c r="FO315" s="1009"/>
      <c r="FP315" s="1009"/>
      <c r="FQ315" s="1009"/>
      <c r="FR315" s="1009"/>
      <c r="FS315" s="1009"/>
      <c r="FT315" s="1009"/>
      <c r="FU315" s="1009"/>
      <c r="FV315" s="1009"/>
      <c r="FW315" s="1009"/>
      <c r="FX315" s="1009"/>
      <c r="FY315" s="1009"/>
      <c r="FZ315" s="1009"/>
      <c r="GA315" s="1009"/>
      <c r="GB315" s="1009"/>
      <c r="GC315" s="1009"/>
      <c r="GD315" s="1009"/>
      <c r="GE315" s="1009"/>
      <c r="GF315" s="1009"/>
      <c r="GG315" s="1009"/>
      <c r="GH315" s="1009"/>
      <c r="GI315" s="1009"/>
      <c r="GJ315" s="1009"/>
      <c r="GK315" s="1009"/>
      <c r="GL315" s="1009"/>
      <c r="GM315" s="1009"/>
      <c r="GN315" s="1009"/>
      <c r="GO315" s="1009"/>
      <c r="GP315" s="1009"/>
      <c r="GQ315" s="1009"/>
      <c r="GR315" s="1009"/>
      <c r="GS315" s="1009"/>
      <c r="GT315" s="1009"/>
      <c r="GU315" s="1009"/>
      <c r="GV315" s="1009"/>
      <c r="GW315" s="1009"/>
      <c r="GX315" s="1009"/>
      <c r="GY315" s="1009"/>
      <c r="GZ315" s="1009"/>
      <c r="HA315" s="1009"/>
      <c r="HB315" s="1009"/>
      <c r="HC315" s="1009"/>
      <c r="HD315" s="1009"/>
      <c r="HE315" s="1009"/>
      <c r="HF315" s="1009"/>
      <c r="HG315" s="1009"/>
      <c r="HH315" s="1009"/>
      <c r="HI315" s="1009"/>
      <c r="HJ315" s="1009"/>
      <c r="HK315" s="1009"/>
      <c r="HL315" s="1009"/>
      <c r="HM315" s="1009"/>
      <c r="HN315" s="1009"/>
      <c r="HO315" s="1009"/>
      <c r="HP315" s="1009"/>
      <c r="HQ315" s="1009"/>
      <c r="HR315" s="1009"/>
      <c r="HS315" s="1009"/>
      <c r="HT315" s="1009"/>
      <c r="HU315" s="1009"/>
      <c r="HV315" s="1009"/>
      <c r="HW315" s="1009"/>
      <c r="HX315" s="1009"/>
      <c r="HY315" s="1009"/>
      <c r="HZ315" s="1009"/>
      <c r="IA315" s="1009"/>
      <c r="IB315" s="1009"/>
      <c r="IC315" s="1009"/>
      <c r="ID315" s="1009"/>
      <c r="IE315" s="1009"/>
      <c r="IF315" s="1009"/>
      <c r="IG315" s="1009"/>
      <c r="IH315" s="1009"/>
      <c r="II315" s="1009"/>
      <c r="IJ315" s="1009"/>
      <c r="IK315" s="1009"/>
      <c r="IL315" s="1009"/>
      <c r="IM315" s="1009"/>
      <c r="IN315" s="1009"/>
      <c r="IO315" s="1009"/>
      <c r="IP315" s="1009"/>
      <c r="IQ315" s="1009"/>
      <c r="IR315" s="1009"/>
      <c r="IS315" s="1009"/>
      <c r="IT315" s="1009"/>
      <c r="IU315" s="1009"/>
      <c r="IV315" s="1009"/>
      <c r="IW315" s="1009"/>
      <c r="IX315" s="1009"/>
      <c r="IY315" s="1009"/>
      <c r="IZ315" s="1009"/>
      <c r="JA315" s="1009"/>
      <c r="JB315" s="1009"/>
      <c r="JC315" s="1009"/>
      <c r="JD315" s="1009"/>
      <c r="JE315" s="1009"/>
      <c r="JF315" s="1009"/>
      <c r="JG315" s="1009"/>
      <c r="JH315" s="1009"/>
      <c r="JI315" s="1009"/>
      <c r="JJ315" s="1009"/>
      <c r="JK315" s="1009"/>
      <c r="JL315" s="1009"/>
      <c r="JM315" s="1009"/>
      <c r="JN315" s="1009"/>
      <c r="JO315" s="1009"/>
      <c r="JP315" s="1009"/>
      <c r="JQ315" s="1009"/>
      <c r="JR315" s="1009"/>
      <c r="JS315" s="1009"/>
      <c r="JT315" s="1009"/>
      <c r="JU315" s="1009"/>
      <c r="JV315" s="1009"/>
      <c r="JW315" s="1009"/>
      <c r="JX315" s="1009"/>
      <c r="JY315" s="1009"/>
      <c r="JZ315" s="1009"/>
      <c r="KA315" s="1009"/>
      <c r="KB315" s="1009"/>
      <c r="KC315" s="1009"/>
      <c r="KD315" s="1009"/>
      <c r="KE315" s="1009"/>
      <c r="KF315" s="1009"/>
      <c r="KG315" s="1009"/>
      <c r="KH315" s="1009"/>
      <c r="KI315" s="1009"/>
      <c r="KJ315" s="1009"/>
      <c r="KK315" s="1009"/>
      <c r="KL315" s="1009"/>
      <c r="KM315" s="1009"/>
      <c r="KN315" s="1009"/>
      <c r="KO315" s="1009"/>
      <c r="KP315" s="1009"/>
      <c r="KQ315" s="1009"/>
      <c r="KR315" s="1009"/>
      <c r="KS315" s="1009"/>
      <c r="KT315" s="1009"/>
      <c r="KU315" s="1009"/>
      <c r="KV315" s="1009"/>
      <c r="KW315" s="1009"/>
      <c r="KX315" s="1009"/>
      <c r="KY315" s="1009"/>
      <c r="KZ315" s="1009"/>
      <c r="LA315" s="1009"/>
      <c r="LB315" s="1009"/>
      <c r="LC315" s="1009"/>
      <c r="LD315" s="1009"/>
      <c r="LE315" s="1009"/>
      <c r="LF315" s="1009"/>
      <c r="LG315" s="1009"/>
      <c r="LH315" s="1009"/>
      <c r="LI315" s="1009"/>
      <c r="LJ315" s="1009"/>
      <c r="LK315" s="1009"/>
      <c r="LL315" s="1009"/>
      <c r="LM315" s="1009"/>
      <c r="LN315" s="1009"/>
      <c r="LO315" s="1009"/>
      <c r="LP315" s="1009"/>
      <c r="LQ315" s="1009"/>
      <c r="LR315" s="1009"/>
      <c r="LS315" s="1009"/>
      <c r="LT315" s="1009"/>
      <c r="LU315" s="1009"/>
      <c r="LV315" s="1009"/>
      <c r="LW315" s="1009"/>
      <c r="LX315" s="1009"/>
      <c r="LY315" s="1009"/>
      <c r="LZ315" s="1009"/>
      <c r="MA315" s="1009"/>
      <c r="MB315" s="1009"/>
      <c r="MC315" s="1009"/>
      <c r="MD315" s="1009"/>
      <c r="ME315" s="1009"/>
      <c r="MF315" s="1009"/>
      <c r="MG315" s="1009"/>
      <c r="MH315" s="1009"/>
      <c r="MI315" s="1009"/>
      <c r="MJ315" s="1009"/>
      <c r="MK315" s="1009"/>
      <c r="ML315" s="1009"/>
      <c r="MM315" s="1009"/>
      <c r="MN315" s="1009"/>
      <c r="MO315" s="1009"/>
      <c r="MP315" s="1009"/>
      <c r="MQ315" s="1009"/>
      <c r="MR315" s="1009"/>
      <c r="MS315" s="1009"/>
      <c r="MT315" s="1009"/>
      <c r="MU315" s="1009"/>
      <c r="MV315" s="1009"/>
      <c r="MW315" s="1009"/>
      <c r="MX315" s="1009"/>
      <c r="MY315" s="1009"/>
      <c r="MZ315" s="1009"/>
      <c r="NA315" s="1009"/>
      <c r="NB315" s="1009"/>
      <c r="NC315" s="1009"/>
      <c r="ND315" s="1009"/>
      <c r="NE315" s="1009"/>
      <c r="NF315" s="1009"/>
      <c r="NG315" s="1009"/>
      <c r="NH315" s="1009"/>
      <c r="NI315" s="1009"/>
      <c r="NJ315" s="1009"/>
      <c r="NK315" s="1009"/>
      <c r="NL315" s="1009"/>
      <c r="NM315" s="1009"/>
      <c r="NN315" s="1009"/>
      <c r="NO315" s="1009"/>
      <c r="NP315" s="1009"/>
      <c r="NQ315" s="1009"/>
      <c r="NR315" s="1009"/>
      <c r="NS315" s="1009"/>
      <c r="NT315" s="1009"/>
      <c r="NU315" s="1009"/>
      <c r="NV315" s="1009"/>
      <c r="NW315" s="1009"/>
      <c r="NX315" s="1009"/>
      <c r="NY315" s="1009"/>
      <c r="NZ315" s="1009"/>
      <c r="OA315" s="1009"/>
      <c r="OB315" s="1009"/>
      <c r="OC315" s="1009"/>
      <c r="OD315" s="1009"/>
      <c r="OE315" s="1009"/>
      <c r="OF315" s="1009"/>
      <c r="OG315" s="1009"/>
      <c r="OH315" s="1009"/>
      <c r="OI315" s="1009"/>
      <c r="OJ315" s="1009"/>
      <c r="OK315" s="1009"/>
      <c r="OL315" s="1009"/>
      <c r="OM315" s="1009"/>
      <c r="ON315" s="1009"/>
      <c r="OO315" s="1009"/>
      <c r="OP315" s="1009"/>
      <c r="OQ315" s="1009"/>
      <c r="OR315" s="1009"/>
      <c r="OS315" s="1009"/>
      <c r="OT315" s="1009"/>
      <c r="OU315" s="1009"/>
      <c r="OV315" s="1009"/>
      <c r="OW315" s="1009"/>
      <c r="OX315" s="1009"/>
      <c r="OY315" s="1009"/>
      <c r="OZ315" s="1009"/>
      <c r="PA315" s="1009"/>
      <c r="PB315" s="1009"/>
      <c r="PC315" s="1009"/>
      <c r="PD315" s="1009"/>
      <c r="PE315" s="1009"/>
      <c r="PF315" s="1009"/>
      <c r="PG315" s="1009"/>
      <c r="PH315" s="1009"/>
      <c r="PI315" s="1009"/>
      <c r="PJ315" s="1009"/>
      <c r="PK315" s="1009"/>
      <c r="PL315" s="1009"/>
      <c r="PM315" s="1009"/>
      <c r="PN315" s="1009"/>
      <c r="PO315" s="1009"/>
      <c r="PP315" s="1009"/>
      <c r="PQ315" s="1009"/>
      <c r="PR315" s="1009"/>
      <c r="PS315" s="1009"/>
      <c r="PT315" s="1009"/>
      <c r="PU315" s="1009"/>
      <c r="PV315" s="1009"/>
      <c r="PW315" s="1009"/>
      <c r="PX315" s="1009"/>
      <c r="PY315" s="1009"/>
      <c r="PZ315" s="1009"/>
      <c r="QA315" s="1009"/>
      <c r="QB315" s="1009"/>
      <c r="QC315" s="1009"/>
      <c r="QD315" s="1009"/>
      <c r="QE315" s="1009"/>
      <c r="QF315" s="1009"/>
      <c r="QG315" s="1009"/>
      <c r="QH315" s="1009"/>
      <c r="QI315" s="1009"/>
      <c r="QJ315" s="1009"/>
      <c r="QK315" s="1009"/>
      <c r="QL315" s="1009"/>
      <c r="QM315" s="1009"/>
      <c r="QN315" s="1009"/>
      <c r="QO315" s="1009"/>
      <c r="QP315" s="1009"/>
      <c r="QQ315" s="1009"/>
      <c r="QR315" s="1009"/>
      <c r="QS315" s="1009"/>
      <c r="QT315" s="1009"/>
      <c r="QU315" s="1009"/>
      <c r="QV315" s="1009"/>
      <c r="QW315" s="1009"/>
      <c r="QX315" s="1009"/>
      <c r="QY315" s="1009"/>
      <c r="QZ315" s="1009"/>
      <c r="RA315" s="1009"/>
      <c r="RB315" s="1009"/>
      <c r="RC315" s="1009"/>
      <c r="RD315" s="1009"/>
      <c r="RE315" s="1009"/>
      <c r="RF315" s="1009"/>
      <c r="RG315" s="1009"/>
      <c r="RH315" s="1009"/>
      <c r="RI315" s="1009"/>
      <c r="RJ315" s="1009"/>
      <c r="RK315" s="1009"/>
      <c r="RL315" s="1009"/>
      <c r="RM315" s="1009"/>
      <c r="RN315" s="1009"/>
      <c r="RO315" s="1009"/>
      <c r="RP315" s="1009"/>
      <c r="RQ315" s="1009"/>
      <c r="RR315" s="1009"/>
      <c r="RS315" s="1009"/>
      <c r="RT315" s="1009"/>
      <c r="RU315" s="1009"/>
      <c r="RV315" s="1009"/>
      <c r="RW315" s="1009"/>
      <c r="RX315" s="1009"/>
      <c r="RY315" s="1009"/>
      <c r="RZ315" s="1009"/>
      <c r="SA315" s="1009"/>
      <c r="SB315" s="1009"/>
      <c r="SC315" s="1009"/>
      <c r="SD315" s="1009"/>
      <c r="SE315" s="1009"/>
      <c r="SF315" s="1009"/>
      <c r="SG315" s="1009"/>
      <c r="SH315" s="1009"/>
      <c r="SI315" s="1009"/>
      <c r="SJ315" s="1009"/>
      <c r="SK315" s="1009"/>
      <c r="SL315" s="1009"/>
      <c r="SM315" s="1009"/>
      <c r="SN315" s="1009"/>
      <c r="SO315" s="1009"/>
      <c r="SP315" s="1009"/>
      <c r="SQ315" s="1009"/>
      <c r="SR315" s="1009"/>
      <c r="SS315" s="1009"/>
      <c r="ST315" s="1009"/>
      <c r="SU315" s="1009"/>
      <c r="SV315" s="1009"/>
      <c r="SW315" s="1009"/>
      <c r="SX315" s="1009"/>
      <c r="SY315" s="1009"/>
      <c r="SZ315" s="1009"/>
      <c r="TA315" s="1009"/>
      <c r="TB315" s="1009"/>
      <c r="TC315" s="1009"/>
      <c r="TD315" s="1009"/>
      <c r="TE315" s="1009"/>
      <c r="TF315" s="1009"/>
      <c r="TG315" s="1009"/>
      <c r="TH315" s="1009"/>
      <c r="TI315" s="1009"/>
      <c r="TJ315" s="1009"/>
      <c r="TK315" s="1009"/>
      <c r="TL315" s="1009"/>
      <c r="TM315" s="1009"/>
      <c r="TN315" s="1009"/>
      <c r="TO315" s="1009"/>
      <c r="TP315" s="1009"/>
      <c r="TQ315" s="1009"/>
      <c r="TR315" s="1009"/>
      <c r="TS315" s="1009"/>
      <c r="TT315" s="1009"/>
      <c r="TU315" s="1009"/>
      <c r="TV315" s="1009"/>
      <c r="TW315" s="1009"/>
      <c r="TX315" s="1009"/>
      <c r="TY315" s="1009"/>
      <c r="TZ315" s="1009"/>
      <c r="UA315" s="1009"/>
      <c r="UB315" s="1009"/>
      <c r="UC315" s="1009"/>
      <c r="UD315" s="1009"/>
      <c r="UE315" s="1009"/>
      <c r="UF315" s="1009"/>
      <c r="UG315" s="1009"/>
      <c r="UH315" s="1009"/>
      <c r="UI315" s="1009"/>
      <c r="UJ315" s="1009"/>
      <c r="UK315" s="1009"/>
      <c r="UL315" s="1009"/>
      <c r="UM315" s="1009"/>
      <c r="UN315" s="1009"/>
      <c r="UO315" s="1009"/>
      <c r="UP315" s="1009"/>
      <c r="UQ315" s="1009"/>
      <c r="UR315" s="1009"/>
      <c r="US315" s="1009"/>
      <c r="UT315" s="1009"/>
      <c r="UU315" s="1009"/>
      <c r="UV315" s="1009"/>
      <c r="UW315" s="1009"/>
      <c r="UX315" s="1009"/>
      <c r="UY315" s="1009"/>
      <c r="UZ315" s="1009"/>
      <c r="VA315" s="1009"/>
      <c r="VB315" s="1009"/>
      <c r="VC315" s="1009"/>
      <c r="VD315" s="1009"/>
      <c r="VE315" s="1009"/>
      <c r="VF315" s="1009"/>
      <c r="VG315" s="1009"/>
      <c r="VH315" s="1009"/>
      <c r="VI315" s="1009"/>
      <c r="VJ315" s="1009"/>
      <c r="VK315" s="1009"/>
      <c r="VL315" s="1009"/>
      <c r="VM315" s="1009"/>
      <c r="VN315" s="1009"/>
      <c r="VO315" s="1009"/>
      <c r="VP315" s="1009"/>
      <c r="VQ315" s="1009"/>
      <c r="VR315" s="1009"/>
      <c r="VS315" s="1009"/>
      <c r="VT315" s="1009"/>
      <c r="VU315" s="1009"/>
      <c r="VV315" s="1009"/>
      <c r="VW315" s="1009"/>
      <c r="VX315" s="1009"/>
      <c r="VY315" s="1009"/>
      <c r="VZ315" s="1009"/>
      <c r="WA315" s="1009"/>
      <c r="WB315" s="1009"/>
      <c r="WC315" s="1009"/>
      <c r="WD315" s="1009"/>
      <c r="WE315" s="1009"/>
      <c r="WF315" s="1009"/>
      <c r="WG315" s="1009"/>
      <c r="WH315" s="1009"/>
      <c r="WI315" s="1009"/>
      <c r="WJ315" s="1009"/>
      <c r="WK315" s="1009"/>
      <c r="WL315" s="1009"/>
      <c r="WM315" s="1009"/>
      <c r="WN315" s="1009"/>
      <c r="WO315" s="1009"/>
      <c r="WP315" s="1009"/>
      <c r="WQ315" s="1009"/>
      <c r="WR315" s="1009"/>
      <c r="WS315" s="1009"/>
      <c r="WT315" s="1009"/>
      <c r="WU315" s="1009"/>
      <c r="WV315" s="1009"/>
      <c r="WW315" s="1009"/>
      <c r="WX315" s="1009"/>
      <c r="WY315" s="1009"/>
      <c r="WZ315" s="1009"/>
      <c r="XA315" s="1009"/>
      <c r="XB315" s="1009"/>
      <c r="XC315" s="1009"/>
      <c r="XD315" s="1009"/>
      <c r="XE315" s="1009"/>
      <c r="XF315" s="1009"/>
      <c r="XG315" s="1009"/>
      <c r="XH315" s="1009"/>
      <c r="XI315" s="1009"/>
      <c r="XJ315" s="1009"/>
      <c r="XK315" s="1009"/>
      <c r="XL315" s="1009"/>
      <c r="XM315" s="1009"/>
      <c r="XN315" s="1009"/>
      <c r="XO315" s="1009"/>
      <c r="XP315" s="1009"/>
      <c r="XQ315" s="1009"/>
      <c r="XR315" s="1009"/>
      <c r="XS315" s="1009"/>
      <c r="XT315" s="1009"/>
      <c r="XU315" s="1009"/>
      <c r="XV315" s="1009"/>
      <c r="XW315" s="1009"/>
      <c r="XX315" s="1009"/>
      <c r="XY315" s="1009"/>
      <c r="XZ315" s="1009"/>
      <c r="YA315" s="1009"/>
      <c r="YB315" s="1009"/>
      <c r="YC315" s="1009"/>
      <c r="YD315" s="1009"/>
      <c r="YE315" s="1009"/>
      <c r="YF315" s="1009"/>
      <c r="YG315" s="1009"/>
      <c r="YH315" s="1009"/>
      <c r="YI315" s="1009"/>
      <c r="YJ315" s="1009"/>
      <c r="YK315" s="1009"/>
      <c r="YL315" s="1009"/>
      <c r="YM315" s="1009"/>
      <c r="YN315" s="1009"/>
      <c r="YO315" s="1009"/>
      <c r="YP315" s="1009"/>
      <c r="YQ315" s="1009"/>
      <c r="YR315" s="1009"/>
      <c r="YS315" s="1009"/>
      <c r="YT315" s="1009"/>
      <c r="YU315" s="1009"/>
      <c r="YV315" s="1009"/>
      <c r="YW315" s="1009"/>
      <c r="YX315" s="1009"/>
      <c r="YY315" s="1009"/>
      <c r="YZ315" s="1009"/>
      <c r="ZA315" s="1009"/>
      <c r="ZB315" s="1009"/>
      <c r="ZC315" s="1009"/>
      <c r="ZD315" s="1009"/>
      <c r="ZE315" s="1009"/>
      <c r="ZF315" s="1009"/>
      <c r="ZG315" s="1009"/>
      <c r="ZH315" s="1009"/>
      <c r="ZI315" s="1009"/>
      <c r="ZJ315" s="1009"/>
      <c r="ZK315" s="1009"/>
      <c r="ZL315" s="1009"/>
      <c r="ZM315" s="1009"/>
      <c r="ZN315" s="1009"/>
      <c r="ZO315" s="1009"/>
      <c r="ZP315" s="1009"/>
      <c r="ZQ315" s="1009"/>
      <c r="ZR315" s="1009"/>
      <c r="ZS315" s="1009"/>
      <c r="ZT315" s="1009"/>
      <c r="ZU315" s="1009"/>
      <c r="ZV315" s="1009"/>
      <c r="ZW315" s="1009"/>
      <c r="ZX315" s="1009"/>
      <c r="ZY315" s="1009"/>
      <c r="ZZ315" s="1009"/>
      <c r="AAA315" s="1009"/>
      <c r="AAB315" s="1009"/>
      <c r="AAC315" s="1009"/>
      <c r="AAD315" s="1009"/>
      <c r="AAE315" s="1009"/>
      <c r="AAF315" s="1009"/>
      <c r="AAG315" s="1009"/>
      <c r="AAH315" s="1009"/>
      <c r="AAI315" s="1009"/>
      <c r="AAJ315" s="1009"/>
      <c r="AAK315" s="1009"/>
      <c r="AAL315" s="1009"/>
      <c r="AAM315" s="1009"/>
      <c r="AAN315" s="1009"/>
      <c r="AAO315" s="1009"/>
      <c r="AAP315" s="1009"/>
      <c r="AAQ315" s="1009"/>
      <c r="AAR315" s="1009"/>
      <c r="AAS315" s="1009"/>
      <c r="AAT315" s="1009"/>
      <c r="AAU315" s="1009"/>
      <c r="AAV315" s="1009"/>
      <c r="AAW315" s="1009"/>
      <c r="AAX315" s="1009"/>
      <c r="AAY315" s="1009"/>
      <c r="AAZ315" s="1009"/>
      <c r="ABA315" s="1009"/>
      <c r="ABB315" s="1009"/>
      <c r="ABC315" s="1009"/>
      <c r="ABD315" s="1009"/>
      <c r="ABE315" s="1009"/>
      <c r="ABF315" s="1009"/>
      <c r="ABG315" s="1009"/>
      <c r="ABH315" s="1009"/>
      <c r="ABI315" s="1009"/>
      <c r="ABJ315" s="1009"/>
      <c r="ABK315" s="1009"/>
      <c r="ABL315" s="1009"/>
      <c r="ABM315" s="1009"/>
      <c r="ABN315" s="1009"/>
      <c r="ABO315" s="1009"/>
      <c r="ABP315" s="1009"/>
      <c r="ABQ315" s="1009"/>
      <c r="ABR315" s="1009"/>
    </row>
    <row r="316" spans="1:746" s="111" customFormat="1" ht="12" customHeight="1" thickBot="1">
      <c r="A316" s="1758"/>
      <c r="B316" s="1231" t="s">
        <v>921</v>
      </c>
      <c r="C316" s="1232"/>
      <c r="D316" s="1242"/>
      <c r="E316" s="2476">
        <v>0.06</v>
      </c>
      <c r="F316" s="1234"/>
      <c r="G316" s="1700">
        <f>E316</f>
        <v>0.06</v>
      </c>
      <c r="H316" s="2562"/>
      <c r="I316" s="2209"/>
      <c r="J316" s="376"/>
      <c r="K316" s="376"/>
      <c r="L316" s="376"/>
      <c r="M316" s="376"/>
      <c r="N316" s="376"/>
      <c r="O316" s="376"/>
      <c r="P316" s="376"/>
      <c r="Q316" s="376"/>
      <c r="R316" s="376"/>
      <c r="S316" s="1042"/>
      <c r="T316" s="1042"/>
      <c r="U316" s="1042"/>
      <c r="V316" s="1042"/>
      <c r="W316" s="1042"/>
      <c r="X316" s="1042"/>
      <c r="Y316" s="1042"/>
      <c r="Z316" s="1042"/>
      <c r="AA316" s="1042"/>
      <c r="AB316" s="1042"/>
      <c r="AC316" s="1042"/>
      <c r="AD316" s="1042"/>
      <c r="AE316" s="1042"/>
      <c r="AF316" s="376"/>
      <c r="AG316" s="376"/>
      <c r="AH316" s="2304"/>
      <c r="AI316" s="786"/>
      <c r="AJ316" s="773"/>
      <c r="AK316" s="774"/>
      <c r="AL316" s="773"/>
      <c r="AM316" s="1009"/>
      <c r="AN316" s="1034"/>
      <c r="AO316" s="1034"/>
      <c r="AP316" s="1084"/>
      <c r="AQ316" s="1084"/>
      <c r="AR316" s="1009"/>
      <c r="AS316" s="1009"/>
      <c r="AT316" s="1009"/>
      <c r="AU316" s="1009"/>
      <c r="AV316" s="1009"/>
      <c r="AW316" s="1009"/>
      <c r="AX316" s="1009"/>
      <c r="AY316" s="1009"/>
      <c r="AZ316" s="1009"/>
      <c r="BA316" s="1009"/>
      <c r="BB316" s="1009"/>
      <c r="BC316" s="1009"/>
      <c r="BD316" s="1009"/>
      <c r="BE316" s="1009"/>
      <c r="BF316" s="1009"/>
      <c r="BG316" s="1009"/>
      <c r="BH316" s="1009"/>
      <c r="BI316" s="1009"/>
      <c r="BJ316" s="1009"/>
      <c r="BK316" s="1009"/>
      <c r="BL316" s="1009"/>
      <c r="BM316" s="1009"/>
      <c r="BN316" s="1009"/>
      <c r="BO316" s="1009"/>
      <c r="BP316" s="1009"/>
      <c r="BQ316" s="1009"/>
      <c r="BR316" s="1009"/>
      <c r="BS316" s="1009"/>
      <c r="BT316" s="1009"/>
      <c r="BU316" s="1009"/>
      <c r="BV316" s="1009"/>
      <c r="BW316" s="1009"/>
      <c r="BX316" s="1009"/>
      <c r="BY316" s="1009"/>
      <c r="BZ316" s="1009"/>
      <c r="CA316" s="1009"/>
      <c r="CB316" s="1009"/>
      <c r="CC316" s="1009"/>
      <c r="CD316" s="1009"/>
      <c r="CE316" s="1009"/>
      <c r="CF316" s="1009"/>
      <c r="CG316" s="1009"/>
      <c r="CH316" s="1009"/>
      <c r="CI316" s="1009"/>
      <c r="CJ316" s="1009"/>
      <c r="CK316" s="1009"/>
      <c r="CL316" s="1009"/>
      <c r="CM316" s="1009"/>
      <c r="CN316" s="1009"/>
      <c r="CO316" s="1009"/>
      <c r="CP316" s="1009"/>
      <c r="CQ316" s="1009"/>
      <c r="CR316" s="1009"/>
      <c r="CS316" s="1009"/>
      <c r="CT316" s="1009"/>
      <c r="CU316" s="1009"/>
      <c r="CV316" s="1009"/>
      <c r="CW316" s="1009"/>
      <c r="CX316" s="1009"/>
      <c r="CY316" s="1009"/>
      <c r="CZ316" s="1009"/>
      <c r="DA316" s="1009"/>
      <c r="DB316" s="1009"/>
      <c r="DC316" s="1009"/>
      <c r="DD316" s="1009"/>
      <c r="DE316" s="1009"/>
      <c r="DF316" s="1009"/>
      <c r="DG316" s="1009"/>
      <c r="DH316" s="1009"/>
      <c r="DI316" s="1009"/>
      <c r="DJ316" s="1009"/>
      <c r="DK316" s="1009"/>
      <c r="DL316" s="1009"/>
      <c r="DM316" s="1009"/>
      <c r="DN316" s="1009"/>
      <c r="DO316" s="1009"/>
      <c r="DP316" s="1009"/>
      <c r="DQ316" s="1009"/>
      <c r="DR316" s="1009"/>
      <c r="DS316" s="1009"/>
      <c r="DT316" s="1009"/>
      <c r="DU316" s="1009"/>
      <c r="DV316" s="1009"/>
      <c r="DW316" s="1009"/>
      <c r="DX316" s="1009"/>
      <c r="DY316" s="1009"/>
      <c r="DZ316" s="1009"/>
      <c r="EA316" s="1009"/>
      <c r="EB316" s="1009"/>
      <c r="EC316" s="1009"/>
      <c r="ED316" s="1009"/>
      <c r="EE316" s="1009"/>
      <c r="EF316" s="1009"/>
      <c r="EG316" s="1009"/>
      <c r="EH316" s="1009"/>
      <c r="EI316" s="1009"/>
      <c r="EJ316" s="1009"/>
      <c r="EK316" s="1009"/>
      <c r="EL316" s="1009"/>
      <c r="EM316" s="1009"/>
      <c r="EN316" s="1009"/>
      <c r="EO316" s="1009"/>
      <c r="EP316" s="1009"/>
      <c r="EQ316" s="1009"/>
      <c r="ER316" s="1009"/>
      <c r="ES316" s="1009"/>
      <c r="ET316" s="1009"/>
      <c r="EU316" s="1009"/>
      <c r="EV316" s="1009"/>
      <c r="EW316" s="1009"/>
      <c r="EX316" s="1009"/>
      <c r="EY316" s="1009"/>
      <c r="EZ316" s="1009"/>
      <c r="FA316" s="1009"/>
      <c r="FB316" s="1009"/>
      <c r="FC316" s="1009"/>
      <c r="FD316" s="1009"/>
      <c r="FE316" s="1009"/>
      <c r="FF316" s="1009"/>
      <c r="FG316" s="1009"/>
      <c r="FH316" s="1009"/>
      <c r="FI316" s="1009"/>
      <c r="FJ316" s="1009"/>
      <c r="FK316" s="1009"/>
      <c r="FL316" s="1009"/>
      <c r="FM316" s="1009"/>
      <c r="FN316" s="1009"/>
      <c r="FO316" s="1009"/>
      <c r="FP316" s="1009"/>
      <c r="FQ316" s="1009"/>
      <c r="FR316" s="1009"/>
      <c r="FS316" s="1009"/>
      <c r="FT316" s="1009"/>
      <c r="FU316" s="1009"/>
      <c r="FV316" s="1009"/>
      <c r="FW316" s="1009"/>
      <c r="FX316" s="1009"/>
      <c r="FY316" s="1009"/>
      <c r="FZ316" s="1009"/>
      <c r="GA316" s="1009"/>
      <c r="GB316" s="1009"/>
      <c r="GC316" s="1009"/>
      <c r="GD316" s="1009"/>
      <c r="GE316" s="1009"/>
      <c r="GF316" s="1009"/>
      <c r="GG316" s="1009"/>
      <c r="GH316" s="1009"/>
      <c r="GI316" s="1009"/>
      <c r="GJ316" s="1009"/>
      <c r="GK316" s="1009"/>
      <c r="GL316" s="1009"/>
      <c r="GM316" s="1009"/>
      <c r="GN316" s="1009"/>
      <c r="GO316" s="1009"/>
      <c r="GP316" s="1009"/>
      <c r="GQ316" s="1009"/>
      <c r="GR316" s="1009"/>
      <c r="GS316" s="1009"/>
      <c r="GT316" s="1009"/>
      <c r="GU316" s="1009"/>
      <c r="GV316" s="1009"/>
      <c r="GW316" s="1009"/>
      <c r="GX316" s="1009"/>
      <c r="GY316" s="1009"/>
      <c r="GZ316" s="1009"/>
      <c r="HA316" s="1009"/>
      <c r="HB316" s="1009"/>
      <c r="HC316" s="1009"/>
      <c r="HD316" s="1009"/>
      <c r="HE316" s="1009"/>
      <c r="HF316" s="1009"/>
      <c r="HG316" s="1009"/>
      <c r="HH316" s="1009"/>
      <c r="HI316" s="1009"/>
      <c r="HJ316" s="1009"/>
      <c r="HK316" s="1009"/>
      <c r="HL316" s="1009"/>
      <c r="HM316" s="1009"/>
      <c r="HN316" s="1009"/>
      <c r="HO316" s="1009"/>
      <c r="HP316" s="1009"/>
      <c r="HQ316" s="1009"/>
      <c r="HR316" s="1009"/>
      <c r="HS316" s="1009"/>
      <c r="HT316" s="1009"/>
      <c r="HU316" s="1009"/>
      <c r="HV316" s="1009"/>
      <c r="HW316" s="1009"/>
      <c r="HX316" s="1009"/>
      <c r="HY316" s="1009"/>
      <c r="HZ316" s="1009"/>
      <c r="IA316" s="1009"/>
      <c r="IB316" s="1009"/>
      <c r="IC316" s="1009"/>
      <c r="ID316" s="1009"/>
      <c r="IE316" s="1009"/>
      <c r="IF316" s="1009"/>
      <c r="IG316" s="1009"/>
      <c r="IH316" s="1009"/>
      <c r="II316" s="1009"/>
      <c r="IJ316" s="1009"/>
      <c r="IK316" s="1009"/>
      <c r="IL316" s="1009"/>
      <c r="IM316" s="1009"/>
      <c r="IN316" s="1009"/>
      <c r="IO316" s="1009"/>
      <c r="IP316" s="1009"/>
      <c r="IQ316" s="1009"/>
      <c r="IR316" s="1009"/>
      <c r="IS316" s="1009"/>
      <c r="IT316" s="1009"/>
      <c r="IU316" s="1009"/>
      <c r="IV316" s="1009"/>
      <c r="IW316" s="1009"/>
      <c r="IX316" s="1009"/>
      <c r="IY316" s="1009"/>
      <c r="IZ316" s="1009"/>
      <c r="JA316" s="1009"/>
      <c r="JB316" s="1009"/>
      <c r="JC316" s="1009"/>
      <c r="JD316" s="1009"/>
      <c r="JE316" s="1009"/>
      <c r="JF316" s="1009"/>
      <c r="JG316" s="1009"/>
      <c r="JH316" s="1009"/>
      <c r="JI316" s="1009"/>
      <c r="JJ316" s="1009"/>
      <c r="JK316" s="1009"/>
      <c r="JL316" s="1009"/>
      <c r="JM316" s="1009"/>
      <c r="JN316" s="1009"/>
      <c r="JO316" s="1009"/>
      <c r="JP316" s="1009"/>
      <c r="JQ316" s="1009"/>
      <c r="JR316" s="1009"/>
      <c r="JS316" s="1009"/>
      <c r="JT316" s="1009"/>
      <c r="JU316" s="1009"/>
      <c r="JV316" s="1009"/>
      <c r="JW316" s="1009"/>
      <c r="JX316" s="1009"/>
      <c r="JY316" s="1009"/>
      <c r="JZ316" s="1009"/>
      <c r="KA316" s="1009"/>
      <c r="KB316" s="1009"/>
      <c r="KC316" s="1009"/>
      <c r="KD316" s="1009"/>
      <c r="KE316" s="1009"/>
      <c r="KF316" s="1009"/>
      <c r="KG316" s="1009"/>
      <c r="KH316" s="1009"/>
      <c r="KI316" s="1009"/>
      <c r="KJ316" s="1009"/>
      <c r="KK316" s="1009"/>
      <c r="KL316" s="1009"/>
      <c r="KM316" s="1009"/>
      <c r="KN316" s="1009"/>
      <c r="KO316" s="1009"/>
      <c r="KP316" s="1009"/>
      <c r="KQ316" s="1009"/>
      <c r="KR316" s="1009"/>
      <c r="KS316" s="1009"/>
      <c r="KT316" s="1009"/>
      <c r="KU316" s="1009"/>
      <c r="KV316" s="1009"/>
      <c r="KW316" s="1009"/>
      <c r="KX316" s="1009"/>
      <c r="KY316" s="1009"/>
      <c r="KZ316" s="1009"/>
      <c r="LA316" s="1009"/>
      <c r="LB316" s="1009"/>
      <c r="LC316" s="1009"/>
      <c r="LD316" s="1009"/>
      <c r="LE316" s="1009"/>
      <c r="LF316" s="1009"/>
      <c r="LG316" s="1009"/>
      <c r="LH316" s="1009"/>
      <c r="LI316" s="1009"/>
      <c r="LJ316" s="1009"/>
      <c r="LK316" s="1009"/>
      <c r="LL316" s="1009"/>
      <c r="LM316" s="1009"/>
      <c r="LN316" s="1009"/>
      <c r="LO316" s="1009"/>
      <c r="LP316" s="1009"/>
      <c r="LQ316" s="1009"/>
      <c r="LR316" s="1009"/>
      <c r="LS316" s="1009"/>
      <c r="LT316" s="1009"/>
      <c r="LU316" s="1009"/>
      <c r="LV316" s="1009"/>
      <c r="LW316" s="1009"/>
      <c r="LX316" s="1009"/>
      <c r="LY316" s="1009"/>
      <c r="LZ316" s="1009"/>
      <c r="MA316" s="1009"/>
      <c r="MB316" s="1009"/>
      <c r="MC316" s="1009"/>
      <c r="MD316" s="1009"/>
      <c r="ME316" s="1009"/>
      <c r="MF316" s="1009"/>
      <c r="MG316" s="1009"/>
      <c r="MH316" s="1009"/>
      <c r="MI316" s="1009"/>
      <c r="MJ316" s="1009"/>
      <c r="MK316" s="1009"/>
      <c r="ML316" s="1009"/>
      <c r="MM316" s="1009"/>
      <c r="MN316" s="1009"/>
      <c r="MO316" s="1009"/>
      <c r="MP316" s="1009"/>
      <c r="MQ316" s="1009"/>
      <c r="MR316" s="1009"/>
      <c r="MS316" s="1009"/>
      <c r="MT316" s="1009"/>
      <c r="MU316" s="1009"/>
      <c r="MV316" s="1009"/>
      <c r="MW316" s="1009"/>
      <c r="MX316" s="1009"/>
      <c r="MY316" s="1009"/>
      <c r="MZ316" s="1009"/>
      <c r="NA316" s="1009"/>
      <c r="NB316" s="1009"/>
      <c r="NC316" s="1009"/>
      <c r="ND316" s="1009"/>
      <c r="NE316" s="1009"/>
      <c r="NF316" s="1009"/>
      <c r="NG316" s="1009"/>
      <c r="NH316" s="1009"/>
      <c r="NI316" s="1009"/>
      <c r="NJ316" s="1009"/>
      <c r="NK316" s="1009"/>
      <c r="NL316" s="1009"/>
      <c r="NM316" s="1009"/>
      <c r="NN316" s="1009"/>
      <c r="NO316" s="1009"/>
      <c r="NP316" s="1009"/>
      <c r="NQ316" s="1009"/>
      <c r="NR316" s="1009"/>
      <c r="NS316" s="1009"/>
      <c r="NT316" s="1009"/>
      <c r="NU316" s="1009"/>
      <c r="NV316" s="1009"/>
      <c r="NW316" s="1009"/>
      <c r="NX316" s="1009"/>
      <c r="NY316" s="1009"/>
      <c r="NZ316" s="1009"/>
      <c r="OA316" s="1009"/>
      <c r="OB316" s="1009"/>
      <c r="OC316" s="1009"/>
      <c r="OD316" s="1009"/>
      <c r="OE316" s="1009"/>
      <c r="OF316" s="1009"/>
      <c r="OG316" s="1009"/>
      <c r="OH316" s="1009"/>
      <c r="OI316" s="1009"/>
      <c r="OJ316" s="1009"/>
      <c r="OK316" s="1009"/>
      <c r="OL316" s="1009"/>
      <c r="OM316" s="1009"/>
      <c r="ON316" s="1009"/>
      <c r="OO316" s="1009"/>
      <c r="OP316" s="1009"/>
      <c r="OQ316" s="1009"/>
      <c r="OR316" s="1009"/>
      <c r="OS316" s="1009"/>
      <c r="OT316" s="1009"/>
      <c r="OU316" s="1009"/>
      <c r="OV316" s="1009"/>
      <c r="OW316" s="1009"/>
      <c r="OX316" s="1009"/>
      <c r="OY316" s="1009"/>
      <c r="OZ316" s="1009"/>
      <c r="PA316" s="1009"/>
      <c r="PB316" s="1009"/>
      <c r="PC316" s="1009"/>
      <c r="PD316" s="1009"/>
      <c r="PE316" s="1009"/>
      <c r="PF316" s="1009"/>
      <c r="PG316" s="1009"/>
      <c r="PH316" s="1009"/>
      <c r="PI316" s="1009"/>
      <c r="PJ316" s="1009"/>
      <c r="PK316" s="1009"/>
      <c r="PL316" s="1009"/>
      <c r="PM316" s="1009"/>
      <c r="PN316" s="1009"/>
      <c r="PO316" s="1009"/>
      <c r="PP316" s="1009"/>
      <c r="PQ316" s="1009"/>
      <c r="PR316" s="1009"/>
      <c r="PS316" s="1009"/>
      <c r="PT316" s="1009"/>
      <c r="PU316" s="1009"/>
      <c r="PV316" s="1009"/>
      <c r="PW316" s="1009"/>
      <c r="PX316" s="1009"/>
      <c r="PY316" s="1009"/>
      <c r="PZ316" s="1009"/>
      <c r="QA316" s="1009"/>
      <c r="QB316" s="1009"/>
      <c r="QC316" s="1009"/>
      <c r="QD316" s="1009"/>
      <c r="QE316" s="1009"/>
      <c r="QF316" s="1009"/>
      <c r="QG316" s="1009"/>
      <c r="QH316" s="1009"/>
      <c r="QI316" s="1009"/>
      <c r="QJ316" s="1009"/>
      <c r="QK316" s="1009"/>
      <c r="QL316" s="1009"/>
      <c r="QM316" s="1009"/>
      <c r="QN316" s="1009"/>
      <c r="QO316" s="1009"/>
      <c r="QP316" s="1009"/>
      <c r="QQ316" s="1009"/>
      <c r="QR316" s="1009"/>
      <c r="QS316" s="1009"/>
      <c r="QT316" s="1009"/>
      <c r="QU316" s="1009"/>
      <c r="QV316" s="1009"/>
      <c r="QW316" s="1009"/>
      <c r="QX316" s="1009"/>
      <c r="QY316" s="1009"/>
      <c r="QZ316" s="1009"/>
      <c r="RA316" s="1009"/>
      <c r="RB316" s="1009"/>
      <c r="RC316" s="1009"/>
      <c r="RD316" s="1009"/>
      <c r="RE316" s="1009"/>
      <c r="RF316" s="1009"/>
      <c r="RG316" s="1009"/>
      <c r="RH316" s="1009"/>
      <c r="RI316" s="1009"/>
      <c r="RJ316" s="1009"/>
      <c r="RK316" s="1009"/>
      <c r="RL316" s="1009"/>
      <c r="RM316" s="1009"/>
      <c r="RN316" s="1009"/>
      <c r="RO316" s="1009"/>
      <c r="RP316" s="1009"/>
      <c r="RQ316" s="1009"/>
      <c r="RR316" s="1009"/>
      <c r="RS316" s="1009"/>
      <c r="RT316" s="1009"/>
      <c r="RU316" s="1009"/>
      <c r="RV316" s="1009"/>
      <c r="RW316" s="1009"/>
      <c r="RX316" s="1009"/>
      <c r="RY316" s="1009"/>
      <c r="RZ316" s="1009"/>
      <c r="SA316" s="1009"/>
      <c r="SB316" s="1009"/>
      <c r="SC316" s="1009"/>
      <c r="SD316" s="1009"/>
      <c r="SE316" s="1009"/>
      <c r="SF316" s="1009"/>
      <c r="SG316" s="1009"/>
      <c r="SH316" s="1009"/>
      <c r="SI316" s="1009"/>
      <c r="SJ316" s="1009"/>
      <c r="SK316" s="1009"/>
      <c r="SL316" s="1009"/>
      <c r="SM316" s="1009"/>
      <c r="SN316" s="1009"/>
      <c r="SO316" s="1009"/>
      <c r="SP316" s="1009"/>
      <c r="SQ316" s="1009"/>
      <c r="SR316" s="1009"/>
      <c r="SS316" s="1009"/>
      <c r="ST316" s="1009"/>
      <c r="SU316" s="1009"/>
      <c r="SV316" s="1009"/>
      <c r="SW316" s="1009"/>
      <c r="SX316" s="1009"/>
      <c r="SY316" s="1009"/>
      <c r="SZ316" s="1009"/>
      <c r="TA316" s="1009"/>
      <c r="TB316" s="1009"/>
      <c r="TC316" s="1009"/>
      <c r="TD316" s="1009"/>
      <c r="TE316" s="1009"/>
      <c r="TF316" s="1009"/>
      <c r="TG316" s="1009"/>
      <c r="TH316" s="1009"/>
      <c r="TI316" s="1009"/>
      <c r="TJ316" s="1009"/>
      <c r="TK316" s="1009"/>
      <c r="TL316" s="1009"/>
      <c r="TM316" s="1009"/>
      <c r="TN316" s="1009"/>
      <c r="TO316" s="1009"/>
      <c r="TP316" s="1009"/>
      <c r="TQ316" s="1009"/>
      <c r="TR316" s="1009"/>
      <c r="TS316" s="1009"/>
      <c r="TT316" s="1009"/>
      <c r="TU316" s="1009"/>
      <c r="TV316" s="1009"/>
      <c r="TW316" s="1009"/>
      <c r="TX316" s="1009"/>
      <c r="TY316" s="1009"/>
      <c r="TZ316" s="1009"/>
      <c r="UA316" s="1009"/>
      <c r="UB316" s="1009"/>
      <c r="UC316" s="1009"/>
      <c r="UD316" s="1009"/>
      <c r="UE316" s="1009"/>
      <c r="UF316" s="1009"/>
      <c r="UG316" s="1009"/>
      <c r="UH316" s="1009"/>
      <c r="UI316" s="1009"/>
      <c r="UJ316" s="1009"/>
      <c r="UK316" s="1009"/>
      <c r="UL316" s="1009"/>
      <c r="UM316" s="1009"/>
      <c r="UN316" s="1009"/>
      <c r="UO316" s="1009"/>
      <c r="UP316" s="1009"/>
      <c r="UQ316" s="1009"/>
      <c r="UR316" s="1009"/>
      <c r="US316" s="1009"/>
      <c r="UT316" s="1009"/>
      <c r="UU316" s="1009"/>
      <c r="UV316" s="1009"/>
      <c r="UW316" s="1009"/>
      <c r="UX316" s="1009"/>
      <c r="UY316" s="1009"/>
      <c r="UZ316" s="1009"/>
      <c r="VA316" s="1009"/>
      <c r="VB316" s="1009"/>
      <c r="VC316" s="1009"/>
      <c r="VD316" s="1009"/>
      <c r="VE316" s="1009"/>
      <c r="VF316" s="1009"/>
      <c r="VG316" s="1009"/>
      <c r="VH316" s="1009"/>
      <c r="VI316" s="1009"/>
      <c r="VJ316" s="1009"/>
      <c r="VK316" s="1009"/>
      <c r="VL316" s="1009"/>
      <c r="VM316" s="1009"/>
      <c r="VN316" s="1009"/>
      <c r="VO316" s="1009"/>
      <c r="VP316" s="1009"/>
      <c r="VQ316" s="1009"/>
      <c r="VR316" s="1009"/>
      <c r="VS316" s="1009"/>
      <c r="VT316" s="1009"/>
      <c r="VU316" s="1009"/>
      <c r="VV316" s="1009"/>
      <c r="VW316" s="1009"/>
      <c r="VX316" s="1009"/>
      <c r="VY316" s="1009"/>
      <c r="VZ316" s="1009"/>
      <c r="WA316" s="1009"/>
      <c r="WB316" s="1009"/>
      <c r="WC316" s="1009"/>
      <c r="WD316" s="1009"/>
      <c r="WE316" s="1009"/>
      <c r="WF316" s="1009"/>
      <c r="WG316" s="1009"/>
      <c r="WH316" s="1009"/>
      <c r="WI316" s="1009"/>
      <c r="WJ316" s="1009"/>
      <c r="WK316" s="1009"/>
      <c r="WL316" s="1009"/>
      <c r="WM316" s="1009"/>
      <c r="WN316" s="1009"/>
      <c r="WO316" s="1009"/>
      <c r="WP316" s="1009"/>
      <c r="WQ316" s="1009"/>
      <c r="WR316" s="1009"/>
      <c r="WS316" s="1009"/>
      <c r="WT316" s="1009"/>
      <c r="WU316" s="1009"/>
      <c r="WV316" s="1009"/>
      <c r="WW316" s="1009"/>
      <c r="WX316" s="1009"/>
      <c r="WY316" s="1009"/>
      <c r="WZ316" s="1009"/>
      <c r="XA316" s="1009"/>
      <c r="XB316" s="1009"/>
      <c r="XC316" s="1009"/>
      <c r="XD316" s="1009"/>
      <c r="XE316" s="1009"/>
      <c r="XF316" s="1009"/>
      <c r="XG316" s="1009"/>
      <c r="XH316" s="1009"/>
      <c r="XI316" s="1009"/>
      <c r="XJ316" s="1009"/>
      <c r="XK316" s="1009"/>
      <c r="XL316" s="1009"/>
      <c r="XM316" s="1009"/>
      <c r="XN316" s="1009"/>
      <c r="XO316" s="1009"/>
      <c r="XP316" s="1009"/>
      <c r="XQ316" s="1009"/>
      <c r="XR316" s="1009"/>
      <c r="XS316" s="1009"/>
      <c r="XT316" s="1009"/>
      <c r="XU316" s="1009"/>
      <c r="XV316" s="1009"/>
      <c r="XW316" s="1009"/>
      <c r="XX316" s="1009"/>
      <c r="XY316" s="1009"/>
      <c r="XZ316" s="1009"/>
      <c r="YA316" s="1009"/>
      <c r="YB316" s="1009"/>
      <c r="YC316" s="1009"/>
      <c r="YD316" s="1009"/>
      <c r="YE316" s="1009"/>
      <c r="YF316" s="1009"/>
      <c r="YG316" s="1009"/>
      <c r="YH316" s="1009"/>
      <c r="YI316" s="1009"/>
      <c r="YJ316" s="1009"/>
      <c r="YK316" s="1009"/>
      <c r="YL316" s="1009"/>
      <c r="YM316" s="1009"/>
      <c r="YN316" s="1009"/>
      <c r="YO316" s="1009"/>
      <c r="YP316" s="1009"/>
      <c r="YQ316" s="1009"/>
      <c r="YR316" s="1009"/>
      <c r="YS316" s="1009"/>
      <c r="YT316" s="1009"/>
      <c r="YU316" s="1009"/>
      <c r="YV316" s="1009"/>
      <c r="YW316" s="1009"/>
      <c r="YX316" s="1009"/>
      <c r="YY316" s="1009"/>
      <c r="YZ316" s="1009"/>
      <c r="ZA316" s="1009"/>
      <c r="ZB316" s="1009"/>
      <c r="ZC316" s="1009"/>
      <c r="ZD316" s="1009"/>
      <c r="ZE316" s="1009"/>
      <c r="ZF316" s="1009"/>
      <c r="ZG316" s="1009"/>
      <c r="ZH316" s="1009"/>
      <c r="ZI316" s="1009"/>
      <c r="ZJ316" s="1009"/>
      <c r="ZK316" s="1009"/>
      <c r="ZL316" s="1009"/>
      <c r="ZM316" s="1009"/>
      <c r="ZN316" s="1009"/>
      <c r="ZO316" s="1009"/>
      <c r="ZP316" s="1009"/>
      <c r="ZQ316" s="1009"/>
      <c r="ZR316" s="1009"/>
      <c r="ZS316" s="1009"/>
      <c r="ZT316" s="1009"/>
      <c r="ZU316" s="1009"/>
      <c r="ZV316" s="1009"/>
      <c r="ZW316" s="1009"/>
      <c r="ZX316" s="1009"/>
      <c r="ZY316" s="1009"/>
      <c r="ZZ316" s="1009"/>
      <c r="AAA316" s="1009"/>
      <c r="AAB316" s="1009"/>
      <c r="AAC316" s="1009"/>
      <c r="AAD316" s="1009"/>
      <c r="AAE316" s="1009"/>
      <c r="AAF316" s="1009"/>
      <c r="AAG316" s="1009"/>
      <c r="AAH316" s="1009"/>
      <c r="AAI316" s="1009"/>
      <c r="AAJ316" s="1009"/>
      <c r="AAK316" s="1009"/>
      <c r="AAL316" s="1009"/>
      <c r="AAM316" s="1009"/>
      <c r="AAN316" s="1009"/>
      <c r="AAO316" s="1009"/>
      <c r="AAP316" s="1009"/>
      <c r="AAQ316" s="1009"/>
      <c r="AAR316" s="1009"/>
      <c r="AAS316" s="1009"/>
      <c r="AAT316" s="1009"/>
      <c r="AAU316" s="1009"/>
      <c r="AAV316" s="1009"/>
      <c r="AAW316" s="1009"/>
      <c r="AAX316" s="1009"/>
      <c r="AAY316" s="1009"/>
      <c r="AAZ316" s="1009"/>
      <c r="ABA316" s="1009"/>
      <c r="ABB316" s="1009"/>
      <c r="ABC316" s="1009"/>
      <c r="ABD316" s="1009"/>
      <c r="ABE316" s="1009"/>
      <c r="ABF316" s="1009"/>
      <c r="ABG316" s="1009"/>
      <c r="ABH316" s="1009"/>
      <c r="ABI316" s="1009"/>
      <c r="ABJ316" s="1009"/>
      <c r="ABK316" s="1009"/>
      <c r="ABL316" s="1009"/>
      <c r="ABM316" s="1009"/>
      <c r="ABN316" s="1009"/>
      <c r="ABO316" s="1009"/>
      <c r="ABP316" s="1009"/>
      <c r="ABQ316" s="1009"/>
      <c r="ABR316" s="1009"/>
    </row>
    <row r="317" spans="1:746" s="111" customFormat="1" ht="12" customHeight="1" thickBot="1">
      <c r="A317" s="1758"/>
      <c r="B317" s="1762" t="s">
        <v>940</v>
      </c>
      <c r="C317" s="1232"/>
      <c r="D317" s="1233"/>
      <c r="E317" s="1248">
        <v>0.12</v>
      </c>
      <c r="F317" s="1235"/>
      <c r="G317" s="1700">
        <f>E317</f>
        <v>0.12</v>
      </c>
      <c r="H317" s="2562"/>
      <c r="I317" s="2209"/>
      <c r="J317" s="376"/>
      <c r="K317" s="376"/>
      <c r="L317" s="376"/>
      <c r="M317" s="376"/>
      <c r="N317" s="376"/>
      <c r="O317" s="376"/>
      <c r="P317" s="376"/>
      <c r="Q317" s="376"/>
      <c r="R317" s="376"/>
      <c r="S317" s="1042"/>
      <c r="T317" s="1042"/>
      <c r="U317" s="1042"/>
      <c r="V317" s="1042"/>
      <c r="W317" s="1042"/>
      <c r="X317" s="1042"/>
      <c r="Y317" s="1042"/>
      <c r="Z317" s="1042"/>
      <c r="AA317" s="1042"/>
      <c r="AB317" s="1042"/>
      <c r="AC317" s="1042"/>
      <c r="AD317" s="1042"/>
      <c r="AE317" s="376"/>
      <c r="AF317" s="376"/>
      <c r="AG317" s="2304"/>
      <c r="AH317" s="2304"/>
      <c r="AI317" s="786"/>
      <c r="AJ317" s="773"/>
      <c r="AK317" s="774"/>
      <c r="AL317" s="773"/>
      <c r="AM317" s="1009"/>
      <c r="AN317" s="1034"/>
      <c r="AO317" s="1034" t="s">
        <v>1310</v>
      </c>
      <c r="AP317" s="1084"/>
      <c r="AQ317" s="1084"/>
      <c r="AR317" s="1009"/>
      <c r="AS317" s="1009"/>
      <c r="AT317" s="1009"/>
      <c r="AU317" s="1009"/>
      <c r="AV317" s="1009"/>
      <c r="AW317" s="1009"/>
      <c r="AX317" s="1009"/>
      <c r="AY317" s="1009"/>
      <c r="AZ317" s="1009"/>
      <c r="BA317" s="1009"/>
      <c r="BB317" s="1009"/>
      <c r="BC317" s="1009"/>
      <c r="BD317" s="1009"/>
      <c r="BE317" s="1009"/>
      <c r="BF317" s="1009"/>
      <c r="BG317" s="1009"/>
      <c r="BH317" s="1009"/>
      <c r="BI317" s="1009"/>
      <c r="BJ317" s="1009"/>
      <c r="BK317" s="1009"/>
      <c r="BL317" s="1009"/>
      <c r="BM317" s="1009"/>
      <c r="BN317" s="1009"/>
      <c r="BO317" s="1009"/>
      <c r="BP317" s="1009"/>
      <c r="BQ317" s="1009"/>
      <c r="BR317" s="1009"/>
      <c r="BS317" s="1009"/>
      <c r="BT317" s="1009"/>
      <c r="BU317" s="1009"/>
      <c r="BV317" s="1009"/>
      <c r="BW317" s="1009"/>
      <c r="BX317" s="1009"/>
      <c r="BY317" s="1009"/>
      <c r="BZ317" s="1009"/>
      <c r="CA317" s="1009"/>
      <c r="CB317" s="1009"/>
      <c r="CC317" s="1009"/>
      <c r="CD317" s="1009"/>
      <c r="CE317" s="1009"/>
      <c r="CF317" s="1009"/>
      <c r="CG317" s="1009"/>
      <c r="CH317" s="1009"/>
      <c r="CI317" s="1009"/>
      <c r="CJ317" s="1009"/>
      <c r="CK317" s="1009"/>
      <c r="CL317" s="1009"/>
      <c r="CM317" s="1009"/>
      <c r="CN317" s="1009"/>
      <c r="CO317" s="1009"/>
      <c r="CP317" s="1009"/>
      <c r="CQ317" s="1009"/>
      <c r="CR317" s="1009"/>
      <c r="CS317" s="1009"/>
      <c r="CT317" s="1009"/>
      <c r="CU317" s="1009"/>
      <c r="CV317" s="1009"/>
      <c r="CW317" s="1009"/>
      <c r="CX317" s="1009"/>
      <c r="CY317" s="1009"/>
      <c r="CZ317" s="1009"/>
      <c r="DA317" s="1009"/>
      <c r="DB317" s="1009"/>
      <c r="DC317" s="1009"/>
      <c r="DD317" s="1009"/>
      <c r="DE317" s="1009"/>
      <c r="DF317" s="1009"/>
      <c r="DG317" s="1009"/>
      <c r="DH317" s="1009"/>
      <c r="DI317" s="1009"/>
      <c r="DJ317" s="1009"/>
      <c r="DK317" s="1009"/>
      <c r="DL317" s="1009"/>
      <c r="DM317" s="1009"/>
      <c r="DN317" s="1009"/>
      <c r="DO317" s="1009"/>
      <c r="DP317" s="1009"/>
      <c r="DQ317" s="1009"/>
      <c r="DR317" s="1009"/>
      <c r="DS317" s="1009"/>
      <c r="DT317" s="1009"/>
      <c r="DU317" s="1009"/>
      <c r="DV317" s="1009"/>
      <c r="DW317" s="1009"/>
      <c r="DX317" s="1009"/>
      <c r="DY317" s="1009"/>
      <c r="DZ317" s="1009"/>
      <c r="EA317" s="1009"/>
      <c r="EB317" s="1009"/>
      <c r="EC317" s="1009"/>
      <c r="ED317" s="1009"/>
      <c r="EE317" s="1009"/>
      <c r="EF317" s="1009"/>
      <c r="EG317" s="1009"/>
      <c r="EH317" s="1009"/>
      <c r="EI317" s="1009"/>
      <c r="EJ317" s="1009"/>
      <c r="EK317" s="1009"/>
      <c r="EL317" s="1009"/>
      <c r="EM317" s="1009"/>
      <c r="EN317" s="1009"/>
      <c r="EO317" s="1009"/>
      <c r="EP317" s="1009"/>
      <c r="EQ317" s="1009"/>
      <c r="ER317" s="1009"/>
      <c r="ES317" s="1009"/>
      <c r="ET317" s="1009"/>
      <c r="EU317" s="1009"/>
      <c r="EV317" s="1009"/>
      <c r="EW317" s="1009"/>
      <c r="EX317" s="1009"/>
      <c r="EY317" s="1009"/>
      <c r="EZ317" s="1009"/>
      <c r="FA317" s="1009"/>
      <c r="FB317" s="1009"/>
      <c r="FC317" s="1009"/>
      <c r="FD317" s="1009"/>
      <c r="FE317" s="1009"/>
      <c r="FF317" s="1009"/>
      <c r="FG317" s="1009"/>
      <c r="FH317" s="1009"/>
      <c r="FI317" s="1009"/>
      <c r="FJ317" s="1009"/>
      <c r="FK317" s="1009"/>
      <c r="FL317" s="1009"/>
      <c r="FM317" s="1009"/>
      <c r="FN317" s="1009"/>
      <c r="FO317" s="1009"/>
      <c r="FP317" s="1009"/>
      <c r="FQ317" s="1009"/>
      <c r="FR317" s="1009"/>
      <c r="FS317" s="1009"/>
      <c r="FT317" s="1009"/>
      <c r="FU317" s="1009"/>
      <c r="FV317" s="1009"/>
      <c r="FW317" s="1009"/>
      <c r="FX317" s="1009"/>
      <c r="FY317" s="1009"/>
      <c r="FZ317" s="1009"/>
      <c r="GA317" s="1009"/>
      <c r="GB317" s="1009"/>
      <c r="GC317" s="1009"/>
      <c r="GD317" s="1009"/>
      <c r="GE317" s="1009"/>
      <c r="GF317" s="1009"/>
      <c r="GG317" s="1009"/>
      <c r="GH317" s="1009"/>
      <c r="GI317" s="1009"/>
      <c r="GJ317" s="1009"/>
      <c r="GK317" s="1009"/>
      <c r="GL317" s="1009"/>
      <c r="GM317" s="1009"/>
      <c r="GN317" s="1009"/>
      <c r="GO317" s="1009"/>
      <c r="GP317" s="1009"/>
      <c r="GQ317" s="1009"/>
      <c r="GR317" s="1009"/>
      <c r="GS317" s="1009"/>
      <c r="GT317" s="1009"/>
      <c r="GU317" s="1009"/>
      <c r="GV317" s="1009"/>
      <c r="GW317" s="1009"/>
      <c r="GX317" s="1009"/>
      <c r="GY317" s="1009"/>
      <c r="GZ317" s="1009"/>
      <c r="HA317" s="1009"/>
      <c r="HB317" s="1009"/>
      <c r="HC317" s="1009"/>
      <c r="HD317" s="1009"/>
      <c r="HE317" s="1009"/>
      <c r="HF317" s="1009"/>
      <c r="HG317" s="1009"/>
      <c r="HH317" s="1009"/>
      <c r="HI317" s="1009"/>
      <c r="HJ317" s="1009"/>
      <c r="HK317" s="1009"/>
      <c r="HL317" s="1009"/>
      <c r="HM317" s="1009"/>
      <c r="HN317" s="1009"/>
      <c r="HO317" s="1009"/>
      <c r="HP317" s="1009"/>
      <c r="HQ317" s="1009"/>
      <c r="HR317" s="1009"/>
      <c r="HS317" s="1009"/>
      <c r="HT317" s="1009"/>
      <c r="HU317" s="1009"/>
      <c r="HV317" s="1009"/>
      <c r="HW317" s="1009"/>
      <c r="HX317" s="1009"/>
      <c r="HY317" s="1009"/>
      <c r="HZ317" s="1009"/>
      <c r="IA317" s="1009"/>
      <c r="IB317" s="1009"/>
      <c r="IC317" s="1009"/>
      <c r="ID317" s="1009"/>
      <c r="IE317" s="1009"/>
      <c r="IF317" s="1009"/>
      <c r="IG317" s="1009"/>
      <c r="IH317" s="1009"/>
      <c r="II317" s="1009"/>
      <c r="IJ317" s="1009"/>
      <c r="IK317" s="1009"/>
      <c r="IL317" s="1009"/>
      <c r="IM317" s="1009"/>
      <c r="IN317" s="1009"/>
      <c r="IO317" s="1009"/>
      <c r="IP317" s="1009"/>
      <c r="IQ317" s="1009"/>
      <c r="IR317" s="1009"/>
      <c r="IS317" s="1009"/>
      <c r="IT317" s="1009"/>
      <c r="IU317" s="1009"/>
      <c r="IV317" s="1009"/>
      <c r="IW317" s="1009"/>
      <c r="IX317" s="1009"/>
      <c r="IY317" s="1009"/>
      <c r="IZ317" s="1009"/>
      <c r="JA317" s="1009"/>
      <c r="JB317" s="1009"/>
      <c r="JC317" s="1009"/>
      <c r="JD317" s="1009"/>
      <c r="JE317" s="1009"/>
      <c r="JF317" s="1009"/>
      <c r="JG317" s="1009"/>
      <c r="JH317" s="1009"/>
      <c r="JI317" s="1009"/>
      <c r="JJ317" s="1009"/>
      <c r="JK317" s="1009"/>
      <c r="JL317" s="1009"/>
      <c r="JM317" s="1009"/>
      <c r="JN317" s="1009"/>
      <c r="JO317" s="1009"/>
      <c r="JP317" s="1009"/>
      <c r="JQ317" s="1009"/>
      <c r="JR317" s="1009"/>
      <c r="JS317" s="1009"/>
      <c r="JT317" s="1009"/>
      <c r="JU317" s="1009"/>
      <c r="JV317" s="1009"/>
      <c r="JW317" s="1009"/>
      <c r="JX317" s="1009"/>
      <c r="JY317" s="1009"/>
      <c r="JZ317" s="1009"/>
      <c r="KA317" s="1009"/>
      <c r="KB317" s="1009"/>
      <c r="KC317" s="1009"/>
      <c r="KD317" s="1009"/>
      <c r="KE317" s="1009"/>
      <c r="KF317" s="1009"/>
      <c r="KG317" s="1009"/>
      <c r="KH317" s="1009"/>
      <c r="KI317" s="1009"/>
      <c r="KJ317" s="1009"/>
      <c r="KK317" s="1009"/>
      <c r="KL317" s="1009"/>
      <c r="KM317" s="1009"/>
      <c r="KN317" s="1009"/>
      <c r="KO317" s="1009"/>
      <c r="KP317" s="1009"/>
      <c r="KQ317" s="1009"/>
      <c r="KR317" s="1009"/>
      <c r="KS317" s="1009"/>
      <c r="KT317" s="1009"/>
      <c r="KU317" s="1009"/>
      <c r="KV317" s="1009"/>
      <c r="KW317" s="1009"/>
      <c r="KX317" s="1009"/>
      <c r="KY317" s="1009"/>
      <c r="KZ317" s="1009"/>
      <c r="LA317" s="1009"/>
      <c r="LB317" s="1009"/>
      <c r="LC317" s="1009"/>
      <c r="LD317" s="1009"/>
      <c r="LE317" s="1009"/>
      <c r="LF317" s="1009"/>
      <c r="LG317" s="1009"/>
      <c r="LH317" s="1009"/>
      <c r="LI317" s="1009"/>
      <c r="LJ317" s="1009"/>
      <c r="LK317" s="1009"/>
      <c r="LL317" s="1009"/>
      <c r="LM317" s="1009"/>
      <c r="LN317" s="1009"/>
      <c r="LO317" s="1009"/>
      <c r="LP317" s="1009"/>
      <c r="LQ317" s="1009"/>
      <c r="LR317" s="1009"/>
      <c r="LS317" s="1009"/>
      <c r="LT317" s="1009"/>
      <c r="LU317" s="1009"/>
      <c r="LV317" s="1009"/>
      <c r="LW317" s="1009"/>
      <c r="LX317" s="1009"/>
      <c r="LY317" s="1009"/>
      <c r="LZ317" s="1009"/>
      <c r="MA317" s="1009"/>
      <c r="MB317" s="1009"/>
      <c r="MC317" s="1009"/>
      <c r="MD317" s="1009"/>
      <c r="ME317" s="1009"/>
      <c r="MF317" s="1009"/>
      <c r="MG317" s="1009"/>
      <c r="MH317" s="1009"/>
      <c r="MI317" s="1009"/>
      <c r="MJ317" s="1009"/>
      <c r="MK317" s="1009"/>
      <c r="ML317" s="1009"/>
      <c r="MM317" s="1009"/>
      <c r="MN317" s="1009"/>
      <c r="MO317" s="1009"/>
      <c r="MP317" s="1009"/>
      <c r="MQ317" s="1009"/>
      <c r="MR317" s="1009"/>
      <c r="MS317" s="1009"/>
      <c r="MT317" s="1009"/>
      <c r="MU317" s="1009"/>
      <c r="MV317" s="1009"/>
      <c r="MW317" s="1009"/>
      <c r="MX317" s="1009"/>
      <c r="MY317" s="1009"/>
      <c r="MZ317" s="1009"/>
      <c r="NA317" s="1009"/>
      <c r="NB317" s="1009"/>
      <c r="NC317" s="1009"/>
      <c r="ND317" s="1009"/>
      <c r="NE317" s="1009"/>
      <c r="NF317" s="1009"/>
      <c r="NG317" s="1009"/>
      <c r="NH317" s="1009"/>
      <c r="NI317" s="1009"/>
      <c r="NJ317" s="1009"/>
      <c r="NK317" s="1009"/>
      <c r="NL317" s="1009"/>
      <c r="NM317" s="1009"/>
      <c r="NN317" s="1009"/>
      <c r="NO317" s="1009"/>
      <c r="NP317" s="1009"/>
      <c r="NQ317" s="1009"/>
      <c r="NR317" s="1009"/>
      <c r="NS317" s="1009"/>
      <c r="NT317" s="1009"/>
      <c r="NU317" s="1009"/>
      <c r="NV317" s="1009"/>
      <c r="NW317" s="1009"/>
      <c r="NX317" s="1009"/>
      <c r="NY317" s="1009"/>
      <c r="NZ317" s="1009"/>
      <c r="OA317" s="1009"/>
      <c r="OB317" s="1009"/>
      <c r="OC317" s="1009"/>
      <c r="OD317" s="1009"/>
      <c r="OE317" s="1009"/>
      <c r="OF317" s="1009"/>
      <c r="OG317" s="1009"/>
      <c r="OH317" s="1009"/>
      <c r="OI317" s="1009"/>
      <c r="OJ317" s="1009"/>
      <c r="OK317" s="1009"/>
      <c r="OL317" s="1009"/>
      <c r="OM317" s="1009"/>
      <c r="ON317" s="1009"/>
      <c r="OO317" s="1009"/>
      <c r="OP317" s="1009"/>
      <c r="OQ317" s="1009"/>
      <c r="OR317" s="1009"/>
      <c r="OS317" s="1009"/>
      <c r="OT317" s="1009"/>
      <c r="OU317" s="1009"/>
      <c r="OV317" s="1009"/>
      <c r="OW317" s="1009"/>
      <c r="OX317" s="1009"/>
      <c r="OY317" s="1009"/>
      <c r="OZ317" s="1009"/>
      <c r="PA317" s="1009"/>
      <c r="PB317" s="1009"/>
      <c r="PC317" s="1009"/>
      <c r="PD317" s="1009"/>
      <c r="PE317" s="1009"/>
      <c r="PF317" s="1009"/>
      <c r="PG317" s="1009"/>
      <c r="PH317" s="1009"/>
      <c r="PI317" s="1009"/>
      <c r="PJ317" s="1009"/>
      <c r="PK317" s="1009"/>
      <c r="PL317" s="1009"/>
      <c r="PM317" s="1009"/>
      <c r="PN317" s="1009"/>
      <c r="PO317" s="1009"/>
      <c r="PP317" s="1009"/>
      <c r="PQ317" s="1009"/>
      <c r="PR317" s="1009"/>
      <c r="PS317" s="1009"/>
      <c r="PT317" s="1009"/>
      <c r="PU317" s="1009"/>
      <c r="PV317" s="1009"/>
      <c r="PW317" s="1009"/>
      <c r="PX317" s="1009"/>
      <c r="PY317" s="1009"/>
      <c r="PZ317" s="1009"/>
      <c r="QA317" s="1009"/>
      <c r="QB317" s="1009"/>
      <c r="QC317" s="1009"/>
      <c r="QD317" s="1009"/>
      <c r="QE317" s="1009"/>
      <c r="QF317" s="1009"/>
      <c r="QG317" s="1009"/>
      <c r="QH317" s="1009"/>
      <c r="QI317" s="1009"/>
      <c r="QJ317" s="1009"/>
      <c r="QK317" s="1009"/>
      <c r="QL317" s="1009"/>
      <c r="QM317" s="1009"/>
      <c r="QN317" s="1009"/>
      <c r="QO317" s="1009"/>
      <c r="QP317" s="1009"/>
      <c r="QQ317" s="1009"/>
      <c r="QR317" s="1009"/>
      <c r="QS317" s="1009"/>
      <c r="QT317" s="1009"/>
      <c r="QU317" s="1009"/>
      <c r="QV317" s="1009"/>
      <c r="QW317" s="1009"/>
      <c r="QX317" s="1009"/>
      <c r="QY317" s="1009"/>
      <c r="QZ317" s="1009"/>
      <c r="RA317" s="1009"/>
      <c r="RB317" s="1009"/>
      <c r="RC317" s="1009"/>
      <c r="RD317" s="1009"/>
      <c r="RE317" s="1009"/>
      <c r="RF317" s="1009"/>
      <c r="RG317" s="1009"/>
      <c r="RH317" s="1009"/>
      <c r="RI317" s="1009"/>
      <c r="RJ317" s="1009"/>
      <c r="RK317" s="1009"/>
      <c r="RL317" s="1009"/>
      <c r="RM317" s="1009"/>
      <c r="RN317" s="1009"/>
      <c r="RO317" s="1009"/>
      <c r="RP317" s="1009"/>
      <c r="RQ317" s="1009"/>
      <c r="RR317" s="1009"/>
      <c r="RS317" s="1009"/>
      <c r="RT317" s="1009"/>
      <c r="RU317" s="1009"/>
      <c r="RV317" s="1009"/>
      <c r="RW317" s="1009"/>
      <c r="RX317" s="1009"/>
      <c r="RY317" s="1009"/>
      <c r="RZ317" s="1009"/>
      <c r="SA317" s="1009"/>
      <c r="SB317" s="1009"/>
      <c r="SC317" s="1009"/>
      <c r="SD317" s="1009"/>
      <c r="SE317" s="1009"/>
      <c r="SF317" s="1009"/>
      <c r="SG317" s="1009"/>
      <c r="SH317" s="1009"/>
      <c r="SI317" s="1009"/>
      <c r="SJ317" s="1009"/>
      <c r="SK317" s="1009"/>
      <c r="SL317" s="1009"/>
      <c r="SM317" s="1009"/>
      <c r="SN317" s="1009"/>
      <c r="SO317" s="1009"/>
      <c r="SP317" s="1009"/>
      <c r="SQ317" s="1009"/>
      <c r="SR317" s="1009"/>
      <c r="SS317" s="1009"/>
      <c r="ST317" s="1009"/>
      <c r="SU317" s="1009"/>
      <c r="SV317" s="1009"/>
      <c r="SW317" s="1009"/>
      <c r="SX317" s="1009"/>
      <c r="SY317" s="1009"/>
      <c r="SZ317" s="1009"/>
      <c r="TA317" s="1009"/>
      <c r="TB317" s="1009"/>
      <c r="TC317" s="1009"/>
      <c r="TD317" s="1009"/>
      <c r="TE317" s="1009"/>
      <c r="TF317" s="1009"/>
      <c r="TG317" s="1009"/>
      <c r="TH317" s="1009"/>
      <c r="TI317" s="1009"/>
      <c r="TJ317" s="1009"/>
      <c r="TK317" s="1009"/>
      <c r="TL317" s="1009"/>
      <c r="TM317" s="1009"/>
      <c r="TN317" s="1009"/>
      <c r="TO317" s="1009"/>
      <c r="TP317" s="1009"/>
      <c r="TQ317" s="1009"/>
      <c r="TR317" s="1009"/>
      <c r="TS317" s="1009"/>
      <c r="TT317" s="1009"/>
      <c r="TU317" s="1009"/>
      <c r="TV317" s="1009"/>
      <c r="TW317" s="1009"/>
      <c r="TX317" s="1009"/>
      <c r="TY317" s="1009"/>
      <c r="TZ317" s="1009"/>
      <c r="UA317" s="1009"/>
      <c r="UB317" s="1009"/>
      <c r="UC317" s="1009"/>
      <c r="UD317" s="1009"/>
      <c r="UE317" s="1009"/>
      <c r="UF317" s="1009"/>
      <c r="UG317" s="1009"/>
      <c r="UH317" s="1009"/>
      <c r="UI317" s="1009"/>
      <c r="UJ317" s="1009"/>
      <c r="UK317" s="1009"/>
      <c r="UL317" s="1009"/>
      <c r="UM317" s="1009"/>
      <c r="UN317" s="1009"/>
      <c r="UO317" s="1009"/>
      <c r="UP317" s="1009"/>
      <c r="UQ317" s="1009"/>
      <c r="UR317" s="1009"/>
      <c r="US317" s="1009"/>
      <c r="UT317" s="1009"/>
      <c r="UU317" s="1009"/>
      <c r="UV317" s="1009"/>
      <c r="UW317" s="1009"/>
      <c r="UX317" s="1009"/>
      <c r="UY317" s="1009"/>
      <c r="UZ317" s="1009"/>
      <c r="VA317" s="1009"/>
      <c r="VB317" s="1009"/>
      <c r="VC317" s="1009"/>
      <c r="VD317" s="1009"/>
      <c r="VE317" s="1009"/>
      <c r="VF317" s="1009"/>
      <c r="VG317" s="1009"/>
      <c r="VH317" s="1009"/>
      <c r="VI317" s="1009"/>
      <c r="VJ317" s="1009"/>
      <c r="VK317" s="1009"/>
      <c r="VL317" s="1009"/>
      <c r="VM317" s="1009"/>
      <c r="VN317" s="1009"/>
      <c r="VO317" s="1009"/>
      <c r="VP317" s="1009"/>
      <c r="VQ317" s="1009"/>
      <c r="VR317" s="1009"/>
      <c r="VS317" s="1009"/>
      <c r="VT317" s="1009"/>
      <c r="VU317" s="1009"/>
      <c r="VV317" s="1009"/>
      <c r="VW317" s="1009"/>
      <c r="VX317" s="1009"/>
      <c r="VY317" s="1009"/>
      <c r="VZ317" s="1009"/>
      <c r="WA317" s="1009"/>
      <c r="WB317" s="1009"/>
      <c r="WC317" s="1009"/>
      <c r="WD317" s="1009"/>
      <c r="WE317" s="1009"/>
      <c r="WF317" s="1009"/>
      <c r="WG317" s="1009"/>
      <c r="WH317" s="1009"/>
      <c r="WI317" s="1009"/>
      <c r="WJ317" s="1009"/>
      <c r="WK317" s="1009"/>
      <c r="WL317" s="1009"/>
      <c r="WM317" s="1009"/>
      <c r="WN317" s="1009"/>
      <c r="WO317" s="1009"/>
      <c r="WP317" s="1009"/>
      <c r="WQ317" s="1009"/>
      <c r="WR317" s="1009"/>
      <c r="WS317" s="1009"/>
      <c r="WT317" s="1009"/>
      <c r="WU317" s="1009"/>
      <c r="WV317" s="1009"/>
      <c r="WW317" s="1009"/>
      <c r="WX317" s="1009"/>
      <c r="WY317" s="1009"/>
      <c r="WZ317" s="1009"/>
      <c r="XA317" s="1009"/>
      <c r="XB317" s="1009"/>
      <c r="XC317" s="1009"/>
      <c r="XD317" s="1009"/>
      <c r="XE317" s="1009"/>
      <c r="XF317" s="1009"/>
      <c r="XG317" s="1009"/>
      <c r="XH317" s="1009"/>
      <c r="XI317" s="1009"/>
      <c r="XJ317" s="1009"/>
      <c r="XK317" s="1009"/>
      <c r="XL317" s="1009"/>
      <c r="XM317" s="1009"/>
      <c r="XN317" s="1009"/>
      <c r="XO317" s="1009"/>
      <c r="XP317" s="1009"/>
      <c r="XQ317" s="1009"/>
      <c r="XR317" s="1009"/>
      <c r="XS317" s="1009"/>
      <c r="XT317" s="1009"/>
      <c r="XU317" s="1009"/>
      <c r="XV317" s="1009"/>
      <c r="XW317" s="1009"/>
      <c r="XX317" s="1009"/>
      <c r="XY317" s="1009"/>
      <c r="XZ317" s="1009"/>
      <c r="YA317" s="1009"/>
      <c r="YB317" s="1009"/>
      <c r="YC317" s="1009"/>
      <c r="YD317" s="1009"/>
      <c r="YE317" s="1009"/>
      <c r="YF317" s="1009"/>
      <c r="YG317" s="1009"/>
      <c r="YH317" s="1009"/>
      <c r="YI317" s="1009"/>
      <c r="YJ317" s="1009"/>
      <c r="YK317" s="1009"/>
      <c r="YL317" s="1009"/>
      <c r="YM317" s="1009"/>
      <c r="YN317" s="1009"/>
      <c r="YO317" s="1009"/>
      <c r="YP317" s="1009"/>
      <c r="YQ317" s="1009"/>
      <c r="YR317" s="1009"/>
      <c r="YS317" s="1009"/>
      <c r="YT317" s="1009"/>
      <c r="YU317" s="1009"/>
      <c r="YV317" s="1009"/>
      <c r="YW317" s="1009"/>
      <c r="YX317" s="1009"/>
      <c r="YY317" s="1009"/>
      <c r="YZ317" s="1009"/>
      <c r="ZA317" s="1009"/>
      <c r="ZB317" s="1009"/>
      <c r="ZC317" s="1009"/>
      <c r="ZD317" s="1009"/>
      <c r="ZE317" s="1009"/>
      <c r="ZF317" s="1009"/>
      <c r="ZG317" s="1009"/>
      <c r="ZH317" s="1009"/>
      <c r="ZI317" s="1009"/>
      <c r="ZJ317" s="1009"/>
      <c r="ZK317" s="1009"/>
      <c r="ZL317" s="1009"/>
      <c r="ZM317" s="1009"/>
      <c r="ZN317" s="1009"/>
      <c r="ZO317" s="1009"/>
      <c r="ZP317" s="1009"/>
      <c r="ZQ317" s="1009"/>
      <c r="ZR317" s="1009"/>
      <c r="ZS317" s="1009"/>
      <c r="ZT317" s="1009"/>
      <c r="ZU317" s="1009"/>
      <c r="ZV317" s="1009"/>
      <c r="ZW317" s="1009"/>
      <c r="ZX317" s="1009"/>
      <c r="ZY317" s="1009"/>
      <c r="ZZ317" s="1009"/>
      <c r="AAA317" s="1009"/>
      <c r="AAB317" s="1009"/>
      <c r="AAC317" s="1009"/>
      <c r="AAD317" s="1009"/>
      <c r="AAE317" s="1009"/>
      <c r="AAF317" s="1009"/>
      <c r="AAG317" s="1009"/>
      <c r="AAH317" s="1009"/>
      <c r="AAI317" s="1009"/>
      <c r="AAJ317" s="1009"/>
      <c r="AAK317" s="1009"/>
      <c r="AAL317" s="1009"/>
      <c r="AAM317" s="1009"/>
      <c r="AAN317" s="1009"/>
      <c r="AAO317" s="1009"/>
      <c r="AAP317" s="1009"/>
      <c r="AAQ317" s="1009"/>
      <c r="AAR317" s="1009"/>
      <c r="AAS317" s="1009"/>
      <c r="AAT317" s="1009"/>
      <c r="AAU317" s="1009"/>
      <c r="AAV317" s="1009"/>
      <c r="AAW317" s="1009"/>
      <c r="AAX317" s="1009"/>
      <c r="AAY317" s="1009"/>
      <c r="AAZ317" s="1009"/>
      <c r="ABA317" s="1009"/>
      <c r="ABB317" s="1009"/>
      <c r="ABC317" s="1009"/>
      <c r="ABD317" s="1009"/>
      <c r="ABE317" s="1009"/>
      <c r="ABF317" s="1009"/>
      <c r="ABG317" s="1009"/>
      <c r="ABH317" s="1009"/>
      <c r="ABI317" s="1009"/>
      <c r="ABJ317" s="1009"/>
      <c r="ABK317" s="1009"/>
      <c r="ABL317" s="1009"/>
      <c r="ABM317" s="1009"/>
      <c r="ABN317" s="1009"/>
      <c r="ABO317" s="1009"/>
      <c r="ABP317" s="1009"/>
      <c r="ABQ317" s="1009"/>
      <c r="ABR317" s="1009"/>
    </row>
    <row r="318" spans="1:746" s="111" customFormat="1" ht="12" customHeight="1" thickBot="1">
      <c r="A318" s="1758"/>
      <c r="B318" s="1762" t="s">
        <v>1018</v>
      </c>
      <c r="C318" s="1232"/>
      <c r="D318" s="1233"/>
      <c r="E318" s="1248">
        <v>0.25</v>
      </c>
      <c r="F318" s="1235"/>
      <c r="G318" s="1700">
        <f>E318</f>
        <v>0.25</v>
      </c>
      <c r="H318" s="2562"/>
      <c r="I318" s="2209"/>
      <c r="J318" s="376"/>
      <c r="K318" s="376"/>
      <c r="L318" s="376"/>
      <c r="M318" s="376"/>
      <c r="N318" s="376"/>
      <c r="O318" s="376"/>
      <c r="P318" s="376"/>
      <c r="Q318" s="376"/>
      <c r="R318" s="376"/>
      <c r="S318" s="1042"/>
      <c r="T318" s="1042"/>
      <c r="U318" s="1042"/>
      <c r="V318" s="1042"/>
      <c r="W318" s="1042"/>
      <c r="X318" s="1042"/>
      <c r="Y318" s="1042"/>
      <c r="Z318" s="1042"/>
      <c r="AA318" s="1042"/>
      <c r="AB318" s="1042"/>
      <c r="AC318" s="1042"/>
      <c r="AD318" s="1042"/>
      <c r="AE318" s="1042"/>
      <c r="AF318" s="376"/>
      <c r="AG318" s="376"/>
      <c r="AH318" s="2304"/>
      <c r="AI318" s="786"/>
      <c r="AJ318" s="773"/>
      <c r="AK318" s="774"/>
      <c r="AL318" s="773"/>
      <c r="AM318" s="1009"/>
      <c r="AN318" s="1034"/>
      <c r="AO318" s="1034"/>
      <c r="AP318" s="1084"/>
      <c r="AQ318" s="1084"/>
      <c r="AR318" s="1009"/>
      <c r="AS318" s="1009"/>
      <c r="AT318" s="1009"/>
      <c r="AU318" s="1009"/>
      <c r="AV318" s="1009"/>
      <c r="AW318" s="1009"/>
      <c r="AX318" s="1009"/>
      <c r="AY318" s="1009"/>
      <c r="AZ318" s="1009"/>
      <c r="BA318" s="1009"/>
      <c r="BB318" s="1009"/>
      <c r="BC318" s="1009"/>
      <c r="BD318" s="1009"/>
      <c r="BE318" s="1009"/>
      <c r="BF318" s="1009"/>
      <c r="BG318" s="1009"/>
      <c r="BH318" s="1009"/>
      <c r="BI318" s="1009"/>
      <c r="BJ318" s="1009"/>
      <c r="BK318" s="1009"/>
      <c r="BL318" s="1009"/>
      <c r="BM318" s="1009"/>
      <c r="BN318" s="1009"/>
      <c r="BO318" s="1009"/>
      <c r="BP318" s="1009"/>
      <c r="BQ318" s="1009"/>
      <c r="BR318" s="1009"/>
      <c r="BS318" s="1009"/>
      <c r="BT318" s="1009"/>
      <c r="BU318" s="1009"/>
      <c r="BV318" s="1009"/>
      <c r="BW318" s="1009"/>
      <c r="BX318" s="1009"/>
      <c r="BY318" s="1009"/>
      <c r="BZ318" s="1009"/>
      <c r="CA318" s="1009"/>
      <c r="CB318" s="1009"/>
      <c r="CC318" s="1009"/>
      <c r="CD318" s="1009"/>
      <c r="CE318" s="1009"/>
      <c r="CF318" s="1009"/>
      <c r="CG318" s="1009"/>
      <c r="CH318" s="1009"/>
      <c r="CI318" s="1009"/>
      <c r="CJ318" s="1009"/>
      <c r="CK318" s="1009"/>
      <c r="CL318" s="1009"/>
      <c r="CM318" s="1009"/>
      <c r="CN318" s="1009"/>
      <c r="CO318" s="1009"/>
      <c r="CP318" s="1009"/>
      <c r="CQ318" s="1009"/>
      <c r="CR318" s="1009"/>
      <c r="CS318" s="1009"/>
      <c r="CT318" s="1009"/>
      <c r="CU318" s="1009"/>
      <c r="CV318" s="1009"/>
      <c r="CW318" s="1009"/>
      <c r="CX318" s="1009"/>
      <c r="CY318" s="1009"/>
      <c r="CZ318" s="1009"/>
      <c r="DA318" s="1009"/>
      <c r="DB318" s="1009"/>
      <c r="DC318" s="1009"/>
      <c r="DD318" s="1009"/>
      <c r="DE318" s="1009"/>
      <c r="DF318" s="1009"/>
      <c r="DG318" s="1009"/>
      <c r="DH318" s="1009"/>
      <c r="DI318" s="1009"/>
      <c r="DJ318" s="1009"/>
      <c r="DK318" s="1009"/>
      <c r="DL318" s="1009"/>
      <c r="DM318" s="1009"/>
      <c r="DN318" s="1009"/>
      <c r="DO318" s="1009"/>
      <c r="DP318" s="1009"/>
      <c r="DQ318" s="1009"/>
      <c r="DR318" s="1009"/>
      <c r="DS318" s="1009"/>
      <c r="DT318" s="1009"/>
      <c r="DU318" s="1009"/>
      <c r="DV318" s="1009"/>
      <c r="DW318" s="1009"/>
      <c r="DX318" s="1009"/>
      <c r="DY318" s="1009"/>
      <c r="DZ318" s="1009"/>
      <c r="EA318" s="1009"/>
      <c r="EB318" s="1009"/>
      <c r="EC318" s="1009"/>
      <c r="ED318" s="1009"/>
      <c r="EE318" s="1009"/>
      <c r="EF318" s="1009"/>
      <c r="EG318" s="1009"/>
      <c r="EH318" s="1009"/>
      <c r="EI318" s="1009"/>
      <c r="EJ318" s="1009"/>
      <c r="EK318" s="1009"/>
      <c r="EL318" s="1009"/>
      <c r="EM318" s="1009"/>
      <c r="EN318" s="1009"/>
      <c r="EO318" s="1009"/>
      <c r="EP318" s="1009"/>
      <c r="EQ318" s="1009"/>
      <c r="ER318" s="1009"/>
      <c r="ES318" s="1009"/>
      <c r="ET318" s="1009"/>
      <c r="EU318" s="1009"/>
      <c r="EV318" s="1009"/>
      <c r="EW318" s="1009"/>
      <c r="EX318" s="1009"/>
      <c r="EY318" s="1009"/>
      <c r="EZ318" s="1009"/>
      <c r="FA318" s="1009"/>
      <c r="FB318" s="1009"/>
      <c r="FC318" s="1009"/>
      <c r="FD318" s="1009"/>
      <c r="FE318" s="1009"/>
      <c r="FF318" s="1009"/>
      <c r="FG318" s="1009"/>
      <c r="FH318" s="1009"/>
      <c r="FI318" s="1009"/>
      <c r="FJ318" s="1009"/>
      <c r="FK318" s="1009"/>
      <c r="FL318" s="1009"/>
      <c r="FM318" s="1009"/>
      <c r="FN318" s="1009"/>
      <c r="FO318" s="1009"/>
      <c r="FP318" s="1009"/>
      <c r="FQ318" s="1009"/>
      <c r="FR318" s="1009"/>
      <c r="FS318" s="1009"/>
      <c r="FT318" s="1009"/>
      <c r="FU318" s="1009"/>
      <c r="FV318" s="1009"/>
      <c r="FW318" s="1009"/>
      <c r="FX318" s="1009"/>
      <c r="FY318" s="1009"/>
      <c r="FZ318" s="1009"/>
      <c r="GA318" s="1009"/>
      <c r="GB318" s="1009"/>
      <c r="GC318" s="1009"/>
      <c r="GD318" s="1009"/>
      <c r="GE318" s="1009"/>
      <c r="GF318" s="1009"/>
      <c r="GG318" s="1009"/>
      <c r="GH318" s="1009"/>
      <c r="GI318" s="1009"/>
      <c r="GJ318" s="1009"/>
      <c r="GK318" s="1009"/>
      <c r="GL318" s="1009"/>
      <c r="GM318" s="1009"/>
      <c r="GN318" s="1009"/>
      <c r="GO318" s="1009"/>
      <c r="GP318" s="1009"/>
      <c r="GQ318" s="1009"/>
      <c r="GR318" s="1009"/>
      <c r="GS318" s="1009"/>
      <c r="GT318" s="1009"/>
      <c r="GU318" s="1009"/>
      <c r="GV318" s="1009"/>
      <c r="GW318" s="1009"/>
      <c r="GX318" s="1009"/>
      <c r="GY318" s="1009"/>
      <c r="GZ318" s="1009"/>
      <c r="HA318" s="1009"/>
      <c r="HB318" s="1009"/>
      <c r="HC318" s="1009"/>
      <c r="HD318" s="1009"/>
      <c r="HE318" s="1009"/>
      <c r="HF318" s="1009"/>
      <c r="HG318" s="1009"/>
      <c r="HH318" s="1009"/>
      <c r="HI318" s="1009"/>
      <c r="HJ318" s="1009"/>
      <c r="HK318" s="1009"/>
      <c r="HL318" s="1009"/>
      <c r="HM318" s="1009"/>
      <c r="HN318" s="1009"/>
      <c r="HO318" s="1009"/>
      <c r="HP318" s="1009"/>
      <c r="HQ318" s="1009"/>
      <c r="HR318" s="1009"/>
      <c r="HS318" s="1009"/>
      <c r="HT318" s="1009"/>
      <c r="HU318" s="1009"/>
      <c r="HV318" s="1009"/>
      <c r="HW318" s="1009"/>
      <c r="HX318" s="1009"/>
      <c r="HY318" s="1009"/>
      <c r="HZ318" s="1009"/>
      <c r="IA318" s="1009"/>
      <c r="IB318" s="1009"/>
      <c r="IC318" s="1009"/>
      <c r="ID318" s="1009"/>
      <c r="IE318" s="1009"/>
      <c r="IF318" s="1009"/>
      <c r="IG318" s="1009"/>
      <c r="IH318" s="1009"/>
      <c r="II318" s="1009"/>
      <c r="IJ318" s="1009"/>
      <c r="IK318" s="1009"/>
      <c r="IL318" s="1009"/>
      <c r="IM318" s="1009"/>
      <c r="IN318" s="1009"/>
      <c r="IO318" s="1009"/>
      <c r="IP318" s="1009"/>
      <c r="IQ318" s="1009"/>
      <c r="IR318" s="1009"/>
      <c r="IS318" s="1009"/>
      <c r="IT318" s="1009"/>
      <c r="IU318" s="1009"/>
      <c r="IV318" s="1009"/>
      <c r="IW318" s="1009"/>
      <c r="IX318" s="1009"/>
      <c r="IY318" s="1009"/>
      <c r="IZ318" s="1009"/>
      <c r="JA318" s="1009"/>
      <c r="JB318" s="1009"/>
      <c r="JC318" s="1009"/>
      <c r="JD318" s="1009"/>
      <c r="JE318" s="1009"/>
      <c r="JF318" s="1009"/>
      <c r="JG318" s="1009"/>
      <c r="JH318" s="1009"/>
      <c r="JI318" s="1009"/>
      <c r="JJ318" s="1009"/>
      <c r="JK318" s="1009"/>
      <c r="JL318" s="1009"/>
      <c r="JM318" s="1009"/>
      <c r="JN318" s="1009"/>
      <c r="JO318" s="1009"/>
      <c r="JP318" s="1009"/>
      <c r="JQ318" s="1009"/>
      <c r="JR318" s="1009"/>
      <c r="JS318" s="1009"/>
      <c r="JT318" s="1009"/>
      <c r="JU318" s="1009"/>
      <c r="JV318" s="1009"/>
      <c r="JW318" s="1009"/>
      <c r="JX318" s="1009"/>
      <c r="JY318" s="1009"/>
      <c r="JZ318" s="1009"/>
      <c r="KA318" s="1009"/>
      <c r="KB318" s="1009"/>
      <c r="KC318" s="1009"/>
      <c r="KD318" s="1009"/>
      <c r="KE318" s="1009"/>
      <c r="KF318" s="1009"/>
      <c r="KG318" s="1009"/>
      <c r="KH318" s="1009"/>
      <c r="KI318" s="1009"/>
      <c r="KJ318" s="1009"/>
      <c r="KK318" s="1009"/>
      <c r="KL318" s="1009"/>
      <c r="KM318" s="1009"/>
      <c r="KN318" s="1009"/>
      <c r="KO318" s="1009"/>
      <c r="KP318" s="1009"/>
      <c r="KQ318" s="1009"/>
      <c r="KR318" s="1009"/>
      <c r="KS318" s="1009"/>
      <c r="KT318" s="1009"/>
      <c r="KU318" s="1009"/>
      <c r="KV318" s="1009"/>
      <c r="KW318" s="1009"/>
      <c r="KX318" s="1009"/>
      <c r="KY318" s="1009"/>
      <c r="KZ318" s="1009"/>
      <c r="LA318" s="1009"/>
      <c r="LB318" s="1009"/>
      <c r="LC318" s="1009"/>
      <c r="LD318" s="1009"/>
      <c r="LE318" s="1009"/>
      <c r="LF318" s="1009"/>
      <c r="LG318" s="1009"/>
      <c r="LH318" s="1009"/>
      <c r="LI318" s="1009"/>
      <c r="LJ318" s="1009"/>
      <c r="LK318" s="1009"/>
      <c r="LL318" s="1009"/>
      <c r="LM318" s="1009"/>
      <c r="LN318" s="1009"/>
      <c r="LO318" s="1009"/>
      <c r="LP318" s="1009"/>
      <c r="LQ318" s="1009"/>
      <c r="LR318" s="1009"/>
      <c r="LS318" s="1009"/>
      <c r="LT318" s="1009"/>
      <c r="LU318" s="1009"/>
      <c r="LV318" s="1009"/>
      <c r="LW318" s="1009"/>
      <c r="LX318" s="1009"/>
      <c r="LY318" s="1009"/>
      <c r="LZ318" s="1009"/>
      <c r="MA318" s="1009"/>
      <c r="MB318" s="1009"/>
      <c r="MC318" s="1009"/>
      <c r="MD318" s="1009"/>
      <c r="ME318" s="1009"/>
      <c r="MF318" s="1009"/>
      <c r="MG318" s="1009"/>
      <c r="MH318" s="1009"/>
      <c r="MI318" s="1009"/>
      <c r="MJ318" s="1009"/>
      <c r="MK318" s="1009"/>
      <c r="ML318" s="1009"/>
      <c r="MM318" s="1009"/>
      <c r="MN318" s="1009"/>
      <c r="MO318" s="1009"/>
      <c r="MP318" s="1009"/>
      <c r="MQ318" s="1009"/>
      <c r="MR318" s="1009"/>
      <c r="MS318" s="1009"/>
      <c r="MT318" s="1009"/>
      <c r="MU318" s="1009"/>
      <c r="MV318" s="1009"/>
      <c r="MW318" s="1009"/>
      <c r="MX318" s="1009"/>
      <c r="MY318" s="1009"/>
      <c r="MZ318" s="1009"/>
      <c r="NA318" s="1009"/>
      <c r="NB318" s="1009"/>
      <c r="NC318" s="1009"/>
      <c r="ND318" s="1009"/>
      <c r="NE318" s="1009"/>
      <c r="NF318" s="1009"/>
      <c r="NG318" s="1009"/>
      <c r="NH318" s="1009"/>
      <c r="NI318" s="1009"/>
      <c r="NJ318" s="1009"/>
      <c r="NK318" s="1009"/>
      <c r="NL318" s="1009"/>
      <c r="NM318" s="1009"/>
      <c r="NN318" s="1009"/>
      <c r="NO318" s="1009"/>
      <c r="NP318" s="1009"/>
      <c r="NQ318" s="1009"/>
      <c r="NR318" s="1009"/>
      <c r="NS318" s="1009"/>
      <c r="NT318" s="1009"/>
      <c r="NU318" s="1009"/>
      <c r="NV318" s="1009"/>
      <c r="NW318" s="1009"/>
      <c r="NX318" s="1009"/>
      <c r="NY318" s="1009"/>
      <c r="NZ318" s="1009"/>
      <c r="OA318" s="1009"/>
      <c r="OB318" s="1009"/>
      <c r="OC318" s="1009"/>
      <c r="OD318" s="1009"/>
      <c r="OE318" s="1009"/>
      <c r="OF318" s="1009"/>
      <c r="OG318" s="1009"/>
      <c r="OH318" s="1009"/>
      <c r="OI318" s="1009"/>
      <c r="OJ318" s="1009"/>
      <c r="OK318" s="1009"/>
      <c r="OL318" s="1009"/>
      <c r="OM318" s="1009"/>
      <c r="ON318" s="1009"/>
      <c r="OO318" s="1009"/>
      <c r="OP318" s="1009"/>
      <c r="OQ318" s="1009"/>
      <c r="OR318" s="1009"/>
      <c r="OS318" s="1009"/>
      <c r="OT318" s="1009"/>
      <c r="OU318" s="1009"/>
      <c r="OV318" s="1009"/>
      <c r="OW318" s="1009"/>
      <c r="OX318" s="1009"/>
      <c r="OY318" s="1009"/>
      <c r="OZ318" s="1009"/>
      <c r="PA318" s="1009"/>
      <c r="PB318" s="1009"/>
      <c r="PC318" s="1009"/>
      <c r="PD318" s="1009"/>
      <c r="PE318" s="1009"/>
      <c r="PF318" s="1009"/>
      <c r="PG318" s="1009"/>
      <c r="PH318" s="1009"/>
      <c r="PI318" s="1009"/>
      <c r="PJ318" s="1009"/>
      <c r="PK318" s="1009"/>
      <c r="PL318" s="1009"/>
      <c r="PM318" s="1009"/>
      <c r="PN318" s="1009"/>
      <c r="PO318" s="1009"/>
      <c r="PP318" s="1009"/>
      <c r="PQ318" s="1009"/>
      <c r="PR318" s="1009"/>
      <c r="PS318" s="1009"/>
      <c r="PT318" s="1009"/>
      <c r="PU318" s="1009"/>
      <c r="PV318" s="1009"/>
      <c r="PW318" s="1009"/>
      <c r="PX318" s="1009"/>
      <c r="PY318" s="1009"/>
      <c r="PZ318" s="1009"/>
      <c r="QA318" s="1009"/>
      <c r="QB318" s="1009"/>
      <c r="QC318" s="1009"/>
      <c r="QD318" s="1009"/>
      <c r="QE318" s="1009"/>
      <c r="QF318" s="1009"/>
      <c r="QG318" s="1009"/>
      <c r="QH318" s="1009"/>
      <c r="QI318" s="1009"/>
      <c r="QJ318" s="1009"/>
      <c r="QK318" s="1009"/>
      <c r="QL318" s="1009"/>
      <c r="QM318" s="1009"/>
      <c r="QN318" s="1009"/>
      <c r="QO318" s="1009"/>
      <c r="QP318" s="1009"/>
      <c r="QQ318" s="1009"/>
      <c r="QR318" s="1009"/>
      <c r="QS318" s="1009"/>
      <c r="QT318" s="1009"/>
      <c r="QU318" s="1009"/>
      <c r="QV318" s="1009"/>
      <c r="QW318" s="1009"/>
      <c r="QX318" s="1009"/>
      <c r="QY318" s="1009"/>
      <c r="QZ318" s="1009"/>
      <c r="RA318" s="1009"/>
      <c r="RB318" s="1009"/>
      <c r="RC318" s="1009"/>
      <c r="RD318" s="1009"/>
      <c r="RE318" s="1009"/>
      <c r="RF318" s="1009"/>
      <c r="RG318" s="1009"/>
      <c r="RH318" s="1009"/>
      <c r="RI318" s="1009"/>
      <c r="RJ318" s="1009"/>
      <c r="RK318" s="1009"/>
      <c r="RL318" s="1009"/>
      <c r="RM318" s="1009"/>
      <c r="RN318" s="1009"/>
      <c r="RO318" s="1009"/>
      <c r="RP318" s="1009"/>
      <c r="RQ318" s="1009"/>
      <c r="RR318" s="1009"/>
      <c r="RS318" s="1009"/>
      <c r="RT318" s="1009"/>
      <c r="RU318" s="1009"/>
      <c r="RV318" s="1009"/>
      <c r="RW318" s="1009"/>
      <c r="RX318" s="1009"/>
      <c r="RY318" s="1009"/>
      <c r="RZ318" s="1009"/>
      <c r="SA318" s="1009"/>
      <c r="SB318" s="1009"/>
      <c r="SC318" s="1009"/>
      <c r="SD318" s="1009"/>
      <c r="SE318" s="1009"/>
      <c r="SF318" s="1009"/>
      <c r="SG318" s="1009"/>
      <c r="SH318" s="1009"/>
      <c r="SI318" s="1009"/>
      <c r="SJ318" s="1009"/>
      <c r="SK318" s="1009"/>
      <c r="SL318" s="1009"/>
      <c r="SM318" s="1009"/>
      <c r="SN318" s="1009"/>
      <c r="SO318" s="1009"/>
      <c r="SP318" s="1009"/>
      <c r="SQ318" s="1009"/>
      <c r="SR318" s="1009"/>
      <c r="SS318" s="1009"/>
      <c r="ST318" s="1009"/>
      <c r="SU318" s="1009"/>
      <c r="SV318" s="1009"/>
      <c r="SW318" s="1009"/>
      <c r="SX318" s="1009"/>
      <c r="SY318" s="1009"/>
      <c r="SZ318" s="1009"/>
      <c r="TA318" s="1009"/>
      <c r="TB318" s="1009"/>
      <c r="TC318" s="1009"/>
      <c r="TD318" s="1009"/>
      <c r="TE318" s="1009"/>
      <c r="TF318" s="1009"/>
      <c r="TG318" s="1009"/>
      <c r="TH318" s="1009"/>
      <c r="TI318" s="1009"/>
      <c r="TJ318" s="1009"/>
      <c r="TK318" s="1009"/>
      <c r="TL318" s="1009"/>
      <c r="TM318" s="1009"/>
      <c r="TN318" s="1009"/>
      <c r="TO318" s="1009"/>
      <c r="TP318" s="1009"/>
      <c r="TQ318" s="1009"/>
      <c r="TR318" s="1009"/>
      <c r="TS318" s="1009"/>
      <c r="TT318" s="1009"/>
      <c r="TU318" s="1009"/>
      <c r="TV318" s="1009"/>
      <c r="TW318" s="1009"/>
      <c r="TX318" s="1009"/>
      <c r="TY318" s="1009"/>
      <c r="TZ318" s="1009"/>
      <c r="UA318" s="1009"/>
      <c r="UB318" s="1009"/>
      <c r="UC318" s="1009"/>
      <c r="UD318" s="1009"/>
      <c r="UE318" s="1009"/>
      <c r="UF318" s="1009"/>
      <c r="UG318" s="1009"/>
      <c r="UH318" s="1009"/>
      <c r="UI318" s="1009"/>
      <c r="UJ318" s="1009"/>
      <c r="UK318" s="1009"/>
      <c r="UL318" s="1009"/>
      <c r="UM318" s="1009"/>
      <c r="UN318" s="1009"/>
      <c r="UO318" s="1009"/>
      <c r="UP318" s="1009"/>
      <c r="UQ318" s="1009"/>
      <c r="UR318" s="1009"/>
      <c r="US318" s="1009"/>
      <c r="UT318" s="1009"/>
      <c r="UU318" s="1009"/>
      <c r="UV318" s="1009"/>
      <c r="UW318" s="1009"/>
      <c r="UX318" s="1009"/>
      <c r="UY318" s="1009"/>
      <c r="UZ318" s="1009"/>
      <c r="VA318" s="1009"/>
      <c r="VB318" s="1009"/>
      <c r="VC318" s="1009"/>
      <c r="VD318" s="1009"/>
      <c r="VE318" s="1009"/>
      <c r="VF318" s="1009"/>
      <c r="VG318" s="1009"/>
      <c r="VH318" s="1009"/>
      <c r="VI318" s="1009"/>
      <c r="VJ318" s="1009"/>
      <c r="VK318" s="1009"/>
      <c r="VL318" s="1009"/>
      <c r="VM318" s="1009"/>
      <c r="VN318" s="1009"/>
      <c r="VO318" s="1009"/>
      <c r="VP318" s="1009"/>
      <c r="VQ318" s="1009"/>
      <c r="VR318" s="1009"/>
      <c r="VS318" s="1009"/>
      <c r="VT318" s="1009"/>
      <c r="VU318" s="1009"/>
      <c r="VV318" s="1009"/>
      <c r="VW318" s="1009"/>
      <c r="VX318" s="1009"/>
      <c r="VY318" s="1009"/>
      <c r="VZ318" s="1009"/>
      <c r="WA318" s="1009"/>
      <c r="WB318" s="1009"/>
      <c r="WC318" s="1009"/>
      <c r="WD318" s="1009"/>
      <c r="WE318" s="1009"/>
      <c r="WF318" s="1009"/>
      <c r="WG318" s="1009"/>
      <c r="WH318" s="1009"/>
      <c r="WI318" s="1009"/>
      <c r="WJ318" s="1009"/>
      <c r="WK318" s="1009"/>
      <c r="WL318" s="1009"/>
      <c r="WM318" s="1009"/>
      <c r="WN318" s="1009"/>
      <c r="WO318" s="1009"/>
      <c r="WP318" s="1009"/>
      <c r="WQ318" s="1009"/>
      <c r="WR318" s="1009"/>
      <c r="WS318" s="1009"/>
      <c r="WT318" s="1009"/>
      <c r="WU318" s="1009"/>
      <c r="WV318" s="1009"/>
      <c r="WW318" s="1009"/>
      <c r="WX318" s="1009"/>
      <c r="WY318" s="1009"/>
      <c r="WZ318" s="1009"/>
      <c r="XA318" s="1009"/>
      <c r="XB318" s="1009"/>
      <c r="XC318" s="1009"/>
      <c r="XD318" s="1009"/>
      <c r="XE318" s="1009"/>
      <c r="XF318" s="1009"/>
      <c r="XG318" s="1009"/>
      <c r="XH318" s="1009"/>
      <c r="XI318" s="1009"/>
      <c r="XJ318" s="1009"/>
      <c r="XK318" s="1009"/>
      <c r="XL318" s="1009"/>
      <c r="XM318" s="1009"/>
      <c r="XN318" s="1009"/>
      <c r="XO318" s="1009"/>
      <c r="XP318" s="1009"/>
      <c r="XQ318" s="1009"/>
      <c r="XR318" s="1009"/>
      <c r="XS318" s="1009"/>
      <c r="XT318" s="1009"/>
      <c r="XU318" s="1009"/>
      <c r="XV318" s="1009"/>
      <c r="XW318" s="1009"/>
      <c r="XX318" s="1009"/>
      <c r="XY318" s="1009"/>
      <c r="XZ318" s="1009"/>
      <c r="YA318" s="1009"/>
      <c r="YB318" s="1009"/>
      <c r="YC318" s="1009"/>
      <c r="YD318" s="1009"/>
      <c r="YE318" s="1009"/>
      <c r="YF318" s="1009"/>
      <c r="YG318" s="1009"/>
      <c r="YH318" s="1009"/>
      <c r="YI318" s="1009"/>
      <c r="YJ318" s="1009"/>
      <c r="YK318" s="1009"/>
      <c r="YL318" s="1009"/>
      <c r="YM318" s="1009"/>
      <c r="YN318" s="1009"/>
      <c r="YO318" s="1009"/>
      <c r="YP318" s="1009"/>
      <c r="YQ318" s="1009"/>
      <c r="YR318" s="1009"/>
      <c r="YS318" s="1009"/>
      <c r="YT318" s="1009"/>
      <c r="YU318" s="1009"/>
      <c r="YV318" s="1009"/>
      <c r="YW318" s="1009"/>
      <c r="YX318" s="1009"/>
      <c r="YY318" s="1009"/>
      <c r="YZ318" s="1009"/>
      <c r="ZA318" s="1009"/>
      <c r="ZB318" s="1009"/>
      <c r="ZC318" s="1009"/>
      <c r="ZD318" s="1009"/>
      <c r="ZE318" s="1009"/>
      <c r="ZF318" s="1009"/>
      <c r="ZG318" s="1009"/>
      <c r="ZH318" s="1009"/>
      <c r="ZI318" s="1009"/>
      <c r="ZJ318" s="1009"/>
      <c r="ZK318" s="1009"/>
      <c r="ZL318" s="1009"/>
      <c r="ZM318" s="1009"/>
      <c r="ZN318" s="1009"/>
      <c r="ZO318" s="1009"/>
      <c r="ZP318" s="1009"/>
      <c r="ZQ318" s="1009"/>
      <c r="ZR318" s="1009"/>
      <c r="ZS318" s="1009"/>
      <c r="ZT318" s="1009"/>
      <c r="ZU318" s="1009"/>
      <c r="ZV318" s="1009"/>
      <c r="ZW318" s="1009"/>
      <c r="ZX318" s="1009"/>
      <c r="ZY318" s="1009"/>
      <c r="ZZ318" s="1009"/>
      <c r="AAA318" s="1009"/>
      <c r="AAB318" s="1009"/>
      <c r="AAC318" s="1009"/>
      <c r="AAD318" s="1009"/>
      <c r="AAE318" s="1009"/>
      <c r="AAF318" s="1009"/>
      <c r="AAG318" s="1009"/>
      <c r="AAH318" s="1009"/>
      <c r="AAI318" s="1009"/>
      <c r="AAJ318" s="1009"/>
      <c r="AAK318" s="1009"/>
      <c r="AAL318" s="1009"/>
      <c r="AAM318" s="1009"/>
      <c r="AAN318" s="1009"/>
      <c r="AAO318" s="1009"/>
      <c r="AAP318" s="1009"/>
      <c r="AAQ318" s="1009"/>
      <c r="AAR318" s="1009"/>
      <c r="AAS318" s="1009"/>
      <c r="AAT318" s="1009"/>
      <c r="AAU318" s="1009"/>
      <c r="AAV318" s="1009"/>
      <c r="AAW318" s="1009"/>
      <c r="AAX318" s="1009"/>
      <c r="AAY318" s="1009"/>
      <c r="AAZ318" s="1009"/>
      <c r="ABA318" s="1009"/>
      <c r="ABB318" s="1009"/>
      <c r="ABC318" s="1009"/>
      <c r="ABD318" s="1009"/>
      <c r="ABE318" s="1009"/>
      <c r="ABF318" s="1009"/>
      <c r="ABG318" s="1009"/>
      <c r="ABH318" s="1009"/>
      <c r="ABI318" s="1009"/>
      <c r="ABJ318" s="1009"/>
      <c r="ABK318" s="1009"/>
      <c r="ABL318" s="1009"/>
      <c r="ABM318" s="1009"/>
      <c r="ABN318" s="1009"/>
      <c r="ABO318" s="1009"/>
      <c r="ABP318" s="1009"/>
      <c r="ABQ318" s="1009"/>
      <c r="ABR318" s="1009"/>
    </row>
    <row r="319" spans="1:746" s="111" customFormat="1" ht="12" customHeight="1">
      <c r="A319" s="2750" t="s">
        <v>140</v>
      </c>
      <c r="B319" s="1762" t="s">
        <v>1019</v>
      </c>
      <c r="C319" s="1232"/>
      <c r="D319" s="1233"/>
      <c r="E319" s="1764"/>
      <c r="F319" s="1764"/>
      <c r="G319" s="1764"/>
      <c r="H319" s="2562"/>
      <c r="I319" s="2209"/>
      <c r="J319" s="376"/>
      <c r="K319" s="376"/>
      <c r="L319" s="376"/>
      <c r="M319" s="376"/>
      <c r="N319" s="376"/>
      <c r="O319" s="376"/>
      <c r="P319" s="376"/>
      <c r="Q319" s="376"/>
      <c r="R319" s="376"/>
      <c r="S319" s="1042"/>
      <c r="T319" s="1042"/>
      <c r="U319" s="1042"/>
      <c r="V319" s="1042"/>
      <c r="W319" s="1042"/>
      <c r="X319" s="1042"/>
      <c r="Y319" s="1042"/>
      <c r="Z319" s="1042"/>
      <c r="AA319" s="1042"/>
      <c r="AB319" s="1042"/>
      <c r="AC319" s="1042"/>
      <c r="AD319" s="1042"/>
      <c r="AE319" s="1042"/>
      <c r="AF319" s="1042"/>
      <c r="AG319" s="376"/>
      <c r="AH319" s="2304"/>
      <c r="AI319" s="786"/>
      <c r="AJ319" s="773"/>
      <c r="AK319" s="774"/>
      <c r="AL319" s="773"/>
      <c r="AM319" s="1009"/>
      <c r="AN319" s="1034"/>
      <c r="AO319" s="1034"/>
      <c r="AP319" s="1084"/>
      <c r="AQ319" s="1084"/>
      <c r="AR319" s="1009"/>
      <c r="AS319" s="1009"/>
      <c r="AT319" s="1009"/>
      <c r="AU319" s="1009"/>
      <c r="AV319" s="1009"/>
      <c r="AW319" s="1009"/>
      <c r="AX319" s="1009"/>
      <c r="AY319" s="1009"/>
      <c r="AZ319" s="1009"/>
      <c r="BA319" s="1009"/>
      <c r="BB319" s="1009"/>
      <c r="BC319" s="1009"/>
      <c r="BD319" s="1009"/>
      <c r="BE319" s="1009"/>
      <c r="BF319" s="1009"/>
      <c r="BG319" s="1009"/>
      <c r="BH319" s="1009"/>
      <c r="BI319" s="1009"/>
      <c r="BJ319" s="1009"/>
      <c r="BK319" s="1009"/>
      <c r="BL319" s="1009"/>
      <c r="BM319" s="1009"/>
      <c r="BN319" s="1009"/>
      <c r="BO319" s="1009"/>
      <c r="BP319" s="1009"/>
      <c r="BQ319" s="1009"/>
      <c r="BR319" s="1009"/>
      <c r="BS319" s="1009"/>
      <c r="BT319" s="1009"/>
      <c r="BU319" s="1009"/>
      <c r="BV319" s="1009"/>
      <c r="BW319" s="1009"/>
      <c r="BX319" s="1009"/>
      <c r="BY319" s="1009"/>
      <c r="BZ319" s="1009"/>
      <c r="CA319" s="1009"/>
      <c r="CB319" s="1009"/>
      <c r="CC319" s="1009"/>
      <c r="CD319" s="1009"/>
      <c r="CE319" s="1009"/>
      <c r="CF319" s="1009"/>
      <c r="CG319" s="1009"/>
      <c r="CH319" s="1009"/>
      <c r="CI319" s="1009"/>
      <c r="CJ319" s="1009"/>
      <c r="CK319" s="1009"/>
      <c r="CL319" s="1009"/>
      <c r="CM319" s="1009"/>
      <c r="CN319" s="1009"/>
      <c r="CO319" s="1009"/>
      <c r="CP319" s="1009"/>
      <c r="CQ319" s="1009"/>
      <c r="CR319" s="1009"/>
      <c r="CS319" s="1009"/>
      <c r="CT319" s="1009"/>
      <c r="CU319" s="1009"/>
      <c r="CV319" s="1009"/>
      <c r="CW319" s="1009"/>
      <c r="CX319" s="1009"/>
      <c r="CY319" s="1009"/>
      <c r="CZ319" s="1009"/>
      <c r="DA319" s="1009"/>
      <c r="DB319" s="1009"/>
      <c r="DC319" s="1009"/>
      <c r="DD319" s="1009"/>
      <c r="DE319" s="1009"/>
      <c r="DF319" s="1009"/>
      <c r="DG319" s="1009"/>
      <c r="DH319" s="1009"/>
      <c r="DI319" s="1009"/>
      <c r="DJ319" s="1009"/>
      <c r="DK319" s="1009"/>
      <c r="DL319" s="1009"/>
      <c r="DM319" s="1009"/>
      <c r="DN319" s="1009"/>
      <c r="DO319" s="1009"/>
      <c r="DP319" s="1009"/>
      <c r="DQ319" s="1009"/>
      <c r="DR319" s="1009"/>
      <c r="DS319" s="1009"/>
      <c r="DT319" s="1009"/>
      <c r="DU319" s="1009"/>
      <c r="DV319" s="1009"/>
      <c r="DW319" s="1009"/>
      <c r="DX319" s="1009"/>
      <c r="DY319" s="1009"/>
      <c r="DZ319" s="1009"/>
      <c r="EA319" s="1009"/>
      <c r="EB319" s="1009"/>
      <c r="EC319" s="1009"/>
      <c r="ED319" s="1009"/>
      <c r="EE319" s="1009"/>
      <c r="EF319" s="1009"/>
      <c r="EG319" s="1009"/>
      <c r="EH319" s="1009"/>
      <c r="EI319" s="1009"/>
      <c r="EJ319" s="1009"/>
      <c r="EK319" s="1009"/>
      <c r="EL319" s="1009"/>
      <c r="EM319" s="1009"/>
      <c r="EN319" s="1009"/>
      <c r="EO319" s="1009"/>
      <c r="EP319" s="1009"/>
      <c r="EQ319" s="1009"/>
      <c r="ER319" s="1009"/>
      <c r="ES319" s="1009"/>
      <c r="ET319" s="1009"/>
      <c r="EU319" s="1009"/>
      <c r="EV319" s="1009"/>
      <c r="EW319" s="1009"/>
      <c r="EX319" s="1009"/>
      <c r="EY319" s="1009"/>
      <c r="EZ319" s="1009"/>
      <c r="FA319" s="1009"/>
      <c r="FB319" s="1009"/>
      <c r="FC319" s="1009"/>
      <c r="FD319" s="1009"/>
      <c r="FE319" s="1009"/>
      <c r="FF319" s="1009"/>
      <c r="FG319" s="1009"/>
      <c r="FH319" s="1009"/>
      <c r="FI319" s="1009"/>
      <c r="FJ319" s="1009"/>
      <c r="FK319" s="1009"/>
      <c r="FL319" s="1009"/>
      <c r="FM319" s="1009"/>
      <c r="FN319" s="1009"/>
      <c r="FO319" s="1009"/>
      <c r="FP319" s="1009"/>
      <c r="FQ319" s="1009"/>
      <c r="FR319" s="1009"/>
      <c r="FS319" s="1009"/>
      <c r="FT319" s="1009"/>
      <c r="FU319" s="1009"/>
      <c r="FV319" s="1009"/>
      <c r="FW319" s="1009"/>
      <c r="FX319" s="1009"/>
      <c r="FY319" s="1009"/>
      <c r="FZ319" s="1009"/>
      <c r="GA319" s="1009"/>
      <c r="GB319" s="1009"/>
      <c r="GC319" s="1009"/>
      <c r="GD319" s="1009"/>
      <c r="GE319" s="1009"/>
      <c r="GF319" s="1009"/>
      <c r="GG319" s="1009"/>
      <c r="GH319" s="1009"/>
      <c r="GI319" s="1009"/>
      <c r="GJ319" s="1009"/>
      <c r="GK319" s="1009"/>
      <c r="GL319" s="1009"/>
      <c r="GM319" s="1009"/>
      <c r="GN319" s="1009"/>
      <c r="GO319" s="1009"/>
      <c r="GP319" s="1009"/>
      <c r="GQ319" s="1009"/>
      <c r="GR319" s="1009"/>
      <c r="GS319" s="1009"/>
      <c r="GT319" s="1009"/>
      <c r="GU319" s="1009"/>
      <c r="GV319" s="1009"/>
      <c r="GW319" s="1009"/>
      <c r="GX319" s="1009"/>
      <c r="GY319" s="1009"/>
      <c r="GZ319" s="1009"/>
      <c r="HA319" s="1009"/>
      <c r="HB319" s="1009"/>
      <c r="HC319" s="1009"/>
      <c r="HD319" s="1009"/>
      <c r="HE319" s="1009"/>
      <c r="HF319" s="1009"/>
      <c r="HG319" s="1009"/>
      <c r="HH319" s="1009"/>
      <c r="HI319" s="1009"/>
      <c r="HJ319" s="1009"/>
      <c r="HK319" s="1009"/>
      <c r="HL319" s="1009"/>
      <c r="HM319" s="1009"/>
      <c r="HN319" s="1009"/>
      <c r="HO319" s="1009"/>
      <c r="HP319" s="1009"/>
      <c r="HQ319" s="1009"/>
      <c r="HR319" s="1009"/>
      <c r="HS319" s="1009"/>
      <c r="HT319" s="1009"/>
      <c r="HU319" s="1009"/>
      <c r="HV319" s="1009"/>
      <c r="HW319" s="1009"/>
      <c r="HX319" s="1009"/>
      <c r="HY319" s="1009"/>
      <c r="HZ319" s="1009"/>
      <c r="IA319" s="1009"/>
      <c r="IB319" s="1009"/>
      <c r="IC319" s="1009"/>
      <c r="ID319" s="1009"/>
      <c r="IE319" s="1009"/>
      <c r="IF319" s="1009"/>
      <c r="IG319" s="1009"/>
      <c r="IH319" s="1009"/>
      <c r="II319" s="1009"/>
      <c r="IJ319" s="1009"/>
      <c r="IK319" s="1009"/>
      <c r="IL319" s="1009"/>
      <c r="IM319" s="1009"/>
      <c r="IN319" s="1009"/>
      <c r="IO319" s="1009"/>
      <c r="IP319" s="1009"/>
      <c r="IQ319" s="1009"/>
      <c r="IR319" s="1009"/>
      <c r="IS319" s="1009"/>
      <c r="IT319" s="1009"/>
      <c r="IU319" s="1009"/>
      <c r="IV319" s="1009"/>
      <c r="IW319" s="1009"/>
      <c r="IX319" s="1009"/>
      <c r="IY319" s="1009"/>
      <c r="IZ319" s="1009"/>
      <c r="JA319" s="1009"/>
      <c r="JB319" s="1009"/>
      <c r="JC319" s="1009"/>
      <c r="JD319" s="1009"/>
      <c r="JE319" s="1009"/>
      <c r="JF319" s="1009"/>
      <c r="JG319" s="1009"/>
      <c r="JH319" s="1009"/>
      <c r="JI319" s="1009"/>
      <c r="JJ319" s="1009"/>
      <c r="JK319" s="1009"/>
      <c r="JL319" s="1009"/>
      <c r="JM319" s="1009"/>
      <c r="JN319" s="1009"/>
      <c r="JO319" s="1009"/>
      <c r="JP319" s="1009"/>
      <c r="JQ319" s="1009"/>
      <c r="JR319" s="1009"/>
      <c r="JS319" s="1009"/>
      <c r="JT319" s="1009"/>
      <c r="JU319" s="1009"/>
      <c r="JV319" s="1009"/>
      <c r="JW319" s="1009"/>
      <c r="JX319" s="1009"/>
      <c r="JY319" s="1009"/>
      <c r="JZ319" s="1009"/>
      <c r="KA319" s="1009"/>
      <c r="KB319" s="1009"/>
      <c r="KC319" s="1009"/>
      <c r="KD319" s="1009"/>
      <c r="KE319" s="1009"/>
      <c r="KF319" s="1009"/>
      <c r="KG319" s="1009"/>
      <c r="KH319" s="1009"/>
      <c r="KI319" s="1009"/>
      <c r="KJ319" s="1009"/>
      <c r="KK319" s="1009"/>
      <c r="KL319" s="1009"/>
      <c r="KM319" s="1009"/>
      <c r="KN319" s="1009"/>
      <c r="KO319" s="1009"/>
      <c r="KP319" s="1009"/>
      <c r="KQ319" s="1009"/>
      <c r="KR319" s="1009"/>
      <c r="KS319" s="1009"/>
      <c r="KT319" s="1009"/>
      <c r="KU319" s="1009"/>
      <c r="KV319" s="1009"/>
      <c r="KW319" s="1009"/>
      <c r="KX319" s="1009"/>
      <c r="KY319" s="1009"/>
      <c r="KZ319" s="1009"/>
      <c r="LA319" s="1009"/>
      <c r="LB319" s="1009"/>
      <c r="LC319" s="1009"/>
      <c r="LD319" s="1009"/>
      <c r="LE319" s="1009"/>
      <c r="LF319" s="1009"/>
      <c r="LG319" s="1009"/>
      <c r="LH319" s="1009"/>
      <c r="LI319" s="1009"/>
      <c r="LJ319" s="1009"/>
      <c r="LK319" s="1009"/>
      <c r="LL319" s="1009"/>
      <c r="LM319" s="1009"/>
      <c r="LN319" s="1009"/>
      <c r="LO319" s="1009"/>
      <c r="LP319" s="1009"/>
      <c r="LQ319" s="1009"/>
      <c r="LR319" s="1009"/>
      <c r="LS319" s="1009"/>
      <c r="LT319" s="1009"/>
      <c r="LU319" s="1009"/>
      <c r="LV319" s="1009"/>
      <c r="LW319" s="1009"/>
      <c r="LX319" s="1009"/>
      <c r="LY319" s="1009"/>
      <c r="LZ319" s="1009"/>
      <c r="MA319" s="1009"/>
      <c r="MB319" s="1009"/>
      <c r="MC319" s="1009"/>
      <c r="MD319" s="1009"/>
      <c r="ME319" s="1009"/>
      <c r="MF319" s="1009"/>
      <c r="MG319" s="1009"/>
      <c r="MH319" s="1009"/>
      <c r="MI319" s="1009"/>
      <c r="MJ319" s="1009"/>
      <c r="MK319" s="1009"/>
      <c r="ML319" s="1009"/>
      <c r="MM319" s="1009"/>
      <c r="MN319" s="1009"/>
      <c r="MO319" s="1009"/>
      <c r="MP319" s="1009"/>
      <c r="MQ319" s="1009"/>
      <c r="MR319" s="1009"/>
      <c r="MS319" s="1009"/>
      <c r="MT319" s="1009"/>
      <c r="MU319" s="1009"/>
      <c r="MV319" s="1009"/>
      <c r="MW319" s="1009"/>
      <c r="MX319" s="1009"/>
      <c r="MY319" s="1009"/>
      <c r="MZ319" s="1009"/>
      <c r="NA319" s="1009"/>
      <c r="NB319" s="1009"/>
      <c r="NC319" s="1009"/>
      <c r="ND319" s="1009"/>
      <c r="NE319" s="1009"/>
      <c r="NF319" s="1009"/>
      <c r="NG319" s="1009"/>
      <c r="NH319" s="1009"/>
      <c r="NI319" s="1009"/>
      <c r="NJ319" s="1009"/>
      <c r="NK319" s="1009"/>
      <c r="NL319" s="1009"/>
      <c r="NM319" s="1009"/>
      <c r="NN319" s="1009"/>
      <c r="NO319" s="1009"/>
      <c r="NP319" s="1009"/>
      <c r="NQ319" s="1009"/>
      <c r="NR319" s="1009"/>
      <c r="NS319" s="1009"/>
      <c r="NT319" s="1009"/>
      <c r="NU319" s="1009"/>
      <c r="NV319" s="1009"/>
      <c r="NW319" s="1009"/>
      <c r="NX319" s="1009"/>
      <c r="NY319" s="1009"/>
      <c r="NZ319" s="1009"/>
      <c r="OA319" s="1009"/>
      <c r="OB319" s="1009"/>
      <c r="OC319" s="1009"/>
      <c r="OD319" s="1009"/>
      <c r="OE319" s="1009"/>
      <c r="OF319" s="1009"/>
      <c r="OG319" s="1009"/>
      <c r="OH319" s="1009"/>
      <c r="OI319" s="1009"/>
      <c r="OJ319" s="1009"/>
      <c r="OK319" s="1009"/>
      <c r="OL319" s="1009"/>
      <c r="OM319" s="1009"/>
      <c r="ON319" s="1009"/>
      <c r="OO319" s="1009"/>
      <c r="OP319" s="1009"/>
      <c r="OQ319" s="1009"/>
      <c r="OR319" s="1009"/>
      <c r="OS319" s="1009"/>
      <c r="OT319" s="1009"/>
      <c r="OU319" s="1009"/>
      <c r="OV319" s="1009"/>
      <c r="OW319" s="1009"/>
      <c r="OX319" s="1009"/>
      <c r="OY319" s="1009"/>
      <c r="OZ319" s="1009"/>
      <c r="PA319" s="1009"/>
      <c r="PB319" s="1009"/>
      <c r="PC319" s="1009"/>
      <c r="PD319" s="1009"/>
      <c r="PE319" s="1009"/>
      <c r="PF319" s="1009"/>
      <c r="PG319" s="1009"/>
      <c r="PH319" s="1009"/>
      <c r="PI319" s="1009"/>
      <c r="PJ319" s="1009"/>
      <c r="PK319" s="1009"/>
      <c r="PL319" s="1009"/>
      <c r="PM319" s="1009"/>
      <c r="PN319" s="1009"/>
      <c r="PO319" s="1009"/>
      <c r="PP319" s="1009"/>
      <c r="PQ319" s="1009"/>
      <c r="PR319" s="1009"/>
      <c r="PS319" s="1009"/>
      <c r="PT319" s="1009"/>
      <c r="PU319" s="1009"/>
      <c r="PV319" s="1009"/>
      <c r="PW319" s="1009"/>
      <c r="PX319" s="1009"/>
      <c r="PY319" s="1009"/>
      <c r="PZ319" s="1009"/>
      <c r="QA319" s="1009"/>
      <c r="QB319" s="1009"/>
      <c r="QC319" s="1009"/>
      <c r="QD319" s="1009"/>
      <c r="QE319" s="1009"/>
      <c r="QF319" s="1009"/>
      <c r="QG319" s="1009"/>
      <c r="QH319" s="1009"/>
      <c r="QI319" s="1009"/>
      <c r="QJ319" s="1009"/>
      <c r="QK319" s="1009"/>
      <c r="QL319" s="1009"/>
      <c r="QM319" s="1009"/>
      <c r="QN319" s="1009"/>
      <c r="QO319" s="1009"/>
      <c r="QP319" s="1009"/>
      <c r="QQ319" s="1009"/>
      <c r="QR319" s="1009"/>
      <c r="QS319" s="1009"/>
      <c r="QT319" s="1009"/>
      <c r="QU319" s="1009"/>
      <c r="QV319" s="1009"/>
      <c r="QW319" s="1009"/>
      <c r="QX319" s="1009"/>
      <c r="QY319" s="1009"/>
      <c r="QZ319" s="1009"/>
      <c r="RA319" s="1009"/>
      <c r="RB319" s="1009"/>
      <c r="RC319" s="1009"/>
      <c r="RD319" s="1009"/>
      <c r="RE319" s="1009"/>
      <c r="RF319" s="1009"/>
      <c r="RG319" s="1009"/>
      <c r="RH319" s="1009"/>
      <c r="RI319" s="1009"/>
      <c r="RJ319" s="1009"/>
      <c r="RK319" s="1009"/>
      <c r="RL319" s="1009"/>
      <c r="RM319" s="1009"/>
      <c r="RN319" s="1009"/>
      <c r="RO319" s="1009"/>
      <c r="RP319" s="1009"/>
      <c r="RQ319" s="1009"/>
      <c r="RR319" s="1009"/>
      <c r="RS319" s="1009"/>
      <c r="RT319" s="1009"/>
      <c r="RU319" s="1009"/>
      <c r="RV319" s="1009"/>
      <c r="RW319" s="1009"/>
      <c r="RX319" s="1009"/>
      <c r="RY319" s="1009"/>
      <c r="RZ319" s="1009"/>
      <c r="SA319" s="1009"/>
      <c r="SB319" s="1009"/>
      <c r="SC319" s="1009"/>
      <c r="SD319" s="1009"/>
      <c r="SE319" s="1009"/>
      <c r="SF319" s="1009"/>
      <c r="SG319" s="1009"/>
      <c r="SH319" s="1009"/>
      <c r="SI319" s="1009"/>
      <c r="SJ319" s="1009"/>
      <c r="SK319" s="1009"/>
      <c r="SL319" s="1009"/>
      <c r="SM319" s="1009"/>
      <c r="SN319" s="1009"/>
      <c r="SO319" s="1009"/>
      <c r="SP319" s="1009"/>
      <c r="SQ319" s="1009"/>
      <c r="SR319" s="1009"/>
      <c r="SS319" s="1009"/>
      <c r="ST319" s="1009"/>
      <c r="SU319" s="1009"/>
      <c r="SV319" s="1009"/>
      <c r="SW319" s="1009"/>
      <c r="SX319" s="1009"/>
      <c r="SY319" s="1009"/>
      <c r="SZ319" s="1009"/>
      <c r="TA319" s="1009"/>
      <c r="TB319" s="1009"/>
      <c r="TC319" s="1009"/>
      <c r="TD319" s="1009"/>
      <c r="TE319" s="1009"/>
      <c r="TF319" s="1009"/>
      <c r="TG319" s="1009"/>
      <c r="TH319" s="1009"/>
      <c r="TI319" s="1009"/>
      <c r="TJ319" s="1009"/>
      <c r="TK319" s="1009"/>
      <c r="TL319" s="1009"/>
      <c r="TM319" s="1009"/>
      <c r="TN319" s="1009"/>
      <c r="TO319" s="1009"/>
      <c r="TP319" s="1009"/>
      <c r="TQ319" s="1009"/>
      <c r="TR319" s="1009"/>
      <c r="TS319" s="1009"/>
      <c r="TT319" s="1009"/>
      <c r="TU319" s="1009"/>
      <c r="TV319" s="1009"/>
      <c r="TW319" s="1009"/>
      <c r="TX319" s="1009"/>
      <c r="TY319" s="1009"/>
      <c r="TZ319" s="1009"/>
      <c r="UA319" s="1009"/>
      <c r="UB319" s="1009"/>
      <c r="UC319" s="1009"/>
      <c r="UD319" s="1009"/>
      <c r="UE319" s="1009"/>
      <c r="UF319" s="1009"/>
      <c r="UG319" s="1009"/>
      <c r="UH319" s="1009"/>
      <c r="UI319" s="1009"/>
      <c r="UJ319" s="1009"/>
      <c r="UK319" s="1009"/>
      <c r="UL319" s="1009"/>
      <c r="UM319" s="1009"/>
      <c r="UN319" s="1009"/>
      <c r="UO319" s="1009"/>
      <c r="UP319" s="1009"/>
      <c r="UQ319" s="1009"/>
      <c r="UR319" s="1009"/>
      <c r="US319" s="1009"/>
      <c r="UT319" s="1009"/>
      <c r="UU319" s="1009"/>
      <c r="UV319" s="1009"/>
      <c r="UW319" s="1009"/>
      <c r="UX319" s="1009"/>
      <c r="UY319" s="1009"/>
      <c r="UZ319" s="1009"/>
      <c r="VA319" s="1009"/>
      <c r="VB319" s="1009"/>
      <c r="VC319" s="1009"/>
      <c r="VD319" s="1009"/>
      <c r="VE319" s="1009"/>
      <c r="VF319" s="1009"/>
      <c r="VG319" s="1009"/>
      <c r="VH319" s="1009"/>
      <c r="VI319" s="1009"/>
      <c r="VJ319" s="1009"/>
      <c r="VK319" s="1009"/>
      <c r="VL319" s="1009"/>
      <c r="VM319" s="1009"/>
      <c r="VN319" s="1009"/>
      <c r="VO319" s="1009"/>
      <c r="VP319" s="1009"/>
      <c r="VQ319" s="1009"/>
      <c r="VR319" s="1009"/>
      <c r="VS319" s="1009"/>
      <c r="VT319" s="1009"/>
      <c r="VU319" s="1009"/>
      <c r="VV319" s="1009"/>
      <c r="VW319" s="1009"/>
      <c r="VX319" s="1009"/>
      <c r="VY319" s="1009"/>
      <c r="VZ319" s="1009"/>
      <c r="WA319" s="1009"/>
      <c r="WB319" s="1009"/>
      <c r="WC319" s="1009"/>
      <c r="WD319" s="1009"/>
      <c r="WE319" s="1009"/>
      <c r="WF319" s="1009"/>
      <c r="WG319" s="1009"/>
      <c r="WH319" s="1009"/>
      <c r="WI319" s="1009"/>
      <c r="WJ319" s="1009"/>
      <c r="WK319" s="1009"/>
      <c r="WL319" s="1009"/>
      <c r="WM319" s="1009"/>
      <c r="WN319" s="1009"/>
      <c r="WO319" s="1009"/>
      <c r="WP319" s="1009"/>
      <c r="WQ319" s="1009"/>
      <c r="WR319" s="1009"/>
      <c r="WS319" s="1009"/>
      <c r="WT319" s="1009"/>
      <c r="WU319" s="1009"/>
      <c r="WV319" s="1009"/>
      <c r="WW319" s="1009"/>
      <c r="WX319" s="1009"/>
      <c r="WY319" s="1009"/>
      <c r="WZ319" s="1009"/>
      <c r="XA319" s="1009"/>
      <c r="XB319" s="1009"/>
      <c r="XC319" s="1009"/>
      <c r="XD319" s="1009"/>
      <c r="XE319" s="1009"/>
      <c r="XF319" s="1009"/>
      <c r="XG319" s="1009"/>
      <c r="XH319" s="1009"/>
      <c r="XI319" s="1009"/>
      <c r="XJ319" s="1009"/>
      <c r="XK319" s="1009"/>
      <c r="XL319" s="1009"/>
      <c r="XM319" s="1009"/>
      <c r="XN319" s="1009"/>
      <c r="XO319" s="1009"/>
      <c r="XP319" s="1009"/>
      <c r="XQ319" s="1009"/>
      <c r="XR319" s="1009"/>
      <c r="XS319" s="1009"/>
      <c r="XT319" s="1009"/>
      <c r="XU319" s="1009"/>
      <c r="XV319" s="1009"/>
      <c r="XW319" s="1009"/>
      <c r="XX319" s="1009"/>
      <c r="XY319" s="1009"/>
      <c r="XZ319" s="1009"/>
      <c r="YA319" s="1009"/>
      <c r="YB319" s="1009"/>
      <c r="YC319" s="1009"/>
      <c r="YD319" s="1009"/>
      <c r="YE319" s="1009"/>
      <c r="YF319" s="1009"/>
      <c r="YG319" s="1009"/>
      <c r="YH319" s="1009"/>
      <c r="YI319" s="1009"/>
      <c r="YJ319" s="1009"/>
      <c r="YK319" s="1009"/>
      <c r="YL319" s="1009"/>
      <c r="YM319" s="1009"/>
      <c r="YN319" s="1009"/>
      <c r="YO319" s="1009"/>
      <c r="YP319" s="1009"/>
      <c r="YQ319" s="1009"/>
      <c r="YR319" s="1009"/>
      <c r="YS319" s="1009"/>
      <c r="YT319" s="1009"/>
      <c r="YU319" s="1009"/>
      <c r="YV319" s="1009"/>
      <c r="YW319" s="1009"/>
      <c r="YX319" s="1009"/>
      <c r="YY319" s="1009"/>
      <c r="YZ319" s="1009"/>
      <c r="ZA319" s="1009"/>
      <c r="ZB319" s="1009"/>
      <c r="ZC319" s="1009"/>
      <c r="ZD319" s="1009"/>
      <c r="ZE319" s="1009"/>
      <c r="ZF319" s="1009"/>
      <c r="ZG319" s="1009"/>
      <c r="ZH319" s="1009"/>
      <c r="ZI319" s="1009"/>
      <c r="ZJ319" s="1009"/>
      <c r="ZK319" s="1009"/>
      <c r="ZL319" s="1009"/>
      <c r="ZM319" s="1009"/>
      <c r="ZN319" s="1009"/>
      <c r="ZO319" s="1009"/>
      <c r="ZP319" s="1009"/>
      <c r="ZQ319" s="1009"/>
      <c r="ZR319" s="1009"/>
      <c r="ZS319" s="1009"/>
      <c r="ZT319" s="1009"/>
      <c r="ZU319" s="1009"/>
      <c r="ZV319" s="1009"/>
      <c r="ZW319" s="1009"/>
      <c r="ZX319" s="1009"/>
      <c r="ZY319" s="1009"/>
      <c r="ZZ319" s="1009"/>
      <c r="AAA319" s="1009"/>
      <c r="AAB319" s="1009"/>
      <c r="AAC319" s="1009"/>
      <c r="AAD319" s="1009"/>
      <c r="AAE319" s="1009"/>
      <c r="AAF319" s="1009"/>
      <c r="AAG319" s="1009"/>
      <c r="AAH319" s="1009"/>
      <c r="AAI319" s="1009"/>
      <c r="AAJ319" s="1009"/>
      <c r="AAK319" s="1009"/>
      <c r="AAL319" s="1009"/>
      <c r="AAM319" s="1009"/>
      <c r="AAN319" s="1009"/>
      <c r="AAO319" s="1009"/>
      <c r="AAP319" s="1009"/>
      <c r="AAQ319" s="1009"/>
      <c r="AAR319" s="1009"/>
      <c r="AAS319" s="1009"/>
      <c r="AAT319" s="1009"/>
      <c r="AAU319" s="1009"/>
      <c r="AAV319" s="1009"/>
      <c r="AAW319" s="1009"/>
      <c r="AAX319" s="1009"/>
      <c r="AAY319" s="1009"/>
      <c r="AAZ319" s="1009"/>
      <c r="ABA319" s="1009"/>
      <c r="ABB319" s="1009"/>
      <c r="ABC319" s="1009"/>
      <c r="ABD319" s="1009"/>
      <c r="ABE319" s="1009"/>
      <c r="ABF319" s="1009"/>
      <c r="ABG319" s="1009"/>
      <c r="ABH319" s="1009"/>
      <c r="ABI319" s="1009"/>
      <c r="ABJ319" s="1009"/>
      <c r="ABK319" s="1009"/>
      <c r="ABL319" s="1009"/>
      <c r="ABM319" s="1009"/>
      <c r="ABN319" s="1009"/>
      <c r="ABO319" s="1009"/>
      <c r="ABP319" s="1009"/>
      <c r="ABQ319" s="1009"/>
      <c r="ABR319" s="1009"/>
    </row>
    <row r="320" spans="1:746" s="111" customFormat="1" ht="12" customHeight="1">
      <c r="A320" s="926"/>
      <c r="B320" s="1763" t="s">
        <v>1488</v>
      </c>
      <c r="C320" s="1236"/>
      <c r="D320" s="139"/>
      <c r="E320" s="242"/>
      <c r="F320" s="242"/>
      <c r="G320" s="242"/>
      <c r="H320" s="2563"/>
      <c r="I320" s="2209"/>
      <c r="J320" s="376"/>
      <c r="K320" s="376"/>
      <c r="L320" s="376"/>
      <c r="M320" s="376"/>
      <c r="N320" s="376"/>
      <c r="O320" s="376"/>
      <c r="P320" s="376"/>
      <c r="Q320" s="376"/>
      <c r="R320" s="376"/>
      <c r="S320" s="1042"/>
      <c r="T320" s="1042"/>
      <c r="U320" s="1042"/>
      <c r="V320" s="1042"/>
      <c r="W320" s="1042"/>
      <c r="X320" s="1042"/>
      <c r="Y320" s="1042"/>
      <c r="Z320" s="1042"/>
      <c r="AA320" s="1042"/>
      <c r="AB320" s="1042"/>
      <c r="AC320" s="1042"/>
      <c r="AD320" s="1042"/>
      <c r="AE320" s="1042"/>
      <c r="AF320" s="376"/>
      <c r="AG320" s="376"/>
      <c r="AH320" s="2304"/>
      <c r="AI320" s="786"/>
      <c r="AJ320" s="773"/>
      <c r="AK320" s="774"/>
      <c r="AL320" s="773"/>
      <c r="AM320" s="1009"/>
      <c r="AN320" s="1034"/>
      <c r="AO320" s="1034"/>
      <c r="AP320" s="1084"/>
      <c r="AQ320" s="1084"/>
      <c r="AR320" s="1009"/>
      <c r="AS320" s="1009"/>
      <c r="AT320" s="1009"/>
      <c r="AU320" s="1009"/>
      <c r="AV320" s="1009"/>
      <c r="AW320" s="1009"/>
      <c r="AX320" s="1009"/>
      <c r="AY320" s="1009"/>
      <c r="AZ320" s="1009"/>
      <c r="BA320" s="1009"/>
      <c r="BB320" s="1009"/>
      <c r="BC320" s="1009"/>
      <c r="BD320" s="1009"/>
      <c r="BE320" s="1009"/>
      <c r="BF320" s="1009"/>
      <c r="BG320" s="1009"/>
      <c r="BH320" s="1009"/>
      <c r="BI320" s="1009"/>
      <c r="BJ320" s="1009"/>
      <c r="BK320" s="1009"/>
      <c r="BL320" s="1009"/>
      <c r="BM320" s="1009"/>
      <c r="BN320" s="1009"/>
      <c r="BO320" s="1009"/>
      <c r="BP320" s="1009"/>
      <c r="BQ320" s="1009"/>
      <c r="BR320" s="1009"/>
      <c r="BS320" s="1009"/>
      <c r="BT320" s="1009"/>
      <c r="BU320" s="1009"/>
      <c r="BV320" s="1009"/>
      <c r="BW320" s="1009"/>
      <c r="BX320" s="1009"/>
      <c r="BY320" s="1009"/>
      <c r="BZ320" s="1009"/>
      <c r="CA320" s="1009"/>
      <c r="CB320" s="1009"/>
      <c r="CC320" s="1009"/>
      <c r="CD320" s="1009"/>
      <c r="CE320" s="1009"/>
      <c r="CF320" s="1009"/>
      <c r="CG320" s="1009"/>
      <c r="CH320" s="1009"/>
      <c r="CI320" s="1009"/>
      <c r="CJ320" s="1009"/>
      <c r="CK320" s="1009"/>
      <c r="CL320" s="1009"/>
      <c r="CM320" s="1009"/>
      <c r="CN320" s="1009"/>
      <c r="CO320" s="1009"/>
      <c r="CP320" s="1009"/>
      <c r="CQ320" s="1009"/>
      <c r="CR320" s="1009"/>
      <c r="CS320" s="1009"/>
      <c r="CT320" s="1009"/>
      <c r="CU320" s="1009"/>
      <c r="CV320" s="1009"/>
      <c r="CW320" s="1009"/>
      <c r="CX320" s="1009"/>
      <c r="CY320" s="1009"/>
      <c r="CZ320" s="1009"/>
      <c r="DA320" s="1009"/>
      <c r="DB320" s="1009"/>
      <c r="DC320" s="1009"/>
      <c r="DD320" s="1009"/>
      <c r="DE320" s="1009"/>
      <c r="DF320" s="1009"/>
      <c r="DG320" s="1009"/>
      <c r="DH320" s="1009"/>
      <c r="DI320" s="1009"/>
      <c r="DJ320" s="1009"/>
      <c r="DK320" s="1009"/>
      <c r="DL320" s="1009"/>
      <c r="DM320" s="1009"/>
      <c r="DN320" s="1009"/>
      <c r="DO320" s="1009"/>
      <c r="DP320" s="1009"/>
      <c r="DQ320" s="1009"/>
      <c r="DR320" s="1009"/>
      <c r="DS320" s="1009"/>
      <c r="DT320" s="1009"/>
      <c r="DU320" s="1009"/>
      <c r="DV320" s="1009"/>
      <c r="DW320" s="1009"/>
      <c r="DX320" s="1009"/>
      <c r="DY320" s="1009"/>
      <c r="DZ320" s="1009"/>
      <c r="EA320" s="1009"/>
      <c r="EB320" s="1009"/>
      <c r="EC320" s="1009"/>
      <c r="ED320" s="1009"/>
      <c r="EE320" s="1009"/>
      <c r="EF320" s="1009"/>
      <c r="EG320" s="1009"/>
      <c r="EH320" s="1009"/>
      <c r="EI320" s="1009"/>
      <c r="EJ320" s="1009"/>
      <c r="EK320" s="1009"/>
      <c r="EL320" s="1009"/>
      <c r="EM320" s="1009"/>
      <c r="EN320" s="1009"/>
      <c r="EO320" s="1009"/>
      <c r="EP320" s="1009"/>
      <c r="EQ320" s="1009"/>
      <c r="ER320" s="1009"/>
      <c r="ES320" s="1009"/>
      <c r="ET320" s="1009"/>
      <c r="EU320" s="1009"/>
      <c r="EV320" s="1009"/>
      <c r="EW320" s="1009"/>
      <c r="EX320" s="1009"/>
      <c r="EY320" s="1009"/>
      <c r="EZ320" s="1009"/>
      <c r="FA320" s="1009"/>
      <c r="FB320" s="1009"/>
      <c r="FC320" s="1009"/>
      <c r="FD320" s="1009"/>
      <c r="FE320" s="1009"/>
      <c r="FF320" s="1009"/>
      <c r="FG320" s="1009"/>
      <c r="FH320" s="1009"/>
      <c r="FI320" s="1009"/>
      <c r="FJ320" s="1009"/>
      <c r="FK320" s="1009"/>
      <c r="FL320" s="1009"/>
      <c r="FM320" s="1009"/>
      <c r="FN320" s="1009"/>
      <c r="FO320" s="1009"/>
      <c r="FP320" s="1009"/>
      <c r="FQ320" s="1009"/>
      <c r="FR320" s="1009"/>
      <c r="FS320" s="1009"/>
      <c r="FT320" s="1009"/>
      <c r="FU320" s="1009"/>
      <c r="FV320" s="1009"/>
      <c r="FW320" s="1009"/>
      <c r="FX320" s="1009"/>
      <c r="FY320" s="1009"/>
      <c r="FZ320" s="1009"/>
      <c r="GA320" s="1009"/>
      <c r="GB320" s="1009"/>
      <c r="GC320" s="1009"/>
      <c r="GD320" s="1009"/>
      <c r="GE320" s="1009"/>
      <c r="GF320" s="1009"/>
      <c r="GG320" s="1009"/>
      <c r="GH320" s="1009"/>
      <c r="GI320" s="1009"/>
      <c r="GJ320" s="1009"/>
      <c r="GK320" s="1009"/>
      <c r="GL320" s="1009"/>
      <c r="GM320" s="1009"/>
      <c r="GN320" s="1009"/>
      <c r="GO320" s="1009"/>
      <c r="GP320" s="1009"/>
      <c r="GQ320" s="1009"/>
      <c r="GR320" s="1009"/>
      <c r="GS320" s="1009"/>
      <c r="GT320" s="1009"/>
      <c r="GU320" s="1009"/>
      <c r="GV320" s="1009"/>
      <c r="GW320" s="1009"/>
      <c r="GX320" s="1009"/>
      <c r="GY320" s="1009"/>
      <c r="GZ320" s="1009"/>
      <c r="HA320" s="1009"/>
      <c r="HB320" s="1009"/>
      <c r="HC320" s="1009"/>
      <c r="HD320" s="1009"/>
      <c r="HE320" s="1009"/>
      <c r="HF320" s="1009"/>
      <c r="HG320" s="1009"/>
      <c r="HH320" s="1009"/>
      <c r="HI320" s="1009"/>
      <c r="HJ320" s="1009"/>
      <c r="HK320" s="1009"/>
      <c r="HL320" s="1009"/>
      <c r="HM320" s="1009"/>
      <c r="HN320" s="1009"/>
      <c r="HO320" s="1009"/>
      <c r="HP320" s="1009"/>
      <c r="HQ320" s="1009"/>
      <c r="HR320" s="1009"/>
      <c r="HS320" s="1009"/>
      <c r="HT320" s="1009"/>
      <c r="HU320" s="1009"/>
      <c r="HV320" s="1009"/>
      <c r="HW320" s="1009"/>
      <c r="HX320" s="1009"/>
      <c r="HY320" s="1009"/>
      <c r="HZ320" s="1009"/>
      <c r="IA320" s="1009"/>
      <c r="IB320" s="1009"/>
      <c r="IC320" s="1009"/>
      <c r="ID320" s="1009"/>
      <c r="IE320" s="1009"/>
      <c r="IF320" s="1009"/>
      <c r="IG320" s="1009"/>
      <c r="IH320" s="1009"/>
      <c r="II320" s="1009"/>
      <c r="IJ320" s="1009"/>
      <c r="IK320" s="1009"/>
      <c r="IL320" s="1009"/>
      <c r="IM320" s="1009"/>
      <c r="IN320" s="1009"/>
      <c r="IO320" s="1009"/>
      <c r="IP320" s="1009"/>
      <c r="IQ320" s="1009"/>
      <c r="IR320" s="1009"/>
      <c r="IS320" s="1009"/>
      <c r="IT320" s="1009"/>
      <c r="IU320" s="1009"/>
      <c r="IV320" s="1009"/>
      <c r="IW320" s="1009"/>
      <c r="IX320" s="1009"/>
      <c r="IY320" s="1009"/>
      <c r="IZ320" s="1009"/>
      <c r="JA320" s="1009"/>
      <c r="JB320" s="1009"/>
      <c r="JC320" s="1009"/>
      <c r="JD320" s="1009"/>
      <c r="JE320" s="1009"/>
      <c r="JF320" s="1009"/>
      <c r="JG320" s="1009"/>
      <c r="JH320" s="1009"/>
      <c r="JI320" s="1009"/>
      <c r="JJ320" s="1009"/>
      <c r="JK320" s="1009"/>
      <c r="JL320" s="1009"/>
      <c r="JM320" s="1009"/>
      <c r="JN320" s="1009"/>
      <c r="JO320" s="1009"/>
      <c r="JP320" s="1009"/>
      <c r="JQ320" s="1009"/>
      <c r="JR320" s="1009"/>
      <c r="JS320" s="1009"/>
      <c r="JT320" s="1009"/>
      <c r="JU320" s="1009"/>
      <c r="JV320" s="1009"/>
      <c r="JW320" s="1009"/>
      <c r="JX320" s="1009"/>
      <c r="JY320" s="1009"/>
      <c r="JZ320" s="1009"/>
      <c r="KA320" s="1009"/>
      <c r="KB320" s="1009"/>
      <c r="KC320" s="1009"/>
      <c r="KD320" s="1009"/>
      <c r="KE320" s="1009"/>
      <c r="KF320" s="1009"/>
      <c r="KG320" s="1009"/>
      <c r="KH320" s="1009"/>
      <c r="KI320" s="1009"/>
      <c r="KJ320" s="1009"/>
      <c r="KK320" s="1009"/>
      <c r="KL320" s="1009"/>
      <c r="KM320" s="1009"/>
      <c r="KN320" s="1009"/>
      <c r="KO320" s="1009"/>
      <c r="KP320" s="1009"/>
      <c r="KQ320" s="1009"/>
      <c r="KR320" s="1009"/>
      <c r="KS320" s="1009"/>
      <c r="KT320" s="1009"/>
      <c r="KU320" s="1009"/>
      <c r="KV320" s="1009"/>
      <c r="KW320" s="1009"/>
      <c r="KX320" s="1009"/>
      <c r="KY320" s="1009"/>
      <c r="KZ320" s="1009"/>
      <c r="LA320" s="1009"/>
      <c r="LB320" s="1009"/>
      <c r="LC320" s="1009"/>
      <c r="LD320" s="1009"/>
      <c r="LE320" s="1009"/>
      <c r="LF320" s="1009"/>
      <c r="LG320" s="1009"/>
      <c r="LH320" s="1009"/>
      <c r="LI320" s="1009"/>
      <c r="LJ320" s="1009"/>
      <c r="LK320" s="1009"/>
      <c r="LL320" s="1009"/>
      <c r="LM320" s="1009"/>
      <c r="LN320" s="1009"/>
      <c r="LO320" s="1009"/>
      <c r="LP320" s="1009"/>
      <c r="LQ320" s="1009"/>
      <c r="LR320" s="1009"/>
      <c r="LS320" s="1009"/>
      <c r="LT320" s="1009"/>
      <c r="LU320" s="1009"/>
      <c r="LV320" s="1009"/>
      <c r="LW320" s="1009"/>
      <c r="LX320" s="1009"/>
      <c r="LY320" s="1009"/>
      <c r="LZ320" s="1009"/>
      <c r="MA320" s="1009"/>
      <c r="MB320" s="1009"/>
      <c r="MC320" s="1009"/>
      <c r="MD320" s="1009"/>
      <c r="ME320" s="1009"/>
      <c r="MF320" s="1009"/>
      <c r="MG320" s="1009"/>
      <c r="MH320" s="1009"/>
      <c r="MI320" s="1009"/>
      <c r="MJ320" s="1009"/>
      <c r="MK320" s="1009"/>
      <c r="ML320" s="1009"/>
      <c r="MM320" s="1009"/>
      <c r="MN320" s="1009"/>
      <c r="MO320" s="1009"/>
      <c r="MP320" s="1009"/>
      <c r="MQ320" s="1009"/>
      <c r="MR320" s="1009"/>
      <c r="MS320" s="1009"/>
      <c r="MT320" s="1009"/>
      <c r="MU320" s="1009"/>
      <c r="MV320" s="1009"/>
      <c r="MW320" s="1009"/>
      <c r="MX320" s="1009"/>
      <c r="MY320" s="1009"/>
      <c r="MZ320" s="1009"/>
      <c r="NA320" s="1009"/>
      <c r="NB320" s="1009"/>
      <c r="NC320" s="1009"/>
      <c r="ND320" s="1009"/>
      <c r="NE320" s="1009"/>
      <c r="NF320" s="1009"/>
      <c r="NG320" s="1009"/>
      <c r="NH320" s="1009"/>
      <c r="NI320" s="1009"/>
      <c r="NJ320" s="1009"/>
      <c r="NK320" s="1009"/>
      <c r="NL320" s="1009"/>
      <c r="NM320" s="1009"/>
      <c r="NN320" s="1009"/>
      <c r="NO320" s="1009"/>
      <c r="NP320" s="1009"/>
      <c r="NQ320" s="1009"/>
      <c r="NR320" s="1009"/>
      <c r="NS320" s="1009"/>
      <c r="NT320" s="1009"/>
      <c r="NU320" s="1009"/>
      <c r="NV320" s="1009"/>
      <c r="NW320" s="1009"/>
      <c r="NX320" s="1009"/>
      <c r="NY320" s="1009"/>
      <c r="NZ320" s="1009"/>
      <c r="OA320" s="1009"/>
      <c r="OB320" s="1009"/>
      <c r="OC320" s="1009"/>
      <c r="OD320" s="1009"/>
      <c r="OE320" s="1009"/>
      <c r="OF320" s="1009"/>
      <c r="OG320" s="1009"/>
      <c r="OH320" s="1009"/>
      <c r="OI320" s="1009"/>
      <c r="OJ320" s="1009"/>
      <c r="OK320" s="1009"/>
      <c r="OL320" s="1009"/>
      <c r="OM320" s="1009"/>
      <c r="ON320" s="1009"/>
      <c r="OO320" s="1009"/>
      <c r="OP320" s="1009"/>
      <c r="OQ320" s="1009"/>
      <c r="OR320" s="1009"/>
      <c r="OS320" s="1009"/>
      <c r="OT320" s="1009"/>
      <c r="OU320" s="1009"/>
      <c r="OV320" s="1009"/>
      <c r="OW320" s="1009"/>
      <c r="OX320" s="1009"/>
      <c r="OY320" s="1009"/>
      <c r="OZ320" s="1009"/>
      <c r="PA320" s="1009"/>
      <c r="PB320" s="1009"/>
      <c r="PC320" s="1009"/>
      <c r="PD320" s="1009"/>
      <c r="PE320" s="1009"/>
      <c r="PF320" s="1009"/>
      <c r="PG320" s="1009"/>
      <c r="PH320" s="1009"/>
      <c r="PI320" s="1009"/>
      <c r="PJ320" s="1009"/>
      <c r="PK320" s="1009"/>
      <c r="PL320" s="1009"/>
      <c r="PM320" s="1009"/>
      <c r="PN320" s="1009"/>
      <c r="PO320" s="1009"/>
      <c r="PP320" s="1009"/>
      <c r="PQ320" s="1009"/>
      <c r="PR320" s="1009"/>
      <c r="PS320" s="1009"/>
      <c r="PT320" s="1009"/>
      <c r="PU320" s="1009"/>
      <c r="PV320" s="1009"/>
      <c r="PW320" s="1009"/>
      <c r="PX320" s="1009"/>
      <c r="PY320" s="1009"/>
      <c r="PZ320" s="1009"/>
      <c r="QA320" s="1009"/>
      <c r="QB320" s="1009"/>
      <c r="QC320" s="1009"/>
      <c r="QD320" s="1009"/>
      <c r="QE320" s="1009"/>
      <c r="QF320" s="1009"/>
      <c r="QG320" s="1009"/>
      <c r="QH320" s="1009"/>
      <c r="QI320" s="1009"/>
      <c r="QJ320" s="1009"/>
      <c r="QK320" s="1009"/>
      <c r="QL320" s="1009"/>
      <c r="QM320" s="1009"/>
      <c r="QN320" s="1009"/>
      <c r="QO320" s="1009"/>
      <c r="QP320" s="1009"/>
      <c r="QQ320" s="1009"/>
      <c r="QR320" s="1009"/>
      <c r="QS320" s="1009"/>
      <c r="QT320" s="1009"/>
      <c r="QU320" s="1009"/>
      <c r="QV320" s="1009"/>
      <c r="QW320" s="1009"/>
      <c r="QX320" s="1009"/>
      <c r="QY320" s="1009"/>
      <c r="QZ320" s="1009"/>
      <c r="RA320" s="1009"/>
      <c r="RB320" s="1009"/>
      <c r="RC320" s="1009"/>
      <c r="RD320" s="1009"/>
      <c r="RE320" s="1009"/>
      <c r="RF320" s="1009"/>
      <c r="RG320" s="1009"/>
      <c r="RH320" s="1009"/>
      <c r="RI320" s="1009"/>
      <c r="RJ320" s="1009"/>
      <c r="RK320" s="1009"/>
      <c r="RL320" s="1009"/>
      <c r="RM320" s="1009"/>
      <c r="RN320" s="1009"/>
      <c r="RO320" s="1009"/>
      <c r="RP320" s="1009"/>
      <c r="RQ320" s="1009"/>
      <c r="RR320" s="1009"/>
      <c r="RS320" s="1009"/>
      <c r="RT320" s="1009"/>
      <c r="RU320" s="1009"/>
      <c r="RV320" s="1009"/>
      <c r="RW320" s="1009"/>
      <c r="RX320" s="1009"/>
      <c r="RY320" s="1009"/>
      <c r="RZ320" s="1009"/>
      <c r="SA320" s="1009"/>
      <c r="SB320" s="1009"/>
      <c r="SC320" s="1009"/>
      <c r="SD320" s="1009"/>
      <c r="SE320" s="1009"/>
      <c r="SF320" s="1009"/>
      <c r="SG320" s="1009"/>
      <c r="SH320" s="1009"/>
      <c r="SI320" s="1009"/>
      <c r="SJ320" s="1009"/>
      <c r="SK320" s="1009"/>
      <c r="SL320" s="1009"/>
      <c r="SM320" s="1009"/>
      <c r="SN320" s="1009"/>
      <c r="SO320" s="1009"/>
      <c r="SP320" s="1009"/>
      <c r="SQ320" s="1009"/>
      <c r="SR320" s="1009"/>
      <c r="SS320" s="1009"/>
      <c r="ST320" s="1009"/>
      <c r="SU320" s="1009"/>
      <c r="SV320" s="1009"/>
      <c r="SW320" s="1009"/>
      <c r="SX320" s="1009"/>
      <c r="SY320" s="1009"/>
      <c r="SZ320" s="1009"/>
      <c r="TA320" s="1009"/>
      <c r="TB320" s="1009"/>
      <c r="TC320" s="1009"/>
      <c r="TD320" s="1009"/>
      <c r="TE320" s="1009"/>
      <c r="TF320" s="1009"/>
      <c r="TG320" s="1009"/>
      <c r="TH320" s="1009"/>
      <c r="TI320" s="1009"/>
      <c r="TJ320" s="1009"/>
      <c r="TK320" s="1009"/>
      <c r="TL320" s="1009"/>
      <c r="TM320" s="1009"/>
      <c r="TN320" s="1009"/>
      <c r="TO320" s="1009"/>
      <c r="TP320" s="1009"/>
      <c r="TQ320" s="1009"/>
      <c r="TR320" s="1009"/>
      <c r="TS320" s="1009"/>
      <c r="TT320" s="1009"/>
      <c r="TU320" s="1009"/>
      <c r="TV320" s="1009"/>
      <c r="TW320" s="1009"/>
      <c r="TX320" s="1009"/>
      <c r="TY320" s="1009"/>
      <c r="TZ320" s="1009"/>
      <c r="UA320" s="1009"/>
      <c r="UB320" s="1009"/>
      <c r="UC320" s="1009"/>
      <c r="UD320" s="1009"/>
      <c r="UE320" s="1009"/>
      <c r="UF320" s="1009"/>
      <c r="UG320" s="1009"/>
      <c r="UH320" s="1009"/>
      <c r="UI320" s="1009"/>
      <c r="UJ320" s="1009"/>
      <c r="UK320" s="1009"/>
      <c r="UL320" s="1009"/>
      <c r="UM320" s="1009"/>
      <c r="UN320" s="1009"/>
      <c r="UO320" s="1009"/>
      <c r="UP320" s="1009"/>
      <c r="UQ320" s="1009"/>
      <c r="UR320" s="1009"/>
      <c r="US320" s="1009"/>
      <c r="UT320" s="1009"/>
      <c r="UU320" s="1009"/>
      <c r="UV320" s="1009"/>
      <c r="UW320" s="1009"/>
      <c r="UX320" s="1009"/>
      <c r="UY320" s="1009"/>
      <c r="UZ320" s="1009"/>
      <c r="VA320" s="1009"/>
      <c r="VB320" s="1009"/>
      <c r="VC320" s="1009"/>
      <c r="VD320" s="1009"/>
      <c r="VE320" s="1009"/>
      <c r="VF320" s="1009"/>
      <c r="VG320" s="1009"/>
      <c r="VH320" s="1009"/>
      <c r="VI320" s="1009"/>
      <c r="VJ320" s="1009"/>
      <c r="VK320" s="1009"/>
      <c r="VL320" s="1009"/>
      <c r="VM320" s="1009"/>
      <c r="VN320" s="1009"/>
      <c r="VO320" s="1009"/>
      <c r="VP320" s="1009"/>
      <c r="VQ320" s="1009"/>
      <c r="VR320" s="1009"/>
      <c r="VS320" s="1009"/>
      <c r="VT320" s="1009"/>
      <c r="VU320" s="1009"/>
      <c r="VV320" s="1009"/>
      <c r="VW320" s="1009"/>
      <c r="VX320" s="1009"/>
      <c r="VY320" s="1009"/>
      <c r="VZ320" s="1009"/>
      <c r="WA320" s="1009"/>
      <c r="WB320" s="1009"/>
      <c r="WC320" s="1009"/>
      <c r="WD320" s="1009"/>
      <c r="WE320" s="1009"/>
      <c r="WF320" s="1009"/>
      <c r="WG320" s="1009"/>
      <c r="WH320" s="1009"/>
      <c r="WI320" s="1009"/>
      <c r="WJ320" s="1009"/>
      <c r="WK320" s="1009"/>
      <c r="WL320" s="1009"/>
      <c r="WM320" s="1009"/>
      <c r="WN320" s="1009"/>
      <c r="WO320" s="1009"/>
      <c r="WP320" s="1009"/>
      <c r="WQ320" s="1009"/>
      <c r="WR320" s="1009"/>
      <c r="WS320" s="1009"/>
      <c r="WT320" s="1009"/>
      <c r="WU320" s="1009"/>
      <c r="WV320" s="1009"/>
      <c r="WW320" s="1009"/>
      <c r="WX320" s="1009"/>
      <c r="WY320" s="1009"/>
      <c r="WZ320" s="1009"/>
      <c r="XA320" s="1009"/>
      <c r="XB320" s="1009"/>
      <c r="XC320" s="1009"/>
      <c r="XD320" s="1009"/>
      <c r="XE320" s="1009"/>
      <c r="XF320" s="1009"/>
      <c r="XG320" s="1009"/>
      <c r="XH320" s="1009"/>
      <c r="XI320" s="1009"/>
      <c r="XJ320" s="1009"/>
      <c r="XK320" s="1009"/>
      <c r="XL320" s="1009"/>
      <c r="XM320" s="1009"/>
      <c r="XN320" s="1009"/>
      <c r="XO320" s="1009"/>
      <c r="XP320" s="1009"/>
      <c r="XQ320" s="1009"/>
      <c r="XR320" s="1009"/>
      <c r="XS320" s="1009"/>
      <c r="XT320" s="1009"/>
      <c r="XU320" s="1009"/>
      <c r="XV320" s="1009"/>
      <c r="XW320" s="1009"/>
      <c r="XX320" s="1009"/>
      <c r="XY320" s="1009"/>
      <c r="XZ320" s="1009"/>
      <c r="YA320" s="1009"/>
      <c r="YB320" s="1009"/>
      <c r="YC320" s="1009"/>
      <c r="YD320" s="1009"/>
      <c r="YE320" s="1009"/>
      <c r="YF320" s="1009"/>
      <c r="YG320" s="1009"/>
      <c r="YH320" s="1009"/>
      <c r="YI320" s="1009"/>
      <c r="YJ320" s="1009"/>
      <c r="YK320" s="1009"/>
      <c r="YL320" s="1009"/>
      <c r="YM320" s="1009"/>
      <c r="YN320" s="1009"/>
      <c r="YO320" s="1009"/>
      <c r="YP320" s="1009"/>
      <c r="YQ320" s="1009"/>
      <c r="YR320" s="1009"/>
      <c r="YS320" s="1009"/>
      <c r="YT320" s="1009"/>
      <c r="YU320" s="1009"/>
      <c r="YV320" s="1009"/>
      <c r="YW320" s="1009"/>
      <c r="YX320" s="1009"/>
      <c r="YY320" s="1009"/>
      <c r="YZ320" s="1009"/>
      <c r="ZA320" s="1009"/>
      <c r="ZB320" s="1009"/>
      <c r="ZC320" s="1009"/>
      <c r="ZD320" s="1009"/>
      <c r="ZE320" s="1009"/>
      <c r="ZF320" s="1009"/>
      <c r="ZG320" s="1009"/>
      <c r="ZH320" s="1009"/>
      <c r="ZI320" s="1009"/>
      <c r="ZJ320" s="1009"/>
      <c r="ZK320" s="1009"/>
      <c r="ZL320" s="1009"/>
      <c r="ZM320" s="1009"/>
      <c r="ZN320" s="1009"/>
      <c r="ZO320" s="1009"/>
      <c r="ZP320" s="1009"/>
      <c r="ZQ320" s="1009"/>
      <c r="ZR320" s="1009"/>
      <c r="ZS320" s="1009"/>
      <c r="ZT320" s="1009"/>
      <c r="ZU320" s="1009"/>
      <c r="ZV320" s="1009"/>
      <c r="ZW320" s="1009"/>
      <c r="ZX320" s="1009"/>
      <c r="ZY320" s="1009"/>
      <c r="ZZ320" s="1009"/>
      <c r="AAA320" s="1009"/>
      <c r="AAB320" s="1009"/>
      <c r="AAC320" s="1009"/>
      <c r="AAD320" s="1009"/>
      <c r="AAE320" s="1009"/>
      <c r="AAF320" s="1009"/>
      <c r="AAG320" s="1009"/>
      <c r="AAH320" s="1009"/>
      <c r="AAI320" s="1009"/>
      <c r="AAJ320" s="1009"/>
      <c r="AAK320" s="1009"/>
      <c r="AAL320" s="1009"/>
      <c r="AAM320" s="1009"/>
      <c r="AAN320" s="1009"/>
      <c r="AAO320" s="1009"/>
      <c r="AAP320" s="1009"/>
      <c r="AAQ320" s="1009"/>
      <c r="AAR320" s="1009"/>
      <c r="AAS320" s="1009"/>
      <c r="AAT320" s="1009"/>
      <c r="AAU320" s="1009"/>
      <c r="AAV320" s="1009"/>
      <c r="AAW320" s="1009"/>
      <c r="AAX320" s="1009"/>
      <c r="AAY320" s="1009"/>
      <c r="AAZ320" s="1009"/>
      <c r="ABA320" s="1009"/>
      <c r="ABB320" s="1009"/>
      <c r="ABC320" s="1009"/>
      <c r="ABD320" s="1009"/>
      <c r="ABE320" s="1009"/>
      <c r="ABF320" s="1009"/>
      <c r="ABG320" s="1009"/>
      <c r="ABH320" s="1009"/>
      <c r="ABI320" s="1009"/>
      <c r="ABJ320" s="1009"/>
      <c r="ABK320" s="1009"/>
      <c r="ABL320" s="1009"/>
      <c r="ABM320" s="1009"/>
      <c r="ABN320" s="1009"/>
      <c r="ABO320" s="1009"/>
      <c r="ABP320" s="1009"/>
      <c r="ABQ320" s="1009"/>
      <c r="ABR320" s="1009"/>
    </row>
    <row r="321" spans="1:43" s="1009" customFormat="1" ht="12" customHeight="1">
      <c r="A321" s="924"/>
      <c r="B321" s="1038"/>
      <c r="C321" s="1039"/>
      <c r="D321" s="1026"/>
      <c r="E321" s="1034"/>
      <c r="F321" s="1034"/>
      <c r="G321" s="1034"/>
      <c r="H321" s="194"/>
      <c r="I321" s="376"/>
      <c r="J321" s="376"/>
      <c r="K321" s="376"/>
      <c r="L321" s="376"/>
      <c r="M321" s="376"/>
      <c r="N321" s="376"/>
      <c r="O321" s="376"/>
      <c r="P321" s="376"/>
      <c r="Q321" s="376"/>
      <c r="R321" s="376"/>
      <c r="S321" s="1042"/>
      <c r="T321" s="1042"/>
      <c r="U321" s="1042"/>
      <c r="V321" s="1042"/>
      <c r="W321" s="1042"/>
      <c r="X321" s="1042"/>
      <c r="Y321" s="1042"/>
      <c r="Z321" s="1042"/>
      <c r="AA321" s="1042"/>
      <c r="AB321" s="1042"/>
      <c r="AC321" s="1042"/>
      <c r="AD321" s="1042"/>
      <c r="AE321" s="1042"/>
      <c r="AF321" s="376"/>
      <c r="AG321" s="376"/>
      <c r="AH321" s="786"/>
      <c r="AI321" s="786"/>
      <c r="AJ321" s="773"/>
      <c r="AK321" s="774"/>
      <c r="AL321" s="773"/>
      <c r="AN321" s="1034"/>
      <c r="AO321" s="1034"/>
      <c r="AP321" s="1084"/>
      <c r="AQ321" s="1084"/>
    </row>
    <row r="322" spans="1:43" s="1009" customFormat="1" ht="12" customHeight="1">
      <c r="A322" s="924"/>
      <c r="B322" s="1038"/>
      <c r="C322" s="1039"/>
      <c r="D322" s="1026"/>
      <c r="E322" s="1034"/>
      <c r="F322" s="1034"/>
      <c r="G322" s="1034"/>
      <c r="H322" s="194"/>
      <c r="I322" s="376"/>
      <c r="J322" s="376"/>
      <c r="K322" s="376"/>
      <c r="L322" s="376"/>
      <c r="M322" s="376"/>
      <c r="N322" s="376"/>
      <c r="O322" s="376"/>
      <c r="P322" s="376"/>
      <c r="Q322" s="376"/>
      <c r="R322" s="376"/>
      <c r="S322" s="1042"/>
      <c r="T322" s="1042"/>
      <c r="U322" s="1042"/>
      <c r="V322" s="1042"/>
      <c r="W322" s="1042"/>
      <c r="X322" s="1042"/>
      <c r="Y322" s="1042"/>
      <c r="Z322" s="1042"/>
      <c r="AA322" s="1042"/>
      <c r="AB322" s="1042"/>
      <c r="AC322" s="1042"/>
      <c r="AD322" s="1042"/>
      <c r="AE322" s="1042"/>
      <c r="AF322" s="376"/>
      <c r="AG322" s="376"/>
      <c r="AH322" s="786"/>
      <c r="AI322" s="786"/>
      <c r="AJ322" s="773"/>
      <c r="AK322" s="774"/>
      <c r="AL322" s="773"/>
      <c r="AN322" s="1034"/>
      <c r="AO322" s="1034"/>
      <c r="AP322" s="1084"/>
      <c r="AQ322" s="1084"/>
    </row>
    <row r="323" spans="1:43" s="1009" customFormat="1" ht="12" customHeight="1">
      <c r="A323" s="924"/>
      <c r="B323" s="1038"/>
      <c r="C323" s="1039"/>
      <c r="D323" s="1026"/>
      <c r="E323" s="1034"/>
      <c r="F323" s="1034"/>
      <c r="G323" s="1034"/>
      <c r="H323" s="194"/>
      <c r="I323" s="376"/>
      <c r="J323" s="376"/>
      <c r="K323" s="376"/>
      <c r="L323" s="376"/>
      <c r="M323" s="376"/>
      <c r="N323" s="376"/>
      <c r="O323" s="376"/>
      <c r="P323" s="376"/>
      <c r="Q323" s="376"/>
      <c r="R323" s="376"/>
      <c r="S323" s="1042"/>
      <c r="T323" s="1042"/>
      <c r="U323" s="1042"/>
      <c r="V323" s="1042"/>
      <c r="W323" s="1042"/>
      <c r="X323" s="1042"/>
      <c r="Y323" s="1042"/>
      <c r="Z323" s="1042"/>
      <c r="AA323" s="1042"/>
      <c r="AB323" s="1042"/>
      <c r="AC323" s="1042"/>
      <c r="AD323" s="1042"/>
      <c r="AE323" s="1042"/>
      <c r="AF323" s="376"/>
      <c r="AG323" s="376"/>
      <c r="AH323" s="786"/>
      <c r="AI323" s="786"/>
      <c r="AJ323" s="773"/>
      <c r="AK323" s="774"/>
      <c r="AL323" s="773"/>
      <c r="AN323" s="1034"/>
      <c r="AO323" s="1034"/>
      <c r="AP323" s="1084"/>
      <c r="AQ323" s="1084"/>
    </row>
    <row r="324" spans="1:43" s="1009" customFormat="1" ht="12" customHeight="1">
      <c r="A324" s="924"/>
      <c r="B324" s="1038"/>
      <c r="C324" s="1039"/>
      <c r="D324" s="1026"/>
      <c r="E324" s="1034"/>
      <c r="F324" s="1034"/>
      <c r="G324" s="1034"/>
      <c r="H324" s="194"/>
      <c r="I324" s="376"/>
      <c r="J324" s="376"/>
      <c r="K324" s="376"/>
      <c r="L324" s="376"/>
      <c r="M324" s="376"/>
      <c r="N324" s="376"/>
      <c r="O324" s="376"/>
      <c r="P324" s="376"/>
      <c r="Q324" s="376"/>
      <c r="R324" s="376"/>
      <c r="S324" s="1042"/>
      <c r="T324" s="1042"/>
      <c r="U324" s="1042"/>
      <c r="V324" s="1042"/>
      <c r="W324" s="1042"/>
      <c r="X324" s="1042"/>
      <c r="Y324" s="1042"/>
      <c r="Z324" s="1042"/>
      <c r="AA324" s="1042"/>
      <c r="AB324" s="1042"/>
      <c r="AC324" s="1042"/>
      <c r="AD324" s="1042"/>
      <c r="AE324" s="1042"/>
      <c r="AF324" s="376"/>
      <c r="AG324" s="376"/>
      <c r="AH324" s="786"/>
      <c r="AI324" s="786"/>
      <c r="AJ324" s="773"/>
      <c r="AK324" s="774"/>
      <c r="AL324" s="773"/>
      <c r="AN324" s="1034"/>
      <c r="AO324" s="1034"/>
      <c r="AP324" s="1084"/>
      <c r="AQ324" s="1084"/>
    </row>
    <row r="325" spans="1:43" s="1009" customFormat="1" ht="12" customHeight="1">
      <c r="A325" s="924"/>
      <c r="B325" s="1038"/>
      <c r="C325" s="1039"/>
      <c r="D325" s="1026"/>
      <c r="E325" s="1034"/>
      <c r="F325" s="1034"/>
      <c r="G325" s="1034"/>
      <c r="H325" s="194"/>
      <c r="I325" s="376"/>
      <c r="J325" s="376"/>
      <c r="K325" s="376"/>
      <c r="L325" s="376"/>
      <c r="M325" s="376"/>
      <c r="N325" s="376"/>
      <c r="O325" s="376"/>
      <c r="P325" s="376"/>
      <c r="Q325" s="376"/>
      <c r="R325" s="376"/>
      <c r="S325" s="1042"/>
      <c r="T325" s="1042"/>
      <c r="U325" s="1042"/>
      <c r="V325" s="1042"/>
      <c r="W325" s="1042"/>
      <c r="X325" s="1042"/>
      <c r="Y325" s="1042"/>
      <c r="Z325" s="1042"/>
      <c r="AA325" s="1042"/>
      <c r="AB325" s="1042"/>
      <c r="AC325" s="1042"/>
      <c r="AD325" s="1042"/>
      <c r="AE325" s="1042"/>
      <c r="AF325" s="376"/>
      <c r="AG325" s="376"/>
      <c r="AH325" s="786"/>
      <c r="AI325" s="786"/>
      <c r="AJ325" s="773"/>
      <c r="AK325" s="774"/>
      <c r="AL325" s="773"/>
      <c r="AN325" s="1034"/>
      <c r="AO325" s="1034"/>
      <c r="AP325" s="1084"/>
      <c r="AQ325" s="1084"/>
    </row>
    <row r="326" spans="1:43" s="1009" customFormat="1" ht="12" customHeight="1">
      <c r="A326" s="924"/>
      <c r="B326" s="1038"/>
      <c r="C326" s="1039"/>
      <c r="D326" s="1026"/>
      <c r="E326" s="1034"/>
      <c r="F326" s="1034"/>
      <c r="G326" s="1034"/>
      <c r="H326" s="194"/>
      <c r="I326" s="376"/>
      <c r="J326" s="376"/>
      <c r="K326" s="376"/>
      <c r="L326" s="376"/>
      <c r="M326" s="376"/>
      <c r="N326" s="376"/>
      <c r="O326" s="376"/>
      <c r="P326" s="376"/>
      <c r="Q326" s="376"/>
      <c r="R326" s="376"/>
      <c r="S326" s="1042"/>
      <c r="T326" s="1042"/>
      <c r="U326" s="1042"/>
      <c r="V326" s="1042"/>
      <c r="W326" s="1042"/>
      <c r="X326" s="1042"/>
      <c r="Y326" s="1042"/>
      <c r="Z326" s="1042"/>
      <c r="AA326" s="1042"/>
      <c r="AB326" s="1042"/>
      <c r="AC326" s="1042"/>
      <c r="AD326" s="1042"/>
      <c r="AE326" s="1042"/>
      <c r="AF326" s="376"/>
      <c r="AG326" s="376"/>
      <c r="AH326" s="786"/>
      <c r="AI326" s="786"/>
      <c r="AJ326" s="773"/>
      <c r="AK326" s="774"/>
      <c r="AL326" s="773"/>
      <c r="AN326" s="1034"/>
      <c r="AO326" s="1034"/>
      <c r="AP326" s="1084"/>
      <c r="AQ326" s="1084"/>
    </row>
    <row r="327" spans="1:43" s="1009" customFormat="1" ht="12" customHeight="1">
      <c r="A327" s="924"/>
      <c r="B327" s="1038"/>
      <c r="C327" s="1039"/>
      <c r="D327" s="1026"/>
      <c r="E327" s="1034"/>
      <c r="F327" s="1034"/>
      <c r="G327" s="1034"/>
      <c r="H327" s="194"/>
      <c r="I327" s="376"/>
      <c r="J327" s="376"/>
      <c r="K327" s="376"/>
      <c r="L327" s="376"/>
      <c r="M327" s="376"/>
      <c r="N327" s="376"/>
      <c r="O327" s="376"/>
      <c r="P327" s="376"/>
      <c r="Q327" s="376"/>
      <c r="R327" s="376"/>
      <c r="S327" s="1042"/>
      <c r="T327" s="1042"/>
      <c r="U327" s="1042"/>
      <c r="V327" s="1042"/>
      <c r="W327" s="1042"/>
      <c r="X327" s="1042"/>
      <c r="Y327" s="1042"/>
      <c r="Z327" s="1042"/>
      <c r="AA327" s="1042"/>
      <c r="AB327" s="1042"/>
      <c r="AC327" s="1042"/>
      <c r="AD327" s="1042"/>
      <c r="AE327" s="1042"/>
      <c r="AF327" s="376"/>
      <c r="AG327" s="376"/>
      <c r="AH327" s="786"/>
      <c r="AI327" s="786"/>
      <c r="AJ327" s="773"/>
      <c r="AK327" s="774"/>
      <c r="AL327" s="773"/>
      <c r="AN327" s="1034"/>
      <c r="AO327" s="1034"/>
      <c r="AP327" s="1084"/>
      <c r="AQ327" s="1084"/>
    </row>
    <row r="328" spans="1:43" s="1009" customFormat="1" ht="12" customHeight="1">
      <c r="A328" s="924"/>
      <c r="B328" s="1038"/>
      <c r="C328" s="1039"/>
      <c r="D328" s="1026"/>
      <c r="E328" s="1034"/>
      <c r="F328" s="1034"/>
      <c r="G328" s="1034"/>
      <c r="H328" s="194"/>
      <c r="I328" s="376"/>
      <c r="J328" s="376"/>
      <c r="K328" s="376"/>
      <c r="L328" s="376"/>
      <c r="M328" s="376"/>
      <c r="N328" s="376"/>
      <c r="O328" s="376"/>
      <c r="P328" s="376"/>
      <c r="Q328" s="376"/>
      <c r="R328" s="376"/>
      <c r="S328" s="1042"/>
      <c r="T328" s="1042"/>
      <c r="U328" s="1042"/>
      <c r="V328" s="1042"/>
      <c r="W328" s="1042"/>
      <c r="X328" s="1042"/>
      <c r="Y328" s="1042"/>
      <c r="Z328" s="1042"/>
      <c r="AA328" s="1042"/>
      <c r="AB328" s="1042"/>
      <c r="AC328" s="1042"/>
      <c r="AD328" s="1042"/>
      <c r="AE328" s="1042"/>
      <c r="AF328" s="376"/>
      <c r="AG328" s="376"/>
      <c r="AH328" s="786"/>
      <c r="AI328" s="786"/>
      <c r="AJ328" s="773"/>
      <c r="AK328" s="774"/>
      <c r="AL328" s="773"/>
      <c r="AN328" s="1034"/>
      <c r="AO328" s="1034"/>
      <c r="AP328" s="1084"/>
      <c r="AQ328" s="1084"/>
    </row>
    <row r="329" spans="1:43" s="1009" customFormat="1" ht="12" customHeight="1">
      <c r="A329" s="924"/>
      <c r="B329" s="1038"/>
      <c r="C329" s="1039"/>
      <c r="D329" s="1026"/>
      <c r="E329" s="1034"/>
      <c r="F329" s="1034"/>
      <c r="G329" s="1034"/>
      <c r="H329" s="194"/>
      <c r="I329" s="376"/>
      <c r="J329" s="376"/>
      <c r="K329" s="376"/>
      <c r="L329" s="376"/>
      <c r="M329" s="376"/>
      <c r="N329" s="376"/>
      <c r="O329" s="376"/>
      <c r="P329" s="376"/>
      <c r="Q329" s="376"/>
      <c r="R329" s="376"/>
      <c r="S329" s="1042"/>
      <c r="T329" s="1042"/>
      <c r="U329" s="1042"/>
      <c r="V329" s="1042"/>
      <c r="W329" s="1042"/>
      <c r="X329" s="1042"/>
      <c r="Y329" s="1042"/>
      <c r="Z329" s="1042"/>
      <c r="AA329" s="1042"/>
      <c r="AB329" s="1042"/>
      <c r="AC329" s="1042"/>
      <c r="AD329" s="1042"/>
      <c r="AE329" s="1042"/>
      <c r="AF329" s="376"/>
      <c r="AG329" s="376"/>
      <c r="AH329" s="786"/>
      <c r="AI329" s="786"/>
      <c r="AJ329" s="773"/>
      <c r="AK329" s="774"/>
      <c r="AL329" s="773"/>
      <c r="AN329" s="1034"/>
      <c r="AO329" s="1034"/>
      <c r="AP329" s="1084"/>
      <c r="AQ329" s="1084"/>
    </row>
    <row r="330" spans="1:43" s="1009" customFormat="1" ht="12" customHeight="1">
      <c r="A330" s="924"/>
      <c r="B330" s="1038"/>
      <c r="C330" s="1039"/>
      <c r="D330" s="1026"/>
      <c r="E330" s="1034"/>
      <c r="F330" s="1034"/>
      <c r="G330" s="1034"/>
      <c r="H330" s="194"/>
      <c r="I330" s="376"/>
      <c r="J330" s="376"/>
      <c r="K330" s="376"/>
      <c r="L330" s="376"/>
      <c r="M330" s="376"/>
      <c r="N330" s="376"/>
      <c r="O330" s="376"/>
      <c r="P330" s="376"/>
      <c r="Q330" s="376"/>
      <c r="R330" s="376"/>
      <c r="S330" s="1042"/>
      <c r="T330" s="1042"/>
      <c r="U330" s="1042"/>
      <c r="V330" s="1042"/>
      <c r="W330" s="1042"/>
      <c r="X330" s="1042"/>
      <c r="Y330" s="1042"/>
      <c r="Z330" s="1042"/>
      <c r="AA330" s="1042"/>
      <c r="AB330" s="1042"/>
      <c r="AC330" s="1042"/>
      <c r="AD330" s="1042"/>
      <c r="AE330" s="1042"/>
      <c r="AF330" s="376"/>
      <c r="AG330" s="376"/>
      <c r="AH330" s="786"/>
      <c r="AI330" s="786"/>
      <c r="AJ330" s="773"/>
      <c r="AK330" s="774"/>
      <c r="AL330" s="773"/>
      <c r="AN330" s="1034"/>
      <c r="AO330" s="1034"/>
      <c r="AP330" s="1084"/>
      <c r="AQ330" s="1084"/>
    </row>
    <row r="331" spans="1:43" s="1009" customFormat="1" ht="12" customHeight="1">
      <c r="A331" s="924"/>
      <c r="B331" s="1038"/>
      <c r="C331" s="1039"/>
      <c r="D331" s="1026"/>
      <c r="E331" s="1034"/>
      <c r="F331" s="1034"/>
      <c r="G331" s="1034"/>
      <c r="H331" s="194"/>
      <c r="I331" s="376"/>
      <c r="J331" s="376"/>
      <c r="K331" s="376"/>
      <c r="L331" s="376"/>
      <c r="M331" s="376"/>
      <c r="N331" s="376"/>
      <c r="O331" s="376"/>
      <c r="P331" s="376"/>
      <c r="Q331" s="376"/>
      <c r="R331" s="376"/>
      <c r="S331" s="1042"/>
      <c r="T331" s="1042"/>
      <c r="U331" s="1042"/>
      <c r="V331" s="1042"/>
      <c r="W331" s="1042"/>
      <c r="X331" s="1042"/>
      <c r="Y331" s="1042"/>
      <c r="Z331" s="1042"/>
      <c r="AA331" s="1042"/>
      <c r="AB331" s="1042"/>
      <c r="AC331" s="1042"/>
      <c r="AD331" s="1042"/>
      <c r="AE331" s="1042"/>
      <c r="AF331" s="376"/>
      <c r="AG331" s="376"/>
      <c r="AH331" s="786"/>
      <c r="AI331" s="786"/>
      <c r="AJ331" s="773"/>
      <c r="AK331" s="774"/>
      <c r="AL331" s="773"/>
      <c r="AN331" s="1034"/>
      <c r="AO331" s="1034"/>
      <c r="AP331" s="1084"/>
      <c r="AQ331" s="1084"/>
    </row>
    <row r="332" spans="1:43" s="1009" customFormat="1" ht="12" customHeight="1">
      <c r="A332" s="924"/>
      <c r="B332" s="1038"/>
      <c r="C332" s="1039"/>
      <c r="D332" s="1026"/>
      <c r="E332" s="1034"/>
      <c r="F332" s="1034"/>
      <c r="G332" s="1034"/>
      <c r="H332" s="194"/>
      <c r="I332" s="376"/>
      <c r="J332" s="376"/>
      <c r="K332" s="376"/>
      <c r="L332" s="376"/>
      <c r="M332" s="376"/>
      <c r="N332" s="376"/>
      <c r="O332" s="376"/>
      <c r="P332" s="376"/>
      <c r="Q332" s="376"/>
      <c r="R332" s="376"/>
      <c r="S332" s="1042"/>
      <c r="T332" s="1042"/>
      <c r="U332" s="1042"/>
      <c r="V332" s="1042"/>
      <c r="W332" s="1042"/>
      <c r="X332" s="1042"/>
      <c r="Y332" s="1042"/>
      <c r="Z332" s="1042"/>
      <c r="AA332" s="1042"/>
      <c r="AB332" s="1042"/>
      <c r="AC332" s="1042"/>
      <c r="AD332" s="1042"/>
      <c r="AE332" s="1042"/>
      <c r="AF332" s="376"/>
      <c r="AG332" s="376"/>
      <c r="AH332" s="786"/>
      <c r="AI332" s="786"/>
      <c r="AJ332" s="773"/>
      <c r="AK332" s="774"/>
      <c r="AL332" s="773"/>
      <c r="AN332" s="1034"/>
      <c r="AO332" s="1034"/>
      <c r="AP332" s="1084"/>
      <c r="AQ332" s="1084"/>
    </row>
    <row r="333" spans="1:43" s="1009" customFormat="1" ht="12" customHeight="1">
      <c r="A333" s="924"/>
      <c r="B333" s="1038"/>
      <c r="C333" s="1039"/>
      <c r="D333" s="1026"/>
      <c r="E333" s="1034"/>
      <c r="F333" s="1034"/>
      <c r="G333" s="1034"/>
      <c r="H333" s="194"/>
      <c r="I333" s="376"/>
      <c r="J333" s="376"/>
      <c r="K333" s="376"/>
      <c r="L333" s="376"/>
      <c r="M333" s="376"/>
      <c r="N333" s="376"/>
      <c r="O333" s="376"/>
      <c r="P333" s="376"/>
      <c r="Q333" s="376"/>
      <c r="R333" s="376"/>
      <c r="S333" s="1042"/>
      <c r="T333" s="1042"/>
      <c r="U333" s="1042"/>
      <c r="V333" s="1042"/>
      <c r="W333" s="1042"/>
      <c r="X333" s="1042"/>
      <c r="Y333" s="1042"/>
      <c r="Z333" s="1042"/>
      <c r="AA333" s="1042"/>
      <c r="AB333" s="1042"/>
      <c r="AC333" s="1042"/>
      <c r="AD333" s="1042"/>
      <c r="AE333" s="1042"/>
      <c r="AF333" s="376"/>
      <c r="AG333" s="376"/>
      <c r="AH333" s="786"/>
      <c r="AI333" s="786"/>
      <c r="AJ333" s="773"/>
      <c r="AK333" s="774"/>
      <c r="AL333" s="773"/>
      <c r="AN333" s="1034"/>
      <c r="AO333" s="1034"/>
      <c r="AP333" s="1084"/>
      <c r="AQ333" s="1084"/>
    </row>
    <row r="334" spans="1:43" s="1009" customFormat="1" ht="12" customHeight="1">
      <c r="A334" s="924"/>
      <c r="B334" s="1038"/>
      <c r="C334" s="1039"/>
      <c r="D334" s="1026"/>
      <c r="E334" s="1034"/>
      <c r="F334" s="1034"/>
      <c r="G334" s="1034"/>
      <c r="H334" s="194"/>
      <c r="I334" s="376"/>
      <c r="J334" s="376"/>
      <c r="K334" s="376"/>
      <c r="L334" s="376"/>
      <c r="M334" s="376"/>
      <c r="N334" s="376"/>
      <c r="O334" s="376"/>
      <c r="P334" s="376"/>
      <c r="Q334" s="376"/>
      <c r="R334" s="376"/>
      <c r="S334" s="1042"/>
      <c r="T334" s="1042"/>
      <c r="U334" s="1042"/>
      <c r="V334" s="1042"/>
      <c r="W334" s="1042"/>
      <c r="X334" s="1042"/>
      <c r="Y334" s="1042"/>
      <c r="Z334" s="1042"/>
      <c r="AA334" s="1042"/>
      <c r="AB334" s="1042"/>
      <c r="AC334" s="1042"/>
      <c r="AD334" s="1042"/>
      <c r="AE334" s="1042"/>
      <c r="AF334" s="376"/>
      <c r="AG334" s="376"/>
      <c r="AH334" s="786"/>
      <c r="AI334" s="786"/>
      <c r="AJ334" s="773"/>
      <c r="AK334" s="774"/>
      <c r="AL334" s="773"/>
      <c r="AN334" s="1034"/>
      <c r="AO334" s="1034"/>
      <c r="AP334" s="1084"/>
      <c r="AQ334" s="1084"/>
    </row>
    <row r="335" spans="1:43" s="1009" customFormat="1" ht="12" customHeight="1">
      <c r="A335" s="924"/>
      <c r="B335" s="1038"/>
      <c r="C335" s="1039"/>
      <c r="D335" s="1026"/>
      <c r="E335" s="1034"/>
      <c r="F335" s="1034"/>
      <c r="G335" s="1034"/>
      <c r="H335" s="194"/>
      <c r="I335" s="376"/>
      <c r="J335" s="376"/>
      <c r="K335" s="376"/>
      <c r="L335" s="376"/>
      <c r="M335" s="376"/>
      <c r="N335" s="376"/>
      <c r="O335" s="376"/>
      <c r="P335" s="376"/>
      <c r="Q335" s="376"/>
      <c r="R335" s="376"/>
      <c r="S335" s="1042"/>
      <c r="T335" s="1042"/>
      <c r="U335" s="1042"/>
      <c r="V335" s="1042"/>
      <c r="W335" s="1042"/>
      <c r="X335" s="1042"/>
      <c r="Y335" s="1042"/>
      <c r="Z335" s="1042"/>
      <c r="AA335" s="1042"/>
      <c r="AB335" s="1042"/>
      <c r="AC335" s="1042"/>
      <c r="AD335" s="1042"/>
      <c r="AE335" s="1042"/>
      <c r="AF335" s="376"/>
      <c r="AG335" s="376"/>
      <c r="AH335" s="786"/>
      <c r="AI335" s="786"/>
      <c r="AJ335" s="773"/>
      <c r="AK335" s="774"/>
      <c r="AL335" s="773"/>
      <c r="AN335" s="1034"/>
      <c r="AO335" s="1034"/>
      <c r="AP335" s="1084"/>
      <c r="AQ335" s="1084"/>
    </row>
    <row r="336" spans="1:43" s="1009" customFormat="1" ht="12" customHeight="1">
      <c r="A336" s="924"/>
      <c r="B336" s="1038"/>
      <c r="C336" s="1039"/>
      <c r="D336" s="1026"/>
      <c r="E336" s="1034"/>
      <c r="F336" s="1034"/>
      <c r="G336" s="1034"/>
      <c r="H336" s="194"/>
      <c r="I336" s="376"/>
      <c r="J336" s="376"/>
      <c r="K336" s="376"/>
      <c r="L336" s="376"/>
      <c r="M336" s="376"/>
      <c r="N336" s="376"/>
      <c r="O336" s="376"/>
      <c r="P336" s="376"/>
      <c r="Q336" s="376"/>
      <c r="R336" s="376"/>
      <c r="S336" s="1042"/>
      <c r="T336" s="1042"/>
      <c r="U336" s="1042"/>
      <c r="V336" s="1042"/>
      <c r="W336" s="1042"/>
      <c r="X336" s="1042"/>
      <c r="Y336" s="1042"/>
      <c r="Z336" s="1042"/>
      <c r="AA336" s="1042"/>
      <c r="AB336" s="1042"/>
      <c r="AC336" s="1042"/>
      <c r="AD336" s="1042"/>
      <c r="AE336" s="1042"/>
      <c r="AF336" s="376"/>
      <c r="AG336" s="376"/>
      <c r="AH336" s="786"/>
      <c r="AI336" s="786"/>
      <c r="AJ336" s="773"/>
      <c r="AK336" s="774"/>
      <c r="AL336" s="773"/>
      <c r="AN336" s="1034"/>
      <c r="AO336" s="1034"/>
      <c r="AP336" s="1084"/>
      <c r="AQ336" s="1084"/>
    </row>
    <row r="337" spans="1:43" s="1009" customFormat="1" ht="12" customHeight="1">
      <c r="A337" s="924"/>
      <c r="B337" s="1038"/>
      <c r="C337" s="1039"/>
      <c r="D337" s="1026"/>
      <c r="E337" s="1034"/>
      <c r="F337" s="1034"/>
      <c r="G337" s="1034"/>
      <c r="H337" s="194"/>
      <c r="I337" s="376"/>
      <c r="J337" s="376"/>
      <c r="K337" s="376"/>
      <c r="L337" s="376"/>
      <c r="M337" s="376"/>
      <c r="N337" s="376"/>
      <c r="O337" s="376"/>
      <c r="P337" s="376"/>
      <c r="Q337" s="376"/>
      <c r="R337" s="376"/>
      <c r="S337" s="1042"/>
      <c r="T337" s="1042"/>
      <c r="U337" s="1042"/>
      <c r="V337" s="1042"/>
      <c r="W337" s="1042"/>
      <c r="X337" s="1042"/>
      <c r="Y337" s="1042"/>
      <c r="Z337" s="1042"/>
      <c r="AA337" s="1042"/>
      <c r="AB337" s="1042"/>
      <c r="AC337" s="1042"/>
      <c r="AD337" s="1042"/>
      <c r="AE337" s="1042"/>
      <c r="AF337" s="376"/>
      <c r="AG337" s="376"/>
      <c r="AH337" s="786"/>
      <c r="AI337" s="786"/>
      <c r="AJ337" s="773"/>
      <c r="AK337" s="774"/>
      <c r="AL337" s="773"/>
      <c r="AN337" s="1034"/>
      <c r="AO337" s="1034"/>
      <c r="AP337" s="1084"/>
      <c r="AQ337" s="1084"/>
    </row>
    <row r="338" spans="1:43" s="1009" customFormat="1" ht="12" customHeight="1">
      <c r="A338" s="924"/>
      <c r="B338" s="1038"/>
      <c r="C338" s="1039"/>
      <c r="D338" s="1026"/>
      <c r="E338" s="1034"/>
      <c r="F338" s="1034"/>
      <c r="G338" s="1034"/>
      <c r="H338" s="194"/>
      <c r="I338" s="376"/>
      <c r="J338" s="376"/>
      <c r="K338" s="376"/>
      <c r="L338" s="376"/>
      <c r="M338" s="376"/>
      <c r="N338" s="376"/>
      <c r="O338" s="376"/>
      <c r="P338" s="376"/>
      <c r="Q338" s="376"/>
      <c r="R338" s="376"/>
      <c r="S338" s="1042"/>
      <c r="T338" s="1042"/>
      <c r="U338" s="1042"/>
      <c r="V338" s="1042"/>
      <c r="W338" s="1042"/>
      <c r="X338" s="1042"/>
      <c r="Y338" s="1042"/>
      <c r="Z338" s="1042"/>
      <c r="AA338" s="1042"/>
      <c r="AB338" s="1042"/>
      <c r="AC338" s="1042"/>
      <c r="AD338" s="1042"/>
      <c r="AE338" s="1042"/>
      <c r="AF338" s="376"/>
      <c r="AG338" s="376"/>
      <c r="AH338" s="786"/>
      <c r="AI338" s="786"/>
      <c r="AJ338" s="773"/>
      <c r="AK338" s="774"/>
      <c r="AL338" s="773"/>
      <c r="AN338" s="1034"/>
      <c r="AO338" s="1034"/>
      <c r="AP338" s="1084"/>
      <c r="AQ338" s="1084"/>
    </row>
    <row r="339" spans="1:43" s="1009" customFormat="1" ht="12" customHeight="1">
      <c r="A339" s="924"/>
      <c r="B339" s="1038"/>
      <c r="C339" s="1039"/>
      <c r="D339" s="1026"/>
      <c r="E339" s="1034"/>
      <c r="F339" s="1034"/>
      <c r="G339" s="1034"/>
      <c r="H339" s="194"/>
      <c r="I339" s="376"/>
      <c r="J339" s="376"/>
      <c r="K339" s="376"/>
      <c r="L339" s="376"/>
      <c r="M339" s="376"/>
      <c r="N339" s="376"/>
      <c r="O339" s="376"/>
      <c r="P339" s="376"/>
      <c r="Q339" s="376"/>
      <c r="R339" s="376"/>
      <c r="S339" s="1042"/>
      <c r="T339" s="1042"/>
      <c r="U339" s="1042"/>
      <c r="V339" s="1042"/>
      <c r="W339" s="1042"/>
      <c r="X339" s="1042"/>
      <c r="Y339" s="1042"/>
      <c r="Z339" s="1042"/>
      <c r="AA339" s="1042"/>
      <c r="AB339" s="1042"/>
      <c r="AC339" s="1042"/>
      <c r="AD339" s="1042"/>
      <c r="AE339" s="1042"/>
      <c r="AF339" s="376"/>
      <c r="AG339" s="376"/>
      <c r="AH339" s="786"/>
      <c r="AI339" s="786"/>
      <c r="AJ339" s="773"/>
      <c r="AK339" s="774"/>
      <c r="AL339" s="773"/>
      <c r="AN339" s="1034"/>
      <c r="AO339" s="1034"/>
      <c r="AP339" s="1084"/>
      <c r="AQ339" s="1084"/>
    </row>
    <row r="340" spans="1:43" s="1009" customFormat="1" ht="12" customHeight="1">
      <c r="A340" s="924"/>
      <c r="B340" s="1038"/>
      <c r="C340" s="1039"/>
      <c r="D340" s="1026"/>
      <c r="E340" s="1034"/>
      <c r="F340" s="1034"/>
      <c r="G340" s="1034"/>
      <c r="H340" s="194"/>
      <c r="I340" s="376"/>
      <c r="J340" s="376"/>
      <c r="K340" s="376"/>
      <c r="L340" s="376"/>
      <c r="M340" s="376"/>
      <c r="N340" s="376"/>
      <c r="O340" s="376"/>
      <c r="P340" s="376"/>
      <c r="Q340" s="376"/>
      <c r="R340" s="376"/>
      <c r="S340" s="1042"/>
      <c r="T340" s="1042"/>
      <c r="U340" s="1042"/>
      <c r="V340" s="1042"/>
      <c r="W340" s="1042"/>
      <c r="X340" s="1042"/>
      <c r="Y340" s="1042"/>
      <c r="Z340" s="1042"/>
      <c r="AA340" s="1042"/>
      <c r="AB340" s="1042"/>
      <c r="AC340" s="1042"/>
      <c r="AD340" s="1042"/>
      <c r="AE340" s="1042"/>
      <c r="AF340" s="376"/>
      <c r="AG340" s="376"/>
      <c r="AH340" s="786"/>
      <c r="AI340" s="786"/>
      <c r="AJ340" s="773"/>
      <c r="AK340" s="774"/>
      <c r="AL340" s="773"/>
      <c r="AN340" s="1034"/>
      <c r="AO340" s="1034"/>
      <c r="AP340" s="1084"/>
      <c r="AQ340" s="1084"/>
    </row>
    <row r="341" spans="1:43" s="1009" customFormat="1" ht="12" customHeight="1">
      <c r="A341" s="924"/>
      <c r="B341" s="1038"/>
      <c r="C341" s="1039"/>
      <c r="D341" s="1026"/>
      <c r="E341" s="1034"/>
      <c r="F341" s="1034"/>
      <c r="G341" s="1034"/>
      <c r="H341" s="194"/>
      <c r="I341" s="376"/>
      <c r="J341" s="376"/>
      <c r="K341" s="376"/>
      <c r="L341" s="376"/>
      <c r="M341" s="376"/>
      <c r="N341" s="376"/>
      <c r="O341" s="376"/>
      <c r="P341" s="376"/>
      <c r="Q341" s="376"/>
      <c r="R341" s="376"/>
      <c r="S341" s="1042"/>
      <c r="T341" s="1042"/>
      <c r="U341" s="1042"/>
      <c r="V341" s="1042"/>
      <c r="W341" s="1042"/>
      <c r="X341" s="1042"/>
      <c r="Y341" s="1042"/>
      <c r="Z341" s="1042"/>
      <c r="AA341" s="1042"/>
      <c r="AB341" s="1042"/>
      <c r="AC341" s="1042"/>
      <c r="AD341" s="1042"/>
      <c r="AE341" s="1042"/>
      <c r="AF341" s="376"/>
      <c r="AG341" s="376"/>
      <c r="AH341" s="786"/>
      <c r="AI341" s="786"/>
      <c r="AJ341" s="773"/>
      <c r="AK341" s="774"/>
      <c r="AL341" s="773"/>
      <c r="AN341" s="1034"/>
      <c r="AO341" s="1034"/>
      <c r="AP341" s="1084"/>
      <c r="AQ341" s="1084"/>
    </row>
    <row r="342" spans="1:43" s="1009" customFormat="1" ht="12" customHeight="1">
      <c r="A342" s="924"/>
      <c r="B342" s="1038"/>
      <c r="C342" s="1039"/>
      <c r="D342" s="1026"/>
      <c r="E342" s="1034"/>
      <c r="F342" s="1034"/>
      <c r="G342" s="1034"/>
      <c r="H342" s="194"/>
      <c r="I342" s="376"/>
      <c r="J342" s="376"/>
      <c r="K342" s="376"/>
      <c r="L342" s="376"/>
      <c r="M342" s="376"/>
      <c r="N342" s="376"/>
      <c r="O342" s="376"/>
      <c r="P342" s="376"/>
      <c r="Q342" s="376"/>
      <c r="R342" s="376"/>
      <c r="S342" s="1042"/>
      <c r="T342" s="1042"/>
      <c r="U342" s="1042"/>
      <c r="V342" s="1042"/>
      <c r="W342" s="1042"/>
      <c r="X342" s="1042"/>
      <c r="Y342" s="1042"/>
      <c r="Z342" s="1042"/>
      <c r="AA342" s="1042"/>
      <c r="AB342" s="1042"/>
      <c r="AC342" s="1042"/>
      <c r="AD342" s="1042"/>
      <c r="AE342" s="1042"/>
      <c r="AF342" s="376"/>
      <c r="AG342" s="376"/>
      <c r="AH342" s="786"/>
      <c r="AI342" s="786"/>
      <c r="AJ342" s="773"/>
      <c r="AK342" s="774"/>
      <c r="AL342" s="773"/>
      <c r="AN342" s="1034"/>
      <c r="AO342" s="1034"/>
      <c r="AP342" s="1084"/>
      <c r="AQ342" s="1084"/>
    </row>
    <row r="343" spans="1:43" s="1009" customFormat="1" ht="12" customHeight="1">
      <c r="A343" s="924"/>
      <c r="B343" s="1038"/>
      <c r="C343" s="1039"/>
      <c r="D343" s="1026"/>
      <c r="E343" s="1034"/>
      <c r="F343" s="1034"/>
      <c r="G343" s="1034"/>
      <c r="H343" s="194"/>
      <c r="I343" s="376"/>
      <c r="J343" s="376"/>
      <c r="K343" s="376"/>
      <c r="L343" s="376"/>
      <c r="M343" s="376"/>
      <c r="N343" s="376"/>
      <c r="O343" s="376"/>
      <c r="P343" s="376"/>
      <c r="Q343" s="376"/>
      <c r="R343" s="376"/>
      <c r="S343" s="1042"/>
      <c r="T343" s="1042"/>
      <c r="U343" s="1042"/>
      <c r="V343" s="1042"/>
      <c r="W343" s="1042"/>
      <c r="X343" s="1042"/>
      <c r="Y343" s="1042"/>
      <c r="Z343" s="1042"/>
      <c r="AA343" s="1042"/>
      <c r="AB343" s="1042"/>
      <c r="AC343" s="1042"/>
      <c r="AD343" s="1042"/>
      <c r="AE343" s="1042"/>
      <c r="AF343" s="376"/>
      <c r="AG343" s="376"/>
      <c r="AH343" s="786"/>
      <c r="AI343" s="786"/>
      <c r="AJ343" s="773"/>
      <c r="AK343" s="774"/>
      <c r="AL343" s="773"/>
      <c r="AN343" s="1034"/>
      <c r="AO343" s="1034"/>
      <c r="AP343" s="1084"/>
      <c r="AQ343" s="1084"/>
    </row>
    <row r="344" spans="1:43" s="1009" customFormat="1" ht="12" customHeight="1">
      <c r="A344" s="924"/>
      <c r="B344" s="1038"/>
      <c r="C344" s="1039"/>
      <c r="D344" s="1026"/>
      <c r="E344" s="1034"/>
      <c r="F344" s="1034"/>
      <c r="G344" s="1034"/>
      <c r="H344" s="194"/>
      <c r="I344" s="376"/>
      <c r="J344" s="376"/>
      <c r="K344" s="376"/>
      <c r="L344" s="376"/>
      <c r="M344" s="376"/>
      <c r="N344" s="376"/>
      <c r="O344" s="376"/>
      <c r="P344" s="376"/>
      <c r="Q344" s="376"/>
      <c r="R344" s="376"/>
      <c r="S344" s="1042"/>
      <c r="T344" s="1042"/>
      <c r="U344" s="1042"/>
      <c r="V344" s="1042"/>
      <c r="W344" s="1042"/>
      <c r="X344" s="1042"/>
      <c r="Y344" s="1042"/>
      <c r="Z344" s="1042"/>
      <c r="AA344" s="1042"/>
      <c r="AB344" s="1042"/>
      <c r="AC344" s="1042"/>
      <c r="AD344" s="1042"/>
      <c r="AE344" s="1042"/>
      <c r="AF344" s="376"/>
      <c r="AG344" s="376"/>
      <c r="AH344" s="786"/>
      <c r="AI344" s="786"/>
      <c r="AJ344" s="773"/>
      <c r="AK344" s="774"/>
      <c r="AL344" s="773"/>
      <c r="AN344" s="1034"/>
      <c r="AO344" s="1034"/>
      <c r="AP344" s="1084"/>
      <c r="AQ344" s="1084"/>
    </row>
    <row r="345" spans="1:43" s="1009" customFormat="1" ht="12" customHeight="1">
      <c r="A345" s="924"/>
      <c r="B345" s="1038"/>
      <c r="C345" s="1039"/>
      <c r="D345" s="1026"/>
      <c r="E345" s="1034"/>
      <c r="F345" s="1034"/>
      <c r="G345" s="1034"/>
      <c r="H345" s="194"/>
      <c r="I345" s="376"/>
      <c r="J345" s="376"/>
      <c r="K345" s="376"/>
      <c r="L345" s="376"/>
      <c r="M345" s="376"/>
      <c r="N345" s="376"/>
      <c r="O345" s="376"/>
      <c r="P345" s="376"/>
      <c r="Q345" s="376"/>
      <c r="R345" s="376"/>
      <c r="S345" s="1042"/>
      <c r="T345" s="1042"/>
      <c r="U345" s="1042"/>
      <c r="V345" s="1042"/>
      <c r="W345" s="1042"/>
      <c r="X345" s="1042"/>
      <c r="Y345" s="1042"/>
      <c r="Z345" s="1042"/>
      <c r="AA345" s="1042"/>
      <c r="AB345" s="1042"/>
      <c r="AC345" s="1042"/>
      <c r="AD345" s="1042"/>
      <c r="AE345" s="1042"/>
      <c r="AF345" s="376"/>
      <c r="AG345" s="376"/>
      <c r="AH345" s="786"/>
      <c r="AI345" s="786"/>
      <c r="AJ345" s="773"/>
      <c r="AK345" s="774"/>
      <c r="AL345" s="773"/>
      <c r="AN345" s="1034"/>
      <c r="AO345" s="1034"/>
      <c r="AP345" s="1084"/>
      <c r="AQ345" s="1084"/>
    </row>
    <row r="346" spans="1:43" s="1009" customFormat="1" ht="12" customHeight="1">
      <c r="A346" s="924"/>
      <c r="B346" s="1038"/>
      <c r="C346" s="1039"/>
      <c r="D346" s="1026"/>
      <c r="E346" s="1034"/>
      <c r="F346" s="1034"/>
      <c r="G346" s="1034"/>
      <c r="H346" s="194"/>
      <c r="I346" s="376"/>
      <c r="J346" s="376"/>
      <c r="K346" s="376"/>
      <c r="L346" s="376"/>
      <c r="M346" s="376"/>
      <c r="N346" s="376"/>
      <c r="O346" s="376"/>
      <c r="P346" s="376"/>
      <c r="Q346" s="376"/>
      <c r="R346" s="376"/>
      <c r="S346" s="1042"/>
      <c r="T346" s="1042"/>
      <c r="U346" s="1042"/>
      <c r="V346" s="1042"/>
      <c r="W346" s="1042"/>
      <c r="X346" s="1042"/>
      <c r="Y346" s="1042"/>
      <c r="Z346" s="1042"/>
      <c r="AA346" s="1042"/>
      <c r="AB346" s="1042"/>
      <c r="AC346" s="1042"/>
      <c r="AD346" s="1042"/>
      <c r="AE346" s="1042"/>
      <c r="AF346" s="376"/>
      <c r="AG346" s="376"/>
      <c r="AH346" s="786"/>
      <c r="AI346" s="786"/>
      <c r="AJ346" s="773"/>
      <c r="AK346" s="774"/>
      <c r="AL346" s="773"/>
      <c r="AN346" s="1034"/>
      <c r="AO346" s="1034"/>
      <c r="AP346" s="1084"/>
      <c r="AQ346" s="1084"/>
    </row>
    <row r="347" spans="1:43" s="1009" customFormat="1" ht="12" customHeight="1">
      <c r="A347" s="924"/>
      <c r="B347" s="1038"/>
      <c r="C347" s="1039"/>
      <c r="D347" s="1026"/>
      <c r="E347" s="1034"/>
      <c r="F347" s="1034"/>
      <c r="G347" s="1034"/>
      <c r="H347" s="194"/>
      <c r="I347" s="376"/>
      <c r="J347" s="376"/>
      <c r="K347" s="376"/>
      <c r="L347" s="376"/>
      <c r="M347" s="376"/>
      <c r="N347" s="376"/>
      <c r="O347" s="376"/>
      <c r="P347" s="376"/>
      <c r="Q347" s="376"/>
      <c r="R347" s="376"/>
      <c r="S347" s="1042"/>
      <c r="T347" s="1042"/>
      <c r="U347" s="1042"/>
      <c r="V347" s="1042"/>
      <c r="W347" s="1042"/>
      <c r="X347" s="1042"/>
      <c r="Y347" s="1042"/>
      <c r="Z347" s="1042"/>
      <c r="AA347" s="1042"/>
      <c r="AB347" s="1042"/>
      <c r="AC347" s="1042"/>
      <c r="AD347" s="1042"/>
      <c r="AE347" s="1042"/>
      <c r="AF347" s="376"/>
      <c r="AG347" s="376"/>
      <c r="AH347" s="786"/>
      <c r="AI347" s="786"/>
      <c r="AJ347" s="773"/>
      <c r="AK347" s="774"/>
      <c r="AL347" s="773"/>
      <c r="AN347" s="1034"/>
      <c r="AO347" s="1034"/>
      <c r="AP347" s="1084"/>
      <c r="AQ347" s="1084"/>
    </row>
    <row r="348" spans="1:43" s="1009" customFormat="1" ht="12" customHeight="1">
      <c r="A348" s="924"/>
      <c r="B348" s="1038"/>
      <c r="C348" s="1039"/>
      <c r="D348" s="1026"/>
      <c r="E348" s="1034"/>
      <c r="F348" s="1034"/>
      <c r="G348" s="1034"/>
      <c r="H348" s="194"/>
      <c r="I348" s="376"/>
      <c r="J348" s="376"/>
      <c r="K348" s="376"/>
      <c r="L348" s="376"/>
      <c r="M348" s="376"/>
      <c r="N348" s="376"/>
      <c r="O348" s="376"/>
      <c r="P348" s="376"/>
      <c r="Q348" s="376"/>
      <c r="R348" s="376"/>
      <c r="S348" s="1042"/>
      <c r="T348" s="1042"/>
      <c r="U348" s="1042"/>
      <c r="V348" s="1042"/>
      <c r="W348" s="1042"/>
      <c r="X348" s="1042"/>
      <c r="Y348" s="1042"/>
      <c r="Z348" s="1042"/>
      <c r="AA348" s="1042"/>
      <c r="AB348" s="1042"/>
      <c r="AC348" s="1042"/>
      <c r="AD348" s="1042"/>
      <c r="AE348" s="1042"/>
      <c r="AF348" s="376"/>
      <c r="AG348" s="376"/>
      <c r="AH348" s="786"/>
      <c r="AI348" s="786"/>
      <c r="AJ348" s="773"/>
      <c r="AK348" s="774"/>
      <c r="AL348" s="773"/>
      <c r="AN348" s="1034"/>
      <c r="AO348" s="1034"/>
      <c r="AP348" s="1084"/>
      <c r="AQ348" s="1084"/>
    </row>
    <row r="349" spans="1:43" s="1009" customFormat="1" ht="12" customHeight="1">
      <c r="A349" s="924"/>
      <c r="B349" s="1038"/>
      <c r="C349" s="1039"/>
      <c r="D349" s="1026"/>
      <c r="E349" s="1034"/>
      <c r="F349" s="1034"/>
      <c r="G349" s="1034"/>
      <c r="H349" s="194"/>
      <c r="I349" s="376"/>
      <c r="J349" s="376"/>
      <c r="K349" s="376"/>
      <c r="L349" s="376"/>
      <c r="M349" s="376"/>
      <c r="N349" s="376"/>
      <c r="O349" s="376"/>
      <c r="P349" s="376"/>
      <c r="Q349" s="376"/>
      <c r="R349" s="376"/>
      <c r="S349" s="1042"/>
      <c r="T349" s="1042"/>
      <c r="U349" s="1042"/>
      <c r="V349" s="1042"/>
      <c r="W349" s="1042"/>
      <c r="X349" s="1042"/>
      <c r="Y349" s="1042"/>
      <c r="Z349" s="1042"/>
      <c r="AA349" s="1042"/>
      <c r="AB349" s="1042"/>
      <c r="AC349" s="1042"/>
      <c r="AD349" s="1042"/>
      <c r="AE349" s="1042"/>
      <c r="AF349" s="376"/>
      <c r="AG349" s="376"/>
      <c r="AH349" s="786"/>
      <c r="AI349" s="786"/>
      <c r="AJ349" s="773"/>
      <c r="AK349" s="774"/>
      <c r="AL349" s="773"/>
      <c r="AN349" s="1034"/>
      <c r="AO349" s="1034"/>
      <c r="AP349" s="1084"/>
      <c r="AQ349" s="1084"/>
    </row>
    <row r="350" spans="1:43" s="1009" customFormat="1" ht="12" customHeight="1">
      <c r="A350" s="924"/>
      <c r="B350" s="1038"/>
      <c r="C350" s="1039"/>
      <c r="D350" s="1026"/>
      <c r="E350" s="1034"/>
      <c r="F350" s="1034"/>
      <c r="G350" s="1034"/>
      <c r="H350" s="194"/>
      <c r="I350" s="376"/>
      <c r="J350" s="376"/>
      <c r="K350" s="376"/>
      <c r="L350" s="376"/>
      <c r="M350" s="376"/>
      <c r="N350" s="376"/>
      <c r="O350" s="376"/>
      <c r="P350" s="376"/>
      <c r="Q350" s="376"/>
      <c r="R350" s="376"/>
      <c r="S350" s="1042"/>
      <c r="T350" s="1042"/>
      <c r="U350" s="1042"/>
      <c r="V350" s="1042"/>
      <c r="W350" s="1042"/>
      <c r="X350" s="1042"/>
      <c r="Y350" s="1042"/>
      <c r="Z350" s="1042"/>
      <c r="AA350" s="1042"/>
      <c r="AB350" s="1042"/>
      <c r="AC350" s="1042"/>
      <c r="AD350" s="1042"/>
      <c r="AE350" s="1042"/>
      <c r="AF350" s="376"/>
      <c r="AG350" s="376"/>
      <c r="AH350" s="786"/>
      <c r="AI350" s="786"/>
      <c r="AJ350" s="773"/>
      <c r="AK350" s="774"/>
      <c r="AL350" s="773"/>
      <c r="AN350" s="1034"/>
      <c r="AO350" s="1034"/>
      <c r="AP350" s="1084"/>
      <c r="AQ350" s="1084"/>
    </row>
    <row r="351" spans="1:43" s="1009" customFormat="1" ht="12" customHeight="1">
      <c r="A351" s="924"/>
      <c r="B351" s="1038"/>
      <c r="C351" s="1039"/>
      <c r="D351" s="1026"/>
      <c r="E351" s="1034"/>
      <c r="F351" s="1034"/>
      <c r="G351" s="1034"/>
      <c r="H351" s="194"/>
      <c r="I351" s="376"/>
      <c r="J351" s="376"/>
      <c r="K351" s="376"/>
      <c r="L351" s="376"/>
      <c r="M351" s="376"/>
      <c r="N351" s="376"/>
      <c r="O351" s="376"/>
      <c r="P351" s="376"/>
      <c r="Q351" s="376"/>
      <c r="R351" s="376"/>
      <c r="S351" s="1042"/>
      <c r="T351" s="1042"/>
      <c r="U351" s="1042"/>
      <c r="V351" s="1042"/>
      <c r="W351" s="1042"/>
      <c r="X351" s="1042"/>
      <c r="Y351" s="1042"/>
      <c r="Z351" s="1042"/>
      <c r="AA351" s="1042"/>
      <c r="AB351" s="1042"/>
      <c r="AC351" s="1042"/>
      <c r="AD351" s="1042"/>
      <c r="AE351" s="1042"/>
      <c r="AF351" s="376"/>
      <c r="AG351" s="376"/>
      <c r="AH351" s="786"/>
      <c r="AI351" s="786"/>
      <c r="AJ351" s="773"/>
      <c r="AK351" s="774"/>
      <c r="AL351" s="773"/>
      <c r="AN351" s="1034"/>
      <c r="AO351" s="1034"/>
      <c r="AP351" s="1084"/>
      <c r="AQ351" s="1084"/>
    </row>
    <row r="352" spans="1:43" s="1009" customFormat="1" ht="12" customHeight="1">
      <c r="A352" s="924"/>
      <c r="B352" s="1038"/>
      <c r="C352" s="1039"/>
      <c r="D352" s="1026"/>
      <c r="E352" s="1034"/>
      <c r="F352" s="1034"/>
      <c r="G352" s="1034"/>
      <c r="H352" s="194"/>
      <c r="I352" s="376"/>
      <c r="J352" s="376"/>
      <c r="K352" s="376"/>
      <c r="L352" s="376"/>
      <c r="M352" s="376"/>
      <c r="N352" s="376"/>
      <c r="O352" s="376"/>
      <c r="P352" s="376"/>
      <c r="Q352" s="376"/>
      <c r="R352" s="376"/>
      <c r="S352" s="1042"/>
      <c r="T352" s="1042"/>
      <c r="U352" s="1042"/>
      <c r="V352" s="1042"/>
      <c r="W352" s="1042"/>
      <c r="X352" s="1042"/>
      <c r="Y352" s="1042"/>
      <c r="Z352" s="1042"/>
      <c r="AA352" s="1042"/>
      <c r="AB352" s="1042"/>
      <c r="AC352" s="1042"/>
      <c r="AD352" s="1042"/>
      <c r="AE352" s="1042"/>
      <c r="AF352" s="376"/>
      <c r="AG352" s="376"/>
      <c r="AH352" s="786"/>
      <c r="AI352" s="786"/>
      <c r="AJ352" s="773"/>
      <c r="AK352" s="774"/>
      <c r="AL352" s="773"/>
      <c r="AN352" s="1034"/>
      <c r="AO352" s="1034"/>
      <c r="AP352" s="1084"/>
      <c r="AQ352" s="1084"/>
    </row>
    <row r="353" spans="1:43" s="1009" customFormat="1" ht="12" customHeight="1">
      <c r="A353" s="924"/>
      <c r="B353" s="1038"/>
      <c r="C353" s="1039"/>
      <c r="D353" s="1026"/>
      <c r="E353" s="1034"/>
      <c r="F353" s="1034"/>
      <c r="G353" s="1034"/>
      <c r="H353" s="194"/>
      <c r="I353" s="376"/>
      <c r="J353" s="376"/>
      <c r="K353" s="376"/>
      <c r="L353" s="376"/>
      <c r="M353" s="376"/>
      <c r="N353" s="376"/>
      <c r="O353" s="376"/>
      <c r="P353" s="376"/>
      <c r="Q353" s="376"/>
      <c r="R353" s="376"/>
      <c r="S353" s="1042"/>
      <c r="T353" s="1042"/>
      <c r="U353" s="1042"/>
      <c r="V353" s="1042"/>
      <c r="W353" s="1042"/>
      <c r="X353" s="1042"/>
      <c r="Y353" s="1042"/>
      <c r="Z353" s="1042"/>
      <c r="AA353" s="1042"/>
      <c r="AB353" s="1042"/>
      <c r="AC353" s="1042"/>
      <c r="AD353" s="1042"/>
      <c r="AE353" s="1042"/>
      <c r="AF353" s="376"/>
      <c r="AG353" s="376"/>
      <c r="AH353" s="786"/>
      <c r="AI353" s="786"/>
      <c r="AJ353" s="773"/>
      <c r="AK353" s="774"/>
      <c r="AL353" s="773"/>
      <c r="AN353" s="1034"/>
      <c r="AO353" s="1034"/>
      <c r="AP353" s="1084"/>
      <c r="AQ353" s="1084"/>
    </row>
    <row r="354" spans="1:43" s="1009" customFormat="1" ht="12" customHeight="1">
      <c r="A354" s="924"/>
      <c r="B354" s="1038"/>
      <c r="C354" s="1039"/>
      <c r="D354" s="1026"/>
      <c r="E354" s="1034"/>
      <c r="F354" s="1034"/>
      <c r="G354" s="1034"/>
      <c r="H354" s="194"/>
      <c r="I354" s="376"/>
      <c r="J354" s="376"/>
      <c r="K354" s="376"/>
      <c r="L354" s="376"/>
      <c r="M354" s="376"/>
      <c r="N354" s="376"/>
      <c r="O354" s="376"/>
      <c r="P354" s="376"/>
      <c r="Q354" s="376"/>
      <c r="R354" s="376"/>
      <c r="S354" s="1042"/>
      <c r="T354" s="1042"/>
      <c r="U354" s="1042"/>
      <c r="V354" s="1042"/>
      <c r="W354" s="1042"/>
      <c r="X354" s="1042"/>
      <c r="Y354" s="1042"/>
      <c r="Z354" s="1042"/>
      <c r="AA354" s="1042"/>
      <c r="AB354" s="1042"/>
      <c r="AC354" s="1042"/>
      <c r="AD354" s="1042"/>
      <c r="AE354" s="1042"/>
      <c r="AF354" s="376"/>
      <c r="AG354" s="376"/>
      <c r="AH354" s="786"/>
      <c r="AI354" s="786"/>
      <c r="AJ354" s="773"/>
      <c r="AK354" s="774"/>
      <c r="AL354" s="773"/>
      <c r="AN354" s="1034"/>
      <c r="AO354" s="1034"/>
      <c r="AP354" s="1084"/>
      <c r="AQ354" s="1084"/>
    </row>
    <row r="355" spans="1:43" s="1009" customFormat="1" ht="12" customHeight="1">
      <c r="A355" s="924"/>
      <c r="B355" s="1038"/>
      <c r="C355" s="1039"/>
      <c r="D355" s="1026"/>
      <c r="E355" s="1034"/>
      <c r="F355" s="1034"/>
      <c r="G355" s="1034"/>
      <c r="H355" s="194"/>
      <c r="I355" s="376"/>
      <c r="J355" s="376"/>
      <c r="K355" s="376"/>
      <c r="L355" s="376"/>
      <c r="M355" s="376"/>
      <c r="N355" s="376"/>
      <c r="O355" s="376"/>
      <c r="P355" s="376"/>
      <c r="Q355" s="376"/>
      <c r="R355" s="376"/>
      <c r="S355" s="1042"/>
      <c r="T355" s="1042"/>
      <c r="U355" s="1042"/>
      <c r="V355" s="1042"/>
      <c r="W355" s="1042"/>
      <c r="X355" s="1042"/>
      <c r="Y355" s="1042"/>
      <c r="Z355" s="1042"/>
      <c r="AA355" s="1042"/>
      <c r="AB355" s="1042"/>
      <c r="AC355" s="1042"/>
      <c r="AD355" s="1042"/>
      <c r="AE355" s="1042"/>
      <c r="AF355" s="376"/>
      <c r="AG355" s="376"/>
      <c r="AH355" s="786"/>
      <c r="AI355" s="786"/>
      <c r="AJ355" s="773"/>
      <c r="AK355" s="774"/>
      <c r="AL355" s="773"/>
      <c r="AN355" s="1034"/>
      <c r="AO355" s="1034"/>
      <c r="AP355" s="1084"/>
      <c r="AQ355" s="1084"/>
    </row>
    <row r="356" spans="1:43" s="1009" customFormat="1" ht="12" customHeight="1">
      <c r="A356" s="924"/>
      <c r="B356" s="1038"/>
      <c r="C356" s="1039"/>
      <c r="D356" s="1026"/>
      <c r="E356" s="1034"/>
      <c r="F356" s="1034"/>
      <c r="G356" s="1034"/>
      <c r="H356" s="194"/>
      <c r="I356" s="376"/>
      <c r="J356" s="376"/>
      <c r="K356" s="376"/>
      <c r="L356" s="376"/>
      <c r="M356" s="376"/>
      <c r="N356" s="376"/>
      <c r="O356" s="376"/>
      <c r="P356" s="376"/>
      <c r="Q356" s="376"/>
      <c r="R356" s="376"/>
      <c r="S356" s="1042"/>
      <c r="T356" s="1042"/>
      <c r="U356" s="1042"/>
      <c r="V356" s="1042"/>
      <c r="W356" s="1042"/>
      <c r="X356" s="1042"/>
      <c r="Y356" s="1042"/>
      <c r="Z356" s="1042"/>
      <c r="AA356" s="1042"/>
      <c r="AB356" s="1042"/>
      <c r="AC356" s="1042"/>
      <c r="AD356" s="1042"/>
      <c r="AE356" s="1042"/>
      <c r="AF356" s="376"/>
      <c r="AG356" s="376"/>
      <c r="AH356" s="786"/>
      <c r="AI356" s="786"/>
      <c r="AJ356" s="773"/>
      <c r="AK356" s="774"/>
      <c r="AL356" s="773"/>
      <c r="AN356" s="1034"/>
      <c r="AO356" s="1034"/>
      <c r="AP356" s="1084"/>
      <c r="AQ356" s="1084"/>
    </row>
    <row r="357" spans="1:43" s="1009" customFormat="1" ht="12" customHeight="1">
      <c r="A357" s="924"/>
      <c r="B357" s="1038"/>
      <c r="C357" s="1039"/>
      <c r="D357" s="1026"/>
      <c r="E357" s="1034"/>
      <c r="F357" s="1034"/>
      <c r="G357" s="1034"/>
      <c r="H357" s="194"/>
      <c r="I357" s="376"/>
      <c r="J357" s="376"/>
      <c r="K357" s="376"/>
      <c r="L357" s="376"/>
      <c r="M357" s="376"/>
      <c r="N357" s="376"/>
      <c r="O357" s="376"/>
      <c r="P357" s="376"/>
      <c r="Q357" s="376"/>
      <c r="R357" s="376"/>
      <c r="S357" s="1042"/>
      <c r="T357" s="1042"/>
      <c r="U357" s="1042"/>
      <c r="V357" s="1042"/>
      <c r="W357" s="1042"/>
      <c r="X357" s="1042"/>
      <c r="Y357" s="1042"/>
      <c r="Z357" s="1042"/>
      <c r="AA357" s="1042"/>
      <c r="AB357" s="1042"/>
      <c r="AC357" s="1042"/>
      <c r="AD357" s="1042"/>
      <c r="AE357" s="1042"/>
      <c r="AF357" s="376"/>
      <c r="AG357" s="376"/>
      <c r="AH357" s="786"/>
      <c r="AI357" s="786"/>
      <c r="AJ357" s="773"/>
      <c r="AK357" s="774"/>
      <c r="AL357" s="773"/>
      <c r="AN357" s="1034"/>
      <c r="AO357" s="1034"/>
      <c r="AP357" s="1084"/>
      <c r="AQ357" s="1084"/>
    </row>
    <row r="358" spans="1:43" s="1009" customFormat="1" ht="12" customHeight="1">
      <c r="A358" s="924"/>
      <c r="B358" s="1038"/>
      <c r="C358" s="1039"/>
      <c r="D358" s="1026"/>
      <c r="E358" s="1034"/>
      <c r="F358" s="1034"/>
      <c r="G358" s="1034"/>
      <c r="H358" s="194"/>
      <c r="I358" s="376"/>
      <c r="J358" s="376"/>
      <c r="K358" s="376"/>
      <c r="L358" s="376"/>
      <c r="M358" s="376"/>
      <c r="N358" s="376"/>
      <c r="O358" s="376"/>
      <c r="P358" s="376"/>
      <c r="Q358" s="376"/>
      <c r="R358" s="376"/>
      <c r="S358" s="1042"/>
      <c r="T358" s="1042"/>
      <c r="U358" s="1042"/>
      <c r="V358" s="1042"/>
      <c r="W358" s="1042"/>
      <c r="X358" s="1042"/>
      <c r="Y358" s="1042"/>
      <c r="Z358" s="1042"/>
      <c r="AA358" s="1042"/>
      <c r="AB358" s="1042"/>
      <c r="AC358" s="1042"/>
      <c r="AD358" s="1042"/>
      <c r="AE358" s="1042"/>
      <c r="AF358" s="376"/>
      <c r="AG358" s="376"/>
      <c r="AH358" s="786"/>
      <c r="AI358" s="786"/>
      <c r="AJ358" s="773"/>
      <c r="AK358" s="774"/>
      <c r="AL358" s="773"/>
      <c r="AN358" s="1034"/>
      <c r="AO358" s="1034"/>
      <c r="AP358" s="1084"/>
      <c r="AQ358" s="1084"/>
    </row>
    <row r="359" spans="1:43" s="1009" customFormat="1" ht="12" customHeight="1">
      <c r="A359" s="924"/>
      <c r="B359" s="1038"/>
      <c r="C359" s="1039"/>
      <c r="D359" s="1026"/>
      <c r="E359" s="1034"/>
      <c r="F359" s="1034"/>
      <c r="G359" s="1034"/>
      <c r="H359" s="194"/>
      <c r="I359" s="376"/>
      <c r="J359" s="376"/>
      <c r="K359" s="376"/>
      <c r="L359" s="376"/>
      <c r="M359" s="376"/>
      <c r="N359" s="376"/>
      <c r="O359" s="376"/>
      <c r="P359" s="376"/>
      <c r="Q359" s="376"/>
      <c r="R359" s="376"/>
      <c r="S359" s="1042"/>
      <c r="T359" s="1042"/>
      <c r="U359" s="1042"/>
      <c r="V359" s="1042"/>
      <c r="W359" s="1042"/>
      <c r="X359" s="1042"/>
      <c r="Y359" s="1042"/>
      <c r="Z359" s="1042"/>
      <c r="AA359" s="1042"/>
      <c r="AB359" s="1042"/>
      <c r="AC359" s="1042"/>
      <c r="AD359" s="1042"/>
      <c r="AE359" s="1042"/>
      <c r="AF359" s="376"/>
      <c r="AG359" s="376"/>
      <c r="AH359" s="786"/>
      <c r="AI359" s="786"/>
      <c r="AJ359" s="773"/>
      <c r="AK359" s="774"/>
      <c r="AL359" s="773"/>
      <c r="AN359" s="1034"/>
      <c r="AO359" s="1034"/>
      <c r="AP359" s="1084"/>
      <c r="AQ359" s="1084"/>
    </row>
    <row r="360" spans="1:43" s="1009" customFormat="1" ht="12" customHeight="1">
      <c r="A360" s="924"/>
      <c r="B360" s="1038"/>
      <c r="C360" s="1039"/>
      <c r="D360" s="1026"/>
      <c r="E360" s="1034"/>
      <c r="F360" s="1034"/>
      <c r="G360" s="1034"/>
      <c r="H360" s="194"/>
      <c r="I360" s="376"/>
      <c r="J360" s="376"/>
      <c r="K360" s="376"/>
      <c r="L360" s="376"/>
      <c r="M360" s="376"/>
      <c r="N360" s="376"/>
      <c r="O360" s="376"/>
      <c r="P360" s="376"/>
      <c r="Q360" s="376"/>
      <c r="R360" s="376"/>
      <c r="S360" s="1042"/>
      <c r="T360" s="1042"/>
      <c r="U360" s="1042"/>
      <c r="V360" s="1042"/>
      <c r="W360" s="1042"/>
      <c r="X360" s="1042"/>
      <c r="Y360" s="1042"/>
      <c r="Z360" s="1042"/>
      <c r="AA360" s="1042"/>
      <c r="AB360" s="1042"/>
      <c r="AC360" s="1042"/>
      <c r="AD360" s="1042"/>
      <c r="AE360" s="1042"/>
      <c r="AF360" s="376"/>
      <c r="AG360" s="376"/>
      <c r="AH360" s="786"/>
      <c r="AI360" s="786"/>
      <c r="AJ360" s="773"/>
      <c r="AK360" s="774"/>
      <c r="AL360" s="773"/>
      <c r="AN360" s="1034"/>
      <c r="AO360" s="1034"/>
      <c r="AP360" s="1084"/>
      <c r="AQ360" s="1084"/>
    </row>
    <row r="361" spans="1:43" s="1009" customFormat="1" ht="12" customHeight="1">
      <c r="A361" s="924"/>
      <c r="B361" s="1038"/>
      <c r="C361" s="1039"/>
      <c r="D361" s="1026"/>
      <c r="E361" s="1034"/>
      <c r="F361" s="1034"/>
      <c r="G361" s="1034"/>
      <c r="H361" s="194"/>
      <c r="I361" s="376"/>
      <c r="J361" s="376"/>
      <c r="K361" s="376"/>
      <c r="L361" s="376"/>
      <c r="M361" s="376"/>
      <c r="N361" s="376"/>
      <c r="O361" s="376"/>
      <c r="P361" s="376"/>
      <c r="Q361" s="376"/>
      <c r="R361" s="376"/>
      <c r="S361" s="1042"/>
      <c r="T361" s="1042"/>
      <c r="U361" s="1042"/>
      <c r="V361" s="1042"/>
      <c r="W361" s="1042"/>
      <c r="X361" s="1042"/>
      <c r="Y361" s="1042"/>
      <c r="Z361" s="1042"/>
      <c r="AA361" s="1042"/>
      <c r="AB361" s="1042"/>
      <c r="AC361" s="1042"/>
      <c r="AD361" s="1042"/>
      <c r="AE361" s="1042"/>
      <c r="AF361" s="376"/>
      <c r="AG361" s="376"/>
      <c r="AH361" s="786"/>
      <c r="AI361" s="786"/>
      <c r="AJ361" s="773"/>
      <c r="AK361" s="774"/>
      <c r="AL361" s="773"/>
      <c r="AN361" s="1034"/>
      <c r="AO361" s="1034"/>
      <c r="AP361" s="1084"/>
      <c r="AQ361" s="1084"/>
    </row>
    <row r="362" spans="1:43" s="1009" customFormat="1" ht="12" customHeight="1">
      <c r="A362" s="924"/>
      <c r="B362" s="1038"/>
      <c r="C362" s="1039"/>
      <c r="D362" s="1026"/>
      <c r="E362" s="1034"/>
      <c r="F362" s="1034"/>
      <c r="G362" s="1034"/>
      <c r="H362" s="194"/>
      <c r="I362" s="376"/>
      <c r="J362" s="376"/>
      <c r="K362" s="376"/>
      <c r="L362" s="376"/>
      <c r="M362" s="376"/>
      <c r="N362" s="376"/>
      <c r="O362" s="376"/>
      <c r="P362" s="376"/>
      <c r="Q362" s="376"/>
      <c r="R362" s="376"/>
      <c r="S362" s="1042"/>
      <c r="T362" s="1042"/>
      <c r="U362" s="1042"/>
      <c r="V362" s="1042"/>
      <c r="W362" s="1042"/>
      <c r="X362" s="1042"/>
      <c r="Y362" s="1042"/>
      <c r="Z362" s="1042"/>
      <c r="AA362" s="1042"/>
      <c r="AB362" s="1042"/>
      <c r="AC362" s="1042"/>
      <c r="AD362" s="1042"/>
      <c r="AE362" s="1042"/>
      <c r="AF362" s="376"/>
      <c r="AG362" s="376"/>
      <c r="AH362" s="786"/>
      <c r="AI362" s="786"/>
      <c r="AJ362" s="773"/>
      <c r="AK362" s="774"/>
      <c r="AL362" s="773"/>
      <c r="AN362" s="1034"/>
      <c r="AO362" s="1034"/>
      <c r="AP362" s="1084"/>
      <c r="AQ362" s="1084"/>
    </row>
    <row r="363" spans="1:43" s="1009" customFormat="1" ht="12" customHeight="1">
      <c r="A363" s="924"/>
      <c r="B363" s="1038"/>
      <c r="C363" s="1039"/>
      <c r="D363" s="1026"/>
      <c r="E363" s="1034"/>
      <c r="F363" s="1034"/>
      <c r="G363" s="1034"/>
      <c r="H363" s="194"/>
      <c r="I363" s="376"/>
      <c r="J363" s="376"/>
      <c r="K363" s="376"/>
      <c r="L363" s="376"/>
      <c r="M363" s="376"/>
      <c r="N363" s="376"/>
      <c r="O363" s="376"/>
      <c r="P363" s="376"/>
      <c r="Q363" s="376"/>
      <c r="R363" s="376"/>
      <c r="S363" s="1042"/>
      <c r="T363" s="1042"/>
      <c r="U363" s="1042"/>
      <c r="V363" s="1042"/>
      <c r="W363" s="1042"/>
      <c r="X363" s="1042"/>
      <c r="Y363" s="1042"/>
      <c r="Z363" s="1042"/>
      <c r="AA363" s="1042"/>
      <c r="AB363" s="1042"/>
      <c r="AC363" s="1042"/>
      <c r="AD363" s="1042"/>
      <c r="AE363" s="1042"/>
      <c r="AF363" s="376"/>
      <c r="AG363" s="376"/>
      <c r="AH363" s="786"/>
      <c r="AI363" s="786"/>
      <c r="AJ363" s="773"/>
      <c r="AK363" s="774"/>
      <c r="AL363" s="773"/>
      <c r="AN363" s="1034"/>
      <c r="AO363" s="1034"/>
      <c r="AP363" s="1084"/>
      <c r="AQ363" s="1084"/>
    </row>
    <row r="364" spans="1:43" s="1009" customFormat="1" ht="12" customHeight="1">
      <c r="A364" s="924"/>
      <c r="B364" s="1038"/>
      <c r="C364" s="1039"/>
      <c r="D364" s="1026"/>
      <c r="E364" s="1034"/>
      <c r="F364" s="1034"/>
      <c r="G364" s="1034"/>
      <c r="H364" s="194"/>
      <c r="I364" s="376"/>
      <c r="J364" s="376"/>
      <c r="K364" s="376"/>
      <c r="L364" s="376"/>
      <c r="M364" s="376"/>
      <c r="N364" s="376"/>
      <c r="O364" s="376"/>
      <c r="P364" s="376"/>
      <c r="Q364" s="376"/>
      <c r="R364" s="376"/>
      <c r="S364" s="1042"/>
      <c r="T364" s="1042"/>
      <c r="U364" s="1042"/>
      <c r="V364" s="1042"/>
      <c r="W364" s="1042"/>
      <c r="X364" s="1042"/>
      <c r="Y364" s="1042"/>
      <c r="Z364" s="1042"/>
      <c r="AA364" s="1042"/>
      <c r="AB364" s="1042"/>
      <c r="AC364" s="1042"/>
      <c r="AD364" s="1042"/>
      <c r="AE364" s="1042"/>
      <c r="AF364" s="376"/>
      <c r="AG364" s="376"/>
      <c r="AH364" s="786"/>
      <c r="AI364" s="786"/>
      <c r="AJ364" s="773"/>
      <c r="AK364" s="774"/>
      <c r="AL364" s="773"/>
      <c r="AN364" s="1034"/>
      <c r="AO364" s="1034"/>
      <c r="AP364" s="1084"/>
      <c r="AQ364" s="1084"/>
    </row>
    <row r="365" spans="1:43" s="1009" customFormat="1" ht="12" customHeight="1">
      <c r="A365" s="924"/>
      <c r="B365" s="1038"/>
      <c r="C365" s="1039"/>
      <c r="D365" s="1026"/>
      <c r="E365" s="1034"/>
      <c r="F365" s="1034"/>
      <c r="G365" s="1034"/>
      <c r="H365" s="194"/>
      <c r="I365" s="376"/>
      <c r="J365" s="376"/>
      <c r="K365" s="376"/>
      <c r="L365" s="376"/>
      <c r="M365" s="376"/>
      <c r="N365" s="376"/>
      <c r="O365" s="376"/>
      <c r="P365" s="376"/>
      <c r="Q365" s="376"/>
      <c r="R365" s="376"/>
      <c r="S365" s="1042"/>
      <c r="T365" s="1042"/>
      <c r="U365" s="1042"/>
      <c r="V365" s="1042"/>
      <c r="W365" s="1042"/>
      <c r="X365" s="1042"/>
      <c r="Y365" s="1042"/>
      <c r="Z365" s="1042"/>
      <c r="AA365" s="1042"/>
      <c r="AB365" s="1042"/>
      <c r="AC365" s="1042"/>
      <c r="AD365" s="1042"/>
      <c r="AE365" s="1042"/>
      <c r="AF365" s="376"/>
      <c r="AG365" s="376"/>
      <c r="AH365" s="786"/>
      <c r="AI365" s="786"/>
      <c r="AJ365" s="773"/>
      <c r="AK365" s="774"/>
      <c r="AL365" s="773"/>
      <c r="AN365" s="1034"/>
      <c r="AO365" s="1034"/>
      <c r="AP365" s="1084"/>
      <c r="AQ365" s="1084"/>
    </row>
    <row r="366" spans="1:43" s="1009" customFormat="1" ht="12" customHeight="1">
      <c r="A366" s="924"/>
      <c r="B366" s="1038"/>
      <c r="C366" s="1039"/>
      <c r="D366" s="1026"/>
      <c r="E366" s="1034"/>
      <c r="F366" s="1034"/>
      <c r="G366" s="1034"/>
      <c r="H366" s="194"/>
      <c r="I366" s="376"/>
      <c r="J366" s="376"/>
      <c r="K366" s="376"/>
      <c r="L366" s="376"/>
      <c r="M366" s="376"/>
      <c r="N366" s="376"/>
      <c r="O366" s="376"/>
      <c r="P366" s="376"/>
      <c r="Q366" s="376"/>
      <c r="R366" s="376"/>
      <c r="S366" s="1042"/>
      <c r="T366" s="1042"/>
      <c r="U366" s="1042"/>
      <c r="V366" s="1042"/>
      <c r="W366" s="1042"/>
      <c r="X366" s="1042"/>
      <c r="Y366" s="1042"/>
      <c r="Z366" s="1042"/>
      <c r="AA366" s="1042"/>
      <c r="AB366" s="1042"/>
      <c r="AC366" s="1042"/>
      <c r="AD366" s="1042"/>
      <c r="AE366" s="1042"/>
      <c r="AF366" s="376"/>
      <c r="AG366" s="376"/>
      <c r="AH366" s="786"/>
      <c r="AI366" s="786"/>
      <c r="AJ366" s="773"/>
      <c r="AK366" s="774"/>
      <c r="AL366" s="773"/>
      <c r="AN366" s="1034"/>
      <c r="AO366" s="1034"/>
      <c r="AP366" s="1084"/>
      <c r="AQ366" s="1084"/>
    </row>
    <row r="367" spans="1:43" s="1009" customFormat="1" ht="12" customHeight="1">
      <c r="A367" s="924"/>
      <c r="B367" s="1038"/>
      <c r="C367" s="1039"/>
      <c r="D367" s="1026"/>
      <c r="E367" s="1034"/>
      <c r="F367" s="1034"/>
      <c r="G367" s="1034"/>
      <c r="H367" s="194"/>
      <c r="I367" s="376"/>
      <c r="J367" s="376"/>
      <c r="K367" s="376"/>
      <c r="L367" s="376"/>
      <c r="M367" s="376"/>
      <c r="N367" s="376"/>
      <c r="O367" s="376"/>
      <c r="P367" s="376"/>
      <c r="Q367" s="376"/>
      <c r="R367" s="376"/>
      <c r="S367" s="1042"/>
      <c r="T367" s="1042"/>
      <c r="U367" s="1042"/>
      <c r="V367" s="1042"/>
      <c r="W367" s="1042"/>
      <c r="X367" s="1042"/>
      <c r="Y367" s="1042"/>
      <c r="Z367" s="1042"/>
      <c r="AA367" s="1042"/>
      <c r="AB367" s="1042"/>
      <c r="AC367" s="1042"/>
      <c r="AD367" s="1042"/>
      <c r="AE367" s="1042"/>
      <c r="AF367" s="376"/>
      <c r="AG367" s="376"/>
      <c r="AH367" s="786"/>
      <c r="AI367" s="786"/>
      <c r="AJ367" s="773"/>
      <c r="AK367" s="774"/>
      <c r="AL367" s="773"/>
      <c r="AN367" s="1034"/>
      <c r="AO367" s="1034"/>
      <c r="AP367" s="1084"/>
      <c r="AQ367" s="1084"/>
    </row>
    <row r="368" spans="1:43" s="1009" customFormat="1" ht="12" customHeight="1">
      <c r="A368" s="924"/>
      <c r="B368" s="1038"/>
      <c r="C368" s="1039"/>
      <c r="D368" s="1026"/>
      <c r="E368" s="1034"/>
      <c r="F368" s="1034"/>
      <c r="G368" s="1034"/>
      <c r="H368" s="194"/>
      <c r="I368" s="376"/>
      <c r="J368" s="376"/>
      <c r="K368" s="376"/>
      <c r="L368" s="376"/>
      <c r="M368" s="376"/>
      <c r="N368" s="376"/>
      <c r="O368" s="376"/>
      <c r="P368" s="376"/>
      <c r="Q368" s="376"/>
      <c r="R368" s="376"/>
      <c r="S368" s="1042"/>
      <c r="T368" s="1042"/>
      <c r="U368" s="1042"/>
      <c r="V368" s="1042"/>
      <c r="W368" s="1042"/>
      <c r="X368" s="1042"/>
      <c r="Y368" s="1042"/>
      <c r="Z368" s="1042"/>
      <c r="AA368" s="1042"/>
      <c r="AB368" s="1042"/>
      <c r="AC368" s="1042"/>
      <c r="AD368" s="1042"/>
      <c r="AE368" s="1042"/>
      <c r="AF368" s="376"/>
      <c r="AG368" s="376"/>
      <c r="AH368" s="786"/>
      <c r="AI368" s="786"/>
      <c r="AJ368" s="773"/>
      <c r="AK368" s="774"/>
      <c r="AL368" s="773"/>
      <c r="AN368" s="1034"/>
      <c r="AO368" s="1034"/>
      <c r="AP368" s="1084"/>
      <c r="AQ368" s="1084"/>
    </row>
    <row r="369" spans="1:43" s="1009" customFormat="1" ht="12" customHeight="1">
      <c r="A369" s="924"/>
      <c r="B369" s="1038"/>
      <c r="C369" s="1039"/>
      <c r="D369" s="1026"/>
      <c r="E369" s="1034"/>
      <c r="F369" s="1034"/>
      <c r="G369" s="1034"/>
      <c r="H369" s="194"/>
      <c r="I369" s="376"/>
      <c r="J369" s="376"/>
      <c r="K369" s="376"/>
      <c r="L369" s="376"/>
      <c r="M369" s="376"/>
      <c r="N369" s="376"/>
      <c r="O369" s="376"/>
      <c r="P369" s="376"/>
      <c r="Q369" s="376"/>
      <c r="R369" s="376"/>
      <c r="S369" s="1042"/>
      <c r="T369" s="1042"/>
      <c r="U369" s="1042"/>
      <c r="V369" s="1042"/>
      <c r="W369" s="1042"/>
      <c r="X369" s="1042"/>
      <c r="Y369" s="1042"/>
      <c r="Z369" s="1042"/>
      <c r="AA369" s="1042"/>
      <c r="AB369" s="1042"/>
      <c r="AC369" s="1042"/>
      <c r="AD369" s="1042"/>
      <c r="AE369" s="1042"/>
      <c r="AF369" s="376"/>
      <c r="AG369" s="376"/>
      <c r="AH369" s="786"/>
      <c r="AI369" s="786"/>
      <c r="AJ369" s="773"/>
      <c r="AK369" s="774"/>
      <c r="AL369" s="773"/>
      <c r="AN369" s="1034"/>
      <c r="AO369" s="1034"/>
      <c r="AP369" s="1084"/>
      <c r="AQ369" s="1084"/>
    </row>
    <row r="370" spans="1:43" s="1009" customFormat="1" ht="12" customHeight="1">
      <c r="A370" s="924"/>
      <c r="B370" s="1038"/>
      <c r="C370" s="1039"/>
      <c r="D370" s="1026"/>
      <c r="E370" s="1034"/>
      <c r="F370" s="1034"/>
      <c r="G370" s="1034"/>
      <c r="H370" s="194"/>
      <c r="I370" s="376"/>
      <c r="J370" s="376"/>
      <c r="K370" s="376"/>
      <c r="L370" s="376"/>
      <c r="M370" s="376"/>
      <c r="N370" s="376"/>
      <c r="O370" s="376"/>
      <c r="P370" s="376"/>
      <c r="Q370" s="376"/>
      <c r="R370" s="376"/>
      <c r="S370" s="1042"/>
      <c r="T370" s="1042"/>
      <c r="U370" s="1042"/>
      <c r="V370" s="1042"/>
      <c r="W370" s="1042"/>
      <c r="X370" s="1042"/>
      <c r="Y370" s="1042"/>
      <c r="Z370" s="1042"/>
      <c r="AA370" s="1042"/>
      <c r="AB370" s="1042"/>
      <c r="AC370" s="1042"/>
      <c r="AD370" s="1042"/>
      <c r="AE370" s="1042"/>
      <c r="AF370" s="376"/>
      <c r="AG370" s="376"/>
      <c r="AH370" s="786"/>
      <c r="AI370" s="786"/>
      <c r="AJ370" s="773"/>
      <c r="AK370" s="774"/>
      <c r="AL370" s="773"/>
      <c r="AN370" s="1034"/>
      <c r="AO370" s="1034"/>
      <c r="AP370" s="1084"/>
      <c r="AQ370" s="1084"/>
    </row>
    <row r="371" spans="1:43" s="1009" customFormat="1" ht="12" customHeight="1">
      <c r="A371" s="924"/>
      <c r="B371" s="1038"/>
      <c r="C371" s="1039"/>
      <c r="D371" s="1026"/>
      <c r="E371" s="1034"/>
      <c r="F371" s="1034"/>
      <c r="G371" s="1034"/>
      <c r="H371" s="194"/>
      <c r="I371" s="376"/>
      <c r="J371" s="376"/>
      <c r="K371" s="376"/>
      <c r="L371" s="376"/>
      <c r="M371" s="376"/>
      <c r="N371" s="376"/>
      <c r="O371" s="376"/>
      <c r="P371" s="376"/>
      <c r="Q371" s="376"/>
      <c r="R371" s="376"/>
      <c r="S371" s="1042"/>
      <c r="T371" s="1042"/>
      <c r="U371" s="1042"/>
      <c r="V371" s="1042"/>
      <c r="W371" s="1042"/>
      <c r="X371" s="1042"/>
      <c r="Y371" s="1042"/>
      <c r="Z371" s="1042"/>
      <c r="AA371" s="1042"/>
      <c r="AB371" s="1042"/>
      <c r="AC371" s="1042"/>
      <c r="AD371" s="1042"/>
      <c r="AE371" s="1042"/>
      <c r="AF371" s="376"/>
      <c r="AG371" s="376"/>
      <c r="AH371" s="786"/>
      <c r="AI371" s="786"/>
      <c r="AJ371" s="773"/>
      <c r="AK371" s="774"/>
      <c r="AL371" s="773"/>
      <c r="AN371" s="1034"/>
      <c r="AO371" s="1034"/>
      <c r="AP371" s="1084"/>
      <c r="AQ371" s="1084"/>
    </row>
    <row r="372" spans="1:43" s="1009" customFormat="1" ht="12" customHeight="1">
      <c r="A372" s="924"/>
      <c r="B372" s="1038"/>
      <c r="C372" s="1039"/>
      <c r="D372" s="1026"/>
      <c r="E372" s="1034"/>
      <c r="F372" s="1034"/>
      <c r="G372" s="1034"/>
      <c r="H372" s="194"/>
      <c r="I372" s="376"/>
      <c r="J372" s="376"/>
      <c r="K372" s="376"/>
      <c r="L372" s="376"/>
      <c r="M372" s="376"/>
      <c r="N372" s="376"/>
      <c r="O372" s="376"/>
      <c r="P372" s="376"/>
      <c r="Q372" s="376"/>
      <c r="R372" s="376"/>
      <c r="S372" s="1042"/>
      <c r="T372" s="1042"/>
      <c r="U372" s="1042"/>
      <c r="V372" s="1042"/>
      <c r="W372" s="1042"/>
      <c r="X372" s="1042"/>
      <c r="Y372" s="1042"/>
      <c r="Z372" s="1042"/>
      <c r="AA372" s="1042"/>
      <c r="AB372" s="1042"/>
      <c r="AC372" s="1042"/>
      <c r="AD372" s="1042"/>
      <c r="AE372" s="1042"/>
      <c r="AF372" s="376"/>
      <c r="AG372" s="376"/>
      <c r="AH372" s="786"/>
      <c r="AI372" s="786"/>
      <c r="AJ372" s="773"/>
      <c r="AK372" s="774"/>
      <c r="AL372" s="773"/>
      <c r="AN372" s="1034"/>
      <c r="AO372" s="1034"/>
      <c r="AP372" s="1084"/>
      <c r="AQ372" s="1084"/>
    </row>
    <row r="373" spans="1:43" s="1009" customFormat="1" ht="12" customHeight="1">
      <c r="A373" s="924"/>
      <c r="B373" s="1038"/>
      <c r="C373" s="1039"/>
      <c r="D373" s="1026"/>
      <c r="E373" s="1034"/>
      <c r="F373" s="1034"/>
      <c r="G373" s="1034"/>
      <c r="H373" s="194"/>
      <c r="I373" s="376"/>
      <c r="J373" s="376"/>
      <c r="K373" s="376"/>
      <c r="L373" s="376"/>
      <c r="M373" s="376"/>
      <c r="N373" s="376"/>
      <c r="O373" s="376"/>
      <c r="P373" s="376"/>
      <c r="Q373" s="376"/>
      <c r="R373" s="376"/>
      <c r="S373" s="1042"/>
      <c r="T373" s="1042"/>
      <c r="U373" s="1042"/>
      <c r="V373" s="1042"/>
      <c r="W373" s="1042"/>
      <c r="X373" s="1042"/>
      <c r="Y373" s="1042"/>
      <c r="Z373" s="1042"/>
      <c r="AA373" s="1042"/>
      <c r="AB373" s="1042"/>
      <c r="AC373" s="1042"/>
      <c r="AD373" s="1042"/>
      <c r="AE373" s="1042"/>
      <c r="AF373" s="376"/>
      <c r="AG373" s="376"/>
      <c r="AH373" s="786"/>
      <c r="AI373" s="786"/>
      <c r="AJ373" s="773"/>
      <c r="AK373" s="774"/>
      <c r="AL373" s="773"/>
      <c r="AN373" s="1034"/>
      <c r="AO373" s="1034"/>
      <c r="AP373" s="1084"/>
      <c r="AQ373" s="1084"/>
    </row>
    <row r="374" spans="1:43" s="1009" customFormat="1" ht="12" customHeight="1">
      <c r="A374" s="924"/>
      <c r="B374" s="1038"/>
      <c r="C374" s="1039"/>
      <c r="D374" s="1026"/>
      <c r="E374" s="1034"/>
      <c r="F374" s="1034"/>
      <c r="G374" s="1034"/>
      <c r="H374" s="194"/>
      <c r="I374" s="376"/>
      <c r="J374" s="376"/>
      <c r="K374" s="376"/>
      <c r="L374" s="376"/>
      <c r="M374" s="376"/>
      <c r="N374" s="376"/>
      <c r="O374" s="376"/>
      <c r="P374" s="376"/>
      <c r="Q374" s="376"/>
      <c r="R374" s="376"/>
      <c r="S374" s="1042"/>
      <c r="T374" s="1042"/>
      <c r="U374" s="1042"/>
      <c r="V374" s="1042"/>
      <c r="W374" s="1042"/>
      <c r="X374" s="1042"/>
      <c r="Y374" s="1042"/>
      <c r="Z374" s="1042"/>
      <c r="AA374" s="1042"/>
      <c r="AB374" s="1042"/>
      <c r="AC374" s="1042"/>
      <c r="AD374" s="1042"/>
      <c r="AE374" s="1042"/>
      <c r="AF374" s="376"/>
      <c r="AG374" s="376"/>
      <c r="AH374" s="786"/>
      <c r="AI374" s="786"/>
      <c r="AJ374" s="773"/>
      <c r="AK374" s="774"/>
      <c r="AL374" s="773"/>
      <c r="AN374" s="1034"/>
      <c r="AO374" s="1034"/>
      <c r="AP374" s="1084"/>
      <c r="AQ374" s="1084"/>
    </row>
    <row r="375" spans="1:43" s="1009" customFormat="1" ht="12" customHeight="1">
      <c r="A375" s="924"/>
      <c r="B375" s="1038"/>
      <c r="C375" s="1039"/>
      <c r="D375" s="1026"/>
      <c r="E375" s="1034"/>
      <c r="F375" s="1034"/>
      <c r="G375" s="1034"/>
      <c r="H375" s="194"/>
      <c r="I375" s="376"/>
      <c r="J375" s="376"/>
      <c r="K375" s="376"/>
      <c r="L375" s="376"/>
      <c r="M375" s="376"/>
      <c r="N375" s="376"/>
      <c r="O375" s="376"/>
      <c r="P375" s="376"/>
      <c r="Q375" s="376"/>
      <c r="R375" s="376"/>
      <c r="S375" s="1042"/>
      <c r="T375" s="1042"/>
      <c r="U375" s="1042"/>
      <c r="V375" s="1042"/>
      <c r="W375" s="1042"/>
      <c r="X375" s="1042"/>
      <c r="Y375" s="1042"/>
      <c r="Z375" s="1042"/>
      <c r="AA375" s="1042"/>
      <c r="AB375" s="1042"/>
      <c r="AC375" s="1042"/>
      <c r="AD375" s="1042"/>
      <c r="AE375" s="1042"/>
      <c r="AF375" s="376"/>
      <c r="AG375" s="376"/>
      <c r="AH375" s="786"/>
      <c r="AI375" s="786"/>
      <c r="AJ375" s="773"/>
      <c r="AK375" s="774"/>
      <c r="AL375" s="773"/>
      <c r="AN375" s="1034"/>
      <c r="AO375" s="1034"/>
      <c r="AP375" s="1084"/>
      <c r="AQ375" s="1084"/>
    </row>
    <row r="376" spans="1:43" s="1009" customFormat="1" ht="12" customHeight="1">
      <c r="A376" s="924"/>
      <c r="B376" s="1038"/>
      <c r="C376" s="1039"/>
      <c r="D376" s="1026"/>
      <c r="E376" s="1034"/>
      <c r="F376" s="1034"/>
      <c r="G376" s="1034"/>
      <c r="H376" s="194"/>
      <c r="I376" s="376"/>
      <c r="J376" s="376"/>
      <c r="K376" s="376"/>
      <c r="L376" s="376"/>
      <c r="M376" s="376"/>
      <c r="N376" s="376"/>
      <c r="O376" s="376"/>
      <c r="P376" s="376"/>
      <c r="Q376" s="376"/>
      <c r="R376" s="376"/>
      <c r="S376" s="1042"/>
      <c r="T376" s="1042"/>
      <c r="U376" s="1042"/>
      <c r="V376" s="1042"/>
      <c r="W376" s="1042"/>
      <c r="X376" s="1042"/>
      <c r="Y376" s="1042"/>
      <c r="Z376" s="1042"/>
      <c r="AA376" s="1042"/>
      <c r="AB376" s="1042"/>
      <c r="AC376" s="1042"/>
      <c r="AD376" s="1042"/>
      <c r="AE376" s="1042"/>
      <c r="AF376" s="376"/>
      <c r="AG376" s="376"/>
      <c r="AH376" s="786"/>
      <c r="AI376" s="786"/>
      <c r="AJ376" s="773"/>
      <c r="AK376" s="774"/>
      <c r="AL376" s="773"/>
      <c r="AN376" s="1034"/>
      <c r="AO376" s="1034"/>
      <c r="AP376" s="1084"/>
      <c r="AQ376" s="1084"/>
    </row>
    <row r="377" spans="1:43" s="1009" customFormat="1" ht="12" customHeight="1">
      <c r="A377" s="924"/>
      <c r="B377" s="1038"/>
      <c r="C377" s="1039"/>
      <c r="D377" s="1026"/>
      <c r="E377" s="1034"/>
      <c r="F377" s="1034"/>
      <c r="G377" s="1034"/>
      <c r="H377" s="194"/>
      <c r="I377" s="376"/>
      <c r="J377" s="376"/>
      <c r="K377" s="376"/>
      <c r="L377" s="376"/>
      <c r="M377" s="376"/>
      <c r="N377" s="376"/>
      <c r="O377" s="376"/>
      <c r="P377" s="376"/>
      <c r="Q377" s="376"/>
      <c r="R377" s="376"/>
      <c r="S377" s="1042"/>
      <c r="T377" s="1042"/>
      <c r="U377" s="1042"/>
      <c r="V377" s="1042"/>
      <c r="W377" s="1042"/>
      <c r="X377" s="1042"/>
      <c r="Y377" s="1042"/>
      <c r="Z377" s="1042"/>
      <c r="AA377" s="1042"/>
      <c r="AB377" s="1042"/>
      <c r="AC377" s="1042"/>
      <c r="AD377" s="1042"/>
      <c r="AE377" s="1042"/>
      <c r="AF377" s="376"/>
      <c r="AG377" s="376"/>
      <c r="AH377" s="786"/>
      <c r="AI377" s="786"/>
      <c r="AJ377" s="773"/>
      <c r="AK377" s="774"/>
      <c r="AL377" s="773"/>
      <c r="AN377" s="1034"/>
      <c r="AO377" s="1034"/>
      <c r="AP377" s="1084"/>
      <c r="AQ377" s="1084"/>
    </row>
    <row r="378" spans="1:43" s="1009" customFormat="1" ht="12" customHeight="1">
      <c r="A378" s="924"/>
      <c r="B378" s="1038"/>
      <c r="C378" s="1039"/>
      <c r="D378" s="1026"/>
      <c r="E378" s="1034"/>
      <c r="F378" s="1034"/>
      <c r="G378" s="1034"/>
      <c r="H378" s="194"/>
      <c r="I378" s="376"/>
      <c r="J378" s="376"/>
      <c r="K378" s="376"/>
      <c r="L378" s="376"/>
      <c r="M378" s="376"/>
      <c r="N378" s="376"/>
      <c r="O378" s="376"/>
      <c r="P378" s="376"/>
      <c r="Q378" s="376"/>
      <c r="R378" s="376"/>
      <c r="S378" s="1042"/>
      <c r="T378" s="1042"/>
      <c r="U378" s="1042"/>
      <c r="V378" s="1042"/>
      <c r="W378" s="1042"/>
      <c r="X378" s="1042"/>
      <c r="Y378" s="1042"/>
      <c r="Z378" s="1042"/>
      <c r="AA378" s="1042"/>
      <c r="AB378" s="1042"/>
      <c r="AC378" s="1042"/>
      <c r="AD378" s="1042"/>
      <c r="AE378" s="1042"/>
      <c r="AF378" s="376"/>
      <c r="AG378" s="376"/>
      <c r="AH378" s="786"/>
      <c r="AI378" s="786"/>
      <c r="AJ378" s="773"/>
      <c r="AK378" s="774"/>
      <c r="AL378" s="773"/>
      <c r="AN378" s="1034"/>
      <c r="AO378" s="1034"/>
      <c r="AP378" s="1084"/>
      <c r="AQ378" s="1084"/>
    </row>
    <row r="379" spans="1:43" s="1009" customFormat="1" ht="12" customHeight="1">
      <c r="A379" s="924"/>
      <c r="B379" s="1038"/>
      <c r="C379" s="1039"/>
      <c r="D379" s="1026"/>
      <c r="E379" s="1034"/>
      <c r="F379" s="1034"/>
      <c r="G379" s="1034"/>
      <c r="H379" s="194"/>
      <c r="I379" s="376"/>
      <c r="J379" s="376"/>
      <c r="K379" s="376"/>
      <c r="L379" s="376"/>
      <c r="M379" s="376"/>
      <c r="N379" s="376"/>
      <c r="O379" s="376"/>
      <c r="P379" s="376"/>
      <c r="Q379" s="376"/>
      <c r="R379" s="376"/>
      <c r="S379" s="1042"/>
      <c r="T379" s="1042"/>
      <c r="U379" s="1042"/>
      <c r="V379" s="1042"/>
      <c r="W379" s="1042"/>
      <c r="X379" s="1042"/>
      <c r="Y379" s="1042"/>
      <c r="Z379" s="1042"/>
      <c r="AA379" s="1042"/>
      <c r="AB379" s="1042"/>
      <c r="AC379" s="1042"/>
      <c r="AD379" s="1042"/>
      <c r="AE379" s="1042"/>
      <c r="AF379" s="376"/>
      <c r="AG379" s="376"/>
      <c r="AH379" s="786"/>
      <c r="AI379" s="786"/>
      <c r="AJ379" s="773"/>
      <c r="AK379" s="774"/>
      <c r="AL379" s="773"/>
      <c r="AN379" s="1034"/>
      <c r="AO379" s="1034"/>
      <c r="AP379" s="1084"/>
      <c r="AQ379" s="1084"/>
    </row>
    <row r="380" spans="1:43" s="1009" customFormat="1" ht="12" customHeight="1">
      <c r="A380" s="924"/>
      <c r="B380" s="1038"/>
      <c r="C380" s="1039"/>
      <c r="D380" s="1026"/>
      <c r="E380" s="1034"/>
      <c r="F380" s="1034"/>
      <c r="G380" s="1034"/>
      <c r="H380" s="194"/>
      <c r="I380" s="376"/>
      <c r="J380" s="376"/>
      <c r="K380" s="376"/>
      <c r="L380" s="376"/>
      <c r="M380" s="376"/>
      <c r="N380" s="376"/>
      <c r="O380" s="376"/>
      <c r="P380" s="376"/>
      <c r="Q380" s="376"/>
      <c r="R380" s="376"/>
      <c r="S380" s="1042"/>
      <c r="T380" s="1042"/>
      <c r="U380" s="1042"/>
      <c r="V380" s="1042"/>
      <c r="W380" s="1042"/>
      <c r="X380" s="1042"/>
      <c r="Y380" s="1042"/>
      <c r="Z380" s="1042"/>
      <c r="AA380" s="1042"/>
      <c r="AB380" s="1042"/>
      <c r="AC380" s="1042"/>
      <c r="AD380" s="1042"/>
      <c r="AE380" s="1042"/>
      <c r="AF380" s="376"/>
      <c r="AG380" s="376"/>
      <c r="AH380" s="786"/>
      <c r="AI380" s="786"/>
      <c r="AJ380" s="773"/>
      <c r="AK380" s="774"/>
      <c r="AL380" s="773"/>
      <c r="AN380" s="1034"/>
      <c r="AO380" s="1034"/>
      <c r="AP380" s="1084"/>
      <c r="AQ380" s="1084"/>
    </row>
    <row r="381" spans="1:43" s="1009" customFormat="1" ht="12" customHeight="1">
      <c r="A381" s="924"/>
      <c r="B381" s="1038"/>
      <c r="C381" s="1039"/>
      <c r="D381" s="1026"/>
      <c r="E381" s="1034"/>
      <c r="F381" s="1034"/>
      <c r="G381" s="1034"/>
      <c r="H381" s="194"/>
      <c r="I381" s="376"/>
      <c r="J381" s="376"/>
      <c r="K381" s="376"/>
      <c r="L381" s="376"/>
      <c r="M381" s="376"/>
      <c r="N381" s="376"/>
      <c r="O381" s="376"/>
      <c r="P381" s="376"/>
      <c r="Q381" s="376"/>
      <c r="R381" s="376"/>
      <c r="S381" s="1042"/>
      <c r="T381" s="1042"/>
      <c r="U381" s="1042"/>
      <c r="V381" s="1042"/>
      <c r="W381" s="1042"/>
      <c r="X381" s="1042"/>
      <c r="Y381" s="1042"/>
      <c r="Z381" s="1042"/>
      <c r="AA381" s="1042"/>
      <c r="AB381" s="1042"/>
      <c r="AC381" s="1042"/>
      <c r="AD381" s="1042"/>
      <c r="AE381" s="1042"/>
      <c r="AF381" s="376"/>
      <c r="AG381" s="376"/>
      <c r="AH381" s="786"/>
      <c r="AI381" s="786"/>
      <c r="AJ381" s="773"/>
      <c r="AK381" s="774"/>
      <c r="AL381" s="773"/>
      <c r="AN381" s="1034"/>
      <c r="AO381" s="1034"/>
      <c r="AP381" s="1084"/>
      <c r="AQ381" s="1084"/>
    </row>
    <row r="382" spans="1:43" s="1009" customFormat="1" ht="12" customHeight="1">
      <c r="A382" s="924"/>
      <c r="B382" s="1038"/>
      <c r="C382" s="1039"/>
      <c r="D382" s="1026"/>
      <c r="E382" s="1034"/>
      <c r="F382" s="1034"/>
      <c r="G382" s="1034"/>
      <c r="H382" s="194"/>
      <c r="I382" s="376"/>
      <c r="J382" s="376"/>
      <c r="K382" s="376"/>
      <c r="L382" s="376"/>
      <c r="M382" s="376"/>
      <c r="N382" s="376"/>
      <c r="O382" s="376"/>
      <c r="P382" s="376"/>
      <c r="Q382" s="376"/>
      <c r="R382" s="376"/>
      <c r="S382" s="1042"/>
      <c r="T382" s="1042"/>
      <c r="U382" s="1042"/>
      <c r="V382" s="1042"/>
      <c r="W382" s="1042"/>
      <c r="X382" s="1042"/>
      <c r="Y382" s="1042"/>
      <c r="Z382" s="1042"/>
      <c r="AA382" s="1042"/>
      <c r="AB382" s="1042"/>
      <c r="AC382" s="1042"/>
      <c r="AD382" s="1042"/>
      <c r="AE382" s="1042"/>
      <c r="AF382" s="376"/>
      <c r="AG382" s="376"/>
      <c r="AH382" s="786"/>
      <c r="AI382" s="786"/>
      <c r="AJ382" s="773"/>
      <c r="AK382" s="774"/>
      <c r="AL382" s="773"/>
      <c r="AN382" s="1034"/>
      <c r="AO382" s="1034"/>
      <c r="AP382" s="1084"/>
      <c r="AQ382" s="1084"/>
    </row>
    <row r="383" spans="1:43" s="1009" customFormat="1" ht="12" customHeight="1">
      <c r="A383" s="924"/>
      <c r="B383" s="1038"/>
      <c r="C383" s="1039"/>
      <c r="D383" s="1026"/>
      <c r="E383" s="1034"/>
      <c r="F383" s="1034"/>
      <c r="G383" s="1034"/>
      <c r="H383" s="194"/>
      <c r="I383" s="376"/>
      <c r="J383" s="376"/>
      <c r="K383" s="376"/>
      <c r="L383" s="376"/>
      <c r="M383" s="376"/>
      <c r="N383" s="376"/>
      <c r="O383" s="376"/>
      <c r="P383" s="376"/>
      <c r="Q383" s="376"/>
      <c r="R383" s="376"/>
      <c r="S383" s="1042"/>
      <c r="T383" s="1042"/>
      <c r="U383" s="1042"/>
      <c r="V383" s="1042"/>
      <c r="W383" s="1042"/>
      <c r="X383" s="1042"/>
      <c r="Y383" s="1042"/>
      <c r="Z383" s="1042"/>
      <c r="AA383" s="1042"/>
      <c r="AB383" s="1042"/>
      <c r="AC383" s="1042"/>
      <c r="AD383" s="1042"/>
      <c r="AE383" s="1042"/>
      <c r="AF383" s="376"/>
      <c r="AG383" s="376"/>
      <c r="AH383" s="786"/>
      <c r="AI383" s="786"/>
      <c r="AJ383" s="773"/>
      <c r="AK383" s="774"/>
      <c r="AL383" s="773"/>
      <c r="AN383" s="1034"/>
      <c r="AO383" s="1034"/>
      <c r="AP383" s="1084"/>
      <c r="AQ383" s="1084"/>
    </row>
    <row r="384" spans="1:43" s="1009" customFormat="1" ht="12" customHeight="1">
      <c r="A384" s="924"/>
      <c r="B384" s="1038"/>
      <c r="C384" s="1039"/>
      <c r="D384" s="1026"/>
      <c r="E384" s="1034"/>
      <c r="F384" s="1034"/>
      <c r="G384" s="1034"/>
      <c r="H384" s="194"/>
      <c r="I384" s="376"/>
      <c r="J384" s="376"/>
      <c r="K384" s="376"/>
      <c r="L384" s="376"/>
      <c r="M384" s="376"/>
      <c r="N384" s="376"/>
      <c r="O384" s="376"/>
      <c r="P384" s="376"/>
      <c r="Q384" s="376"/>
      <c r="R384" s="376"/>
      <c r="S384" s="1042"/>
      <c r="T384" s="1042"/>
      <c r="U384" s="1042"/>
      <c r="V384" s="1042"/>
      <c r="W384" s="1042"/>
      <c r="X384" s="1042"/>
      <c r="Y384" s="1042"/>
      <c r="Z384" s="1042"/>
      <c r="AA384" s="1042"/>
      <c r="AB384" s="1042"/>
      <c r="AC384" s="1042"/>
      <c r="AD384" s="1042"/>
      <c r="AE384" s="1042"/>
      <c r="AF384" s="376"/>
      <c r="AG384" s="376"/>
      <c r="AH384" s="786"/>
      <c r="AI384" s="786"/>
      <c r="AJ384" s="773"/>
      <c r="AK384" s="774"/>
      <c r="AL384" s="773"/>
      <c r="AN384" s="1034"/>
      <c r="AO384" s="1034"/>
      <c r="AP384" s="1084"/>
      <c r="AQ384" s="1084"/>
    </row>
    <row r="385" spans="1:257" s="1009" customFormat="1" ht="12" customHeight="1">
      <c r="A385" s="924"/>
      <c r="B385" s="1038"/>
      <c r="C385" s="1039"/>
      <c r="D385" s="1026"/>
      <c r="E385" s="1034"/>
      <c r="F385" s="1034"/>
      <c r="G385" s="1034"/>
      <c r="H385" s="194"/>
      <c r="I385" s="376"/>
      <c r="J385" s="376"/>
      <c r="K385" s="376"/>
      <c r="L385" s="376"/>
      <c r="M385" s="376"/>
      <c r="N385" s="376"/>
      <c r="O385" s="376"/>
      <c r="P385" s="376"/>
      <c r="Q385" s="376"/>
      <c r="R385" s="376"/>
      <c r="S385" s="1042"/>
      <c r="T385" s="1042"/>
      <c r="U385" s="1042"/>
      <c r="V385" s="1042"/>
      <c r="W385" s="1042"/>
      <c r="X385" s="1042"/>
      <c r="Y385" s="1042"/>
      <c r="Z385" s="1042"/>
      <c r="AA385" s="1042"/>
      <c r="AB385" s="1042"/>
      <c r="AC385" s="1042"/>
      <c r="AD385" s="1042"/>
      <c r="AE385" s="1042"/>
      <c r="AF385" s="376"/>
      <c r="AG385" s="376"/>
      <c r="AH385" s="786"/>
      <c r="AI385" s="786"/>
      <c r="AJ385" s="773"/>
      <c r="AK385" s="774"/>
      <c r="AL385" s="773"/>
      <c r="AN385" s="1034"/>
      <c r="AO385" s="1034"/>
      <c r="AP385" s="1084"/>
      <c r="AQ385" s="1084"/>
    </row>
    <row r="386" spans="1:257" s="1009" customFormat="1" ht="12" customHeight="1">
      <c r="A386" s="924"/>
      <c r="B386" s="1038"/>
      <c r="C386" s="1039"/>
      <c r="D386" s="1026"/>
      <c r="E386" s="1034"/>
      <c r="F386" s="1034"/>
      <c r="G386" s="1034"/>
      <c r="H386" s="194"/>
      <c r="I386" s="376"/>
      <c r="J386" s="376"/>
      <c r="K386" s="376"/>
      <c r="L386" s="376"/>
      <c r="M386" s="376"/>
      <c r="N386" s="376"/>
      <c r="O386" s="376"/>
      <c r="P386" s="376"/>
      <c r="Q386" s="376"/>
      <c r="R386" s="376"/>
      <c r="S386" s="1042"/>
      <c r="T386" s="1042"/>
      <c r="U386" s="1042"/>
      <c r="V386" s="1042"/>
      <c r="W386" s="1042"/>
      <c r="X386" s="1042"/>
      <c r="Y386" s="1042"/>
      <c r="Z386" s="1042"/>
      <c r="AA386" s="1042"/>
      <c r="AB386" s="1042"/>
      <c r="AC386" s="1042"/>
      <c r="AD386" s="1042"/>
      <c r="AE386" s="1042"/>
      <c r="AF386" s="376"/>
      <c r="AG386" s="376"/>
      <c r="AH386" s="786"/>
      <c r="AI386" s="786"/>
      <c r="AJ386" s="773"/>
      <c r="AK386" s="774"/>
      <c r="AL386" s="773"/>
      <c r="AN386" s="1034"/>
      <c r="AO386" s="1034"/>
      <c r="AP386" s="1084"/>
      <c r="AQ386" s="1084"/>
    </row>
    <row r="387" spans="1:257" s="1009" customFormat="1" ht="12" customHeight="1">
      <c r="A387" s="1040"/>
      <c r="B387" s="1038"/>
      <c r="C387" s="1039"/>
      <c r="D387" s="1026"/>
      <c r="E387" s="1034"/>
      <c r="F387" s="1034"/>
      <c r="G387" s="1034"/>
      <c r="H387" s="194"/>
      <c r="I387" s="376"/>
      <c r="J387" s="376"/>
      <c r="K387" s="376"/>
      <c r="L387" s="376"/>
      <c r="M387" s="376"/>
      <c r="N387" s="376"/>
      <c r="O387" s="376"/>
      <c r="P387" s="376"/>
      <c r="Q387" s="376"/>
      <c r="R387" s="376"/>
      <c r="S387" s="1042"/>
      <c r="T387" s="1042"/>
      <c r="U387" s="1042"/>
      <c r="V387" s="1042"/>
      <c r="W387" s="1042"/>
      <c r="X387" s="1042"/>
      <c r="Y387" s="1042"/>
      <c r="Z387" s="1042"/>
      <c r="AA387" s="1042"/>
      <c r="AB387" s="1042"/>
      <c r="AC387" s="1042"/>
      <c r="AD387" s="1042"/>
      <c r="AE387" s="1042"/>
      <c r="AF387" s="376"/>
      <c r="AG387" s="376"/>
      <c r="AH387" s="786"/>
      <c r="AI387" s="786"/>
      <c r="AJ387" s="773"/>
      <c r="AK387" s="774"/>
      <c r="AL387" s="773"/>
      <c r="AN387" s="1034"/>
      <c r="AO387" s="1034"/>
      <c r="AP387" s="1084"/>
      <c r="AQ387" s="1084"/>
    </row>
    <row r="388" spans="1:257" s="1277" customFormat="1" ht="12" customHeight="1">
      <c r="A388" s="1038"/>
      <c r="B388" s="1038"/>
      <c r="C388" s="1039"/>
      <c r="D388" s="1026"/>
      <c r="E388" s="1034"/>
      <c r="F388" s="1034"/>
      <c r="G388" s="1034"/>
      <c r="H388" s="1604"/>
      <c r="I388" s="1042"/>
      <c r="J388" s="1042"/>
      <c r="K388" s="1042"/>
      <c r="L388" s="1042"/>
      <c r="M388" s="1042"/>
      <c r="N388" s="1042"/>
      <c r="O388" s="1042"/>
      <c r="P388" s="1042"/>
      <c r="Q388" s="1042"/>
      <c r="R388" s="1042"/>
      <c r="S388" s="1042"/>
      <c r="T388" s="1042"/>
      <c r="U388" s="1042"/>
      <c r="V388" s="1042"/>
      <c r="W388" s="1042"/>
      <c r="X388" s="1042"/>
      <c r="Y388" s="1042"/>
      <c r="Z388" s="1042"/>
      <c r="AA388" s="1042"/>
      <c r="AB388" s="1042"/>
      <c r="AC388" s="1042"/>
      <c r="AD388" s="1042"/>
      <c r="AE388" s="1042"/>
      <c r="AF388" s="1042"/>
      <c r="AG388" s="1042"/>
      <c r="AH388" s="1605"/>
      <c r="AI388" s="1605"/>
      <c r="AJ388" s="1044"/>
      <c r="AK388" s="1047"/>
      <c r="AL388" s="1044"/>
      <c r="AM388" s="1009"/>
      <c r="AN388" s="1034"/>
      <c r="AO388" s="1034"/>
      <c r="AP388" s="1084"/>
      <c r="AQ388" s="1084"/>
      <c r="AR388" s="1009"/>
      <c r="AS388" s="1009"/>
      <c r="AT388" s="1009"/>
      <c r="AU388" s="1009"/>
      <c r="AV388" s="1009"/>
      <c r="AW388" s="1009"/>
      <c r="AX388" s="1009"/>
      <c r="AY388" s="1009"/>
      <c r="AZ388" s="1009"/>
      <c r="BA388" s="1009"/>
      <c r="BB388" s="1009"/>
      <c r="BC388" s="1009"/>
      <c r="BD388" s="1009"/>
      <c r="BE388" s="1009"/>
      <c r="BF388" s="1009"/>
      <c r="BG388" s="1009"/>
      <c r="BH388" s="1009"/>
      <c r="BI388" s="1009"/>
      <c r="BJ388" s="1009"/>
      <c r="BK388" s="1009"/>
      <c r="BL388" s="1009"/>
      <c r="BM388" s="1009"/>
      <c r="BN388" s="1009"/>
      <c r="BO388" s="1009"/>
      <c r="BP388" s="1009"/>
      <c r="BQ388" s="1009"/>
      <c r="BR388" s="1009"/>
      <c r="BS388" s="1009"/>
      <c r="BT388" s="1009"/>
      <c r="BU388" s="1009"/>
      <c r="BV388" s="1009"/>
      <c r="BW388" s="1009"/>
      <c r="BX388" s="1009"/>
      <c r="BY388" s="1009"/>
      <c r="BZ388" s="1009"/>
      <c r="CA388" s="1009"/>
      <c r="CB388" s="1009"/>
      <c r="CC388" s="1009"/>
      <c r="CD388" s="1009"/>
      <c r="CE388" s="1009"/>
      <c r="CF388" s="1009"/>
      <c r="CG388" s="1009"/>
      <c r="CH388" s="1009"/>
      <c r="CI388" s="1009"/>
      <c r="CJ388" s="1009"/>
      <c r="CK388" s="1009"/>
      <c r="CL388" s="1009"/>
      <c r="CM388" s="1009"/>
      <c r="CN388" s="1009"/>
      <c r="CO388" s="1009"/>
      <c r="CP388" s="1009"/>
      <c r="CQ388" s="1009"/>
      <c r="CR388" s="1009"/>
      <c r="CS388" s="1009"/>
      <c r="CT388" s="1009"/>
      <c r="CU388" s="1009"/>
      <c r="CV388" s="1009"/>
      <c r="CW388" s="1009"/>
      <c r="CX388" s="1009"/>
      <c r="CY388" s="1009"/>
      <c r="CZ388" s="1009"/>
      <c r="DA388" s="1009"/>
      <c r="DB388" s="1009"/>
      <c r="DC388" s="1009"/>
      <c r="DD388" s="1009"/>
      <c r="DE388" s="1009"/>
      <c r="DF388" s="1009"/>
      <c r="DG388" s="1009"/>
      <c r="DH388" s="1009"/>
      <c r="DI388" s="1009"/>
      <c r="DJ388" s="1009"/>
      <c r="DK388" s="1009"/>
      <c r="DL388" s="1009"/>
      <c r="DM388" s="1009"/>
      <c r="DN388" s="1009"/>
      <c r="DO388" s="1009"/>
      <c r="DP388" s="1009"/>
      <c r="DQ388" s="1009"/>
      <c r="DR388" s="1009"/>
      <c r="DS388" s="1009"/>
      <c r="DT388" s="1009"/>
      <c r="DU388" s="1009"/>
      <c r="DV388" s="1009"/>
      <c r="DW388" s="1009"/>
      <c r="DX388" s="1009"/>
      <c r="DY388" s="1009"/>
      <c r="DZ388" s="1009"/>
      <c r="EA388" s="1009"/>
      <c r="EB388" s="1009"/>
      <c r="EC388" s="1009"/>
      <c r="ED388" s="1009"/>
      <c r="EE388" s="1009"/>
      <c r="EF388" s="1009"/>
      <c r="EG388" s="1009"/>
      <c r="EH388" s="1009"/>
      <c r="EI388" s="1009"/>
      <c r="EJ388" s="1009"/>
      <c r="EK388" s="1009"/>
      <c r="EL388" s="1009"/>
      <c r="EM388" s="1009"/>
      <c r="EN388" s="1009"/>
      <c r="EO388" s="1009"/>
      <c r="EP388" s="1009"/>
      <c r="EQ388" s="1009"/>
      <c r="ER388" s="1009"/>
      <c r="ES388" s="1009"/>
      <c r="ET388" s="1009"/>
      <c r="EU388" s="1009"/>
      <c r="EV388" s="1009"/>
      <c r="EW388" s="1009"/>
      <c r="EX388" s="1009"/>
      <c r="EY388" s="1009"/>
      <c r="EZ388" s="1009"/>
      <c r="FA388" s="1009"/>
      <c r="FB388" s="1009"/>
      <c r="FC388" s="1009"/>
      <c r="FD388" s="1009"/>
      <c r="FE388" s="1009"/>
      <c r="FF388" s="1009"/>
      <c r="FG388" s="1009"/>
      <c r="FH388" s="1009"/>
      <c r="FI388" s="1009"/>
      <c r="FJ388" s="1009"/>
      <c r="FK388" s="1009"/>
      <c r="FL388" s="1009"/>
      <c r="FM388" s="1009"/>
      <c r="FN388" s="1009"/>
      <c r="FO388" s="1009"/>
      <c r="FP388" s="1009"/>
      <c r="FQ388" s="1009"/>
      <c r="FR388" s="1009"/>
      <c r="FS388" s="1009"/>
      <c r="FT388" s="1009"/>
      <c r="FU388" s="1009"/>
      <c r="FV388" s="1009"/>
      <c r="FW388" s="1009"/>
      <c r="FX388" s="1009"/>
      <c r="FY388" s="1009"/>
      <c r="FZ388" s="1009"/>
      <c r="GA388" s="1009"/>
      <c r="GB388" s="1009"/>
      <c r="GC388" s="1009"/>
      <c r="GD388" s="1009"/>
      <c r="GE388" s="1009"/>
      <c r="GF388" s="1009"/>
      <c r="GG388" s="1009"/>
      <c r="GH388" s="1009"/>
      <c r="GI388" s="1009"/>
      <c r="GJ388" s="1009"/>
      <c r="GK388" s="1009"/>
      <c r="GL388" s="1009"/>
      <c r="GM388" s="1009"/>
      <c r="GN388" s="1009"/>
      <c r="GO388" s="1009"/>
      <c r="GP388" s="1009"/>
      <c r="GQ388" s="1009"/>
      <c r="GR388" s="1009"/>
      <c r="GS388" s="1009"/>
      <c r="GT388" s="1009"/>
      <c r="GU388" s="1009"/>
      <c r="GV388" s="1009"/>
      <c r="GW388" s="1009"/>
      <c r="GX388" s="1009"/>
      <c r="GY388" s="1009"/>
      <c r="GZ388" s="1009"/>
      <c r="HA388" s="1009"/>
      <c r="HB388" s="1009"/>
      <c r="HC388" s="1009"/>
      <c r="HD388" s="1009"/>
      <c r="HE388" s="1009"/>
      <c r="HF388" s="1009"/>
      <c r="HG388" s="1009"/>
      <c r="HH388" s="1009"/>
      <c r="HI388" s="1009"/>
      <c r="HJ388" s="1009"/>
      <c r="HK388" s="1009"/>
      <c r="HL388" s="1009"/>
      <c r="HM388" s="1009"/>
      <c r="HN388" s="1009"/>
      <c r="HO388" s="1009"/>
      <c r="HP388" s="1009"/>
      <c r="HQ388" s="1009"/>
      <c r="HR388" s="1009"/>
      <c r="HS388" s="1009"/>
      <c r="HT388" s="1009"/>
      <c r="HU388" s="1009"/>
      <c r="HV388" s="1009"/>
      <c r="HW388" s="1009"/>
      <c r="HX388" s="1009"/>
      <c r="HY388" s="1009"/>
      <c r="HZ388" s="1009"/>
      <c r="IA388" s="1009"/>
      <c r="IB388" s="1009"/>
      <c r="IC388" s="1009"/>
      <c r="ID388" s="1009"/>
      <c r="IE388" s="1009"/>
      <c r="IF388" s="1009"/>
      <c r="IG388" s="1009"/>
      <c r="IH388" s="1009"/>
      <c r="II388" s="1009"/>
      <c r="IJ388" s="1009"/>
      <c r="IK388" s="1009"/>
      <c r="IL388" s="1009"/>
      <c r="IM388" s="1009"/>
      <c r="IN388" s="1009"/>
      <c r="IO388" s="1009"/>
      <c r="IP388" s="1009"/>
      <c r="IQ388" s="1009"/>
      <c r="IR388" s="1009"/>
      <c r="IS388" s="1009"/>
      <c r="IT388" s="1009"/>
      <c r="IU388" s="1009"/>
      <c r="IV388" s="1009"/>
      <c r="IW388" s="1009"/>
    </row>
    <row r="389" spans="1:257" s="1277" customFormat="1" ht="12" customHeight="1">
      <c r="A389" s="1038"/>
      <c r="B389" s="1038"/>
      <c r="C389" s="1039"/>
      <c r="D389" s="1026"/>
      <c r="E389" s="1034"/>
      <c r="F389" s="1034"/>
      <c r="G389" s="1034"/>
      <c r="H389" s="1604"/>
      <c r="I389" s="1042"/>
      <c r="J389" s="1042"/>
      <c r="K389" s="1042"/>
      <c r="L389" s="1042"/>
      <c r="M389" s="1042"/>
      <c r="N389" s="1042"/>
      <c r="O389" s="1042"/>
      <c r="P389" s="1042"/>
      <c r="Q389" s="1042"/>
      <c r="R389" s="1042"/>
      <c r="S389" s="1042"/>
      <c r="T389" s="1042"/>
      <c r="U389" s="1042"/>
      <c r="V389" s="1042"/>
      <c r="W389" s="1042"/>
      <c r="X389" s="1042"/>
      <c r="Y389" s="1042"/>
      <c r="Z389" s="1042"/>
      <c r="AA389" s="1042"/>
      <c r="AB389" s="1042"/>
      <c r="AC389" s="1042"/>
      <c r="AD389" s="1042"/>
      <c r="AE389" s="1042"/>
      <c r="AF389" s="1042"/>
      <c r="AG389" s="1042"/>
      <c r="AH389" s="1605"/>
      <c r="AI389" s="1605"/>
      <c r="AJ389" s="1044"/>
      <c r="AK389" s="1047"/>
      <c r="AL389" s="1044"/>
      <c r="AM389" s="1009"/>
      <c r="AN389" s="1034"/>
      <c r="AO389" s="1034"/>
      <c r="AP389" s="1084"/>
      <c r="AQ389" s="1084"/>
      <c r="AR389" s="1009"/>
      <c r="AS389" s="1009"/>
      <c r="AT389" s="1009"/>
      <c r="AU389" s="1009"/>
      <c r="AV389" s="1009"/>
      <c r="AW389" s="1009"/>
      <c r="AX389" s="1009"/>
      <c r="AY389" s="1009"/>
      <c r="AZ389" s="1009"/>
      <c r="BA389" s="1009"/>
      <c r="BB389" s="1009"/>
      <c r="BC389" s="1009"/>
      <c r="BD389" s="1009"/>
      <c r="BE389" s="1009"/>
      <c r="BF389" s="1009"/>
      <c r="BG389" s="1009"/>
      <c r="BH389" s="1009"/>
      <c r="BI389" s="1009"/>
      <c r="BJ389" s="1009"/>
      <c r="BK389" s="1009"/>
      <c r="BL389" s="1009"/>
      <c r="BM389" s="1009"/>
      <c r="BN389" s="1009"/>
      <c r="BO389" s="1009"/>
      <c r="BP389" s="1009"/>
      <c r="BQ389" s="1009"/>
      <c r="BR389" s="1009"/>
      <c r="BS389" s="1009"/>
      <c r="BT389" s="1009"/>
      <c r="BU389" s="1009"/>
      <c r="BV389" s="1009"/>
      <c r="BW389" s="1009"/>
      <c r="BX389" s="1009"/>
      <c r="BY389" s="1009"/>
      <c r="BZ389" s="1009"/>
      <c r="CA389" s="1009"/>
      <c r="CB389" s="1009"/>
      <c r="CC389" s="1009"/>
      <c r="CD389" s="1009"/>
      <c r="CE389" s="1009"/>
      <c r="CF389" s="1009"/>
      <c r="CG389" s="1009"/>
      <c r="CH389" s="1009"/>
      <c r="CI389" s="1009"/>
      <c r="CJ389" s="1009"/>
      <c r="CK389" s="1009"/>
      <c r="CL389" s="1009"/>
      <c r="CM389" s="1009"/>
      <c r="CN389" s="1009"/>
      <c r="CO389" s="1009"/>
      <c r="CP389" s="1009"/>
      <c r="CQ389" s="1009"/>
      <c r="CR389" s="1009"/>
      <c r="CS389" s="1009"/>
      <c r="CT389" s="1009"/>
      <c r="CU389" s="1009"/>
      <c r="CV389" s="1009"/>
      <c r="CW389" s="1009"/>
      <c r="CX389" s="1009"/>
      <c r="CY389" s="1009"/>
      <c r="CZ389" s="1009"/>
      <c r="DA389" s="1009"/>
      <c r="DB389" s="1009"/>
      <c r="DC389" s="1009"/>
      <c r="DD389" s="1009"/>
      <c r="DE389" s="1009"/>
      <c r="DF389" s="1009"/>
      <c r="DG389" s="1009"/>
      <c r="DH389" s="1009"/>
      <c r="DI389" s="1009"/>
      <c r="DJ389" s="1009"/>
      <c r="DK389" s="1009"/>
      <c r="DL389" s="1009"/>
      <c r="DM389" s="1009"/>
      <c r="DN389" s="1009"/>
      <c r="DO389" s="1009"/>
      <c r="DP389" s="1009"/>
      <c r="DQ389" s="1009"/>
      <c r="DR389" s="1009"/>
      <c r="DS389" s="1009"/>
      <c r="DT389" s="1009"/>
      <c r="DU389" s="1009"/>
      <c r="DV389" s="1009"/>
      <c r="DW389" s="1009"/>
      <c r="DX389" s="1009"/>
      <c r="DY389" s="1009"/>
      <c r="DZ389" s="1009"/>
      <c r="EA389" s="1009"/>
      <c r="EB389" s="1009"/>
      <c r="EC389" s="1009"/>
      <c r="ED389" s="1009"/>
      <c r="EE389" s="1009"/>
      <c r="EF389" s="1009"/>
      <c r="EG389" s="1009"/>
      <c r="EH389" s="1009"/>
      <c r="EI389" s="1009"/>
      <c r="EJ389" s="1009"/>
      <c r="EK389" s="1009"/>
      <c r="EL389" s="1009"/>
      <c r="EM389" s="1009"/>
      <c r="EN389" s="1009"/>
      <c r="EO389" s="1009"/>
      <c r="EP389" s="1009"/>
      <c r="EQ389" s="1009"/>
      <c r="ER389" s="1009"/>
      <c r="ES389" s="1009"/>
      <c r="ET389" s="1009"/>
      <c r="EU389" s="1009"/>
      <c r="EV389" s="1009"/>
      <c r="EW389" s="1009"/>
      <c r="EX389" s="1009"/>
      <c r="EY389" s="1009"/>
      <c r="EZ389" s="1009"/>
      <c r="FA389" s="1009"/>
      <c r="FB389" s="1009"/>
      <c r="FC389" s="1009"/>
      <c r="FD389" s="1009"/>
      <c r="FE389" s="1009"/>
      <c r="FF389" s="1009"/>
      <c r="FG389" s="1009"/>
      <c r="FH389" s="1009"/>
      <c r="FI389" s="1009"/>
      <c r="FJ389" s="1009"/>
      <c r="FK389" s="1009"/>
      <c r="FL389" s="1009"/>
      <c r="FM389" s="1009"/>
      <c r="FN389" s="1009"/>
      <c r="FO389" s="1009"/>
      <c r="FP389" s="1009"/>
      <c r="FQ389" s="1009"/>
      <c r="FR389" s="1009"/>
      <c r="FS389" s="1009"/>
      <c r="FT389" s="1009"/>
      <c r="FU389" s="1009"/>
      <c r="FV389" s="1009"/>
      <c r="FW389" s="1009"/>
      <c r="FX389" s="1009"/>
      <c r="FY389" s="1009"/>
      <c r="FZ389" s="1009"/>
      <c r="GA389" s="1009"/>
      <c r="GB389" s="1009"/>
      <c r="GC389" s="1009"/>
      <c r="GD389" s="1009"/>
      <c r="GE389" s="1009"/>
      <c r="GF389" s="1009"/>
      <c r="GG389" s="1009"/>
      <c r="GH389" s="1009"/>
      <c r="GI389" s="1009"/>
      <c r="GJ389" s="1009"/>
      <c r="GK389" s="1009"/>
      <c r="GL389" s="1009"/>
      <c r="GM389" s="1009"/>
      <c r="GN389" s="1009"/>
      <c r="GO389" s="1009"/>
      <c r="GP389" s="1009"/>
      <c r="GQ389" s="1009"/>
      <c r="GR389" s="1009"/>
      <c r="GS389" s="1009"/>
      <c r="GT389" s="1009"/>
      <c r="GU389" s="1009"/>
      <c r="GV389" s="1009"/>
      <c r="GW389" s="1009"/>
      <c r="GX389" s="1009"/>
      <c r="GY389" s="1009"/>
      <c r="GZ389" s="1009"/>
      <c r="HA389" s="1009"/>
      <c r="HB389" s="1009"/>
      <c r="HC389" s="1009"/>
      <c r="HD389" s="1009"/>
      <c r="HE389" s="1009"/>
      <c r="HF389" s="1009"/>
      <c r="HG389" s="1009"/>
      <c r="HH389" s="1009"/>
      <c r="HI389" s="1009"/>
      <c r="HJ389" s="1009"/>
      <c r="HK389" s="1009"/>
      <c r="HL389" s="1009"/>
      <c r="HM389" s="1009"/>
      <c r="HN389" s="1009"/>
      <c r="HO389" s="1009"/>
      <c r="HP389" s="1009"/>
      <c r="HQ389" s="1009"/>
      <c r="HR389" s="1009"/>
      <c r="HS389" s="1009"/>
      <c r="HT389" s="1009"/>
      <c r="HU389" s="1009"/>
      <c r="HV389" s="1009"/>
      <c r="HW389" s="1009"/>
      <c r="HX389" s="1009"/>
      <c r="HY389" s="1009"/>
      <c r="HZ389" s="1009"/>
      <c r="IA389" s="1009"/>
      <c r="IB389" s="1009"/>
      <c r="IC389" s="1009"/>
      <c r="ID389" s="1009"/>
      <c r="IE389" s="1009"/>
      <c r="IF389" s="1009"/>
      <c r="IG389" s="1009"/>
      <c r="IH389" s="1009"/>
      <c r="II389" s="1009"/>
      <c r="IJ389" s="1009"/>
      <c r="IK389" s="1009"/>
      <c r="IL389" s="1009"/>
      <c r="IM389" s="1009"/>
      <c r="IN389" s="1009"/>
      <c r="IO389" s="1009"/>
      <c r="IP389" s="1009"/>
      <c r="IQ389" s="1009"/>
      <c r="IR389" s="1009"/>
      <c r="IS389" s="1009"/>
      <c r="IT389" s="1009"/>
      <c r="IU389" s="1009"/>
      <c r="IV389" s="1009"/>
      <c r="IW389" s="1009"/>
    </row>
    <row r="390" spans="1:257" s="1277" customFormat="1" ht="12" customHeight="1">
      <c r="A390" s="1038"/>
      <c r="B390" s="1038"/>
      <c r="C390" s="1039"/>
      <c r="D390" s="1026"/>
      <c r="E390" s="1034"/>
      <c r="F390" s="1034"/>
      <c r="G390" s="1034"/>
      <c r="H390" s="1604"/>
      <c r="I390" s="1042"/>
      <c r="J390" s="1042"/>
      <c r="K390" s="1042"/>
      <c r="L390" s="1042"/>
      <c r="M390" s="1042"/>
      <c r="N390" s="1042"/>
      <c r="O390" s="1042"/>
      <c r="P390" s="1042"/>
      <c r="Q390" s="1042"/>
      <c r="R390" s="1042"/>
      <c r="S390" s="1042"/>
      <c r="T390" s="1042"/>
      <c r="U390" s="1042"/>
      <c r="V390" s="1042"/>
      <c r="W390" s="1042"/>
      <c r="X390" s="1042"/>
      <c r="Y390" s="1042"/>
      <c r="Z390" s="1042"/>
      <c r="AA390" s="1042"/>
      <c r="AB390" s="1042"/>
      <c r="AC390" s="1042"/>
      <c r="AD390" s="1042"/>
      <c r="AE390" s="1042"/>
      <c r="AF390" s="1042"/>
      <c r="AG390" s="1042"/>
      <c r="AH390" s="1605"/>
      <c r="AI390" s="1605"/>
      <c r="AJ390" s="1044"/>
      <c r="AK390" s="1047"/>
      <c r="AL390" s="1044"/>
      <c r="AM390" s="1009"/>
      <c r="AN390" s="1034"/>
      <c r="AO390" s="1034"/>
      <c r="AP390" s="1084"/>
      <c r="AQ390" s="1084"/>
      <c r="AR390" s="1009"/>
      <c r="AS390" s="1009"/>
      <c r="AT390" s="1009"/>
      <c r="AU390" s="1009"/>
      <c r="AV390" s="1009"/>
      <c r="AW390" s="1009"/>
      <c r="AX390" s="1009"/>
      <c r="AY390" s="1009"/>
      <c r="AZ390" s="1009"/>
      <c r="BA390" s="1009"/>
      <c r="BB390" s="1009"/>
      <c r="BC390" s="1009"/>
      <c r="BD390" s="1009"/>
      <c r="BE390" s="1009"/>
      <c r="BF390" s="1009"/>
      <c r="BG390" s="1009"/>
      <c r="BH390" s="1009"/>
      <c r="BI390" s="1009"/>
      <c r="BJ390" s="1009"/>
      <c r="BK390" s="1009"/>
      <c r="BL390" s="1009"/>
      <c r="BM390" s="1009"/>
      <c r="BN390" s="1009"/>
      <c r="BO390" s="1009"/>
      <c r="BP390" s="1009"/>
      <c r="BQ390" s="1009"/>
      <c r="BR390" s="1009"/>
      <c r="BS390" s="1009"/>
      <c r="BT390" s="1009"/>
      <c r="BU390" s="1009"/>
      <c r="BV390" s="1009"/>
      <c r="BW390" s="1009"/>
      <c r="BX390" s="1009"/>
      <c r="BY390" s="1009"/>
      <c r="BZ390" s="1009"/>
      <c r="CA390" s="1009"/>
      <c r="CB390" s="1009"/>
      <c r="CC390" s="1009"/>
      <c r="CD390" s="1009"/>
      <c r="CE390" s="1009"/>
      <c r="CF390" s="1009"/>
      <c r="CG390" s="1009"/>
      <c r="CH390" s="1009"/>
      <c r="CI390" s="1009"/>
      <c r="CJ390" s="1009"/>
      <c r="CK390" s="1009"/>
      <c r="CL390" s="1009"/>
      <c r="CM390" s="1009"/>
      <c r="CN390" s="1009"/>
      <c r="CO390" s="1009"/>
      <c r="CP390" s="1009"/>
      <c r="CQ390" s="1009"/>
      <c r="CR390" s="1009"/>
      <c r="CS390" s="1009"/>
      <c r="CT390" s="1009"/>
      <c r="CU390" s="1009"/>
      <c r="CV390" s="1009"/>
      <c r="CW390" s="1009"/>
      <c r="CX390" s="1009"/>
      <c r="CY390" s="1009"/>
      <c r="CZ390" s="1009"/>
      <c r="DA390" s="1009"/>
      <c r="DB390" s="1009"/>
      <c r="DC390" s="1009"/>
      <c r="DD390" s="1009"/>
      <c r="DE390" s="1009"/>
      <c r="DF390" s="1009"/>
      <c r="DG390" s="1009"/>
      <c r="DH390" s="1009"/>
      <c r="DI390" s="1009"/>
      <c r="DJ390" s="1009"/>
      <c r="DK390" s="1009"/>
      <c r="DL390" s="1009"/>
      <c r="DM390" s="1009"/>
      <c r="DN390" s="1009"/>
      <c r="DO390" s="1009"/>
      <c r="DP390" s="1009"/>
      <c r="DQ390" s="1009"/>
      <c r="DR390" s="1009"/>
      <c r="DS390" s="1009"/>
      <c r="DT390" s="1009"/>
      <c r="DU390" s="1009"/>
      <c r="DV390" s="1009"/>
      <c r="DW390" s="1009"/>
      <c r="DX390" s="1009"/>
      <c r="DY390" s="1009"/>
      <c r="DZ390" s="1009"/>
      <c r="EA390" s="1009"/>
      <c r="EB390" s="1009"/>
      <c r="EC390" s="1009"/>
      <c r="ED390" s="1009"/>
      <c r="EE390" s="1009"/>
      <c r="EF390" s="1009"/>
      <c r="EG390" s="1009"/>
      <c r="EH390" s="1009"/>
      <c r="EI390" s="1009"/>
      <c r="EJ390" s="1009"/>
      <c r="EK390" s="1009"/>
      <c r="EL390" s="1009"/>
      <c r="EM390" s="1009"/>
      <c r="EN390" s="1009"/>
      <c r="EO390" s="1009"/>
      <c r="EP390" s="1009"/>
      <c r="EQ390" s="1009"/>
      <c r="ER390" s="1009"/>
      <c r="ES390" s="1009"/>
      <c r="ET390" s="1009"/>
      <c r="EU390" s="1009"/>
      <c r="EV390" s="1009"/>
      <c r="EW390" s="1009"/>
      <c r="EX390" s="1009"/>
      <c r="EY390" s="1009"/>
      <c r="EZ390" s="1009"/>
      <c r="FA390" s="1009"/>
      <c r="FB390" s="1009"/>
      <c r="FC390" s="1009"/>
      <c r="FD390" s="1009"/>
      <c r="FE390" s="1009"/>
      <c r="FF390" s="1009"/>
      <c r="FG390" s="1009"/>
      <c r="FH390" s="1009"/>
      <c r="FI390" s="1009"/>
      <c r="FJ390" s="1009"/>
      <c r="FK390" s="1009"/>
      <c r="FL390" s="1009"/>
      <c r="FM390" s="1009"/>
      <c r="FN390" s="1009"/>
      <c r="FO390" s="1009"/>
      <c r="FP390" s="1009"/>
      <c r="FQ390" s="1009"/>
      <c r="FR390" s="1009"/>
      <c r="FS390" s="1009"/>
      <c r="FT390" s="1009"/>
      <c r="FU390" s="1009"/>
      <c r="FV390" s="1009"/>
      <c r="FW390" s="1009"/>
      <c r="FX390" s="1009"/>
      <c r="FY390" s="1009"/>
      <c r="FZ390" s="1009"/>
      <c r="GA390" s="1009"/>
      <c r="GB390" s="1009"/>
      <c r="GC390" s="1009"/>
      <c r="GD390" s="1009"/>
      <c r="GE390" s="1009"/>
      <c r="GF390" s="1009"/>
      <c r="GG390" s="1009"/>
      <c r="GH390" s="1009"/>
      <c r="GI390" s="1009"/>
      <c r="GJ390" s="1009"/>
      <c r="GK390" s="1009"/>
      <c r="GL390" s="1009"/>
      <c r="GM390" s="1009"/>
      <c r="GN390" s="1009"/>
      <c r="GO390" s="1009"/>
      <c r="GP390" s="1009"/>
      <c r="GQ390" s="1009"/>
      <c r="GR390" s="1009"/>
      <c r="GS390" s="1009"/>
      <c r="GT390" s="1009"/>
      <c r="GU390" s="1009"/>
      <c r="GV390" s="1009"/>
      <c r="GW390" s="1009"/>
      <c r="GX390" s="1009"/>
      <c r="GY390" s="1009"/>
      <c r="GZ390" s="1009"/>
      <c r="HA390" s="1009"/>
      <c r="HB390" s="1009"/>
      <c r="HC390" s="1009"/>
      <c r="HD390" s="1009"/>
      <c r="HE390" s="1009"/>
      <c r="HF390" s="1009"/>
      <c r="HG390" s="1009"/>
      <c r="HH390" s="1009"/>
      <c r="HI390" s="1009"/>
      <c r="HJ390" s="1009"/>
      <c r="HK390" s="1009"/>
      <c r="HL390" s="1009"/>
      <c r="HM390" s="1009"/>
      <c r="HN390" s="1009"/>
      <c r="HO390" s="1009"/>
      <c r="HP390" s="1009"/>
      <c r="HQ390" s="1009"/>
      <c r="HR390" s="1009"/>
      <c r="HS390" s="1009"/>
      <c r="HT390" s="1009"/>
      <c r="HU390" s="1009"/>
      <c r="HV390" s="1009"/>
      <c r="HW390" s="1009"/>
      <c r="HX390" s="1009"/>
      <c r="HY390" s="1009"/>
      <c r="HZ390" s="1009"/>
      <c r="IA390" s="1009"/>
      <c r="IB390" s="1009"/>
      <c r="IC390" s="1009"/>
      <c r="ID390" s="1009"/>
      <c r="IE390" s="1009"/>
      <c r="IF390" s="1009"/>
      <c r="IG390" s="1009"/>
      <c r="IH390" s="1009"/>
      <c r="II390" s="1009"/>
      <c r="IJ390" s="1009"/>
      <c r="IK390" s="1009"/>
      <c r="IL390" s="1009"/>
      <c r="IM390" s="1009"/>
      <c r="IN390" s="1009"/>
      <c r="IO390" s="1009"/>
      <c r="IP390" s="1009"/>
      <c r="IQ390" s="1009"/>
      <c r="IR390" s="1009"/>
      <c r="IS390" s="1009"/>
      <c r="IT390" s="1009"/>
      <c r="IU390" s="1009"/>
      <c r="IV390" s="1009"/>
      <c r="IW390" s="1009"/>
    </row>
    <row r="391" spans="1:257" s="1277" customFormat="1" ht="12" customHeight="1">
      <c r="A391" s="1038"/>
      <c r="B391" s="1038"/>
      <c r="C391" s="1039"/>
      <c r="D391" s="1026"/>
      <c r="E391" s="1034"/>
      <c r="F391" s="1034"/>
      <c r="G391" s="1034"/>
      <c r="H391" s="1604"/>
      <c r="I391" s="1042"/>
      <c r="J391" s="1042"/>
      <c r="K391" s="1042"/>
      <c r="L391" s="1042"/>
      <c r="M391" s="1042"/>
      <c r="N391" s="1042"/>
      <c r="O391" s="1042"/>
      <c r="P391" s="1042"/>
      <c r="Q391" s="1042"/>
      <c r="R391" s="1042"/>
      <c r="S391" s="1042"/>
      <c r="T391" s="1042"/>
      <c r="U391" s="1042"/>
      <c r="V391" s="1042"/>
      <c r="W391" s="1042"/>
      <c r="X391" s="1042"/>
      <c r="Y391" s="1042"/>
      <c r="Z391" s="1042"/>
      <c r="AA391" s="1042"/>
      <c r="AB391" s="1042"/>
      <c r="AC391" s="1042"/>
      <c r="AD391" s="1042"/>
      <c r="AE391" s="1042"/>
      <c r="AF391" s="1042"/>
      <c r="AG391" s="1042"/>
      <c r="AH391" s="1605"/>
      <c r="AI391" s="1605"/>
      <c r="AJ391" s="1044"/>
      <c r="AK391" s="1047"/>
      <c r="AL391" s="1044"/>
      <c r="AM391" s="1009"/>
      <c r="AN391" s="1034"/>
      <c r="AO391" s="1034"/>
      <c r="AP391" s="1084"/>
      <c r="AQ391" s="1084"/>
      <c r="AR391" s="1009"/>
      <c r="AS391" s="1009"/>
      <c r="AT391" s="1009"/>
      <c r="AU391" s="1009"/>
      <c r="AV391" s="1009"/>
      <c r="AW391" s="1009"/>
      <c r="AX391" s="1009"/>
      <c r="AY391" s="1009"/>
      <c r="AZ391" s="1009"/>
      <c r="BA391" s="1009"/>
      <c r="BB391" s="1009"/>
      <c r="BC391" s="1009"/>
      <c r="BD391" s="1009"/>
      <c r="BE391" s="1009"/>
      <c r="BF391" s="1009"/>
      <c r="BG391" s="1009"/>
      <c r="BH391" s="1009"/>
      <c r="BI391" s="1009"/>
      <c r="BJ391" s="1009"/>
      <c r="BK391" s="1009"/>
      <c r="BL391" s="1009"/>
      <c r="BM391" s="1009"/>
      <c r="BN391" s="1009"/>
      <c r="BO391" s="1009"/>
      <c r="BP391" s="1009"/>
      <c r="BQ391" s="1009"/>
      <c r="BR391" s="1009"/>
      <c r="BS391" s="1009"/>
      <c r="BT391" s="1009"/>
      <c r="BU391" s="1009"/>
      <c r="BV391" s="1009"/>
      <c r="BW391" s="1009"/>
      <c r="BX391" s="1009"/>
      <c r="BY391" s="1009"/>
      <c r="BZ391" s="1009"/>
      <c r="CA391" s="1009"/>
      <c r="CB391" s="1009"/>
      <c r="CC391" s="1009"/>
      <c r="CD391" s="1009"/>
      <c r="CE391" s="1009"/>
      <c r="CF391" s="1009"/>
      <c r="CG391" s="1009"/>
      <c r="CH391" s="1009"/>
      <c r="CI391" s="1009"/>
      <c r="CJ391" s="1009"/>
      <c r="CK391" s="1009"/>
      <c r="CL391" s="1009"/>
      <c r="CM391" s="1009"/>
      <c r="CN391" s="1009"/>
      <c r="CO391" s="1009"/>
      <c r="CP391" s="1009"/>
      <c r="CQ391" s="1009"/>
      <c r="CR391" s="1009"/>
      <c r="CS391" s="1009"/>
      <c r="CT391" s="1009"/>
      <c r="CU391" s="1009"/>
      <c r="CV391" s="1009"/>
      <c r="CW391" s="1009"/>
      <c r="CX391" s="1009"/>
      <c r="CY391" s="1009"/>
      <c r="CZ391" s="1009"/>
      <c r="DA391" s="1009"/>
      <c r="DB391" s="1009"/>
      <c r="DC391" s="1009"/>
      <c r="DD391" s="1009"/>
      <c r="DE391" s="1009"/>
      <c r="DF391" s="1009"/>
      <c r="DG391" s="1009"/>
      <c r="DH391" s="1009"/>
      <c r="DI391" s="1009"/>
      <c r="DJ391" s="1009"/>
      <c r="DK391" s="1009"/>
      <c r="DL391" s="1009"/>
      <c r="DM391" s="1009"/>
      <c r="DN391" s="1009"/>
      <c r="DO391" s="1009"/>
      <c r="DP391" s="1009"/>
      <c r="DQ391" s="1009"/>
      <c r="DR391" s="1009"/>
      <c r="DS391" s="1009"/>
      <c r="DT391" s="1009"/>
      <c r="DU391" s="1009"/>
      <c r="DV391" s="1009"/>
      <c r="DW391" s="1009"/>
      <c r="DX391" s="1009"/>
      <c r="DY391" s="1009"/>
      <c r="DZ391" s="1009"/>
      <c r="EA391" s="1009"/>
      <c r="EB391" s="1009"/>
      <c r="EC391" s="1009"/>
      <c r="ED391" s="1009"/>
      <c r="EE391" s="1009"/>
      <c r="EF391" s="1009"/>
      <c r="EG391" s="1009"/>
      <c r="EH391" s="1009"/>
      <c r="EI391" s="1009"/>
      <c r="EJ391" s="1009"/>
      <c r="EK391" s="1009"/>
      <c r="EL391" s="1009"/>
      <c r="EM391" s="1009"/>
      <c r="EN391" s="1009"/>
      <c r="EO391" s="1009"/>
      <c r="EP391" s="1009"/>
      <c r="EQ391" s="1009"/>
      <c r="ER391" s="1009"/>
      <c r="ES391" s="1009"/>
      <c r="ET391" s="1009"/>
      <c r="EU391" s="1009"/>
      <c r="EV391" s="1009"/>
      <c r="EW391" s="1009"/>
      <c r="EX391" s="1009"/>
      <c r="EY391" s="1009"/>
      <c r="EZ391" s="1009"/>
      <c r="FA391" s="1009"/>
      <c r="FB391" s="1009"/>
      <c r="FC391" s="1009"/>
      <c r="FD391" s="1009"/>
      <c r="FE391" s="1009"/>
      <c r="FF391" s="1009"/>
      <c r="FG391" s="1009"/>
      <c r="FH391" s="1009"/>
      <c r="FI391" s="1009"/>
      <c r="FJ391" s="1009"/>
      <c r="FK391" s="1009"/>
      <c r="FL391" s="1009"/>
      <c r="FM391" s="1009"/>
      <c r="FN391" s="1009"/>
      <c r="FO391" s="1009"/>
      <c r="FP391" s="1009"/>
      <c r="FQ391" s="1009"/>
      <c r="FR391" s="1009"/>
      <c r="FS391" s="1009"/>
      <c r="FT391" s="1009"/>
      <c r="FU391" s="1009"/>
      <c r="FV391" s="1009"/>
      <c r="FW391" s="1009"/>
      <c r="FX391" s="1009"/>
      <c r="FY391" s="1009"/>
      <c r="FZ391" s="1009"/>
      <c r="GA391" s="1009"/>
      <c r="GB391" s="1009"/>
      <c r="GC391" s="1009"/>
      <c r="GD391" s="1009"/>
      <c r="GE391" s="1009"/>
      <c r="GF391" s="1009"/>
      <c r="GG391" s="1009"/>
      <c r="GH391" s="1009"/>
      <c r="GI391" s="1009"/>
      <c r="GJ391" s="1009"/>
      <c r="GK391" s="1009"/>
      <c r="GL391" s="1009"/>
      <c r="GM391" s="1009"/>
      <c r="GN391" s="1009"/>
      <c r="GO391" s="1009"/>
      <c r="GP391" s="1009"/>
      <c r="GQ391" s="1009"/>
      <c r="GR391" s="1009"/>
      <c r="GS391" s="1009"/>
      <c r="GT391" s="1009"/>
      <c r="GU391" s="1009"/>
      <c r="GV391" s="1009"/>
      <c r="GW391" s="1009"/>
      <c r="GX391" s="1009"/>
      <c r="GY391" s="1009"/>
      <c r="GZ391" s="1009"/>
      <c r="HA391" s="1009"/>
      <c r="HB391" s="1009"/>
      <c r="HC391" s="1009"/>
      <c r="HD391" s="1009"/>
      <c r="HE391" s="1009"/>
      <c r="HF391" s="1009"/>
      <c r="HG391" s="1009"/>
      <c r="HH391" s="1009"/>
      <c r="HI391" s="1009"/>
      <c r="HJ391" s="1009"/>
      <c r="HK391" s="1009"/>
      <c r="HL391" s="1009"/>
      <c r="HM391" s="1009"/>
      <c r="HN391" s="1009"/>
      <c r="HO391" s="1009"/>
      <c r="HP391" s="1009"/>
      <c r="HQ391" s="1009"/>
      <c r="HR391" s="1009"/>
      <c r="HS391" s="1009"/>
      <c r="HT391" s="1009"/>
      <c r="HU391" s="1009"/>
      <c r="HV391" s="1009"/>
      <c r="HW391" s="1009"/>
      <c r="HX391" s="1009"/>
      <c r="HY391" s="1009"/>
      <c r="HZ391" s="1009"/>
      <c r="IA391" s="1009"/>
      <c r="IB391" s="1009"/>
      <c r="IC391" s="1009"/>
      <c r="ID391" s="1009"/>
      <c r="IE391" s="1009"/>
      <c r="IF391" s="1009"/>
      <c r="IG391" s="1009"/>
      <c r="IH391" s="1009"/>
      <c r="II391" s="1009"/>
      <c r="IJ391" s="1009"/>
      <c r="IK391" s="1009"/>
      <c r="IL391" s="1009"/>
      <c r="IM391" s="1009"/>
      <c r="IN391" s="1009"/>
      <c r="IO391" s="1009"/>
      <c r="IP391" s="1009"/>
      <c r="IQ391" s="1009"/>
      <c r="IR391" s="1009"/>
      <c r="IS391" s="1009"/>
      <c r="IT391" s="1009"/>
      <c r="IU391" s="1009"/>
      <c r="IV391" s="1009"/>
      <c r="IW391" s="1009"/>
    </row>
    <row r="392" spans="1:257" s="1277" customFormat="1" ht="12" customHeight="1">
      <c r="A392" s="1038"/>
      <c r="B392" s="1038"/>
      <c r="C392" s="1039"/>
      <c r="D392" s="1026"/>
      <c r="E392" s="1034"/>
      <c r="F392" s="1034"/>
      <c r="G392" s="1034"/>
      <c r="H392" s="1604"/>
      <c r="I392" s="1042"/>
      <c r="J392" s="1042"/>
      <c r="K392" s="1042"/>
      <c r="L392" s="1042"/>
      <c r="M392" s="1042"/>
      <c r="N392" s="1042"/>
      <c r="O392" s="1042"/>
      <c r="P392" s="1042"/>
      <c r="Q392" s="1042"/>
      <c r="R392" s="1042"/>
      <c r="S392" s="1042"/>
      <c r="T392" s="1042"/>
      <c r="U392" s="1042"/>
      <c r="V392" s="1042"/>
      <c r="W392" s="1042"/>
      <c r="X392" s="1042"/>
      <c r="Y392" s="1042"/>
      <c r="Z392" s="1042"/>
      <c r="AA392" s="1042"/>
      <c r="AB392" s="1042"/>
      <c r="AC392" s="1042"/>
      <c r="AD392" s="1042"/>
      <c r="AE392" s="1042"/>
      <c r="AF392" s="1042"/>
      <c r="AG392" s="1042"/>
      <c r="AH392" s="1605"/>
      <c r="AI392" s="1605"/>
      <c r="AJ392" s="1044"/>
      <c r="AK392" s="1047"/>
      <c r="AL392" s="1044"/>
      <c r="AM392" s="1009"/>
      <c r="AN392" s="1034"/>
      <c r="AO392" s="1034"/>
      <c r="AP392" s="1084"/>
      <c r="AQ392" s="1084"/>
      <c r="AR392" s="1009"/>
      <c r="AS392" s="1009"/>
      <c r="AT392" s="1009"/>
      <c r="AU392" s="1009"/>
      <c r="AV392" s="1009"/>
      <c r="AW392" s="1009"/>
      <c r="AX392" s="1009"/>
      <c r="AY392" s="1009"/>
      <c r="AZ392" s="1009"/>
      <c r="BA392" s="1009"/>
      <c r="BB392" s="1009"/>
      <c r="BC392" s="1009"/>
      <c r="BD392" s="1009"/>
      <c r="BE392" s="1009"/>
      <c r="BF392" s="1009"/>
      <c r="BG392" s="1009"/>
      <c r="BH392" s="1009"/>
      <c r="BI392" s="1009"/>
      <c r="BJ392" s="1009"/>
      <c r="BK392" s="1009"/>
      <c r="BL392" s="1009"/>
      <c r="BM392" s="1009"/>
      <c r="BN392" s="1009"/>
      <c r="BO392" s="1009"/>
      <c r="BP392" s="1009"/>
      <c r="BQ392" s="1009"/>
      <c r="BR392" s="1009"/>
      <c r="BS392" s="1009"/>
      <c r="BT392" s="1009"/>
      <c r="BU392" s="1009"/>
      <c r="BV392" s="1009"/>
      <c r="BW392" s="1009"/>
      <c r="BX392" s="1009"/>
      <c r="BY392" s="1009"/>
      <c r="BZ392" s="1009"/>
      <c r="CA392" s="1009"/>
      <c r="CB392" s="1009"/>
      <c r="CC392" s="1009"/>
      <c r="CD392" s="1009"/>
      <c r="CE392" s="1009"/>
      <c r="CF392" s="1009"/>
      <c r="CG392" s="1009"/>
      <c r="CH392" s="1009"/>
      <c r="CI392" s="1009"/>
      <c r="CJ392" s="1009"/>
      <c r="CK392" s="1009"/>
      <c r="CL392" s="1009"/>
      <c r="CM392" s="1009"/>
      <c r="CN392" s="1009"/>
      <c r="CO392" s="1009"/>
      <c r="CP392" s="1009"/>
      <c r="CQ392" s="1009"/>
      <c r="CR392" s="1009"/>
      <c r="CS392" s="1009"/>
      <c r="CT392" s="1009"/>
      <c r="CU392" s="1009"/>
      <c r="CV392" s="1009"/>
      <c r="CW392" s="1009"/>
      <c r="CX392" s="1009"/>
      <c r="CY392" s="1009"/>
      <c r="CZ392" s="1009"/>
      <c r="DA392" s="1009"/>
      <c r="DB392" s="1009"/>
      <c r="DC392" s="1009"/>
      <c r="DD392" s="1009"/>
      <c r="DE392" s="1009"/>
      <c r="DF392" s="1009"/>
      <c r="DG392" s="1009"/>
      <c r="DH392" s="1009"/>
      <c r="DI392" s="1009"/>
      <c r="DJ392" s="1009"/>
      <c r="DK392" s="1009"/>
      <c r="DL392" s="1009"/>
      <c r="DM392" s="1009"/>
      <c r="DN392" s="1009"/>
      <c r="DO392" s="1009"/>
      <c r="DP392" s="1009"/>
      <c r="DQ392" s="1009"/>
      <c r="DR392" s="1009"/>
      <c r="DS392" s="1009"/>
      <c r="DT392" s="1009"/>
      <c r="DU392" s="1009"/>
      <c r="DV392" s="1009"/>
      <c r="DW392" s="1009"/>
      <c r="DX392" s="1009"/>
      <c r="DY392" s="1009"/>
      <c r="DZ392" s="1009"/>
      <c r="EA392" s="1009"/>
      <c r="EB392" s="1009"/>
      <c r="EC392" s="1009"/>
      <c r="ED392" s="1009"/>
      <c r="EE392" s="1009"/>
      <c r="EF392" s="1009"/>
      <c r="EG392" s="1009"/>
      <c r="EH392" s="1009"/>
      <c r="EI392" s="1009"/>
      <c r="EJ392" s="1009"/>
      <c r="EK392" s="1009"/>
      <c r="EL392" s="1009"/>
      <c r="EM392" s="1009"/>
      <c r="EN392" s="1009"/>
      <c r="EO392" s="1009"/>
      <c r="EP392" s="1009"/>
      <c r="EQ392" s="1009"/>
      <c r="ER392" s="1009"/>
      <c r="ES392" s="1009"/>
      <c r="ET392" s="1009"/>
      <c r="EU392" s="1009"/>
      <c r="EV392" s="1009"/>
      <c r="EW392" s="1009"/>
      <c r="EX392" s="1009"/>
      <c r="EY392" s="1009"/>
      <c r="EZ392" s="1009"/>
      <c r="FA392" s="1009"/>
      <c r="FB392" s="1009"/>
      <c r="FC392" s="1009"/>
      <c r="FD392" s="1009"/>
      <c r="FE392" s="1009"/>
      <c r="FF392" s="1009"/>
      <c r="FG392" s="1009"/>
      <c r="FH392" s="1009"/>
      <c r="FI392" s="1009"/>
      <c r="FJ392" s="1009"/>
      <c r="FK392" s="1009"/>
      <c r="FL392" s="1009"/>
      <c r="FM392" s="1009"/>
      <c r="FN392" s="1009"/>
      <c r="FO392" s="1009"/>
      <c r="FP392" s="1009"/>
      <c r="FQ392" s="1009"/>
      <c r="FR392" s="1009"/>
      <c r="FS392" s="1009"/>
      <c r="FT392" s="1009"/>
      <c r="FU392" s="1009"/>
      <c r="FV392" s="1009"/>
      <c r="FW392" s="1009"/>
      <c r="FX392" s="1009"/>
      <c r="FY392" s="1009"/>
      <c r="FZ392" s="1009"/>
      <c r="GA392" s="1009"/>
      <c r="GB392" s="1009"/>
      <c r="GC392" s="1009"/>
      <c r="GD392" s="1009"/>
      <c r="GE392" s="1009"/>
      <c r="GF392" s="1009"/>
      <c r="GG392" s="1009"/>
      <c r="GH392" s="1009"/>
      <c r="GI392" s="1009"/>
      <c r="GJ392" s="1009"/>
      <c r="GK392" s="1009"/>
      <c r="GL392" s="1009"/>
      <c r="GM392" s="1009"/>
      <c r="GN392" s="1009"/>
      <c r="GO392" s="1009"/>
      <c r="GP392" s="1009"/>
      <c r="GQ392" s="1009"/>
      <c r="GR392" s="1009"/>
      <c r="GS392" s="1009"/>
      <c r="GT392" s="1009"/>
      <c r="GU392" s="1009"/>
      <c r="GV392" s="1009"/>
      <c r="GW392" s="1009"/>
      <c r="GX392" s="1009"/>
      <c r="GY392" s="1009"/>
      <c r="GZ392" s="1009"/>
      <c r="HA392" s="1009"/>
      <c r="HB392" s="1009"/>
      <c r="HC392" s="1009"/>
      <c r="HD392" s="1009"/>
      <c r="HE392" s="1009"/>
      <c r="HF392" s="1009"/>
      <c r="HG392" s="1009"/>
      <c r="HH392" s="1009"/>
      <c r="HI392" s="1009"/>
      <c r="HJ392" s="1009"/>
      <c r="HK392" s="1009"/>
      <c r="HL392" s="1009"/>
      <c r="HM392" s="1009"/>
      <c r="HN392" s="1009"/>
      <c r="HO392" s="1009"/>
      <c r="HP392" s="1009"/>
      <c r="HQ392" s="1009"/>
      <c r="HR392" s="1009"/>
      <c r="HS392" s="1009"/>
      <c r="HT392" s="1009"/>
      <c r="HU392" s="1009"/>
      <c r="HV392" s="1009"/>
      <c r="HW392" s="1009"/>
      <c r="HX392" s="1009"/>
      <c r="HY392" s="1009"/>
      <c r="HZ392" s="1009"/>
      <c r="IA392" s="1009"/>
      <c r="IB392" s="1009"/>
      <c r="IC392" s="1009"/>
      <c r="ID392" s="1009"/>
      <c r="IE392" s="1009"/>
      <c r="IF392" s="1009"/>
      <c r="IG392" s="1009"/>
      <c r="IH392" s="1009"/>
      <c r="II392" s="1009"/>
      <c r="IJ392" s="1009"/>
      <c r="IK392" s="1009"/>
      <c r="IL392" s="1009"/>
      <c r="IM392" s="1009"/>
      <c r="IN392" s="1009"/>
      <c r="IO392" s="1009"/>
      <c r="IP392" s="1009"/>
      <c r="IQ392" s="1009"/>
      <c r="IR392" s="1009"/>
      <c r="IS392" s="1009"/>
      <c r="IT392" s="1009"/>
      <c r="IU392" s="1009"/>
      <c r="IV392" s="1009"/>
      <c r="IW392" s="1009"/>
    </row>
    <row r="393" spans="1:257" s="1277" customFormat="1" ht="12" customHeight="1">
      <c r="A393" s="1038"/>
      <c r="B393" s="1038"/>
      <c r="C393" s="1039"/>
      <c r="D393" s="1026"/>
      <c r="E393" s="1034"/>
      <c r="F393" s="1034"/>
      <c r="G393" s="1034"/>
      <c r="H393" s="1604"/>
      <c r="I393" s="1042"/>
      <c r="J393" s="1042"/>
      <c r="K393" s="1042"/>
      <c r="L393" s="1042"/>
      <c r="M393" s="1042"/>
      <c r="N393" s="1042"/>
      <c r="O393" s="1042"/>
      <c r="P393" s="1042"/>
      <c r="Q393" s="1042"/>
      <c r="R393" s="1042"/>
      <c r="S393" s="1042"/>
      <c r="T393" s="1042"/>
      <c r="U393" s="1042"/>
      <c r="V393" s="1042"/>
      <c r="W393" s="1042"/>
      <c r="X393" s="1042"/>
      <c r="Y393" s="1042"/>
      <c r="Z393" s="1042"/>
      <c r="AA393" s="1042"/>
      <c r="AB393" s="1042"/>
      <c r="AC393" s="1042"/>
      <c r="AD393" s="1042"/>
      <c r="AE393" s="1042"/>
      <c r="AF393" s="1042"/>
      <c r="AG393" s="1042"/>
      <c r="AH393" s="1605"/>
      <c r="AI393" s="1605"/>
      <c r="AJ393" s="1044"/>
      <c r="AK393" s="1047"/>
      <c r="AL393" s="1044"/>
      <c r="AM393" s="1009"/>
      <c r="AN393" s="1034"/>
      <c r="AO393" s="1034"/>
      <c r="AP393" s="1084"/>
      <c r="AQ393" s="1084"/>
      <c r="AR393" s="1009"/>
      <c r="AS393" s="1009"/>
      <c r="AT393" s="1009"/>
      <c r="AU393" s="1009"/>
      <c r="AV393" s="1009"/>
      <c r="AW393" s="1009"/>
      <c r="AX393" s="1009"/>
      <c r="AY393" s="1009"/>
      <c r="AZ393" s="1009"/>
      <c r="BA393" s="1009"/>
      <c r="BB393" s="1009"/>
      <c r="BC393" s="1009"/>
      <c r="BD393" s="1009"/>
      <c r="BE393" s="1009"/>
      <c r="BF393" s="1009"/>
      <c r="BG393" s="1009"/>
      <c r="BH393" s="1009"/>
      <c r="BI393" s="1009"/>
      <c r="BJ393" s="1009"/>
      <c r="BK393" s="1009"/>
      <c r="BL393" s="1009"/>
      <c r="BM393" s="1009"/>
      <c r="BN393" s="1009"/>
      <c r="BO393" s="1009"/>
      <c r="BP393" s="1009"/>
      <c r="BQ393" s="1009"/>
      <c r="BR393" s="1009"/>
      <c r="BS393" s="1009"/>
      <c r="BT393" s="1009"/>
      <c r="BU393" s="1009"/>
      <c r="BV393" s="1009"/>
      <c r="BW393" s="1009"/>
      <c r="BX393" s="1009"/>
      <c r="BY393" s="1009"/>
      <c r="BZ393" s="1009"/>
      <c r="CA393" s="1009"/>
      <c r="CB393" s="1009"/>
      <c r="CC393" s="1009"/>
      <c r="CD393" s="1009"/>
      <c r="CE393" s="1009"/>
      <c r="CF393" s="1009"/>
      <c r="CG393" s="1009"/>
      <c r="CH393" s="1009"/>
      <c r="CI393" s="1009"/>
      <c r="CJ393" s="1009"/>
      <c r="CK393" s="1009"/>
      <c r="CL393" s="1009"/>
      <c r="CM393" s="1009"/>
      <c r="CN393" s="1009"/>
      <c r="CO393" s="1009"/>
      <c r="CP393" s="1009"/>
      <c r="CQ393" s="1009"/>
      <c r="CR393" s="1009"/>
      <c r="CS393" s="1009"/>
      <c r="CT393" s="1009"/>
      <c r="CU393" s="1009"/>
      <c r="CV393" s="1009"/>
      <c r="CW393" s="1009"/>
      <c r="CX393" s="1009"/>
      <c r="CY393" s="1009"/>
      <c r="CZ393" s="1009"/>
      <c r="DA393" s="1009"/>
      <c r="DB393" s="1009"/>
      <c r="DC393" s="1009"/>
      <c r="DD393" s="1009"/>
      <c r="DE393" s="1009"/>
      <c r="DF393" s="1009"/>
      <c r="DG393" s="1009"/>
      <c r="DH393" s="1009"/>
      <c r="DI393" s="1009"/>
      <c r="DJ393" s="1009"/>
      <c r="DK393" s="1009"/>
      <c r="DL393" s="1009"/>
      <c r="DM393" s="1009"/>
      <c r="DN393" s="1009"/>
      <c r="DO393" s="1009"/>
      <c r="DP393" s="1009"/>
      <c r="DQ393" s="1009"/>
      <c r="DR393" s="1009"/>
      <c r="DS393" s="1009"/>
      <c r="DT393" s="1009"/>
      <c r="DU393" s="1009"/>
      <c r="DV393" s="1009"/>
      <c r="DW393" s="1009"/>
      <c r="DX393" s="1009"/>
      <c r="DY393" s="1009"/>
      <c r="DZ393" s="1009"/>
      <c r="EA393" s="1009"/>
      <c r="EB393" s="1009"/>
      <c r="EC393" s="1009"/>
      <c r="ED393" s="1009"/>
      <c r="EE393" s="1009"/>
      <c r="EF393" s="1009"/>
      <c r="EG393" s="1009"/>
      <c r="EH393" s="1009"/>
      <c r="EI393" s="1009"/>
      <c r="EJ393" s="1009"/>
      <c r="EK393" s="1009"/>
      <c r="EL393" s="1009"/>
      <c r="EM393" s="1009"/>
      <c r="EN393" s="1009"/>
      <c r="EO393" s="1009"/>
      <c r="EP393" s="1009"/>
      <c r="EQ393" s="1009"/>
      <c r="ER393" s="1009"/>
      <c r="ES393" s="1009"/>
      <c r="ET393" s="1009"/>
      <c r="EU393" s="1009"/>
      <c r="EV393" s="1009"/>
      <c r="EW393" s="1009"/>
      <c r="EX393" s="1009"/>
      <c r="EY393" s="1009"/>
      <c r="EZ393" s="1009"/>
      <c r="FA393" s="1009"/>
      <c r="FB393" s="1009"/>
      <c r="FC393" s="1009"/>
      <c r="FD393" s="1009"/>
      <c r="FE393" s="1009"/>
      <c r="FF393" s="1009"/>
      <c r="FG393" s="1009"/>
      <c r="FH393" s="1009"/>
      <c r="FI393" s="1009"/>
      <c r="FJ393" s="1009"/>
      <c r="FK393" s="1009"/>
      <c r="FL393" s="1009"/>
      <c r="FM393" s="1009"/>
      <c r="FN393" s="1009"/>
      <c r="FO393" s="1009"/>
      <c r="FP393" s="1009"/>
      <c r="FQ393" s="1009"/>
      <c r="FR393" s="1009"/>
      <c r="FS393" s="1009"/>
      <c r="FT393" s="1009"/>
      <c r="FU393" s="1009"/>
      <c r="FV393" s="1009"/>
      <c r="FW393" s="1009"/>
      <c r="FX393" s="1009"/>
      <c r="FY393" s="1009"/>
      <c r="FZ393" s="1009"/>
      <c r="GA393" s="1009"/>
      <c r="GB393" s="1009"/>
      <c r="GC393" s="1009"/>
      <c r="GD393" s="1009"/>
      <c r="GE393" s="1009"/>
      <c r="GF393" s="1009"/>
      <c r="GG393" s="1009"/>
      <c r="GH393" s="1009"/>
      <c r="GI393" s="1009"/>
      <c r="GJ393" s="1009"/>
      <c r="GK393" s="1009"/>
      <c r="GL393" s="1009"/>
      <c r="GM393" s="1009"/>
      <c r="GN393" s="1009"/>
      <c r="GO393" s="1009"/>
      <c r="GP393" s="1009"/>
      <c r="GQ393" s="1009"/>
      <c r="GR393" s="1009"/>
      <c r="GS393" s="1009"/>
      <c r="GT393" s="1009"/>
      <c r="GU393" s="1009"/>
      <c r="GV393" s="1009"/>
      <c r="GW393" s="1009"/>
      <c r="GX393" s="1009"/>
      <c r="GY393" s="1009"/>
      <c r="GZ393" s="1009"/>
      <c r="HA393" s="1009"/>
      <c r="HB393" s="1009"/>
      <c r="HC393" s="1009"/>
      <c r="HD393" s="1009"/>
      <c r="HE393" s="1009"/>
      <c r="HF393" s="1009"/>
      <c r="HG393" s="1009"/>
      <c r="HH393" s="1009"/>
      <c r="HI393" s="1009"/>
      <c r="HJ393" s="1009"/>
      <c r="HK393" s="1009"/>
      <c r="HL393" s="1009"/>
      <c r="HM393" s="1009"/>
      <c r="HN393" s="1009"/>
      <c r="HO393" s="1009"/>
      <c r="HP393" s="1009"/>
      <c r="HQ393" s="1009"/>
      <c r="HR393" s="1009"/>
      <c r="HS393" s="1009"/>
      <c r="HT393" s="1009"/>
      <c r="HU393" s="1009"/>
      <c r="HV393" s="1009"/>
      <c r="HW393" s="1009"/>
      <c r="HX393" s="1009"/>
      <c r="HY393" s="1009"/>
      <c r="HZ393" s="1009"/>
      <c r="IA393" s="1009"/>
      <c r="IB393" s="1009"/>
      <c r="IC393" s="1009"/>
      <c r="ID393" s="1009"/>
      <c r="IE393" s="1009"/>
      <c r="IF393" s="1009"/>
      <c r="IG393" s="1009"/>
      <c r="IH393" s="1009"/>
      <c r="II393" s="1009"/>
      <c r="IJ393" s="1009"/>
      <c r="IK393" s="1009"/>
      <c r="IL393" s="1009"/>
      <c r="IM393" s="1009"/>
      <c r="IN393" s="1009"/>
      <c r="IO393" s="1009"/>
      <c r="IP393" s="1009"/>
      <c r="IQ393" s="1009"/>
      <c r="IR393" s="1009"/>
      <c r="IS393" s="1009"/>
      <c r="IT393" s="1009"/>
      <c r="IU393" s="1009"/>
      <c r="IV393" s="1009"/>
      <c r="IW393" s="1009"/>
    </row>
    <row r="394" spans="1:257" s="1277" customFormat="1" ht="12" customHeight="1">
      <c r="A394" s="1038"/>
      <c r="B394" s="1038"/>
      <c r="C394" s="1039"/>
      <c r="D394" s="1026"/>
      <c r="E394" s="1034"/>
      <c r="F394" s="1034"/>
      <c r="G394" s="1034"/>
      <c r="H394" s="1604"/>
      <c r="I394" s="1042"/>
      <c r="J394" s="1042"/>
      <c r="K394" s="1042"/>
      <c r="L394" s="1042"/>
      <c r="M394" s="1042"/>
      <c r="N394" s="1042"/>
      <c r="O394" s="1042"/>
      <c r="P394" s="1042"/>
      <c r="Q394" s="1042"/>
      <c r="R394" s="1042"/>
      <c r="S394" s="1042"/>
      <c r="T394" s="1042"/>
      <c r="U394" s="1042"/>
      <c r="V394" s="1042"/>
      <c r="W394" s="1042"/>
      <c r="X394" s="1042"/>
      <c r="Y394" s="1042"/>
      <c r="Z394" s="1042"/>
      <c r="AA394" s="1042"/>
      <c r="AB394" s="1042"/>
      <c r="AC394" s="1042"/>
      <c r="AD394" s="1042"/>
      <c r="AE394" s="1042"/>
      <c r="AF394" s="1042"/>
      <c r="AG394" s="1042"/>
      <c r="AH394" s="1605"/>
      <c r="AI394" s="1605"/>
      <c r="AJ394" s="1044"/>
      <c r="AK394" s="1047"/>
      <c r="AL394" s="1044"/>
      <c r="AM394" s="1009"/>
      <c r="AN394" s="1034"/>
      <c r="AO394" s="1034"/>
      <c r="AP394" s="1084"/>
      <c r="AQ394" s="1084"/>
      <c r="AR394" s="1009"/>
      <c r="AS394" s="1009"/>
      <c r="AT394" s="1009"/>
      <c r="AU394" s="1009"/>
      <c r="AV394" s="1009"/>
      <c r="AW394" s="1009"/>
      <c r="AX394" s="1009"/>
      <c r="AY394" s="1009"/>
      <c r="AZ394" s="1009"/>
      <c r="BA394" s="1009"/>
      <c r="BB394" s="1009"/>
      <c r="BC394" s="1009"/>
      <c r="BD394" s="1009"/>
      <c r="BE394" s="1009"/>
      <c r="BF394" s="1009"/>
      <c r="BG394" s="1009"/>
      <c r="BH394" s="1009"/>
      <c r="BI394" s="1009"/>
      <c r="BJ394" s="1009"/>
      <c r="BK394" s="1009"/>
      <c r="BL394" s="1009"/>
      <c r="BM394" s="1009"/>
      <c r="BN394" s="1009"/>
      <c r="BO394" s="1009"/>
      <c r="BP394" s="1009"/>
      <c r="BQ394" s="1009"/>
      <c r="BR394" s="1009"/>
      <c r="BS394" s="1009"/>
      <c r="BT394" s="1009"/>
      <c r="BU394" s="1009"/>
      <c r="BV394" s="1009"/>
      <c r="BW394" s="1009"/>
      <c r="BX394" s="1009"/>
      <c r="BY394" s="1009"/>
      <c r="BZ394" s="1009"/>
      <c r="CA394" s="1009"/>
      <c r="CB394" s="1009"/>
      <c r="CC394" s="1009"/>
      <c r="CD394" s="1009"/>
      <c r="CE394" s="1009"/>
      <c r="CF394" s="1009"/>
      <c r="CG394" s="1009"/>
      <c r="CH394" s="1009"/>
      <c r="CI394" s="1009"/>
      <c r="CJ394" s="1009"/>
      <c r="CK394" s="1009"/>
      <c r="CL394" s="1009"/>
      <c r="CM394" s="1009"/>
      <c r="CN394" s="1009"/>
      <c r="CO394" s="1009"/>
      <c r="CP394" s="1009"/>
      <c r="CQ394" s="1009"/>
      <c r="CR394" s="1009"/>
      <c r="CS394" s="1009"/>
      <c r="CT394" s="1009"/>
      <c r="CU394" s="1009"/>
      <c r="CV394" s="1009"/>
      <c r="CW394" s="1009"/>
      <c r="CX394" s="1009"/>
      <c r="CY394" s="1009"/>
      <c r="CZ394" s="1009"/>
      <c r="DA394" s="1009"/>
      <c r="DB394" s="1009"/>
      <c r="DC394" s="1009"/>
      <c r="DD394" s="1009"/>
      <c r="DE394" s="1009"/>
      <c r="DF394" s="1009"/>
      <c r="DG394" s="1009"/>
      <c r="DH394" s="1009"/>
      <c r="DI394" s="1009"/>
      <c r="DJ394" s="1009"/>
      <c r="DK394" s="1009"/>
      <c r="DL394" s="1009"/>
      <c r="DM394" s="1009"/>
      <c r="DN394" s="1009"/>
      <c r="DO394" s="1009"/>
      <c r="DP394" s="1009"/>
      <c r="DQ394" s="1009"/>
      <c r="DR394" s="1009"/>
      <c r="DS394" s="1009"/>
      <c r="DT394" s="1009"/>
      <c r="DU394" s="1009"/>
      <c r="DV394" s="1009"/>
      <c r="DW394" s="1009"/>
      <c r="DX394" s="1009"/>
      <c r="DY394" s="1009"/>
      <c r="DZ394" s="1009"/>
      <c r="EA394" s="1009"/>
      <c r="EB394" s="1009"/>
      <c r="EC394" s="1009"/>
      <c r="ED394" s="1009"/>
      <c r="EE394" s="1009"/>
      <c r="EF394" s="1009"/>
      <c r="EG394" s="1009"/>
      <c r="EH394" s="1009"/>
      <c r="EI394" s="1009"/>
      <c r="EJ394" s="1009"/>
      <c r="EK394" s="1009"/>
      <c r="EL394" s="1009"/>
      <c r="EM394" s="1009"/>
      <c r="EN394" s="1009"/>
      <c r="EO394" s="1009"/>
      <c r="EP394" s="1009"/>
      <c r="EQ394" s="1009"/>
      <c r="ER394" s="1009"/>
      <c r="ES394" s="1009"/>
      <c r="ET394" s="1009"/>
      <c r="EU394" s="1009"/>
      <c r="EV394" s="1009"/>
      <c r="EW394" s="1009"/>
      <c r="EX394" s="1009"/>
      <c r="EY394" s="1009"/>
      <c r="EZ394" s="1009"/>
      <c r="FA394" s="1009"/>
      <c r="FB394" s="1009"/>
      <c r="FC394" s="1009"/>
      <c r="FD394" s="1009"/>
      <c r="FE394" s="1009"/>
      <c r="FF394" s="1009"/>
      <c r="FG394" s="1009"/>
      <c r="FH394" s="1009"/>
      <c r="FI394" s="1009"/>
      <c r="FJ394" s="1009"/>
      <c r="FK394" s="1009"/>
      <c r="FL394" s="1009"/>
      <c r="FM394" s="1009"/>
      <c r="FN394" s="1009"/>
      <c r="FO394" s="1009"/>
      <c r="FP394" s="1009"/>
      <c r="FQ394" s="1009"/>
      <c r="FR394" s="1009"/>
      <c r="FS394" s="1009"/>
      <c r="FT394" s="1009"/>
      <c r="FU394" s="1009"/>
      <c r="FV394" s="1009"/>
      <c r="FW394" s="1009"/>
      <c r="FX394" s="1009"/>
      <c r="FY394" s="1009"/>
      <c r="FZ394" s="1009"/>
      <c r="GA394" s="1009"/>
      <c r="GB394" s="1009"/>
      <c r="GC394" s="1009"/>
      <c r="GD394" s="1009"/>
      <c r="GE394" s="1009"/>
      <c r="GF394" s="1009"/>
      <c r="GG394" s="1009"/>
      <c r="GH394" s="1009"/>
      <c r="GI394" s="1009"/>
      <c r="GJ394" s="1009"/>
      <c r="GK394" s="1009"/>
      <c r="GL394" s="1009"/>
      <c r="GM394" s="1009"/>
      <c r="GN394" s="1009"/>
      <c r="GO394" s="1009"/>
      <c r="GP394" s="1009"/>
      <c r="GQ394" s="1009"/>
      <c r="GR394" s="1009"/>
      <c r="GS394" s="1009"/>
      <c r="GT394" s="1009"/>
      <c r="GU394" s="1009"/>
      <c r="GV394" s="1009"/>
      <c r="GW394" s="1009"/>
      <c r="GX394" s="1009"/>
      <c r="GY394" s="1009"/>
      <c r="GZ394" s="1009"/>
      <c r="HA394" s="1009"/>
      <c r="HB394" s="1009"/>
      <c r="HC394" s="1009"/>
      <c r="HD394" s="1009"/>
      <c r="HE394" s="1009"/>
      <c r="HF394" s="1009"/>
      <c r="HG394" s="1009"/>
      <c r="HH394" s="1009"/>
      <c r="HI394" s="1009"/>
      <c r="HJ394" s="1009"/>
      <c r="HK394" s="1009"/>
      <c r="HL394" s="1009"/>
      <c r="HM394" s="1009"/>
      <c r="HN394" s="1009"/>
      <c r="HO394" s="1009"/>
      <c r="HP394" s="1009"/>
      <c r="HQ394" s="1009"/>
      <c r="HR394" s="1009"/>
      <c r="HS394" s="1009"/>
      <c r="HT394" s="1009"/>
      <c r="HU394" s="1009"/>
      <c r="HV394" s="1009"/>
      <c r="HW394" s="1009"/>
      <c r="HX394" s="1009"/>
      <c r="HY394" s="1009"/>
      <c r="HZ394" s="1009"/>
      <c r="IA394" s="1009"/>
      <c r="IB394" s="1009"/>
      <c r="IC394" s="1009"/>
      <c r="ID394" s="1009"/>
      <c r="IE394" s="1009"/>
      <c r="IF394" s="1009"/>
      <c r="IG394" s="1009"/>
      <c r="IH394" s="1009"/>
      <c r="II394" s="1009"/>
      <c r="IJ394" s="1009"/>
      <c r="IK394" s="1009"/>
      <c r="IL394" s="1009"/>
      <c r="IM394" s="1009"/>
      <c r="IN394" s="1009"/>
      <c r="IO394" s="1009"/>
      <c r="IP394" s="1009"/>
      <c r="IQ394" s="1009"/>
      <c r="IR394" s="1009"/>
      <c r="IS394" s="1009"/>
      <c r="IT394" s="1009"/>
      <c r="IU394" s="1009"/>
      <c r="IV394" s="1009"/>
      <c r="IW394" s="1009"/>
    </row>
    <row r="395" spans="1:257" s="1277" customFormat="1" ht="12" customHeight="1">
      <c r="A395" s="1038"/>
      <c r="B395" s="1038"/>
      <c r="C395" s="1039"/>
      <c r="D395" s="1026"/>
      <c r="E395" s="1034"/>
      <c r="F395" s="1034"/>
      <c r="G395" s="1034"/>
      <c r="H395" s="1604"/>
      <c r="I395" s="1042"/>
      <c r="J395" s="1042"/>
      <c r="K395" s="1042"/>
      <c r="L395" s="1042"/>
      <c r="M395" s="1042"/>
      <c r="N395" s="1042"/>
      <c r="O395" s="1042"/>
      <c r="P395" s="1042"/>
      <c r="Q395" s="1042"/>
      <c r="R395" s="1042"/>
      <c r="S395" s="1042"/>
      <c r="T395" s="1042"/>
      <c r="U395" s="1042"/>
      <c r="V395" s="1042"/>
      <c r="W395" s="1042"/>
      <c r="X395" s="1042"/>
      <c r="Y395" s="1042"/>
      <c r="Z395" s="1042"/>
      <c r="AA395" s="1042"/>
      <c r="AB395" s="1042"/>
      <c r="AC395" s="1042"/>
      <c r="AD395" s="1042"/>
      <c r="AE395" s="1042"/>
      <c r="AF395" s="1042"/>
      <c r="AG395" s="1042"/>
      <c r="AH395" s="1605"/>
      <c r="AI395" s="1605"/>
      <c r="AJ395" s="1044"/>
      <c r="AK395" s="1047"/>
      <c r="AL395" s="1044"/>
      <c r="AM395" s="1009"/>
      <c r="AN395" s="1034"/>
      <c r="AO395" s="1034"/>
      <c r="AP395" s="1084"/>
      <c r="AQ395" s="1084"/>
      <c r="AR395" s="1009"/>
      <c r="AS395" s="1009"/>
      <c r="AT395" s="1009"/>
      <c r="AU395" s="1009"/>
      <c r="AV395" s="1009"/>
      <c r="AW395" s="1009"/>
      <c r="AX395" s="1009"/>
      <c r="AY395" s="1009"/>
      <c r="AZ395" s="1009"/>
      <c r="BA395" s="1009"/>
      <c r="BB395" s="1009"/>
      <c r="BC395" s="1009"/>
      <c r="BD395" s="1009"/>
      <c r="BE395" s="1009"/>
      <c r="BF395" s="1009"/>
      <c r="BG395" s="1009"/>
      <c r="BH395" s="1009"/>
      <c r="BI395" s="1009"/>
      <c r="BJ395" s="1009"/>
      <c r="BK395" s="1009"/>
      <c r="BL395" s="1009"/>
      <c r="BM395" s="1009"/>
      <c r="BN395" s="1009"/>
      <c r="BO395" s="1009"/>
      <c r="BP395" s="1009"/>
      <c r="BQ395" s="1009"/>
      <c r="BR395" s="1009"/>
      <c r="BS395" s="1009"/>
      <c r="BT395" s="1009"/>
      <c r="BU395" s="1009"/>
      <c r="BV395" s="1009"/>
      <c r="BW395" s="1009"/>
      <c r="BX395" s="1009"/>
      <c r="BY395" s="1009"/>
      <c r="BZ395" s="1009"/>
      <c r="CA395" s="1009"/>
      <c r="CB395" s="1009"/>
      <c r="CC395" s="1009"/>
      <c r="CD395" s="1009"/>
      <c r="CE395" s="1009"/>
      <c r="CF395" s="1009"/>
      <c r="CG395" s="1009"/>
      <c r="CH395" s="1009"/>
      <c r="CI395" s="1009"/>
      <c r="CJ395" s="1009"/>
      <c r="CK395" s="1009"/>
      <c r="CL395" s="1009"/>
      <c r="CM395" s="1009"/>
      <c r="CN395" s="1009"/>
      <c r="CO395" s="1009"/>
      <c r="CP395" s="1009"/>
      <c r="CQ395" s="1009"/>
      <c r="CR395" s="1009"/>
      <c r="CS395" s="1009"/>
      <c r="CT395" s="1009"/>
      <c r="CU395" s="1009"/>
      <c r="CV395" s="1009"/>
      <c r="CW395" s="1009"/>
      <c r="CX395" s="1009"/>
      <c r="CY395" s="1009"/>
      <c r="CZ395" s="1009"/>
      <c r="DA395" s="1009"/>
      <c r="DB395" s="1009"/>
      <c r="DC395" s="1009"/>
      <c r="DD395" s="1009"/>
      <c r="DE395" s="1009"/>
      <c r="DF395" s="1009"/>
      <c r="DG395" s="1009"/>
      <c r="DH395" s="1009"/>
      <c r="DI395" s="1009"/>
      <c r="DJ395" s="1009"/>
      <c r="DK395" s="1009"/>
      <c r="DL395" s="1009"/>
      <c r="DM395" s="1009"/>
      <c r="DN395" s="1009"/>
      <c r="DO395" s="1009"/>
      <c r="DP395" s="1009"/>
      <c r="DQ395" s="1009"/>
      <c r="DR395" s="1009"/>
      <c r="DS395" s="1009"/>
      <c r="DT395" s="1009"/>
      <c r="DU395" s="1009"/>
      <c r="DV395" s="1009"/>
      <c r="DW395" s="1009"/>
      <c r="DX395" s="1009"/>
      <c r="DY395" s="1009"/>
      <c r="DZ395" s="1009"/>
      <c r="EA395" s="1009"/>
      <c r="EB395" s="1009"/>
      <c r="EC395" s="1009"/>
      <c r="ED395" s="1009"/>
      <c r="EE395" s="1009"/>
      <c r="EF395" s="1009"/>
      <c r="EG395" s="1009"/>
      <c r="EH395" s="1009"/>
      <c r="EI395" s="1009"/>
      <c r="EJ395" s="1009"/>
      <c r="EK395" s="1009"/>
      <c r="EL395" s="1009"/>
      <c r="EM395" s="1009"/>
      <c r="EN395" s="1009"/>
      <c r="EO395" s="1009"/>
      <c r="EP395" s="1009"/>
      <c r="EQ395" s="1009"/>
      <c r="ER395" s="1009"/>
      <c r="ES395" s="1009"/>
      <c r="ET395" s="1009"/>
      <c r="EU395" s="1009"/>
      <c r="EV395" s="1009"/>
      <c r="EW395" s="1009"/>
      <c r="EX395" s="1009"/>
      <c r="EY395" s="1009"/>
      <c r="EZ395" s="1009"/>
      <c r="FA395" s="1009"/>
      <c r="FB395" s="1009"/>
      <c r="FC395" s="1009"/>
      <c r="FD395" s="1009"/>
      <c r="FE395" s="1009"/>
      <c r="FF395" s="1009"/>
      <c r="FG395" s="1009"/>
      <c r="FH395" s="1009"/>
      <c r="FI395" s="1009"/>
      <c r="FJ395" s="1009"/>
      <c r="FK395" s="1009"/>
      <c r="FL395" s="1009"/>
      <c r="FM395" s="1009"/>
      <c r="FN395" s="1009"/>
      <c r="FO395" s="1009"/>
      <c r="FP395" s="1009"/>
      <c r="FQ395" s="1009"/>
      <c r="FR395" s="1009"/>
      <c r="FS395" s="1009"/>
      <c r="FT395" s="1009"/>
      <c r="FU395" s="1009"/>
      <c r="FV395" s="1009"/>
      <c r="FW395" s="1009"/>
      <c r="FX395" s="1009"/>
      <c r="FY395" s="1009"/>
      <c r="FZ395" s="1009"/>
      <c r="GA395" s="1009"/>
      <c r="GB395" s="1009"/>
      <c r="GC395" s="1009"/>
      <c r="GD395" s="1009"/>
      <c r="GE395" s="1009"/>
      <c r="GF395" s="1009"/>
      <c r="GG395" s="1009"/>
      <c r="GH395" s="1009"/>
      <c r="GI395" s="1009"/>
      <c r="GJ395" s="1009"/>
      <c r="GK395" s="1009"/>
      <c r="GL395" s="1009"/>
      <c r="GM395" s="1009"/>
      <c r="GN395" s="1009"/>
      <c r="GO395" s="1009"/>
      <c r="GP395" s="1009"/>
      <c r="GQ395" s="1009"/>
      <c r="GR395" s="1009"/>
      <c r="GS395" s="1009"/>
      <c r="GT395" s="1009"/>
      <c r="GU395" s="1009"/>
      <c r="GV395" s="1009"/>
      <c r="GW395" s="1009"/>
      <c r="GX395" s="1009"/>
      <c r="GY395" s="1009"/>
      <c r="GZ395" s="1009"/>
      <c r="HA395" s="1009"/>
      <c r="HB395" s="1009"/>
      <c r="HC395" s="1009"/>
      <c r="HD395" s="1009"/>
      <c r="HE395" s="1009"/>
      <c r="HF395" s="1009"/>
      <c r="HG395" s="1009"/>
      <c r="HH395" s="1009"/>
      <c r="HI395" s="1009"/>
      <c r="HJ395" s="1009"/>
      <c r="HK395" s="1009"/>
      <c r="HL395" s="1009"/>
      <c r="HM395" s="1009"/>
      <c r="HN395" s="1009"/>
      <c r="HO395" s="1009"/>
      <c r="HP395" s="1009"/>
      <c r="HQ395" s="1009"/>
      <c r="HR395" s="1009"/>
      <c r="HS395" s="1009"/>
      <c r="HT395" s="1009"/>
      <c r="HU395" s="1009"/>
      <c r="HV395" s="1009"/>
      <c r="HW395" s="1009"/>
      <c r="HX395" s="1009"/>
      <c r="HY395" s="1009"/>
      <c r="HZ395" s="1009"/>
      <c r="IA395" s="1009"/>
      <c r="IB395" s="1009"/>
      <c r="IC395" s="1009"/>
      <c r="ID395" s="1009"/>
      <c r="IE395" s="1009"/>
      <c r="IF395" s="1009"/>
      <c r="IG395" s="1009"/>
      <c r="IH395" s="1009"/>
      <c r="II395" s="1009"/>
      <c r="IJ395" s="1009"/>
      <c r="IK395" s="1009"/>
      <c r="IL395" s="1009"/>
      <c r="IM395" s="1009"/>
      <c r="IN395" s="1009"/>
      <c r="IO395" s="1009"/>
      <c r="IP395" s="1009"/>
      <c r="IQ395" s="1009"/>
      <c r="IR395" s="1009"/>
      <c r="IS395" s="1009"/>
      <c r="IT395" s="1009"/>
      <c r="IU395" s="1009"/>
      <c r="IV395" s="1009"/>
      <c r="IW395" s="1009"/>
    </row>
    <row r="396" spans="1:257" s="1277" customFormat="1" ht="12" customHeight="1">
      <c r="A396" s="1038"/>
      <c r="B396" s="1038"/>
      <c r="C396" s="1039"/>
      <c r="D396" s="1026"/>
      <c r="E396" s="1034"/>
      <c r="F396" s="1034"/>
      <c r="G396" s="1034"/>
      <c r="H396" s="1604"/>
      <c r="I396" s="1042"/>
      <c r="J396" s="1042"/>
      <c r="K396" s="1042"/>
      <c r="L396" s="1042"/>
      <c r="M396" s="1042"/>
      <c r="N396" s="1042"/>
      <c r="O396" s="1042"/>
      <c r="P396" s="1042"/>
      <c r="Q396" s="1042"/>
      <c r="R396" s="1042"/>
      <c r="S396" s="1042"/>
      <c r="T396" s="1042"/>
      <c r="U396" s="1042"/>
      <c r="V396" s="1042"/>
      <c r="W396" s="1042"/>
      <c r="X396" s="1042"/>
      <c r="Y396" s="1042"/>
      <c r="Z396" s="1042"/>
      <c r="AA396" s="1042"/>
      <c r="AB396" s="1042"/>
      <c r="AC396" s="1042"/>
      <c r="AD396" s="1042"/>
      <c r="AE396" s="1042"/>
      <c r="AF396" s="1042"/>
      <c r="AG396" s="1042"/>
      <c r="AH396" s="1605"/>
      <c r="AI396" s="1605"/>
      <c r="AJ396" s="1044"/>
      <c r="AK396" s="1047"/>
      <c r="AL396" s="1044"/>
      <c r="AM396" s="1009"/>
      <c r="AN396" s="1034"/>
      <c r="AO396" s="1034"/>
      <c r="AP396" s="1084"/>
      <c r="AQ396" s="1084"/>
      <c r="AR396" s="1009"/>
      <c r="AS396" s="1009"/>
      <c r="AT396" s="1009"/>
      <c r="AU396" s="1009"/>
      <c r="AV396" s="1009"/>
      <c r="AW396" s="1009"/>
      <c r="AX396" s="1009"/>
      <c r="AY396" s="1009"/>
      <c r="AZ396" s="1009"/>
      <c r="BA396" s="1009"/>
      <c r="BB396" s="1009"/>
      <c r="BC396" s="1009"/>
      <c r="BD396" s="1009"/>
      <c r="BE396" s="1009"/>
      <c r="BF396" s="1009"/>
      <c r="BG396" s="1009"/>
      <c r="BH396" s="1009"/>
      <c r="BI396" s="1009"/>
      <c r="BJ396" s="1009"/>
      <c r="BK396" s="1009"/>
      <c r="BL396" s="1009"/>
      <c r="BM396" s="1009"/>
      <c r="BN396" s="1009"/>
      <c r="BO396" s="1009"/>
      <c r="BP396" s="1009"/>
      <c r="BQ396" s="1009"/>
      <c r="BR396" s="1009"/>
      <c r="BS396" s="1009"/>
      <c r="BT396" s="1009"/>
      <c r="BU396" s="1009"/>
      <c r="BV396" s="1009"/>
      <c r="BW396" s="1009"/>
      <c r="BX396" s="1009"/>
      <c r="BY396" s="1009"/>
      <c r="BZ396" s="1009"/>
      <c r="CA396" s="1009"/>
      <c r="CB396" s="1009"/>
      <c r="CC396" s="1009"/>
      <c r="CD396" s="1009"/>
      <c r="CE396" s="1009"/>
      <c r="CF396" s="1009"/>
      <c r="CG396" s="1009"/>
      <c r="CH396" s="1009"/>
      <c r="CI396" s="1009"/>
      <c r="CJ396" s="1009"/>
      <c r="CK396" s="1009"/>
      <c r="CL396" s="1009"/>
      <c r="CM396" s="1009"/>
      <c r="CN396" s="1009"/>
      <c r="CO396" s="1009"/>
      <c r="CP396" s="1009"/>
      <c r="CQ396" s="1009"/>
      <c r="CR396" s="1009"/>
      <c r="CS396" s="1009"/>
      <c r="CT396" s="1009"/>
      <c r="CU396" s="1009"/>
      <c r="CV396" s="1009"/>
      <c r="CW396" s="1009"/>
      <c r="CX396" s="1009"/>
      <c r="CY396" s="1009"/>
      <c r="CZ396" s="1009"/>
      <c r="DA396" s="1009"/>
      <c r="DB396" s="1009"/>
      <c r="DC396" s="1009"/>
      <c r="DD396" s="1009"/>
      <c r="DE396" s="1009"/>
      <c r="DF396" s="1009"/>
      <c r="DG396" s="1009"/>
      <c r="DH396" s="1009"/>
      <c r="DI396" s="1009"/>
      <c r="DJ396" s="1009"/>
      <c r="DK396" s="1009"/>
      <c r="DL396" s="1009"/>
      <c r="DM396" s="1009"/>
      <c r="DN396" s="1009"/>
      <c r="DO396" s="1009"/>
      <c r="DP396" s="1009"/>
      <c r="DQ396" s="1009"/>
      <c r="DR396" s="1009"/>
      <c r="DS396" s="1009"/>
      <c r="DT396" s="1009"/>
      <c r="DU396" s="1009"/>
      <c r="DV396" s="1009"/>
      <c r="DW396" s="1009"/>
      <c r="DX396" s="1009"/>
      <c r="DY396" s="1009"/>
      <c r="DZ396" s="1009"/>
      <c r="EA396" s="1009"/>
      <c r="EB396" s="1009"/>
      <c r="EC396" s="1009"/>
      <c r="ED396" s="1009"/>
      <c r="EE396" s="1009"/>
      <c r="EF396" s="1009"/>
      <c r="EG396" s="1009"/>
      <c r="EH396" s="1009"/>
      <c r="EI396" s="1009"/>
      <c r="EJ396" s="1009"/>
      <c r="EK396" s="1009"/>
      <c r="EL396" s="1009"/>
      <c r="EM396" s="1009"/>
      <c r="EN396" s="1009"/>
      <c r="EO396" s="1009"/>
      <c r="EP396" s="1009"/>
      <c r="EQ396" s="1009"/>
      <c r="ER396" s="1009"/>
      <c r="ES396" s="1009"/>
      <c r="ET396" s="1009"/>
      <c r="EU396" s="1009"/>
      <c r="EV396" s="1009"/>
      <c r="EW396" s="1009"/>
      <c r="EX396" s="1009"/>
      <c r="EY396" s="1009"/>
      <c r="EZ396" s="1009"/>
      <c r="FA396" s="1009"/>
      <c r="FB396" s="1009"/>
      <c r="FC396" s="1009"/>
      <c r="FD396" s="1009"/>
      <c r="FE396" s="1009"/>
      <c r="FF396" s="1009"/>
      <c r="FG396" s="1009"/>
      <c r="FH396" s="1009"/>
      <c r="FI396" s="1009"/>
      <c r="FJ396" s="1009"/>
      <c r="FK396" s="1009"/>
      <c r="FL396" s="1009"/>
      <c r="FM396" s="1009"/>
      <c r="FN396" s="1009"/>
      <c r="FO396" s="1009"/>
      <c r="FP396" s="1009"/>
      <c r="FQ396" s="1009"/>
      <c r="FR396" s="1009"/>
      <c r="FS396" s="1009"/>
      <c r="FT396" s="1009"/>
      <c r="FU396" s="1009"/>
      <c r="FV396" s="1009"/>
      <c r="FW396" s="1009"/>
      <c r="FX396" s="1009"/>
      <c r="FY396" s="1009"/>
      <c r="FZ396" s="1009"/>
      <c r="GA396" s="1009"/>
      <c r="GB396" s="1009"/>
      <c r="GC396" s="1009"/>
      <c r="GD396" s="1009"/>
      <c r="GE396" s="1009"/>
      <c r="GF396" s="1009"/>
      <c r="GG396" s="1009"/>
      <c r="GH396" s="1009"/>
      <c r="GI396" s="1009"/>
      <c r="GJ396" s="1009"/>
      <c r="GK396" s="1009"/>
      <c r="GL396" s="1009"/>
      <c r="GM396" s="1009"/>
      <c r="GN396" s="1009"/>
      <c r="GO396" s="1009"/>
      <c r="GP396" s="1009"/>
      <c r="GQ396" s="1009"/>
      <c r="GR396" s="1009"/>
      <c r="GS396" s="1009"/>
      <c r="GT396" s="1009"/>
      <c r="GU396" s="1009"/>
      <c r="GV396" s="1009"/>
      <c r="GW396" s="1009"/>
      <c r="GX396" s="1009"/>
      <c r="GY396" s="1009"/>
      <c r="GZ396" s="1009"/>
      <c r="HA396" s="1009"/>
      <c r="HB396" s="1009"/>
      <c r="HC396" s="1009"/>
      <c r="HD396" s="1009"/>
      <c r="HE396" s="1009"/>
      <c r="HF396" s="1009"/>
      <c r="HG396" s="1009"/>
      <c r="HH396" s="1009"/>
      <c r="HI396" s="1009"/>
      <c r="HJ396" s="1009"/>
      <c r="HK396" s="1009"/>
      <c r="HL396" s="1009"/>
      <c r="HM396" s="1009"/>
      <c r="HN396" s="1009"/>
      <c r="HO396" s="1009"/>
      <c r="HP396" s="1009"/>
      <c r="HQ396" s="1009"/>
      <c r="HR396" s="1009"/>
      <c r="HS396" s="1009"/>
      <c r="HT396" s="1009"/>
      <c r="HU396" s="1009"/>
      <c r="HV396" s="1009"/>
      <c r="HW396" s="1009"/>
      <c r="HX396" s="1009"/>
      <c r="HY396" s="1009"/>
      <c r="HZ396" s="1009"/>
      <c r="IA396" s="1009"/>
      <c r="IB396" s="1009"/>
      <c r="IC396" s="1009"/>
      <c r="ID396" s="1009"/>
      <c r="IE396" s="1009"/>
      <c r="IF396" s="1009"/>
      <c r="IG396" s="1009"/>
      <c r="IH396" s="1009"/>
      <c r="II396" s="1009"/>
      <c r="IJ396" s="1009"/>
      <c r="IK396" s="1009"/>
      <c r="IL396" s="1009"/>
      <c r="IM396" s="1009"/>
      <c r="IN396" s="1009"/>
      <c r="IO396" s="1009"/>
      <c r="IP396" s="1009"/>
      <c r="IQ396" s="1009"/>
      <c r="IR396" s="1009"/>
      <c r="IS396" s="1009"/>
      <c r="IT396" s="1009"/>
      <c r="IU396" s="1009"/>
      <c r="IV396" s="1009"/>
      <c r="IW396" s="1009"/>
    </row>
    <row r="397" spans="1:257" s="1277" customFormat="1" ht="12" customHeight="1">
      <c r="A397" s="1038"/>
      <c r="B397" s="1038"/>
      <c r="C397" s="1039"/>
      <c r="D397" s="1026"/>
      <c r="E397" s="1034"/>
      <c r="F397" s="1034"/>
      <c r="G397" s="1034"/>
      <c r="H397" s="1604"/>
      <c r="I397" s="1042"/>
      <c r="J397" s="1042"/>
      <c r="K397" s="1042"/>
      <c r="L397" s="1042"/>
      <c r="M397" s="1042"/>
      <c r="N397" s="1042"/>
      <c r="O397" s="1042"/>
      <c r="P397" s="1042"/>
      <c r="Q397" s="1042"/>
      <c r="R397" s="1042"/>
      <c r="S397" s="1042"/>
      <c r="T397" s="1042"/>
      <c r="U397" s="1042"/>
      <c r="V397" s="1042"/>
      <c r="W397" s="1042"/>
      <c r="X397" s="1042"/>
      <c r="Y397" s="1042"/>
      <c r="Z397" s="1042"/>
      <c r="AA397" s="1042"/>
      <c r="AB397" s="1042"/>
      <c r="AC397" s="1042"/>
      <c r="AD397" s="1042"/>
      <c r="AE397" s="1042"/>
      <c r="AF397" s="1042"/>
      <c r="AG397" s="1042"/>
      <c r="AH397" s="1605"/>
      <c r="AI397" s="1605"/>
      <c r="AJ397" s="1044"/>
      <c r="AK397" s="1047"/>
      <c r="AL397" s="1044"/>
      <c r="AM397" s="1009"/>
      <c r="AN397" s="1034"/>
      <c r="AO397" s="1034"/>
      <c r="AP397" s="1084"/>
      <c r="AQ397" s="1084"/>
      <c r="AR397" s="1009"/>
      <c r="AS397" s="1009"/>
      <c r="AT397" s="1009"/>
      <c r="AU397" s="1009"/>
      <c r="AV397" s="1009"/>
      <c r="AW397" s="1009"/>
      <c r="AX397" s="1009"/>
      <c r="AY397" s="1009"/>
      <c r="AZ397" s="1009"/>
      <c r="BA397" s="1009"/>
      <c r="BB397" s="1009"/>
      <c r="BC397" s="1009"/>
      <c r="BD397" s="1009"/>
      <c r="BE397" s="1009"/>
      <c r="BF397" s="1009"/>
      <c r="BG397" s="1009"/>
      <c r="BH397" s="1009"/>
      <c r="BI397" s="1009"/>
      <c r="BJ397" s="1009"/>
      <c r="BK397" s="1009"/>
      <c r="BL397" s="1009"/>
      <c r="BM397" s="1009"/>
      <c r="BN397" s="1009"/>
      <c r="BO397" s="1009"/>
      <c r="BP397" s="1009"/>
      <c r="BQ397" s="1009"/>
      <c r="BR397" s="1009"/>
      <c r="BS397" s="1009"/>
      <c r="BT397" s="1009"/>
      <c r="BU397" s="1009"/>
      <c r="BV397" s="1009"/>
      <c r="BW397" s="1009"/>
      <c r="BX397" s="1009"/>
      <c r="BY397" s="1009"/>
      <c r="BZ397" s="1009"/>
      <c r="CA397" s="1009"/>
      <c r="CB397" s="1009"/>
      <c r="CC397" s="1009"/>
      <c r="CD397" s="1009"/>
      <c r="CE397" s="1009"/>
      <c r="CF397" s="1009"/>
      <c r="CG397" s="1009"/>
      <c r="CH397" s="1009"/>
      <c r="CI397" s="1009"/>
      <c r="CJ397" s="1009"/>
      <c r="CK397" s="1009"/>
      <c r="CL397" s="1009"/>
      <c r="CM397" s="1009"/>
      <c r="CN397" s="1009"/>
      <c r="CO397" s="1009"/>
      <c r="CP397" s="1009"/>
      <c r="CQ397" s="1009"/>
      <c r="CR397" s="1009"/>
      <c r="CS397" s="1009"/>
      <c r="CT397" s="1009"/>
      <c r="CU397" s="1009"/>
      <c r="CV397" s="1009"/>
      <c r="CW397" s="1009"/>
      <c r="CX397" s="1009"/>
      <c r="CY397" s="1009"/>
      <c r="CZ397" s="1009"/>
      <c r="DA397" s="1009"/>
      <c r="DB397" s="1009"/>
      <c r="DC397" s="1009"/>
      <c r="DD397" s="1009"/>
      <c r="DE397" s="1009"/>
      <c r="DF397" s="1009"/>
      <c r="DG397" s="1009"/>
      <c r="DH397" s="1009"/>
      <c r="DI397" s="1009"/>
      <c r="DJ397" s="1009"/>
      <c r="DK397" s="1009"/>
      <c r="DL397" s="1009"/>
      <c r="DM397" s="1009"/>
      <c r="DN397" s="1009"/>
      <c r="DO397" s="1009"/>
      <c r="DP397" s="1009"/>
      <c r="DQ397" s="1009"/>
      <c r="DR397" s="1009"/>
      <c r="DS397" s="1009"/>
      <c r="DT397" s="1009"/>
      <c r="DU397" s="1009"/>
      <c r="DV397" s="1009"/>
      <c r="DW397" s="1009"/>
      <c r="DX397" s="1009"/>
      <c r="DY397" s="1009"/>
      <c r="DZ397" s="1009"/>
      <c r="EA397" s="1009"/>
      <c r="EB397" s="1009"/>
      <c r="EC397" s="1009"/>
      <c r="ED397" s="1009"/>
      <c r="EE397" s="1009"/>
      <c r="EF397" s="1009"/>
      <c r="EG397" s="1009"/>
      <c r="EH397" s="1009"/>
      <c r="EI397" s="1009"/>
      <c r="EJ397" s="1009"/>
      <c r="EK397" s="1009"/>
      <c r="EL397" s="1009"/>
      <c r="EM397" s="1009"/>
      <c r="EN397" s="1009"/>
      <c r="EO397" s="1009"/>
      <c r="EP397" s="1009"/>
      <c r="EQ397" s="1009"/>
      <c r="ER397" s="1009"/>
      <c r="ES397" s="1009"/>
      <c r="ET397" s="1009"/>
      <c r="EU397" s="1009"/>
      <c r="EV397" s="1009"/>
      <c r="EW397" s="1009"/>
      <c r="EX397" s="1009"/>
      <c r="EY397" s="1009"/>
      <c r="EZ397" s="1009"/>
      <c r="FA397" s="1009"/>
      <c r="FB397" s="1009"/>
      <c r="FC397" s="1009"/>
      <c r="FD397" s="1009"/>
      <c r="FE397" s="1009"/>
      <c r="FF397" s="1009"/>
      <c r="FG397" s="1009"/>
      <c r="FH397" s="1009"/>
      <c r="FI397" s="1009"/>
      <c r="FJ397" s="1009"/>
      <c r="FK397" s="1009"/>
      <c r="FL397" s="1009"/>
      <c r="FM397" s="1009"/>
      <c r="FN397" s="1009"/>
      <c r="FO397" s="1009"/>
      <c r="FP397" s="1009"/>
      <c r="FQ397" s="1009"/>
      <c r="FR397" s="1009"/>
      <c r="FS397" s="1009"/>
      <c r="FT397" s="1009"/>
      <c r="FU397" s="1009"/>
      <c r="FV397" s="1009"/>
      <c r="FW397" s="1009"/>
      <c r="FX397" s="1009"/>
      <c r="FY397" s="1009"/>
      <c r="FZ397" s="1009"/>
      <c r="GA397" s="1009"/>
      <c r="GB397" s="1009"/>
      <c r="GC397" s="1009"/>
      <c r="GD397" s="1009"/>
      <c r="GE397" s="1009"/>
      <c r="GF397" s="1009"/>
      <c r="GG397" s="1009"/>
      <c r="GH397" s="1009"/>
      <c r="GI397" s="1009"/>
      <c r="GJ397" s="1009"/>
      <c r="GK397" s="1009"/>
      <c r="GL397" s="1009"/>
      <c r="GM397" s="1009"/>
      <c r="GN397" s="1009"/>
      <c r="GO397" s="1009"/>
      <c r="GP397" s="1009"/>
      <c r="GQ397" s="1009"/>
      <c r="GR397" s="1009"/>
      <c r="GS397" s="1009"/>
      <c r="GT397" s="1009"/>
      <c r="GU397" s="1009"/>
      <c r="GV397" s="1009"/>
      <c r="GW397" s="1009"/>
      <c r="GX397" s="1009"/>
      <c r="GY397" s="1009"/>
      <c r="GZ397" s="1009"/>
      <c r="HA397" s="1009"/>
      <c r="HB397" s="1009"/>
      <c r="HC397" s="1009"/>
      <c r="HD397" s="1009"/>
      <c r="HE397" s="1009"/>
      <c r="HF397" s="1009"/>
      <c r="HG397" s="1009"/>
      <c r="HH397" s="1009"/>
      <c r="HI397" s="1009"/>
      <c r="HJ397" s="1009"/>
      <c r="HK397" s="1009"/>
      <c r="HL397" s="1009"/>
      <c r="HM397" s="1009"/>
      <c r="HN397" s="1009"/>
      <c r="HO397" s="1009"/>
      <c r="HP397" s="1009"/>
      <c r="HQ397" s="1009"/>
      <c r="HR397" s="1009"/>
      <c r="HS397" s="1009"/>
      <c r="HT397" s="1009"/>
      <c r="HU397" s="1009"/>
      <c r="HV397" s="1009"/>
      <c r="HW397" s="1009"/>
      <c r="HX397" s="1009"/>
      <c r="HY397" s="1009"/>
      <c r="HZ397" s="1009"/>
      <c r="IA397" s="1009"/>
      <c r="IB397" s="1009"/>
      <c r="IC397" s="1009"/>
      <c r="ID397" s="1009"/>
      <c r="IE397" s="1009"/>
      <c r="IF397" s="1009"/>
      <c r="IG397" s="1009"/>
      <c r="IH397" s="1009"/>
      <c r="II397" s="1009"/>
      <c r="IJ397" s="1009"/>
      <c r="IK397" s="1009"/>
      <c r="IL397" s="1009"/>
      <c r="IM397" s="1009"/>
      <c r="IN397" s="1009"/>
      <c r="IO397" s="1009"/>
      <c r="IP397" s="1009"/>
      <c r="IQ397" s="1009"/>
      <c r="IR397" s="1009"/>
      <c r="IS397" s="1009"/>
      <c r="IT397" s="1009"/>
      <c r="IU397" s="1009"/>
      <c r="IV397" s="1009"/>
      <c r="IW397" s="1009"/>
    </row>
    <row r="398" spans="1:257" s="1277" customFormat="1" ht="12" customHeight="1">
      <c r="A398" s="1038"/>
      <c r="B398" s="1038"/>
      <c r="C398" s="1039"/>
      <c r="D398" s="1026"/>
      <c r="E398" s="1034"/>
      <c r="F398" s="1034"/>
      <c r="G398" s="1034"/>
      <c r="H398" s="1604"/>
      <c r="I398" s="1042"/>
      <c r="J398" s="1042"/>
      <c r="K398" s="1042"/>
      <c r="L398" s="1042"/>
      <c r="M398" s="1042"/>
      <c r="N398" s="1042"/>
      <c r="O398" s="1042"/>
      <c r="P398" s="1042"/>
      <c r="Q398" s="1042"/>
      <c r="R398" s="1042"/>
      <c r="S398" s="1042"/>
      <c r="T398" s="1042"/>
      <c r="U398" s="1042"/>
      <c r="V398" s="1042"/>
      <c r="W398" s="1042"/>
      <c r="X398" s="1042"/>
      <c r="Y398" s="1042"/>
      <c r="Z398" s="1042"/>
      <c r="AA398" s="1042"/>
      <c r="AB398" s="1042"/>
      <c r="AC398" s="1042"/>
      <c r="AD398" s="1042"/>
      <c r="AE398" s="1042"/>
      <c r="AF398" s="1042"/>
      <c r="AG398" s="1042"/>
      <c r="AH398" s="1605"/>
      <c r="AI398" s="1605"/>
      <c r="AJ398" s="1044"/>
      <c r="AK398" s="1047"/>
      <c r="AL398" s="1044"/>
      <c r="AM398" s="1009"/>
      <c r="AN398" s="1034"/>
      <c r="AO398" s="1034"/>
      <c r="AP398" s="1084"/>
      <c r="AQ398" s="1084"/>
      <c r="AR398" s="1009"/>
      <c r="AS398" s="1009"/>
      <c r="AT398" s="1009"/>
      <c r="AU398" s="1009"/>
      <c r="AV398" s="1009"/>
      <c r="AW398" s="1009"/>
      <c r="AX398" s="1009"/>
      <c r="AY398" s="1009"/>
      <c r="AZ398" s="1009"/>
      <c r="BA398" s="1009"/>
      <c r="BB398" s="1009"/>
      <c r="BC398" s="1009"/>
      <c r="BD398" s="1009"/>
      <c r="BE398" s="1009"/>
      <c r="BF398" s="1009"/>
      <c r="BG398" s="1009"/>
      <c r="BH398" s="1009"/>
      <c r="BI398" s="1009"/>
      <c r="BJ398" s="1009"/>
      <c r="BK398" s="1009"/>
      <c r="BL398" s="1009"/>
      <c r="BM398" s="1009"/>
      <c r="BN398" s="1009"/>
      <c r="BO398" s="1009"/>
      <c r="BP398" s="1009"/>
      <c r="BQ398" s="1009"/>
      <c r="BR398" s="1009"/>
      <c r="BS398" s="1009"/>
      <c r="BT398" s="1009"/>
      <c r="BU398" s="1009"/>
      <c r="BV398" s="1009"/>
      <c r="BW398" s="1009"/>
      <c r="BX398" s="1009"/>
      <c r="BY398" s="1009"/>
      <c r="BZ398" s="1009"/>
      <c r="CA398" s="1009"/>
      <c r="CB398" s="1009"/>
      <c r="CC398" s="1009"/>
      <c r="CD398" s="1009"/>
      <c r="CE398" s="1009"/>
      <c r="CF398" s="1009"/>
      <c r="CG398" s="1009"/>
      <c r="CH398" s="1009"/>
      <c r="CI398" s="1009"/>
      <c r="CJ398" s="1009"/>
      <c r="CK398" s="1009"/>
      <c r="CL398" s="1009"/>
      <c r="CM398" s="1009"/>
      <c r="CN398" s="1009"/>
      <c r="CO398" s="1009"/>
      <c r="CP398" s="1009"/>
      <c r="CQ398" s="1009"/>
      <c r="CR398" s="1009"/>
      <c r="CS398" s="1009"/>
      <c r="CT398" s="1009"/>
      <c r="CU398" s="1009"/>
      <c r="CV398" s="1009"/>
      <c r="CW398" s="1009"/>
      <c r="CX398" s="1009"/>
      <c r="CY398" s="1009"/>
      <c r="CZ398" s="1009"/>
      <c r="DA398" s="1009"/>
      <c r="DB398" s="1009"/>
      <c r="DC398" s="1009"/>
      <c r="DD398" s="1009"/>
      <c r="DE398" s="1009"/>
      <c r="DF398" s="1009"/>
      <c r="DG398" s="1009"/>
      <c r="DH398" s="1009"/>
      <c r="DI398" s="1009"/>
      <c r="DJ398" s="1009"/>
      <c r="DK398" s="1009"/>
      <c r="DL398" s="1009"/>
      <c r="DM398" s="1009"/>
      <c r="DN398" s="1009"/>
      <c r="DO398" s="1009"/>
      <c r="DP398" s="1009"/>
      <c r="DQ398" s="1009"/>
      <c r="DR398" s="1009"/>
      <c r="DS398" s="1009"/>
      <c r="DT398" s="1009"/>
      <c r="DU398" s="1009"/>
      <c r="DV398" s="1009"/>
      <c r="DW398" s="1009"/>
      <c r="DX398" s="1009"/>
      <c r="DY398" s="1009"/>
      <c r="DZ398" s="1009"/>
      <c r="EA398" s="1009"/>
      <c r="EB398" s="1009"/>
      <c r="EC398" s="1009"/>
      <c r="ED398" s="1009"/>
      <c r="EE398" s="1009"/>
      <c r="EF398" s="1009"/>
      <c r="EG398" s="1009"/>
      <c r="EH398" s="1009"/>
      <c r="EI398" s="1009"/>
      <c r="EJ398" s="1009"/>
      <c r="EK398" s="1009"/>
      <c r="EL398" s="1009"/>
      <c r="EM398" s="1009"/>
      <c r="EN398" s="1009"/>
      <c r="EO398" s="1009"/>
      <c r="EP398" s="1009"/>
      <c r="EQ398" s="1009"/>
      <c r="ER398" s="1009"/>
      <c r="ES398" s="1009"/>
      <c r="ET398" s="1009"/>
      <c r="EU398" s="1009"/>
      <c r="EV398" s="1009"/>
      <c r="EW398" s="1009"/>
      <c r="EX398" s="1009"/>
      <c r="EY398" s="1009"/>
      <c r="EZ398" s="1009"/>
      <c r="FA398" s="1009"/>
      <c r="FB398" s="1009"/>
      <c r="FC398" s="1009"/>
      <c r="FD398" s="1009"/>
      <c r="FE398" s="1009"/>
      <c r="FF398" s="1009"/>
      <c r="FG398" s="1009"/>
      <c r="FH398" s="1009"/>
      <c r="FI398" s="1009"/>
      <c r="FJ398" s="1009"/>
      <c r="FK398" s="1009"/>
      <c r="FL398" s="1009"/>
      <c r="FM398" s="1009"/>
      <c r="FN398" s="1009"/>
      <c r="FO398" s="1009"/>
      <c r="FP398" s="1009"/>
      <c r="FQ398" s="1009"/>
      <c r="FR398" s="1009"/>
      <c r="FS398" s="1009"/>
      <c r="FT398" s="1009"/>
      <c r="FU398" s="1009"/>
      <c r="FV398" s="1009"/>
      <c r="FW398" s="1009"/>
      <c r="FX398" s="1009"/>
      <c r="FY398" s="1009"/>
      <c r="FZ398" s="1009"/>
      <c r="GA398" s="1009"/>
      <c r="GB398" s="1009"/>
      <c r="GC398" s="1009"/>
      <c r="GD398" s="1009"/>
      <c r="GE398" s="1009"/>
      <c r="GF398" s="1009"/>
      <c r="GG398" s="1009"/>
      <c r="GH398" s="1009"/>
      <c r="GI398" s="1009"/>
      <c r="GJ398" s="1009"/>
      <c r="GK398" s="1009"/>
      <c r="GL398" s="1009"/>
      <c r="GM398" s="1009"/>
      <c r="GN398" s="1009"/>
      <c r="GO398" s="1009"/>
      <c r="GP398" s="1009"/>
      <c r="GQ398" s="1009"/>
      <c r="GR398" s="1009"/>
      <c r="GS398" s="1009"/>
      <c r="GT398" s="1009"/>
      <c r="GU398" s="1009"/>
      <c r="GV398" s="1009"/>
      <c r="GW398" s="1009"/>
      <c r="GX398" s="1009"/>
      <c r="GY398" s="1009"/>
      <c r="GZ398" s="1009"/>
      <c r="HA398" s="1009"/>
      <c r="HB398" s="1009"/>
      <c r="HC398" s="1009"/>
      <c r="HD398" s="1009"/>
      <c r="HE398" s="1009"/>
      <c r="HF398" s="1009"/>
      <c r="HG398" s="1009"/>
      <c r="HH398" s="1009"/>
      <c r="HI398" s="1009"/>
      <c r="HJ398" s="1009"/>
      <c r="HK398" s="1009"/>
      <c r="HL398" s="1009"/>
      <c r="HM398" s="1009"/>
      <c r="HN398" s="1009"/>
      <c r="HO398" s="1009"/>
      <c r="HP398" s="1009"/>
      <c r="HQ398" s="1009"/>
      <c r="HR398" s="1009"/>
      <c r="HS398" s="1009"/>
      <c r="HT398" s="1009"/>
      <c r="HU398" s="1009"/>
      <c r="HV398" s="1009"/>
      <c r="HW398" s="1009"/>
      <c r="HX398" s="1009"/>
      <c r="HY398" s="1009"/>
      <c r="HZ398" s="1009"/>
      <c r="IA398" s="1009"/>
      <c r="IB398" s="1009"/>
      <c r="IC398" s="1009"/>
      <c r="ID398" s="1009"/>
      <c r="IE398" s="1009"/>
      <c r="IF398" s="1009"/>
      <c r="IG398" s="1009"/>
      <c r="IH398" s="1009"/>
      <c r="II398" s="1009"/>
      <c r="IJ398" s="1009"/>
      <c r="IK398" s="1009"/>
      <c r="IL398" s="1009"/>
      <c r="IM398" s="1009"/>
      <c r="IN398" s="1009"/>
      <c r="IO398" s="1009"/>
      <c r="IP398" s="1009"/>
      <c r="IQ398" s="1009"/>
      <c r="IR398" s="1009"/>
      <c r="IS398" s="1009"/>
      <c r="IT398" s="1009"/>
      <c r="IU398" s="1009"/>
      <c r="IV398" s="1009"/>
      <c r="IW398" s="1009"/>
    </row>
    <row r="399" spans="1:257" s="1277" customFormat="1" ht="12" customHeight="1">
      <c r="A399" s="1038"/>
      <c r="B399" s="1038"/>
      <c r="C399" s="1039"/>
      <c r="D399" s="1026"/>
      <c r="E399" s="1034"/>
      <c r="F399" s="1034"/>
      <c r="G399" s="1034"/>
      <c r="H399" s="1604"/>
      <c r="I399" s="1042"/>
      <c r="J399" s="1042"/>
      <c r="K399" s="1042"/>
      <c r="L399" s="1042"/>
      <c r="M399" s="1042"/>
      <c r="N399" s="1042"/>
      <c r="O399" s="1042"/>
      <c r="P399" s="1042"/>
      <c r="Q399" s="1042"/>
      <c r="R399" s="1042"/>
      <c r="S399" s="1042"/>
      <c r="T399" s="1042"/>
      <c r="U399" s="1042"/>
      <c r="V399" s="1042"/>
      <c r="W399" s="1042"/>
      <c r="X399" s="1042"/>
      <c r="Y399" s="1042"/>
      <c r="Z399" s="1042"/>
      <c r="AA399" s="1042"/>
      <c r="AB399" s="1042"/>
      <c r="AC399" s="1042"/>
      <c r="AD399" s="1042"/>
      <c r="AE399" s="1042"/>
      <c r="AF399" s="1042"/>
      <c r="AG399" s="1042"/>
      <c r="AH399" s="1605"/>
      <c r="AI399" s="1605"/>
      <c r="AJ399" s="1044"/>
      <c r="AK399" s="1047"/>
      <c r="AL399" s="1044"/>
      <c r="AM399" s="1009"/>
      <c r="AN399" s="1034"/>
      <c r="AO399" s="1034"/>
      <c r="AP399" s="1084"/>
      <c r="AQ399" s="1084"/>
      <c r="AR399" s="1009"/>
      <c r="AS399" s="1009"/>
      <c r="AT399" s="1009"/>
      <c r="AU399" s="1009"/>
      <c r="AV399" s="1009"/>
      <c r="AW399" s="1009"/>
      <c r="AX399" s="1009"/>
      <c r="AY399" s="1009"/>
      <c r="AZ399" s="1009"/>
      <c r="BA399" s="1009"/>
      <c r="BB399" s="1009"/>
      <c r="BC399" s="1009"/>
      <c r="BD399" s="1009"/>
      <c r="BE399" s="1009"/>
      <c r="BF399" s="1009"/>
      <c r="BG399" s="1009"/>
      <c r="BH399" s="1009"/>
      <c r="BI399" s="1009"/>
      <c r="BJ399" s="1009"/>
      <c r="BK399" s="1009"/>
      <c r="BL399" s="1009"/>
      <c r="BM399" s="1009"/>
      <c r="BN399" s="1009"/>
      <c r="BO399" s="1009"/>
      <c r="BP399" s="1009"/>
      <c r="BQ399" s="1009"/>
      <c r="BR399" s="1009"/>
      <c r="BS399" s="1009"/>
      <c r="BT399" s="1009"/>
      <c r="BU399" s="1009"/>
      <c r="BV399" s="1009"/>
      <c r="BW399" s="1009"/>
      <c r="BX399" s="1009"/>
      <c r="BY399" s="1009"/>
      <c r="BZ399" s="1009"/>
      <c r="CA399" s="1009"/>
      <c r="CB399" s="1009"/>
      <c r="CC399" s="1009"/>
      <c r="CD399" s="1009"/>
      <c r="CE399" s="1009"/>
      <c r="CF399" s="1009"/>
      <c r="CG399" s="1009"/>
      <c r="CH399" s="1009"/>
      <c r="CI399" s="1009"/>
      <c r="CJ399" s="1009"/>
      <c r="CK399" s="1009"/>
      <c r="CL399" s="1009"/>
      <c r="CM399" s="1009"/>
      <c r="CN399" s="1009"/>
      <c r="CO399" s="1009"/>
      <c r="CP399" s="1009"/>
      <c r="CQ399" s="1009"/>
      <c r="CR399" s="1009"/>
      <c r="CS399" s="1009"/>
      <c r="CT399" s="1009"/>
      <c r="CU399" s="1009"/>
      <c r="CV399" s="1009"/>
      <c r="CW399" s="1009"/>
      <c r="CX399" s="1009"/>
      <c r="CY399" s="1009"/>
      <c r="CZ399" s="1009"/>
      <c r="DA399" s="1009"/>
      <c r="DB399" s="1009"/>
      <c r="DC399" s="1009"/>
      <c r="DD399" s="1009"/>
      <c r="DE399" s="1009"/>
      <c r="DF399" s="1009"/>
      <c r="DG399" s="1009"/>
      <c r="DH399" s="1009"/>
      <c r="DI399" s="1009"/>
      <c r="DJ399" s="1009"/>
      <c r="DK399" s="1009"/>
      <c r="DL399" s="1009"/>
      <c r="DM399" s="1009"/>
      <c r="DN399" s="1009"/>
      <c r="DO399" s="1009"/>
      <c r="DP399" s="1009"/>
      <c r="DQ399" s="1009"/>
      <c r="DR399" s="1009"/>
      <c r="DS399" s="1009"/>
      <c r="DT399" s="1009"/>
      <c r="DU399" s="1009"/>
      <c r="DV399" s="1009"/>
      <c r="DW399" s="1009"/>
      <c r="DX399" s="1009"/>
      <c r="DY399" s="1009"/>
      <c r="DZ399" s="1009"/>
      <c r="EA399" s="1009"/>
      <c r="EB399" s="1009"/>
      <c r="EC399" s="1009"/>
      <c r="ED399" s="1009"/>
      <c r="EE399" s="1009"/>
      <c r="EF399" s="1009"/>
      <c r="EG399" s="1009"/>
      <c r="EH399" s="1009"/>
      <c r="EI399" s="1009"/>
      <c r="EJ399" s="1009"/>
      <c r="EK399" s="1009"/>
      <c r="EL399" s="1009"/>
      <c r="EM399" s="1009"/>
      <c r="EN399" s="1009"/>
      <c r="EO399" s="1009"/>
      <c r="EP399" s="1009"/>
      <c r="EQ399" s="1009"/>
      <c r="ER399" s="1009"/>
      <c r="ES399" s="1009"/>
      <c r="ET399" s="1009"/>
      <c r="EU399" s="1009"/>
      <c r="EV399" s="1009"/>
      <c r="EW399" s="1009"/>
      <c r="EX399" s="1009"/>
      <c r="EY399" s="1009"/>
      <c r="EZ399" s="1009"/>
      <c r="FA399" s="1009"/>
      <c r="FB399" s="1009"/>
      <c r="FC399" s="1009"/>
      <c r="FD399" s="1009"/>
      <c r="FE399" s="1009"/>
      <c r="FF399" s="1009"/>
      <c r="FG399" s="1009"/>
      <c r="FH399" s="1009"/>
      <c r="FI399" s="1009"/>
      <c r="FJ399" s="1009"/>
      <c r="FK399" s="1009"/>
      <c r="FL399" s="1009"/>
      <c r="FM399" s="1009"/>
      <c r="FN399" s="1009"/>
      <c r="FO399" s="1009"/>
      <c r="FP399" s="1009"/>
      <c r="FQ399" s="1009"/>
      <c r="FR399" s="1009"/>
      <c r="FS399" s="1009"/>
      <c r="FT399" s="1009"/>
      <c r="FU399" s="1009"/>
      <c r="FV399" s="1009"/>
      <c r="FW399" s="1009"/>
      <c r="FX399" s="1009"/>
      <c r="FY399" s="1009"/>
      <c r="FZ399" s="1009"/>
      <c r="GA399" s="1009"/>
      <c r="GB399" s="1009"/>
      <c r="GC399" s="1009"/>
      <c r="GD399" s="1009"/>
      <c r="GE399" s="1009"/>
      <c r="GF399" s="1009"/>
      <c r="GG399" s="1009"/>
      <c r="GH399" s="1009"/>
      <c r="GI399" s="1009"/>
      <c r="GJ399" s="1009"/>
      <c r="GK399" s="1009"/>
      <c r="GL399" s="1009"/>
      <c r="GM399" s="1009"/>
      <c r="GN399" s="1009"/>
      <c r="GO399" s="1009"/>
      <c r="GP399" s="1009"/>
      <c r="GQ399" s="1009"/>
      <c r="GR399" s="1009"/>
      <c r="GS399" s="1009"/>
      <c r="GT399" s="1009"/>
      <c r="GU399" s="1009"/>
      <c r="GV399" s="1009"/>
      <c r="GW399" s="1009"/>
      <c r="GX399" s="1009"/>
      <c r="GY399" s="1009"/>
      <c r="GZ399" s="1009"/>
      <c r="HA399" s="1009"/>
      <c r="HB399" s="1009"/>
      <c r="HC399" s="1009"/>
      <c r="HD399" s="1009"/>
      <c r="HE399" s="1009"/>
      <c r="HF399" s="1009"/>
      <c r="HG399" s="1009"/>
      <c r="HH399" s="1009"/>
      <c r="HI399" s="1009"/>
      <c r="HJ399" s="1009"/>
      <c r="HK399" s="1009"/>
      <c r="HL399" s="1009"/>
      <c r="HM399" s="1009"/>
      <c r="HN399" s="1009"/>
      <c r="HO399" s="1009"/>
      <c r="HP399" s="1009"/>
      <c r="HQ399" s="1009"/>
      <c r="HR399" s="1009"/>
      <c r="HS399" s="1009"/>
      <c r="HT399" s="1009"/>
      <c r="HU399" s="1009"/>
      <c r="HV399" s="1009"/>
      <c r="HW399" s="1009"/>
      <c r="HX399" s="1009"/>
      <c r="HY399" s="1009"/>
      <c r="HZ399" s="1009"/>
      <c r="IA399" s="1009"/>
      <c r="IB399" s="1009"/>
      <c r="IC399" s="1009"/>
      <c r="ID399" s="1009"/>
      <c r="IE399" s="1009"/>
      <c r="IF399" s="1009"/>
      <c r="IG399" s="1009"/>
      <c r="IH399" s="1009"/>
      <c r="II399" s="1009"/>
      <c r="IJ399" s="1009"/>
      <c r="IK399" s="1009"/>
      <c r="IL399" s="1009"/>
      <c r="IM399" s="1009"/>
      <c r="IN399" s="1009"/>
      <c r="IO399" s="1009"/>
      <c r="IP399" s="1009"/>
      <c r="IQ399" s="1009"/>
      <c r="IR399" s="1009"/>
      <c r="IS399" s="1009"/>
      <c r="IT399" s="1009"/>
      <c r="IU399" s="1009"/>
      <c r="IV399" s="1009"/>
      <c r="IW399" s="1009"/>
    </row>
    <row r="400" spans="1:257" s="1277" customFormat="1" ht="12" customHeight="1">
      <c r="A400" s="1038"/>
      <c r="B400" s="1038"/>
      <c r="C400" s="1039"/>
      <c r="D400" s="1026"/>
      <c r="E400" s="1034"/>
      <c r="F400" s="1034"/>
      <c r="G400" s="1034"/>
      <c r="H400" s="1604"/>
      <c r="I400" s="1042"/>
      <c r="J400" s="1042"/>
      <c r="K400" s="1042"/>
      <c r="L400" s="1042"/>
      <c r="M400" s="1042"/>
      <c r="N400" s="1042"/>
      <c r="O400" s="1042"/>
      <c r="P400" s="1042"/>
      <c r="Q400" s="1042"/>
      <c r="R400" s="1042"/>
      <c r="S400" s="1042"/>
      <c r="T400" s="1042"/>
      <c r="U400" s="1042"/>
      <c r="V400" s="1042"/>
      <c r="W400" s="1042"/>
      <c r="X400" s="1042"/>
      <c r="Y400" s="1042"/>
      <c r="Z400" s="1042"/>
      <c r="AA400" s="1042"/>
      <c r="AB400" s="1042"/>
      <c r="AC400" s="1042"/>
      <c r="AD400" s="1042"/>
      <c r="AE400" s="1042"/>
      <c r="AF400" s="1042"/>
      <c r="AG400" s="1042"/>
      <c r="AH400" s="1605"/>
      <c r="AI400" s="1605"/>
      <c r="AJ400" s="1044"/>
      <c r="AK400" s="1047"/>
      <c r="AL400" s="1044"/>
      <c r="AM400" s="1009"/>
      <c r="AN400" s="1034"/>
      <c r="AO400" s="1034"/>
      <c r="AP400" s="1084"/>
      <c r="AQ400" s="1084"/>
      <c r="AR400" s="1009"/>
      <c r="AS400" s="1009"/>
      <c r="AT400" s="1009"/>
      <c r="AU400" s="1009"/>
      <c r="AV400" s="1009"/>
      <c r="AW400" s="1009"/>
      <c r="AX400" s="1009"/>
      <c r="AY400" s="1009"/>
      <c r="AZ400" s="1009"/>
      <c r="BA400" s="1009"/>
      <c r="BB400" s="1009"/>
      <c r="BC400" s="1009"/>
      <c r="BD400" s="1009"/>
      <c r="BE400" s="1009"/>
      <c r="BF400" s="1009"/>
      <c r="BG400" s="1009"/>
      <c r="BH400" s="1009"/>
      <c r="BI400" s="1009"/>
      <c r="BJ400" s="1009"/>
      <c r="BK400" s="1009"/>
      <c r="BL400" s="1009"/>
      <c r="BM400" s="1009"/>
      <c r="BN400" s="1009"/>
      <c r="BO400" s="1009"/>
      <c r="BP400" s="1009"/>
      <c r="BQ400" s="1009"/>
      <c r="BR400" s="1009"/>
      <c r="BS400" s="1009"/>
      <c r="BT400" s="1009"/>
      <c r="BU400" s="1009"/>
      <c r="BV400" s="1009"/>
      <c r="BW400" s="1009"/>
      <c r="BX400" s="1009"/>
      <c r="BY400" s="1009"/>
      <c r="BZ400" s="1009"/>
      <c r="CA400" s="1009"/>
      <c r="CB400" s="1009"/>
      <c r="CC400" s="1009"/>
      <c r="CD400" s="1009"/>
      <c r="CE400" s="1009"/>
      <c r="CF400" s="1009"/>
      <c r="CG400" s="1009"/>
      <c r="CH400" s="1009"/>
      <c r="CI400" s="1009"/>
      <c r="CJ400" s="1009"/>
      <c r="CK400" s="1009"/>
      <c r="CL400" s="1009"/>
      <c r="CM400" s="1009"/>
      <c r="CN400" s="1009"/>
      <c r="CO400" s="1009"/>
      <c r="CP400" s="1009"/>
      <c r="CQ400" s="1009"/>
      <c r="CR400" s="1009"/>
      <c r="CS400" s="1009"/>
      <c r="CT400" s="1009"/>
      <c r="CU400" s="1009"/>
      <c r="CV400" s="1009"/>
      <c r="CW400" s="1009"/>
      <c r="CX400" s="1009"/>
      <c r="CY400" s="1009"/>
      <c r="CZ400" s="1009"/>
      <c r="DA400" s="1009"/>
      <c r="DB400" s="1009"/>
      <c r="DC400" s="1009"/>
      <c r="DD400" s="1009"/>
      <c r="DE400" s="1009"/>
      <c r="DF400" s="1009"/>
      <c r="DG400" s="1009"/>
      <c r="DH400" s="1009"/>
      <c r="DI400" s="1009"/>
      <c r="DJ400" s="1009"/>
      <c r="DK400" s="1009"/>
      <c r="DL400" s="1009"/>
      <c r="DM400" s="1009"/>
      <c r="DN400" s="1009"/>
      <c r="DO400" s="1009"/>
      <c r="DP400" s="1009"/>
      <c r="DQ400" s="1009"/>
      <c r="DR400" s="1009"/>
      <c r="DS400" s="1009"/>
      <c r="DT400" s="1009"/>
      <c r="DU400" s="1009"/>
      <c r="DV400" s="1009"/>
      <c r="DW400" s="1009"/>
      <c r="DX400" s="1009"/>
      <c r="DY400" s="1009"/>
      <c r="DZ400" s="1009"/>
      <c r="EA400" s="1009"/>
      <c r="EB400" s="1009"/>
      <c r="EC400" s="1009"/>
      <c r="ED400" s="1009"/>
      <c r="EE400" s="1009"/>
      <c r="EF400" s="1009"/>
      <c r="EG400" s="1009"/>
      <c r="EH400" s="1009"/>
      <c r="EI400" s="1009"/>
      <c r="EJ400" s="1009"/>
      <c r="EK400" s="1009"/>
      <c r="EL400" s="1009"/>
      <c r="EM400" s="1009"/>
      <c r="EN400" s="1009"/>
      <c r="EO400" s="1009"/>
      <c r="EP400" s="1009"/>
      <c r="EQ400" s="1009"/>
      <c r="ER400" s="1009"/>
      <c r="ES400" s="1009"/>
      <c r="ET400" s="1009"/>
      <c r="EU400" s="1009"/>
      <c r="EV400" s="1009"/>
      <c r="EW400" s="1009"/>
      <c r="EX400" s="1009"/>
      <c r="EY400" s="1009"/>
      <c r="EZ400" s="1009"/>
      <c r="FA400" s="1009"/>
      <c r="FB400" s="1009"/>
      <c r="FC400" s="1009"/>
      <c r="FD400" s="1009"/>
      <c r="FE400" s="1009"/>
      <c r="FF400" s="1009"/>
      <c r="FG400" s="1009"/>
      <c r="FH400" s="1009"/>
      <c r="FI400" s="1009"/>
      <c r="FJ400" s="1009"/>
      <c r="FK400" s="1009"/>
      <c r="FL400" s="1009"/>
      <c r="FM400" s="1009"/>
      <c r="FN400" s="1009"/>
      <c r="FO400" s="1009"/>
      <c r="FP400" s="1009"/>
      <c r="FQ400" s="1009"/>
      <c r="FR400" s="1009"/>
      <c r="FS400" s="1009"/>
      <c r="FT400" s="1009"/>
      <c r="FU400" s="1009"/>
      <c r="FV400" s="1009"/>
      <c r="FW400" s="1009"/>
      <c r="FX400" s="1009"/>
      <c r="FY400" s="1009"/>
      <c r="FZ400" s="1009"/>
      <c r="GA400" s="1009"/>
      <c r="GB400" s="1009"/>
      <c r="GC400" s="1009"/>
      <c r="GD400" s="1009"/>
      <c r="GE400" s="1009"/>
      <c r="GF400" s="1009"/>
      <c r="GG400" s="1009"/>
      <c r="GH400" s="1009"/>
      <c r="GI400" s="1009"/>
      <c r="GJ400" s="1009"/>
      <c r="GK400" s="1009"/>
      <c r="GL400" s="1009"/>
      <c r="GM400" s="1009"/>
      <c r="GN400" s="1009"/>
      <c r="GO400" s="1009"/>
      <c r="GP400" s="1009"/>
      <c r="GQ400" s="1009"/>
      <c r="GR400" s="1009"/>
      <c r="GS400" s="1009"/>
      <c r="GT400" s="1009"/>
      <c r="GU400" s="1009"/>
      <c r="GV400" s="1009"/>
      <c r="GW400" s="1009"/>
      <c r="GX400" s="1009"/>
      <c r="GY400" s="1009"/>
      <c r="GZ400" s="1009"/>
      <c r="HA400" s="1009"/>
      <c r="HB400" s="1009"/>
      <c r="HC400" s="1009"/>
      <c r="HD400" s="1009"/>
      <c r="HE400" s="1009"/>
      <c r="HF400" s="1009"/>
      <c r="HG400" s="1009"/>
      <c r="HH400" s="1009"/>
      <c r="HI400" s="1009"/>
      <c r="HJ400" s="1009"/>
      <c r="HK400" s="1009"/>
      <c r="HL400" s="1009"/>
      <c r="HM400" s="1009"/>
      <c r="HN400" s="1009"/>
      <c r="HO400" s="1009"/>
      <c r="HP400" s="1009"/>
      <c r="HQ400" s="1009"/>
      <c r="HR400" s="1009"/>
      <c r="HS400" s="1009"/>
      <c r="HT400" s="1009"/>
      <c r="HU400" s="1009"/>
      <c r="HV400" s="1009"/>
      <c r="HW400" s="1009"/>
      <c r="HX400" s="1009"/>
      <c r="HY400" s="1009"/>
      <c r="HZ400" s="1009"/>
      <c r="IA400" s="1009"/>
      <c r="IB400" s="1009"/>
      <c r="IC400" s="1009"/>
      <c r="ID400" s="1009"/>
      <c r="IE400" s="1009"/>
      <c r="IF400" s="1009"/>
      <c r="IG400" s="1009"/>
      <c r="IH400" s="1009"/>
      <c r="II400" s="1009"/>
      <c r="IJ400" s="1009"/>
      <c r="IK400" s="1009"/>
      <c r="IL400" s="1009"/>
      <c r="IM400" s="1009"/>
      <c r="IN400" s="1009"/>
      <c r="IO400" s="1009"/>
      <c r="IP400" s="1009"/>
      <c r="IQ400" s="1009"/>
      <c r="IR400" s="1009"/>
      <c r="IS400" s="1009"/>
      <c r="IT400" s="1009"/>
      <c r="IU400" s="1009"/>
      <c r="IV400" s="1009"/>
      <c r="IW400" s="1009"/>
    </row>
    <row r="401" spans="1:257" s="1277" customFormat="1" ht="12" customHeight="1">
      <c r="A401" s="1038"/>
      <c r="B401" s="1038"/>
      <c r="C401" s="1039"/>
      <c r="D401" s="1026"/>
      <c r="E401" s="1034"/>
      <c r="F401" s="1034"/>
      <c r="G401" s="1034"/>
      <c r="H401" s="1604"/>
      <c r="I401" s="1042"/>
      <c r="J401" s="1042"/>
      <c r="K401" s="1042"/>
      <c r="L401" s="1042"/>
      <c r="M401" s="1042"/>
      <c r="N401" s="1042"/>
      <c r="O401" s="1042"/>
      <c r="P401" s="1042"/>
      <c r="Q401" s="1042"/>
      <c r="R401" s="1042"/>
      <c r="S401" s="1042"/>
      <c r="T401" s="1042"/>
      <c r="U401" s="1042"/>
      <c r="V401" s="1042"/>
      <c r="W401" s="1042"/>
      <c r="X401" s="1042"/>
      <c r="Y401" s="1042"/>
      <c r="Z401" s="1042"/>
      <c r="AA401" s="1042"/>
      <c r="AB401" s="1042"/>
      <c r="AC401" s="1042"/>
      <c r="AD401" s="1042"/>
      <c r="AE401" s="1042"/>
      <c r="AF401" s="1042"/>
      <c r="AG401" s="1042"/>
      <c r="AH401" s="1605"/>
      <c r="AI401" s="1605"/>
      <c r="AJ401" s="1044"/>
      <c r="AK401" s="1047"/>
      <c r="AL401" s="1044"/>
      <c r="AM401" s="1009"/>
      <c r="AN401" s="1034"/>
      <c r="AO401" s="1034"/>
      <c r="AP401" s="1084"/>
      <c r="AQ401" s="1084"/>
      <c r="AR401" s="1009"/>
      <c r="AS401" s="1009"/>
      <c r="AT401" s="1009"/>
      <c r="AU401" s="1009"/>
      <c r="AV401" s="1009"/>
      <c r="AW401" s="1009"/>
      <c r="AX401" s="1009"/>
      <c r="AY401" s="1009"/>
      <c r="AZ401" s="1009"/>
      <c r="BA401" s="1009"/>
      <c r="BB401" s="1009"/>
      <c r="BC401" s="1009"/>
      <c r="BD401" s="1009"/>
      <c r="BE401" s="1009"/>
      <c r="BF401" s="1009"/>
      <c r="BG401" s="1009"/>
      <c r="BH401" s="1009"/>
      <c r="BI401" s="1009"/>
      <c r="BJ401" s="1009"/>
      <c r="BK401" s="1009"/>
      <c r="BL401" s="1009"/>
      <c r="BM401" s="1009"/>
      <c r="BN401" s="1009"/>
      <c r="BO401" s="1009"/>
      <c r="BP401" s="1009"/>
      <c r="BQ401" s="1009"/>
      <c r="BR401" s="1009"/>
      <c r="BS401" s="1009"/>
      <c r="BT401" s="1009"/>
      <c r="BU401" s="1009"/>
      <c r="BV401" s="1009"/>
      <c r="BW401" s="1009"/>
      <c r="BX401" s="1009"/>
      <c r="BY401" s="1009"/>
      <c r="BZ401" s="1009"/>
      <c r="CA401" s="1009"/>
      <c r="CB401" s="1009"/>
      <c r="CC401" s="1009"/>
      <c r="CD401" s="1009"/>
      <c r="CE401" s="1009"/>
      <c r="CF401" s="1009"/>
      <c r="CG401" s="1009"/>
      <c r="CH401" s="1009"/>
      <c r="CI401" s="1009"/>
      <c r="CJ401" s="1009"/>
      <c r="CK401" s="1009"/>
      <c r="CL401" s="1009"/>
      <c r="CM401" s="1009"/>
      <c r="CN401" s="1009"/>
      <c r="CO401" s="1009"/>
      <c r="CP401" s="1009"/>
      <c r="CQ401" s="1009"/>
      <c r="CR401" s="1009"/>
      <c r="CS401" s="1009"/>
      <c r="CT401" s="1009"/>
      <c r="CU401" s="1009"/>
      <c r="CV401" s="1009"/>
      <c r="CW401" s="1009"/>
      <c r="CX401" s="1009"/>
      <c r="CY401" s="1009"/>
      <c r="CZ401" s="1009"/>
      <c r="DA401" s="1009"/>
      <c r="DB401" s="1009"/>
      <c r="DC401" s="1009"/>
      <c r="DD401" s="1009"/>
      <c r="DE401" s="1009"/>
      <c r="DF401" s="1009"/>
      <c r="DG401" s="1009"/>
      <c r="DH401" s="1009"/>
      <c r="DI401" s="1009"/>
      <c r="DJ401" s="1009"/>
      <c r="DK401" s="1009"/>
      <c r="DL401" s="1009"/>
      <c r="DM401" s="1009"/>
      <c r="DN401" s="1009"/>
      <c r="DO401" s="1009"/>
      <c r="DP401" s="1009"/>
      <c r="DQ401" s="1009"/>
      <c r="DR401" s="1009"/>
      <c r="DS401" s="1009"/>
      <c r="DT401" s="1009"/>
      <c r="DU401" s="1009"/>
      <c r="DV401" s="1009"/>
      <c r="DW401" s="1009"/>
      <c r="DX401" s="1009"/>
      <c r="DY401" s="1009"/>
      <c r="DZ401" s="1009"/>
      <c r="EA401" s="1009"/>
      <c r="EB401" s="1009"/>
      <c r="EC401" s="1009"/>
      <c r="ED401" s="1009"/>
      <c r="EE401" s="1009"/>
      <c r="EF401" s="1009"/>
      <c r="EG401" s="1009"/>
      <c r="EH401" s="1009"/>
      <c r="EI401" s="1009"/>
      <c r="EJ401" s="1009"/>
      <c r="EK401" s="1009"/>
      <c r="EL401" s="1009"/>
      <c r="EM401" s="1009"/>
      <c r="EN401" s="1009"/>
      <c r="EO401" s="1009"/>
      <c r="EP401" s="1009"/>
      <c r="EQ401" s="1009"/>
      <c r="ER401" s="1009"/>
      <c r="ES401" s="1009"/>
      <c r="ET401" s="1009"/>
      <c r="EU401" s="1009"/>
      <c r="EV401" s="1009"/>
      <c r="EW401" s="1009"/>
      <c r="EX401" s="1009"/>
      <c r="EY401" s="1009"/>
      <c r="EZ401" s="1009"/>
      <c r="FA401" s="1009"/>
      <c r="FB401" s="1009"/>
      <c r="FC401" s="1009"/>
      <c r="FD401" s="1009"/>
      <c r="FE401" s="1009"/>
      <c r="FF401" s="1009"/>
      <c r="FG401" s="1009"/>
      <c r="FH401" s="1009"/>
      <c r="FI401" s="1009"/>
      <c r="FJ401" s="1009"/>
      <c r="FK401" s="1009"/>
      <c r="FL401" s="1009"/>
      <c r="FM401" s="1009"/>
      <c r="FN401" s="1009"/>
      <c r="FO401" s="1009"/>
      <c r="FP401" s="1009"/>
      <c r="FQ401" s="1009"/>
      <c r="FR401" s="1009"/>
      <c r="FS401" s="1009"/>
      <c r="FT401" s="1009"/>
      <c r="FU401" s="1009"/>
      <c r="FV401" s="1009"/>
      <c r="FW401" s="1009"/>
      <c r="FX401" s="1009"/>
      <c r="FY401" s="1009"/>
      <c r="FZ401" s="1009"/>
      <c r="GA401" s="1009"/>
      <c r="GB401" s="1009"/>
      <c r="GC401" s="1009"/>
      <c r="GD401" s="1009"/>
      <c r="GE401" s="1009"/>
      <c r="GF401" s="1009"/>
      <c r="GG401" s="1009"/>
      <c r="GH401" s="1009"/>
      <c r="GI401" s="1009"/>
      <c r="GJ401" s="1009"/>
      <c r="GK401" s="1009"/>
      <c r="GL401" s="1009"/>
      <c r="GM401" s="1009"/>
      <c r="GN401" s="1009"/>
      <c r="GO401" s="1009"/>
      <c r="GP401" s="1009"/>
      <c r="GQ401" s="1009"/>
      <c r="GR401" s="1009"/>
      <c r="GS401" s="1009"/>
      <c r="GT401" s="1009"/>
      <c r="GU401" s="1009"/>
      <c r="GV401" s="1009"/>
      <c r="GW401" s="1009"/>
      <c r="GX401" s="1009"/>
      <c r="GY401" s="1009"/>
      <c r="GZ401" s="1009"/>
      <c r="HA401" s="1009"/>
      <c r="HB401" s="1009"/>
      <c r="HC401" s="1009"/>
      <c r="HD401" s="1009"/>
      <c r="HE401" s="1009"/>
      <c r="HF401" s="1009"/>
      <c r="HG401" s="1009"/>
      <c r="HH401" s="1009"/>
      <c r="HI401" s="1009"/>
      <c r="HJ401" s="1009"/>
      <c r="HK401" s="1009"/>
      <c r="HL401" s="1009"/>
      <c r="HM401" s="1009"/>
      <c r="HN401" s="1009"/>
      <c r="HO401" s="1009"/>
      <c r="HP401" s="1009"/>
      <c r="HQ401" s="1009"/>
      <c r="HR401" s="1009"/>
      <c r="HS401" s="1009"/>
      <c r="HT401" s="1009"/>
      <c r="HU401" s="1009"/>
      <c r="HV401" s="1009"/>
      <c r="HW401" s="1009"/>
      <c r="HX401" s="1009"/>
      <c r="HY401" s="1009"/>
      <c r="HZ401" s="1009"/>
      <c r="IA401" s="1009"/>
      <c r="IB401" s="1009"/>
      <c r="IC401" s="1009"/>
      <c r="ID401" s="1009"/>
      <c r="IE401" s="1009"/>
      <c r="IF401" s="1009"/>
      <c r="IG401" s="1009"/>
      <c r="IH401" s="1009"/>
      <c r="II401" s="1009"/>
      <c r="IJ401" s="1009"/>
      <c r="IK401" s="1009"/>
      <c r="IL401" s="1009"/>
      <c r="IM401" s="1009"/>
      <c r="IN401" s="1009"/>
      <c r="IO401" s="1009"/>
      <c r="IP401" s="1009"/>
      <c r="IQ401" s="1009"/>
      <c r="IR401" s="1009"/>
      <c r="IS401" s="1009"/>
      <c r="IT401" s="1009"/>
      <c r="IU401" s="1009"/>
      <c r="IV401" s="1009"/>
      <c r="IW401" s="1009"/>
    </row>
    <row r="402" spans="1:257" s="1277" customFormat="1" ht="12" customHeight="1">
      <c r="A402" s="1038"/>
      <c r="B402" s="1038"/>
      <c r="C402" s="1039"/>
      <c r="D402" s="1026"/>
      <c r="E402" s="1034"/>
      <c r="F402" s="1034"/>
      <c r="G402" s="1034"/>
      <c r="H402" s="1604"/>
      <c r="I402" s="1042"/>
      <c r="J402" s="1042"/>
      <c r="K402" s="1042"/>
      <c r="L402" s="1042"/>
      <c r="M402" s="1042"/>
      <c r="N402" s="1042"/>
      <c r="O402" s="1042"/>
      <c r="P402" s="1042"/>
      <c r="Q402" s="1042"/>
      <c r="R402" s="1042"/>
      <c r="S402" s="1042"/>
      <c r="T402" s="1042"/>
      <c r="U402" s="1042"/>
      <c r="V402" s="1042"/>
      <c r="W402" s="1042"/>
      <c r="X402" s="1042"/>
      <c r="Y402" s="1042"/>
      <c r="Z402" s="1042"/>
      <c r="AA402" s="1042"/>
      <c r="AB402" s="1042"/>
      <c r="AC402" s="1042"/>
      <c r="AD402" s="1042"/>
      <c r="AE402" s="1042"/>
      <c r="AF402" s="1042"/>
      <c r="AG402" s="1042"/>
      <c r="AH402" s="1605"/>
      <c r="AI402" s="1605"/>
      <c r="AJ402" s="1044"/>
      <c r="AK402" s="1047"/>
      <c r="AL402" s="1044"/>
      <c r="AM402" s="1009"/>
      <c r="AN402" s="1034"/>
      <c r="AO402" s="1034"/>
      <c r="AP402" s="1084"/>
      <c r="AQ402" s="1084"/>
      <c r="AR402" s="1009"/>
      <c r="AS402" s="1009"/>
      <c r="AT402" s="1009"/>
      <c r="AU402" s="1009"/>
      <c r="AV402" s="1009"/>
      <c r="AW402" s="1009"/>
      <c r="AX402" s="1009"/>
      <c r="AY402" s="1009"/>
      <c r="AZ402" s="1009"/>
      <c r="BA402" s="1009"/>
      <c r="BB402" s="1009"/>
      <c r="BC402" s="1009"/>
      <c r="BD402" s="1009"/>
      <c r="BE402" s="1009"/>
      <c r="BF402" s="1009"/>
      <c r="BG402" s="1009"/>
      <c r="BH402" s="1009"/>
      <c r="BI402" s="1009"/>
      <c r="BJ402" s="1009"/>
      <c r="BK402" s="1009"/>
      <c r="BL402" s="1009"/>
      <c r="BM402" s="1009"/>
      <c r="BN402" s="1009"/>
      <c r="BO402" s="1009"/>
      <c r="BP402" s="1009"/>
      <c r="BQ402" s="1009"/>
      <c r="BR402" s="1009"/>
      <c r="BS402" s="1009"/>
      <c r="BT402" s="1009"/>
      <c r="BU402" s="1009"/>
      <c r="BV402" s="1009"/>
      <c r="BW402" s="1009"/>
      <c r="BX402" s="1009"/>
      <c r="BY402" s="1009"/>
      <c r="BZ402" s="1009"/>
      <c r="CA402" s="1009"/>
      <c r="CB402" s="1009"/>
      <c r="CC402" s="1009"/>
      <c r="CD402" s="1009"/>
      <c r="CE402" s="1009"/>
      <c r="CF402" s="1009"/>
      <c r="CG402" s="1009"/>
      <c r="CH402" s="1009"/>
      <c r="CI402" s="1009"/>
      <c r="CJ402" s="1009"/>
      <c r="CK402" s="1009"/>
      <c r="CL402" s="1009"/>
      <c r="CM402" s="1009"/>
      <c r="CN402" s="1009"/>
      <c r="CO402" s="1009"/>
      <c r="CP402" s="1009"/>
      <c r="CQ402" s="1009"/>
      <c r="CR402" s="1009"/>
      <c r="CS402" s="1009"/>
      <c r="CT402" s="1009"/>
      <c r="CU402" s="1009"/>
      <c r="CV402" s="1009"/>
      <c r="CW402" s="1009"/>
      <c r="CX402" s="1009"/>
      <c r="CY402" s="1009"/>
      <c r="CZ402" s="1009"/>
      <c r="DA402" s="1009"/>
      <c r="DB402" s="1009"/>
      <c r="DC402" s="1009"/>
      <c r="DD402" s="1009"/>
      <c r="DE402" s="1009"/>
      <c r="DF402" s="1009"/>
      <c r="DG402" s="1009"/>
      <c r="DH402" s="1009"/>
      <c r="DI402" s="1009"/>
      <c r="DJ402" s="1009"/>
      <c r="DK402" s="1009"/>
      <c r="DL402" s="1009"/>
      <c r="DM402" s="1009"/>
      <c r="DN402" s="1009"/>
      <c r="DO402" s="1009"/>
      <c r="DP402" s="1009"/>
      <c r="DQ402" s="1009"/>
      <c r="DR402" s="1009"/>
      <c r="DS402" s="1009"/>
      <c r="DT402" s="1009"/>
      <c r="DU402" s="1009"/>
      <c r="DV402" s="1009"/>
      <c r="DW402" s="1009"/>
      <c r="DX402" s="1009"/>
      <c r="DY402" s="1009"/>
      <c r="DZ402" s="1009"/>
      <c r="EA402" s="1009"/>
      <c r="EB402" s="1009"/>
      <c r="EC402" s="1009"/>
      <c r="ED402" s="1009"/>
      <c r="EE402" s="1009"/>
      <c r="EF402" s="1009"/>
      <c r="EG402" s="1009"/>
      <c r="EH402" s="1009"/>
      <c r="EI402" s="1009"/>
      <c r="EJ402" s="1009"/>
      <c r="EK402" s="1009"/>
      <c r="EL402" s="1009"/>
      <c r="EM402" s="1009"/>
      <c r="EN402" s="1009"/>
      <c r="EO402" s="1009"/>
      <c r="EP402" s="1009"/>
      <c r="EQ402" s="1009"/>
      <c r="ER402" s="1009"/>
      <c r="ES402" s="1009"/>
      <c r="ET402" s="1009"/>
      <c r="EU402" s="1009"/>
      <c r="EV402" s="1009"/>
      <c r="EW402" s="1009"/>
      <c r="EX402" s="1009"/>
      <c r="EY402" s="1009"/>
      <c r="EZ402" s="1009"/>
      <c r="FA402" s="1009"/>
      <c r="FB402" s="1009"/>
      <c r="FC402" s="1009"/>
      <c r="FD402" s="1009"/>
      <c r="FE402" s="1009"/>
      <c r="FF402" s="1009"/>
      <c r="FG402" s="1009"/>
      <c r="FH402" s="1009"/>
      <c r="FI402" s="1009"/>
      <c r="FJ402" s="1009"/>
      <c r="FK402" s="1009"/>
      <c r="FL402" s="1009"/>
      <c r="FM402" s="1009"/>
      <c r="FN402" s="1009"/>
      <c r="FO402" s="1009"/>
      <c r="FP402" s="1009"/>
      <c r="FQ402" s="1009"/>
      <c r="FR402" s="1009"/>
      <c r="FS402" s="1009"/>
      <c r="FT402" s="1009"/>
      <c r="FU402" s="1009"/>
      <c r="FV402" s="1009"/>
      <c r="FW402" s="1009"/>
      <c r="FX402" s="1009"/>
      <c r="FY402" s="1009"/>
      <c r="FZ402" s="1009"/>
      <c r="GA402" s="1009"/>
      <c r="GB402" s="1009"/>
      <c r="GC402" s="1009"/>
      <c r="GD402" s="1009"/>
      <c r="GE402" s="1009"/>
      <c r="GF402" s="1009"/>
      <c r="GG402" s="1009"/>
      <c r="GH402" s="1009"/>
      <c r="GI402" s="1009"/>
      <c r="GJ402" s="1009"/>
      <c r="GK402" s="1009"/>
      <c r="GL402" s="1009"/>
      <c r="GM402" s="1009"/>
      <c r="GN402" s="1009"/>
      <c r="GO402" s="1009"/>
      <c r="GP402" s="1009"/>
      <c r="GQ402" s="1009"/>
      <c r="GR402" s="1009"/>
      <c r="GS402" s="1009"/>
      <c r="GT402" s="1009"/>
      <c r="GU402" s="1009"/>
      <c r="GV402" s="1009"/>
      <c r="GW402" s="1009"/>
      <c r="GX402" s="1009"/>
      <c r="GY402" s="1009"/>
      <c r="GZ402" s="1009"/>
      <c r="HA402" s="1009"/>
      <c r="HB402" s="1009"/>
      <c r="HC402" s="1009"/>
      <c r="HD402" s="1009"/>
      <c r="HE402" s="1009"/>
      <c r="HF402" s="1009"/>
      <c r="HG402" s="1009"/>
      <c r="HH402" s="1009"/>
      <c r="HI402" s="1009"/>
      <c r="HJ402" s="1009"/>
      <c r="HK402" s="1009"/>
      <c r="HL402" s="1009"/>
      <c r="HM402" s="1009"/>
      <c r="HN402" s="1009"/>
      <c r="HO402" s="1009"/>
      <c r="HP402" s="1009"/>
      <c r="HQ402" s="1009"/>
      <c r="HR402" s="1009"/>
      <c r="HS402" s="1009"/>
      <c r="HT402" s="1009"/>
      <c r="HU402" s="1009"/>
      <c r="HV402" s="1009"/>
      <c r="HW402" s="1009"/>
      <c r="HX402" s="1009"/>
      <c r="HY402" s="1009"/>
      <c r="HZ402" s="1009"/>
      <c r="IA402" s="1009"/>
      <c r="IB402" s="1009"/>
      <c r="IC402" s="1009"/>
      <c r="ID402" s="1009"/>
      <c r="IE402" s="1009"/>
      <c r="IF402" s="1009"/>
      <c r="IG402" s="1009"/>
      <c r="IH402" s="1009"/>
      <c r="II402" s="1009"/>
      <c r="IJ402" s="1009"/>
      <c r="IK402" s="1009"/>
      <c r="IL402" s="1009"/>
      <c r="IM402" s="1009"/>
      <c r="IN402" s="1009"/>
      <c r="IO402" s="1009"/>
      <c r="IP402" s="1009"/>
      <c r="IQ402" s="1009"/>
      <c r="IR402" s="1009"/>
      <c r="IS402" s="1009"/>
      <c r="IT402" s="1009"/>
      <c r="IU402" s="1009"/>
      <c r="IV402" s="1009"/>
      <c r="IW402" s="1009"/>
    </row>
    <row r="403" spans="1:257" s="1277" customFormat="1" ht="12" customHeight="1">
      <c r="A403" s="1038"/>
      <c r="B403" s="1038"/>
      <c r="C403" s="1039"/>
      <c r="D403" s="1026"/>
      <c r="E403" s="1034"/>
      <c r="F403" s="1034"/>
      <c r="G403" s="1034"/>
      <c r="H403" s="1604"/>
      <c r="I403" s="1042"/>
      <c r="J403" s="1042"/>
      <c r="K403" s="1042"/>
      <c r="L403" s="1042"/>
      <c r="M403" s="1042"/>
      <c r="N403" s="1042"/>
      <c r="O403" s="1042"/>
      <c r="P403" s="1042"/>
      <c r="Q403" s="1042"/>
      <c r="R403" s="1042"/>
      <c r="S403" s="1042"/>
      <c r="T403" s="1042"/>
      <c r="U403" s="1042"/>
      <c r="V403" s="1042"/>
      <c r="W403" s="1042"/>
      <c r="X403" s="1042"/>
      <c r="Y403" s="1042"/>
      <c r="Z403" s="1042"/>
      <c r="AA403" s="1042"/>
      <c r="AB403" s="1042"/>
      <c r="AC403" s="1042"/>
      <c r="AD403" s="1042"/>
      <c r="AE403" s="1042"/>
      <c r="AF403" s="1042"/>
      <c r="AG403" s="1042"/>
      <c r="AH403" s="1605"/>
      <c r="AI403" s="1605"/>
      <c r="AJ403" s="1044"/>
      <c r="AK403" s="1047"/>
      <c r="AL403" s="1044"/>
      <c r="AM403" s="1009"/>
      <c r="AN403" s="1034"/>
      <c r="AO403" s="1034"/>
      <c r="AP403" s="1084"/>
      <c r="AQ403" s="1084"/>
      <c r="AR403" s="1009"/>
      <c r="AS403" s="1009"/>
      <c r="AT403" s="1009"/>
      <c r="AU403" s="1009"/>
      <c r="AV403" s="1009"/>
      <c r="AW403" s="1009"/>
      <c r="AX403" s="1009"/>
      <c r="AY403" s="1009"/>
      <c r="AZ403" s="1009"/>
      <c r="BA403" s="1009"/>
      <c r="BB403" s="1009"/>
      <c r="BC403" s="1009"/>
      <c r="BD403" s="1009"/>
      <c r="BE403" s="1009"/>
      <c r="BF403" s="1009"/>
      <c r="BG403" s="1009"/>
      <c r="BH403" s="1009"/>
      <c r="BI403" s="1009"/>
      <c r="BJ403" s="1009"/>
      <c r="BK403" s="1009"/>
      <c r="BL403" s="1009"/>
      <c r="BM403" s="1009"/>
      <c r="BN403" s="1009"/>
      <c r="BO403" s="1009"/>
      <c r="BP403" s="1009"/>
      <c r="BQ403" s="1009"/>
      <c r="BR403" s="1009"/>
      <c r="BS403" s="1009"/>
      <c r="BT403" s="1009"/>
      <c r="BU403" s="1009"/>
      <c r="BV403" s="1009"/>
      <c r="BW403" s="1009"/>
      <c r="BX403" s="1009"/>
      <c r="BY403" s="1009"/>
      <c r="BZ403" s="1009"/>
      <c r="CA403" s="1009"/>
      <c r="CB403" s="1009"/>
      <c r="CC403" s="1009"/>
      <c r="CD403" s="1009"/>
      <c r="CE403" s="1009"/>
      <c r="CF403" s="1009"/>
      <c r="CG403" s="1009"/>
      <c r="CH403" s="1009"/>
      <c r="CI403" s="1009"/>
      <c r="CJ403" s="1009"/>
      <c r="CK403" s="1009"/>
      <c r="CL403" s="1009"/>
      <c r="CM403" s="1009"/>
      <c r="CN403" s="1009"/>
      <c r="CO403" s="1009"/>
      <c r="CP403" s="1009"/>
      <c r="CQ403" s="1009"/>
      <c r="CR403" s="1009"/>
      <c r="CS403" s="1009"/>
      <c r="CT403" s="1009"/>
      <c r="CU403" s="1009"/>
      <c r="CV403" s="1009"/>
      <c r="CW403" s="1009"/>
      <c r="CX403" s="1009"/>
      <c r="CY403" s="1009"/>
      <c r="CZ403" s="1009"/>
      <c r="DA403" s="1009"/>
      <c r="DB403" s="1009"/>
      <c r="DC403" s="1009"/>
      <c r="DD403" s="1009"/>
      <c r="DE403" s="1009"/>
      <c r="DF403" s="1009"/>
      <c r="DG403" s="1009"/>
      <c r="DH403" s="1009"/>
      <c r="DI403" s="1009"/>
      <c r="DJ403" s="1009"/>
      <c r="DK403" s="1009"/>
      <c r="DL403" s="1009"/>
      <c r="DM403" s="1009"/>
      <c r="DN403" s="1009"/>
      <c r="DO403" s="1009"/>
      <c r="DP403" s="1009"/>
      <c r="DQ403" s="1009"/>
      <c r="DR403" s="1009"/>
      <c r="DS403" s="1009"/>
      <c r="DT403" s="1009"/>
      <c r="DU403" s="1009"/>
      <c r="DV403" s="1009"/>
      <c r="DW403" s="1009"/>
      <c r="DX403" s="1009"/>
      <c r="DY403" s="1009"/>
      <c r="DZ403" s="1009"/>
      <c r="EA403" s="1009"/>
      <c r="EB403" s="1009"/>
      <c r="EC403" s="1009"/>
      <c r="ED403" s="1009"/>
      <c r="EE403" s="1009"/>
      <c r="EF403" s="1009"/>
      <c r="EG403" s="1009"/>
      <c r="EH403" s="1009"/>
      <c r="EI403" s="1009"/>
      <c r="EJ403" s="1009"/>
      <c r="EK403" s="1009"/>
      <c r="EL403" s="1009"/>
      <c r="EM403" s="1009"/>
      <c r="EN403" s="1009"/>
      <c r="EO403" s="1009"/>
      <c r="EP403" s="1009"/>
      <c r="EQ403" s="1009"/>
      <c r="ER403" s="1009"/>
      <c r="ES403" s="1009"/>
      <c r="ET403" s="1009"/>
      <c r="EU403" s="1009"/>
      <c r="EV403" s="1009"/>
      <c r="EW403" s="1009"/>
      <c r="EX403" s="1009"/>
      <c r="EY403" s="1009"/>
      <c r="EZ403" s="1009"/>
      <c r="FA403" s="1009"/>
      <c r="FB403" s="1009"/>
      <c r="FC403" s="1009"/>
      <c r="FD403" s="1009"/>
      <c r="FE403" s="1009"/>
      <c r="FF403" s="1009"/>
      <c r="FG403" s="1009"/>
      <c r="FH403" s="1009"/>
      <c r="FI403" s="1009"/>
      <c r="FJ403" s="1009"/>
      <c r="FK403" s="1009"/>
      <c r="FL403" s="1009"/>
      <c r="FM403" s="1009"/>
      <c r="FN403" s="1009"/>
      <c r="FO403" s="1009"/>
      <c r="FP403" s="1009"/>
      <c r="FQ403" s="1009"/>
      <c r="FR403" s="1009"/>
      <c r="FS403" s="1009"/>
      <c r="FT403" s="1009"/>
      <c r="FU403" s="1009"/>
      <c r="FV403" s="1009"/>
      <c r="FW403" s="1009"/>
      <c r="FX403" s="1009"/>
      <c r="FY403" s="1009"/>
      <c r="FZ403" s="1009"/>
      <c r="GA403" s="1009"/>
      <c r="GB403" s="1009"/>
      <c r="GC403" s="1009"/>
      <c r="GD403" s="1009"/>
      <c r="GE403" s="1009"/>
      <c r="GF403" s="1009"/>
      <c r="GG403" s="1009"/>
      <c r="GH403" s="1009"/>
      <c r="GI403" s="1009"/>
      <c r="GJ403" s="1009"/>
      <c r="GK403" s="1009"/>
      <c r="GL403" s="1009"/>
      <c r="GM403" s="1009"/>
      <c r="GN403" s="1009"/>
      <c r="GO403" s="1009"/>
      <c r="GP403" s="1009"/>
      <c r="GQ403" s="1009"/>
      <c r="GR403" s="1009"/>
      <c r="GS403" s="1009"/>
      <c r="GT403" s="1009"/>
      <c r="GU403" s="1009"/>
      <c r="GV403" s="1009"/>
      <c r="GW403" s="1009"/>
      <c r="GX403" s="1009"/>
      <c r="GY403" s="1009"/>
      <c r="GZ403" s="1009"/>
      <c r="HA403" s="1009"/>
      <c r="HB403" s="1009"/>
      <c r="HC403" s="1009"/>
      <c r="HD403" s="1009"/>
      <c r="HE403" s="1009"/>
      <c r="HF403" s="1009"/>
      <c r="HG403" s="1009"/>
      <c r="HH403" s="1009"/>
      <c r="HI403" s="1009"/>
      <c r="HJ403" s="1009"/>
      <c r="HK403" s="1009"/>
      <c r="HL403" s="1009"/>
      <c r="HM403" s="1009"/>
      <c r="HN403" s="1009"/>
      <c r="HO403" s="1009"/>
      <c r="HP403" s="1009"/>
      <c r="HQ403" s="1009"/>
      <c r="HR403" s="1009"/>
      <c r="HS403" s="1009"/>
      <c r="HT403" s="1009"/>
      <c r="HU403" s="1009"/>
      <c r="HV403" s="1009"/>
      <c r="HW403" s="1009"/>
      <c r="HX403" s="1009"/>
      <c r="HY403" s="1009"/>
      <c r="HZ403" s="1009"/>
      <c r="IA403" s="1009"/>
      <c r="IB403" s="1009"/>
      <c r="IC403" s="1009"/>
      <c r="ID403" s="1009"/>
      <c r="IE403" s="1009"/>
      <c r="IF403" s="1009"/>
      <c r="IG403" s="1009"/>
      <c r="IH403" s="1009"/>
      <c r="II403" s="1009"/>
      <c r="IJ403" s="1009"/>
      <c r="IK403" s="1009"/>
      <c r="IL403" s="1009"/>
      <c r="IM403" s="1009"/>
      <c r="IN403" s="1009"/>
      <c r="IO403" s="1009"/>
      <c r="IP403" s="1009"/>
      <c r="IQ403" s="1009"/>
      <c r="IR403" s="1009"/>
      <c r="IS403" s="1009"/>
      <c r="IT403" s="1009"/>
      <c r="IU403" s="1009"/>
      <c r="IV403" s="1009"/>
      <c r="IW403" s="1009"/>
    </row>
    <row r="404" spans="1:257" s="115" customFormat="1" ht="12.9" customHeight="1">
      <c r="A404" s="1038"/>
      <c r="B404" s="1038"/>
      <c r="C404" s="1039"/>
      <c r="D404" s="1026"/>
      <c r="E404" s="1034"/>
      <c r="F404" s="1034"/>
      <c r="G404" s="1034"/>
      <c r="H404" s="1604"/>
      <c r="I404" s="1042"/>
      <c r="J404" s="1042"/>
      <c r="K404" s="1042"/>
      <c r="L404" s="1042"/>
      <c r="M404" s="1042"/>
      <c r="N404" s="1042"/>
      <c r="O404" s="1042"/>
      <c r="P404" s="1042"/>
      <c r="Q404" s="1042"/>
      <c r="R404" s="1042"/>
      <c r="S404" s="1042"/>
      <c r="T404" s="1042"/>
      <c r="U404" s="1042"/>
      <c r="V404" s="1042"/>
      <c r="W404" s="1042"/>
      <c r="X404" s="1042"/>
      <c r="Y404" s="1042"/>
      <c r="Z404" s="1042"/>
      <c r="AA404" s="1042"/>
      <c r="AB404" s="1042"/>
      <c r="AC404" s="1042"/>
      <c r="AD404" s="1042"/>
      <c r="AE404" s="1042"/>
      <c r="AF404" s="1042"/>
      <c r="AG404" s="1042"/>
      <c r="AH404" s="1605"/>
      <c r="AI404" s="1605"/>
      <c r="AJ404" s="1044"/>
      <c r="AK404" s="1047"/>
      <c r="AL404" s="1044"/>
      <c r="AM404" s="1009"/>
      <c r="AN404" s="1034"/>
      <c r="AO404" s="1034"/>
      <c r="AP404" s="1937"/>
      <c r="AQ404" s="1937"/>
      <c r="AR404" s="1004"/>
      <c r="AS404" s="1004"/>
      <c r="AT404" s="1004"/>
      <c r="AU404" s="1004"/>
      <c r="AV404" s="1004"/>
      <c r="AW404" s="1004"/>
      <c r="AX404" s="1004"/>
      <c r="AY404" s="1004"/>
      <c r="AZ404" s="1004"/>
      <c r="BA404" s="1004"/>
      <c r="BB404" s="1004"/>
      <c r="BC404" s="1004"/>
      <c r="BD404" s="1004"/>
      <c r="BE404" s="1004"/>
      <c r="BF404" s="1004"/>
      <c r="BG404" s="1004"/>
      <c r="BH404" s="1004"/>
      <c r="BI404" s="1004"/>
      <c r="BJ404" s="1004"/>
      <c r="BK404" s="1004"/>
      <c r="BL404" s="1004"/>
      <c r="BM404" s="1004"/>
      <c r="BN404" s="1004"/>
      <c r="BO404" s="1004"/>
      <c r="BP404" s="1004"/>
      <c r="BQ404" s="1004"/>
      <c r="BR404" s="1004"/>
      <c r="BS404" s="1004"/>
      <c r="BT404" s="1004"/>
      <c r="BU404" s="1004"/>
      <c r="BV404" s="1004"/>
      <c r="BW404" s="1004"/>
      <c r="BX404" s="1004"/>
      <c r="BY404" s="1004"/>
      <c r="BZ404" s="1004"/>
      <c r="CA404" s="1004"/>
      <c r="CB404" s="1004"/>
      <c r="CC404" s="1004"/>
      <c r="CD404" s="1004"/>
      <c r="CE404" s="1004"/>
      <c r="CF404" s="1004"/>
      <c r="CG404" s="1004"/>
      <c r="CH404" s="1004"/>
      <c r="CI404" s="1004"/>
      <c r="CJ404" s="1004"/>
      <c r="CK404" s="1004"/>
      <c r="CL404" s="1004"/>
      <c r="CM404" s="1004"/>
      <c r="CN404" s="1004"/>
      <c r="CO404" s="1004"/>
      <c r="CP404" s="1004"/>
      <c r="CQ404" s="1004"/>
      <c r="CR404" s="1004"/>
      <c r="CS404" s="1004"/>
      <c r="CT404" s="1004"/>
      <c r="CU404" s="1004"/>
      <c r="CV404" s="1004"/>
      <c r="CW404" s="1004"/>
      <c r="CX404" s="1004"/>
      <c r="CY404" s="1004"/>
      <c r="CZ404" s="1004"/>
      <c r="DA404" s="1004"/>
      <c r="DB404" s="1004"/>
      <c r="DC404" s="1004"/>
      <c r="DD404" s="1004"/>
      <c r="DE404" s="1004"/>
      <c r="DF404" s="1004"/>
      <c r="DG404" s="1004"/>
      <c r="DH404" s="1004"/>
      <c r="DI404" s="1004"/>
      <c r="DJ404" s="1004"/>
      <c r="DK404" s="1004"/>
      <c r="DL404" s="1004"/>
      <c r="DM404" s="1004"/>
      <c r="DN404" s="1004"/>
      <c r="DO404" s="1004"/>
      <c r="DP404" s="1004"/>
      <c r="DQ404" s="1004"/>
      <c r="DR404" s="1004"/>
      <c r="DS404" s="1004"/>
      <c r="DT404" s="1004"/>
      <c r="DU404" s="1004"/>
      <c r="DV404" s="1004"/>
      <c r="DW404" s="1004"/>
      <c r="DX404" s="1004"/>
      <c r="DY404" s="1004"/>
      <c r="DZ404" s="1004"/>
      <c r="EA404" s="1004"/>
      <c r="EB404" s="1004"/>
      <c r="EC404" s="1004"/>
      <c r="ED404" s="1004"/>
      <c r="EE404" s="1004"/>
      <c r="EF404" s="1004"/>
      <c r="EG404" s="1004"/>
      <c r="EH404" s="1004"/>
      <c r="EI404" s="1004"/>
      <c r="EJ404" s="1004"/>
      <c r="EK404" s="1004"/>
      <c r="EL404" s="1004"/>
      <c r="EM404" s="1004"/>
      <c r="EN404" s="1004"/>
      <c r="EO404" s="1004"/>
      <c r="EP404" s="1004"/>
      <c r="EQ404" s="1004"/>
      <c r="ER404" s="1004"/>
      <c r="ES404" s="1004"/>
      <c r="ET404" s="1004"/>
      <c r="EU404" s="1004"/>
      <c r="EV404" s="1004"/>
      <c r="EW404" s="1004"/>
      <c r="EX404" s="1004"/>
      <c r="EY404" s="1004"/>
      <c r="EZ404" s="1004"/>
      <c r="FA404" s="1004"/>
      <c r="FB404" s="1004"/>
      <c r="FC404" s="1004"/>
      <c r="FD404" s="1004"/>
      <c r="FE404" s="1004"/>
      <c r="FF404" s="1004"/>
      <c r="FG404" s="1004"/>
      <c r="FH404" s="1004"/>
      <c r="FI404" s="1004"/>
      <c r="FJ404" s="1004"/>
      <c r="FK404" s="1004"/>
      <c r="FL404" s="1004"/>
      <c r="FM404" s="1004"/>
      <c r="FN404" s="1004"/>
      <c r="FO404" s="1004"/>
      <c r="FP404" s="1004"/>
      <c r="FQ404" s="1004"/>
      <c r="FR404" s="1004"/>
      <c r="FS404" s="1004"/>
      <c r="FT404" s="1004"/>
      <c r="FU404" s="1004"/>
      <c r="FV404" s="1004"/>
      <c r="FW404" s="1004"/>
      <c r="FX404" s="1004"/>
      <c r="FY404" s="1004"/>
      <c r="FZ404" s="1004"/>
      <c r="GA404" s="1004"/>
      <c r="GB404" s="1004"/>
      <c r="GC404" s="1004"/>
      <c r="GD404" s="1004"/>
      <c r="GE404" s="1004"/>
      <c r="GF404" s="1004"/>
      <c r="GG404" s="1004"/>
      <c r="GH404" s="1004"/>
      <c r="GI404" s="1004"/>
      <c r="GJ404" s="1004"/>
      <c r="GK404" s="1004"/>
      <c r="GL404" s="1004"/>
      <c r="GM404" s="1004"/>
      <c r="GN404" s="1004"/>
      <c r="GO404" s="1004"/>
      <c r="GP404" s="1004"/>
      <c r="GQ404" s="1004"/>
      <c r="GR404" s="1004"/>
      <c r="GS404" s="1004"/>
      <c r="GT404" s="1004"/>
      <c r="GU404" s="1004"/>
      <c r="GV404" s="1004"/>
      <c r="GW404" s="1004"/>
      <c r="GX404" s="1004"/>
      <c r="GY404" s="1004"/>
      <c r="GZ404" s="1004"/>
      <c r="HA404" s="1004"/>
      <c r="HB404" s="1004"/>
      <c r="HC404" s="1004"/>
      <c r="HD404" s="1004"/>
      <c r="HE404" s="1004"/>
      <c r="HF404" s="1004"/>
      <c r="HG404" s="1004"/>
      <c r="HH404" s="1004"/>
      <c r="HI404" s="1004"/>
      <c r="HJ404" s="1004"/>
      <c r="HK404" s="1004"/>
      <c r="HL404" s="1004"/>
      <c r="HM404" s="1004"/>
      <c r="HN404" s="1004"/>
      <c r="HO404" s="1004"/>
      <c r="HP404" s="1004"/>
      <c r="HQ404" s="1004"/>
      <c r="HR404" s="1004"/>
      <c r="HS404" s="1004"/>
      <c r="HT404" s="1004"/>
      <c r="HU404" s="1004"/>
      <c r="HV404" s="1004"/>
      <c r="HW404" s="1004"/>
      <c r="HX404" s="1004"/>
      <c r="HY404" s="1004"/>
      <c r="HZ404" s="1004"/>
      <c r="IA404" s="1004"/>
      <c r="IB404" s="1004"/>
      <c r="IC404" s="1004"/>
      <c r="ID404" s="1004"/>
      <c r="IE404" s="1004"/>
      <c r="IF404" s="1004"/>
      <c r="IG404" s="1004"/>
      <c r="IH404" s="1004"/>
      <c r="II404" s="1004"/>
      <c r="IJ404" s="1004"/>
      <c r="IK404" s="1004"/>
      <c r="IL404" s="1004"/>
      <c r="IM404" s="1004"/>
      <c r="IN404" s="1004"/>
      <c r="IO404" s="1004"/>
      <c r="IP404" s="1004"/>
      <c r="IQ404" s="1004"/>
      <c r="IR404" s="1004"/>
      <c r="IS404" s="1004"/>
      <c r="IT404" s="1004"/>
      <c r="IU404" s="1004"/>
      <c r="IV404" s="1004"/>
      <c r="IW404" s="1004"/>
    </row>
    <row r="405" spans="1:257" s="1290" customFormat="1" ht="12.75" customHeight="1">
      <c r="A405" s="1038"/>
      <c r="B405" s="1038"/>
      <c r="C405" s="1039"/>
      <c r="D405" s="1026"/>
      <c r="E405" s="1034"/>
      <c r="F405" s="1034"/>
      <c r="G405" s="1034"/>
      <c r="H405" s="1604"/>
      <c r="I405" s="1042"/>
      <c r="J405" s="1042"/>
      <c r="K405" s="1042"/>
      <c r="L405" s="1042"/>
      <c r="M405" s="1042"/>
      <c r="N405" s="1042"/>
      <c r="O405" s="1042"/>
      <c r="P405" s="1042"/>
      <c r="Q405" s="1042"/>
      <c r="R405" s="1042"/>
      <c r="S405" s="1042"/>
      <c r="T405" s="1042"/>
      <c r="U405" s="1042"/>
      <c r="V405" s="1042"/>
      <c r="W405" s="1042"/>
      <c r="X405" s="1042"/>
      <c r="Y405" s="1042"/>
      <c r="Z405" s="1042"/>
      <c r="AA405" s="1042"/>
      <c r="AB405" s="1042"/>
      <c r="AC405" s="1042"/>
      <c r="AD405" s="1042"/>
      <c r="AE405" s="1042"/>
      <c r="AF405" s="1042"/>
      <c r="AG405" s="1042"/>
      <c r="AH405" s="1605"/>
      <c r="AI405" s="1605"/>
      <c r="AJ405" s="1044"/>
      <c r="AK405" s="1047"/>
      <c r="AL405" s="1044"/>
      <c r="AM405" s="1009"/>
      <c r="AN405" s="1034"/>
      <c r="AO405" s="1938"/>
      <c r="AP405" s="1037"/>
      <c r="AQ405" s="1037"/>
      <c r="AR405" s="1005"/>
      <c r="AS405" s="1005"/>
      <c r="AT405" s="1005"/>
      <c r="AU405" s="1005"/>
      <c r="AV405" s="1005"/>
      <c r="AW405" s="1005"/>
      <c r="AX405" s="1005"/>
      <c r="AY405" s="1005"/>
      <c r="AZ405" s="1005"/>
      <c r="BA405" s="1005"/>
      <c r="BB405" s="1005"/>
      <c r="BC405" s="1005"/>
      <c r="BD405" s="1005"/>
      <c r="BE405" s="1005"/>
      <c r="BF405" s="1005"/>
      <c r="BG405" s="1005"/>
      <c r="BH405" s="1005"/>
      <c r="BI405" s="1005"/>
      <c r="BJ405" s="1005"/>
      <c r="BK405" s="1005"/>
      <c r="BL405" s="1005"/>
      <c r="BM405" s="1005"/>
      <c r="BN405" s="1005"/>
      <c r="BO405" s="1005"/>
      <c r="BP405" s="1005"/>
      <c r="BQ405" s="1005"/>
      <c r="BR405" s="1005"/>
      <c r="BS405" s="1005"/>
      <c r="BT405" s="1005"/>
      <c r="BU405" s="1005"/>
      <c r="BV405" s="1005"/>
      <c r="BW405" s="1005"/>
      <c r="BX405" s="1005"/>
      <c r="BY405" s="1005"/>
      <c r="BZ405" s="1005"/>
      <c r="CA405" s="1005"/>
      <c r="CB405" s="1005"/>
      <c r="CC405" s="1005"/>
      <c r="CD405" s="1005"/>
      <c r="CE405" s="1005"/>
      <c r="CF405" s="1005"/>
      <c r="CG405" s="1005"/>
      <c r="CH405" s="1005"/>
      <c r="CI405" s="1005"/>
      <c r="CJ405" s="1005"/>
      <c r="CK405" s="1005"/>
      <c r="CL405" s="1005"/>
      <c r="CM405" s="1005"/>
      <c r="CN405" s="1005"/>
      <c r="CO405" s="1005"/>
      <c r="CP405" s="1005"/>
      <c r="CQ405" s="1005"/>
      <c r="CR405" s="1005"/>
      <c r="CS405" s="1005"/>
      <c r="CT405" s="1005"/>
      <c r="CU405" s="1005"/>
      <c r="CV405" s="1005"/>
      <c r="CW405" s="1005"/>
      <c r="CX405" s="1005"/>
      <c r="CY405" s="1005"/>
      <c r="CZ405" s="1005"/>
      <c r="DA405" s="1005"/>
      <c r="DB405" s="1005"/>
      <c r="DC405" s="1005"/>
      <c r="DD405" s="1005"/>
      <c r="DE405" s="1005"/>
      <c r="DF405" s="1005"/>
      <c r="DG405" s="1005"/>
      <c r="DH405" s="1005"/>
      <c r="DI405" s="1005"/>
      <c r="DJ405" s="1005"/>
      <c r="DK405" s="1005"/>
      <c r="DL405" s="1005"/>
      <c r="DM405" s="1005"/>
      <c r="DN405" s="1005"/>
      <c r="DO405" s="1005"/>
      <c r="DP405" s="1005"/>
      <c r="DQ405" s="1005"/>
      <c r="DR405" s="1005"/>
      <c r="DS405" s="1005"/>
      <c r="DT405" s="1005"/>
      <c r="DU405" s="1005"/>
      <c r="DV405" s="1005"/>
      <c r="DW405" s="1005"/>
      <c r="DX405" s="1005"/>
      <c r="DY405" s="1005"/>
      <c r="DZ405" s="1005"/>
      <c r="EA405" s="1005"/>
      <c r="EB405" s="1005"/>
      <c r="EC405" s="1005"/>
      <c r="ED405" s="1005"/>
      <c r="EE405" s="1005"/>
      <c r="EF405" s="1005"/>
      <c r="EG405" s="1005"/>
      <c r="EH405" s="1005"/>
      <c r="EI405" s="1005"/>
      <c r="EJ405" s="1005"/>
      <c r="EK405" s="1005"/>
      <c r="EL405" s="1005"/>
      <c r="EM405" s="1005"/>
      <c r="EN405" s="1005"/>
      <c r="EO405" s="1005"/>
      <c r="EP405" s="1005"/>
      <c r="EQ405" s="1005"/>
      <c r="ER405" s="1005"/>
      <c r="ES405" s="1005"/>
      <c r="ET405" s="1005"/>
      <c r="EU405" s="1005"/>
      <c r="EV405" s="1005"/>
      <c r="EW405" s="1005"/>
      <c r="EX405" s="1005"/>
      <c r="EY405" s="1005"/>
      <c r="EZ405" s="1005"/>
      <c r="FA405" s="1005"/>
      <c r="FB405" s="1005"/>
      <c r="FC405" s="1005"/>
      <c r="FD405" s="1005"/>
      <c r="FE405" s="1005"/>
      <c r="FF405" s="1005"/>
      <c r="FG405" s="1005"/>
      <c r="FH405" s="1005"/>
      <c r="FI405" s="1005"/>
      <c r="FJ405" s="1005"/>
      <c r="FK405" s="1005"/>
      <c r="FL405" s="1005"/>
      <c r="FM405" s="1005"/>
      <c r="FN405" s="1005"/>
      <c r="FO405" s="1005"/>
      <c r="FP405" s="1005"/>
      <c r="FQ405" s="1005"/>
      <c r="FR405" s="1005"/>
      <c r="FS405" s="1005"/>
      <c r="FT405" s="1005"/>
      <c r="FU405" s="1005"/>
      <c r="FV405" s="1005"/>
      <c r="FW405" s="1005"/>
      <c r="FX405" s="1005"/>
      <c r="FY405" s="1005"/>
      <c r="FZ405" s="1005"/>
      <c r="GA405" s="1005"/>
      <c r="GB405" s="1005"/>
      <c r="GC405" s="1005"/>
      <c r="GD405" s="1005"/>
      <c r="GE405" s="1005"/>
      <c r="GF405" s="1005"/>
      <c r="GG405" s="1005"/>
      <c r="GH405" s="1005"/>
      <c r="GI405" s="1005"/>
      <c r="GJ405" s="1005"/>
      <c r="GK405" s="1005"/>
      <c r="GL405" s="1005"/>
      <c r="GM405" s="1005"/>
      <c r="GN405" s="1005"/>
      <c r="GO405" s="1005"/>
      <c r="GP405" s="1005"/>
      <c r="GQ405" s="1005"/>
      <c r="GR405" s="1005"/>
      <c r="GS405" s="1005"/>
      <c r="GT405" s="1005"/>
      <c r="GU405" s="1005"/>
      <c r="GV405" s="1005"/>
      <c r="GW405" s="1005"/>
      <c r="GX405" s="1005"/>
      <c r="GY405" s="1005"/>
      <c r="GZ405" s="1005"/>
      <c r="HA405" s="1005"/>
      <c r="HB405" s="1005"/>
      <c r="HC405" s="1005"/>
      <c r="HD405" s="1005"/>
      <c r="HE405" s="1005"/>
      <c r="HF405" s="1005"/>
      <c r="HG405" s="1005"/>
      <c r="HH405" s="1005"/>
      <c r="HI405" s="1005"/>
      <c r="HJ405" s="1005"/>
      <c r="HK405" s="1005"/>
      <c r="HL405" s="1005"/>
      <c r="HM405" s="1005"/>
      <c r="HN405" s="1005"/>
      <c r="HO405" s="1005"/>
      <c r="HP405" s="1005"/>
      <c r="HQ405" s="1005"/>
      <c r="HR405" s="1005"/>
      <c r="HS405" s="1005"/>
      <c r="HT405" s="1005"/>
      <c r="HU405" s="1005"/>
      <c r="HV405" s="1005"/>
      <c r="HW405" s="1005"/>
      <c r="HX405" s="1005"/>
      <c r="HY405" s="1005"/>
      <c r="HZ405" s="1005"/>
      <c r="IA405" s="1005"/>
      <c r="IB405" s="1005"/>
      <c r="IC405" s="1005"/>
      <c r="ID405" s="1005"/>
      <c r="IE405" s="1005"/>
      <c r="IF405" s="1005"/>
      <c r="IG405" s="1005"/>
      <c r="IH405" s="1005"/>
      <c r="II405" s="1005"/>
      <c r="IJ405" s="1005"/>
      <c r="IK405" s="1005"/>
      <c r="IL405" s="1005"/>
      <c r="IM405" s="1005"/>
      <c r="IN405" s="1005"/>
      <c r="IO405" s="1005"/>
      <c r="IP405" s="1005"/>
      <c r="IQ405" s="1005"/>
      <c r="IR405" s="1005"/>
      <c r="IS405" s="1005"/>
      <c r="IT405" s="1005"/>
      <c r="IU405" s="1005"/>
      <c r="IV405" s="1005"/>
      <c r="IW405" s="1005"/>
    </row>
    <row r="406" spans="1:257" s="1290" customFormat="1" ht="12.75" customHeight="1">
      <c r="A406" s="1038"/>
      <c r="B406" s="1038"/>
      <c r="C406" s="1039"/>
      <c r="D406" s="1026"/>
      <c r="E406" s="1034"/>
      <c r="F406" s="1034"/>
      <c r="G406" s="1034"/>
      <c r="H406" s="1604"/>
      <c r="I406" s="1042"/>
      <c r="J406" s="1042"/>
      <c r="K406" s="1042"/>
      <c r="L406" s="1042"/>
      <c r="M406" s="1042"/>
      <c r="N406" s="1042"/>
      <c r="O406" s="1042"/>
      <c r="P406" s="1042"/>
      <c r="Q406" s="1042"/>
      <c r="R406" s="1042"/>
      <c r="S406" s="1042"/>
      <c r="T406" s="1042"/>
      <c r="U406" s="1042"/>
      <c r="V406" s="1042"/>
      <c r="W406" s="1042"/>
      <c r="X406" s="1042"/>
      <c r="Y406" s="1042"/>
      <c r="Z406" s="1042"/>
      <c r="AA406" s="1042"/>
      <c r="AB406" s="1042"/>
      <c r="AC406" s="1042"/>
      <c r="AD406" s="1042"/>
      <c r="AE406" s="1042"/>
      <c r="AF406" s="1042"/>
      <c r="AG406" s="1042"/>
      <c r="AH406" s="1605"/>
      <c r="AI406" s="1605"/>
      <c r="AJ406" s="1044"/>
      <c r="AK406" s="1047"/>
      <c r="AL406" s="1044"/>
      <c r="AM406" s="1009"/>
      <c r="AN406" s="1034"/>
      <c r="AO406" s="1938"/>
      <c r="AP406" s="1037"/>
      <c r="AQ406" s="1037"/>
      <c r="AR406" s="1005"/>
      <c r="AS406" s="1005"/>
      <c r="AT406" s="1005"/>
      <c r="AU406" s="1005"/>
      <c r="AV406" s="1005"/>
      <c r="AW406" s="1005"/>
      <c r="AX406" s="1005"/>
      <c r="AY406" s="1005"/>
      <c r="AZ406" s="1005"/>
      <c r="BA406" s="1005"/>
      <c r="BB406" s="1005"/>
      <c r="BC406" s="1005"/>
      <c r="BD406" s="1005"/>
      <c r="BE406" s="1005"/>
      <c r="BF406" s="1005"/>
      <c r="BG406" s="1005"/>
      <c r="BH406" s="1005"/>
      <c r="BI406" s="1005"/>
      <c r="BJ406" s="1005"/>
      <c r="BK406" s="1005"/>
      <c r="BL406" s="1005"/>
      <c r="BM406" s="1005"/>
      <c r="BN406" s="1005"/>
      <c r="BO406" s="1005"/>
      <c r="BP406" s="1005"/>
      <c r="BQ406" s="1005"/>
      <c r="BR406" s="1005"/>
      <c r="BS406" s="1005"/>
      <c r="BT406" s="1005"/>
      <c r="BU406" s="1005"/>
      <c r="BV406" s="1005"/>
      <c r="BW406" s="1005"/>
      <c r="BX406" s="1005"/>
      <c r="BY406" s="1005"/>
      <c r="BZ406" s="1005"/>
      <c r="CA406" s="1005"/>
      <c r="CB406" s="1005"/>
      <c r="CC406" s="1005"/>
      <c r="CD406" s="1005"/>
      <c r="CE406" s="1005"/>
      <c r="CF406" s="1005"/>
      <c r="CG406" s="1005"/>
      <c r="CH406" s="1005"/>
      <c r="CI406" s="1005"/>
      <c r="CJ406" s="1005"/>
      <c r="CK406" s="1005"/>
      <c r="CL406" s="1005"/>
      <c r="CM406" s="1005"/>
      <c r="CN406" s="1005"/>
      <c r="CO406" s="1005"/>
      <c r="CP406" s="1005"/>
      <c r="CQ406" s="1005"/>
      <c r="CR406" s="1005"/>
      <c r="CS406" s="1005"/>
      <c r="CT406" s="1005"/>
      <c r="CU406" s="1005"/>
      <c r="CV406" s="1005"/>
      <c r="CW406" s="1005"/>
      <c r="CX406" s="1005"/>
      <c r="CY406" s="1005"/>
      <c r="CZ406" s="1005"/>
      <c r="DA406" s="1005"/>
      <c r="DB406" s="1005"/>
      <c r="DC406" s="1005"/>
      <c r="DD406" s="1005"/>
      <c r="DE406" s="1005"/>
      <c r="DF406" s="1005"/>
      <c r="DG406" s="1005"/>
      <c r="DH406" s="1005"/>
      <c r="DI406" s="1005"/>
      <c r="DJ406" s="1005"/>
      <c r="DK406" s="1005"/>
      <c r="DL406" s="1005"/>
      <c r="DM406" s="1005"/>
      <c r="DN406" s="1005"/>
      <c r="DO406" s="1005"/>
      <c r="DP406" s="1005"/>
      <c r="DQ406" s="1005"/>
      <c r="DR406" s="1005"/>
      <c r="DS406" s="1005"/>
      <c r="DT406" s="1005"/>
      <c r="DU406" s="1005"/>
      <c r="DV406" s="1005"/>
      <c r="DW406" s="1005"/>
      <c r="DX406" s="1005"/>
      <c r="DY406" s="1005"/>
      <c r="DZ406" s="1005"/>
      <c r="EA406" s="1005"/>
      <c r="EB406" s="1005"/>
      <c r="EC406" s="1005"/>
      <c r="ED406" s="1005"/>
      <c r="EE406" s="1005"/>
      <c r="EF406" s="1005"/>
      <c r="EG406" s="1005"/>
      <c r="EH406" s="1005"/>
      <c r="EI406" s="1005"/>
      <c r="EJ406" s="1005"/>
      <c r="EK406" s="1005"/>
      <c r="EL406" s="1005"/>
      <c r="EM406" s="1005"/>
      <c r="EN406" s="1005"/>
      <c r="EO406" s="1005"/>
      <c r="EP406" s="1005"/>
      <c r="EQ406" s="1005"/>
      <c r="ER406" s="1005"/>
      <c r="ES406" s="1005"/>
      <c r="ET406" s="1005"/>
      <c r="EU406" s="1005"/>
      <c r="EV406" s="1005"/>
      <c r="EW406" s="1005"/>
      <c r="EX406" s="1005"/>
      <c r="EY406" s="1005"/>
      <c r="EZ406" s="1005"/>
      <c r="FA406" s="1005"/>
      <c r="FB406" s="1005"/>
      <c r="FC406" s="1005"/>
      <c r="FD406" s="1005"/>
      <c r="FE406" s="1005"/>
      <c r="FF406" s="1005"/>
      <c r="FG406" s="1005"/>
      <c r="FH406" s="1005"/>
      <c r="FI406" s="1005"/>
      <c r="FJ406" s="1005"/>
      <c r="FK406" s="1005"/>
      <c r="FL406" s="1005"/>
      <c r="FM406" s="1005"/>
      <c r="FN406" s="1005"/>
      <c r="FO406" s="1005"/>
      <c r="FP406" s="1005"/>
      <c r="FQ406" s="1005"/>
      <c r="FR406" s="1005"/>
      <c r="FS406" s="1005"/>
      <c r="FT406" s="1005"/>
      <c r="FU406" s="1005"/>
      <c r="FV406" s="1005"/>
      <c r="FW406" s="1005"/>
      <c r="FX406" s="1005"/>
      <c r="FY406" s="1005"/>
      <c r="FZ406" s="1005"/>
      <c r="GA406" s="1005"/>
      <c r="GB406" s="1005"/>
      <c r="GC406" s="1005"/>
      <c r="GD406" s="1005"/>
      <c r="GE406" s="1005"/>
      <c r="GF406" s="1005"/>
      <c r="GG406" s="1005"/>
      <c r="GH406" s="1005"/>
      <c r="GI406" s="1005"/>
      <c r="GJ406" s="1005"/>
      <c r="GK406" s="1005"/>
      <c r="GL406" s="1005"/>
      <c r="GM406" s="1005"/>
      <c r="GN406" s="1005"/>
      <c r="GO406" s="1005"/>
      <c r="GP406" s="1005"/>
      <c r="GQ406" s="1005"/>
      <c r="GR406" s="1005"/>
      <c r="GS406" s="1005"/>
      <c r="GT406" s="1005"/>
      <c r="GU406" s="1005"/>
      <c r="GV406" s="1005"/>
      <c r="GW406" s="1005"/>
      <c r="GX406" s="1005"/>
      <c r="GY406" s="1005"/>
      <c r="GZ406" s="1005"/>
      <c r="HA406" s="1005"/>
      <c r="HB406" s="1005"/>
      <c r="HC406" s="1005"/>
      <c r="HD406" s="1005"/>
      <c r="HE406" s="1005"/>
      <c r="HF406" s="1005"/>
      <c r="HG406" s="1005"/>
      <c r="HH406" s="1005"/>
      <c r="HI406" s="1005"/>
      <c r="HJ406" s="1005"/>
      <c r="HK406" s="1005"/>
      <c r="HL406" s="1005"/>
      <c r="HM406" s="1005"/>
      <c r="HN406" s="1005"/>
      <c r="HO406" s="1005"/>
      <c r="HP406" s="1005"/>
      <c r="HQ406" s="1005"/>
      <c r="HR406" s="1005"/>
      <c r="HS406" s="1005"/>
      <c r="HT406" s="1005"/>
      <c r="HU406" s="1005"/>
      <c r="HV406" s="1005"/>
      <c r="HW406" s="1005"/>
      <c r="HX406" s="1005"/>
      <c r="HY406" s="1005"/>
      <c r="HZ406" s="1005"/>
      <c r="IA406" s="1005"/>
      <c r="IB406" s="1005"/>
      <c r="IC406" s="1005"/>
      <c r="ID406" s="1005"/>
      <c r="IE406" s="1005"/>
      <c r="IF406" s="1005"/>
      <c r="IG406" s="1005"/>
      <c r="IH406" s="1005"/>
      <c r="II406" s="1005"/>
      <c r="IJ406" s="1005"/>
      <c r="IK406" s="1005"/>
      <c r="IL406" s="1005"/>
      <c r="IM406" s="1005"/>
      <c r="IN406" s="1005"/>
      <c r="IO406" s="1005"/>
      <c r="IP406" s="1005"/>
      <c r="IQ406" s="1005"/>
      <c r="IR406" s="1005"/>
      <c r="IS406" s="1005"/>
      <c r="IT406" s="1005"/>
      <c r="IU406" s="1005"/>
      <c r="IV406" s="1005"/>
      <c r="IW406" s="1005"/>
    </row>
    <row r="407" spans="1:257" s="1290" customFormat="1" ht="12.75" customHeight="1">
      <c r="A407" s="1038"/>
      <c r="B407" s="1038"/>
      <c r="C407" s="1039"/>
      <c r="D407" s="1026"/>
      <c r="E407" s="1034"/>
      <c r="F407" s="1034"/>
      <c r="G407" s="1034"/>
      <c r="H407" s="1604"/>
      <c r="I407" s="1042"/>
      <c r="J407" s="1042"/>
      <c r="K407" s="1042"/>
      <c r="L407" s="1042"/>
      <c r="M407" s="1042"/>
      <c r="N407" s="1042"/>
      <c r="O407" s="1042"/>
      <c r="P407" s="1042"/>
      <c r="Q407" s="1042"/>
      <c r="R407" s="1042"/>
      <c r="S407" s="1042"/>
      <c r="T407" s="1042"/>
      <c r="U407" s="1042"/>
      <c r="V407" s="1042"/>
      <c r="W407" s="1042"/>
      <c r="X407" s="1042"/>
      <c r="Y407" s="1042"/>
      <c r="Z407" s="1042"/>
      <c r="AA407" s="1042"/>
      <c r="AB407" s="1042"/>
      <c r="AC407" s="1042"/>
      <c r="AD407" s="1042"/>
      <c r="AE407" s="1042"/>
      <c r="AF407" s="1042"/>
      <c r="AG407" s="1042"/>
      <c r="AH407" s="1605"/>
      <c r="AI407" s="1605"/>
      <c r="AJ407" s="1044"/>
      <c r="AK407" s="1047"/>
      <c r="AL407" s="1044"/>
      <c r="AM407" s="1009"/>
      <c r="AN407" s="1034"/>
      <c r="AO407" s="1938"/>
      <c r="AP407" s="1037"/>
      <c r="AQ407" s="1037"/>
      <c r="AR407" s="1005"/>
      <c r="AS407" s="1005"/>
      <c r="AT407" s="1005"/>
      <c r="AU407" s="1005"/>
      <c r="AV407" s="1005"/>
      <c r="AW407" s="1005"/>
      <c r="AX407" s="1005"/>
      <c r="AY407" s="1005"/>
      <c r="AZ407" s="1005"/>
      <c r="BA407" s="1005"/>
      <c r="BB407" s="1005"/>
      <c r="BC407" s="1005"/>
      <c r="BD407" s="1005"/>
      <c r="BE407" s="1005"/>
      <c r="BF407" s="1005"/>
      <c r="BG407" s="1005"/>
      <c r="BH407" s="1005"/>
      <c r="BI407" s="1005"/>
      <c r="BJ407" s="1005"/>
      <c r="BK407" s="1005"/>
      <c r="BL407" s="1005"/>
      <c r="BM407" s="1005"/>
      <c r="BN407" s="1005"/>
      <c r="BO407" s="1005"/>
      <c r="BP407" s="1005"/>
      <c r="BQ407" s="1005"/>
      <c r="BR407" s="1005"/>
      <c r="BS407" s="1005"/>
      <c r="BT407" s="1005"/>
      <c r="BU407" s="1005"/>
      <c r="BV407" s="1005"/>
      <c r="BW407" s="1005"/>
      <c r="BX407" s="1005"/>
      <c r="BY407" s="1005"/>
      <c r="BZ407" s="1005"/>
      <c r="CA407" s="1005"/>
      <c r="CB407" s="1005"/>
      <c r="CC407" s="1005"/>
      <c r="CD407" s="1005"/>
      <c r="CE407" s="1005"/>
      <c r="CF407" s="1005"/>
      <c r="CG407" s="1005"/>
      <c r="CH407" s="1005"/>
      <c r="CI407" s="1005"/>
      <c r="CJ407" s="1005"/>
      <c r="CK407" s="1005"/>
      <c r="CL407" s="1005"/>
      <c r="CM407" s="1005"/>
      <c r="CN407" s="1005"/>
      <c r="CO407" s="1005"/>
      <c r="CP407" s="1005"/>
      <c r="CQ407" s="1005"/>
      <c r="CR407" s="1005"/>
      <c r="CS407" s="1005"/>
      <c r="CT407" s="1005"/>
      <c r="CU407" s="1005"/>
      <c r="CV407" s="1005"/>
      <c r="CW407" s="1005"/>
      <c r="CX407" s="1005"/>
      <c r="CY407" s="1005"/>
      <c r="CZ407" s="1005"/>
      <c r="DA407" s="1005"/>
      <c r="DB407" s="1005"/>
      <c r="DC407" s="1005"/>
      <c r="DD407" s="1005"/>
      <c r="DE407" s="1005"/>
      <c r="DF407" s="1005"/>
      <c r="DG407" s="1005"/>
      <c r="DH407" s="1005"/>
      <c r="DI407" s="1005"/>
      <c r="DJ407" s="1005"/>
      <c r="DK407" s="1005"/>
      <c r="DL407" s="1005"/>
      <c r="DM407" s="1005"/>
      <c r="DN407" s="1005"/>
      <c r="DO407" s="1005"/>
      <c r="DP407" s="1005"/>
      <c r="DQ407" s="1005"/>
      <c r="DR407" s="1005"/>
      <c r="DS407" s="1005"/>
      <c r="DT407" s="1005"/>
      <c r="DU407" s="1005"/>
      <c r="DV407" s="1005"/>
      <c r="DW407" s="1005"/>
      <c r="DX407" s="1005"/>
      <c r="DY407" s="1005"/>
      <c r="DZ407" s="1005"/>
      <c r="EA407" s="1005"/>
      <c r="EB407" s="1005"/>
      <c r="EC407" s="1005"/>
      <c r="ED407" s="1005"/>
      <c r="EE407" s="1005"/>
      <c r="EF407" s="1005"/>
      <c r="EG407" s="1005"/>
      <c r="EH407" s="1005"/>
      <c r="EI407" s="1005"/>
      <c r="EJ407" s="1005"/>
      <c r="EK407" s="1005"/>
      <c r="EL407" s="1005"/>
      <c r="EM407" s="1005"/>
      <c r="EN407" s="1005"/>
      <c r="EO407" s="1005"/>
      <c r="EP407" s="1005"/>
      <c r="EQ407" s="1005"/>
      <c r="ER407" s="1005"/>
      <c r="ES407" s="1005"/>
      <c r="ET407" s="1005"/>
      <c r="EU407" s="1005"/>
      <c r="EV407" s="1005"/>
      <c r="EW407" s="1005"/>
      <c r="EX407" s="1005"/>
      <c r="EY407" s="1005"/>
      <c r="EZ407" s="1005"/>
      <c r="FA407" s="1005"/>
      <c r="FB407" s="1005"/>
      <c r="FC407" s="1005"/>
      <c r="FD407" s="1005"/>
      <c r="FE407" s="1005"/>
      <c r="FF407" s="1005"/>
      <c r="FG407" s="1005"/>
      <c r="FH407" s="1005"/>
      <c r="FI407" s="1005"/>
      <c r="FJ407" s="1005"/>
      <c r="FK407" s="1005"/>
      <c r="FL407" s="1005"/>
      <c r="FM407" s="1005"/>
      <c r="FN407" s="1005"/>
      <c r="FO407" s="1005"/>
      <c r="FP407" s="1005"/>
      <c r="FQ407" s="1005"/>
      <c r="FR407" s="1005"/>
      <c r="FS407" s="1005"/>
      <c r="FT407" s="1005"/>
      <c r="FU407" s="1005"/>
      <c r="FV407" s="1005"/>
      <c r="FW407" s="1005"/>
      <c r="FX407" s="1005"/>
      <c r="FY407" s="1005"/>
      <c r="FZ407" s="1005"/>
      <c r="GA407" s="1005"/>
      <c r="GB407" s="1005"/>
      <c r="GC407" s="1005"/>
      <c r="GD407" s="1005"/>
      <c r="GE407" s="1005"/>
      <c r="GF407" s="1005"/>
      <c r="GG407" s="1005"/>
      <c r="GH407" s="1005"/>
      <c r="GI407" s="1005"/>
      <c r="GJ407" s="1005"/>
      <c r="GK407" s="1005"/>
      <c r="GL407" s="1005"/>
      <c r="GM407" s="1005"/>
      <c r="GN407" s="1005"/>
      <c r="GO407" s="1005"/>
      <c r="GP407" s="1005"/>
      <c r="GQ407" s="1005"/>
      <c r="GR407" s="1005"/>
      <c r="GS407" s="1005"/>
      <c r="GT407" s="1005"/>
      <c r="GU407" s="1005"/>
      <c r="GV407" s="1005"/>
      <c r="GW407" s="1005"/>
      <c r="GX407" s="1005"/>
      <c r="GY407" s="1005"/>
      <c r="GZ407" s="1005"/>
      <c r="HA407" s="1005"/>
      <c r="HB407" s="1005"/>
      <c r="HC407" s="1005"/>
      <c r="HD407" s="1005"/>
      <c r="HE407" s="1005"/>
      <c r="HF407" s="1005"/>
      <c r="HG407" s="1005"/>
      <c r="HH407" s="1005"/>
      <c r="HI407" s="1005"/>
      <c r="HJ407" s="1005"/>
      <c r="HK407" s="1005"/>
      <c r="HL407" s="1005"/>
      <c r="HM407" s="1005"/>
      <c r="HN407" s="1005"/>
      <c r="HO407" s="1005"/>
      <c r="HP407" s="1005"/>
      <c r="HQ407" s="1005"/>
      <c r="HR407" s="1005"/>
      <c r="HS407" s="1005"/>
      <c r="HT407" s="1005"/>
      <c r="HU407" s="1005"/>
      <c r="HV407" s="1005"/>
      <c r="HW407" s="1005"/>
      <c r="HX407" s="1005"/>
      <c r="HY407" s="1005"/>
      <c r="HZ407" s="1005"/>
      <c r="IA407" s="1005"/>
      <c r="IB407" s="1005"/>
      <c r="IC407" s="1005"/>
      <c r="ID407" s="1005"/>
      <c r="IE407" s="1005"/>
      <c r="IF407" s="1005"/>
      <c r="IG407" s="1005"/>
      <c r="IH407" s="1005"/>
      <c r="II407" s="1005"/>
      <c r="IJ407" s="1005"/>
      <c r="IK407" s="1005"/>
      <c r="IL407" s="1005"/>
      <c r="IM407" s="1005"/>
      <c r="IN407" s="1005"/>
      <c r="IO407" s="1005"/>
      <c r="IP407" s="1005"/>
      <c r="IQ407" s="1005"/>
      <c r="IR407" s="1005"/>
      <c r="IS407" s="1005"/>
      <c r="IT407" s="1005"/>
      <c r="IU407" s="1005"/>
      <c r="IV407" s="1005"/>
      <c r="IW407" s="1005"/>
    </row>
    <row r="408" spans="1:257" s="1290" customFormat="1" ht="12.75" customHeight="1">
      <c r="A408" s="1038"/>
      <c r="B408" s="1038"/>
      <c r="C408" s="1039"/>
      <c r="D408" s="1026"/>
      <c r="E408" s="1034"/>
      <c r="F408" s="1034"/>
      <c r="G408" s="1034"/>
      <c r="H408" s="1604"/>
      <c r="I408" s="1042"/>
      <c r="J408" s="1042"/>
      <c r="K408" s="1042"/>
      <c r="L408" s="1042"/>
      <c r="M408" s="1042"/>
      <c r="N408" s="1042"/>
      <c r="O408" s="1042"/>
      <c r="P408" s="1042"/>
      <c r="Q408" s="1042"/>
      <c r="R408" s="1042"/>
      <c r="S408" s="1042"/>
      <c r="T408" s="1042"/>
      <c r="U408" s="1042"/>
      <c r="V408" s="1042"/>
      <c r="W408" s="1042"/>
      <c r="X408" s="1042"/>
      <c r="Y408" s="1042"/>
      <c r="Z408" s="1042"/>
      <c r="AA408" s="1042"/>
      <c r="AB408" s="1042"/>
      <c r="AC408" s="1042"/>
      <c r="AD408" s="1042"/>
      <c r="AE408" s="1042"/>
      <c r="AF408" s="1042"/>
      <c r="AG408" s="1042"/>
      <c r="AH408" s="1605"/>
      <c r="AI408" s="1605"/>
      <c r="AJ408" s="1044"/>
      <c r="AK408" s="1047"/>
      <c r="AL408" s="1044"/>
      <c r="AM408" s="1009"/>
      <c r="AN408" s="1034"/>
      <c r="AO408" s="1938"/>
      <c r="AP408" s="1037"/>
      <c r="AQ408" s="1037"/>
      <c r="AR408" s="1005"/>
      <c r="AS408" s="1005"/>
      <c r="AT408" s="1005"/>
      <c r="AU408" s="1005"/>
      <c r="AV408" s="1005"/>
      <c r="AW408" s="1005"/>
      <c r="AX408" s="1005"/>
      <c r="AY408" s="1005"/>
      <c r="AZ408" s="1005"/>
      <c r="BA408" s="1005"/>
      <c r="BB408" s="1005"/>
      <c r="BC408" s="1005"/>
      <c r="BD408" s="1005"/>
      <c r="BE408" s="1005"/>
      <c r="BF408" s="1005"/>
      <c r="BG408" s="1005"/>
      <c r="BH408" s="1005"/>
      <c r="BI408" s="1005"/>
      <c r="BJ408" s="1005"/>
      <c r="BK408" s="1005"/>
      <c r="BL408" s="1005"/>
      <c r="BM408" s="1005"/>
      <c r="BN408" s="1005"/>
      <c r="BO408" s="1005"/>
      <c r="BP408" s="1005"/>
      <c r="BQ408" s="1005"/>
      <c r="BR408" s="1005"/>
      <c r="BS408" s="1005"/>
      <c r="BT408" s="1005"/>
      <c r="BU408" s="1005"/>
      <c r="BV408" s="1005"/>
      <c r="BW408" s="1005"/>
      <c r="BX408" s="1005"/>
      <c r="BY408" s="1005"/>
      <c r="BZ408" s="1005"/>
      <c r="CA408" s="1005"/>
      <c r="CB408" s="1005"/>
      <c r="CC408" s="1005"/>
      <c r="CD408" s="1005"/>
      <c r="CE408" s="1005"/>
      <c r="CF408" s="1005"/>
      <c r="CG408" s="1005"/>
      <c r="CH408" s="1005"/>
      <c r="CI408" s="1005"/>
      <c r="CJ408" s="1005"/>
      <c r="CK408" s="1005"/>
      <c r="CL408" s="1005"/>
      <c r="CM408" s="1005"/>
      <c r="CN408" s="1005"/>
      <c r="CO408" s="1005"/>
      <c r="CP408" s="1005"/>
      <c r="CQ408" s="1005"/>
      <c r="CR408" s="1005"/>
      <c r="CS408" s="1005"/>
      <c r="CT408" s="1005"/>
      <c r="CU408" s="1005"/>
      <c r="CV408" s="1005"/>
      <c r="CW408" s="1005"/>
      <c r="CX408" s="1005"/>
      <c r="CY408" s="1005"/>
      <c r="CZ408" s="1005"/>
      <c r="DA408" s="1005"/>
      <c r="DB408" s="1005"/>
      <c r="DC408" s="1005"/>
      <c r="DD408" s="1005"/>
      <c r="DE408" s="1005"/>
      <c r="DF408" s="1005"/>
      <c r="DG408" s="1005"/>
      <c r="DH408" s="1005"/>
      <c r="DI408" s="1005"/>
      <c r="DJ408" s="1005"/>
      <c r="DK408" s="1005"/>
      <c r="DL408" s="1005"/>
      <c r="DM408" s="1005"/>
      <c r="DN408" s="1005"/>
      <c r="DO408" s="1005"/>
      <c r="DP408" s="1005"/>
      <c r="DQ408" s="1005"/>
      <c r="DR408" s="1005"/>
      <c r="DS408" s="1005"/>
      <c r="DT408" s="1005"/>
      <c r="DU408" s="1005"/>
      <c r="DV408" s="1005"/>
      <c r="DW408" s="1005"/>
      <c r="DX408" s="1005"/>
      <c r="DY408" s="1005"/>
      <c r="DZ408" s="1005"/>
      <c r="EA408" s="1005"/>
      <c r="EB408" s="1005"/>
      <c r="EC408" s="1005"/>
      <c r="ED408" s="1005"/>
      <c r="EE408" s="1005"/>
      <c r="EF408" s="1005"/>
      <c r="EG408" s="1005"/>
      <c r="EH408" s="1005"/>
      <c r="EI408" s="1005"/>
      <c r="EJ408" s="1005"/>
      <c r="EK408" s="1005"/>
      <c r="EL408" s="1005"/>
      <c r="EM408" s="1005"/>
      <c r="EN408" s="1005"/>
      <c r="EO408" s="1005"/>
      <c r="EP408" s="1005"/>
      <c r="EQ408" s="1005"/>
      <c r="ER408" s="1005"/>
      <c r="ES408" s="1005"/>
      <c r="ET408" s="1005"/>
      <c r="EU408" s="1005"/>
      <c r="EV408" s="1005"/>
      <c r="EW408" s="1005"/>
      <c r="EX408" s="1005"/>
      <c r="EY408" s="1005"/>
      <c r="EZ408" s="1005"/>
      <c r="FA408" s="1005"/>
      <c r="FB408" s="1005"/>
      <c r="FC408" s="1005"/>
      <c r="FD408" s="1005"/>
      <c r="FE408" s="1005"/>
      <c r="FF408" s="1005"/>
      <c r="FG408" s="1005"/>
      <c r="FH408" s="1005"/>
      <c r="FI408" s="1005"/>
      <c r="FJ408" s="1005"/>
      <c r="FK408" s="1005"/>
      <c r="FL408" s="1005"/>
      <c r="FM408" s="1005"/>
      <c r="FN408" s="1005"/>
      <c r="FO408" s="1005"/>
      <c r="FP408" s="1005"/>
      <c r="FQ408" s="1005"/>
      <c r="FR408" s="1005"/>
      <c r="FS408" s="1005"/>
      <c r="FT408" s="1005"/>
      <c r="FU408" s="1005"/>
      <c r="FV408" s="1005"/>
      <c r="FW408" s="1005"/>
      <c r="FX408" s="1005"/>
      <c r="FY408" s="1005"/>
      <c r="FZ408" s="1005"/>
      <c r="GA408" s="1005"/>
      <c r="GB408" s="1005"/>
      <c r="GC408" s="1005"/>
      <c r="GD408" s="1005"/>
      <c r="GE408" s="1005"/>
      <c r="GF408" s="1005"/>
      <c r="GG408" s="1005"/>
      <c r="GH408" s="1005"/>
      <c r="GI408" s="1005"/>
      <c r="GJ408" s="1005"/>
      <c r="GK408" s="1005"/>
      <c r="GL408" s="1005"/>
      <c r="GM408" s="1005"/>
      <c r="GN408" s="1005"/>
      <c r="GO408" s="1005"/>
      <c r="GP408" s="1005"/>
      <c r="GQ408" s="1005"/>
      <c r="GR408" s="1005"/>
      <c r="GS408" s="1005"/>
      <c r="GT408" s="1005"/>
      <c r="GU408" s="1005"/>
      <c r="GV408" s="1005"/>
      <c r="GW408" s="1005"/>
      <c r="GX408" s="1005"/>
      <c r="GY408" s="1005"/>
      <c r="GZ408" s="1005"/>
      <c r="HA408" s="1005"/>
      <c r="HB408" s="1005"/>
      <c r="HC408" s="1005"/>
      <c r="HD408" s="1005"/>
      <c r="HE408" s="1005"/>
      <c r="HF408" s="1005"/>
      <c r="HG408" s="1005"/>
      <c r="HH408" s="1005"/>
      <c r="HI408" s="1005"/>
      <c r="HJ408" s="1005"/>
      <c r="HK408" s="1005"/>
      <c r="HL408" s="1005"/>
      <c r="HM408" s="1005"/>
      <c r="HN408" s="1005"/>
      <c r="HO408" s="1005"/>
      <c r="HP408" s="1005"/>
      <c r="HQ408" s="1005"/>
      <c r="HR408" s="1005"/>
      <c r="HS408" s="1005"/>
      <c r="HT408" s="1005"/>
      <c r="HU408" s="1005"/>
      <c r="HV408" s="1005"/>
      <c r="HW408" s="1005"/>
      <c r="HX408" s="1005"/>
      <c r="HY408" s="1005"/>
      <c r="HZ408" s="1005"/>
      <c r="IA408" s="1005"/>
      <c r="IB408" s="1005"/>
      <c r="IC408" s="1005"/>
      <c r="ID408" s="1005"/>
      <c r="IE408" s="1005"/>
      <c r="IF408" s="1005"/>
      <c r="IG408" s="1005"/>
      <c r="IH408" s="1005"/>
      <c r="II408" s="1005"/>
      <c r="IJ408" s="1005"/>
      <c r="IK408" s="1005"/>
      <c r="IL408" s="1005"/>
      <c r="IM408" s="1005"/>
      <c r="IN408" s="1005"/>
      <c r="IO408" s="1005"/>
      <c r="IP408" s="1005"/>
      <c r="IQ408" s="1005"/>
      <c r="IR408" s="1005"/>
      <c r="IS408" s="1005"/>
      <c r="IT408" s="1005"/>
      <c r="IU408" s="1005"/>
      <c r="IV408" s="1005"/>
      <c r="IW408" s="1005"/>
    </row>
    <row r="409" spans="1:257" s="1290" customFormat="1" ht="12.75" customHeight="1">
      <c r="A409" s="1038"/>
      <c r="B409" s="1038"/>
      <c r="C409" s="1039"/>
      <c r="D409" s="1026"/>
      <c r="E409" s="1034"/>
      <c r="F409" s="1034"/>
      <c r="G409" s="1034"/>
      <c r="H409" s="1604"/>
      <c r="I409" s="1042"/>
      <c r="J409" s="1042"/>
      <c r="K409" s="1042"/>
      <c r="L409" s="1042"/>
      <c r="M409" s="1042"/>
      <c r="N409" s="1042"/>
      <c r="O409" s="1042"/>
      <c r="P409" s="1042"/>
      <c r="Q409" s="1042"/>
      <c r="R409" s="1042"/>
      <c r="S409" s="1042"/>
      <c r="T409" s="1042"/>
      <c r="U409" s="1042"/>
      <c r="V409" s="1042"/>
      <c r="W409" s="1042"/>
      <c r="X409" s="1042"/>
      <c r="Y409" s="1042"/>
      <c r="Z409" s="1042"/>
      <c r="AA409" s="1042"/>
      <c r="AB409" s="1042"/>
      <c r="AC409" s="1042"/>
      <c r="AD409" s="1042"/>
      <c r="AE409" s="1042"/>
      <c r="AF409" s="1042"/>
      <c r="AG409" s="1042"/>
      <c r="AH409" s="1605"/>
      <c r="AI409" s="1605"/>
      <c r="AJ409" s="1044"/>
      <c r="AK409" s="1047"/>
      <c r="AL409" s="1044"/>
      <c r="AM409" s="1009"/>
      <c r="AN409" s="1034"/>
      <c r="AO409" s="1938"/>
      <c r="AP409" s="1037"/>
      <c r="AQ409" s="1037"/>
      <c r="AR409" s="1005"/>
      <c r="AS409" s="1005"/>
      <c r="AT409" s="1005"/>
      <c r="AU409" s="1005"/>
      <c r="AV409" s="1005"/>
      <c r="AW409" s="1005"/>
      <c r="AX409" s="1005"/>
      <c r="AY409" s="1005"/>
      <c r="AZ409" s="1005"/>
      <c r="BA409" s="1005"/>
      <c r="BB409" s="1005"/>
      <c r="BC409" s="1005"/>
      <c r="BD409" s="1005"/>
      <c r="BE409" s="1005"/>
      <c r="BF409" s="1005"/>
      <c r="BG409" s="1005"/>
      <c r="BH409" s="1005"/>
      <c r="BI409" s="1005"/>
      <c r="BJ409" s="1005"/>
      <c r="BK409" s="1005"/>
      <c r="BL409" s="1005"/>
      <c r="BM409" s="1005"/>
      <c r="BN409" s="1005"/>
      <c r="BO409" s="1005"/>
      <c r="BP409" s="1005"/>
      <c r="BQ409" s="1005"/>
      <c r="BR409" s="1005"/>
      <c r="BS409" s="1005"/>
      <c r="BT409" s="1005"/>
      <c r="BU409" s="1005"/>
      <c r="BV409" s="1005"/>
      <c r="BW409" s="1005"/>
      <c r="BX409" s="1005"/>
      <c r="BY409" s="1005"/>
      <c r="BZ409" s="1005"/>
      <c r="CA409" s="1005"/>
      <c r="CB409" s="1005"/>
      <c r="CC409" s="1005"/>
      <c r="CD409" s="1005"/>
      <c r="CE409" s="1005"/>
      <c r="CF409" s="1005"/>
      <c r="CG409" s="1005"/>
      <c r="CH409" s="1005"/>
      <c r="CI409" s="1005"/>
      <c r="CJ409" s="1005"/>
      <c r="CK409" s="1005"/>
      <c r="CL409" s="1005"/>
      <c r="CM409" s="1005"/>
      <c r="CN409" s="1005"/>
      <c r="CO409" s="1005"/>
      <c r="CP409" s="1005"/>
      <c r="CQ409" s="1005"/>
      <c r="CR409" s="1005"/>
      <c r="CS409" s="1005"/>
      <c r="CT409" s="1005"/>
      <c r="CU409" s="1005"/>
      <c r="CV409" s="1005"/>
      <c r="CW409" s="1005"/>
      <c r="CX409" s="1005"/>
      <c r="CY409" s="1005"/>
      <c r="CZ409" s="1005"/>
      <c r="DA409" s="1005"/>
      <c r="DB409" s="1005"/>
      <c r="DC409" s="1005"/>
      <c r="DD409" s="1005"/>
      <c r="DE409" s="1005"/>
      <c r="DF409" s="1005"/>
      <c r="DG409" s="1005"/>
      <c r="DH409" s="1005"/>
      <c r="DI409" s="1005"/>
      <c r="DJ409" s="1005"/>
      <c r="DK409" s="1005"/>
      <c r="DL409" s="1005"/>
      <c r="DM409" s="1005"/>
      <c r="DN409" s="1005"/>
      <c r="DO409" s="1005"/>
      <c r="DP409" s="1005"/>
      <c r="DQ409" s="1005"/>
      <c r="DR409" s="1005"/>
      <c r="DS409" s="1005"/>
      <c r="DT409" s="1005"/>
      <c r="DU409" s="1005"/>
      <c r="DV409" s="1005"/>
      <c r="DW409" s="1005"/>
      <c r="DX409" s="1005"/>
      <c r="DY409" s="1005"/>
      <c r="DZ409" s="1005"/>
      <c r="EA409" s="1005"/>
      <c r="EB409" s="1005"/>
      <c r="EC409" s="1005"/>
      <c r="ED409" s="1005"/>
      <c r="EE409" s="1005"/>
      <c r="EF409" s="1005"/>
      <c r="EG409" s="1005"/>
      <c r="EH409" s="1005"/>
      <c r="EI409" s="1005"/>
      <c r="EJ409" s="1005"/>
      <c r="EK409" s="1005"/>
      <c r="EL409" s="1005"/>
      <c r="EM409" s="1005"/>
      <c r="EN409" s="1005"/>
      <c r="EO409" s="1005"/>
      <c r="EP409" s="1005"/>
      <c r="EQ409" s="1005"/>
      <c r="ER409" s="1005"/>
      <c r="ES409" s="1005"/>
      <c r="ET409" s="1005"/>
      <c r="EU409" s="1005"/>
      <c r="EV409" s="1005"/>
      <c r="EW409" s="1005"/>
      <c r="EX409" s="1005"/>
      <c r="EY409" s="1005"/>
      <c r="EZ409" s="1005"/>
      <c r="FA409" s="1005"/>
      <c r="FB409" s="1005"/>
      <c r="FC409" s="1005"/>
      <c r="FD409" s="1005"/>
      <c r="FE409" s="1005"/>
      <c r="FF409" s="1005"/>
      <c r="FG409" s="1005"/>
      <c r="FH409" s="1005"/>
      <c r="FI409" s="1005"/>
      <c r="FJ409" s="1005"/>
      <c r="FK409" s="1005"/>
      <c r="FL409" s="1005"/>
      <c r="FM409" s="1005"/>
      <c r="FN409" s="1005"/>
      <c r="FO409" s="1005"/>
      <c r="FP409" s="1005"/>
      <c r="FQ409" s="1005"/>
      <c r="FR409" s="1005"/>
      <c r="FS409" s="1005"/>
      <c r="FT409" s="1005"/>
      <c r="FU409" s="1005"/>
      <c r="FV409" s="1005"/>
      <c r="FW409" s="1005"/>
      <c r="FX409" s="1005"/>
      <c r="FY409" s="1005"/>
      <c r="FZ409" s="1005"/>
      <c r="GA409" s="1005"/>
      <c r="GB409" s="1005"/>
      <c r="GC409" s="1005"/>
      <c r="GD409" s="1005"/>
      <c r="GE409" s="1005"/>
      <c r="GF409" s="1005"/>
      <c r="GG409" s="1005"/>
      <c r="GH409" s="1005"/>
      <c r="GI409" s="1005"/>
      <c r="GJ409" s="1005"/>
      <c r="GK409" s="1005"/>
      <c r="GL409" s="1005"/>
      <c r="GM409" s="1005"/>
      <c r="GN409" s="1005"/>
      <c r="GO409" s="1005"/>
      <c r="GP409" s="1005"/>
      <c r="GQ409" s="1005"/>
      <c r="GR409" s="1005"/>
      <c r="GS409" s="1005"/>
      <c r="GT409" s="1005"/>
      <c r="GU409" s="1005"/>
      <c r="GV409" s="1005"/>
      <c r="GW409" s="1005"/>
      <c r="GX409" s="1005"/>
      <c r="GY409" s="1005"/>
      <c r="GZ409" s="1005"/>
      <c r="HA409" s="1005"/>
      <c r="HB409" s="1005"/>
      <c r="HC409" s="1005"/>
      <c r="HD409" s="1005"/>
      <c r="HE409" s="1005"/>
      <c r="HF409" s="1005"/>
      <c r="HG409" s="1005"/>
      <c r="HH409" s="1005"/>
      <c r="HI409" s="1005"/>
      <c r="HJ409" s="1005"/>
      <c r="HK409" s="1005"/>
      <c r="HL409" s="1005"/>
      <c r="HM409" s="1005"/>
      <c r="HN409" s="1005"/>
      <c r="HO409" s="1005"/>
      <c r="HP409" s="1005"/>
      <c r="HQ409" s="1005"/>
      <c r="HR409" s="1005"/>
      <c r="HS409" s="1005"/>
      <c r="HT409" s="1005"/>
      <c r="HU409" s="1005"/>
      <c r="HV409" s="1005"/>
      <c r="HW409" s="1005"/>
      <c r="HX409" s="1005"/>
      <c r="HY409" s="1005"/>
      <c r="HZ409" s="1005"/>
      <c r="IA409" s="1005"/>
      <c r="IB409" s="1005"/>
      <c r="IC409" s="1005"/>
      <c r="ID409" s="1005"/>
      <c r="IE409" s="1005"/>
      <c r="IF409" s="1005"/>
      <c r="IG409" s="1005"/>
      <c r="IH409" s="1005"/>
      <c r="II409" s="1005"/>
      <c r="IJ409" s="1005"/>
      <c r="IK409" s="1005"/>
      <c r="IL409" s="1005"/>
      <c r="IM409" s="1005"/>
      <c r="IN409" s="1005"/>
      <c r="IO409" s="1005"/>
      <c r="IP409" s="1005"/>
      <c r="IQ409" s="1005"/>
      <c r="IR409" s="1005"/>
      <c r="IS409" s="1005"/>
      <c r="IT409" s="1005"/>
      <c r="IU409" s="1005"/>
      <c r="IV409" s="1005"/>
      <c r="IW409" s="1005"/>
    </row>
    <row r="410" spans="1:257" s="1290" customFormat="1" ht="12.75" customHeight="1">
      <c r="A410" s="1038"/>
      <c r="B410" s="1038"/>
      <c r="C410" s="1039"/>
      <c r="D410" s="1026"/>
      <c r="E410" s="1034"/>
      <c r="F410" s="1034"/>
      <c r="G410" s="1034"/>
      <c r="H410" s="1604"/>
      <c r="I410" s="1042"/>
      <c r="J410" s="1042"/>
      <c r="K410" s="1042"/>
      <c r="L410" s="1042"/>
      <c r="M410" s="1042"/>
      <c r="N410" s="1042"/>
      <c r="O410" s="1042"/>
      <c r="P410" s="1042"/>
      <c r="Q410" s="1042"/>
      <c r="R410" s="1042"/>
      <c r="S410" s="1042"/>
      <c r="T410" s="1042"/>
      <c r="U410" s="1042"/>
      <c r="V410" s="1042"/>
      <c r="W410" s="1042"/>
      <c r="X410" s="1042"/>
      <c r="Y410" s="1042"/>
      <c r="Z410" s="1042"/>
      <c r="AA410" s="1042"/>
      <c r="AB410" s="1042"/>
      <c r="AC410" s="1042"/>
      <c r="AD410" s="1042"/>
      <c r="AE410" s="1042"/>
      <c r="AF410" s="1042"/>
      <c r="AG410" s="1042"/>
      <c r="AH410" s="1605"/>
      <c r="AI410" s="1605"/>
      <c r="AJ410" s="1044"/>
      <c r="AK410" s="1047"/>
      <c r="AL410" s="1044"/>
      <c r="AM410" s="1009"/>
      <c r="AN410" s="1034"/>
      <c r="AO410" s="1938"/>
      <c r="AP410" s="1037"/>
      <c r="AQ410" s="1037"/>
      <c r="AR410" s="1005"/>
      <c r="AS410" s="1005"/>
      <c r="AT410" s="1005"/>
      <c r="AU410" s="1005"/>
      <c r="AV410" s="1005"/>
      <c r="AW410" s="1005"/>
      <c r="AX410" s="1005"/>
      <c r="AY410" s="1005"/>
      <c r="AZ410" s="1005"/>
      <c r="BA410" s="1005"/>
      <c r="BB410" s="1005"/>
      <c r="BC410" s="1005"/>
      <c r="BD410" s="1005"/>
      <c r="BE410" s="1005"/>
      <c r="BF410" s="1005"/>
      <c r="BG410" s="1005"/>
      <c r="BH410" s="1005"/>
      <c r="BI410" s="1005"/>
      <c r="BJ410" s="1005"/>
      <c r="BK410" s="1005"/>
      <c r="BL410" s="1005"/>
      <c r="BM410" s="1005"/>
      <c r="BN410" s="1005"/>
      <c r="BO410" s="1005"/>
      <c r="BP410" s="1005"/>
      <c r="BQ410" s="1005"/>
      <c r="BR410" s="1005"/>
      <c r="BS410" s="1005"/>
      <c r="BT410" s="1005"/>
      <c r="BU410" s="1005"/>
      <c r="BV410" s="1005"/>
      <c r="BW410" s="1005"/>
      <c r="BX410" s="1005"/>
      <c r="BY410" s="1005"/>
      <c r="BZ410" s="1005"/>
      <c r="CA410" s="1005"/>
      <c r="CB410" s="1005"/>
      <c r="CC410" s="1005"/>
      <c r="CD410" s="1005"/>
      <c r="CE410" s="1005"/>
      <c r="CF410" s="1005"/>
      <c r="CG410" s="1005"/>
      <c r="CH410" s="1005"/>
      <c r="CI410" s="1005"/>
      <c r="CJ410" s="1005"/>
      <c r="CK410" s="1005"/>
      <c r="CL410" s="1005"/>
      <c r="CM410" s="1005"/>
      <c r="CN410" s="1005"/>
      <c r="CO410" s="1005"/>
      <c r="CP410" s="1005"/>
      <c r="CQ410" s="1005"/>
      <c r="CR410" s="1005"/>
      <c r="CS410" s="1005"/>
      <c r="CT410" s="1005"/>
      <c r="CU410" s="1005"/>
      <c r="CV410" s="1005"/>
      <c r="CW410" s="1005"/>
      <c r="CX410" s="1005"/>
      <c r="CY410" s="1005"/>
      <c r="CZ410" s="1005"/>
      <c r="DA410" s="1005"/>
      <c r="DB410" s="1005"/>
      <c r="DC410" s="1005"/>
      <c r="DD410" s="1005"/>
      <c r="DE410" s="1005"/>
      <c r="DF410" s="1005"/>
      <c r="DG410" s="1005"/>
      <c r="DH410" s="1005"/>
      <c r="DI410" s="1005"/>
      <c r="DJ410" s="1005"/>
      <c r="DK410" s="1005"/>
      <c r="DL410" s="1005"/>
      <c r="DM410" s="1005"/>
      <c r="DN410" s="1005"/>
      <c r="DO410" s="1005"/>
      <c r="DP410" s="1005"/>
      <c r="DQ410" s="1005"/>
      <c r="DR410" s="1005"/>
      <c r="DS410" s="1005"/>
      <c r="DT410" s="1005"/>
      <c r="DU410" s="1005"/>
      <c r="DV410" s="1005"/>
      <c r="DW410" s="1005"/>
      <c r="DX410" s="1005"/>
      <c r="DY410" s="1005"/>
      <c r="DZ410" s="1005"/>
      <c r="EA410" s="1005"/>
      <c r="EB410" s="1005"/>
      <c r="EC410" s="1005"/>
      <c r="ED410" s="1005"/>
      <c r="EE410" s="1005"/>
      <c r="EF410" s="1005"/>
      <c r="EG410" s="1005"/>
      <c r="EH410" s="1005"/>
      <c r="EI410" s="1005"/>
      <c r="EJ410" s="1005"/>
      <c r="EK410" s="1005"/>
      <c r="EL410" s="1005"/>
      <c r="EM410" s="1005"/>
      <c r="EN410" s="1005"/>
      <c r="EO410" s="1005"/>
      <c r="EP410" s="1005"/>
      <c r="EQ410" s="1005"/>
      <c r="ER410" s="1005"/>
      <c r="ES410" s="1005"/>
      <c r="ET410" s="1005"/>
      <c r="EU410" s="1005"/>
      <c r="EV410" s="1005"/>
      <c r="EW410" s="1005"/>
      <c r="EX410" s="1005"/>
      <c r="EY410" s="1005"/>
      <c r="EZ410" s="1005"/>
      <c r="FA410" s="1005"/>
      <c r="FB410" s="1005"/>
      <c r="FC410" s="1005"/>
      <c r="FD410" s="1005"/>
      <c r="FE410" s="1005"/>
      <c r="FF410" s="1005"/>
      <c r="FG410" s="1005"/>
      <c r="FH410" s="1005"/>
      <c r="FI410" s="1005"/>
      <c r="FJ410" s="1005"/>
      <c r="FK410" s="1005"/>
      <c r="FL410" s="1005"/>
      <c r="FM410" s="1005"/>
      <c r="FN410" s="1005"/>
      <c r="FO410" s="1005"/>
      <c r="FP410" s="1005"/>
      <c r="FQ410" s="1005"/>
      <c r="FR410" s="1005"/>
      <c r="FS410" s="1005"/>
      <c r="FT410" s="1005"/>
      <c r="FU410" s="1005"/>
      <c r="FV410" s="1005"/>
      <c r="FW410" s="1005"/>
      <c r="FX410" s="1005"/>
      <c r="FY410" s="1005"/>
      <c r="FZ410" s="1005"/>
      <c r="GA410" s="1005"/>
      <c r="GB410" s="1005"/>
      <c r="GC410" s="1005"/>
      <c r="GD410" s="1005"/>
      <c r="GE410" s="1005"/>
      <c r="GF410" s="1005"/>
      <c r="GG410" s="1005"/>
      <c r="GH410" s="1005"/>
      <c r="GI410" s="1005"/>
      <c r="GJ410" s="1005"/>
      <c r="GK410" s="1005"/>
      <c r="GL410" s="1005"/>
      <c r="GM410" s="1005"/>
      <c r="GN410" s="1005"/>
      <c r="GO410" s="1005"/>
      <c r="GP410" s="1005"/>
      <c r="GQ410" s="1005"/>
      <c r="GR410" s="1005"/>
      <c r="GS410" s="1005"/>
      <c r="GT410" s="1005"/>
      <c r="GU410" s="1005"/>
      <c r="GV410" s="1005"/>
      <c r="GW410" s="1005"/>
      <c r="GX410" s="1005"/>
      <c r="GY410" s="1005"/>
      <c r="GZ410" s="1005"/>
      <c r="HA410" s="1005"/>
      <c r="HB410" s="1005"/>
      <c r="HC410" s="1005"/>
      <c r="HD410" s="1005"/>
      <c r="HE410" s="1005"/>
      <c r="HF410" s="1005"/>
      <c r="HG410" s="1005"/>
      <c r="HH410" s="1005"/>
      <c r="HI410" s="1005"/>
      <c r="HJ410" s="1005"/>
      <c r="HK410" s="1005"/>
      <c r="HL410" s="1005"/>
      <c r="HM410" s="1005"/>
      <c r="HN410" s="1005"/>
      <c r="HO410" s="1005"/>
      <c r="HP410" s="1005"/>
      <c r="HQ410" s="1005"/>
      <c r="HR410" s="1005"/>
      <c r="HS410" s="1005"/>
      <c r="HT410" s="1005"/>
      <c r="HU410" s="1005"/>
      <c r="HV410" s="1005"/>
      <c r="HW410" s="1005"/>
      <c r="HX410" s="1005"/>
      <c r="HY410" s="1005"/>
      <c r="HZ410" s="1005"/>
      <c r="IA410" s="1005"/>
      <c r="IB410" s="1005"/>
      <c r="IC410" s="1005"/>
      <c r="ID410" s="1005"/>
      <c r="IE410" s="1005"/>
      <c r="IF410" s="1005"/>
      <c r="IG410" s="1005"/>
      <c r="IH410" s="1005"/>
      <c r="II410" s="1005"/>
      <c r="IJ410" s="1005"/>
      <c r="IK410" s="1005"/>
      <c r="IL410" s="1005"/>
      <c r="IM410" s="1005"/>
      <c r="IN410" s="1005"/>
      <c r="IO410" s="1005"/>
      <c r="IP410" s="1005"/>
      <c r="IQ410" s="1005"/>
      <c r="IR410" s="1005"/>
      <c r="IS410" s="1005"/>
      <c r="IT410" s="1005"/>
      <c r="IU410" s="1005"/>
      <c r="IV410" s="1005"/>
      <c r="IW410" s="1005"/>
    </row>
    <row r="411" spans="1:257" s="1290" customFormat="1" ht="12.75" customHeight="1">
      <c r="A411" s="1038"/>
      <c r="B411" s="1038"/>
      <c r="C411" s="1039"/>
      <c r="D411" s="1026"/>
      <c r="E411" s="1034"/>
      <c r="F411" s="1034"/>
      <c r="G411" s="1034"/>
      <c r="H411" s="1604"/>
      <c r="I411" s="1042"/>
      <c r="J411" s="1042"/>
      <c r="K411" s="1042"/>
      <c r="L411" s="1042"/>
      <c r="M411" s="1042"/>
      <c r="N411" s="1042"/>
      <c r="O411" s="1042"/>
      <c r="P411" s="1042"/>
      <c r="Q411" s="1042"/>
      <c r="R411" s="1042"/>
      <c r="S411" s="1042"/>
      <c r="T411" s="1042"/>
      <c r="U411" s="1042"/>
      <c r="V411" s="1042"/>
      <c r="W411" s="1042"/>
      <c r="X411" s="1042"/>
      <c r="Y411" s="1042"/>
      <c r="Z411" s="1042"/>
      <c r="AA411" s="1042"/>
      <c r="AB411" s="1042"/>
      <c r="AC411" s="1042"/>
      <c r="AD411" s="1042"/>
      <c r="AE411" s="1042"/>
      <c r="AF411" s="1042"/>
      <c r="AG411" s="1042"/>
      <c r="AH411" s="1605"/>
      <c r="AI411" s="1605"/>
      <c r="AJ411" s="1044"/>
      <c r="AK411" s="1047"/>
      <c r="AL411" s="1044"/>
      <c r="AM411" s="1009"/>
      <c r="AN411" s="1034"/>
      <c r="AO411" s="1938"/>
      <c r="AP411" s="1037"/>
      <c r="AQ411" s="1037"/>
      <c r="AR411" s="1005"/>
      <c r="AS411" s="1005"/>
      <c r="AT411" s="1005"/>
      <c r="AU411" s="1005"/>
      <c r="AV411" s="1005"/>
      <c r="AW411" s="1005"/>
      <c r="AX411" s="1005"/>
      <c r="AY411" s="1005"/>
      <c r="AZ411" s="1005"/>
      <c r="BA411" s="1005"/>
      <c r="BB411" s="1005"/>
      <c r="BC411" s="1005"/>
      <c r="BD411" s="1005"/>
      <c r="BE411" s="1005"/>
      <c r="BF411" s="1005"/>
      <c r="BG411" s="1005"/>
      <c r="BH411" s="1005"/>
      <c r="BI411" s="1005"/>
      <c r="BJ411" s="1005"/>
      <c r="BK411" s="1005"/>
      <c r="BL411" s="1005"/>
      <c r="BM411" s="1005"/>
      <c r="BN411" s="1005"/>
      <c r="BO411" s="1005"/>
      <c r="BP411" s="1005"/>
      <c r="BQ411" s="1005"/>
      <c r="BR411" s="1005"/>
      <c r="BS411" s="1005"/>
      <c r="BT411" s="1005"/>
      <c r="BU411" s="1005"/>
      <c r="BV411" s="1005"/>
      <c r="BW411" s="1005"/>
      <c r="BX411" s="1005"/>
      <c r="BY411" s="1005"/>
      <c r="BZ411" s="1005"/>
      <c r="CA411" s="1005"/>
      <c r="CB411" s="1005"/>
      <c r="CC411" s="1005"/>
      <c r="CD411" s="1005"/>
      <c r="CE411" s="1005"/>
      <c r="CF411" s="1005"/>
      <c r="CG411" s="1005"/>
      <c r="CH411" s="1005"/>
      <c r="CI411" s="1005"/>
      <c r="CJ411" s="1005"/>
      <c r="CK411" s="1005"/>
      <c r="CL411" s="1005"/>
      <c r="CM411" s="1005"/>
      <c r="CN411" s="1005"/>
      <c r="CO411" s="1005"/>
      <c r="CP411" s="1005"/>
      <c r="CQ411" s="1005"/>
      <c r="CR411" s="1005"/>
      <c r="CS411" s="1005"/>
      <c r="CT411" s="1005"/>
      <c r="CU411" s="1005"/>
      <c r="CV411" s="1005"/>
      <c r="CW411" s="1005"/>
      <c r="CX411" s="1005"/>
      <c r="CY411" s="1005"/>
      <c r="CZ411" s="1005"/>
      <c r="DA411" s="1005"/>
      <c r="DB411" s="1005"/>
      <c r="DC411" s="1005"/>
      <c r="DD411" s="1005"/>
      <c r="DE411" s="1005"/>
      <c r="DF411" s="1005"/>
      <c r="DG411" s="1005"/>
      <c r="DH411" s="1005"/>
      <c r="DI411" s="1005"/>
      <c r="DJ411" s="1005"/>
      <c r="DK411" s="1005"/>
      <c r="DL411" s="1005"/>
      <c r="DM411" s="1005"/>
      <c r="DN411" s="1005"/>
      <c r="DO411" s="1005"/>
      <c r="DP411" s="1005"/>
      <c r="DQ411" s="1005"/>
      <c r="DR411" s="1005"/>
      <c r="DS411" s="1005"/>
      <c r="DT411" s="1005"/>
      <c r="DU411" s="1005"/>
      <c r="DV411" s="1005"/>
      <c r="DW411" s="1005"/>
      <c r="DX411" s="1005"/>
      <c r="DY411" s="1005"/>
      <c r="DZ411" s="1005"/>
      <c r="EA411" s="1005"/>
      <c r="EB411" s="1005"/>
      <c r="EC411" s="1005"/>
      <c r="ED411" s="1005"/>
      <c r="EE411" s="1005"/>
      <c r="EF411" s="1005"/>
      <c r="EG411" s="1005"/>
      <c r="EH411" s="1005"/>
      <c r="EI411" s="1005"/>
      <c r="EJ411" s="1005"/>
      <c r="EK411" s="1005"/>
      <c r="EL411" s="1005"/>
      <c r="EM411" s="1005"/>
      <c r="EN411" s="1005"/>
      <c r="EO411" s="1005"/>
      <c r="EP411" s="1005"/>
      <c r="EQ411" s="1005"/>
      <c r="ER411" s="1005"/>
      <c r="ES411" s="1005"/>
      <c r="ET411" s="1005"/>
      <c r="EU411" s="1005"/>
      <c r="EV411" s="1005"/>
      <c r="EW411" s="1005"/>
      <c r="EX411" s="1005"/>
      <c r="EY411" s="1005"/>
      <c r="EZ411" s="1005"/>
      <c r="FA411" s="1005"/>
      <c r="FB411" s="1005"/>
      <c r="FC411" s="1005"/>
      <c r="FD411" s="1005"/>
      <c r="FE411" s="1005"/>
      <c r="FF411" s="1005"/>
      <c r="FG411" s="1005"/>
      <c r="FH411" s="1005"/>
      <c r="FI411" s="1005"/>
      <c r="FJ411" s="1005"/>
      <c r="FK411" s="1005"/>
      <c r="FL411" s="1005"/>
      <c r="FM411" s="1005"/>
      <c r="FN411" s="1005"/>
      <c r="FO411" s="1005"/>
      <c r="FP411" s="1005"/>
      <c r="FQ411" s="1005"/>
      <c r="FR411" s="1005"/>
      <c r="FS411" s="1005"/>
      <c r="FT411" s="1005"/>
      <c r="FU411" s="1005"/>
      <c r="FV411" s="1005"/>
      <c r="FW411" s="1005"/>
      <c r="FX411" s="1005"/>
      <c r="FY411" s="1005"/>
      <c r="FZ411" s="1005"/>
      <c r="GA411" s="1005"/>
      <c r="GB411" s="1005"/>
      <c r="GC411" s="1005"/>
      <c r="GD411" s="1005"/>
      <c r="GE411" s="1005"/>
      <c r="GF411" s="1005"/>
      <c r="GG411" s="1005"/>
      <c r="GH411" s="1005"/>
      <c r="GI411" s="1005"/>
      <c r="GJ411" s="1005"/>
      <c r="GK411" s="1005"/>
      <c r="GL411" s="1005"/>
      <c r="GM411" s="1005"/>
      <c r="GN411" s="1005"/>
      <c r="GO411" s="1005"/>
      <c r="GP411" s="1005"/>
      <c r="GQ411" s="1005"/>
      <c r="GR411" s="1005"/>
      <c r="GS411" s="1005"/>
      <c r="GT411" s="1005"/>
      <c r="GU411" s="1005"/>
      <c r="GV411" s="1005"/>
      <c r="GW411" s="1005"/>
      <c r="GX411" s="1005"/>
      <c r="GY411" s="1005"/>
      <c r="GZ411" s="1005"/>
      <c r="HA411" s="1005"/>
      <c r="HB411" s="1005"/>
      <c r="HC411" s="1005"/>
      <c r="HD411" s="1005"/>
      <c r="HE411" s="1005"/>
      <c r="HF411" s="1005"/>
      <c r="HG411" s="1005"/>
      <c r="HH411" s="1005"/>
      <c r="HI411" s="1005"/>
      <c r="HJ411" s="1005"/>
      <c r="HK411" s="1005"/>
      <c r="HL411" s="1005"/>
      <c r="HM411" s="1005"/>
      <c r="HN411" s="1005"/>
      <c r="HO411" s="1005"/>
      <c r="HP411" s="1005"/>
      <c r="HQ411" s="1005"/>
      <c r="HR411" s="1005"/>
      <c r="HS411" s="1005"/>
      <c r="HT411" s="1005"/>
      <c r="HU411" s="1005"/>
      <c r="HV411" s="1005"/>
      <c r="HW411" s="1005"/>
      <c r="HX411" s="1005"/>
      <c r="HY411" s="1005"/>
      <c r="HZ411" s="1005"/>
      <c r="IA411" s="1005"/>
      <c r="IB411" s="1005"/>
      <c r="IC411" s="1005"/>
      <c r="ID411" s="1005"/>
      <c r="IE411" s="1005"/>
      <c r="IF411" s="1005"/>
      <c r="IG411" s="1005"/>
      <c r="IH411" s="1005"/>
      <c r="II411" s="1005"/>
      <c r="IJ411" s="1005"/>
      <c r="IK411" s="1005"/>
      <c r="IL411" s="1005"/>
      <c r="IM411" s="1005"/>
      <c r="IN411" s="1005"/>
      <c r="IO411" s="1005"/>
      <c r="IP411" s="1005"/>
      <c r="IQ411" s="1005"/>
      <c r="IR411" s="1005"/>
      <c r="IS411" s="1005"/>
      <c r="IT411" s="1005"/>
      <c r="IU411" s="1005"/>
      <c r="IV411" s="1005"/>
      <c r="IW411" s="1005"/>
    </row>
    <row r="412" spans="1:257" s="1290" customFormat="1" ht="12.75" customHeight="1">
      <c r="A412" s="1038"/>
      <c r="B412" s="1038"/>
      <c r="C412" s="1039"/>
      <c r="D412" s="1026"/>
      <c r="E412" s="1034"/>
      <c r="F412" s="1034"/>
      <c r="G412" s="1034"/>
      <c r="H412" s="1604"/>
      <c r="I412" s="1042"/>
      <c r="J412" s="1042"/>
      <c r="K412" s="1042"/>
      <c r="L412" s="1042"/>
      <c r="M412" s="1042"/>
      <c r="N412" s="1042"/>
      <c r="O412" s="1042"/>
      <c r="P412" s="1042"/>
      <c r="Q412" s="1042"/>
      <c r="R412" s="1042"/>
      <c r="S412" s="1042"/>
      <c r="T412" s="1042"/>
      <c r="U412" s="1042"/>
      <c r="V412" s="1042"/>
      <c r="W412" s="1042"/>
      <c r="X412" s="1042"/>
      <c r="Y412" s="1042"/>
      <c r="Z412" s="1042"/>
      <c r="AA412" s="1042"/>
      <c r="AB412" s="1042"/>
      <c r="AC412" s="1042"/>
      <c r="AD412" s="1042"/>
      <c r="AE412" s="1042"/>
      <c r="AF412" s="1042"/>
      <c r="AG412" s="1042"/>
      <c r="AH412" s="1605"/>
      <c r="AI412" s="1605"/>
      <c r="AJ412" s="1044"/>
      <c r="AK412" s="1047"/>
      <c r="AL412" s="1044"/>
      <c r="AM412" s="1009"/>
      <c r="AN412" s="1034"/>
      <c r="AO412" s="1938"/>
      <c r="AP412" s="1037"/>
      <c r="AQ412" s="1037"/>
      <c r="AR412" s="1005"/>
      <c r="AS412" s="1005"/>
      <c r="AT412" s="1005"/>
      <c r="AU412" s="1005"/>
      <c r="AV412" s="1005"/>
      <c r="AW412" s="1005"/>
      <c r="AX412" s="1005"/>
      <c r="AY412" s="1005"/>
      <c r="AZ412" s="1005"/>
      <c r="BA412" s="1005"/>
      <c r="BB412" s="1005"/>
      <c r="BC412" s="1005"/>
      <c r="BD412" s="1005"/>
      <c r="BE412" s="1005"/>
      <c r="BF412" s="1005"/>
      <c r="BG412" s="1005"/>
      <c r="BH412" s="1005"/>
      <c r="BI412" s="1005"/>
      <c r="BJ412" s="1005"/>
      <c r="BK412" s="1005"/>
      <c r="BL412" s="1005"/>
      <c r="BM412" s="1005"/>
      <c r="BN412" s="1005"/>
      <c r="BO412" s="1005"/>
      <c r="BP412" s="1005"/>
      <c r="BQ412" s="1005"/>
      <c r="BR412" s="1005"/>
      <c r="BS412" s="1005"/>
      <c r="BT412" s="1005"/>
      <c r="BU412" s="1005"/>
      <c r="BV412" s="1005"/>
      <c r="BW412" s="1005"/>
      <c r="BX412" s="1005"/>
      <c r="BY412" s="1005"/>
      <c r="BZ412" s="1005"/>
      <c r="CA412" s="1005"/>
      <c r="CB412" s="1005"/>
      <c r="CC412" s="1005"/>
      <c r="CD412" s="1005"/>
      <c r="CE412" s="1005"/>
      <c r="CF412" s="1005"/>
      <c r="CG412" s="1005"/>
      <c r="CH412" s="1005"/>
      <c r="CI412" s="1005"/>
      <c r="CJ412" s="1005"/>
      <c r="CK412" s="1005"/>
      <c r="CL412" s="1005"/>
      <c r="CM412" s="1005"/>
      <c r="CN412" s="1005"/>
      <c r="CO412" s="1005"/>
      <c r="CP412" s="1005"/>
      <c r="CQ412" s="1005"/>
      <c r="CR412" s="1005"/>
      <c r="CS412" s="1005"/>
      <c r="CT412" s="1005"/>
      <c r="CU412" s="1005"/>
      <c r="CV412" s="1005"/>
      <c r="CW412" s="1005"/>
      <c r="CX412" s="1005"/>
      <c r="CY412" s="1005"/>
      <c r="CZ412" s="1005"/>
      <c r="DA412" s="1005"/>
      <c r="DB412" s="1005"/>
      <c r="DC412" s="1005"/>
      <c r="DD412" s="1005"/>
      <c r="DE412" s="1005"/>
      <c r="DF412" s="1005"/>
      <c r="DG412" s="1005"/>
      <c r="DH412" s="1005"/>
      <c r="DI412" s="1005"/>
      <c r="DJ412" s="1005"/>
      <c r="DK412" s="1005"/>
      <c r="DL412" s="1005"/>
      <c r="DM412" s="1005"/>
      <c r="DN412" s="1005"/>
      <c r="DO412" s="1005"/>
      <c r="DP412" s="1005"/>
      <c r="DQ412" s="1005"/>
      <c r="DR412" s="1005"/>
      <c r="DS412" s="1005"/>
      <c r="DT412" s="1005"/>
      <c r="DU412" s="1005"/>
      <c r="DV412" s="1005"/>
      <c r="DW412" s="1005"/>
      <c r="DX412" s="1005"/>
      <c r="DY412" s="1005"/>
      <c r="DZ412" s="1005"/>
      <c r="EA412" s="1005"/>
      <c r="EB412" s="1005"/>
      <c r="EC412" s="1005"/>
      <c r="ED412" s="1005"/>
      <c r="EE412" s="1005"/>
      <c r="EF412" s="1005"/>
      <c r="EG412" s="1005"/>
      <c r="EH412" s="1005"/>
      <c r="EI412" s="1005"/>
      <c r="EJ412" s="1005"/>
      <c r="EK412" s="1005"/>
      <c r="EL412" s="1005"/>
      <c r="EM412" s="1005"/>
      <c r="EN412" s="1005"/>
      <c r="EO412" s="1005"/>
      <c r="EP412" s="1005"/>
      <c r="EQ412" s="1005"/>
      <c r="ER412" s="1005"/>
      <c r="ES412" s="1005"/>
      <c r="ET412" s="1005"/>
      <c r="EU412" s="1005"/>
      <c r="EV412" s="1005"/>
      <c r="EW412" s="1005"/>
      <c r="EX412" s="1005"/>
      <c r="EY412" s="1005"/>
      <c r="EZ412" s="1005"/>
      <c r="FA412" s="1005"/>
      <c r="FB412" s="1005"/>
      <c r="FC412" s="1005"/>
      <c r="FD412" s="1005"/>
      <c r="FE412" s="1005"/>
      <c r="FF412" s="1005"/>
      <c r="FG412" s="1005"/>
      <c r="FH412" s="1005"/>
      <c r="FI412" s="1005"/>
      <c r="FJ412" s="1005"/>
      <c r="FK412" s="1005"/>
      <c r="FL412" s="1005"/>
      <c r="FM412" s="1005"/>
      <c r="FN412" s="1005"/>
      <c r="FO412" s="1005"/>
      <c r="FP412" s="1005"/>
      <c r="FQ412" s="1005"/>
      <c r="FR412" s="1005"/>
      <c r="FS412" s="1005"/>
      <c r="FT412" s="1005"/>
      <c r="FU412" s="1005"/>
      <c r="FV412" s="1005"/>
      <c r="FW412" s="1005"/>
      <c r="FX412" s="1005"/>
      <c r="FY412" s="1005"/>
      <c r="FZ412" s="1005"/>
      <c r="GA412" s="1005"/>
      <c r="GB412" s="1005"/>
      <c r="GC412" s="1005"/>
      <c r="GD412" s="1005"/>
      <c r="GE412" s="1005"/>
      <c r="GF412" s="1005"/>
      <c r="GG412" s="1005"/>
      <c r="GH412" s="1005"/>
      <c r="GI412" s="1005"/>
      <c r="GJ412" s="1005"/>
      <c r="GK412" s="1005"/>
      <c r="GL412" s="1005"/>
      <c r="GM412" s="1005"/>
      <c r="GN412" s="1005"/>
      <c r="GO412" s="1005"/>
      <c r="GP412" s="1005"/>
      <c r="GQ412" s="1005"/>
      <c r="GR412" s="1005"/>
      <c r="GS412" s="1005"/>
      <c r="GT412" s="1005"/>
      <c r="GU412" s="1005"/>
      <c r="GV412" s="1005"/>
      <c r="GW412" s="1005"/>
      <c r="GX412" s="1005"/>
      <c r="GY412" s="1005"/>
      <c r="GZ412" s="1005"/>
      <c r="HA412" s="1005"/>
      <c r="HB412" s="1005"/>
      <c r="HC412" s="1005"/>
      <c r="HD412" s="1005"/>
      <c r="HE412" s="1005"/>
      <c r="HF412" s="1005"/>
      <c r="HG412" s="1005"/>
      <c r="HH412" s="1005"/>
      <c r="HI412" s="1005"/>
      <c r="HJ412" s="1005"/>
      <c r="HK412" s="1005"/>
      <c r="HL412" s="1005"/>
      <c r="HM412" s="1005"/>
      <c r="HN412" s="1005"/>
      <c r="HO412" s="1005"/>
      <c r="HP412" s="1005"/>
      <c r="HQ412" s="1005"/>
      <c r="HR412" s="1005"/>
      <c r="HS412" s="1005"/>
      <c r="HT412" s="1005"/>
      <c r="HU412" s="1005"/>
      <c r="HV412" s="1005"/>
      <c r="HW412" s="1005"/>
      <c r="HX412" s="1005"/>
      <c r="HY412" s="1005"/>
      <c r="HZ412" s="1005"/>
      <c r="IA412" s="1005"/>
      <c r="IB412" s="1005"/>
      <c r="IC412" s="1005"/>
      <c r="ID412" s="1005"/>
      <c r="IE412" s="1005"/>
      <c r="IF412" s="1005"/>
      <c r="IG412" s="1005"/>
      <c r="IH412" s="1005"/>
      <c r="II412" s="1005"/>
      <c r="IJ412" s="1005"/>
      <c r="IK412" s="1005"/>
      <c r="IL412" s="1005"/>
      <c r="IM412" s="1005"/>
      <c r="IN412" s="1005"/>
      <c r="IO412" s="1005"/>
      <c r="IP412" s="1005"/>
      <c r="IQ412" s="1005"/>
      <c r="IR412" s="1005"/>
      <c r="IS412" s="1005"/>
      <c r="IT412" s="1005"/>
      <c r="IU412" s="1005"/>
      <c r="IV412" s="1005"/>
      <c r="IW412" s="1005"/>
    </row>
    <row r="413" spans="1:257" s="1290" customFormat="1" ht="12.75" customHeight="1">
      <c r="A413" s="1038"/>
      <c r="B413" s="1038"/>
      <c r="C413" s="1039"/>
      <c r="D413" s="1026"/>
      <c r="E413" s="1034"/>
      <c r="F413" s="1034"/>
      <c r="G413" s="1034"/>
      <c r="H413" s="1604"/>
      <c r="I413" s="1042"/>
      <c r="J413" s="1042"/>
      <c r="K413" s="1042"/>
      <c r="L413" s="1042"/>
      <c r="M413" s="1042"/>
      <c r="N413" s="1042"/>
      <c r="O413" s="1042"/>
      <c r="P413" s="1042"/>
      <c r="Q413" s="1042"/>
      <c r="R413" s="1042"/>
      <c r="S413" s="1042"/>
      <c r="T413" s="1042"/>
      <c r="U413" s="1042"/>
      <c r="V413" s="1042"/>
      <c r="W413" s="1042"/>
      <c r="X413" s="1042"/>
      <c r="Y413" s="1042"/>
      <c r="Z413" s="1042"/>
      <c r="AA413" s="1042"/>
      <c r="AB413" s="1042"/>
      <c r="AC413" s="1042"/>
      <c r="AD413" s="1042"/>
      <c r="AE413" s="1042"/>
      <c r="AF413" s="1042"/>
      <c r="AG413" s="1042"/>
      <c r="AH413" s="1605"/>
      <c r="AI413" s="1605"/>
      <c r="AJ413" s="1044"/>
      <c r="AK413" s="1047"/>
      <c r="AL413" s="1044"/>
      <c r="AM413" s="1009"/>
      <c r="AN413" s="1034"/>
      <c r="AO413" s="1938"/>
      <c r="AP413" s="1037"/>
      <c r="AQ413" s="1037"/>
      <c r="AR413" s="1005"/>
      <c r="AS413" s="1005"/>
      <c r="AT413" s="1005"/>
      <c r="AU413" s="1005"/>
      <c r="AV413" s="1005"/>
      <c r="AW413" s="1005"/>
      <c r="AX413" s="1005"/>
      <c r="AY413" s="1005"/>
      <c r="AZ413" s="1005"/>
      <c r="BA413" s="1005"/>
      <c r="BB413" s="1005"/>
      <c r="BC413" s="1005"/>
      <c r="BD413" s="1005"/>
      <c r="BE413" s="1005"/>
      <c r="BF413" s="1005"/>
      <c r="BG413" s="1005"/>
      <c r="BH413" s="1005"/>
      <c r="BI413" s="1005"/>
      <c r="BJ413" s="1005"/>
      <c r="BK413" s="1005"/>
      <c r="BL413" s="1005"/>
      <c r="BM413" s="1005"/>
      <c r="BN413" s="1005"/>
      <c r="BO413" s="1005"/>
      <c r="BP413" s="1005"/>
      <c r="BQ413" s="1005"/>
      <c r="BR413" s="1005"/>
      <c r="BS413" s="1005"/>
      <c r="BT413" s="1005"/>
      <c r="BU413" s="1005"/>
      <c r="BV413" s="1005"/>
      <c r="BW413" s="1005"/>
      <c r="BX413" s="1005"/>
      <c r="BY413" s="1005"/>
      <c r="BZ413" s="1005"/>
      <c r="CA413" s="1005"/>
      <c r="CB413" s="1005"/>
      <c r="CC413" s="1005"/>
      <c r="CD413" s="1005"/>
      <c r="CE413" s="1005"/>
      <c r="CF413" s="1005"/>
      <c r="CG413" s="1005"/>
      <c r="CH413" s="1005"/>
      <c r="CI413" s="1005"/>
      <c r="CJ413" s="1005"/>
      <c r="CK413" s="1005"/>
      <c r="CL413" s="1005"/>
      <c r="CM413" s="1005"/>
      <c r="CN413" s="1005"/>
      <c r="CO413" s="1005"/>
      <c r="CP413" s="1005"/>
      <c r="CQ413" s="1005"/>
      <c r="CR413" s="1005"/>
      <c r="CS413" s="1005"/>
      <c r="CT413" s="1005"/>
      <c r="CU413" s="1005"/>
      <c r="CV413" s="1005"/>
      <c r="CW413" s="1005"/>
      <c r="CX413" s="1005"/>
      <c r="CY413" s="1005"/>
      <c r="CZ413" s="1005"/>
      <c r="DA413" s="1005"/>
      <c r="DB413" s="1005"/>
      <c r="DC413" s="1005"/>
      <c r="DD413" s="1005"/>
      <c r="DE413" s="1005"/>
      <c r="DF413" s="1005"/>
      <c r="DG413" s="1005"/>
      <c r="DH413" s="1005"/>
      <c r="DI413" s="1005"/>
      <c r="DJ413" s="1005"/>
      <c r="DK413" s="1005"/>
      <c r="DL413" s="1005"/>
      <c r="DM413" s="1005"/>
      <c r="DN413" s="1005"/>
      <c r="DO413" s="1005"/>
      <c r="DP413" s="1005"/>
      <c r="DQ413" s="1005"/>
      <c r="DR413" s="1005"/>
      <c r="DS413" s="1005"/>
      <c r="DT413" s="1005"/>
      <c r="DU413" s="1005"/>
      <c r="DV413" s="1005"/>
      <c r="DW413" s="1005"/>
      <c r="DX413" s="1005"/>
      <c r="DY413" s="1005"/>
      <c r="DZ413" s="1005"/>
      <c r="EA413" s="1005"/>
      <c r="EB413" s="1005"/>
      <c r="EC413" s="1005"/>
      <c r="ED413" s="1005"/>
      <c r="EE413" s="1005"/>
      <c r="EF413" s="1005"/>
      <c r="EG413" s="1005"/>
      <c r="EH413" s="1005"/>
      <c r="EI413" s="1005"/>
      <c r="EJ413" s="1005"/>
      <c r="EK413" s="1005"/>
      <c r="EL413" s="1005"/>
      <c r="EM413" s="1005"/>
      <c r="EN413" s="1005"/>
      <c r="EO413" s="1005"/>
      <c r="EP413" s="1005"/>
      <c r="EQ413" s="1005"/>
      <c r="ER413" s="1005"/>
      <c r="ES413" s="1005"/>
      <c r="ET413" s="1005"/>
      <c r="EU413" s="1005"/>
      <c r="EV413" s="1005"/>
      <c r="EW413" s="1005"/>
      <c r="EX413" s="1005"/>
      <c r="EY413" s="1005"/>
      <c r="EZ413" s="1005"/>
      <c r="FA413" s="1005"/>
      <c r="FB413" s="1005"/>
      <c r="FC413" s="1005"/>
      <c r="FD413" s="1005"/>
      <c r="FE413" s="1005"/>
      <c r="FF413" s="1005"/>
      <c r="FG413" s="1005"/>
      <c r="FH413" s="1005"/>
      <c r="FI413" s="1005"/>
      <c r="FJ413" s="1005"/>
      <c r="FK413" s="1005"/>
      <c r="FL413" s="1005"/>
      <c r="FM413" s="1005"/>
      <c r="FN413" s="1005"/>
      <c r="FO413" s="1005"/>
      <c r="FP413" s="1005"/>
      <c r="FQ413" s="1005"/>
      <c r="FR413" s="1005"/>
      <c r="FS413" s="1005"/>
      <c r="FT413" s="1005"/>
      <c r="FU413" s="1005"/>
      <c r="FV413" s="1005"/>
      <c r="FW413" s="1005"/>
      <c r="FX413" s="1005"/>
      <c r="FY413" s="1005"/>
      <c r="FZ413" s="1005"/>
      <c r="GA413" s="1005"/>
      <c r="GB413" s="1005"/>
      <c r="GC413" s="1005"/>
      <c r="GD413" s="1005"/>
      <c r="GE413" s="1005"/>
      <c r="GF413" s="1005"/>
      <c r="GG413" s="1005"/>
      <c r="GH413" s="1005"/>
      <c r="GI413" s="1005"/>
      <c r="GJ413" s="1005"/>
      <c r="GK413" s="1005"/>
      <c r="GL413" s="1005"/>
      <c r="GM413" s="1005"/>
      <c r="GN413" s="1005"/>
      <c r="GO413" s="1005"/>
      <c r="GP413" s="1005"/>
      <c r="GQ413" s="1005"/>
      <c r="GR413" s="1005"/>
      <c r="GS413" s="1005"/>
      <c r="GT413" s="1005"/>
      <c r="GU413" s="1005"/>
      <c r="GV413" s="1005"/>
      <c r="GW413" s="1005"/>
      <c r="GX413" s="1005"/>
      <c r="GY413" s="1005"/>
      <c r="GZ413" s="1005"/>
      <c r="HA413" s="1005"/>
      <c r="HB413" s="1005"/>
      <c r="HC413" s="1005"/>
      <c r="HD413" s="1005"/>
      <c r="HE413" s="1005"/>
      <c r="HF413" s="1005"/>
      <c r="HG413" s="1005"/>
      <c r="HH413" s="1005"/>
      <c r="HI413" s="1005"/>
      <c r="HJ413" s="1005"/>
      <c r="HK413" s="1005"/>
      <c r="HL413" s="1005"/>
      <c r="HM413" s="1005"/>
      <c r="HN413" s="1005"/>
      <c r="HO413" s="1005"/>
      <c r="HP413" s="1005"/>
      <c r="HQ413" s="1005"/>
      <c r="HR413" s="1005"/>
      <c r="HS413" s="1005"/>
      <c r="HT413" s="1005"/>
      <c r="HU413" s="1005"/>
      <c r="HV413" s="1005"/>
      <c r="HW413" s="1005"/>
      <c r="HX413" s="1005"/>
      <c r="HY413" s="1005"/>
      <c r="HZ413" s="1005"/>
      <c r="IA413" s="1005"/>
      <c r="IB413" s="1005"/>
      <c r="IC413" s="1005"/>
      <c r="ID413" s="1005"/>
      <c r="IE413" s="1005"/>
      <c r="IF413" s="1005"/>
      <c r="IG413" s="1005"/>
      <c r="IH413" s="1005"/>
      <c r="II413" s="1005"/>
      <c r="IJ413" s="1005"/>
      <c r="IK413" s="1005"/>
      <c r="IL413" s="1005"/>
      <c r="IM413" s="1005"/>
      <c r="IN413" s="1005"/>
      <c r="IO413" s="1005"/>
      <c r="IP413" s="1005"/>
      <c r="IQ413" s="1005"/>
      <c r="IR413" s="1005"/>
      <c r="IS413" s="1005"/>
      <c r="IT413" s="1005"/>
      <c r="IU413" s="1005"/>
      <c r="IV413" s="1005"/>
      <c r="IW413" s="1005"/>
    </row>
    <row r="414" spans="1:257" s="1290" customFormat="1" ht="12.75" customHeight="1">
      <c r="A414" s="1038"/>
      <c r="B414" s="1038"/>
      <c r="C414" s="1039"/>
      <c r="D414" s="1026"/>
      <c r="E414" s="1034"/>
      <c r="F414" s="1034"/>
      <c r="G414" s="1034"/>
      <c r="H414" s="1604"/>
      <c r="I414" s="1042"/>
      <c r="J414" s="1042"/>
      <c r="K414" s="1042"/>
      <c r="L414" s="1042"/>
      <c r="M414" s="1042"/>
      <c r="N414" s="1042"/>
      <c r="O414" s="1042"/>
      <c r="P414" s="1042"/>
      <c r="Q414" s="1042"/>
      <c r="R414" s="1042"/>
      <c r="S414" s="1042"/>
      <c r="T414" s="1042"/>
      <c r="U414" s="1042"/>
      <c r="V414" s="1042"/>
      <c r="W414" s="1042"/>
      <c r="X414" s="1042"/>
      <c r="Y414" s="1042"/>
      <c r="Z414" s="1042"/>
      <c r="AA414" s="1042"/>
      <c r="AB414" s="1042"/>
      <c r="AC414" s="1042"/>
      <c r="AD414" s="1042"/>
      <c r="AE414" s="1042"/>
      <c r="AF414" s="1042"/>
      <c r="AG414" s="1042"/>
      <c r="AH414" s="1605"/>
      <c r="AI414" s="1605"/>
      <c r="AJ414" s="1044"/>
      <c r="AK414" s="1047"/>
      <c r="AL414" s="1044"/>
      <c r="AM414" s="1009"/>
      <c r="AN414" s="1034"/>
      <c r="AO414" s="1938"/>
      <c r="AP414" s="1037"/>
      <c r="AQ414" s="1037"/>
      <c r="AR414" s="1005"/>
      <c r="AS414" s="1005"/>
      <c r="AT414" s="1005"/>
      <c r="AU414" s="1005"/>
      <c r="AV414" s="1005"/>
      <c r="AW414" s="1005"/>
      <c r="AX414" s="1005"/>
      <c r="AY414" s="1005"/>
      <c r="AZ414" s="1005"/>
      <c r="BA414" s="1005"/>
      <c r="BB414" s="1005"/>
      <c r="BC414" s="1005"/>
      <c r="BD414" s="1005"/>
      <c r="BE414" s="1005"/>
      <c r="BF414" s="1005"/>
      <c r="BG414" s="1005"/>
      <c r="BH414" s="1005"/>
      <c r="BI414" s="1005"/>
      <c r="BJ414" s="1005"/>
      <c r="BK414" s="1005"/>
      <c r="BL414" s="1005"/>
      <c r="BM414" s="1005"/>
      <c r="BN414" s="1005"/>
      <c r="BO414" s="1005"/>
      <c r="BP414" s="1005"/>
      <c r="BQ414" s="1005"/>
      <c r="BR414" s="1005"/>
      <c r="BS414" s="1005"/>
      <c r="BT414" s="1005"/>
      <c r="BU414" s="1005"/>
      <c r="BV414" s="1005"/>
      <c r="BW414" s="1005"/>
      <c r="BX414" s="1005"/>
      <c r="BY414" s="1005"/>
      <c r="BZ414" s="1005"/>
      <c r="CA414" s="1005"/>
      <c r="CB414" s="1005"/>
      <c r="CC414" s="1005"/>
      <c r="CD414" s="1005"/>
      <c r="CE414" s="1005"/>
      <c r="CF414" s="1005"/>
      <c r="CG414" s="1005"/>
      <c r="CH414" s="1005"/>
      <c r="CI414" s="1005"/>
      <c r="CJ414" s="1005"/>
      <c r="CK414" s="1005"/>
      <c r="CL414" s="1005"/>
      <c r="CM414" s="1005"/>
      <c r="CN414" s="1005"/>
      <c r="CO414" s="1005"/>
      <c r="CP414" s="1005"/>
      <c r="CQ414" s="1005"/>
      <c r="CR414" s="1005"/>
      <c r="CS414" s="1005"/>
      <c r="CT414" s="1005"/>
      <c r="CU414" s="1005"/>
      <c r="CV414" s="1005"/>
      <c r="CW414" s="1005"/>
      <c r="CX414" s="1005"/>
      <c r="CY414" s="1005"/>
      <c r="CZ414" s="1005"/>
      <c r="DA414" s="1005"/>
      <c r="DB414" s="1005"/>
      <c r="DC414" s="1005"/>
      <c r="DD414" s="1005"/>
      <c r="DE414" s="1005"/>
      <c r="DF414" s="1005"/>
      <c r="DG414" s="1005"/>
      <c r="DH414" s="1005"/>
      <c r="DI414" s="1005"/>
      <c r="DJ414" s="1005"/>
      <c r="DK414" s="1005"/>
      <c r="DL414" s="1005"/>
      <c r="DM414" s="1005"/>
      <c r="DN414" s="1005"/>
      <c r="DO414" s="1005"/>
      <c r="DP414" s="1005"/>
      <c r="DQ414" s="1005"/>
      <c r="DR414" s="1005"/>
      <c r="DS414" s="1005"/>
      <c r="DT414" s="1005"/>
      <c r="DU414" s="1005"/>
      <c r="DV414" s="1005"/>
      <c r="DW414" s="1005"/>
      <c r="DX414" s="1005"/>
      <c r="DY414" s="1005"/>
      <c r="DZ414" s="1005"/>
      <c r="EA414" s="1005"/>
      <c r="EB414" s="1005"/>
      <c r="EC414" s="1005"/>
      <c r="ED414" s="1005"/>
      <c r="EE414" s="1005"/>
      <c r="EF414" s="1005"/>
      <c r="EG414" s="1005"/>
      <c r="EH414" s="1005"/>
      <c r="EI414" s="1005"/>
      <c r="EJ414" s="1005"/>
      <c r="EK414" s="1005"/>
      <c r="EL414" s="1005"/>
      <c r="EM414" s="1005"/>
      <c r="EN414" s="1005"/>
      <c r="EO414" s="1005"/>
      <c r="EP414" s="1005"/>
      <c r="EQ414" s="1005"/>
      <c r="ER414" s="1005"/>
      <c r="ES414" s="1005"/>
      <c r="ET414" s="1005"/>
      <c r="EU414" s="1005"/>
      <c r="EV414" s="1005"/>
      <c r="EW414" s="1005"/>
      <c r="EX414" s="1005"/>
      <c r="EY414" s="1005"/>
      <c r="EZ414" s="1005"/>
      <c r="FA414" s="1005"/>
      <c r="FB414" s="1005"/>
      <c r="FC414" s="1005"/>
      <c r="FD414" s="1005"/>
      <c r="FE414" s="1005"/>
      <c r="FF414" s="1005"/>
      <c r="FG414" s="1005"/>
      <c r="FH414" s="1005"/>
      <c r="FI414" s="1005"/>
      <c r="FJ414" s="1005"/>
      <c r="FK414" s="1005"/>
      <c r="FL414" s="1005"/>
      <c r="FM414" s="1005"/>
      <c r="FN414" s="1005"/>
      <c r="FO414" s="1005"/>
      <c r="FP414" s="1005"/>
      <c r="FQ414" s="1005"/>
      <c r="FR414" s="1005"/>
      <c r="FS414" s="1005"/>
      <c r="FT414" s="1005"/>
      <c r="FU414" s="1005"/>
      <c r="FV414" s="1005"/>
      <c r="FW414" s="1005"/>
      <c r="FX414" s="1005"/>
      <c r="FY414" s="1005"/>
      <c r="FZ414" s="1005"/>
      <c r="GA414" s="1005"/>
      <c r="GB414" s="1005"/>
      <c r="GC414" s="1005"/>
      <c r="GD414" s="1005"/>
      <c r="GE414" s="1005"/>
      <c r="GF414" s="1005"/>
      <c r="GG414" s="1005"/>
      <c r="GH414" s="1005"/>
      <c r="GI414" s="1005"/>
      <c r="GJ414" s="1005"/>
      <c r="GK414" s="1005"/>
      <c r="GL414" s="1005"/>
      <c r="GM414" s="1005"/>
      <c r="GN414" s="1005"/>
      <c r="GO414" s="1005"/>
      <c r="GP414" s="1005"/>
      <c r="GQ414" s="1005"/>
      <c r="GR414" s="1005"/>
      <c r="GS414" s="1005"/>
      <c r="GT414" s="1005"/>
      <c r="GU414" s="1005"/>
      <c r="GV414" s="1005"/>
      <c r="GW414" s="1005"/>
      <c r="GX414" s="1005"/>
      <c r="GY414" s="1005"/>
      <c r="GZ414" s="1005"/>
      <c r="HA414" s="1005"/>
      <c r="HB414" s="1005"/>
      <c r="HC414" s="1005"/>
      <c r="HD414" s="1005"/>
      <c r="HE414" s="1005"/>
      <c r="HF414" s="1005"/>
      <c r="HG414" s="1005"/>
      <c r="HH414" s="1005"/>
      <c r="HI414" s="1005"/>
      <c r="HJ414" s="1005"/>
      <c r="HK414" s="1005"/>
      <c r="HL414" s="1005"/>
      <c r="HM414" s="1005"/>
      <c r="HN414" s="1005"/>
      <c r="HO414" s="1005"/>
      <c r="HP414" s="1005"/>
      <c r="HQ414" s="1005"/>
      <c r="HR414" s="1005"/>
      <c r="HS414" s="1005"/>
      <c r="HT414" s="1005"/>
      <c r="HU414" s="1005"/>
      <c r="HV414" s="1005"/>
      <c r="HW414" s="1005"/>
      <c r="HX414" s="1005"/>
      <c r="HY414" s="1005"/>
      <c r="HZ414" s="1005"/>
      <c r="IA414" s="1005"/>
      <c r="IB414" s="1005"/>
      <c r="IC414" s="1005"/>
      <c r="ID414" s="1005"/>
      <c r="IE414" s="1005"/>
      <c r="IF414" s="1005"/>
      <c r="IG414" s="1005"/>
      <c r="IH414" s="1005"/>
      <c r="II414" s="1005"/>
      <c r="IJ414" s="1005"/>
      <c r="IK414" s="1005"/>
      <c r="IL414" s="1005"/>
      <c r="IM414" s="1005"/>
      <c r="IN414" s="1005"/>
      <c r="IO414" s="1005"/>
      <c r="IP414" s="1005"/>
      <c r="IQ414" s="1005"/>
      <c r="IR414" s="1005"/>
      <c r="IS414" s="1005"/>
      <c r="IT414" s="1005"/>
      <c r="IU414" s="1005"/>
      <c r="IV414" s="1005"/>
      <c r="IW414" s="1005"/>
    </row>
    <row r="415" spans="1:257" s="1290" customFormat="1" ht="12.75" customHeight="1">
      <c r="A415" s="1038"/>
      <c r="B415" s="1038"/>
      <c r="C415" s="1039"/>
      <c r="D415" s="1026"/>
      <c r="E415" s="1034"/>
      <c r="F415" s="1034"/>
      <c r="G415" s="1034"/>
      <c r="H415" s="1604"/>
      <c r="I415" s="1042"/>
      <c r="J415" s="1042"/>
      <c r="K415" s="1042"/>
      <c r="L415" s="1042"/>
      <c r="M415" s="1042"/>
      <c r="N415" s="1042"/>
      <c r="O415" s="1042"/>
      <c r="P415" s="1042"/>
      <c r="Q415" s="1042"/>
      <c r="R415" s="1042"/>
      <c r="S415" s="1042"/>
      <c r="T415" s="1042"/>
      <c r="U415" s="1042"/>
      <c r="V415" s="1042"/>
      <c r="W415" s="1042"/>
      <c r="X415" s="1042"/>
      <c r="Y415" s="1042"/>
      <c r="Z415" s="1042"/>
      <c r="AA415" s="1042"/>
      <c r="AB415" s="1042"/>
      <c r="AC415" s="1042"/>
      <c r="AD415" s="1042"/>
      <c r="AE415" s="1042"/>
      <c r="AF415" s="1042"/>
      <c r="AG415" s="1042"/>
      <c r="AH415" s="1605"/>
      <c r="AI415" s="1605"/>
      <c r="AJ415" s="1044"/>
      <c r="AK415" s="1047"/>
      <c r="AL415" s="1044"/>
      <c r="AM415" s="1009"/>
      <c r="AN415" s="1034"/>
      <c r="AO415" s="1938"/>
      <c r="AP415" s="1037"/>
      <c r="AQ415" s="1037"/>
      <c r="AR415" s="1005"/>
      <c r="AS415" s="1005"/>
      <c r="AT415" s="1005"/>
      <c r="AU415" s="1005"/>
      <c r="AV415" s="1005"/>
      <c r="AW415" s="1005"/>
      <c r="AX415" s="1005"/>
      <c r="AY415" s="1005"/>
      <c r="AZ415" s="1005"/>
      <c r="BA415" s="1005"/>
      <c r="BB415" s="1005"/>
      <c r="BC415" s="1005"/>
      <c r="BD415" s="1005"/>
      <c r="BE415" s="1005"/>
      <c r="BF415" s="1005"/>
      <c r="BG415" s="1005"/>
      <c r="BH415" s="1005"/>
      <c r="BI415" s="1005"/>
      <c r="BJ415" s="1005"/>
      <c r="BK415" s="1005"/>
      <c r="BL415" s="1005"/>
      <c r="BM415" s="1005"/>
      <c r="BN415" s="1005"/>
      <c r="BO415" s="1005"/>
      <c r="BP415" s="1005"/>
      <c r="BQ415" s="1005"/>
      <c r="BR415" s="1005"/>
      <c r="BS415" s="1005"/>
      <c r="BT415" s="1005"/>
      <c r="BU415" s="1005"/>
      <c r="BV415" s="1005"/>
      <c r="BW415" s="1005"/>
      <c r="BX415" s="1005"/>
      <c r="BY415" s="1005"/>
      <c r="BZ415" s="1005"/>
      <c r="CA415" s="1005"/>
      <c r="CB415" s="1005"/>
      <c r="CC415" s="1005"/>
      <c r="CD415" s="1005"/>
      <c r="CE415" s="1005"/>
      <c r="CF415" s="1005"/>
      <c r="CG415" s="1005"/>
      <c r="CH415" s="1005"/>
      <c r="CI415" s="1005"/>
      <c r="CJ415" s="1005"/>
      <c r="CK415" s="1005"/>
      <c r="CL415" s="1005"/>
      <c r="CM415" s="1005"/>
      <c r="CN415" s="1005"/>
      <c r="CO415" s="1005"/>
      <c r="CP415" s="1005"/>
      <c r="CQ415" s="1005"/>
      <c r="CR415" s="1005"/>
      <c r="CS415" s="1005"/>
      <c r="CT415" s="1005"/>
      <c r="CU415" s="1005"/>
      <c r="CV415" s="1005"/>
      <c r="CW415" s="1005"/>
      <c r="CX415" s="1005"/>
      <c r="CY415" s="1005"/>
      <c r="CZ415" s="1005"/>
      <c r="DA415" s="1005"/>
      <c r="DB415" s="1005"/>
      <c r="DC415" s="1005"/>
      <c r="DD415" s="1005"/>
      <c r="DE415" s="1005"/>
      <c r="DF415" s="1005"/>
      <c r="DG415" s="1005"/>
      <c r="DH415" s="1005"/>
      <c r="DI415" s="1005"/>
      <c r="DJ415" s="1005"/>
      <c r="DK415" s="1005"/>
      <c r="DL415" s="1005"/>
      <c r="DM415" s="1005"/>
      <c r="DN415" s="1005"/>
      <c r="DO415" s="1005"/>
      <c r="DP415" s="1005"/>
      <c r="DQ415" s="1005"/>
      <c r="DR415" s="1005"/>
      <c r="DS415" s="1005"/>
      <c r="DT415" s="1005"/>
      <c r="DU415" s="1005"/>
      <c r="DV415" s="1005"/>
      <c r="DW415" s="1005"/>
      <c r="DX415" s="1005"/>
      <c r="DY415" s="1005"/>
      <c r="DZ415" s="1005"/>
      <c r="EA415" s="1005"/>
      <c r="EB415" s="1005"/>
      <c r="EC415" s="1005"/>
      <c r="ED415" s="1005"/>
      <c r="EE415" s="1005"/>
      <c r="EF415" s="1005"/>
      <c r="EG415" s="1005"/>
      <c r="EH415" s="1005"/>
      <c r="EI415" s="1005"/>
      <c r="EJ415" s="1005"/>
      <c r="EK415" s="1005"/>
      <c r="EL415" s="1005"/>
      <c r="EM415" s="1005"/>
      <c r="EN415" s="1005"/>
      <c r="EO415" s="1005"/>
      <c r="EP415" s="1005"/>
      <c r="EQ415" s="1005"/>
      <c r="ER415" s="1005"/>
      <c r="ES415" s="1005"/>
      <c r="ET415" s="1005"/>
      <c r="EU415" s="1005"/>
      <c r="EV415" s="1005"/>
      <c r="EW415" s="1005"/>
      <c r="EX415" s="1005"/>
      <c r="EY415" s="1005"/>
      <c r="EZ415" s="1005"/>
      <c r="FA415" s="1005"/>
      <c r="FB415" s="1005"/>
      <c r="FC415" s="1005"/>
      <c r="FD415" s="1005"/>
      <c r="FE415" s="1005"/>
      <c r="FF415" s="1005"/>
      <c r="FG415" s="1005"/>
      <c r="FH415" s="1005"/>
      <c r="FI415" s="1005"/>
      <c r="FJ415" s="1005"/>
      <c r="FK415" s="1005"/>
      <c r="FL415" s="1005"/>
      <c r="FM415" s="1005"/>
      <c r="FN415" s="1005"/>
      <c r="FO415" s="1005"/>
      <c r="FP415" s="1005"/>
      <c r="FQ415" s="1005"/>
      <c r="FR415" s="1005"/>
      <c r="FS415" s="1005"/>
      <c r="FT415" s="1005"/>
      <c r="FU415" s="1005"/>
      <c r="FV415" s="1005"/>
      <c r="FW415" s="1005"/>
      <c r="FX415" s="1005"/>
      <c r="FY415" s="1005"/>
      <c r="FZ415" s="1005"/>
      <c r="GA415" s="1005"/>
      <c r="GB415" s="1005"/>
      <c r="GC415" s="1005"/>
      <c r="GD415" s="1005"/>
      <c r="GE415" s="1005"/>
      <c r="GF415" s="1005"/>
      <c r="GG415" s="1005"/>
      <c r="GH415" s="1005"/>
      <c r="GI415" s="1005"/>
      <c r="GJ415" s="1005"/>
      <c r="GK415" s="1005"/>
      <c r="GL415" s="1005"/>
      <c r="GM415" s="1005"/>
      <c r="GN415" s="1005"/>
      <c r="GO415" s="1005"/>
      <c r="GP415" s="1005"/>
      <c r="GQ415" s="1005"/>
      <c r="GR415" s="1005"/>
      <c r="GS415" s="1005"/>
      <c r="GT415" s="1005"/>
      <c r="GU415" s="1005"/>
      <c r="GV415" s="1005"/>
      <c r="GW415" s="1005"/>
      <c r="GX415" s="1005"/>
      <c r="GY415" s="1005"/>
      <c r="GZ415" s="1005"/>
      <c r="HA415" s="1005"/>
      <c r="HB415" s="1005"/>
      <c r="HC415" s="1005"/>
      <c r="HD415" s="1005"/>
      <c r="HE415" s="1005"/>
      <c r="HF415" s="1005"/>
      <c r="HG415" s="1005"/>
      <c r="HH415" s="1005"/>
      <c r="HI415" s="1005"/>
      <c r="HJ415" s="1005"/>
      <c r="HK415" s="1005"/>
      <c r="HL415" s="1005"/>
      <c r="HM415" s="1005"/>
      <c r="HN415" s="1005"/>
      <c r="HO415" s="1005"/>
      <c r="HP415" s="1005"/>
      <c r="HQ415" s="1005"/>
      <c r="HR415" s="1005"/>
      <c r="HS415" s="1005"/>
      <c r="HT415" s="1005"/>
      <c r="HU415" s="1005"/>
      <c r="HV415" s="1005"/>
      <c r="HW415" s="1005"/>
      <c r="HX415" s="1005"/>
      <c r="HY415" s="1005"/>
      <c r="HZ415" s="1005"/>
      <c r="IA415" s="1005"/>
      <c r="IB415" s="1005"/>
      <c r="IC415" s="1005"/>
      <c r="ID415" s="1005"/>
      <c r="IE415" s="1005"/>
      <c r="IF415" s="1005"/>
      <c r="IG415" s="1005"/>
      <c r="IH415" s="1005"/>
      <c r="II415" s="1005"/>
      <c r="IJ415" s="1005"/>
      <c r="IK415" s="1005"/>
      <c r="IL415" s="1005"/>
      <c r="IM415" s="1005"/>
      <c r="IN415" s="1005"/>
      <c r="IO415" s="1005"/>
      <c r="IP415" s="1005"/>
      <c r="IQ415" s="1005"/>
      <c r="IR415" s="1005"/>
      <c r="IS415" s="1005"/>
      <c r="IT415" s="1005"/>
      <c r="IU415" s="1005"/>
      <c r="IV415" s="1005"/>
      <c r="IW415" s="1005"/>
    </row>
    <row r="416" spans="1:257" s="1290" customFormat="1" ht="12.75" customHeight="1">
      <c r="A416" s="1038"/>
      <c r="B416" s="1038"/>
      <c r="C416" s="1039"/>
      <c r="D416" s="1026"/>
      <c r="E416" s="1034"/>
      <c r="F416" s="1034"/>
      <c r="G416" s="1034"/>
      <c r="H416" s="1604"/>
      <c r="I416" s="1042"/>
      <c r="J416" s="1042"/>
      <c r="K416" s="1042"/>
      <c r="L416" s="1042"/>
      <c r="M416" s="1042"/>
      <c r="N416" s="1042"/>
      <c r="O416" s="1042"/>
      <c r="P416" s="1042"/>
      <c r="Q416" s="1042"/>
      <c r="R416" s="1042"/>
      <c r="S416" s="1042"/>
      <c r="T416" s="1042"/>
      <c r="U416" s="1042"/>
      <c r="V416" s="1042"/>
      <c r="W416" s="1042"/>
      <c r="X416" s="1042"/>
      <c r="Y416" s="1042"/>
      <c r="Z416" s="1042"/>
      <c r="AA416" s="1042"/>
      <c r="AB416" s="1042"/>
      <c r="AC416" s="1042"/>
      <c r="AD416" s="1042"/>
      <c r="AE416" s="1042"/>
      <c r="AF416" s="1042"/>
      <c r="AG416" s="1042"/>
      <c r="AH416" s="1605"/>
      <c r="AI416" s="1605"/>
      <c r="AJ416" s="1044"/>
      <c r="AK416" s="1047"/>
      <c r="AL416" s="1044"/>
      <c r="AM416" s="1009"/>
      <c r="AN416" s="1034"/>
      <c r="AO416" s="1938"/>
      <c r="AP416" s="1037"/>
      <c r="AQ416" s="1037"/>
      <c r="AR416" s="1005"/>
      <c r="AS416" s="1005"/>
      <c r="AT416" s="1005"/>
      <c r="AU416" s="1005"/>
      <c r="AV416" s="1005"/>
      <c r="AW416" s="1005"/>
      <c r="AX416" s="1005"/>
      <c r="AY416" s="1005"/>
      <c r="AZ416" s="1005"/>
      <c r="BA416" s="1005"/>
      <c r="BB416" s="1005"/>
      <c r="BC416" s="1005"/>
      <c r="BD416" s="1005"/>
      <c r="BE416" s="1005"/>
      <c r="BF416" s="1005"/>
      <c r="BG416" s="1005"/>
      <c r="BH416" s="1005"/>
      <c r="BI416" s="1005"/>
      <c r="BJ416" s="1005"/>
      <c r="BK416" s="1005"/>
      <c r="BL416" s="1005"/>
      <c r="BM416" s="1005"/>
      <c r="BN416" s="1005"/>
      <c r="BO416" s="1005"/>
      <c r="BP416" s="1005"/>
      <c r="BQ416" s="1005"/>
      <c r="BR416" s="1005"/>
      <c r="BS416" s="1005"/>
      <c r="BT416" s="1005"/>
      <c r="BU416" s="1005"/>
      <c r="BV416" s="1005"/>
      <c r="BW416" s="1005"/>
      <c r="BX416" s="1005"/>
      <c r="BY416" s="1005"/>
      <c r="BZ416" s="1005"/>
      <c r="CA416" s="1005"/>
      <c r="CB416" s="1005"/>
      <c r="CC416" s="1005"/>
      <c r="CD416" s="1005"/>
      <c r="CE416" s="1005"/>
      <c r="CF416" s="1005"/>
      <c r="CG416" s="1005"/>
      <c r="CH416" s="1005"/>
      <c r="CI416" s="1005"/>
      <c r="CJ416" s="1005"/>
      <c r="CK416" s="1005"/>
      <c r="CL416" s="1005"/>
      <c r="CM416" s="1005"/>
      <c r="CN416" s="1005"/>
      <c r="CO416" s="1005"/>
      <c r="CP416" s="1005"/>
      <c r="CQ416" s="1005"/>
      <c r="CR416" s="1005"/>
      <c r="CS416" s="1005"/>
      <c r="CT416" s="1005"/>
      <c r="CU416" s="1005"/>
      <c r="CV416" s="1005"/>
      <c r="CW416" s="1005"/>
      <c r="CX416" s="1005"/>
      <c r="CY416" s="1005"/>
      <c r="CZ416" s="1005"/>
      <c r="DA416" s="1005"/>
      <c r="DB416" s="1005"/>
      <c r="DC416" s="1005"/>
      <c r="DD416" s="1005"/>
      <c r="DE416" s="1005"/>
      <c r="DF416" s="1005"/>
      <c r="DG416" s="1005"/>
      <c r="DH416" s="1005"/>
      <c r="DI416" s="1005"/>
      <c r="DJ416" s="1005"/>
      <c r="DK416" s="1005"/>
      <c r="DL416" s="1005"/>
      <c r="DM416" s="1005"/>
      <c r="DN416" s="1005"/>
      <c r="DO416" s="1005"/>
      <c r="DP416" s="1005"/>
      <c r="DQ416" s="1005"/>
      <c r="DR416" s="1005"/>
      <c r="DS416" s="1005"/>
      <c r="DT416" s="1005"/>
      <c r="DU416" s="1005"/>
      <c r="DV416" s="1005"/>
      <c r="DW416" s="1005"/>
      <c r="DX416" s="1005"/>
      <c r="DY416" s="1005"/>
      <c r="DZ416" s="1005"/>
      <c r="EA416" s="1005"/>
      <c r="EB416" s="1005"/>
      <c r="EC416" s="1005"/>
      <c r="ED416" s="1005"/>
      <c r="EE416" s="1005"/>
      <c r="EF416" s="1005"/>
      <c r="EG416" s="1005"/>
      <c r="EH416" s="1005"/>
      <c r="EI416" s="1005"/>
      <c r="EJ416" s="1005"/>
      <c r="EK416" s="1005"/>
      <c r="EL416" s="1005"/>
      <c r="EM416" s="1005"/>
      <c r="EN416" s="1005"/>
      <c r="EO416" s="1005"/>
      <c r="EP416" s="1005"/>
      <c r="EQ416" s="1005"/>
      <c r="ER416" s="1005"/>
      <c r="ES416" s="1005"/>
      <c r="ET416" s="1005"/>
      <c r="EU416" s="1005"/>
      <c r="EV416" s="1005"/>
      <c r="EW416" s="1005"/>
      <c r="EX416" s="1005"/>
      <c r="EY416" s="1005"/>
      <c r="EZ416" s="1005"/>
      <c r="FA416" s="1005"/>
      <c r="FB416" s="1005"/>
      <c r="FC416" s="1005"/>
      <c r="FD416" s="1005"/>
      <c r="FE416" s="1005"/>
      <c r="FF416" s="1005"/>
      <c r="FG416" s="1005"/>
      <c r="FH416" s="1005"/>
      <c r="FI416" s="1005"/>
      <c r="FJ416" s="1005"/>
      <c r="FK416" s="1005"/>
      <c r="FL416" s="1005"/>
      <c r="FM416" s="1005"/>
      <c r="FN416" s="1005"/>
      <c r="FO416" s="1005"/>
      <c r="FP416" s="1005"/>
      <c r="FQ416" s="1005"/>
      <c r="FR416" s="1005"/>
      <c r="FS416" s="1005"/>
      <c r="FT416" s="1005"/>
      <c r="FU416" s="1005"/>
      <c r="FV416" s="1005"/>
      <c r="FW416" s="1005"/>
      <c r="FX416" s="1005"/>
      <c r="FY416" s="1005"/>
      <c r="FZ416" s="1005"/>
      <c r="GA416" s="1005"/>
      <c r="GB416" s="1005"/>
      <c r="GC416" s="1005"/>
      <c r="GD416" s="1005"/>
      <c r="GE416" s="1005"/>
      <c r="GF416" s="1005"/>
      <c r="GG416" s="1005"/>
      <c r="GH416" s="1005"/>
      <c r="GI416" s="1005"/>
      <c r="GJ416" s="1005"/>
      <c r="GK416" s="1005"/>
      <c r="GL416" s="1005"/>
      <c r="GM416" s="1005"/>
      <c r="GN416" s="1005"/>
      <c r="GO416" s="1005"/>
      <c r="GP416" s="1005"/>
      <c r="GQ416" s="1005"/>
      <c r="GR416" s="1005"/>
      <c r="GS416" s="1005"/>
      <c r="GT416" s="1005"/>
      <c r="GU416" s="1005"/>
      <c r="GV416" s="1005"/>
      <c r="GW416" s="1005"/>
      <c r="GX416" s="1005"/>
      <c r="GY416" s="1005"/>
      <c r="GZ416" s="1005"/>
      <c r="HA416" s="1005"/>
      <c r="HB416" s="1005"/>
      <c r="HC416" s="1005"/>
      <c r="HD416" s="1005"/>
      <c r="HE416" s="1005"/>
      <c r="HF416" s="1005"/>
      <c r="HG416" s="1005"/>
      <c r="HH416" s="1005"/>
      <c r="HI416" s="1005"/>
      <c r="HJ416" s="1005"/>
      <c r="HK416" s="1005"/>
      <c r="HL416" s="1005"/>
      <c r="HM416" s="1005"/>
      <c r="HN416" s="1005"/>
      <c r="HO416" s="1005"/>
      <c r="HP416" s="1005"/>
      <c r="HQ416" s="1005"/>
      <c r="HR416" s="1005"/>
      <c r="HS416" s="1005"/>
      <c r="HT416" s="1005"/>
      <c r="HU416" s="1005"/>
      <c r="HV416" s="1005"/>
      <c r="HW416" s="1005"/>
      <c r="HX416" s="1005"/>
      <c r="HY416" s="1005"/>
      <c r="HZ416" s="1005"/>
      <c r="IA416" s="1005"/>
      <c r="IB416" s="1005"/>
      <c r="IC416" s="1005"/>
      <c r="ID416" s="1005"/>
      <c r="IE416" s="1005"/>
      <c r="IF416" s="1005"/>
      <c r="IG416" s="1005"/>
      <c r="IH416" s="1005"/>
      <c r="II416" s="1005"/>
      <c r="IJ416" s="1005"/>
      <c r="IK416" s="1005"/>
      <c r="IL416" s="1005"/>
      <c r="IM416" s="1005"/>
      <c r="IN416" s="1005"/>
      <c r="IO416" s="1005"/>
      <c r="IP416" s="1005"/>
      <c r="IQ416" s="1005"/>
      <c r="IR416" s="1005"/>
      <c r="IS416" s="1005"/>
      <c r="IT416" s="1005"/>
      <c r="IU416" s="1005"/>
      <c r="IV416" s="1005"/>
      <c r="IW416" s="1005"/>
    </row>
    <row r="417" spans="1:257" s="1290" customFormat="1" ht="12.75" customHeight="1">
      <c r="A417" s="1038"/>
      <c r="B417" s="1038"/>
      <c r="C417" s="1039"/>
      <c r="D417" s="1026"/>
      <c r="E417" s="1034"/>
      <c r="F417" s="1034"/>
      <c r="G417" s="1034"/>
      <c r="H417" s="1604"/>
      <c r="I417" s="1042"/>
      <c r="J417" s="1042"/>
      <c r="K417" s="1042"/>
      <c r="L417" s="1042"/>
      <c r="M417" s="1042"/>
      <c r="N417" s="1042"/>
      <c r="O417" s="1042"/>
      <c r="P417" s="1042"/>
      <c r="Q417" s="1042"/>
      <c r="R417" s="1042"/>
      <c r="S417" s="1042"/>
      <c r="T417" s="1042"/>
      <c r="U417" s="1042"/>
      <c r="V417" s="1042"/>
      <c r="W417" s="1042"/>
      <c r="X417" s="1042"/>
      <c r="Y417" s="1042"/>
      <c r="Z417" s="1042"/>
      <c r="AA417" s="1042"/>
      <c r="AB417" s="1042"/>
      <c r="AC417" s="1042"/>
      <c r="AD417" s="1042"/>
      <c r="AE417" s="1042"/>
      <c r="AF417" s="1042"/>
      <c r="AG417" s="1042"/>
      <c r="AH417" s="1605"/>
      <c r="AI417" s="1605"/>
      <c r="AJ417" s="1044"/>
      <c r="AK417" s="1047"/>
      <c r="AL417" s="1044"/>
      <c r="AM417" s="1009"/>
      <c r="AN417" s="1034"/>
      <c r="AO417" s="1938"/>
      <c r="AP417" s="1037"/>
      <c r="AQ417" s="1037"/>
      <c r="AR417" s="1005"/>
      <c r="AS417" s="1005"/>
      <c r="AT417" s="1005"/>
      <c r="AU417" s="1005"/>
      <c r="AV417" s="1005"/>
      <c r="AW417" s="1005"/>
      <c r="AX417" s="1005"/>
      <c r="AY417" s="1005"/>
      <c r="AZ417" s="1005"/>
      <c r="BA417" s="1005"/>
      <c r="BB417" s="1005"/>
      <c r="BC417" s="1005"/>
      <c r="BD417" s="1005"/>
      <c r="BE417" s="1005"/>
      <c r="BF417" s="1005"/>
      <c r="BG417" s="1005"/>
      <c r="BH417" s="1005"/>
      <c r="BI417" s="1005"/>
      <c r="BJ417" s="1005"/>
      <c r="BK417" s="1005"/>
      <c r="BL417" s="1005"/>
      <c r="BM417" s="1005"/>
      <c r="BN417" s="1005"/>
      <c r="BO417" s="1005"/>
      <c r="BP417" s="1005"/>
      <c r="BQ417" s="1005"/>
      <c r="BR417" s="1005"/>
      <c r="BS417" s="1005"/>
      <c r="BT417" s="1005"/>
      <c r="BU417" s="1005"/>
      <c r="BV417" s="1005"/>
      <c r="BW417" s="1005"/>
      <c r="BX417" s="1005"/>
      <c r="BY417" s="1005"/>
      <c r="BZ417" s="1005"/>
      <c r="CA417" s="1005"/>
      <c r="CB417" s="1005"/>
      <c r="CC417" s="1005"/>
      <c r="CD417" s="1005"/>
      <c r="CE417" s="1005"/>
      <c r="CF417" s="1005"/>
      <c r="CG417" s="1005"/>
      <c r="CH417" s="1005"/>
      <c r="CI417" s="1005"/>
      <c r="CJ417" s="1005"/>
      <c r="CK417" s="1005"/>
      <c r="CL417" s="1005"/>
      <c r="CM417" s="1005"/>
      <c r="CN417" s="1005"/>
      <c r="CO417" s="1005"/>
      <c r="CP417" s="1005"/>
      <c r="CQ417" s="1005"/>
      <c r="CR417" s="1005"/>
      <c r="CS417" s="1005"/>
      <c r="CT417" s="1005"/>
      <c r="CU417" s="1005"/>
      <c r="CV417" s="1005"/>
      <c r="CW417" s="1005"/>
      <c r="CX417" s="1005"/>
      <c r="CY417" s="1005"/>
      <c r="CZ417" s="1005"/>
      <c r="DA417" s="1005"/>
      <c r="DB417" s="1005"/>
      <c r="DC417" s="1005"/>
      <c r="DD417" s="1005"/>
      <c r="DE417" s="1005"/>
      <c r="DF417" s="1005"/>
      <c r="DG417" s="1005"/>
      <c r="DH417" s="1005"/>
      <c r="DI417" s="1005"/>
      <c r="DJ417" s="1005"/>
      <c r="DK417" s="1005"/>
      <c r="DL417" s="1005"/>
      <c r="DM417" s="1005"/>
      <c r="DN417" s="1005"/>
      <c r="DO417" s="1005"/>
      <c r="DP417" s="1005"/>
      <c r="DQ417" s="1005"/>
      <c r="DR417" s="1005"/>
      <c r="DS417" s="1005"/>
      <c r="DT417" s="1005"/>
      <c r="DU417" s="1005"/>
      <c r="DV417" s="1005"/>
      <c r="DW417" s="1005"/>
      <c r="DX417" s="1005"/>
      <c r="DY417" s="1005"/>
      <c r="DZ417" s="1005"/>
      <c r="EA417" s="1005"/>
      <c r="EB417" s="1005"/>
      <c r="EC417" s="1005"/>
      <c r="ED417" s="1005"/>
      <c r="EE417" s="1005"/>
      <c r="EF417" s="1005"/>
      <c r="EG417" s="1005"/>
      <c r="EH417" s="1005"/>
      <c r="EI417" s="1005"/>
      <c r="EJ417" s="1005"/>
      <c r="EK417" s="1005"/>
      <c r="EL417" s="1005"/>
      <c r="EM417" s="1005"/>
      <c r="EN417" s="1005"/>
      <c r="EO417" s="1005"/>
      <c r="EP417" s="1005"/>
      <c r="EQ417" s="1005"/>
      <c r="ER417" s="1005"/>
      <c r="ES417" s="1005"/>
      <c r="ET417" s="1005"/>
      <c r="EU417" s="1005"/>
      <c r="EV417" s="1005"/>
      <c r="EW417" s="1005"/>
      <c r="EX417" s="1005"/>
      <c r="EY417" s="1005"/>
      <c r="EZ417" s="1005"/>
      <c r="FA417" s="1005"/>
      <c r="FB417" s="1005"/>
      <c r="FC417" s="1005"/>
      <c r="FD417" s="1005"/>
      <c r="FE417" s="1005"/>
      <c r="FF417" s="1005"/>
      <c r="FG417" s="1005"/>
      <c r="FH417" s="1005"/>
      <c r="FI417" s="1005"/>
      <c r="FJ417" s="1005"/>
      <c r="FK417" s="1005"/>
      <c r="FL417" s="1005"/>
      <c r="FM417" s="1005"/>
      <c r="FN417" s="1005"/>
      <c r="FO417" s="1005"/>
      <c r="FP417" s="1005"/>
      <c r="FQ417" s="1005"/>
      <c r="FR417" s="1005"/>
      <c r="FS417" s="1005"/>
      <c r="FT417" s="1005"/>
      <c r="FU417" s="1005"/>
      <c r="FV417" s="1005"/>
      <c r="FW417" s="1005"/>
      <c r="FX417" s="1005"/>
      <c r="FY417" s="1005"/>
      <c r="FZ417" s="1005"/>
      <c r="GA417" s="1005"/>
      <c r="GB417" s="1005"/>
      <c r="GC417" s="1005"/>
      <c r="GD417" s="1005"/>
      <c r="GE417" s="1005"/>
      <c r="GF417" s="1005"/>
      <c r="GG417" s="1005"/>
      <c r="GH417" s="1005"/>
      <c r="GI417" s="1005"/>
      <c r="GJ417" s="1005"/>
      <c r="GK417" s="1005"/>
      <c r="GL417" s="1005"/>
      <c r="GM417" s="1005"/>
      <c r="GN417" s="1005"/>
      <c r="GO417" s="1005"/>
      <c r="GP417" s="1005"/>
      <c r="GQ417" s="1005"/>
      <c r="GR417" s="1005"/>
      <c r="GS417" s="1005"/>
      <c r="GT417" s="1005"/>
      <c r="GU417" s="1005"/>
      <c r="GV417" s="1005"/>
      <c r="GW417" s="1005"/>
      <c r="GX417" s="1005"/>
      <c r="GY417" s="1005"/>
      <c r="GZ417" s="1005"/>
      <c r="HA417" s="1005"/>
      <c r="HB417" s="1005"/>
      <c r="HC417" s="1005"/>
      <c r="HD417" s="1005"/>
      <c r="HE417" s="1005"/>
      <c r="HF417" s="1005"/>
      <c r="HG417" s="1005"/>
      <c r="HH417" s="1005"/>
      <c r="HI417" s="1005"/>
      <c r="HJ417" s="1005"/>
      <c r="HK417" s="1005"/>
      <c r="HL417" s="1005"/>
      <c r="HM417" s="1005"/>
      <c r="HN417" s="1005"/>
      <c r="HO417" s="1005"/>
      <c r="HP417" s="1005"/>
      <c r="HQ417" s="1005"/>
      <c r="HR417" s="1005"/>
      <c r="HS417" s="1005"/>
      <c r="HT417" s="1005"/>
      <c r="HU417" s="1005"/>
      <c r="HV417" s="1005"/>
      <c r="HW417" s="1005"/>
      <c r="HX417" s="1005"/>
      <c r="HY417" s="1005"/>
      <c r="HZ417" s="1005"/>
      <c r="IA417" s="1005"/>
      <c r="IB417" s="1005"/>
      <c r="IC417" s="1005"/>
      <c r="ID417" s="1005"/>
      <c r="IE417" s="1005"/>
      <c r="IF417" s="1005"/>
      <c r="IG417" s="1005"/>
      <c r="IH417" s="1005"/>
      <c r="II417" s="1005"/>
      <c r="IJ417" s="1005"/>
      <c r="IK417" s="1005"/>
      <c r="IL417" s="1005"/>
      <c r="IM417" s="1005"/>
      <c r="IN417" s="1005"/>
      <c r="IO417" s="1005"/>
      <c r="IP417" s="1005"/>
      <c r="IQ417" s="1005"/>
      <c r="IR417" s="1005"/>
      <c r="IS417" s="1005"/>
      <c r="IT417" s="1005"/>
      <c r="IU417" s="1005"/>
      <c r="IV417" s="1005"/>
      <c r="IW417" s="1005"/>
    </row>
    <row r="418" spans="1:257" s="1290" customFormat="1" ht="12.75" customHeight="1">
      <c r="A418" s="1038"/>
      <c r="B418" s="1038"/>
      <c r="C418" s="1039"/>
      <c r="D418" s="1026"/>
      <c r="E418" s="1034"/>
      <c r="F418" s="1034"/>
      <c r="G418" s="1034"/>
      <c r="H418" s="1604"/>
      <c r="I418" s="1042"/>
      <c r="J418" s="1042"/>
      <c r="K418" s="1042"/>
      <c r="L418" s="1042"/>
      <c r="M418" s="1042"/>
      <c r="N418" s="1042"/>
      <c r="O418" s="1042"/>
      <c r="P418" s="1042"/>
      <c r="Q418" s="1042"/>
      <c r="R418" s="1042"/>
      <c r="S418" s="1042"/>
      <c r="T418" s="1042"/>
      <c r="U418" s="1042"/>
      <c r="V418" s="1042"/>
      <c r="W418" s="1042"/>
      <c r="X418" s="1042"/>
      <c r="Y418" s="1042"/>
      <c r="Z418" s="1042"/>
      <c r="AA418" s="1042"/>
      <c r="AB418" s="1042"/>
      <c r="AC418" s="1042"/>
      <c r="AD418" s="1042"/>
      <c r="AE418" s="1042"/>
      <c r="AF418" s="1042"/>
      <c r="AG418" s="1042"/>
      <c r="AH418" s="1605"/>
      <c r="AI418" s="1605"/>
      <c r="AJ418" s="1044"/>
      <c r="AK418" s="1047"/>
      <c r="AL418" s="1044"/>
      <c r="AM418" s="1009"/>
      <c r="AN418" s="1034"/>
      <c r="AO418" s="1938"/>
      <c r="AP418" s="1037"/>
      <c r="AQ418" s="1037"/>
      <c r="AR418" s="1005"/>
      <c r="AS418" s="1005"/>
      <c r="AT418" s="1005"/>
      <c r="AU418" s="1005"/>
      <c r="AV418" s="1005"/>
      <c r="AW418" s="1005"/>
      <c r="AX418" s="1005"/>
      <c r="AY418" s="1005"/>
      <c r="AZ418" s="1005"/>
      <c r="BA418" s="1005"/>
      <c r="BB418" s="1005"/>
      <c r="BC418" s="1005"/>
      <c r="BD418" s="1005"/>
      <c r="BE418" s="1005"/>
      <c r="BF418" s="1005"/>
      <c r="BG418" s="1005"/>
      <c r="BH418" s="1005"/>
      <c r="BI418" s="1005"/>
      <c r="BJ418" s="1005"/>
      <c r="BK418" s="1005"/>
      <c r="BL418" s="1005"/>
      <c r="BM418" s="1005"/>
      <c r="BN418" s="1005"/>
      <c r="BO418" s="1005"/>
      <c r="BP418" s="1005"/>
      <c r="BQ418" s="1005"/>
      <c r="BR418" s="1005"/>
      <c r="BS418" s="1005"/>
      <c r="BT418" s="1005"/>
      <c r="BU418" s="1005"/>
      <c r="BV418" s="1005"/>
      <c r="BW418" s="1005"/>
      <c r="BX418" s="1005"/>
      <c r="BY418" s="1005"/>
      <c r="BZ418" s="1005"/>
      <c r="CA418" s="1005"/>
      <c r="CB418" s="1005"/>
      <c r="CC418" s="1005"/>
      <c r="CD418" s="1005"/>
      <c r="CE418" s="1005"/>
      <c r="CF418" s="1005"/>
      <c r="CG418" s="1005"/>
      <c r="CH418" s="1005"/>
      <c r="CI418" s="1005"/>
      <c r="CJ418" s="1005"/>
      <c r="CK418" s="1005"/>
      <c r="CL418" s="1005"/>
      <c r="CM418" s="1005"/>
      <c r="CN418" s="1005"/>
      <c r="CO418" s="1005"/>
      <c r="CP418" s="1005"/>
      <c r="CQ418" s="1005"/>
      <c r="CR418" s="1005"/>
      <c r="CS418" s="1005"/>
      <c r="CT418" s="1005"/>
      <c r="CU418" s="1005"/>
      <c r="CV418" s="1005"/>
      <c r="CW418" s="1005"/>
      <c r="CX418" s="1005"/>
      <c r="CY418" s="1005"/>
      <c r="CZ418" s="1005"/>
      <c r="DA418" s="1005"/>
      <c r="DB418" s="1005"/>
      <c r="DC418" s="1005"/>
      <c r="DD418" s="1005"/>
      <c r="DE418" s="1005"/>
      <c r="DF418" s="1005"/>
      <c r="DG418" s="1005"/>
      <c r="DH418" s="1005"/>
      <c r="DI418" s="1005"/>
      <c r="DJ418" s="1005"/>
      <c r="DK418" s="1005"/>
      <c r="DL418" s="1005"/>
      <c r="DM418" s="1005"/>
      <c r="DN418" s="1005"/>
      <c r="DO418" s="1005"/>
      <c r="DP418" s="1005"/>
      <c r="DQ418" s="1005"/>
      <c r="DR418" s="1005"/>
      <c r="DS418" s="1005"/>
      <c r="DT418" s="1005"/>
      <c r="DU418" s="1005"/>
      <c r="DV418" s="1005"/>
      <c r="DW418" s="1005"/>
      <c r="DX418" s="1005"/>
      <c r="DY418" s="1005"/>
      <c r="DZ418" s="1005"/>
      <c r="EA418" s="1005"/>
      <c r="EB418" s="1005"/>
      <c r="EC418" s="1005"/>
      <c r="ED418" s="1005"/>
      <c r="EE418" s="1005"/>
      <c r="EF418" s="1005"/>
      <c r="EG418" s="1005"/>
      <c r="EH418" s="1005"/>
      <c r="EI418" s="1005"/>
      <c r="EJ418" s="1005"/>
      <c r="EK418" s="1005"/>
      <c r="EL418" s="1005"/>
      <c r="EM418" s="1005"/>
      <c r="EN418" s="1005"/>
      <c r="EO418" s="1005"/>
      <c r="EP418" s="1005"/>
      <c r="EQ418" s="1005"/>
      <c r="ER418" s="1005"/>
      <c r="ES418" s="1005"/>
      <c r="ET418" s="1005"/>
      <c r="EU418" s="1005"/>
      <c r="EV418" s="1005"/>
      <c r="EW418" s="1005"/>
      <c r="EX418" s="1005"/>
      <c r="EY418" s="1005"/>
      <c r="EZ418" s="1005"/>
      <c r="FA418" s="1005"/>
      <c r="FB418" s="1005"/>
      <c r="FC418" s="1005"/>
      <c r="FD418" s="1005"/>
      <c r="FE418" s="1005"/>
      <c r="FF418" s="1005"/>
      <c r="FG418" s="1005"/>
      <c r="FH418" s="1005"/>
      <c r="FI418" s="1005"/>
      <c r="FJ418" s="1005"/>
      <c r="FK418" s="1005"/>
      <c r="FL418" s="1005"/>
      <c r="FM418" s="1005"/>
      <c r="FN418" s="1005"/>
      <c r="FO418" s="1005"/>
      <c r="FP418" s="1005"/>
      <c r="FQ418" s="1005"/>
      <c r="FR418" s="1005"/>
      <c r="FS418" s="1005"/>
      <c r="FT418" s="1005"/>
      <c r="FU418" s="1005"/>
      <c r="FV418" s="1005"/>
      <c r="FW418" s="1005"/>
      <c r="FX418" s="1005"/>
      <c r="FY418" s="1005"/>
      <c r="FZ418" s="1005"/>
      <c r="GA418" s="1005"/>
      <c r="GB418" s="1005"/>
      <c r="GC418" s="1005"/>
      <c r="GD418" s="1005"/>
      <c r="GE418" s="1005"/>
      <c r="GF418" s="1005"/>
      <c r="GG418" s="1005"/>
      <c r="GH418" s="1005"/>
      <c r="GI418" s="1005"/>
      <c r="GJ418" s="1005"/>
      <c r="GK418" s="1005"/>
      <c r="GL418" s="1005"/>
      <c r="GM418" s="1005"/>
      <c r="GN418" s="1005"/>
      <c r="GO418" s="1005"/>
      <c r="GP418" s="1005"/>
      <c r="GQ418" s="1005"/>
      <c r="GR418" s="1005"/>
      <c r="GS418" s="1005"/>
      <c r="GT418" s="1005"/>
      <c r="GU418" s="1005"/>
      <c r="GV418" s="1005"/>
      <c r="GW418" s="1005"/>
      <c r="GX418" s="1005"/>
      <c r="GY418" s="1005"/>
      <c r="GZ418" s="1005"/>
      <c r="HA418" s="1005"/>
      <c r="HB418" s="1005"/>
      <c r="HC418" s="1005"/>
      <c r="HD418" s="1005"/>
      <c r="HE418" s="1005"/>
      <c r="HF418" s="1005"/>
      <c r="HG418" s="1005"/>
      <c r="HH418" s="1005"/>
      <c r="HI418" s="1005"/>
      <c r="HJ418" s="1005"/>
      <c r="HK418" s="1005"/>
      <c r="HL418" s="1005"/>
      <c r="HM418" s="1005"/>
      <c r="HN418" s="1005"/>
      <c r="HO418" s="1005"/>
      <c r="HP418" s="1005"/>
      <c r="HQ418" s="1005"/>
      <c r="HR418" s="1005"/>
      <c r="HS418" s="1005"/>
      <c r="HT418" s="1005"/>
      <c r="HU418" s="1005"/>
      <c r="HV418" s="1005"/>
      <c r="HW418" s="1005"/>
      <c r="HX418" s="1005"/>
      <c r="HY418" s="1005"/>
      <c r="HZ418" s="1005"/>
      <c r="IA418" s="1005"/>
      <c r="IB418" s="1005"/>
      <c r="IC418" s="1005"/>
      <c r="ID418" s="1005"/>
      <c r="IE418" s="1005"/>
      <c r="IF418" s="1005"/>
      <c r="IG418" s="1005"/>
      <c r="IH418" s="1005"/>
      <c r="II418" s="1005"/>
      <c r="IJ418" s="1005"/>
      <c r="IK418" s="1005"/>
      <c r="IL418" s="1005"/>
      <c r="IM418" s="1005"/>
      <c r="IN418" s="1005"/>
      <c r="IO418" s="1005"/>
      <c r="IP418" s="1005"/>
      <c r="IQ418" s="1005"/>
      <c r="IR418" s="1005"/>
      <c r="IS418" s="1005"/>
      <c r="IT418" s="1005"/>
      <c r="IU418" s="1005"/>
      <c r="IV418" s="1005"/>
      <c r="IW418" s="1005"/>
    </row>
    <row r="419" spans="1:257" s="1290" customFormat="1" ht="12.75" customHeight="1">
      <c r="A419" s="1009"/>
      <c r="B419" s="1038"/>
      <c r="C419" s="1039"/>
      <c r="D419" s="1026"/>
      <c r="E419" s="1034"/>
      <c r="F419" s="1034"/>
      <c r="G419" s="1034"/>
      <c r="H419" s="1604"/>
      <c r="I419" s="1042"/>
      <c r="J419" s="1042"/>
      <c r="K419" s="1042"/>
      <c r="L419" s="1042"/>
      <c r="M419" s="1042"/>
      <c r="N419" s="1042"/>
      <c r="O419" s="1042"/>
      <c r="P419" s="1042"/>
      <c r="Q419" s="1042"/>
      <c r="R419" s="1042"/>
      <c r="S419" s="1042"/>
      <c r="T419" s="1042"/>
      <c r="U419" s="1042"/>
      <c r="V419" s="1042"/>
      <c r="W419" s="1042"/>
      <c r="X419" s="1042"/>
      <c r="Y419" s="1042"/>
      <c r="Z419" s="1042"/>
      <c r="AA419" s="1042"/>
      <c r="AB419" s="1042"/>
      <c r="AC419" s="1042"/>
      <c r="AD419" s="1042"/>
      <c r="AE419" s="1042"/>
      <c r="AF419" s="1042"/>
      <c r="AG419" s="1042"/>
      <c r="AH419" s="1605"/>
      <c r="AI419" s="1605"/>
      <c r="AJ419" s="1044"/>
      <c r="AK419" s="1047"/>
      <c r="AL419" s="1044"/>
      <c r="AM419" s="1009"/>
      <c r="AN419" s="1034"/>
      <c r="AO419" s="1938"/>
      <c r="AP419" s="1037"/>
      <c r="AQ419" s="1037"/>
      <c r="AR419" s="1005"/>
      <c r="AS419" s="1005"/>
      <c r="AT419" s="1005"/>
      <c r="AU419" s="1005"/>
      <c r="AV419" s="1005"/>
      <c r="AW419" s="1005"/>
      <c r="AX419" s="1005"/>
      <c r="AY419" s="1005"/>
      <c r="AZ419" s="1005"/>
      <c r="BA419" s="1005"/>
      <c r="BB419" s="1005"/>
      <c r="BC419" s="1005"/>
      <c r="BD419" s="1005"/>
      <c r="BE419" s="1005"/>
      <c r="BF419" s="1005"/>
      <c r="BG419" s="1005"/>
      <c r="BH419" s="1005"/>
      <c r="BI419" s="1005"/>
      <c r="BJ419" s="1005"/>
      <c r="BK419" s="1005"/>
      <c r="BL419" s="1005"/>
      <c r="BM419" s="1005"/>
      <c r="BN419" s="1005"/>
      <c r="BO419" s="1005"/>
      <c r="BP419" s="1005"/>
      <c r="BQ419" s="1005"/>
      <c r="BR419" s="1005"/>
      <c r="BS419" s="1005"/>
      <c r="BT419" s="1005"/>
      <c r="BU419" s="1005"/>
      <c r="BV419" s="1005"/>
      <c r="BW419" s="1005"/>
      <c r="BX419" s="1005"/>
      <c r="BY419" s="1005"/>
      <c r="BZ419" s="1005"/>
      <c r="CA419" s="1005"/>
      <c r="CB419" s="1005"/>
      <c r="CC419" s="1005"/>
      <c r="CD419" s="1005"/>
      <c r="CE419" s="1005"/>
      <c r="CF419" s="1005"/>
      <c r="CG419" s="1005"/>
      <c r="CH419" s="1005"/>
      <c r="CI419" s="1005"/>
      <c r="CJ419" s="1005"/>
      <c r="CK419" s="1005"/>
      <c r="CL419" s="1005"/>
      <c r="CM419" s="1005"/>
      <c r="CN419" s="1005"/>
      <c r="CO419" s="1005"/>
      <c r="CP419" s="1005"/>
      <c r="CQ419" s="1005"/>
      <c r="CR419" s="1005"/>
      <c r="CS419" s="1005"/>
      <c r="CT419" s="1005"/>
      <c r="CU419" s="1005"/>
      <c r="CV419" s="1005"/>
      <c r="CW419" s="1005"/>
      <c r="CX419" s="1005"/>
      <c r="CY419" s="1005"/>
      <c r="CZ419" s="1005"/>
      <c r="DA419" s="1005"/>
      <c r="DB419" s="1005"/>
      <c r="DC419" s="1005"/>
      <c r="DD419" s="1005"/>
      <c r="DE419" s="1005"/>
      <c r="DF419" s="1005"/>
      <c r="DG419" s="1005"/>
      <c r="DH419" s="1005"/>
      <c r="DI419" s="1005"/>
      <c r="DJ419" s="1005"/>
      <c r="DK419" s="1005"/>
      <c r="DL419" s="1005"/>
      <c r="DM419" s="1005"/>
      <c r="DN419" s="1005"/>
      <c r="DO419" s="1005"/>
      <c r="DP419" s="1005"/>
      <c r="DQ419" s="1005"/>
      <c r="DR419" s="1005"/>
      <c r="DS419" s="1005"/>
      <c r="DT419" s="1005"/>
      <c r="DU419" s="1005"/>
      <c r="DV419" s="1005"/>
      <c r="DW419" s="1005"/>
      <c r="DX419" s="1005"/>
      <c r="DY419" s="1005"/>
      <c r="DZ419" s="1005"/>
      <c r="EA419" s="1005"/>
      <c r="EB419" s="1005"/>
      <c r="EC419" s="1005"/>
      <c r="ED419" s="1005"/>
      <c r="EE419" s="1005"/>
      <c r="EF419" s="1005"/>
      <c r="EG419" s="1005"/>
      <c r="EH419" s="1005"/>
      <c r="EI419" s="1005"/>
      <c r="EJ419" s="1005"/>
      <c r="EK419" s="1005"/>
      <c r="EL419" s="1005"/>
      <c r="EM419" s="1005"/>
      <c r="EN419" s="1005"/>
      <c r="EO419" s="1005"/>
      <c r="EP419" s="1005"/>
      <c r="EQ419" s="1005"/>
      <c r="ER419" s="1005"/>
      <c r="ES419" s="1005"/>
      <c r="ET419" s="1005"/>
      <c r="EU419" s="1005"/>
      <c r="EV419" s="1005"/>
      <c r="EW419" s="1005"/>
      <c r="EX419" s="1005"/>
      <c r="EY419" s="1005"/>
      <c r="EZ419" s="1005"/>
      <c r="FA419" s="1005"/>
      <c r="FB419" s="1005"/>
      <c r="FC419" s="1005"/>
      <c r="FD419" s="1005"/>
      <c r="FE419" s="1005"/>
      <c r="FF419" s="1005"/>
      <c r="FG419" s="1005"/>
      <c r="FH419" s="1005"/>
      <c r="FI419" s="1005"/>
      <c r="FJ419" s="1005"/>
      <c r="FK419" s="1005"/>
      <c r="FL419" s="1005"/>
      <c r="FM419" s="1005"/>
      <c r="FN419" s="1005"/>
      <c r="FO419" s="1005"/>
      <c r="FP419" s="1005"/>
      <c r="FQ419" s="1005"/>
      <c r="FR419" s="1005"/>
      <c r="FS419" s="1005"/>
      <c r="FT419" s="1005"/>
      <c r="FU419" s="1005"/>
      <c r="FV419" s="1005"/>
      <c r="FW419" s="1005"/>
      <c r="FX419" s="1005"/>
      <c r="FY419" s="1005"/>
      <c r="FZ419" s="1005"/>
      <c r="GA419" s="1005"/>
      <c r="GB419" s="1005"/>
      <c r="GC419" s="1005"/>
      <c r="GD419" s="1005"/>
      <c r="GE419" s="1005"/>
      <c r="GF419" s="1005"/>
      <c r="GG419" s="1005"/>
      <c r="GH419" s="1005"/>
      <c r="GI419" s="1005"/>
      <c r="GJ419" s="1005"/>
      <c r="GK419" s="1005"/>
      <c r="GL419" s="1005"/>
      <c r="GM419" s="1005"/>
      <c r="GN419" s="1005"/>
      <c r="GO419" s="1005"/>
      <c r="GP419" s="1005"/>
      <c r="GQ419" s="1005"/>
      <c r="GR419" s="1005"/>
      <c r="GS419" s="1005"/>
      <c r="GT419" s="1005"/>
      <c r="GU419" s="1005"/>
      <c r="GV419" s="1005"/>
      <c r="GW419" s="1005"/>
      <c r="GX419" s="1005"/>
      <c r="GY419" s="1005"/>
      <c r="GZ419" s="1005"/>
      <c r="HA419" s="1005"/>
      <c r="HB419" s="1005"/>
      <c r="HC419" s="1005"/>
      <c r="HD419" s="1005"/>
      <c r="HE419" s="1005"/>
      <c r="HF419" s="1005"/>
      <c r="HG419" s="1005"/>
      <c r="HH419" s="1005"/>
      <c r="HI419" s="1005"/>
      <c r="HJ419" s="1005"/>
      <c r="HK419" s="1005"/>
      <c r="HL419" s="1005"/>
      <c r="HM419" s="1005"/>
      <c r="HN419" s="1005"/>
      <c r="HO419" s="1005"/>
      <c r="HP419" s="1005"/>
      <c r="HQ419" s="1005"/>
      <c r="HR419" s="1005"/>
      <c r="HS419" s="1005"/>
      <c r="HT419" s="1005"/>
      <c r="HU419" s="1005"/>
      <c r="HV419" s="1005"/>
      <c r="HW419" s="1005"/>
      <c r="HX419" s="1005"/>
      <c r="HY419" s="1005"/>
      <c r="HZ419" s="1005"/>
      <c r="IA419" s="1005"/>
      <c r="IB419" s="1005"/>
      <c r="IC419" s="1005"/>
      <c r="ID419" s="1005"/>
      <c r="IE419" s="1005"/>
      <c r="IF419" s="1005"/>
      <c r="IG419" s="1005"/>
      <c r="IH419" s="1005"/>
      <c r="II419" s="1005"/>
      <c r="IJ419" s="1005"/>
      <c r="IK419" s="1005"/>
      <c r="IL419" s="1005"/>
      <c r="IM419" s="1005"/>
      <c r="IN419" s="1005"/>
      <c r="IO419" s="1005"/>
      <c r="IP419" s="1005"/>
      <c r="IQ419" s="1005"/>
      <c r="IR419" s="1005"/>
      <c r="IS419" s="1005"/>
      <c r="IT419" s="1005"/>
      <c r="IU419" s="1005"/>
      <c r="IV419" s="1005"/>
      <c r="IW419" s="1005"/>
    </row>
    <row r="420" spans="1:257" s="1290" customFormat="1" ht="12.75" customHeight="1">
      <c r="A420" s="1271"/>
      <c r="B420" s="1038"/>
      <c r="C420" s="1009"/>
      <c r="D420" s="1009"/>
      <c r="E420" s="1009"/>
      <c r="F420" s="1009"/>
      <c r="G420" s="1009"/>
      <c r="H420" s="1009"/>
      <c r="I420" s="1009"/>
      <c r="J420" s="1009"/>
      <c r="K420" s="1009"/>
      <c r="L420" s="1009"/>
      <c r="M420" s="1009"/>
      <c r="N420" s="1009"/>
      <c r="O420" s="1009"/>
      <c r="P420" s="1009"/>
      <c r="Q420" s="1009"/>
      <c r="R420" s="1009"/>
      <c r="S420" s="1009"/>
      <c r="T420" s="1009"/>
      <c r="U420" s="1009"/>
      <c r="V420" s="1009"/>
      <c r="W420" s="1009"/>
      <c r="X420" s="1009"/>
      <c r="Y420" s="1009"/>
      <c r="Z420" s="1009"/>
      <c r="AA420" s="1009"/>
      <c r="AB420" s="1009"/>
      <c r="AC420" s="1009"/>
      <c r="AD420" s="1009"/>
      <c r="AE420" s="1009"/>
      <c r="AF420" s="1009"/>
      <c r="AG420" s="1009"/>
      <c r="AH420" s="1009"/>
      <c r="AI420" s="1009"/>
      <c r="AJ420" s="1009"/>
      <c r="AK420" s="1009"/>
      <c r="AL420" s="1009"/>
      <c r="AM420" s="1009"/>
      <c r="AN420" s="1034"/>
      <c r="AO420" s="1938"/>
      <c r="AP420" s="1037"/>
      <c r="AQ420" s="1037"/>
      <c r="AR420" s="1005"/>
      <c r="AS420" s="1005"/>
      <c r="AT420" s="1005"/>
      <c r="AU420" s="1005"/>
      <c r="AV420" s="1005"/>
      <c r="AW420" s="1005"/>
      <c r="AX420" s="1005"/>
      <c r="AY420" s="1005"/>
      <c r="AZ420" s="1005"/>
      <c r="BA420" s="1005"/>
      <c r="BB420" s="1005"/>
      <c r="BC420" s="1005"/>
      <c r="BD420" s="1005"/>
      <c r="BE420" s="1005"/>
      <c r="BF420" s="1005"/>
      <c r="BG420" s="1005"/>
      <c r="BH420" s="1005"/>
      <c r="BI420" s="1005"/>
      <c r="BJ420" s="1005"/>
      <c r="BK420" s="1005"/>
      <c r="BL420" s="1005"/>
      <c r="BM420" s="1005"/>
      <c r="BN420" s="1005"/>
      <c r="BO420" s="1005"/>
      <c r="BP420" s="1005"/>
      <c r="BQ420" s="1005"/>
      <c r="BR420" s="1005"/>
      <c r="BS420" s="1005"/>
      <c r="BT420" s="1005"/>
      <c r="BU420" s="1005"/>
      <c r="BV420" s="1005"/>
      <c r="BW420" s="1005"/>
      <c r="BX420" s="1005"/>
      <c r="BY420" s="1005"/>
      <c r="BZ420" s="1005"/>
      <c r="CA420" s="1005"/>
      <c r="CB420" s="1005"/>
      <c r="CC420" s="1005"/>
      <c r="CD420" s="1005"/>
      <c r="CE420" s="1005"/>
      <c r="CF420" s="1005"/>
      <c r="CG420" s="1005"/>
      <c r="CH420" s="1005"/>
      <c r="CI420" s="1005"/>
      <c r="CJ420" s="1005"/>
      <c r="CK420" s="1005"/>
      <c r="CL420" s="1005"/>
      <c r="CM420" s="1005"/>
      <c r="CN420" s="1005"/>
      <c r="CO420" s="1005"/>
      <c r="CP420" s="1005"/>
      <c r="CQ420" s="1005"/>
      <c r="CR420" s="1005"/>
      <c r="CS420" s="1005"/>
      <c r="CT420" s="1005"/>
      <c r="CU420" s="1005"/>
      <c r="CV420" s="1005"/>
      <c r="CW420" s="1005"/>
      <c r="CX420" s="1005"/>
      <c r="CY420" s="1005"/>
      <c r="CZ420" s="1005"/>
      <c r="DA420" s="1005"/>
      <c r="DB420" s="1005"/>
      <c r="DC420" s="1005"/>
      <c r="DD420" s="1005"/>
      <c r="DE420" s="1005"/>
      <c r="DF420" s="1005"/>
      <c r="DG420" s="1005"/>
      <c r="DH420" s="1005"/>
      <c r="DI420" s="1005"/>
      <c r="DJ420" s="1005"/>
      <c r="DK420" s="1005"/>
      <c r="DL420" s="1005"/>
      <c r="DM420" s="1005"/>
      <c r="DN420" s="1005"/>
      <c r="DO420" s="1005"/>
      <c r="DP420" s="1005"/>
      <c r="DQ420" s="1005"/>
      <c r="DR420" s="1005"/>
      <c r="DS420" s="1005"/>
      <c r="DT420" s="1005"/>
      <c r="DU420" s="1005"/>
      <c r="DV420" s="1005"/>
      <c r="DW420" s="1005"/>
      <c r="DX420" s="1005"/>
      <c r="DY420" s="1005"/>
      <c r="DZ420" s="1005"/>
      <c r="EA420" s="1005"/>
      <c r="EB420" s="1005"/>
      <c r="EC420" s="1005"/>
      <c r="ED420" s="1005"/>
      <c r="EE420" s="1005"/>
      <c r="EF420" s="1005"/>
      <c r="EG420" s="1005"/>
      <c r="EH420" s="1005"/>
      <c r="EI420" s="1005"/>
      <c r="EJ420" s="1005"/>
      <c r="EK420" s="1005"/>
      <c r="EL420" s="1005"/>
      <c r="EM420" s="1005"/>
      <c r="EN420" s="1005"/>
      <c r="EO420" s="1005"/>
      <c r="EP420" s="1005"/>
      <c r="EQ420" s="1005"/>
      <c r="ER420" s="1005"/>
      <c r="ES420" s="1005"/>
      <c r="ET420" s="1005"/>
      <c r="EU420" s="1005"/>
      <c r="EV420" s="1005"/>
      <c r="EW420" s="1005"/>
      <c r="EX420" s="1005"/>
      <c r="EY420" s="1005"/>
      <c r="EZ420" s="1005"/>
      <c r="FA420" s="1005"/>
      <c r="FB420" s="1005"/>
      <c r="FC420" s="1005"/>
      <c r="FD420" s="1005"/>
      <c r="FE420" s="1005"/>
      <c r="FF420" s="1005"/>
      <c r="FG420" s="1005"/>
      <c r="FH420" s="1005"/>
      <c r="FI420" s="1005"/>
      <c r="FJ420" s="1005"/>
      <c r="FK420" s="1005"/>
      <c r="FL420" s="1005"/>
      <c r="FM420" s="1005"/>
      <c r="FN420" s="1005"/>
      <c r="FO420" s="1005"/>
      <c r="FP420" s="1005"/>
      <c r="FQ420" s="1005"/>
      <c r="FR420" s="1005"/>
      <c r="FS420" s="1005"/>
      <c r="FT420" s="1005"/>
      <c r="FU420" s="1005"/>
      <c r="FV420" s="1005"/>
      <c r="FW420" s="1005"/>
      <c r="FX420" s="1005"/>
      <c r="FY420" s="1005"/>
      <c r="FZ420" s="1005"/>
      <c r="GA420" s="1005"/>
      <c r="GB420" s="1005"/>
      <c r="GC420" s="1005"/>
      <c r="GD420" s="1005"/>
      <c r="GE420" s="1005"/>
      <c r="GF420" s="1005"/>
      <c r="GG420" s="1005"/>
      <c r="GH420" s="1005"/>
      <c r="GI420" s="1005"/>
      <c r="GJ420" s="1005"/>
      <c r="GK420" s="1005"/>
      <c r="GL420" s="1005"/>
      <c r="GM420" s="1005"/>
      <c r="GN420" s="1005"/>
      <c r="GO420" s="1005"/>
      <c r="GP420" s="1005"/>
      <c r="GQ420" s="1005"/>
      <c r="GR420" s="1005"/>
      <c r="GS420" s="1005"/>
      <c r="GT420" s="1005"/>
      <c r="GU420" s="1005"/>
      <c r="GV420" s="1005"/>
      <c r="GW420" s="1005"/>
      <c r="GX420" s="1005"/>
      <c r="GY420" s="1005"/>
      <c r="GZ420" s="1005"/>
      <c r="HA420" s="1005"/>
      <c r="HB420" s="1005"/>
      <c r="HC420" s="1005"/>
      <c r="HD420" s="1005"/>
      <c r="HE420" s="1005"/>
      <c r="HF420" s="1005"/>
      <c r="HG420" s="1005"/>
      <c r="HH420" s="1005"/>
      <c r="HI420" s="1005"/>
      <c r="HJ420" s="1005"/>
      <c r="HK420" s="1005"/>
      <c r="HL420" s="1005"/>
      <c r="HM420" s="1005"/>
      <c r="HN420" s="1005"/>
      <c r="HO420" s="1005"/>
      <c r="HP420" s="1005"/>
      <c r="HQ420" s="1005"/>
      <c r="HR420" s="1005"/>
      <c r="HS420" s="1005"/>
      <c r="HT420" s="1005"/>
      <c r="HU420" s="1005"/>
      <c r="HV420" s="1005"/>
      <c r="HW420" s="1005"/>
      <c r="HX420" s="1005"/>
      <c r="HY420" s="1005"/>
      <c r="HZ420" s="1005"/>
      <c r="IA420" s="1005"/>
      <c r="IB420" s="1005"/>
      <c r="IC420" s="1005"/>
      <c r="ID420" s="1005"/>
      <c r="IE420" s="1005"/>
      <c r="IF420" s="1005"/>
      <c r="IG420" s="1005"/>
      <c r="IH420" s="1005"/>
      <c r="II420" s="1005"/>
      <c r="IJ420" s="1005"/>
      <c r="IK420" s="1005"/>
      <c r="IL420" s="1005"/>
      <c r="IM420" s="1005"/>
      <c r="IN420" s="1005"/>
      <c r="IO420" s="1005"/>
      <c r="IP420" s="1005"/>
      <c r="IQ420" s="1005"/>
      <c r="IR420" s="1005"/>
      <c r="IS420" s="1005"/>
      <c r="IT420" s="1005"/>
      <c r="IU420" s="1005"/>
      <c r="IV420" s="1005"/>
      <c r="IW420" s="1005"/>
    </row>
    <row r="421" spans="1:257" s="1290" customFormat="1" ht="12.75" hidden="1" customHeight="1">
      <c r="A421" s="1271"/>
      <c r="B421" s="1271" t="s">
        <v>1109</v>
      </c>
      <c r="C421" s="1272"/>
      <c r="D421" s="1273"/>
      <c r="E421" s="1274"/>
      <c r="F421" s="1274"/>
      <c r="G421" s="1274"/>
      <c r="H421" s="1275"/>
      <c r="I421" s="385">
        <f>fx!I57</f>
        <v>1</v>
      </c>
      <c r="J421" s="385">
        <f>fx!J57</f>
        <v>1</v>
      </c>
      <c r="K421" s="385">
        <f>fx!K57</f>
        <v>1</v>
      </c>
      <c r="L421" s="385">
        <f>fx!L57</f>
        <v>1</v>
      </c>
      <c r="M421" s="385">
        <f>fx!M57</f>
        <v>1</v>
      </c>
      <c r="N421" s="385">
        <f>fx!N57</f>
        <v>1</v>
      </c>
      <c r="O421" s="385">
        <f>fx!O57</f>
        <v>1</v>
      </c>
      <c r="P421" s="385">
        <f>fx!P57</f>
        <v>1</v>
      </c>
      <c r="Q421" s="385">
        <f>fx!Q57</f>
        <v>1</v>
      </c>
      <c r="R421" s="385">
        <f>fx!R57</f>
        <v>1</v>
      </c>
      <c r="S421" s="385">
        <f>fx!S57</f>
        <v>1</v>
      </c>
      <c r="T421" s="385">
        <f>fx!T57</f>
        <v>1</v>
      </c>
      <c r="U421" s="376"/>
      <c r="V421" s="376"/>
      <c r="W421" s="376"/>
      <c r="X421" s="376"/>
      <c r="Y421" s="376"/>
      <c r="Z421" s="376"/>
      <c r="AA421" s="376"/>
      <c r="AB421" s="376"/>
      <c r="AC421" s="376"/>
      <c r="AD421" s="376"/>
      <c r="AE421" s="376"/>
      <c r="AF421" s="376"/>
      <c r="AG421" s="376"/>
      <c r="AH421" s="1276"/>
      <c r="AI421" s="1276"/>
      <c r="AJ421" s="773"/>
      <c r="AK421" s="774"/>
      <c r="AL421" s="773"/>
      <c r="AM421" s="1277"/>
      <c r="AN421" s="1034"/>
      <c r="AO421" s="1938"/>
      <c r="AP421" s="1037"/>
      <c r="AQ421" s="1037"/>
      <c r="AR421" s="1005"/>
      <c r="AS421" s="1005"/>
      <c r="AT421" s="1005"/>
      <c r="AU421" s="1005"/>
      <c r="AV421" s="1005"/>
      <c r="AW421" s="1005"/>
      <c r="AX421" s="1005"/>
      <c r="AY421" s="1005"/>
      <c r="AZ421" s="1005"/>
      <c r="BA421" s="1005"/>
      <c r="BB421" s="1005"/>
      <c r="BC421" s="1005"/>
      <c r="BD421" s="1005"/>
      <c r="BE421" s="1005"/>
      <c r="BF421" s="1005"/>
      <c r="BG421" s="1005"/>
      <c r="BH421" s="1005"/>
      <c r="BI421" s="1005"/>
      <c r="BJ421" s="1005"/>
      <c r="BK421" s="1005"/>
      <c r="BL421" s="1005"/>
      <c r="BM421" s="1005"/>
      <c r="BN421" s="1005"/>
      <c r="BO421" s="1005"/>
      <c r="BP421" s="1005"/>
      <c r="BQ421" s="1005"/>
      <c r="BR421" s="1005"/>
      <c r="BS421" s="1005"/>
      <c r="BT421" s="1005"/>
      <c r="BU421" s="1005"/>
      <c r="BV421" s="1005"/>
      <c r="BW421" s="1005"/>
      <c r="BX421" s="1005"/>
      <c r="BY421" s="1005"/>
      <c r="BZ421" s="1005"/>
      <c r="CA421" s="1005"/>
      <c r="CB421" s="1005"/>
      <c r="CC421" s="1005"/>
      <c r="CD421" s="1005"/>
      <c r="CE421" s="1005"/>
      <c r="CF421" s="1005"/>
      <c r="CG421" s="1005"/>
      <c r="CH421" s="1005"/>
      <c r="CI421" s="1005"/>
      <c r="CJ421" s="1005"/>
      <c r="CK421" s="1005"/>
      <c r="CL421" s="1005"/>
      <c r="CM421" s="1005"/>
      <c r="CN421" s="1005"/>
      <c r="CO421" s="1005"/>
      <c r="CP421" s="1005"/>
      <c r="CQ421" s="1005"/>
      <c r="CR421" s="1005"/>
      <c r="CS421" s="1005"/>
      <c r="CT421" s="1005"/>
      <c r="CU421" s="1005"/>
      <c r="CV421" s="1005"/>
      <c r="CW421" s="1005"/>
      <c r="CX421" s="1005"/>
      <c r="CY421" s="1005"/>
      <c r="CZ421" s="1005"/>
      <c r="DA421" s="1005"/>
      <c r="DB421" s="1005"/>
      <c r="DC421" s="1005"/>
      <c r="DD421" s="1005"/>
      <c r="DE421" s="1005"/>
      <c r="DF421" s="1005"/>
      <c r="DG421" s="1005"/>
      <c r="DH421" s="1005"/>
      <c r="DI421" s="1005"/>
      <c r="DJ421" s="1005"/>
      <c r="DK421" s="1005"/>
      <c r="DL421" s="1005"/>
      <c r="DM421" s="1005"/>
      <c r="DN421" s="1005"/>
      <c r="DO421" s="1005"/>
      <c r="DP421" s="1005"/>
      <c r="DQ421" s="1005"/>
      <c r="DR421" s="1005"/>
      <c r="DS421" s="1005"/>
      <c r="DT421" s="1005"/>
      <c r="DU421" s="1005"/>
      <c r="DV421" s="1005"/>
      <c r="DW421" s="1005"/>
      <c r="DX421" s="1005"/>
      <c r="DY421" s="1005"/>
      <c r="DZ421" s="1005"/>
      <c r="EA421" s="1005"/>
      <c r="EB421" s="1005"/>
      <c r="EC421" s="1005"/>
      <c r="ED421" s="1005"/>
      <c r="EE421" s="1005"/>
      <c r="EF421" s="1005"/>
      <c r="EG421" s="1005"/>
      <c r="EH421" s="1005"/>
      <c r="EI421" s="1005"/>
      <c r="EJ421" s="1005"/>
      <c r="EK421" s="1005"/>
      <c r="EL421" s="1005"/>
      <c r="EM421" s="1005"/>
      <c r="EN421" s="1005"/>
      <c r="EO421" s="1005"/>
      <c r="EP421" s="1005"/>
      <c r="EQ421" s="1005"/>
      <c r="ER421" s="1005"/>
      <c r="ES421" s="1005"/>
      <c r="ET421" s="1005"/>
      <c r="EU421" s="1005"/>
      <c r="EV421" s="1005"/>
      <c r="EW421" s="1005"/>
      <c r="EX421" s="1005"/>
      <c r="EY421" s="1005"/>
      <c r="EZ421" s="1005"/>
      <c r="FA421" s="1005"/>
      <c r="FB421" s="1005"/>
      <c r="FC421" s="1005"/>
      <c r="FD421" s="1005"/>
      <c r="FE421" s="1005"/>
      <c r="FF421" s="1005"/>
      <c r="FG421" s="1005"/>
      <c r="FH421" s="1005"/>
      <c r="FI421" s="1005"/>
      <c r="FJ421" s="1005"/>
      <c r="FK421" s="1005"/>
      <c r="FL421" s="1005"/>
      <c r="FM421" s="1005"/>
      <c r="FN421" s="1005"/>
      <c r="FO421" s="1005"/>
      <c r="FP421" s="1005"/>
      <c r="FQ421" s="1005"/>
      <c r="FR421" s="1005"/>
      <c r="FS421" s="1005"/>
      <c r="FT421" s="1005"/>
      <c r="FU421" s="1005"/>
      <c r="FV421" s="1005"/>
      <c r="FW421" s="1005"/>
      <c r="FX421" s="1005"/>
      <c r="FY421" s="1005"/>
      <c r="FZ421" s="1005"/>
      <c r="GA421" s="1005"/>
      <c r="GB421" s="1005"/>
      <c r="GC421" s="1005"/>
      <c r="GD421" s="1005"/>
      <c r="GE421" s="1005"/>
      <c r="GF421" s="1005"/>
      <c r="GG421" s="1005"/>
      <c r="GH421" s="1005"/>
      <c r="GI421" s="1005"/>
      <c r="GJ421" s="1005"/>
      <c r="GK421" s="1005"/>
      <c r="GL421" s="1005"/>
      <c r="GM421" s="1005"/>
      <c r="GN421" s="1005"/>
      <c r="GO421" s="1005"/>
      <c r="GP421" s="1005"/>
      <c r="GQ421" s="1005"/>
      <c r="GR421" s="1005"/>
      <c r="GS421" s="1005"/>
      <c r="GT421" s="1005"/>
      <c r="GU421" s="1005"/>
      <c r="GV421" s="1005"/>
      <c r="GW421" s="1005"/>
      <c r="GX421" s="1005"/>
      <c r="GY421" s="1005"/>
      <c r="GZ421" s="1005"/>
      <c r="HA421" s="1005"/>
      <c r="HB421" s="1005"/>
      <c r="HC421" s="1005"/>
      <c r="HD421" s="1005"/>
      <c r="HE421" s="1005"/>
      <c r="HF421" s="1005"/>
      <c r="HG421" s="1005"/>
      <c r="HH421" s="1005"/>
      <c r="HI421" s="1005"/>
      <c r="HJ421" s="1005"/>
      <c r="HK421" s="1005"/>
      <c r="HL421" s="1005"/>
      <c r="HM421" s="1005"/>
      <c r="HN421" s="1005"/>
      <c r="HO421" s="1005"/>
      <c r="HP421" s="1005"/>
      <c r="HQ421" s="1005"/>
      <c r="HR421" s="1005"/>
      <c r="HS421" s="1005"/>
      <c r="HT421" s="1005"/>
      <c r="HU421" s="1005"/>
      <c r="HV421" s="1005"/>
      <c r="HW421" s="1005"/>
      <c r="HX421" s="1005"/>
      <c r="HY421" s="1005"/>
      <c r="HZ421" s="1005"/>
      <c r="IA421" s="1005"/>
      <c r="IB421" s="1005"/>
      <c r="IC421" s="1005"/>
      <c r="ID421" s="1005"/>
      <c r="IE421" s="1005"/>
      <c r="IF421" s="1005"/>
      <c r="IG421" s="1005"/>
      <c r="IH421" s="1005"/>
      <c r="II421" s="1005"/>
      <c r="IJ421" s="1005"/>
      <c r="IK421" s="1005"/>
      <c r="IL421" s="1005"/>
      <c r="IM421" s="1005"/>
      <c r="IN421" s="1005"/>
      <c r="IO421" s="1005"/>
      <c r="IP421" s="1005"/>
      <c r="IQ421" s="1005"/>
      <c r="IR421" s="1005"/>
      <c r="IS421" s="1005"/>
      <c r="IT421" s="1005"/>
      <c r="IU421" s="1005"/>
      <c r="IV421" s="1005"/>
      <c r="IW421" s="1005"/>
    </row>
    <row r="422" spans="1:257" s="1290" customFormat="1" ht="12.75" hidden="1" customHeight="1">
      <c r="A422" s="1271"/>
      <c r="B422" s="1311" t="s">
        <v>192</v>
      </c>
      <c r="C422" s="1312">
        <f>IF(P4="12 månader eller mindre",1,2)</f>
        <v>1</v>
      </c>
      <c r="D422" s="115"/>
      <c r="E422" s="115"/>
      <c r="F422" s="115"/>
      <c r="G422" s="1313" t="s">
        <v>186</v>
      </c>
      <c r="H422" s="1313"/>
      <c r="I422" s="376"/>
      <c r="J422" s="376"/>
      <c r="K422" s="376"/>
      <c r="L422" s="376"/>
      <c r="M422" s="376"/>
      <c r="N422" s="376"/>
      <c r="O422" s="376"/>
      <c r="P422" s="376"/>
      <c r="Q422" s="376"/>
      <c r="R422" s="376"/>
      <c r="S422" s="376"/>
      <c r="T422" s="376"/>
      <c r="U422" s="385">
        <f>$C422</f>
        <v>1</v>
      </c>
      <c r="V422" s="385">
        <f t="shared" ref="V422:AM422" si="30">$C422</f>
        <v>1</v>
      </c>
      <c r="W422" s="385">
        <f t="shared" si="30"/>
        <v>1</v>
      </c>
      <c r="X422" s="385">
        <f t="shared" si="30"/>
        <v>1</v>
      </c>
      <c r="Y422" s="385">
        <f t="shared" si="30"/>
        <v>1</v>
      </c>
      <c r="Z422" s="385">
        <f t="shared" si="30"/>
        <v>1</v>
      </c>
      <c r="AA422" s="385">
        <f t="shared" si="30"/>
        <v>1</v>
      </c>
      <c r="AB422" s="385">
        <f t="shared" si="30"/>
        <v>1</v>
      </c>
      <c r="AC422" s="385">
        <f t="shared" si="30"/>
        <v>1</v>
      </c>
      <c r="AD422" s="385">
        <f t="shared" si="30"/>
        <v>1</v>
      </c>
      <c r="AE422" s="385">
        <f t="shared" si="30"/>
        <v>1</v>
      </c>
      <c r="AF422" s="385">
        <f t="shared" si="30"/>
        <v>1</v>
      </c>
      <c r="AG422" s="385"/>
      <c r="AH422" s="385">
        <f t="shared" si="30"/>
        <v>1</v>
      </c>
      <c r="AI422" s="385"/>
      <c r="AJ422" s="385">
        <f t="shared" si="30"/>
        <v>1</v>
      </c>
      <c r="AK422" s="385">
        <f t="shared" si="30"/>
        <v>1</v>
      </c>
      <c r="AL422" s="385">
        <f t="shared" si="30"/>
        <v>1</v>
      </c>
      <c r="AM422" s="376">
        <f t="shared" si="30"/>
        <v>1</v>
      </c>
      <c r="AN422" s="1034"/>
      <c r="AO422" s="1938"/>
      <c r="AP422" s="1037"/>
      <c r="AQ422" s="1037"/>
      <c r="AR422" s="1005"/>
      <c r="AS422" s="1005"/>
      <c r="AT422" s="1005"/>
      <c r="AU422" s="1005"/>
      <c r="AV422" s="1005"/>
      <c r="AW422" s="1005"/>
      <c r="AX422" s="1005"/>
      <c r="AY422" s="1005"/>
      <c r="AZ422" s="1005"/>
      <c r="BA422" s="1005"/>
      <c r="BB422" s="1005"/>
      <c r="BC422" s="1005"/>
      <c r="BD422" s="1005"/>
      <c r="BE422" s="1005"/>
      <c r="BF422" s="1005"/>
      <c r="BG422" s="1005"/>
      <c r="BH422" s="1005"/>
      <c r="BI422" s="1005"/>
      <c r="BJ422" s="1005"/>
      <c r="BK422" s="1005"/>
      <c r="BL422" s="1005"/>
      <c r="BM422" s="1005"/>
      <c r="BN422" s="1005"/>
      <c r="BO422" s="1005"/>
      <c r="BP422" s="1005"/>
      <c r="BQ422" s="1005"/>
      <c r="BR422" s="1005"/>
      <c r="BS422" s="1005"/>
      <c r="BT422" s="1005"/>
      <c r="BU422" s="1005"/>
      <c r="BV422" s="1005"/>
      <c r="BW422" s="1005"/>
      <c r="BX422" s="1005"/>
      <c r="BY422" s="1005"/>
      <c r="BZ422" s="1005"/>
      <c r="CA422" s="1005"/>
      <c r="CB422" s="1005"/>
      <c r="CC422" s="1005"/>
      <c r="CD422" s="1005"/>
      <c r="CE422" s="1005"/>
      <c r="CF422" s="1005"/>
      <c r="CG422" s="1005"/>
      <c r="CH422" s="1005"/>
      <c r="CI422" s="1005"/>
      <c r="CJ422" s="1005"/>
      <c r="CK422" s="1005"/>
      <c r="CL422" s="1005"/>
      <c r="CM422" s="1005"/>
      <c r="CN422" s="1005"/>
      <c r="CO422" s="1005"/>
      <c r="CP422" s="1005"/>
      <c r="CQ422" s="1005"/>
      <c r="CR422" s="1005"/>
      <c r="CS422" s="1005"/>
      <c r="CT422" s="1005"/>
      <c r="CU422" s="1005"/>
      <c r="CV422" s="1005"/>
      <c r="CW422" s="1005"/>
      <c r="CX422" s="1005"/>
      <c r="CY422" s="1005"/>
      <c r="CZ422" s="1005"/>
      <c r="DA422" s="1005"/>
      <c r="DB422" s="1005"/>
      <c r="DC422" s="1005"/>
      <c r="DD422" s="1005"/>
      <c r="DE422" s="1005"/>
      <c r="DF422" s="1005"/>
      <c r="DG422" s="1005"/>
      <c r="DH422" s="1005"/>
      <c r="DI422" s="1005"/>
      <c r="DJ422" s="1005"/>
      <c r="DK422" s="1005"/>
      <c r="DL422" s="1005"/>
      <c r="DM422" s="1005"/>
      <c r="DN422" s="1005"/>
      <c r="DO422" s="1005"/>
      <c r="DP422" s="1005"/>
      <c r="DQ422" s="1005"/>
      <c r="DR422" s="1005"/>
      <c r="DS422" s="1005"/>
      <c r="DT422" s="1005"/>
      <c r="DU422" s="1005"/>
      <c r="DV422" s="1005"/>
      <c r="DW422" s="1005"/>
      <c r="DX422" s="1005"/>
      <c r="DY422" s="1005"/>
      <c r="DZ422" s="1005"/>
      <c r="EA422" s="1005"/>
      <c r="EB422" s="1005"/>
      <c r="EC422" s="1005"/>
      <c r="ED422" s="1005"/>
      <c r="EE422" s="1005"/>
      <c r="EF422" s="1005"/>
      <c r="EG422" s="1005"/>
      <c r="EH422" s="1005"/>
      <c r="EI422" s="1005"/>
      <c r="EJ422" s="1005"/>
      <c r="EK422" s="1005"/>
      <c r="EL422" s="1005"/>
      <c r="EM422" s="1005"/>
      <c r="EN422" s="1005"/>
      <c r="EO422" s="1005"/>
      <c r="EP422" s="1005"/>
      <c r="EQ422" s="1005"/>
      <c r="ER422" s="1005"/>
      <c r="ES422" s="1005"/>
      <c r="ET422" s="1005"/>
      <c r="EU422" s="1005"/>
      <c r="EV422" s="1005"/>
      <c r="EW422" s="1005"/>
      <c r="EX422" s="1005"/>
      <c r="EY422" s="1005"/>
      <c r="EZ422" s="1005"/>
      <c r="FA422" s="1005"/>
      <c r="FB422" s="1005"/>
      <c r="FC422" s="1005"/>
      <c r="FD422" s="1005"/>
      <c r="FE422" s="1005"/>
      <c r="FF422" s="1005"/>
      <c r="FG422" s="1005"/>
      <c r="FH422" s="1005"/>
      <c r="FI422" s="1005"/>
      <c r="FJ422" s="1005"/>
      <c r="FK422" s="1005"/>
      <c r="FL422" s="1005"/>
      <c r="FM422" s="1005"/>
      <c r="FN422" s="1005"/>
      <c r="FO422" s="1005"/>
      <c r="FP422" s="1005"/>
      <c r="FQ422" s="1005"/>
      <c r="FR422" s="1005"/>
      <c r="FS422" s="1005"/>
      <c r="FT422" s="1005"/>
      <c r="FU422" s="1005"/>
      <c r="FV422" s="1005"/>
      <c r="FW422" s="1005"/>
      <c r="FX422" s="1005"/>
      <c r="FY422" s="1005"/>
      <c r="FZ422" s="1005"/>
      <c r="GA422" s="1005"/>
      <c r="GB422" s="1005"/>
      <c r="GC422" s="1005"/>
      <c r="GD422" s="1005"/>
      <c r="GE422" s="1005"/>
      <c r="GF422" s="1005"/>
      <c r="GG422" s="1005"/>
      <c r="GH422" s="1005"/>
      <c r="GI422" s="1005"/>
      <c r="GJ422" s="1005"/>
      <c r="GK422" s="1005"/>
      <c r="GL422" s="1005"/>
      <c r="GM422" s="1005"/>
      <c r="GN422" s="1005"/>
      <c r="GO422" s="1005"/>
      <c r="GP422" s="1005"/>
      <c r="GQ422" s="1005"/>
      <c r="GR422" s="1005"/>
      <c r="GS422" s="1005"/>
      <c r="GT422" s="1005"/>
      <c r="GU422" s="1005"/>
      <c r="GV422" s="1005"/>
      <c r="GW422" s="1005"/>
      <c r="GX422" s="1005"/>
      <c r="GY422" s="1005"/>
      <c r="GZ422" s="1005"/>
      <c r="HA422" s="1005"/>
      <c r="HB422" s="1005"/>
      <c r="HC422" s="1005"/>
      <c r="HD422" s="1005"/>
      <c r="HE422" s="1005"/>
      <c r="HF422" s="1005"/>
      <c r="HG422" s="1005"/>
      <c r="HH422" s="1005"/>
      <c r="HI422" s="1005"/>
      <c r="HJ422" s="1005"/>
      <c r="HK422" s="1005"/>
      <c r="HL422" s="1005"/>
      <c r="HM422" s="1005"/>
      <c r="HN422" s="1005"/>
      <c r="HO422" s="1005"/>
      <c r="HP422" s="1005"/>
      <c r="HQ422" s="1005"/>
      <c r="HR422" s="1005"/>
      <c r="HS422" s="1005"/>
      <c r="HT422" s="1005"/>
      <c r="HU422" s="1005"/>
      <c r="HV422" s="1005"/>
      <c r="HW422" s="1005"/>
      <c r="HX422" s="1005"/>
      <c r="HY422" s="1005"/>
      <c r="HZ422" s="1005"/>
      <c r="IA422" s="1005"/>
      <c r="IB422" s="1005"/>
      <c r="IC422" s="1005"/>
      <c r="ID422" s="1005"/>
      <c r="IE422" s="1005"/>
      <c r="IF422" s="1005"/>
      <c r="IG422" s="1005"/>
      <c r="IH422" s="1005"/>
      <c r="II422" s="1005"/>
      <c r="IJ422" s="1005"/>
      <c r="IK422" s="1005"/>
      <c r="IL422" s="1005"/>
      <c r="IM422" s="1005"/>
      <c r="IN422" s="1005"/>
      <c r="IO422" s="1005"/>
      <c r="IP422" s="1005"/>
      <c r="IQ422" s="1005"/>
      <c r="IR422" s="1005"/>
      <c r="IS422" s="1005"/>
      <c r="IT422" s="1005"/>
      <c r="IU422" s="1005"/>
      <c r="IV422" s="1005"/>
      <c r="IW422" s="1005"/>
    </row>
    <row r="423" spans="1:257" s="1290" customFormat="1" ht="12.75" hidden="1" customHeight="1">
      <c r="A423" s="1271"/>
      <c r="B423" s="1311" t="s">
        <v>222</v>
      </c>
      <c r="C423" s="1312">
        <f>IF(C4="När faktura skickas / kommer",1,IF(C4="Vid betalning (Kontantmetoden)",2))</f>
        <v>1</v>
      </c>
      <c r="D423" s="115"/>
      <c r="E423" s="1629"/>
      <c r="F423" s="115"/>
      <c r="G423" s="1317" t="s">
        <v>954</v>
      </c>
      <c r="H423" s="1317">
        <v>4</v>
      </c>
      <c r="I423" s="376"/>
      <c r="J423" s="376"/>
      <c r="K423" s="376"/>
      <c r="L423" s="376"/>
      <c r="M423" s="376"/>
      <c r="N423" s="376"/>
      <c r="O423" s="376"/>
      <c r="P423" s="376"/>
      <c r="Q423" s="376"/>
      <c r="R423" s="376"/>
      <c r="S423" s="376"/>
      <c r="T423" s="376"/>
      <c r="U423" s="376"/>
      <c r="V423" s="376"/>
      <c r="W423" s="376"/>
      <c r="X423" s="376"/>
      <c r="Y423" s="376"/>
      <c r="Z423" s="376"/>
      <c r="AA423" s="376"/>
      <c r="AB423" s="376"/>
      <c r="AC423" s="376"/>
      <c r="AD423" s="376"/>
      <c r="AE423" s="376"/>
      <c r="AF423" s="376"/>
      <c r="AG423" s="376"/>
      <c r="AH423" s="1276"/>
      <c r="AI423" s="1276"/>
      <c r="AJ423" s="773"/>
      <c r="AK423" s="774"/>
      <c r="AL423" s="773"/>
      <c r="AM423" s="1277"/>
      <c r="AN423" s="1034"/>
      <c r="AO423" s="1938"/>
      <c r="AP423" s="1037"/>
      <c r="AQ423" s="1037"/>
      <c r="AR423" s="1005"/>
      <c r="AS423" s="1005"/>
      <c r="AT423" s="1005"/>
      <c r="AU423" s="1005"/>
      <c r="AV423" s="1005"/>
      <c r="AW423" s="1005"/>
      <c r="AX423" s="1005"/>
      <c r="AY423" s="1005"/>
      <c r="AZ423" s="1005"/>
      <c r="BA423" s="1005"/>
      <c r="BB423" s="1005"/>
      <c r="BC423" s="1005"/>
      <c r="BD423" s="1005"/>
      <c r="BE423" s="1005"/>
      <c r="BF423" s="1005"/>
      <c r="BG423" s="1005"/>
      <c r="BH423" s="1005"/>
      <c r="BI423" s="1005"/>
      <c r="BJ423" s="1005"/>
      <c r="BK423" s="1005"/>
      <c r="BL423" s="1005"/>
      <c r="BM423" s="1005"/>
      <c r="BN423" s="1005"/>
      <c r="BO423" s="1005"/>
      <c r="BP423" s="1005"/>
      <c r="BQ423" s="1005"/>
      <c r="BR423" s="1005"/>
      <c r="BS423" s="1005"/>
      <c r="BT423" s="1005"/>
      <c r="BU423" s="1005"/>
      <c r="BV423" s="1005"/>
      <c r="BW423" s="1005"/>
      <c r="BX423" s="1005"/>
      <c r="BY423" s="1005"/>
      <c r="BZ423" s="1005"/>
      <c r="CA423" s="1005"/>
      <c r="CB423" s="1005"/>
      <c r="CC423" s="1005"/>
      <c r="CD423" s="1005"/>
      <c r="CE423" s="1005"/>
      <c r="CF423" s="1005"/>
      <c r="CG423" s="1005"/>
      <c r="CH423" s="1005"/>
      <c r="CI423" s="1005"/>
      <c r="CJ423" s="1005"/>
      <c r="CK423" s="1005"/>
      <c r="CL423" s="1005"/>
      <c r="CM423" s="1005"/>
      <c r="CN423" s="1005"/>
      <c r="CO423" s="1005"/>
      <c r="CP423" s="1005"/>
      <c r="CQ423" s="1005"/>
      <c r="CR423" s="1005"/>
      <c r="CS423" s="1005"/>
      <c r="CT423" s="1005"/>
      <c r="CU423" s="1005"/>
      <c r="CV423" s="1005"/>
      <c r="CW423" s="1005"/>
      <c r="CX423" s="1005"/>
      <c r="CY423" s="1005"/>
      <c r="CZ423" s="1005"/>
      <c r="DA423" s="1005"/>
      <c r="DB423" s="1005"/>
      <c r="DC423" s="1005"/>
      <c r="DD423" s="1005"/>
      <c r="DE423" s="1005"/>
      <c r="DF423" s="1005"/>
      <c r="DG423" s="1005"/>
      <c r="DH423" s="1005"/>
      <c r="DI423" s="1005"/>
      <c r="DJ423" s="1005"/>
      <c r="DK423" s="1005"/>
      <c r="DL423" s="1005"/>
      <c r="DM423" s="1005"/>
      <c r="DN423" s="1005"/>
      <c r="DO423" s="1005"/>
      <c r="DP423" s="1005"/>
      <c r="DQ423" s="1005"/>
      <c r="DR423" s="1005"/>
      <c r="DS423" s="1005"/>
      <c r="DT423" s="1005"/>
      <c r="DU423" s="1005"/>
      <c r="DV423" s="1005"/>
      <c r="DW423" s="1005"/>
      <c r="DX423" s="1005"/>
      <c r="DY423" s="1005"/>
      <c r="DZ423" s="1005"/>
      <c r="EA423" s="1005"/>
      <c r="EB423" s="1005"/>
      <c r="EC423" s="1005"/>
      <c r="ED423" s="1005"/>
      <c r="EE423" s="1005"/>
      <c r="EF423" s="1005"/>
      <c r="EG423" s="1005"/>
      <c r="EH423" s="1005"/>
      <c r="EI423" s="1005"/>
      <c r="EJ423" s="1005"/>
      <c r="EK423" s="1005"/>
      <c r="EL423" s="1005"/>
      <c r="EM423" s="1005"/>
      <c r="EN423" s="1005"/>
      <c r="EO423" s="1005"/>
      <c r="EP423" s="1005"/>
      <c r="EQ423" s="1005"/>
      <c r="ER423" s="1005"/>
      <c r="ES423" s="1005"/>
      <c r="ET423" s="1005"/>
      <c r="EU423" s="1005"/>
      <c r="EV423" s="1005"/>
      <c r="EW423" s="1005"/>
      <c r="EX423" s="1005"/>
      <c r="EY423" s="1005"/>
      <c r="EZ423" s="1005"/>
      <c r="FA423" s="1005"/>
      <c r="FB423" s="1005"/>
      <c r="FC423" s="1005"/>
      <c r="FD423" s="1005"/>
      <c r="FE423" s="1005"/>
      <c r="FF423" s="1005"/>
      <c r="FG423" s="1005"/>
      <c r="FH423" s="1005"/>
      <c r="FI423" s="1005"/>
      <c r="FJ423" s="1005"/>
      <c r="FK423" s="1005"/>
      <c r="FL423" s="1005"/>
      <c r="FM423" s="1005"/>
      <c r="FN423" s="1005"/>
      <c r="FO423" s="1005"/>
      <c r="FP423" s="1005"/>
      <c r="FQ423" s="1005"/>
      <c r="FR423" s="1005"/>
      <c r="FS423" s="1005"/>
      <c r="FT423" s="1005"/>
      <c r="FU423" s="1005"/>
      <c r="FV423" s="1005"/>
      <c r="FW423" s="1005"/>
      <c r="FX423" s="1005"/>
      <c r="FY423" s="1005"/>
      <c r="FZ423" s="1005"/>
      <c r="GA423" s="1005"/>
      <c r="GB423" s="1005"/>
      <c r="GC423" s="1005"/>
      <c r="GD423" s="1005"/>
      <c r="GE423" s="1005"/>
      <c r="GF423" s="1005"/>
      <c r="GG423" s="1005"/>
      <c r="GH423" s="1005"/>
      <c r="GI423" s="1005"/>
      <c r="GJ423" s="1005"/>
      <c r="GK423" s="1005"/>
      <c r="GL423" s="1005"/>
      <c r="GM423" s="1005"/>
      <c r="GN423" s="1005"/>
      <c r="GO423" s="1005"/>
      <c r="GP423" s="1005"/>
      <c r="GQ423" s="1005"/>
      <c r="GR423" s="1005"/>
      <c r="GS423" s="1005"/>
      <c r="GT423" s="1005"/>
      <c r="GU423" s="1005"/>
      <c r="GV423" s="1005"/>
      <c r="GW423" s="1005"/>
      <c r="GX423" s="1005"/>
      <c r="GY423" s="1005"/>
      <c r="GZ423" s="1005"/>
      <c r="HA423" s="1005"/>
      <c r="HB423" s="1005"/>
      <c r="HC423" s="1005"/>
      <c r="HD423" s="1005"/>
      <c r="HE423" s="1005"/>
      <c r="HF423" s="1005"/>
      <c r="HG423" s="1005"/>
      <c r="HH423" s="1005"/>
      <c r="HI423" s="1005"/>
      <c r="HJ423" s="1005"/>
      <c r="HK423" s="1005"/>
      <c r="HL423" s="1005"/>
      <c r="HM423" s="1005"/>
      <c r="HN423" s="1005"/>
      <c r="HO423" s="1005"/>
      <c r="HP423" s="1005"/>
      <c r="HQ423" s="1005"/>
      <c r="HR423" s="1005"/>
      <c r="HS423" s="1005"/>
      <c r="HT423" s="1005"/>
      <c r="HU423" s="1005"/>
      <c r="HV423" s="1005"/>
      <c r="HW423" s="1005"/>
      <c r="HX423" s="1005"/>
      <c r="HY423" s="1005"/>
      <c r="HZ423" s="1005"/>
      <c r="IA423" s="1005"/>
      <c r="IB423" s="1005"/>
      <c r="IC423" s="1005"/>
      <c r="ID423" s="1005"/>
      <c r="IE423" s="1005"/>
      <c r="IF423" s="1005"/>
      <c r="IG423" s="1005"/>
      <c r="IH423" s="1005"/>
      <c r="II423" s="1005"/>
      <c r="IJ423" s="1005"/>
      <c r="IK423" s="1005"/>
      <c r="IL423" s="1005"/>
      <c r="IM423" s="1005"/>
      <c r="IN423" s="1005"/>
      <c r="IO423" s="1005"/>
      <c r="IP423" s="1005"/>
      <c r="IQ423" s="1005"/>
      <c r="IR423" s="1005"/>
      <c r="IS423" s="1005"/>
      <c r="IT423" s="1005"/>
      <c r="IU423" s="1005"/>
      <c r="IV423" s="1005"/>
      <c r="IW423" s="1005"/>
    </row>
    <row r="424" spans="1:257" s="1290" customFormat="1" ht="12.75" hidden="1" customHeight="1">
      <c r="A424" s="1271"/>
      <c r="B424" s="115"/>
      <c r="C424" s="115"/>
      <c r="D424" s="115"/>
      <c r="E424" s="115"/>
      <c r="F424" s="115"/>
      <c r="G424" s="1317" t="s">
        <v>955</v>
      </c>
      <c r="H424" s="1317">
        <v>5</v>
      </c>
      <c r="I424" s="376"/>
      <c r="J424" s="376"/>
      <c r="K424" s="376"/>
      <c r="L424" s="376"/>
      <c r="M424" s="376"/>
      <c r="N424" s="376"/>
      <c r="O424" s="376"/>
      <c r="P424" s="376"/>
      <c r="Q424" s="376"/>
      <c r="R424" s="376"/>
      <c r="S424" s="376"/>
      <c r="T424" s="376"/>
      <c r="U424" s="376"/>
      <c r="V424" s="376"/>
      <c r="W424" s="376"/>
      <c r="X424" s="376"/>
      <c r="Y424" s="376"/>
      <c r="Z424" s="376"/>
      <c r="AA424" s="376"/>
      <c r="AB424" s="376"/>
      <c r="AC424" s="376"/>
      <c r="AD424" s="376"/>
      <c r="AE424" s="376"/>
      <c r="AF424" s="376"/>
      <c r="AG424" s="376"/>
      <c r="AH424" s="1276"/>
      <c r="AI424" s="1276"/>
      <c r="AJ424" s="773"/>
      <c r="AK424" s="774"/>
      <c r="AL424" s="773"/>
      <c r="AM424" s="1277"/>
      <c r="AN424" s="1034"/>
      <c r="AO424" s="1938"/>
      <c r="AP424" s="1037"/>
      <c r="AQ424" s="1037"/>
      <c r="AR424" s="1005"/>
      <c r="AS424" s="1005"/>
      <c r="AT424" s="1005"/>
      <c r="AU424" s="1005"/>
      <c r="AV424" s="1005"/>
      <c r="AW424" s="1005"/>
      <c r="AX424" s="1005"/>
      <c r="AY424" s="1005"/>
      <c r="AZ424" s="1005"/>
      <c r="BA424" s="1005"/>
      <c r="BB424" s="1005"/>
      <c r="BC424" s="1005"/>
      <c r="BD424" s="1005"/>
      <c r="BE424" s="1005"/>
      <c r="BF424" s="1005"/>
      <c r="BG424" s="1005"/>
      <c r="BH424" s="1005"/>
      <c r="BI424" s="1005"/>
      <c r="BJ424" s="1005"/>
      <c r="BK424" s="1005"/>
      <c r="BL424" s="1005"/>
      <c r="BM424" s="1005"/>
      <c r="BN424" s="1005"/>
      <c r="BO424" s="1005"/>
      <c r="BP424" s="1005"/>
      <c r="BQ424" s="1005"/>
      <c r="BR424" s="1005"/>
      <c r="BS424" s="1005"/>
      <c r="BT424" s="1005"/>
      <c r="BU424" s="1005"/>
      <c r="BV424" s="1005"/>
      <c r="BW424" s="1005"/>
      <c r="BX424" s="1005"/>
      <c r="BY424" s="1005"/>
      <c r="BZ424" s="1005"/>
      <c r="CA424" s="1005"/>
      <c r="CB424" s="1005"/>
      <c r="CC424" s="1005"/>
      <c r="CD424" s="1005"/>
      <c r="CE424" s="1005"/>
      <c r="CF424" s="1005"/>
      <c r="CG424" s="1005"/>
      <c r="CH424" s="1005"/>
      <c r="CI424" s="1005"/>
      <c r="CJ424" s="1005"/>
      <c r="CK424" s="1005"/>
      <c r="CL424" s="1005"/>
      <c r="CM424" s="1005"/>
      <c r="CN424" s="1005"/>
      <c r="CO424" s="1005"/>
      <c r="CP424" s="1005"/>
      <c r="CQ424" s="1005"/>
      <c r="CR424" s="1005"/>
      <c r="CS424" s="1005"/>
      <c r="CT424" s="1005"/>
      <c r="CU424" s="1005"/>
      <c r="CV424" s="1005"/>
      <c r="CW424" s="1005"/>
      <c r="CX424" s="1005"/>
      <c r="CY424" s="1005"/>
      <c r="CZ424" s="1005"/>
      <c r="DA424" s="1005"/>
      <c r="DB424" s="1005"/>
      <c r="DC424" s="1005"/>
      <c r="DD424" s="1005"/>
      <c r="DE424" s="1005"/>
      <c r="DF424" s="1005"/>
      <c r="DG424" s="1005"/>
      <c r="DH424" s="1005"/>
      <c r="DI424" s="1005"/>
      <c r="DJ424" s="1005"/>
      <c r="DK424" s="1005"/>
      <c r="DL424" s="1005"/>
      <c r="DM424" s="1005"/>
      <c r="DN424" s="1005"/>
      <c r="DO424" s="1005"/>
      <c r="DP424" s="1005"/>
      <c r="DQ424" s="1005"/>
      <c r="DR424" s="1005"/>
      <c r="DS424" s="1005"/>
      <c r="DT424" s="1005"/>
      <c r="DU424" s="1005"/>
      <c r="DV424" s="1005"/>
      <c r="DW424" s="1005"/>
      <c r="DX424" s="1005"/>
      <c r="DY424" s="1005"/>
      <c r="DZ424" s="1005"/>
      <c r="EA424" s="1005"/>
      <c r="EB424" s="1005"/>
      <c r="EC424" s="1005"/>
      <c r="ED424" s="1005"/>
      <c r="EE424" s="1005"/>
      <c r="EF424" s="1005"/>
      <c r="EG424" s="1005"/>
      <c r="EH424" s="1005"/>
      <c r="EI424" s="1005"/>
      <c r="EJ424" s="1005"/>
      <c r="EK424" s="1005"/>
      <c r="EL424" s="1005"/>
      <c r="EM424" s="1005"/>
      <c r="EN424" s="1005"/>
      <c r="EO424" s="1005"/>
      <c r="EP424" s="1005"/>
      <c r="EQ424" s="1005"/>
      <c r="ER424" s="1005"/>
      <c r="ES424" s="1005"/>
      <c r="ET424" s="1005"/>
      <c r="EU424" s="1005"/>
      <c r="EV424" s="1005"/>
      <c r="EW424" s="1005"/>
      <c r="EX424" s="1005"/>
      <c r="EY424" s="1005"/>
      <c r="EZ424" s="1005"/>
      <c r="FA424" s="1005"/>
      <c r="FB424" s="1005"/>
      <c r="FC424" s="1005"/>
      <c r="FD424" s="1005"/>
      <c r="FE424" s="1005"/>
      <c r="FF424" s="1005"/>
      <c r="FG424" s="1005"/>
      <c r="FH424" s="1005"/>
      <c r="FI424" s="1005"/>
      <c r="FJ424" s="1005"/>
      <c r="FK424" s="1005"/>
      <c r="FL424" s="1005"/>
      <c r="FM424" s="1005"/>
      <c r="FN424" s="1005"/>
      <c r="FO424" s="1005"/>
      <c r="FP424" s="1005"/>
      <c r="FQ424" s="1005"/>
      <c r="FR424" s="1005"/>
      <c r="FS424" s="1005"/>
      <c r="FT424" s="1005"/>
      <c r="FU424" s="1005"/>
      <c r="FV424" s="1005"/>
      <c r="FW424" s="1005"/>
      <c r="FX424" s="1005"/>
      <c r="FY424" s="1005"/>
      <c r="FZ424" s="1005"/>
      <c r="GA424" s="1005"/>
      <c r="GB424" s="1005"/>
      <c r="GC424" s="1005"/>
      <c r="GD424" s="1005"/>
      <c r="GE424" s="1005"/>
      <c r="GF424" s="1005"/>
      <c r="GG424" s="1005"/>
      <c r="GH424" s="1005"/>
      <c r="GI424" s="1005"/>
      <c r="GJ424" s="1005"/>
      <c r="GK424" s="1005"/>
      <c r="GL424" s="1005"/>
      <c r="GM424" s="1005"/>
      <c r="GN424" s="1005"/>
      <c r="GO424" s="1005"/>
      <c r="GP424" s="1005"/>
      <c r="GQ424" s="1005"/>
      <c r="GR424" s="1005"/>
      <c r="GS424" s="1005"/>
      <c r="GT424" s="1005"/>
      <c r="GU424" s="1005"/>
      <c r="GV424" s="1005"/>
      <c r="GW424" s="1005"/>
      <c r="GX424" s="1005"/>
      <c r="GY424" s="1005"/>
      <c r="GZ424" s="1005"/>
      <c r="HA424" s="1005"/>
      <c r="HB424" s="1005"/>
      <c r="HC424" s="1005"/>
      <c r="HD424" s="1005"/>
      <c r="HE424" s="1005"/>
      <c r="HF424" s="1005"/>
      <c r="HG424" s="1005"/>
      <c r="HH424" s="1005"/>
      <c r="HI424" s="1005"/>
      <c r="HJ424" s="1005"/>
      <c r="HK424" s="1005"/>
      <c r="HL424" s="1005"/>
      <c r="HM424" s="1005"/>
      <c r="HN424" s="1005"/>
      <c r="HO424" s="1005"/>
      <c r="HP424" s="1005"/>
      <c r="HQ424" s="1005"/>
      <c r="HR424" s="1005"/>
      <c r="HS424" s="1005"/>
      <c r="HT424" s="1005"/>
      <c r="HU424" s="1005"/>
      <c r="HV424" s="1005"/>
      <c r="HW424" s="1005"/>
      <c r="HX424" s="1005"/>
      <c r="HY424" s="1005"/>
      <c r="HZ424" s="1005"/>
      <c r="IA424" s="1005"/>
      <c r="IB424" s="1005"/>
      <c r="IC424" s="1005"/>
      <c r="ID424" s="1005"/>
      <c r="IE424" s="1005"/>
      <c r="IF424" s="1005"/>
      <c r="IG424" s="1005"/>
      <c r="IH424" s="1005"/>
      <c r="II424" s="1005"/>
      <c r="IJ424" s="1005"/>
      <c r="IK424" s="1005"/>
      <c r="IL424" s="1005"/>
      <c r="IM424" s="1005"/>
      <c r="IN424" s="1005"/>
      <c r="IO424" s="1005"/>
      <c r="IP424" s="1005"/>
      <c r="IQ424" s="1005"/>
      <c r="IR424" s="1005"/>
      <c r="IS424" s="1005"/>
      <c r="IT424" s="1005"/>
      <c r="IU424" s="1005"/>
      <c r="IV424" s="1005"/>
      <c r="IW424" s="1005"/>
    </row>
    <row r="425" spans="1:257" s="1290" customFormat="1" ht="12.75" hidden="1" customHeight="1">
      <c r="A425" s="1271"/>
      <c r="B425" s="1317" t="s">
        <v>229</v>
      </c>
      <c r="C425" s="1317"/>
      <c r="D425" s="115"/>
      <c r="E425" s="115"/>
      <c r="F425" s="115"/>
      <c r="G425" s="1317" t="s">
        <v>956</v>
      </c>
      <c r="H425" s="1317">
        <v>6</v>
      </c>
      <c r="I425" s="376"/>
      <c r="J425" s="376"/>
      <c r="K425" s="376"/>
      <c r="L425" s="376"/>
      <c r="M425" s="376"/>
      <c r="N425" s="376"/>
      <c r="O425" s="376"/>
      <c r="P425" s="376"/>
      <c r="Q425" s="376"/>
      <c r="R425" s="376"/>
      <c r="S425" s="376"/>
      <c r="T425" s="376"/>
      <c r="U425" s="376"/>
      <c r="V425" s="376"/>
      <c r="W425" s="376"/>
      <c r="X425" s="376"/>
      <c r="Y425" s="376"/>
      <c r="Z425" s="376"/>
      <c r="AA425" s="376"/>
      <c r="AB425" s="376"/>
      <c r="AC425" s="376"/>
      <c r="AD425" s="376"/>
      <c r="AE425" s="376"/>
      <c r="AF425" s="376"/>
      <c r="AG425" s="376"/>
      <c r="AH425" s="1276"/>
      <c r="AI425" s="1276"/>
      <c r="AJ425" s="773"/>
      <c r="AK425" s="774"/>
      <c r="AL425" s="773"/>
      <c r="AM425" s="1277"/>
      <c r="AN425" s="1034"/>
      <c r="AO425" s="1938"/>
      <c r="AP425" s="1037"/>
      <c r="AQ425" s="1037"/>
      <c r="AR425" s="1005"/>
      <c r="AS425" s="1005"/>
      <c r="AT425" s="1005"/>
      <c r="AU425" s="1005"/>
      <c r="AV425" s="1005"/>
      <c r="AW425" s="1005"/>
      <c r="AX425" s="1005"/>
      <c r="AY425" s="1005"/>
      <c r="AZ425" s="1005"/>
      <c r="BA425" s="1005"/>
      <c r="BB425" s="1005"/>
      <c r="BC425" s="1005"/>
      <c r="BD425" s="1005"/>
      <c r="BE425" s="1005"/>
      <c r="BF425" s="1005"/>
      <c r="BG425" s="1005"/>
      <c r="BH425" s="1005"/>
      <c r="BI425" s="1005"/>
      <c r="BJ425" s="1005"/>
      <c r="BK425" s="1005"/>
      <c r="BL425" s="1005"/>
      <c r="BM425" s="1005"/>
      <c r="BN425" s="1005"/>
      <c r="BO425" s="1005"/>
      <c r="BP425" s="1005"/>
      <c r="BQ425" s="1005"/>
      <c r="BR425" s="1005"/>
      <c r="BS425" s="1005"/>
      <c r="BT425" s="1005"/>
      <c r="BU425" s="1005"/>
      <c r="BV425" s="1005"/>
      <c r="BW425" s="1005"/>
      <c r="BX425" s="1005"/>
      <c r="BY425" s="1005"/>
      <c r="BZ425" s="1005"/>
      <c r="CA425" s="1005"/>
      <c r="CB425" s="1005"/>
      <c r="CC425" s="1005"/>
      <c r="CD425" s="1005"/>
      <c r="CE425" s="1005"/>
      <c r="CF425" s="1005"/>
      <c r="CG425" s="1005"/>
      <c r="CH425" s="1005"/>
      <c r="CI425" s="1005"/>
      <c r="CJ425" s="1005"/>
      <c r="CK425" s="1005"/>
      <c r="CL425" s="1005"/>
      <c r="CM425" s="1005"/>
      <c r="CN425" s="1005"/>
      <c r="CO425" s="1005"/>
      <c r="CP425" s="1005"/>
      <c r="CQ425" s="1005"/>
      <c r="CR425" s="1005"/>
      <c r="CS425" s="1005"/>
      <c r="CT425" s="1005"/>
      <c r="CU425" s="1005"/>
      <c r="CV425" s="1005"/>
      <c r="CW425" s="1005"/>
      <c r="CX425" s="1005"/>
      <c r="CY425" s="1005"/>
      <c r="CZ425" s="1005"/>
      <c r="DA425" s="1005"/>
      <c r="DB425" s="1005"/>
      <c r="DC425" s="1005"/>
      <c r="DD425" s="1005"/>
      <c r="DE425" s="1005"/>
      <c r="DF425" s="1005"/>
      <c r="DG425" s="1005"/>
      <c r="DH425" s="1005"/>
      <c r="DI425" s="1005"/>
      <c r="DJ425" s="1005"/>
      <c r="DK425" s="1005"/>
      <c r="DL425" s="1005"/>
      <c r="DM425" s="1005"/>
      <c r="DN425" s="1005"/>
      <c r="DO425" s="1005"/>
      <c r="DP425" s="1005"/>
      <c r="DQ425" s="1005"/>
      <c r="DR425" s="1005"/>
      <c r="DS425" s="1005"/>
      <c r="DT425" s="1005"/>
      <c r="DU425" s="1005"/>
      <c r="DV425" s="1005"/>
      <c r="DW425" s="1005"/>
      <c r="DX425" s="1005"/>
      <c r="DY425" s="1005"/>
      <c r="DZ425" s="1005"/>
      <c r="EA425" s="1005"/>
      <c r="EB425" s="1005"/>
      <c r="EC425" s="1005"/>
      <c r="ED425" s="1005"/>
      <c r="EE425" s="1005"/>
      <c r="EF425" s="1005"/>
      <c r="EG425" s="1005"/>
      <c r="EH425" s="1005"/>
      <c r="EI425" s="1005"/>
      <c r="EJ425" s="1005"/>
      <c r="EK425" s="1005"/>
      <c r="EL425" s="1005"/>
      <c r="EM425" s="1005"/>
      <c r="EN425" s="1005"/>
      <c r="EO425" s="1005"/>
      <c r="EP425" s="1005"/>
      <c r="EQ425" s="1005"/>
      <c r="ER425" s="1005"/>
      <c r="ES425" s="1005"/>
      <c r="ET425" s="1005"/>
      <c r="EU425" s="1005"/>
      <c r="EV425" s="1005"/>
      <c r="EW425" s="1005"/>
      <c r="EX425" s="1005"/>
      <c r="EY425" s="1005"/>
      <c r="EZ425" s="1005"/>
      <c r="FA425" s="1005"/>
      <c r="FB425" s="1005"/>
      <c r="FC425" s="1005"/>
      <c r="FD425" s="1005"/>
      <c r="FE425" s="1005"/>
      <c r="FF425" s="1005"/>
      <c r="FG425" s="1005"/>
      <c r="FH425" s="1005"/>
      <c r="FI425" s="1005"/>
      <c r="FJ425" s="1005"/>
      <c r="FK425" s="1005"/>
      <c r="FL425" s="1005"/>
      <c r="FM425" s="1005"/>
      <c r="FN425" s="1005"/>
      <c r="FO425" s="1005"/>
      <c r="FP425" s="1005"/>
      <c r="FQ425" s="1005"/>
      <c r="FR425" s="1005"/>
      <c r="FS425" s="1005"/>
      <c r="FT425" s="1005"/>
      <c r="FU425" s="1005"/>
      <c r="FV425" s="1005"/>
      <c r="FW425" s="1005"/>
      <c r="FX425" s="1005"/>
      <c r="FY425" s="1005"/>
      <c r="FZ425" s="1005"/>
      <c r="GA425" s="1005"/>
      <c r="GB425" s="1005"/>
      <c r="GC425" s="1005"/>
      <c r="GD425" s="1005"/>
      <c r="GE425" s="1005"/>
      <c r="GF425" s="1005"/>
      <c r="GG425" s="1005"/>
      <c r="GH425" s="1005"/>
      <c r="GI425" s="1005"/>
      <c r="GJ425" s="1005"/>
      <c r="GK425" s="1005"/>
      <c r="GL425" s="1005"/>
      <c r="GM425" s="1005"/>
      <c r="GN425" s="1005"/>
      <c r="GO425" s="1005"/>
      <c r="GP425" s="1005"/>
      <c r="GQ425" s="1005"/>
      <c r="GR425" s="1005"/>
      <c r="GS425" s="1005"/>
      <c r="GT425" s="1005"/>
      <c r="GU425" s="1005"/>
      <c r="GV425" s="1005"/>
      <c r="GW425" s="1005"/>
      <c r="GX425" s="1005"/>
      <c r="GY425" s="1005"/>
      <c r="GZ425" s="1005"/>
      <c r="HA425" s="1005"/>
      <c r="HB425" s="1005"/>
      <c r="HC425" s="1005"/>
      <c r="HD425" s="1005"/>
      <c r="HE425" s="1005"/>
      <c r="HF425" s="1005"/>
      <c r="HG425" s="1005"/>
      <c r="HH425" s="1005"/>
      <c r="HI425" s="1005"/>
      <c r="HJ425" s="1005"/>
      <c r="HK425" s="1005"/>
      <c r="HL425" s="1005"/>
      <c r="HM425" s="1005"/>
      <c r="HN425" s="1005"/>
      <c r="HO425" s="1005"/>
      <c r="HP425" s="1005"/>
      <c r="HQ425" s="1005"/>
      <c r="HR425" s="1005"/>
      <c r="HS425" s="1005"/>
      <c r="HT425" s="1005"/>
      <c r="HU425" s="1005"/>
      <c r="HV425" s="1005"/>
      <c r="HW425" s="1005"/>
      <c r="HX425" s="1005"/>
      <c r="HY425" s="1005"/>
      <c r="HZ425" s="1005"/>
      <c r="IA425" s="1005"/>
      <c r="IB425" s="1005"/>
      <c r="IC425" s="1005"/>
      <c r="ID425" s="1005"/>
      <c r="IE425" s="1005"/>
      <c r="IF425" s="1005"/>
      <c r="IG425" s="1005"/>
      <c r="IH425" s="1005"/>
      <c r="II425" s="1005"/>
      <c r="IJ425" s="1005"/>
      <c r="IK425" s="1005"/>
      <c r="IL425" s="1005"/>
      <c r="IM425" s="1005"/>
      <c r="IN425" s="1005"/>
      <c r="IO425" s="1005"/>
      <c r="IP425" s="1005"/>
      <c r="IQ425" s="1005"/>
      <c r="IR425" s="1005"/>
      <c r="IS425" s="1005"/>
      <c r="IT425" s="1005"/>
      <c r="IU425" s="1005"/>
      <c r="IV425" s="1005"/>
      <c r="IW425" s="1005"/>
    </row>
    <row r="426" spans="1:257" s="1290" customFormat="1" ht="12.75" hidden="1" customHeight="1">
      <c r="A426" s="1271"/>
      <c r="B426" s="1318" t="s">
        <v>26</v>
      </c>
      <c r="C426" s="1312">
        <f>IF(C6="Varje månad",1,IF(ARBETSBLAD!C6="Var tredje månad",2,IF(OR(C428=4,C428=5),3)))</f>
        <v>1</v>
      </c>
      <c r="D426" s="1319"/>
      <c r="E426" s="115"/>
      <c r="F426" s="1319"/>
      <c r="G426" s="1317" t="s">
        <v>957</v>
      </c>
      <c r="H426" s="1317">
        <v>7</v>
      </c>
      <c r="I426" s="376"/>
      <c r="J426" s="376"/>
      <c r="K426" s="376"/>
      <c r="L426" s="376"/>
      <c r="M426" s="376"/>
      <c r="N426" s="376"/>
      <c r="O426" s="376"/>
      <c r="P426" s="376"/>
      <c r="Q426" s="376"/>
      <c r="R426" s="376"/>
      <c r="S426" s="376"/>
      <c r="T426" s="376"/>
      <c r="U426" s="376"/>
      <c r="V426" s="376"/>
      <c r="W426" s="376"/>
      <c r="X426" s="376"/>
      <c r="Y426" s="376"/>
      <c r="Z426" s="376"/>
      <c r="AA426" s="376"/>
      <c r="AB426" s="376"/>
      <c r="AC426" s="376"/>
      <c r="AD426" s="376"/>
      <c r="AE426" s="376"/>
      <c r="AF426" s="376"/>
      <c r="AG426" s="376"/>
      <c r="AH426" s="1276"/>
      <c r="AI426" s="1276"/>
      <c r="AJ426" s="773"/>
      <c r="AK426" s="774"/>
      <c r="AL426" s="773"/>
      <c r="AM426" s="1277"/>
      <c r="AN426" s="1034"/>
      <c r="AO426" s="1938"/>
      <c r="AP426" s="1037"/>
      <c r="AQ426" s="1037"/>
      <c r="AR426" s="1005"/>
      <c r="AS426" s="1005"/>
      <c r="AT426" s="1005"/>
      <c r="AU426" s="1005"/>
      <c r="AV426" s="1005"/>
      <c r="AW426" s="1005"/>
      <c r="AX426" s="1005"/>
      <c r="AY426" s="1005"/>
      <c r="AZ426" s="1005"/>
      <c r="BA426" s="1005"/>
      <c r="BB426" s="1005"/>
      <c r="BC426" s="1005"/>
      <c r="BD426" s="1005"/>
      <c r="BE426" s="1005"/>
      <c r="BF426" s="1005"/>
      <c r="BG426" s="1005"/>
      <c r="BH426" s="1005"/>
      <c r="BI426" s="1005"/>
      <c r="BJ426" s="1005"/>
      <c r="BK426" s="1005"/>
      <c r="BL426" s="1005"/>
      <c r="BM426" s="1005"/>
      <c r="BN426" s="1005"/>
      <c r="BO426" s="1005"/>
      <c r="BP426" s="1005"/>
      <c r="BQ426" s="1005"/>
      <c r="BR426" s="1005"/>
      <c r="BS426" s="1005"/>
      <c r="BT426" s="1005"/>
      <c r="BU426" s="1005"/>
      <c r="BV426" s="1005"/>
      <c r="BW426" s="1005"/>
      <c r="BX426" s="1005"/>
      <c r="BY426" s="1005"/>
      <c r="BZ426" s="1005"/>
      <c r="CA426" s="1005"/>
      <c r="CB426" s="1005"/>
      <c r="CC426" s="1005"/>
      <c r="CD426" s="1005"/>
      <c r="CE426" s="1005"/>
      <c r="CF426" s="1005"/>
      <c r="CG426" s="1005"/>
      <c r="CH426" s="1005"/>
      <c r="CI426" s="1005"/>
      <c r="CJ426" s="1005"/>
      <c r="CK426" s="1005"/>
      <c r="CL426" s="1005"/>
      <c r="CM426" s="1005"/>
      <c r="CN426" s="1005"/>
      <c r="CO426" s="1005"/>
      <c r="CP426" s="1005"/>
      <c r="CQ426" s="1005"/>
      <c r="CR426" s="1005"/>
      <c r="CS426" s="1005"/>
      <c r="CT426" s="1005"/>
      <c r="CU426" s="1005"/>
      <c r="CV426" s="1005"/>
      <c r="CW426" s="1005"/>
      <c r="CX426" s="1005"/>
      <c r="CY426" s="1005"/>
      <c r="CZ426" s="1005"/>
      <c r="DA426" s="1005"/>
      <c r="DB426" s="1005"/>
      <c r="DC426" s="1005"/>
      <c r="DD426" s="1005"/>
      <c r="DE426" s="1005"/>
      <c r="DF426" s="1005"/>
      <c r="DG426" s="1005"/>
      <c r="DH426" s="1005"/>
      <c r="DI426" s="1005"/>
      <c r="DJ426" s="1005"/>
      <c r="DK426" s="1005"/>
      <c r="DL426" s="1005"/>
      <c r="DM426" s="1005"/>
      <c r="DN426" s="1005"/>
      <c r="DO426" s="1005"/>
      <c r="DP426" s="1005"/>
      <c r="DQ426" s="1005"/>
      <c r="DR426" s="1005"/>
      <c r="DS426" s="1005"/>
      <c r="DT426" s="1005"/>
      <c r="DU426" s="1005"/>
      <c r="DV426" s="1005"/>
      <c r="DW426" s="1005"/>
      <c r="DX426" s="1005"/>
      <c r="DY426" s="1005"/>
      <c r="DZ426" s="1005"/>
      <c r="EA426" s="1005"/>
      <c r="EB426" s="1005"/>
      <c r="EC426" s="1005"/>
      <c r="ED426" s="1005"/>
      <c r="EE426" s="1005"/>
      <c r="EF426" s="1005"/>
      <c r="EG426" s="1005"/>
      <c r="EH426" s="1005"/>
      <c r="EI426" s="1005"/>
      <c r="EJ426" s="1005"/>
      <c r="EK426" s="1005"/>
      <c r="EL426" s="1005"/>
      <c r="EM426" s="1005"/>
      <c r="EN426" s="1005"/>
      <c r="EO426" s="1005"/>
      <c r="EP426" s="1005"/>
      <c r="EQ426" s="1005"/>
      <c r="ER426" s="1005"/>
      <c r="ES426" s="1005"/>
      <c r="ET426" s="1005"/>
      <c r="EU426" s="1005"/>
      <c r="EV426" s="1005"/>
      <c r="EW426" s="1005"/>
      <c r="EX426" s="1005"/>
      <c r="EY426" s="1005"/>
      <c r="EZ426" s="1005"/>
      <c r="FA426" s="1005"/>
      <c r="FB426" s="1005"/>
      <c r="FC426" s="1005"/>
      <c r="FD426" s="1005"/>
      <c r="FE426" s="1005"/>
      <c r="FF426" s="1005"/>
      <c r="FG426" s="1005"/>
      <c r="FH426" s="1005"/>
      <c r="FI426" s="1005"/>
      <c r="FJ426" s="1005"/>
      <c r="FK426" s="1005"/>
      <c r="FL426" s="1005"/>
      <c r="FM426" s="1005"/>
      <c r="FN426" s="1005"/>
      <c r="FO426" s="1005"/>
      <c r="FP426" s="1005"/>
      <c r="FQ426" s="1005"/>
      <c r="FR426" s="1005"/>
      <c r="FS426" s="1005"/>
      <c r="FT426" s="1005"/>
      <c r="FU426" s="1005"/>
      <c r="FV426" s="1005"/>
      <c r="FW426" s="1005"/>
      <c r="FX426" s="1005"/>
      <c r="FY426" s="1005"/>
      <c r="FZ426" s="1005"/>
      <c r="GA426" s="1005"/>
      <c r="GB426" s="1005"/>
      <c r="GC426" s="1005"/>
      <c r="GD426" s="1005"/>
      <c r="GE426" s="1005"/>
      <c r="GF426" s="1005"/>
      <c r="GG426" s="1005"/>
      <c r="GH426" s="1005"/>
      <c r="GI426" s="1005"/>
      <c r="GJ426" s="1005"/>
      <c r="GK426" s="1005"/>
      <c r="GL426" s="1005"/>
      <c r="GM426" s="1005"/>
      <c r="GN426" s="1005"/>
      <c r="GO426" s="1005"/>
      <c r="GP426" s="1005"/>
      <c r="GQ426" s="1005"/>
      <c r="GR426" s="1005"/>
      <c r="GS426" s="1005"/>
      <c r="GT426" s="1005"/>
      <c r="GU426" s="1005"/>
      <c r="GV426" s="1005"/>
      <c r="GW426" s="1005"/>
      <c r="GX426" s="1005"/>
      <c r="GY426" s="1005"/>
      <c r="GZ426" s="1005"/>
      <c r="HA426" s="1005"/>
      <c r="HB426" s="1005"/>
      <c r="HC426" s="1005"/>
      <c r="HD426" s="1005"/>
      <c r="HE426" s="1005"/>
      <c r="HF426" s="1005"/>
      <c r="HG426" s="1005"/>
      <c r="HH426" s="1005"/>
      <c r="HI426" s="1005"/>
      <c r="HJ426" s="1005"/>
      <c r="HK426" s="1005"/>
      <c r="HL426" s="1005"/>
      <c r="HM426" s="1005"/>
      <c r="HN426" s="1005"/>
      <c r="HO426" s="1005"/>
      <c r="HP426" s="1005"/>
      <c r="HQ426" s="1005"/>
      <c r="HR426" s="1005"/>
      <c r="HS426" s="1005"/>
      <c r="HT426" s="1005"/>
      <c r="HU426" s="1005"/>
      <c r="HV426" s="1005"/>
      <c r="HW426" s="1005"/>
      <c r="HX426" s="1005"/>
      <c r="HY426" s="1005"/>
      <c r="HZ426" s="1005"/>
      <c r="IA426" s="1005"/>
      <c r="IB426" s="1005"/>
      <c r="IC426" s="1005"/>
      <c r="ID426" s="1005"/>
      <c r="IE426" s="1005"/>
      <c r="IF426" s="1005"/>
      <c r="IG426" s="1005"/>
      <c r="IH426" s="1005"/>
      <c r="II426" s="1005"/>
      <c r="IJ426" s="1005"/>
      <c r="IK426" s="1005"/>
      <c r="IL426" s="1005"/>
      <c r="IM426" s="1005"/>
      <c r="IN426" s="1005"/>
      <c r="IO426" s="1005"/>
      <c r="IP426" s="1005"/>
      <c r="IQ426" s="1005"/>
      <c r="IR426" s="1005"/>
      <c r="IS426" s="1005"/>
      <c r="IT426" s="1005"/>
      <c r="IU426" s="1005"/>
      <c r="IV426" s="1005"/>
      <c r="IW426" s="1005"/>
    </row>
    <row r="427" spans="1:257" s="1290" customFormat="1" ht="12.75" hidden="1" customHeight="1">
      <c r="A427" s="1271"/>
      <c r="B427" s="1322" t="s">
        <v>8</v>
      </c>
      <c r="C427" s="1317"/>
      <c r="D427" s="1319"/>
      <c r="E427" s="1317" t="s">
        <v>0</v>
      </c>
      <c r="F427" s="1319"/>
      <c r="G427" s="1317" t="s">
        <v>958</v>
      </c>
      <c r="H427" s="1317">
        <v>8</v>
      </c>
      <c r="I427" s="376"/>
      <c r="J427" s="376"/>
      <c r="K427" s="376"/>
      <c r="L427" s="376"/>
      <c r="M427" s="376"/>
      <c r="N427" s="376"/>
      <c r="O427" s="376"/>
      <c r="P427" s="376"/>
      <c r="Q427" s="376"/>
      <c r="R427" s="376"/>
      <c r="S427" s="376"/>
      <c r="T427" s="376"/>
      <c r="U427" s="376"/>
      <c r="V427" s="376"/>
      <c r="W427" s="376"/>
      <c r="X427" s="376"/>
      <c r="Y427" s="376"/>
      <c r="Z427" s="376"/>
      <c r="AA427" s="376"/>
      <c r="AB427" s="376"/>
      <c r="AC427" s="376"/>
      <c r="AD427" s="376"/>
      <c r="AE427" s="376"/>
      <c r="AF427" s="376"/>
      <c r="AG427" s="376"/>
      <c r="AH427" s="1276"/>
      <c r="AI427" s="1276"/>
      <c r="AJ427" s="773"/>
      <c r="AK427" s="774"/>
      <c r="AL427" s="773"/>
      <c r="AM427" s="1277"/>
      <c r="AN427" s="1034"/>
      <c r="AO427" s="1938"/>
      <c r="AP427" s="1037"/>
      <c r="AQ427" s="1037"/>
      <c r="AR427" s="1005"/>
      <c r="AS427" s="1005"/>
      <c r="AT427" s="1005"/>
      <c r="AU427" s="1005"/>
      <c r="AV427" s="1005"/>
      <c r="AW427" s="1005"/>
      <c r="AX427" s="1005"/>
      <c r="AY427" s="1005"/>
      <c r="AZ427" s="1005"/>
      <c r="BA427" s="1005"/>
      <c r="BB427" s="1005"/>
      <c r="BC427" s="1005"/>
      <c r="BD427" s="1005"/>
      <c r="BE427" s="1005"/>
      <c r="BF427" s="1005"/>
      <c r="BG427" s="1005"/>
      <c r="BH427" s="1005"/>
      <c r="BI427" s="1005"/>
      <c r="BJ427" s="1005"/>
      <c r="BK427" s="1005"/>
      <c r="BL427" s="1005"/>
      <c r="BM427" s="1005"/>
      <c r="BN427" s="1005"/>
      <c r="BO427" s="1005"/>
      <c r="BP427" s="1005"/>
      <c r="BQ427" s="1005"/>
      <c r="BR427" s="1005"/>
      <c r="BS427" s="1005"/>
      <c r="BT427" s="1005"/>
      <c r="BU427" s="1005"/>
      <c r="BV427" s="1005"/>
      <c r="BW427" s="1005"/>
      <c r="BX427" s="1005"/>
      <c r="BY427" s="1005"/>
      <c r="BZ427" s="1005"/>
      <c r="CA427" s="1005"/>
      <c r="CB427" s="1005"/>
      <c r="CC427" s="1005"/>
      <c r="CD427" s="1005"/>
      <c r="CE427" s="1005"/>
      <c r="CF427" s="1005"/>
      <c r="CG427" s="1005"/>
      <c r="CH427" s="1005"/>
      <c r="CI427" s="1005"/>
      <c r="CJ427" s="1005"/>
      <c r="CK427" s="1005"/>
      <c r="CL427" s="1005"/>
      <c r="CM427" s="1005"/>
      <c r="CN427" s="1005"/>
      <c r="CO427" s="1005"/>
      <c r="CP427" s="1005"/>
      <c r="CQ427" s="1005"/>
      <c r="CR427" s="1005"/>
      <c r="CS427" s="1005"/>
      <c r="CT427" s="1005"/>
      <c r="CU427" s="1005"/>
      <c r="CV427" s="1005"/>
      <c r="CW427" s="1005"/>
      <c r="CX427" s="1005"/>
      <c r="CY427" s="1005"/>
      <c r="CZ427" s="1005"/>
      <c r="DA427" s="1005"/>
      <c r="DB427" s="1005"/>
      <c r="DC427" s="1005"/>
      <c r="DD427" s="1005"/>
      <c r="DE427" s="1005"/>
      <c r="DF427" s="1005"/>
      <c r="DG427" s="1005"/>
      <c r="DH427" s="1005"/>
      <c r="DI427" s="1005"/>
      <c r="DJ427" s="1005"/>
      <c r="DK427" s="1005"/>
      <c r="DL427" s="1005"/>
      <c r="DM427" s="1005"/>
      <c r="DN427" s="1005"/>
      <c r="DO427" s="1005"/>
      <c r="DP427" s="1005"/>
      <c r="DQ427" s="1005"/>
      <c r="DR427" s="1005"/>
      <c r="DS427" s="1005"/>
      <c r="DT427" s="1005"/>
      <c r="DU427" s="1005"/>
      <c r="DV427" s="1005"/>
      <c r="DW427" s="1005"/>
      <c r="DX427" s="1005"/>
      <c r="DY427" s="1005"/>
      <c r="DZ427" s="1005"/>
      <c r="EA427" s="1005"/>
      <c r="EB427" s="1005"/>
      <c r="EC427" s="1005"/>
      <c r="ED427" s="1005"/>
      <c r="EE427" s="1005"/>
      <c r="EF427" s="1005"/>
      <c r="EG427" s="1005"/>
      <c r="EH427" s="1005"/>
      <c r="EI427" s="1005"/>
      <c r="EJ427" s="1005"/>
      <c r="EK427" s="1005"/>
      <c r="EL427" s="1005"/>
      <c r="EM427" s="1005"/>
      <c r="EN427" s="1005"/>
      <c r="EO427" s="1005"/>
      <c r="EP427" s="1005"/>
      <c r="EQ427" s="1005"/>
      <c r="ER427" s="1005"/>
      <c r="ES427" s="1005"/>
      <c r="ET427" s="1005"/>
      <c r="EU427" s="1005"/>
      <c r="EV427" s="1005"/>
      <c r="EW427" s="1005"/>
      <c r="EX427" s="1005"/>
      <c r="EY427" s="1005"/>
      <c r="EZ427" s="1005"/>
      <c r="FA427" s="1005"/>
      <c r="FB427" s="1005"/>
      <c r="FC427" s="1005"/>
      <c r="FD427" s="1005"/>
      <c r="FE427" s="1005"/>
      <c r="FF427" s="1005"/>
      <c r="FG427" s="1005"/>
      <c r="FH427" s="1005"/>
      <c r="FI427" s="1005"/>
      <c r="FJ427" s="1005"/>
      <c r="FK427" s="1005"/>
      <c r="FL427" s="1005"/>
      <c r="FM427" s="1005"/>
      <c r="FN427" s="1005"/>
      <c r="FO427" s="1005"/>
      <c r="FP427" s="1005"/>
      <c r="FQ427" s="1005"/>
      <c r="FR427" s="1005"/>
      <c r="FS427" s="1005"/>
      <c r="FT427" s="1005"/>
      <c r="FU427" s="1005"/>
      <c r="FV427" s="1005"/>
      <c r="FW427" s="1005"/>
      <c r="FX427" s="1005"/>
      <c r="FY427" s="1005"/>
      <c r="FZ427" s="1005"/>
      <c r="GA427" s="1005"/>
      <c r="GB427" s="1005"/>
      <c r="GC427" s="1005"/>
      <c r="GD427" s="1005"/>
      <c r="GE427" s="1005"/>
      <c r="GF427" s="1005"/>
      <c r="GG427" s="1005"/>
      <c r="GH427" s="1005"/>
      <c r="GI427" s="1005"/>
      <c r="GJ427" s="1005"/>
      <c r="GK427" s="1005"/>
      <c r="GL427" s="1005"/>
      <c r="GM427" s="1005"/>
      <c r="GN427" s="1005"/>
      <c r="GO427" s="1005"/>
      <c r="GP427" s="1005"/>
      <c r="GQ427" s="1005"/>
      <c r="GR427" s="1005"/>
      <c r="GS427" s="1005"/>
      <c r="GT427" s="1005"/>
      <c r="GU427" s="1005"/>
      <c r="GV427" s="1005"/>
      <c r="GW427" s="1005"/>
      <c r="GX427" s="1005"/>
      <c r="GY427" s="1005"/>
      <c r="GZ427" s="1005"/>
      <c r="HA427" s="1005"/>
      <c r="HB427" s="1005"/>
      <c r="HC427" s="1005"/>
      <c r="HD427" s="1005"/>
      <c r="HE427" s="1005"/>
      <c r="HF427" s="1005"/>
      <c r="HG427" s="1005"/>
      <c r="HH427" s="1005"/>
      <c r="HI427" s="1005"/>
      <c r="HJ427" s="1005"/>
      <c r="HK427" s="1005"/>
      <c r="HL427" s="1005"/>
      <c r="HM427" s="1005"/>
      <c r="HN427" s="1005"/>
      <c r="HO427" s="1005"/>
      <c r="HP427" s="1005"/>
      <c r="HQ427" s="1005"/>
      <c r="HR427" s="1005"/>
      <c r="HS427" s="1005"/>
      <c r="HT427" s="1005"/>
      <c r="HU427" s="1005"/>
      <c r="HV427" s="1005"/>
      <c r="HW427" s="1005"/>
      <c r="HX427" s="1005"/>
      <c r="HY427" s="1005"/>
      <c r="HZ427" s="1005"/>
      <c r="IA427" s="1005"/>
      <c r="IB427" s="1005"/>
      <c r="IC427" s="1005"/>
      <c r="ID427" s="1005"/>
      <c r="IE427" s="1005"/>
      <c r="IF427" s="1005"/>
      <c r="IG427" s="1005"/>
      <c r="IH427" s="1005"/>
      <c r="II427" s="1005"/>
      <c r="IJ427" s="1005"/>
      <c r="IK427" s="1005"/>
      <c r="IL427" s="1005"/>
      <c r="IM427" s="1005"/>
      <c r="IN427" s="1005"/>
      <c r="IO427" s="1005"/>
      <c r="IP427" s="1005"/>
      <c r="IQ427" s="1005"/>
      <c r="IR427" s="1005"/>
      <c r="IS427" s="1005"/>
      <c r="IT427" s="1005"/>
      <c r="IU427" s="1005"/>
      <c r="IV427" s="1005"/>
      <c r="IW427" s="1005"/>
    </row>
    <row r="428" spans="1:257" s="1290" customFormat="1" ht="12.75" hidden="1" customHeight="1">
      <c r="A428" s="1271"/>
      <c r="B428" s="1322" t="s">
        <v>943</v>
      </c>
      <c r="C428" s="1608">
        <f>IF(C6="Årsvis   (Enskild firma, HB)",4,IF(ARBETSBLAD!C6="Årsvis   (AB, Ekonom fören)",5,0))</f>
        <v>0</v>
      </c>
      <c r="D428" s="1319"/>
      <c r="E428" s="1317" t="s">
        <v>907</v>
      </c>
      <c r="F428" s="1319"/>
      <c r="G428" s="1317" t="s">
        <v>959</v>
      </c>
      <c r="H428" s="1317">
        <v>9</v>
      </c>
      <c r="I428" s="376"/>
      <c r="J428" s="376"/>
      <c r="K428" s="376"/>
      <c r="L428" s="376"/>
      <c r="M428" s="376"/>
      <c r="N428" s="376"/>
      <c r="O428" s="376"/>
      <c r="P428" s="376"/>
      <c r="Q428" s="376"/>
      <c r="R428" s="376"/>
      <c r="S428" s="376"/>
      <c r="T428" s="376"/>
      <c r="U428" s="376"/>
      <c r="V428" s="376"/>
      <c r="W428" s="376"/>
      <c r="X428" s="376"/>
      <c r="Y428" s="376"/>
      <c r="Z428" s="376"/>
      <c r="AA428" s="376"/>
      <c r="AB428" s="376"/>
      <c r="AC428" s="376"/>
      <c r="AD428" s="376"/>
      <c r="AE428" s="376"/>
      <c r="AF428" s="376"/>
      <c r="AG428" s="376"/>
      <c r="AH428" s="1276"/>
      <c r="AI428" s="1276"/>
      <c r="AJ428" s="773"/>
      <c r="AK428" s="774"/>
      <c r="AL428" s="773"/>
      <c r="AM428" s="1277"/>
      <c r="AN428" s="1034"/>
      <c r="AO428" s="1938"/>
      <c r="AP428" s="1037"/>
      <c r="AQ428" s="1037"/>
      <c r="AR428" s="1005"/>
      <c r="AS428" s="1005"/>
      <c r="AT428" s="1005"/>
      <c r="AU428" s="1005"/>
      <c r="AV428" s="1005"/>
      <c r="AW428" s="1005"/>
      <c r="AX428" s="1005"/>
      <c r="AY428" s="1005"/>
      <c r="AZ428" s="1005"/>
      <c r="BA428" s="1005"/>
      <c r="BB428" s="1005"/>
      <c r="BC428" s="1005"/>
      <c r="BD428" s="1005"/>
      <c r="BE428" s="1005"/>
      <c r="BF428" s="1005"/>
      <c r="BG428" s="1005"/>
      <c r="BH428" s="1005"/>
      <c r="BI428" s="1005"/>
      <c r="BJ428" s="1005"/>
      <c r="BK428" s="1005"/>
      <c r="BL428" s="1005"/>
      <c r="BM428" s="1005"/>
      <c r="BN428" s="1005"/>
      <c r="BO428" s="1005"/>
      <c r="BP428" s="1005"/>
      <c r="BQ428" s="1005"/>
      <c r="BR428" s="1005"/>
      <c r="BS428" s="1005"/>
      <c r="BT428" s="1005"/>
      <c r="BU428" s="1005"/>
      <c r="BV428" s="1005"/>
      <c r="BW428" s="1005"/>
      <c r="BX428" s="1005"/>
      <c r="BY428" s="1005"/>
      <c r="BZ428" s="1005"/>
      <c r="CA428" s="1005"/>
      <c r="CB428" s="1005"/>
      <c r="CC428" s="1005"/>
      <c r="CD428" s="1005"/>
      <c r="CE428" s="1005"/>
      <c r="CF428" s="1005"/>
      <c r="CG428" s="1005"/>
      <c r="CH428" s="1005"/>
      <c r="CI428" s="1005"/>
      <c r="CJ428" s="1005"/>
      <c r="CK428" s="1005"/>
      <c r="CL428" s="1005"/>
      <c r="CM428" s="1005"/>
      <c r="CN428" s="1005"/>
      <c r="CO428" s="1005"/>
      <c r="CP428" s="1005"/>
      <c r="CQ428" s="1005"/>
      <c r="CR428" s="1005"/>
      <c r="CS428" s="1005"/>
      <c r="CT428" s="1005"/>
      <c r="CU428" s="1005"/>
      <c r="CV428" s="1005"/>
      <c r="CW428" s="1005"/>
      <c r="CX428" s="1005"/>
      <c r="CY428" s="1005"/>
      <c r="CZ428" s="1005"/>
      <c r="DA428" s="1005"/>
      <c r="DB428" s="1005"/>
      <c r="DC428" s="1005"/>
      <c r="DD428" s="1005"/>
      <c r="DE428" s="1005"/>
      <c r="DF428" s="1005"/>
      <c r="DG428" s="1005"/>
      <c r="DH428" s="1005"/>
      <c r="DI428" s="1005"/>
      <c r="DJ428" s="1005"/>
      <c r="DK428" s="1005"/>
      <c r="DL428" s="1005"/>
      <c r="DM428" s="1005"/>
      <c r="DN428" s="1005"/>
      <c r="DO428" s="1005"/>
      <c r="DP428" s="1005"/>
      <c r="DQ428" s="1005"/>
      <c r="DR428" s="1005"/>
      <c r="DS428" s="1005"/>
      <c r="DT428" s="1005"/>
      <c r="DU428" s="1005"/>
      <c r="DV428" s="1005"/>
      <c r="DW428" s="1005"/>
      <c r="DX428" s="1005"/>
      <c r="DY428" s="1005"/>
      <c r="DZ428" s="1005"/>
      <c r="EA428" s="1005"/>
      <c r="EB428" s="1005"/>
      <c r="EC428" s="1005"/>
      <c r="ED428" s="1005"/>
      <c r="EE428" s="1005"/>
      <c r="EF428" s="1005"/>
      <c r="EG428" s="1005"/>
      <c r="EH428" s="1005"/>
      <c r="EI428" s="1005"/>
      <c r="EJ428" s="1005"/>
      <c r="EK428" s="1005"/>
      <c r="EL428" s="1005"/>
      <c r="EM428" s="1005"/>
      <c r="EN428" s="1005"/>
      <c r="EO428" s="1005"/>
      <c r="EP428" s="1005"/>
      <c r="EQ428" s="1005"/>
      <c r="ER428" s="1005"/>
      <c r="ES428" s="1005"/>
      <c r="ET428" s="1005"/>
      <c r="EU428" s="1005"/>
      <c r="EV428" s="1005"/>
      <c r="EW428" s="1005"/>
      <c r="EX428" s="1005"/>
      <c r="EY428" s="1005"/>
      <c r="EZ428" s="1005"/>
      <c r="FA428" s="1005"/>
      <c r="FB428" s="1005"/>
      <c r="FC428" s="1005"/>
      <c r="FD428" s="1005"/>
      <c r="FE428" s="1005"/>
      <c r="FF428" s="1005"/>
      <c r="FG428" s="1005"/>
      <c r="FH428" s="1005"/>
      <c r="FI428" s="1005"/>
      <c r="FJ428" s="1005"/>
      <c r="FK428" s="1005"/>
      <c r="FL428" s="1005"/>
      <c r="FM428" s="1005"/>
      <c r="FN428" s="1005"/>
      <c r="FO428" s="1005"/>
      <c r="FP428" s="1005"/>
      <c r="FQ428" s="1005"/>
      <c r="FR428" s="1005"/>
      <c r="FS428" s="1005"/>
      <c r="FT428" s="1005"/>
      <c r="FU428" s="1005"/>
      <c r="FV428" s="1005"/>
      <c r="FW428" s="1005"/>
      <c r="FX428" s="1005"/>
      <c r="FY428" s="1005"/>
      <c r="FZ428" s="1005"/>
      <c r="GA428" s="1005"/>
      <c r="GB428" s="1005"/>
      <c r="GC428" s="1005"/>
      <c r="GD428" s="1005"/>
      <c r="GE428" s="1005"/>
      <c r="GF428" s="1005"/>
      <c r="GG428" s="1005"/>
      <c r="GH428" s="1005"/>
      <c r="GI428" s="1005"/>
      <c r="GJ428" s="1005"/>
      <c r="GK428" s="1005"/>
      <c r="GL428" s="1005"/>
      <c r="GM428" s="1005"/>
      <c r="GN428" s="1005"/>
      <c r="GO428" s="1005"/>
      <c r="GP428" s="1005"/>
      <c r="GQ428" s="1005"/>
      <c r="GR428" s="1005"/>
      <c r="GS428" s="1005"/>
      <c r="GT428" s="1005"/>
      <c r="GU428" s="1005"/>
      <c r="GV428" s="1005"/>
      <c r="GW428" s="1005"/>
      <c r="GX428" s="1005"/>
      <c r="GY428" s="1005"/>
      <c r="GZ428" s="1005"/>
      <c r="HA428" s="1005"/>
      <c r="HB428" s="1005"/>
      <c r="HC428" s="1005"/>
      <c r="HD428" s="1005"/>
      <c r="HE428" s="1005"/>
      <c r="HF428" s="1005"/>
      <c r="HG428" s="1005"/>
      <c r="HH428" s="1005"/>
      <c r="HI428" s="1005"/>
      <c r="HJ428" s="1005"/>
      <c r="HK428" s="1005"/>
      <c r="HL428" s="1005"/>
      <c r="HM428" s="1005"/>
      <c r="HN428" s="1005"/>
      <c r="HO428" s="1005"/>
      <c r="HP428" s="1005"/>
      <c r="HQ428" s="1005"/>
      <c r="HR428" s="1005"/>
      <c r="HS428" s="1005"/>
      <c r="HT428" s="1005"/>
      <c r="HU428" s="1005"/>
      <c r="HV428" s="1005"/>
      <c r="HW428" s="1005"/>
      <c r="HX428" s="1005"/>
      <c r="HY428" s="1005"/>
      <c r="HZ428" s="1005"/>
      <c r="IA428" s="1005"/>
      <c r="IB428" s="1005"/>
      <c r="IC428" s="1005"/>
      <c r="ID428" s="1005"/>
      <c r="IE428" s="1005"/>
      <c r="IF428" s="1005"/>
      <c r="IG428" s="1005"/>
      <c r="IH428" s="1005"/>
      <c r="II428" s="1005"/>
      <c r="IJ428" s="1005"/>
      <c r="IK428" s="1005"/>
      <c r="IL428" s="1005"/>
      <c r="IM428" s="1005"/>
      <c r="IN428" s="1005"/>
      <c r="IO428" s="1005"/>
      <c r="IP428" s="1005"/>
      <c r="IQ428" s="1005"/>
      <c r="IR428" s="1005"/>
      <c r="IS428" s="1005"/>
      <c r="IT428" s="1005"/>
      <c r="IU428" s="1005"/>
      <c r="IV428" s="1005"/>
      <c r="IW428" s="1005"/>
    </row>
    <row r="429" spans="1:257" s="1290" customFormat="1" ht="12.75" hidden="1" customHeight="1">
      <c r="A429" s="1271"/>
      <c r="B429" s="1607" t="s">
        <v>944</v>
      </c>
      <c r="C429" s="1317"/>
      <c r="D429" s="1319"/>
      <c r="E429" s="1317" t="s">
        <v>912</v>
      </c>
      <c r="F429" s="1319"/>
      <c r="G429" s="1317" t="s">
        <v>960</v>
      </c>
      <c r="H429" s="1317">
        <v>10</v>
      </c>
      <c r="I429" s="376"/>
      <c r="J429" s="376"/>
      <c r="K429" s="376"/>
      <c r="L429" s="376"/>
      <c r="M429" s="376"/>
      <c r="N429" s="376"/>
      <c r="O429" s="376"/>
      <c r="P429" s="376"/>
      <c r="Q429" s="376"/>
      <c r="R429" s="376"/>
      <c r="S429" s="376"/>
      <c r="T429" s="376"/>
      <c r="U429" s="376"/>
      <c r="V429" s="376"/>
      <c r="W429" s="376"/>
      <c r="X429" s="376"/>
      <c r="Y429" s="376"/>
      <c r="Z429" s="376"/>
      <c r="AA429" s="376"/>
      <c r="AB429" s="376"/>
      <c r="AC429" s="376"/>
      <c r="AD429" s="376"/>
      <c r="AE429" s="376"/>
      <c r="AF429" s="376"/>
      <c r="AG429" s="376"/>
      <c r="AH429" s="1276"/>
      <c r="AI429" s="1276"/>
      <c r="AJ429" s="773"/>
      <c r="AK429" s="774"/>
      <c r="AL429" s="773"/>
      <c r="AM429" s="1277"/>
      <c r="AN429" s="1034"/>
      <c r="AO429" s="1938"/>
      <c r="AP429" s="1037"/>
      <c r="AQ429" s="1037"/>
      <c r="AR429" s="1005"/>
      <c r="AS429" s="1005"/>
      <c r="AT429" s="1005"/>
      <c r="AU429" s="1005"/>
      <c r="AV429" s="1005"/>
      <c r="AW429" s="1005"/>
      <c r="AX429" s="1005"/>
      <c r="AY429" s="1005"/>
      <c r="AZ429" s="1005"/>
      <c r="BA429" s="1005"/>
      <c r="BB429" s="1005"/>
      <c r="BC429" s="1005"/>
      <c r="BD429" s="1005"/>
      <c r="BE429" s="1005"/>
      <c r="BF429" s="1005"/>
      <c r="BG429" s="1005"/>
      <c r="BH429" s="1005"/>
      <c r="BI429" s="1005"/>
      <c r="BJ429" s="1005"/>
      <c r="BK429" s="1005"/>
      <c r="BL429" s="1005"/>
      <c r="BM429" s="1005"/>
      <c r="BN429" s="1005"/>
      <c r="BO429" s="1005"/>
      <c r="BP429" s="1005"/>
      <c r="BQ429" s="1005"/>
      <c r="BR429" s="1005"/>
      <c r="BS429" s="1005"/>
      <c r="BT429" s="1005"/>
      <c r="BU429" s="1005"/>
      <c r="BV429" s="1005"/>
      <c r="BW429" s="1005"/>
      <c r="BX429" s="1005"/>
      <c r="BY429" s="1005"/>
      <c r="BZ429" s="1005"/>
      <c r="CA429" s="1005"/>
      <c r="CB429" s="1005"/>
      <c r="CC429" s="1005"/>
      <c r="CD429" s="1005"/>
      <c r="CE429" s="1005"/>
      <c r="CF429" s="1005"/>
      <c r="CG429" s="1005"/>
      <c r="CH429" s="1005"/>
      <c r="CI429" s="1005"/>
      <c r="CJ429" s="1005"/>
      <c r="CK429" s="1005"/>
      <c r="CL429" s="1005"/>
      <c r="CM429" s="1005"/>
      <c r="CN429" s="1005"/>
      <c r="CO429" s="1005"/>
      <c r="CP429" s="1005"/>
      <c r="CQ429" s="1005"/>
      <c r="CR429" s="1005"/>
      <c r="CS429" s="1005"/>
      <c r="CT429" s="1005"/>
      <c r="CU429" s="1005"/>
      <c r="CV429" s="1005"/>
      <c r="CW429" s="1005"/>
      <c r="CX429" s="1005"/>
      <c r="CY429" s="1005"/>
      <c r="CZ429" s="1005"/>
      <c r="DA429" s="1005"/>
      <c r="DB429" s="1005"/>
      <c r="DC429" s="1005"/>
      <c r="DD429" s="1005"/>
      <c r="DE429" s="1005"/>
      <c r="DF429" s="1005"/>
      <c r="DG429" s="1005"/>
      <c r="DH429" s="1005"/>
      <c r="DI429" s="1005"/>
      <c r="DJ429" s="1005"/>
      <c r="DK429" s="1005"/>
      <c r="DL429" s="1005"/>
      <c r="DM429" s="1005"/>
      <c r="DN429" s="1005"/>
      <c r="DO429" s="1005"/>
      <c r="DP429" s="1005"/>
      <c r="DQ429" s="1005"/>
      <c r="DR429" s="1005"/>
      <c r="DS429" s="1005"/>
      <c r="DT429" s="1005"/>
      <c r="DU429" s="1005"/>
      <c r="DV429" s="1005"/>
      <c r="DW429" s="1005"/>
      <c r="DX429" s="1005"/>
      <c r="DY429" s="1005"/>
      <c r="DZ429" s="1005"/>
      <c r="EA429" s="1005"/>
      <c r="EB429" s="1005"/>
      <c r="EC429" s="1005"/>
      <c r="ED429" s="1005"/>
      <c r="EE429" s="1005"/>
      <c r="EF429" s="1005"/>
      <c r="EG429" s="1005"/>
      <c r="EH429" s="1005"/>
      <c r="EI429" s="1005"/>
      <c r="EJ429" s="1005"/>
      <c r="EK429" s="1005"/>
      <c r="EL429" s="1005"/>
      <c r="EM429" s="1005"/>
      <c r="EN429" s="1005"/>
      <c r="EO429" s="1005"/>
      <c r="EP429" s="1005"/>
      <c r="EQ429" s="1005"/>
      <c r="ER429" s="1005"/>
      <c r="ES429" s="1005"/>
      <c r="ET429" s="1005"/>
      <c r="EU429" s="1005"/>
      <c r="EV429" s="1005"/>
      <c r="EW429" s="1005"/>
      <c r="EX429" s="1005"/>
      <c r="EY429" s="1005"/>
      <c r="EZ429" s="1005"/>
      <c r="FA429" s="1005"/>
      <c r="FB429" s="1005"/>
      <c r="FC429" s="1005"/>
      <c r="FD429" s="1005"/>
      <c r="FE429" s="1005"/>
      <c r="FF429" s="1005"/>
      <c r="FG429" s="1005"/>
      <c r="FH429" s="1005"/>
      <c r="FI429" s="1005"/>
      <c r="FJ429" s="1005"/>
      <c r="FK429" s="1005"/>
      <c r="FL429" s="1005"/>
      <c r="FM429" s="1005"/>
      <c r="FN429" s="1005"/>
      <c r="FO429" s="1005"/>
      <c r="FP429" s="1005"/>
      <c r="FQ429" s="1005"/>
      <c r="FR429" s="1005"/>
      <c r="FS429" s="1005"/>
      <c r="FT429" s="1005"/>
      <c r="FU429" s="1005"/>
      <c r="FV429" s="1005"/>
      <c r="FW429" s="1005"/>
      <c r="FX429" s="1005"/>
      <c r="FY429" s="1005"/>
      <c r="FZ429" s="1005"/>
      <c r="GA429" s="1005"/>
      <c r="GB429" s="1005"/>
      <c r="GC429" s="1005"/>
      <c r="GD429" s="1005"/>
      <c r="GE429" s="1005"/>
      <c r="GF429" s="1005"/>
      <c r="GG429" s="1005"/>
      <c r="GH429" s="1005"/>
      <c r="GI429" s="1005"/>
      <c r="GJ429" s="1005"/>
      <c r="GK429" s="1005"/>
      <c r="GL429" s="1005"/>
      <c r="GM429" s="1005"/>
      <c r="GN429" s="1005"/>
      <c r="GO429" s="1005"/>
      <c r="GP429" s="1005"/>
      <c r="GQ429" s="1005"/>
      <c r="GR429" s="1005"/>
      <c r="GS429" s="1005"/>
      <c r="GT429" s="1005"/>
      <c r="GU429" s="1005"/>
      <c r="GV429" s="1005"/>
      <c r="GW429" s="1005"/>
      <c r="GX429" s="1005"/>
      <c r="GY429" s="1005"/>
      <c r="GZ429" s="1005"/>
      <c r="HA429" s="1005"/>
      <c r="HB429" s="1005"/>
      <c r="HC429" s="1005"/>
      <c r="HD429" s="1005"/>
      <c r="HE429" s="1005"/>
      <c r="HF429" s="1005"/>
      <c r="HG429" s="1005"/>
      <c r="HH429" s="1005"/>
      <c r="HI429" s="1005"/>
      <c r="HJ429" s="1005"/>
      <c r="HK429" s="1005"/>
      <c r="HL429" s="1005"/>
      <c r="HM429" s="1005"/>
      <c r="HN429" s="1005"/>
      <c r="HO429" s="1005"/>
      <c r="HP429" s="1005"/>
      <c r="HQ429" s="1005"/>
      <c r="HR429" s="1005"/>
      <c r="HS429" s="1005"/>
      <c r="HT429" s="1005"/>
      <c r="HU429" s="1005"/>
      <c r="HV429" s="1005"/>
      <c r="HW429" s="1005"/>
      <c r="HX429" s="1005"/>
      <c r="HY429" s="1005"/>
      <c r="HZ429" s="1005"/>
      <c r="IA429" s="1005"/>
      <c r="IB429" s="1005"/>
      <c r="IC429" s="1005"/>
      <c r="ID429" s="1005"/>
      <c r="IE429" s="1005"/>
      <c r="IF429" s="1005"/>
      <c r="IG429" s="1005"/>
      <c r="IH429" s="1005"/>
      <c r="II429" s="1005"/>
      <c r="IJ429" s="1005"/>
      <c r="IK429" s="1005"/>
      <c r="IL429" s="1005"/>
      <c r="IM429" s="1005"/>
      <c r="IN429" s="1005"/>
      <c r="IO429" s="1005"/>
      <c r="IP429" s="1005"/>
      <c r="IQ429" s="1005"/>
      <c r="IR429" s="1005"/>
      <c r="IS429" s="1005"/>
      <c r="IT429" s="1005"/>
      <c r="IU429" s="1005"/>
      <c r="IV429" s="1005"/>
      <c r="IW429" s="1005"/>
    </row>
    <row r="430" spans="1:257" s="1290" customFormat="1" ht="12.75" hidden="1" customHeight="1">
      <c r="A430" s="1271"/>
      <c r="B430" s="1318" t="s">
        <v>4</v>
      </c>
      <c r="C430" s="1699"/>
      <c r="D430" s="1317"/>
      <c r="E430" s="1317" t="s">
        <v>1</v>
      </c>
      <c r="F430" s="1317"/>
      <c r="G430" s="1327">
        <v>9.9999999999999995E-7</v>
      </c>
      <c r="H430" s="1327"/>
      <c r="I430" s="376"/>
      <c r="J430" s="376"/>
      <c r="K430" s="376"/>
      <c r="L430" s="376"/>
      <c r="M430" s="376"/>
      <c r="N430" s="376"/>
      <c r="O430" s="376"/>
      <c r="P430" s="376"/>
      <c r="Q430" s="376"/>
      <c r="R430" s="376"/>
      <c r="S430" s="376"/>
      <c r="T430" s="376"/>
      <c r="U430" s="376"/>
      <c r="V430" s="376"/>
      <c r="W430" s="376"/>
      <c r="X430" s="376"/>
      <c r="Y430" s="376"/>
      <c r="Z430" s="376"/>
      <c r="AA430" s="376"/>
      <c r="AB430" s="376"/>
      <c r="AC430" s="376"/>
      <c r="AD430" s="376"/>
      <c r="AE430" s="376"/>
      <c r="AF430" s="376"/>
      <c r="AG430" s="376"/>
      <c r="AH430" s="1276"/>
      <c r="AI430" s="1276"/>
      <c r="AJ430" s="773"/>
      <c r="AK430" s="774"/>
      <c r="AL430" s="773"/>
      <c r="AM430" s="1277"/>
      <c r="AN430" s="1034"/>
      <c r="AO430" s="1938"/>
      <c r="AP430" s="1037"/>
      <c r="AQ430" s="1037"/>
      <c r="AR430" s="1005"/>
      <c r="AS430" s="1005"/>
      <c r="AT430" s="1005"/>
      <c r="AU430" s="1005"/>
      <c r="AV430" s="1005"/>
      <c r="AW430" s="1005"/>
      <c r="AX430" s="1005"/>
      <c r="AY430" s="1005"/>
      <c r="AZ430" s="1005"/>
      <c r="BA430" s="1005"/>
      <c r="BB430" s="1005"/>
      <c r="BC430" s="1005"/>
      <c r="BD430" s="1005"/>
      <c r="BE430" s="1005"/>
      <c r="BF430" s="1005"/>
      <c r="BG430" s="1005"/>
      <c r="BH430" s="1005"/>
      <c r="BI430" s="1005"/>
      <c r="BJ430" s="1005"/>
      <c r="BK430" s="1005"/>
      <c r="BL430" s="1005"/>
      <c r="BM430" s="1005"/>
      <c r="BN430" s="1005"/>
      <c r="BO430" s="1005"/>
      <c r="BP430" s="1005"/>
      <c r="BQ430" s="1005"/>
      <c r="BR430" s="1005"/>
      <c r="BS430" s="1005"/>
      <c r="BT430" s="1005"/>
      <c r="BU430" s="1005"/>
      <c r="BV430" s="1005"/>
      <c r="BW430" s="1005"/>
      <c r="BX430" s="1005"/>
      <c r="BY430" s="1005"/>
      <c r="BZ430" s="1005"/>
      <c r="CA430" s="1005"/>
      <c r="CB430" s="1005"/>
      <c r="CC430" s="1005"/>
      <c r="CD430" s="1005"/>
      <c r="CE430" s="1005"/>
      <c r="CF430" s="1005"/>
      <c r="CG430" s="1005"/>
      <c r="CH430" s="1005"/>
      <c r="CI430" s="1005"/>
      <c r="CJ430" s="1005"/>
      <c r="CK430" s="1005"/>
      <c r="CL430" s="1005"/>
      <c r="CM430" s="1005"/>
      <c r="CN430" s="1005"/>
      <c r="CO430" s="1005"/>
      <c r="CP430" s="1005"/>
      <c r="CQ430" s="1005"/>
      <c r="CR430" s="1005"/>
      <c r="CS430" s="1005"/>
      <c r="CT430" s="1005"/>
      <c r="CU430" s="1005"/>
      <c r="CV430" s="1005"/>
      <c r="CW430" s="1005"/>
      <c r="CX430" s="1005"/>
      <c r="CY430" s="1005"/>
      <c r="CZ430" s="1005"/>
      <c r="DA430" s="1005"/>
      <c r="DB430" s="1005"/>
      <c r="DC430" s="1005"/>
      <c r="DD430" s="1005"/>
      <c r="DE430" s="1005"/>
      <c r="DF430" s="1005"/>
      <c r="DG430" s="1005"/>
      <c r="DH430" s="1005"/>
      <c r="DI430" s="1005"/>
      <c r="DJ430" s="1005"/>
      <c r="DK430" s="1005"/>
      <c r="DL430" s="1005"/>
      <c r="DM430" s="1005"/>
      <c r="DN430" s="1005"/>
      <c r="DO430" s="1005"/>
      <c r="DP430" s="1005"/>
      <c r="DQ430" s="1005"/>
      <c r="DR430" s="1005"/>
      <c r="DS430" s="1005"/>
      <c r="DT430" s="1005"/>
      <c r="DU430" s="1005"/>
      <c r="DV430" s="1005"/>
      <c r="DW430" s="1005"/>
      <c r="DX430" s="1005"/>
      <c r="DY430" s="1005"/>
      <c r="DZ430" s="1005"/>
      <c r="EA430" s="1005"/>
      <c r="EB430" s="1005"/>
      <c r="EC430" s="1005"/>
      <c r="ED430" s="1005"/>
      <c r="EE430" s="1005"/>
      <c r="EF430" s="1005"/>
      <c r="EG430" s="1005"/>
      <c r="EH430" s="1005"/>
      <c r="EI430" s="1005"/>
      <c r="EJ430" s="1005"/>
      <c r="EK430" s="1005"/>
      <c r="EL430" s="1005"/>
      <c r="EM430" s="1005"/>
      <c r="EN430" s="1005"/>
      <c r="EO430" s="1005"/>
      <c r="EP430" s="1005"/>
      <c r="EQ430" s="1005"/>
      <c r="ER430" s="1005"/>
      <c r="ES430" s="1005"/>
      <c r="ET430" s="1005"/>
      <c r="EU430" s="1005"/>
      <c r="EV430" s="1005"/>
      <c r="EW430" s="1005"/>
      <c r="EX430" s="1005"/>
      <c r="EY430" s="1005"/>
      <c r="EZ430" s="1005"/>
      <c r="FA430" s="1005"/>
      <c r="FB430" s="1005"/>
      <c r="FC430" s="1005"/>
      <c r="FD430" s="1005"/>
      <c r="FE430" s="1005"/>
      <c r="FF430" s="1005"/>
      <c r="FG430" s="1005"/>
      <c r="FH430" s="1005"/>
      <c r="FI430" s="1005"/>
      <c r="FJ430" s="1005"/>
      <c r="FK430" s="1005"/>
      <c r="FL430" s="1005"/>
      <c r="FM430" s="1005"/>
      <c r="FN430" s="1005"/>
      <c r="FO430" s="1005"/>
      <c r="FP430" s="1005"/>
      <c r="FQ430" s="1005"/>
      <c r="FR430" s="1005"/>
      <c r="FS430" s="1005"/>
      <c r="FT430" s="1005"/>
      <c r="FU430" s="1005"/>
      <c r="FV430" s="1005"/>
      <c r="FW430" s="1005"/>
      <c r="FX430" s="1005"/>
      <c r="FY430" s="1005"/>
      <c r="FZ430" s="1005"/>
      <c r="GA430" s="1005"/>
      <c r="GB430" s="1005"/>
      <c r="GC430" s="1005"/>
      <c r="GD430" s="1005"/>
      <c r="GE430" s="1005"/>
      <c r="GF430" s="1005"/>
      <c r="GG430" s="1005"/>
      <c r="GH430" s="1005"/>
      <c r="GI430" s="1005"/>
      <c r="GJ430" s="1005"/>
      <c r="GK430" s="1005"/>
      <c r="GL430" s="1005"/>
      <c r="GM430" s="1005"/>
      <c r="GN430" s="1005"/>
      <c r="GO430" s="1005"/>
      <c r="GP430" s="1005"/>
      <c r="GQ430" s="1005"/>
      <c r="GR430" s="1005"/>
      <c r="GS430" s="1005"/>
      <c r="GT430" s="1005"/>
      <c r="GU430" s="1005"/>
      <c r="GV430" s="1005"/>
      <c r="GW430" s="1005"/>
      <c r="GX430" s="1005"/>
      <c r="GY430" s="1005"/>
      <c r="GZ430" s="1005"/>
      <c r="HA430" s="1005"/>
      <c r="HB430" s="1005"/>
      <c r="HC430" s="1005"/>
      <c r="HD430" s="1005"/>
      <c r="HE430" s="1005"/>
      <c r="HF430" s="1005"/>
      <c r="HG430" s="1005"/>
      <c r="HH430" s="1005"/>
      <c r="HI430" s="1005"/>
      <c r="HJ430" s="1005"/>
      <c r="HK430" s="1005"/>
      <c r="HL430" s="1005"/>
      <c r="HM430" s="1005"/>
      <c r="HN430" s="1005"/>
      <c r="HO430" s="1005"/>
      <c r="HP430" s="1005"/>
      <c r="HQ430" s="1005"/>
      <c r="HR430" s="1005"/>
      <c r="HS430" s="1005"/>
      <c r="HT430" s="1005"/>
      <c r="HU430" s="1005"/>
      <c r="HV430" s="1005"/>
      <c r="HW430" s="1005"/>
      <c r="HX430" s="1005"/>
      <c r="HY430" s="1005"/>
      <c r="HZ430" s="1005"/>
      <c r="IA430" s="1005"/>
      <c r="IB430" s="1005"/>
      <c r="IC430" s="1005"/>
      <c r="ID430" s="1005"/>
      <c r="IE430" s="1005"/>
      <c r="IF430" s="1005"/>
      <c r="IG430" s="1005"/>
      <c r="IH430" s="1005"/>
      <c r="II430" s="1005"/>
      <c r="IJ430" s="1005"/>
      <c r="IK430" s="1005"/>
      <c r="IL430" s="1005"/>
      <c r="IM430" s="1005"/>
      <c r="IN430" s="1005"/>
      <c r="IO430" s="1005"/>
      <c r="IP430" s="1005"/>
      <c r="IQ430" s="1005"/>
      <c r="IR430" s="1005"/>
      <c r="IS430" s="1005"/>
      <c r="IT430" s="1005"/>
      <c r="IU430" s="1005"/>
      <c r="IV430" s="1005"/>
      <c r="IW430" s="1005"/>
    </row>
    <row r="431" spans="1:257" s="1005" customFormat="1" ht="12.75" hidden="1" customHeight="1">
      <c r="A431" s="1271"/>
      <c r="B431" s="1330" t="s">
        <v>34</v>
      </c>
      <c r="C431" s="1331"/>
      <c r="D431" s="1317"/>
      <c r="E431" s="1317" t="s">
        <v>910</v>
      </c>
      <c r="F431" s="1317"/>
      <c r="G431" s="1327">
        <f>ARBETSBLAD!G593</f>
        <v>0</v>
      </c>
      <c r="H431" s="1327"/>
      <c r="I431" s="376"/>
      <c r="J431" s="376"/>
      <c r="K431" s="376"/>
      <c r="L431" s="376"/>
      <c r="M431" s="376"/>
      <c r="N431" s="376"/>
      <c r="O431" s="376"/>
      <c r="P431" s="376"/>
      <c r="Q431" s="376"/>
      <c r="R431" s="376"/>
      <c r="S431" s="376"/>
      <c r="T431" s="376"/>
      <c r="U431" s="376"/>
      <c r="V431" s="376"/>
      <c r="W431" s="376"/>
      <c r="X431" s="376"/>
      <c r="Y431" s="376"/>
      <c r="Z431" s="376"/>
      <c r="AA431" s="376"/>
      <c r="AB431" s="376"/>
      <c r="AC431" s="376"/>
      <c r="AD431" s="376"/>
      <c r="AE431" s="376"/>
      <c r="AF431" s="376"/>
      <c r="AG431" s="376"/>
      <c r="AH431" s="1276"/>
      <c r="AI431" s="1276"/>
      <c r="AJ431" s="773"/>
      <c r="AK431" s="774"/>
      <c r="AL431" s="773"/>
      <c r="AM431" s="1277"/>
      <c r="AN431" s="1034"/>
      <c r="AO431" s="1938"/>
      <c r="AP431" s="1037"/>
      <c r="AQ431" s="1037"/>
    </row>
    <row r="432" spans="1:257" s="1005" customFormat="1" ht="12.75" hidden="1" customHeight="1">
      <c r="A432" s="1277"/>
      <c r="B432" s="1330" t="s">
        <v>7</v>
      </c>
      <c r="C432" s="1331"/>
      <c r="D432" s="1317"/>
      <c r="E432" s="1317" t="s">
        <v>2</v>
      </c>
      <c r="F432" s="1317"/>
      <c r="G432" s="1327">
        <f>ARBETSBLAD!G594</f>
        <v>0</v>
      </c>
      <c r="H432" s="1327"/>
      <c r="I432" s="376"/>
      <c r="J432" s="376"/>
      <c r="K432" s="376"/>
      <c r="L432" s="376"/>
      <c r="M432" s="376"/>
      <c r="N432" s="376"/>
      <c r="O432" s="376"/>
      <c r="P432" s="376"/>
      <c r="Q432" s="376"/>
      <c r="R432" s="376"/>
      <c r="S432" s="376"/>
      <c r="T432" s="376"/>
      <c r="U432" s="376"/>
      <c r="V432" s="376"/>
      <c r="W432" s="376"/>
      <c r="X432" s="376"/>
      <c r="Y432" s="376"/>
      <c r="Z432" s="376"/>
      <c r="AA432" s="376"/>
      <c r="AB432" s="376"/>
      <c r="AC432" s="376"/>
      <c r="AD432" s="376"/>
      <c r="AE432" s="376"/>
      <c r="AF432" s="376"/>
      <c r="AG432" s="376"/>
      <c r="AH432" s="1276"/>
      <c r="AI432" s="1276"/>
      <c r="AJ432" s="773"/>
      <c r="AK432" s="774"/>
      <c r="AL432" s="773"/>
      <c r="AM432" s="1277"/>
      <c r="AN432" s="1034"/>
      <c r="AO432" s="1938"/>
      <c r="AP432" s="1037"/>
      <c r="AQ432" s="1037"/>
    </row>
    <row r="433" spans="1:43" s="1005" customFormat="1" ht="12.75" hidden="1" customHeight="1">
      <c r="A433" s="1277"/>
      <c r="B433" s="1330" t="s">
        <v>27</v>
      </c>
      <c r="C433" s="1331"/>
      <c r="D433" s="1317"/>
      <c r="E433" s="1317" t="s">
        <v>3</v>
      </c>
      <c r="F433" s="1317"/>
      <c r="G433" s="1327">
        <f>ARBETSBLAD!G595</f>
        <v>0</v>
      </c>
      <c r="H433" s="1327"/>
      <c r="I433" s="1277"/>
      <c r="J433" s="1277"/>
      <c r="K433" s="1277"/>
      <c r="L433" s="1277"/>
      <c r="M433" s="1277"/>
      <c r="N433" s="1277"/>
      <c r="O433" s="1277"/>
      <c r="P433" s="1277"/>
      <c r="Q433" s="1277"/>
      <c r="R433" s="1277"/>
      <c r="S433" s="1277"/>
      <c r="T433" s="1277"/>
      <c r="U433" s="1277"/>
      <c r="V433" s="1277"/>
      <c r="W433" s="1277"/>
      <c r="X433" s="1277"/>
      <c r="Y433" s="1277"/>
      <c r="Z433" s="1277"/>
      <c r="AA433" s="1277"/>
      <c r="AB433" s="1277"/>
      <c r="AC433" s="1277"/>
      <c r="AD433" s="1277"/>
      <c r="AE433" s="1277"/>
      <c r="AF433" s="1277"/>
      <c r="AG433" s="1277"/>
      <c r="AH433" s="1277"/>
      <c r="AI433" s="1277"/>
      <c r="AJ433" s="1277"/>
      <c r="AK433" s="1277"/>
      <c r="AL433" s="1277"/>
      <c r="AM433" s="1277"/>
      <c r="AN433" s="1034"/>
      <c r="AO433" s="1938"/>
      <c r="AP433" s="1037"/>
      <c r="AQ433" s="1037"/>
    </row>
    <row r="434" spans="1:43" s="1005" customFormat="1" ht="12.75" hidden="1" customHeight="1">
      <c r="A434" s="1277"/>
      <c r="B434" s="1317"/>
      <c r="C434" s="1317"/>
      <c r="D434" s="1317"/>
      <c r="E434" s="1317"/>
      <c r="F434" s="1317"/>
      <c r="G434" s="1317"/>
      <c r="H434" s="1317"/>
      <c r="I434" s="1277"/>
      <c r="J434" s="1277"/>
      <c r="K434" s="1277"/>
      <c r="L434" s="1277"/>
      <c r="M434" s="1277"/>
      <c r="N434" s="1277"/>
      <c r="O434" s="1277"/>
      <c r="P434" s="1277"/>
      <c r="Q434" s="1277"/>
      <c r="R434" s="1277"/>
      <c r="S434" s="1277"/>
      <c r="T434" s="1277"/>
      <c r="U434" s="1277"/>
      <c r="V434" s="1277"/>
      <c r="W434" s="1277"/>
      <c r="X434" s="1277"/>
      <c r="Y434" s="1277"/>
      <c r="Z434" s="1277"/>
      <c r="AA434" s="1277"/>
      <c r="AB434" s="1277"/>
      <c r="AC434" s="1277"/>
      <c r="AD434" s="1277"/>
      <c r="AE434" s="1277"/>
      <c r="AF434" s="1277"/>
      <c r="AG434" s="1277"/>
      <c r="AH434" s="1277"/>
      <c r="AI434" s="1277"/>
      <c r="AJ434" s="1277"/>
      <c r="AK434" s="1277"/>
      <c r="AL434" s="1277"/>
      <c r="AM434" s="1277"/>
      <c r="AN434" s="1034"/>
      <c r="AO434" s="1938"/>
      <c r="AP434" s="1037"/>
      <c r="AQ434" s="1037"/>
    </row>
    <row r="435" spans="1:43" s="1005" customFormat="1" ht="12.75" hidden="1" customHeight="1">
      <c r="A435" s="1277"/>
      <c r="B435" s="1317" t="s">
        <v>35</v>
      </c>
      <c r="C435" s="1317"/>
      <c r="D435" s="1317"/>
      <c r="E435" s="1317">
        <f>IF($C$422=2,0,IF($C$422=1,1))</f>
        <v>1</v>
      </c>
      <c r="F435" s="1317" t="s">
        <v>1129</v>
      </c>
      <c r="G435" s="1327">
        <v>1.0000000000000001E-5</v>
      </c>
      <c r="H435" s="1327"/>
      <c r="I435" s="1277"/>
      <c r="J435" s="1277"/>
      <c r="K435" s="1277"/>
      <c r="L435" s="1277"/>
      <c r="M435" s="1277"/>
      <c r="N435" s="1277"/>
      <c r="O435" s="1277"/>
      <c r="P435" s="1277"/>
      <c r="Q435" s="1277"/>
      <c r="R435" s="1277"/>
      <c r="S435" s="1277"/>
      <c r="T435" s="1277"/>
      <c r="U435" s="1277"/>
      <c r="V435" s="1277"/>
      <c r="W435" s="1277"/>
      <c r="X435" s="1277"/>
      <c r="Y435" s="1277"/>
      <c r="Z435" s="1277"/>
      <c r="AA435" s="1277"/>
      <c r="AB435" s="1277"/>
      <c r="AC435" s="1277"/>
      <c r="AD435" s="1277"/>
      <c r="AE435" s="1277"/>
      <c r="AF435" s="1277"/>
      <c r="AG435" s="1277"/>
      <c r="AH435" s="1277"/>
      <c r="AI435" s="1277"/>
      <c r="AJ435" s="1277"/>
      <c r="AK435" s="1277"/>
      <c r="AL435" s="1277"/>
      <c r="AM435" s="1277"/>
      <c r="AN435" s="1034"/>
      <c r="AO435" s="1938"/>
      <c r="AP435" s="1037"/>
      <c r="AQ435" s="1037"/>
    </row>
    <row r="436" spans="1:43" s="1005" customFormat="1" ht="12.75" hidden="1" customHeight="1">
      <c r="A436" s="115"/>
      <c r="B436" s="1317" t="s">
        <v>36</v>
      </c>
      <c r="C436" s="1317"/>
      <c r="D436" s="1317"/>
      <c r="E436" s="1317">
        <f>IF($C$422=2,0,IF($C$422=1,2))</f>
        <v>2</v>
      </c>
      <c r="F436" s="1317" t="s">
        <v>1130</v>
      </c>
      <c r="G436" s="1327">
        <v>0.25</v>
      </c>
      <c r="H436" s="1327"/>
      <c r="I436" s="1277"/>
      <c r="J436" s="1277"/>
      <c r="K436" s="1277"/>
      <c r="L436" s="1277"/>
      <c r="M436" s="1277"/>
      <c r="N436" s="1277"/>
      <c r="O436" s="1277"/>
      <c r="P436" s="1277"/>
      <c r="Q436" s="1277"/>
      <c r="R436" s="1277"/>
      <c r="S436" s="1277"/>
      <c r="T436" s="1277"/>
      <c r="U436" s="1277"/>
      <c r="V436" s="1277"/>
      <c r="W436" s="1277"/>
      <c r="X436" s="1277"/>
      <c r="Y436" s="1277"/>
      <c r="Z436" s="1277"/>
      <c r="AA436" s="1277"/>
      <c r="AB436" s="1277"/>
      <c r="AC436" s="1277"/>
      <c r="AD436" s="1277"/>
      <c r="AE436" s="1277"/>
      <c r="AF436" s="1277"/>
      <c r="AG436" s="1277"/>
      <c r="AH436" s="1277"/>
      <c r="AI436" s="1277"/>
      <c r="AJ436" s="1277"/>
      <c r="AK436" s="1277"/>
      <c r="AL436" s="1277"/>
      <c r="AM436" s="1277"/>
      <c r="AN436" s="1034"/>
      <c r="AO436" s="1938"/>
      <c r="AP436" s="1037"/>
      <c r="AQ436" s="1037"/>
    </row>
    <row r="437" spans="1:43" s="1005" customFormat="1" ht="12.75" hidden="1" customHeight="1">
      <c r="A437" s="1290"/>
      <c r="B437" s="1317" t="s">
        <v>37</v>
      </c>
      <c r="C437" s="1317"/>
      <c r="D437" s="1317"/>
      <c r="E437" s="1317">
        <f>IF($C$422=2,0,IF($C$422=1,3))</f>
        <v>3</v>
      </c>
      <c r="F437" s="1317" t="s">
        <v>1131</v>
      </c>
      <c r="G437" s="1317"/>
      <c r="H437" s="1317"/>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277"/>
      <c r="AH437" s="115"/>
      <c r="AI437" s="115"/>
      <c r="AJ437" s="115"/>
      <c r="AK437" s="115"/>
      <c r="AL437" s="115"/>
      <c r="AM437" s="115"/>
      <c r="AN437" s="1034"/>
      <c r="AO437" s="1938"/>
      <c r="AP437" s="1037"/>
      <c r="AQ437" s="1037"/>
    </row>
    <row r="438" spans="1:43" s="1009" customFormat="1" ht="12.75" hidden="1" customHeight="1">
      <c r="A438" s="1290"/>
      <c r="B438" s="1317" t="s">
        <v>38</v>
      </c>
      <c r="C438" s="1317"/>
      <c r="D438" s="1317"/>
      <c r="E438" s="1317">
        <f>IF($C$422=2,0,IF($C$422=1,4))</f>
        <v>4</v>
      </c>
      <c r="F438" s="1317" t="s">
        <v>1132</v>
      </c>
      <c r="G438" s="1317"/>
      <c r="H438" s="1317"/>
      <c r="I438" s="1290"/>
      <c r="J438" s="1290"/>
      <c r="K438" s="1290"/>
      <c r="L438" s="1290"/>
      <c r="M438" s="1290"/>
      <c r="N438" s="1290"/>
      <c r="O438" s="1290"/>
      <c r="P438" s="1290"/>
      <c r="Q438" s="1290"/>
      <c r="R438" s="1290"/>
      <c r="S438" s="1290"/>
      <c r="T438" s="1290"/>
      <c r="U438" s="1290"/>
      <c r="V438" s="1290"/>
      <c r="W438" s="1290"/>
      <c r="X438" s="1290"/>
      <c r="Y438" s="1290"/>
      <c r="Z438" s="1290"/>
      <c r="AA438" s="1290"/>
      <c r="AB438" s="1290"/>
      <c r="AC438" s="1290"/>
      <c r="AD438" s="1290"/>
      <c r="AE438" s="1290"/>
      <c r="AF438" s="1290"/>
      <c r="AG438" s="1290"/>
      <c r="AH438" s="1290"/>
      <c r="AI438" s="1290"/>
      <c r="AJ438" s="1290"/>
      <c r="AK438" s="1290"/>
      <c r="AL438" s="1290"/>
      <c r="AM438" s="1290"/>
      <c r="AN438" s="1031"/>
      <c r="AO438" s="1016"/>
      <c r="AP438" s="1084"/>
      <c r="AQ438" s="1084"/>
    </row>
    <row r="439" spans="1:43" ht="12.75" hidden="1" customHeight="1">
      <c r="A439" s="1290"/>
      <c r="B439" s="1317" t="s">
        <v>39</v>
      </c>
      <c r="C439" s="1317"/>
      <c r="D439" s="1317"/>
      <c r="E439" s="1317">
        <f>IF($C$422=2,0,IF($C$422=1,5))</f>
        <v>5</v>
      </c>
      <c r="F439" s="1317" t="s">
        <v>1133</v>
      </c>
      <c r="G439" s="1317"/>
      <c r="H439" s="1317"/>
      <c r="I439" s="1290"/>
      <c r="J439" s="1290"/>
      <c r="K439" s="1290"/>
      <c r="L439" s="1290"/>
      <c r="M439" s="1290"/>
      <c r="N439" s="1290"/>
      <c r="O439" s="1290"/>
      <c r="P439" s="1290"/>
      <c r="Q439" s="1290"/>
      <c r="R439" s="1290"/>
      <c r="S439" s="1290"/>
      <c r="T439" s="1290"/>
      <c r="U439" s="1290"/>
      <c r="V439" s="1290"/>
      <c r="W439" s="1290"/>
      <c r="X439" s="1290"/>
      <c r="Y439" s="1290"/>
      <c r="Z439" s="1290"/>
      <c r="AA439" s="1290"/>
      <c r="AB439" s="1290"/>
      <c r="AC439" s="1290"/>
      <c r="AD439" s="1290"/>
      <c r="AE439" s="1290"/>
      <c r="AF439" s="1290"/>
      <c r="AG439" s="1290"/>
      <c r="AH439" s="1290"/>
      <c r="AI439" s="1290"/>
      <c r="AJ439" s="1290"/>
      <c r="AK439" s="1290"/>
      <c r="AL439" s="1290"/>
      <c r="AM439" s="1290"/>
      <c r="AN439" s="1031"/>
      <c r="AO439" s="1034"/>
    </row>
    <row r="440" spans="1:43" ht="12.75" hidden="1" customHeight="1">
      <c r="A440" s="1290"/>
      <c r="B440" s="1317" t="s">
        <v>40</v>
      </c>
      <c r="C440" s="1317"/>
      <c r="D440" s="1317"/>
      <c r="E440" s="1317">
        <f>IF($C$422=2,0,IF($C$422=1,6))</f>
        <v>6</v>
      </c>
      <c r="F440" s="1317" t="s">
        <v>1134</v>
      </c>
      <c r="G440" s="1317"/>
      <c r="H440" s="1317"/>
      <c r="I440" s="1290"/>
      <c r="J440" s="1290"/>
      <c r="K440" s="1290"/>
      <c r="L440" s="1290"/>
      <c r="M440" s="1290"/>
      <c r="N440" s="1290"/>
      <c r="O440" s="1290"/>
      <c r="P440" s="1290"/>
      <c r="Q440" s="1290"/>
      <c r="R440" s="1290"/>
      <c r="S440" s="1290"/>
      <c r="T440" s="1290"/>
      <c r="U440" s="1290"/>
      <c r="V440" s="1290"/>
      <c r="W440" s="1290"/>
      <c r="X440" s="1290"/>
      <c r="Y440" s="1290"/>
      <c r="Z440" s="1290"/>
      <c r="AA440" s="1290"/>
      <c r="AB440" s="1290"/>
      <c r="AC440" s="1290"/>
      <c r="AD440" s="1290"/>
      <c r="AE440" s="1290"/>
      <c r="AF440" s="1290"/>
      <c r="AG440" s="1290"/>
      <c r="AH440" s="1290"/>
      <c r="AI440" s="1290"/>
      <c r="AJ440" s="1290"/>
      <c r="AK440" s="1290"/>
      <c r="AL440" s="1290"/>
      <c r="AM440" s="1290"/>
      <c r="AN440" s="1031"/>
      <c r="AO440" s="1034"/>
    </row>
    <row r="441" spans="1:43" ht="12.75" hidden="1" customHeight="1">
      <c r="A441" s="1290"/>
      <c r="B441" s="1317" t="s">
        <v>41</v>
      </c>
      <c r="C441" s="1317"/>
      <c r="D441" s="1317"/>
      <c r="E441" s="1317">
        <v>7</v>
      </c>
      <c r="F441" s="1317" t="s">
        <v>1135</v>
      </c>
      <c r="G441" s="1317"/>
      <c r="H441" s="1317"/>
      <c r="I441" s="1290"/>
      <c r="J441" s="1290"/>
      <c r="K441" s="1290"/>
      <c r="L441" s="1290"/>
      <c r="M441" s="1290"/>
      <c r="N441" s="1290"/>
      <c r="O441" s="1290"/>
      <c r="P441" s="1290"/>
      <c r="Q441" s="1290"/>
      <c r="R441" s="1290"/>
      <c r="S441" s="1290"/>
      <c r="T441" s="1290"/>
      <c r="U441" s="1290"/>
      <c r="V441" s="1290"/>
      <c r="W441" s="1290"/>
      <c r="X441" s="1290"/>
      <c r="Y441" s="1290"/>
      <c r="Z441" s="1290"/>
      <c r="AA441" s="1290"/>
      <c r="AB441" s="1290"/>
      <c r="AC441" s="1290"/>
      <c r="AD441" s="1290"/>
      <c r="AE441" s="1290"/>
      <c r="AF441" s="1290"/>
      <c r="AG441" s="1290"/>
      <c r="AH441" s="1290"/>
      <c r="AI441" s="1290"/>
      <c r="AJ441" s="1290"/>
      <c r="AK441" s="1290"/>
      <c r="AL441" s="1290"/>
      <c r="AM441" s="1290"/>
      <c r="AN441" s="1031"/>
      <c r="AO441" s="1018"/>
    </row>
    <row r="442" spans="1:43" ht="12.75" hidden="1" customHeight="1">
      <c r="A442" s="1290"/>
      <c r="B442" s="1317" t="s">
        <v>42</v>
      </c>
      <c r="C442" s="1317"/>
      <c r="D442" s="1317"/>
      <c r="E442" s="1317">
        <v>8</v>
      </c>
      <c r="F442" s="1317" t="s">
        <v>1136</v>
      </c>
      <c r="G442" s="1317"/>
      <c r="H442" s="1317"/>
      <c r="I442" s="1290"/>
      <c r="J442" s="1290"/>
      <c r="K442" s="1290"/>
      <c r="L442" s="1290"/>
      <c r="M442" s="1290"/>
      <c r="N442" s="1290"/>
      <c r="O442" s="1290"/>
      <c r="P442" s="1290"/>
      <c r="Q442" s="1290"/>
      <c r="R442" s="1290"/>
      <c r="S442" s="1290"/>
      <c r="T442" s="1290"/>
      <c r="U442" s="1290"/>
      <c r="V442" s="1290"/>
      <c r="W442" s="1290"/>
      <c r="X442" s="1290"/>
      <c r="Y442" s="1290"/>
      <c r="Z442" s="1290"/>
      <c r="AA442" s="1290"/>
      <c r="AB442" s="1290"/>
      <c r="AC442" s="1290"/>
      <c r="AD442" s="1290"/>
      <c r="AE442" s="1290"/>
      <c r="AF442" s="1290"/>
      <c r="AG442" s="1290"/>
      <c r="AH442" s="1290"/>
      <c r="AI442" s="1290"/>
      <c r="AJ442" s="1290"/>
      <c r="AK442" s="1290"/>
      <c r="AL442" s="1290"/>
      <c r="AM442" s="1290"/>
      <c r="AN442" s="1031"/>
    </row>
    <row r="443" spans="1:43" ht="12.75" hidden="1" customHeight="1">
      <c r="A443" s="1290"/>
      <c r="B443" s="1317" t="s">
        <v>43</v>
      </c>
      <c r="C443" s="1317"/>
      <c r="D443" s="1317"/>
      <c r="E443" s="1317">
        <v>9</v>
      </c>
      <c r="F443" s="1317" t="s">
        <v>1137</v>
      </c>
      <c r="G443" s="1317"/>
      <c r="H443" s="1317"/>
      <c r="I443" s="1290"/>
      <c r="J443" s="1290"/>
      <c r="K443" s="1290"/>
      <c r="L443" s="1290"/>
      <c r="M443" s="1290"/>
      <c r="N443" s="1290"/>
      <c r="O443" s="1290"/>
      <c r="P443" s="1290"/>
      <c r="Q443" s="1290"/>
      <c r="R443" s="1290"/>
      <c r="S443" s="1290"/>
      <c r="T443" s="1290"/>
      <c r="U443" s="1290"/>
      <c r="V443" s="1290"/>
      <c r="W443" s="1290"/>
      <c r="X443" s="1290"/>
      <c r="Y443" s="1290"/>
      <c r="Z443" s="1290"/>
      <c r="AA443" s="1290"/>
      <c r="AB443" s="1290"/>
      <c r="AC443" s="1290"/>
      <c r="AD443" s="1290"/>
      <c r="AE443" s="1290"/>
      <c r="AF443" s="1290"/>
      <c r="AG443" s="1290"/>
      <c r="AH443" s="1290"/>
      <c r="AI443" s="1290"/>
      <c r="AJ443" s="1290"/>
      <c r="AK443" s="1290"/>
      <c r="AL443" s="1290"/>
      <c r="AM443" s="1290"/>
      <c r="AN443" s="1031"/>
    </row>
    <row r="444" spans="1:43" ht="12.75" hidden="1" customHeight="1">
      <c r="A444" s="1290"/>
      <c r="B444" s="1317" t="s">
        <v>44</v>
      </c>
      <c r="C444" s="1317"/>
      <c r="D444" s="1317"/>
      <c r="E444" s="1317">
        <v>10</v>
      </c>
      <c r="F444" s="1317" t="s">
        <v>1138</v>
      </c>
      <c r="G444" s="1317"/>
      <c r="H444" s="1317"/>
      <c r="I444" s="1290"/>
      <c r="J444" s="1290"/>
      <c r="K444" s="1290"/>
      <c r="L444" s="1290"/>
      <c r="M444" s="1290"/>
      <c r="N444" s="1290"/>
      <c r="O444" s="1290"/>
      <c r="P444" s="1290"/>
      <c r="Q444" s="1290"/>
      <c r="R444" s="1290"/>
      <c r="S444" s="1290"/>
      <c r="T444" s="1290"/>
      <c r="U444" s="1290"/>
      <c r="V444" s="1290"/>
      <c r="W444" s="1290"/>
      <c r="X444" s="1290"/>
      <c r="Y444" s="1290"/>
      <c r="Z444" s="1290"/>
      <c r="AA444" s="1290"/>
      <c r="AB444" s="1290"/>
      <c r="AC444" s="1290"/>
      <c r="AD444" s="1290"/>
      <c r="AE444" s="1290"/>
      <c r="AF444" s="1290"/>
      <c r="AG444" s="1290"/>
      <c r="AH444" s="1290"/>
      <c r="AI444" s="1290"/>
      <c r="AJ444" s="1290"/>
      <c r="AK444" s="1290"/>
      <c r="AL444" s="1290"/>
      <c r="AM444" s="1290"/>
      <c r="AN444" s="1031"/>
      <c r="AP444" s="1037"/>
    </row>
    <row r="445" spans="1:43" ht="12.75" hidden="1" customHeight="1">
      <c r="A445" s="1290"/>
      <c r="B445" s="1317" t="s">
        <v>45</v>
      </c>
      <c r="C445" s="1317"/>
      <c r="D445" s="1317"/>
      <c r="E445" s="1317">
        <v>11</v>
      </c>
      <c r="F445" s="1317" t="s">
        <v>1139</v>
      </c>
      <c r="G445" s="1317"/>
      <c r="H445" s="1317"/>
      <c r="I445" s="1290"/>
      <c r="J445" s="1290"/>
      <c r="K445" s="1290"/>
      <c r="L445" s="1290"/>
      <c r="M445" s="1290"/>
      <c r="N445" s="1290"/>
      <c r="O445" s="1290"/>
      <c r="P445" s="1290"/>
      <c r="Q445" s="1290"/>
      <c r="R445" s="1290"/>
      <c r="S445" s="1290"/>
      <c r="T445" s="1290"/>
      <c r="U445" s="1290"/>
      <c r="V445" s="1290"/>
      <c r="W445" s="1290"/>
      <c r="X445" s="1290"/>
      <c r="Y445" s="1290"/>
      <c r="Z445" s="1290"/>
      <c r="AA445" s="1290"/>
      <c r="AB445" s="1290"/>
      <c r="AC445" s="1290"/>
      <c r="AD445" s="1290"/>
      <c r="AE445" s="1290"/>
      <c r="AF445" s="1290"/>
      <c r="AG445" s="1290"/>
      <c r="AH445" s="1290"/>
      <c r="AI445" s="1290"/>
      <c r="AJ445" s="1290"/>
      <c r="AK445" s="1290"/>
      <c r="AL445" s="1290"/>
      <c r="AM445" s="1290"/>
      <c r="AN445" s="1031"/>
      <c r="AO445" s="1812"/>
      <c r="AP445" s="1813"/>
      <c r="AQ445" s="1812"/>
    </row>
    <row r="446" spans="1:43" ht="12.75" hidden="1" customHeight="1">
      <c r="A446" s="1290"/>
      <c r="B446" s="1317" t="s">
        <v>5</v>
      </c>
      <c r="C446" s="1317"/>
      <c r="D446" s="1317"/>
      <c r="E446" s="1317">
        <v>12</v>
      </c>
      <c r="F446" s="1317" t="s">
        <v>1140</v>
      </c>
      <c r="G446" s="1317"/>
      <c r="H446" s="1317"/>
      <c r="I446" s="1290"/>
      <c r="J446" s="1290"/>
      <c r="K446" s="1290"/>
      <c r="L446" s="1290"/>
      <c r="M446" s="1290"/>
      <c r="N446" s="1290"/>
      <c r="O446" s="1290"/>
      <c r="P446" s="1290"/>
      <c r="Q446" s="1290"/>
      <c r="R446" s="1290"/>
      <c r="S446" s="1290"/>
      <c r="T446" s="1290"/>
      <c r="U446" s="1290"/>
      <c r="V446" s="1290"/>
      <c r="W446" s="1290"/>
      <c r="X446" s="1290"/>
      <c r="Y446" s="1290"/>
      <c r="Z446" s="1290"/>
      <c r="AA446" s="1290"/>
      <c r="AB446" s="1290"/>
      <c r="AC446" s="1290"/>
      <c r="AD446" s="1290"/>
      <c r="AE446" s="1290"/>
      <c r="AF446" s="1290"/>
      <c r="AG446" s="1290"/>
      <c r="AH446" s="1290"/>
      <c r="AI446" s="1290"/>
      <c r="AJ446" s="1290"/>
      <c r="AK446" s="1290"/>
      <c r="AL446" s="1290"/>
      <c r="AM446" s="1290"/>
      <c r="AN446" s="1031"/>
      <c r="AO446" s="1813"/>
      <c r="AP446" s="1812"/>
    </row>
    <row r="447" spans="1:43" ht="12.75" hidden="1" customHeight="1">
      <c r="A447" s="1290"/>
      <c r="B447" s="1317"/>
      <c r="C447" s="1317"/>
      <c r="D447" s="1317"/>
      <c r="E447" s="1317">
        <v>13</v>
      </c>
      <c r="F447" s="1317"/>
      <c r="G447" s="1317"/>
      <c r="H447" s="1317"/>
      <c r="I447" s="1290"/>
      <c r="J447" s="1290"/>
      <c r="K447" s="1290"/>
      <c r="L447" s="1290"/>
      <c r="M447" s="1290"/>
      <c r="N447" s="1290"/>
      <c r="O447" s="1290"/>
      <c r="P447" s="1290"/>
      <c r="Q447" s="1290"/>
      <c r="R447" s="1290"/>
      <c r="S447" s="1290"/>
      <c r="T447" s="1290"/>
      <c r="U447" s="1290"/>
      <c r="V447" s="1290"/>
      <c r="W447" s="1290"/>
      <c r="X447" s="1290"/>
      <c r="Y447" s="1290"/>
      <c r="Z447" s="1290"/>
      <c r="AA447" s="1290"/>
      <c r="AB447" s="1290"/>
      <c r="AC447" s="1290"/>
      <c r="AD447" s="1290"/>
      <c r="AE447" s="1290"/>
      <c r="AF447" s="1290"/>
      <c r="AG447" s="1290"/>
      <c r="AH447" s="1290"/>
      <c r="AI447" s="1290"/>
      <c r="AJ447" s="1290"/>
      <c r="AK447" s="1290"/>
      <c r="AL447" s="1290"/>
      <c r="AM447" s="1290"/>
      <c r="AN447" s="1031"/>
      <c r="AO447" s="1812"/>
    </row>
    <row r="448" spans="1:43" ht="12.75" hidden="1" customHeight="1">
      <c r="A448" s="1290"/>
      <c r="B448" s="2988" t="s">
        <v>293</v>
      </c>
      <c r="C448" s="1344" t="s">
        <v>294</v>
      </c>
      <c r="D448" s="1317"/>
      <c r="E448" s="1317">
        <v>14</v>
      </c>
      <c r="F448" s="1317"/>
      <c r="G448" s="1317"/>
      <c r="H448" s="1317"/>
      <c r="I448" s="1290"/>
      <c r="J448" s="1290"/>
      <c r="K448" s="1290"/>
      <c r="L448" s="1290"/>
      <c r="M448" s="1290"/>
      <c r="N448" s="1290"/>
      <c r="O448" s="1290"/>
      <c r="P448" s="1290"/>
      <c r="Q448" s="1290"/>
      <c r="R448" s="1290"/>
      <c r="S448" s="1290"/>
      <c r="T448" s="1290"/>
      <c r="U448" s="1290"/>
      <c r="V448" s="1290"/>
      <c r="W448" s="1290"/>
      <c r="X448" s="1290"/>
      <c r="Y448" s="1290"/>
      <c r="Z448" s="1290"/>
      <c r="AA448" s="1290"/>
      <c r="AB448" s="1290"/>
      <c r="AC448" s="1290"/>
      <c r="AD448" s="1290"/>
      <c r="AE448" s="1290"/>
      <c r="AF448" s="1290"/>
      <c r="AG448" s="1290"/>
      <c r="AH448" s="1290"/>
      <c r="AI448" s="1290"/>
      <c r="AJ448" s="1290"/>
      <c r="AK448" s="1290"/>
      <c r="AL448" s="1290"/>
      <c r="AM448" s="1290"/>
      <c r="AN448" s="1031"/>
      <c r="AO448" s="1812"/>
    </row>
    <row r="449" spans="1:41" ht="12.75" hidden="1" customHeight="1">
      <c r="A449" s="1290"/>
      <c r="B449" s="2989"/>
      <c r="C449" s="1344" t="s">
        <v>295</v>
      </c>
      <c r="D449" s="1317"/>
      <c r="E449" s="1317">
        <v>15</v>
      </c>
      <c r="F449" s="1317"/>
      <c r="G449" s="1317"/>
      <c r="H449" s="1317"/>
      <c r="I449" s="1290"/>
      <c r="J449" s="1290"/>
      <c r="K449" s="1290"/>
      <c r="L449" s="1290"/>
      <c r="M449" s="1290"/>
      <c r="N449" s="1290"/>
      <c r="O449" s="1290"/>
      <c r="P449" s="1290"/>
      <c r="Q449" s="1290"/>
      <c r="R449" s="1290"/>
      <c r="S449" s="1290"/>
      <c r="T449" s="1290"/>
      <c r="U449" s="1290"/>
      <c r="V449" s="1290"/>
      <c r="W449" s="1290"/>
      <c r="X449" s="1290"/>
      <c r="Y449" s="1290"/>
      <c r="Z449" s="1290"/>
      <c r="AA449" s="1290"/>
      <c r="AB449" s="1290"/>
      <c r="AC449" s="1290"/>
      <c r="AD449" s="1290"/>
      <c r="AE449" s="1290"/>
      <c r="AF449" s="1290"/>
      <c r="AG449" s="1290"/>
      <c r="AH449" s="1290"/>
      <c r="AI449" s="1290"/>
      <c r="AJ449" s="1290"/>
      <c r="AK449" s="1290"/>
      <c r="AL449" s="1290"/>
      <c r="AM449" s="1290"/>
      <c r="AN449" s="1031"/>
      <c r="AO449" s="1814"/>
    </row>
    <row r="450" spans="1:41" ht="12.75" hidden="1" customHeight="1">
      <c r="A450" s="1290"/>
      <c r="B450" s="1317"/>
      <c r="C450" s="1317"/>
      <c r="D450" s="1317"/>
      <c r="E450" s="1317">
        <v>16</v>
      </c>
      <c r="F450" s="1317"/>
      <c r="G450" s="1317"/>
      <c r="H450" s="1317"/>
      <c r="I450" s="1290"/>
      <c r="J450" s="1290"/>
      <c r="K450" s="1290"/>
      <c r="L450" s="1290"/>
      <c r="M450" s="1290"/>
      <c r="N450" s="1290"/>
      <c r="O450" s="1290"/>
      <c r="P450" s="1290"/>
      <c r="Q450" s="1290"/>
      <c r="R450" s="1290"/>
      <c r="S450" s="1290"/>
      <c r="T450" s="1290"/>
      <c r="U450" s="1290"/>
      <c r="V450" s="1290"/>
      <c r="W450" s="1290"/>
      <c r="X450" s="1290"/>
      <c r="Y450" s="1290"/>
      <c r="Z450" s="1290"/>
      <c r="AA450" s="1290"/>
      <c r="AB450" s="1290"/>
      <c r="AC450" s="1290"/>
      <c r="AD450" s="1290"/>
      <c r="AE450" s="1290"/>
      <c r="AF450" s="1290"/>
      <c r="AG450" s="1290"/>
      <c r="AH450" s="1290"/>
      <c r="AI450" s="1290"/>
      <c r="AJ450" s="1290"/>
      <c r="AK450" s="1290"/>
      <c r="AL450" s="1290"/>
      <c r="AM450" s="1290"/>
      <c r="AN450" s="1031"/>
      <c r="AO450" s="1814"/>
    </row>
    <row r="451" spans="1:41" ht="12.75" hidden="1" customHeight="1">
      <c r="A451" s="1290"/>
      <c r="B451" s="1317">
        <v>2014</v>
      </c>
      <c r="C451" s="1317"/>
      <c r="D451" s="1317"/>
      <c r="E451" s="1317">
        <v>17</v>
      </c>
      <c r="F451" s="1317"/>
      <c r="G451" s="1317"/>
      <c r="H451" s="1317"/>
      <c r="I451" s="1290"/>
      <c r="J451" s="1290"/>
      <c r="K451" s="1290"/>
      <c r="L451" s="1290"/>
      <c r="M451" s="1290"/>
      <c r="N451" s="1290"/>
      <c r="O451" s="1290"/>
      <c r="P451" s="1290"/>
      <c r="Q451" s="1290"/>
      <c r="R451" s="1290"/>
      <c r="S451" s="1290"/>
      <c r="T451" s="1290"/>
      <c r="U451" s="1290"/>
      <c r="V451" s="1290"/>
      <c r="W451" s="1290"/>
      <c r="X451" s="1290"/>
      <c r="Y451" s="1290"/>
      <c r="Z451" s="1290"/>
      <c r="AA451" s="1290"/>
      <c r="AB451" s="1290"/>
      <c r="AC451" s="1290"/>
      <c r="AD451" s="1290"/>
      <c r="AE451" s="1290"/>
      <c r="AF451" s="1290"/>
      <c r="AG451" s="1290"/>
      <c r="AH451" s="1290"/>
      <c r="AI451" s="1290"/>
      <c r="AJ451" s="1290"/>
      <c r="AK451" s="1290"/>
      <c r="AL451" s="1290"/>
      <c r="AM451" s="1290"/>
      <c r="AN451" s="1031"/>
      <c r="AO451" s="1814"/>
    </row>
    <row r="452" spans="1:41" ht="12.75" hidden="1" customHeight="1">
      <c r="A452" s="1290"/>
      <c r="B452" s="1317">
        <v>2015</v>
      </c>
      <c r="C452" s="1317"/>
      <c r="D452" s="1317"/>
      <c r="E452" s="1317">
        <v>18</v>
      </c>
      <c r="F452" s="1317"/>
      <c r="G452" s="1317"/>
      <c r="H452" s="1317"/>
      <c r="I452" s="1290"/>
      <c r="J452" s="1290"/>
      <c r="K452" s="1290"/>
      <c r="L452" s="1290"/>
      <c r="M452" s="1290"/>
      <c r="N452" s="1290"/>
      <c r="O452" s="1290"/>
      <c r="P452" s="1290"/>
      <c r="Q452" s="1290"/>
      <c r="R452" s="1290"/>
      <c r="S452" s="1290"/>
      <c r="T452" s="1290"/>
      <c r="U452" s="1290"/>
      <c r="V452" s="1290"/>
      <c r="W452" s="1290"/>
      <c r="X452" s="1290"/>
      <c r="Y452" s="1290"/>
      <c r="Z452" s="1290"/>
      <c r="AA452" s="1290"/>
      <c r="AB452" s="1290"/>
      <c r="AC452" s="1290"/>
      <c r="AD452" s="1290"/>
      <c r="AE452" s="1290"/>
      <c r="AF452" s="1290"/>
      <c r="AG452" s="1290"/>
      <c r="AH452" s="1290"/>
      <c r="AI452" s="1290"/>
      <c r="AJ452" s="1290"/>
      <c r="AK452" s="1290"/>
      <c r="AL452" s="1290"/>
      <c r="AM452" s="1290"/>
      <c r="AN452" s="1031"/>
      <c r="AO452" s="1814"/>
    </row>
    <row r="453" spans="1:41" ht="12.75" hidden="1" customHeight="1">
      <c r="A453" s="1290"/>
      <c r="B453" s="1317">
        <v>2016</v>
      </c>
      <c r="C453" s="1317"/>
      <c r="D453" s="1317"/>
      <c r="E453" s="1317">
        <v>19</v>
      </c>
      <c r="F453" s="1317"/>
      <c r="G453" s="1317"/>
      <c r="H453" s="1317"/>
      <c r="I453" s="1290"/>
      <c r="J453" s="1290"/>
      <c r="K453" s="1290"/>
      <c r="L453" s="1290"/>
      <c r="M453" s="1290"/>
      <c r="N453" s="1290"/>
      <c r="O453" s="1290"/>
      <c r="P453" s="1290"/>
      <c r="Q453" s="1290"/>
      <c r="R453" s="1290"/>
      <c r="S453" s="1290"/>
      <c r="T453" s="1290"/>
      <c r="U453" s="1290"/>
      <c r="V453" s="1290"/>
      <c r="W453" s="1290"/>
      <c r="X453" s="1290"/>
      <c r="Y453" s="1290"/>
      <c r="Z453" s="1290"/>
      <c r="AA453" s="1290"/>
      <c r="AB453" s="1290"/>
      <c r="AC453" s="1290"/>
      <c r="AD453" s="1290"/>
      <c r="AE453" s="1290"/>
      <c r="AF453" s="1290"/>
      <c r="AG453" s="1290"/>
      <c r="AH453" s="1290"/>
      <c r="AI453" s="1290"/>
      <c r="AJ453" s="1290"/>
      <c r="AK453" s="1290"/>
      <c r="AL453" s="1290"/>
      <c r="AM453" s="1290"/>
      <c r="AN453" s="1031"/>
      <c r="AO453" s="1022"/>
    </row>
    <row r="454" spans="1:41" ht="12.75" hidden="1" customHeight="1">
      <c r="A454" s="1290"/>
      <c r="B454" s="1317">
        <v>2017</v>
      </c>
      <c r="C454" s="1317"/>
      <c r="D454" s="1317"/>
      <c r="E454" s="1317">
        <v>20</v>
      </c>
      <c r="F454" s="1317"/>
      <c r="G454" s="1317"/>
      <c r="H454" s="1317"/>
      <c r="I454" s="1290"/>
      <c r="J454" s="1290"/>
      <c r="K454" s="1290"/>
      <c r="L454" s="1290"/>
      <c r="M454" s="1290"/>
      <c r="N454" s="1290"/>
      <c r="O454" s="1290"/>
      <c r="P454" s="1290"/>
      <c r="Q454" s="1290"/>
      <c r="R454" s="1290"/>
      <c r="S454" s="1290"/>
      <c r="T454" s="1290"/>
      <c r="U454" s="1290"/>
      <c r="V454" s="1290"/>
      <c r="W454" s="1290"/>
      <c r="X454" s="1290"/>
      <c r="Y454" s="1290"/>
      <c r="Z454" s="1290"/>
      <c r="AA454" s="1290"/>
      <c r="AB454" s="1290"/>
      <c r="AC454" s="1290"/>
      <c r="AD454" s="1290"/>
      <c r="AE454" s="1290"/>
      <c r="AF454" s="1290"/>
      <c r="AG454" s="1290"/>
      <c r="AH454" s="1290"/>
      <c r="AI454" s="1290"/>
      <c r="AJ454" s="1290"/>
      <c r="AK454" s="1290"/>
      <c r="AL454" s="1290"/>
      <c r="AM454" s="1290"/>
      <c r="AN454" s="1031"/>
      <c r="AO454" s="1814"/>
    </row>
    <row r="455" spans="1:41" ht="12.75" hidden="1" customHeight="1">
      <c r="A455" s="1290"/>
      <c r="B455" s="1317">
        <v>2018</v>
      </c>
      <c r="C455" s="1317"/>
      <c r="D455" s="1317"/>
      <c r="E455" s="1317">
        <v>21</v>
      </c>
      <c r="F455" s="1317"/>
      <c r="G455" s="1317"/>
      <c r="H455" s="1317"/>
      <c r="I455" s="1290"/>
      <c r="J455" s="1290"/>
      <c r="K455" s="1290"/>
      <c r="L455" s="1290"/>
      <c r="M455" s="1290"/>
      <c r="N455" s="1290"/>
      <c r="O455" s="1290"/>
      <c r="P455" s="1290"/>
      <c r="Q455" s="1290"/>
      <c r="R455" s="1290"/>
      <c r="S455" s="1290"/>
      <c r="T455" s="1290"/>
      <c r="U455" s="1290"/>
      <c r="V455" s="1290"/>
      <c r="W455" s="1290"/>
      <c r="X455" s="1290"/>
      <c r="Y455" s="1290"/>
      <c r="Z455" s="1290"/>
      <c r="AA455" s="1290"/>
      <c r="AB455" s="1290"/>
      <c r="AC455" s="1290"/>
      <c r="AD455" s="1290"/>
      <c r="AE455" s="1290"/>
      <c r="AF455" s="1290"/>
      <c r="AG455" s="1290"/>
      <c r="AH455" s="1290"/>
      <c r="AI455" s="1290"/>
      <c r="AJ455" s="1290"/>
      <c r="AK455" s="1290"/>
      <c r="AL455" s="1290"/>
      <c r="AM455" s="1290"/>
      <c r="AN455" s="1031"/>
      <c r="AO455" s="1814"/>
    </row>
    <row r="456" spans="1:41" ht="12.75" hidden="1" customHeight="1">
      <c r="A456" s="1290"/>
      <c r="B456" s="1317">
        <v>2019</v>
      </c>
      <c r="C456" s="1317"/>
      <c r="D456" s="1317"/>
      <c r="E456" s="1317">
        <v>22</v>
      </c>
      <c r="F456" s="1317"/>
      <c r="G456" s="1317"/>
      <c r="H456" s="1317"/>
      <c r="I456" s="1290"/>
      <c r="J456" s="1290"/>
      <c r="K456" s="1290"/>
      <c r="L456" s="1290"/>
      <c r="M456" s="1290"/>
      <c r="N456" s="1290"/>
      <c r="O456" s="1290"/>
      <c r="P456" s="1290"/>
      <c r="Q456" s="1290"/>
      <c r="R456" s="1290"/>
      <c r="S456" s="1290"/>
      <c r="T456" s="1290"/>
      <c r="U456" s="1290"/>
      <c r="V456" s="1290"/>
      <c r="W456" s="1290"/>
      <c r="X456" s="1290"/>
      <c r="Y456" s="1290"/>
      <c r="Z456" s="1290"/>
      <c r="AA456" s="1290"/>
      <c r="AB456" s="1290"/>
      <c r="AC456" s="1290"/>
      <c r="AD456" s="1290"/>
      <c r="AE456" s="1290"/>
      <c r="AF456" s="1290"/>
      <c r="AG456" s="1290"/>
      <c r="AH456" s="1290"/>
      <c r="AI456" s="1290"/>
      <c r="AJ456" s="1290"/>
      <c r="AK456" s="1290"/>
      <c r="AL456" s="1290"/>
      <c r="AM456" s="1290"/>
      <c r="AN456" s="1031"/>
      <c r="AO456" s="1022"/>
    </row>
    <row r="457" spans="1:41" ht="12.75" hidden="1" customHeight="1">
      <c r="A457" s="1290"/>
      <c r="B457" s="1317">
        <v>2020</v>
      </c>
      <c r="C457" s="1317"/>
      <c r="D457" s="1317"/>
      <c r="E457" s="1317">
        <v>23</v>
      </c>
      <c r="F457" s="1317"/>
      <c r="G457" s="1317"/>
      <c r="H457" s="1317"/>
      <c r="I457" s="1290"/>
      <c r="J457" s="1290"/>
      <c r="K457" s="1290"/>
      <c r="L457" s="1290"/>
      <c r="M457" s="1290"/>
      <c r="N457" s="1290"/>
      <c r="O457" s="1290"/>
      <c r="P457" s="1290"/>
      <c r="Q457" s="1290"/>
      <c r="R457" s="1290"/>
      <c r="S457" s="1290"/>
      <c r="T457" s="1290"/>
      <c r="U457" s="1290"/>
      <c r="V457" s="1290"/>
      <c r="W457" s="1290"/>
      <c r="X457" s="1290"/>
      <c r="Y457" s="1290"/>
      <c r="Z457" s="1290"/>
      <c r="AA457" s="1290"/>
      <c r="AB457" s="1290"/>
      <c r="AC457" s="1290"/>
      <c r="AD457" s="1290"/>
      <c r="AE457" s="1290"/>
      <c r="AF457" s="1290"/>
      <c r="AG457" s="1290"/>
      <c r="AH457" s="1290"/>
      <c r="AI457" s="1290"/>
      <c r="AJ457" s="1290"/>
      <c r="AK457" s="1290"/>
      <c r="AL457" s="1290"/>
      <c r="AM457" s="1290"/>
      <c r="AN457" s="1031"/>
      <c r="AO457" s="1022"/>
    </row>
    <row r="458" spans="1:41" ht="12.75" hidden="1" customHeight="1">
      <c r="A458" s="1290"/>
      <c r="B458" s="1317">
        <v>2021</v>
      </c>
      <c r="C458" s="1317"/>
      <c r="D458" s="1317"/>
      <c r="E458" s="1317">
        <v>24</v>
      </c>
      <c r="F458" s="1317"/>
      <c r="G458" s="1317"/>
      <c r="H458" s="1317"/>
      <c r="I458" s="1290"/>
      <c r="J458" s="1290"/>
      <c r="K458" s="1290"/>
      <c r="L458" s="1290"/>
      <c r="M458" s="1290"/>
      <c r="N458" s="1290"/>
      <c r="O458" s="1290"/>
      <c r="P458" s="1290"/>
      <c r="Q458" s="1290"/>
      <c r="R458" s="1290"/>
      <c r="S458" s="1290"/>
      <c r="T458" s="1290"/>
      <c r="U458" s="1290"/>
      <c r="V458" s="1290"/>
      <c r="W458" s="1290"/>
      <c r="X458" s="1290"/>
      <c r="Y458" s="1290"/>
      <c r="Z458" s="1290"/>
      <c r="AA458" s="1290"/>
      <c r="AB458" s="1290"/>
      <c r="AC458" s="1290"/>
      <c r="AD458" s="1290"/>
      <c r="AE458" s="1290"/>
      <c r="AF458" s="1290"/>
      <c r="AG458" s="1290"/>
      <c r="AH458" s="1290"/>
      <c r="AI458" s="1290"/>
      <c r="AJ458" s="1290"/>
      <c r="AK458" s="1290"/>
      <c r="AL458" s="1290"/>
      <c r="AM458" s="1290"/>
      <c r="AN458" s="1031"/>
      <c r="AO458" s="1022"/>
    </row>
    <row r="459" spans="1:41" ht="12.75" hidden="1" customHeight="1">
      <c r="A459" s="1290"/>
      <c r="B459" s="1317">
        <v>2022</v>
      </c>
      <c r="C459" s="1290"/>
      <c r="D459" s="1290"/>
      <c r="E459" s="1290"/>
      <c r="F459" s="1290"/>
      <c r="G459" s="1290"/>
      <c r="H459" s="1290"/>
      <c r="I459" s="1290"/>
      <c r="J459" s="1290"/>
      <c r="K459" s="1290"/>
      <c r="L459" s="1290"/>
      <c r="M459" s="1290"/>
      <c r="N459" s="1290"/>
      <c r="O459" s="1290"/>
      <c r="P459" s="1290"/>
      <c r="Q459" s="1290"/>
      <c r="R459" s="1290"/>
      <c r="S459" s="1290"/>
      <c r="T459" s="1290"/>
      <c r="U459" s="1290"/>
      <c r="V459" s="1290"/>
      <c r="W459" s="1290"/>
      <c r="X459" s="1290"/>
      <c r="Y459" s="1290"/>
      <c r="Z459" s="1290"/>
      <c r="AA459" s="1290"/>
      <c r="AB459" s="1290"/>
      <c r="AC459" s="1290"/>
      <c r="AD459" s="1290"/>
      <c r="AE459" s="1290"/>
      <c r="AF459" s="1290"/>
      <c r="AG459" s="1290"/>
      <c r="AH459" s="1290"/>
      <c r="AI459" s="1290"/>
      <c r="AJ459" s="1290"/>
      <c r="AK459" s="1290"/>
      <c r="AL459" s="1290"/>
      <c r="AM459" s="1290"/>
      <c r="AN459" s="1031"/>
      <c r="AO459" s="1022"/>
    </row>
    <row r="460" spans="1:41" ht="12.75" hidden="1" customHeight="1">
      <c r="A460" s="1290"/>
      <c r="B460" s="1510" t="s">
        <v>307</v>
      </c>
      <c r="C460" s="1511"/>
      <c r="D460" s="1511"/>
      <c r="E460" s="1511"/>
      <c r="F460" s="1511"/>
      <c r="G460" s="1512">
        <v>1</v>
      </c>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0"/>
      <c r="AB460" s="1290"/>
      <c r="AC460" s="1290"/>
      <c r="AD460" s="1290"/>
      <c r="AE460" s="1290"/>
      <c r="AF460" s="1290"/>
      <c r="AG460" s="1290"/>
      <c r="AH460" s="1290"/>
      <c r="AI460" s="1290"/>
      <c r="AJ460" s="1290"/>
      <c r="AK460" s="1290"/>
      <c r="AL460" s="1290"/>
      <c r="AM460" s="1290"/>
      <c r="AN460" s="1031"/>
      <c r="AO460" s="1022"/>
    </row>
    <row r="461" spans="1:41" ht="12.75" hidden="1" customHeight="1">
      <c r="A461" s="1290"/>
      <c r="B461" s="1514" t="s">
        <v>308</v>
      </c>
      <c r="C461" s="1515"/>
      <c r="D461" s="1515"/>
      <c r="E461" s="1515"/>
      <c r="F461" s="1515"/>
      <c r="G461" s="1516">
        <v>2</v>
      </c>
      <c r="H461" s="1290"/>
      <c r="I461" s="1290"/>
      <c r="J461" s="1290"/>
      <c r="K461" s="1290"/>
      <c r="L461" s="1290"/>
      <c r="M461" s="1290"/>
      <c r="N461" s="1290"/>
      <c r="O461" s="1290"/>
      <c r="P461" s="1290"/>
      <c r="Q461" s="1290"/>
      <c r="R461" s="1290"/>
      <c r="S461" s="1290"/>
      <c r="T461" s="1290"/>
      <c r="U461" s="1290"/>
      <c r="V461" s="1290"/>
      <c r="W461" s="1290"/>
      <c r="X461" s="1290"/>
      <c r="Y461" s="1290"/>
      <c r="Z461" s="1290"/>
      <c r="AA461" s="1290"/>
      <c r="AB461" s="1290"/>
      <c r="AC461" s="1290"/>
      <c r="AD461" s="1290"/>
      <c r="AE461" s="1290"/>
      <c r="AF461" s="1290"/>
      <c r="AG461" s="1290"/>
      <c r="AH461" s="1290"/>
      <c r="AI461" s="1290"/>
      <c r="AJ461" s="1290"/>
      <c r="AK461" s="1290"/>
      <c r="AL461" s="1290"/>
      <c r="AM461" s="1290"/>
      <c r="AN461" s="1031"/>
      <c r="AO461" s="1022"/>
    </row>
    <row r="462" spans="1:41" ht="12.75" hidden="1" customHeight="1">
      <c r="A462" s="1290"/>
      <c r="B462" s="1514" t="s">
        <v>309</v>
      </c>
      <c r="C462" s="1515"/>
      <c r="D462" s="1515"/>
      <c r="E462" s="1515"/>
      <c r="F462" s="1515"/>
      <c r="G462" s="1516">
        <v>3</v>
      </c>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0"/>
      <c r="AB462" s="1290"/>
      <c r="AC462" s="1290"/>
      <c r="AD462" s="1290"/>
      <c r="AE462" s="1290"/>
      <c r="AF462" s="1290"/>
      <c r="AG462" s="1290"/>
      <c r="AH462" s="1290"/>
      <c r="AI462" s="1290"/>
      <c r="AJ462" s="1290"/>
      <c r="AK462" s="1290"/>
      <c r="AL462" s="1290"/>
      <c r="AM462" s="1290"/>
      <c r="AN462" s="1031"/>
      <c r="AO462" s="1022"/>
    </row>
    <row r="463" spans="1:41" ht="12.75" hidden="1" customHeight="1">
      <c r="A463" s="1005"/>
      <c r="B463" s="1290"/>
      <c r="C463" s="1290"/>
      <c r="D463" s="1290"/>
      <c r="E463" s="1290"/>
      <c r="F463" s="1290"/>
      <c r="G463" s="1290"/>
      <c r="H463" s="1290"/>
      <c r="I463" s="1290"/>
      <c r="J463" s="1290"/>
      <c r="K463" s="1290"/>
      <c r="L463" s="1290"/>
      <c r="M463" s="1290"/>
      <c r="N463" s="1290"/>
      <c r="O463" s="1290"/>
      <c r="P463" s="1290"/>
      <c r="Q463" s="1290"/>
      <c r="R463" s="1290"/>
      <c r="S463" s="1290"/>
      <c r="T463" s="1290"/>
      <c r="U463" s="1290"/>
      <c r="V463" s="1290"/>
      <c r="W463" s="1290"/>
      <c r="X463" s="1290"/>
      <c r="Y463" s="1290"/>
      <c r="Z463" s="1290"/>
      <c r="AA463" s="1290"/>
      <c r="AB463" s="1290"/>
      <c r="AC463" s="1290"/>
      <c r="AD463" s="1290"/>
      <c r="AE463" s="1290"/>
      <c r="AF463" s="1290"/>
      <c r="AG463" s="1290"/>
      <c r="AH463" s="1290"/>
      <c r="AI463" s="1290"/>
      <c r="AJ463" s="1290"/>
      <c r="AK463" s="1290"/>
      <c r="AL463" s="1290"/>
      <c r="AM463" s="1290"/>
      <c r="AN463" s="1031"/>
      <c r="AO463" s="1022"/>
    </row>
    <row r="464" spans="1:41" ht="12.75" customHeight="1">
      <c r="A464" s="1005"/>
      <c r="B464" s="1005"/>
      <c r="C464" s="1005"/>
      <c r="D464" s="1005"/>
      <c r="E464" s="1005"/>
      <c r="F464" s="1005"/>
      <c r="G464" s="1005"/>
      <c r="H464" s="1005"/>
      <c r="I464" s="1005"/>
      <c r="J464" s="1005"/>
      <c r="K464" s="1005"/>
      <c r="L464" s="1005"/>
      <c r="M464" s="1005"/>
      <c r="N464" s="1005"/>
      <c r="O464" s="1005"/>
      <c r="P464" s="1005"/>
      <c r="Q464" s="1005"/>
      <c r="R464" s="1005"/>
      <c r="S464" s="1005"/>
      <c r="T464" s="1005"/>
      <c r="U464" s="1005"/>
      <c r="V464" s="1005"/>
      <c r="W464" s="1005"/>
      <c r="X464" s="1005"/>
      <c r="Y464" s="1005"/>
      <c r="Z464" s="1005"/>
      <c r="AA464" s="1005"/>
      <c r="AB464" s="1005"/>
      <c r="AC464" s="1005"/>
      <c r="AD464" s="1005"/>
      <c r="AE464" s="1005"/>
      <c r="AF464" s="1005"/>
      <c r="AG464" s="1005"/>
      <c r="AH464" s="1005"/>
      <c r="AI464" s="1005"/>
      <c r="AJ464" s="1005"/>
      <c r="AK464" s="1005"/>
      <c r="AL464" s="1005"/>
      <c r="AM464" s="1005"/>
      <c r="AN464" s="1031"/>
      <c r="AO464" s="1022"/>
    </row>
    <row r="465" spans="1:41" ht="12.75" customHeight="1">
      <c r="A465" s="1005"/>
      <c r="B465" s="1005"/>
      <c r="C465" s="1005"/>
      <c r="D465" s="1005"/>
      <c r="E465" s="1005"/>
      <c r="F465" s="1005"/>
      <c r="G465" s="1005"/>
      <c r="H465" s="1005"/>
      <c r="I465" s="1005"/>
      <c r="J465" s="1005"/>
      <c r="K465" s="1005"/>
      <c r="L465" s="1005"/>
      <c r="M465" s="1005"/>
      <c r="N465" s="1005"/>
      <c r="O465" s="1005"/>
      <c r="P465" s="1005"/>
      <c r="Q465" s="1005"/>
      <c r="R465" s="1005"/>
      <c r="S465" s="1005"/>
      <c r="T465" s="1005"/>
      <c r="U465" s="1005"/>
      <c r="V465" s="1005"/>
      <c r="W465" s="1005"/>
      <c r="X465" s="1005"/>
      <c r="Y465" s="1005"/>
      <c r="Z465" s="1005"/>
      <c r="AA465" s="1005"/>
      <c r="AB465" s="1005"/>
      <c r="AC465" s="1005"/>
      <c r="AD465" s="1005"/>
      <c r="AE465" s="1005"/>
      <c r="AF465" s="1005"/>
      <c r="AG465" s="1005"/>
      <c r="AH465" s="1005"/>
      <c r="AI465" s="1005"/>
      <c r="AJ465" s="1005"/>
      <c r="AK465" s="1005"/>
      <c r="AL465" s="1005"/>
      <c r="AM465" s="1005"/>
      <c r="AN465" s="1031"/>
      <c r="AO465" s="1022"/>
    </row>
    <row r="466" spans="1:41" ht="12.75" customHeight="1">
      <c r="A466" s="1005"/>
      <c r="B466" s="1005"/>
      <c r="C466" s="1005"/>
      <c r="D466" s="1005"/>
      <c r="E466" s="1005"/>
      <c r="F466" s="1005"/>
      <c r="G466" s="1005"/>
      <c r="H466" s="1005"/>
      <c r="I466" s="1005"/>
      <c r="J466" s="1005"/>
      <c r="K466" s="1005"/>
      <c r="L466" s="1005"/>
      <c r="M466" s="1005"/>
      <c r="N466" s="1005"/>
      <c r="O466" s="1005"/>
      <c r="P466" s="1005"/>
      <c r="Q466" s="1005"/>
      <c r="R466" s="1005"/>
      <c r="S466" s="1005"/>
      <c r="T466" s="1005"/>
      <c r="U466" s="1005"/>
      <c r="V466" s="1005"/>
      <c r="W466" s="1005"/>
      <c r="X466" s="1005"/>
      <c r="Y466" s="1005"/>
      <c r="Z466" s="1005"/>
      <c r="AA466" s="1005"/>
      <c r="AB466" s="1005"/>
      <c r="AC466" s="1005"/>
      <c r="AD466" s="1005"/>
      <c r="AE466" s="1005"/>
      <c r="AF466" s="1005"/>
      <c r="AG466" s="1005"/>
      <c r="AH466" s="1005"/>
      <c r="AI466" s="1005"/>
      <c r="AJ466" s="1005"/>
      <c r="AK466" s="1005"/>
      <c r="AL466" s="1005"/>
      <c r="AM466" s="1005"/>
      <c r="AN466" s="1031"/>
      <c r="AO466" s="1022"/>
    </row>
    <row r="467" spans="1:41" ht="12.75" customHeight="1">
      <c r="A467" s="1005"/>
      <c r="B467" s="1005"/>
      <c r="C467" s="1005"/>
      <c r="D467" s="1005"/>
      <c r="E467" s="1005"/>
      <c r="F467" s="1005"/>
      <c r="G467" s="1005"/>
      <c r="H467" s="1005"/>
      <c r="I467" s="1005"/>
      <c r="J467" s="1005"/>
      <c r="K467" s="1005"/>
      <c r="L467" s="1005"/>
      <c r="M467" s="1005"/>
      <c r="N467" s="1005"/>
      <c r="O467" s="1005"/>
      <c r="P467" s="1005"/>
      <c r="Q467" s="1005"/>
      <c r="R467" s="1005"/>
      <c r="S467" s="1005"/>
      <c r="T467" s="1005"/>
      <c r="U467" s="1005"/>
      <c r="V467" s="1005"/>
      <c r="W467" s="1005"/>
      <c r="X467" s="1005"/>
      <c r="Y467" s="1005"/>
      <c r="Z467" s="1005"/>
      <c r="AA467" s="1005"/>
      <c r="AB467" s="1005"/>
      <c r="AC467" s="1005"/>
      <c r="AD467" s="1005"/>
      <c r="AE467" s="1005"/>
      <c r="AF467" s="1005"/>
      <c r="AG467" s="1005"/>
      <c r="AH467" s="1005"/>
      <c r="AI467" s="1005"/>
      <c r="AJ467" s="1005"/>
      <c r="AK467" s="1005"/>
      <c r="AL467" s="1005"/>
      <c r="AM467" s="1005"/>
      <c r="AN467" s="1031"/>
      <c r="AO467" s="1022"/>
    </row>
    <row r="468" spans="1:41" ht="12.75" customHeight="1">
      <c r="A468" s="1005"/>
      <c r="B468" s="1005"/>
      <c r="C468" s="1005"/>
      <c r="D468" s="1005"/>
      <c r="E468" s="1005"/>
      <c r="F468" s="1005"/>
      <c r="G468" s="1005"/>
      <c r="H468" s="1005"/>
      <c r="I468" s="1005"/>
      <c r="J468" s="1005"/>
      <c r="K468" s="1005"/>
      <c r="L468" s="1005"/>
      <c r="M468" s="1005"/>
      <c r="N468" s="1005"/>
      <c r="O468" s="1005"/>
      <c r="P468" s="1005"/>
      <c r="Q468" s="1005"/>
      <c r="R468" s="1005"/>
      <c r="S468" s="1005"/>
      <c r="T468" s="1005"/>
      <c r="U468" s="1005"/>
      <c r="V468" s="1005"/>
      <c r="W468" s="1005"/>
      <c r="X468" s="1005"/>
      <c r="Y468" s="1005"/>
      <c r="Z468" s="1005"/>
      <c r="AA468" s="1005"/>
      <c r="AB468" s="1005"/>
      <c r="AC468" s="1005"/>
      <c r="AD468" s="1005"/>
      <c r="AE468" s="1005"/>
      <c r="AF468" s="1005"/>
      <c r="AG468" s="1005"/>
      <c r="AH468" s="1005"/>
      <c r="AI468" s="1005"/>
      <c r="AJ468" s="1005"/>
      <c r="AK468" s="1005"/>
      <c r="AL468" s="1005"/>
      <c r="AM468" s="1005"/>
      <c r="AN468" s="1031"/>
      <c r="AO468" s="1022"/>
    </row>
    <row r="469" spans="1:41" ht="12.75" customHeight="1">
      <c r="A469" s="1005"/>
      <c r="B469" s="1005"/>
      <c r="C469" s="1005"/>
      <c r="D469" s="1005"/>
      <c r="E469" s="1005"/>
      <c r="F469" s="1005"/>
      <c r="G469" s="1005"/>
      <c r="H469" s="1005"/>
      <c r="I469" s="1005"/>
      <c r="J469" s="1005"/>
      <c r="K469" s="1005"/>
      <c r="L469" s="1005"/>
      <c r="M469" s="1005"/>
      <c r="N469" s="1005"/>
      <c r="O469" s="1005"/>
      <c r="P469" s="1005"/>
      <c r="Q469" s="1005"/>
      <c r="R469" s="1005"/>
      <c r="S469" s="1005"/>
      <c r="T469" s="1005"/>
      <c r="U469" s="1005"/>
      <c r="V469" s="1005"/>
      <c r="W469" s="1005"/>
      <c r="X469" s="1005"/>
      <c r="Y469" s="1005"/>
      <c r="Z469" s="1005"/>
      <c r="AA469" s="1005"/>
      <c r="AB469" s="1005"/>
      <c r="AC469" s="1005"/>
      <c r="AD469" s="1005"/>
      <c r="AE469" s="1005"/>
      <c r="AF469" s="1005"/>
      <c r="AG469" s="1005"/>
      <c r="AH469" s="1005"/>
      <c r="AI469" s="1005"/>
      <c r="AJ469" s="1005"/>
      <c r="AK469" s="1005"/>
      <c r="AL469" s="1005"/>
      <c r="AM469" s="1005"/>
      <c r="AN469" s="1031"/>
      <c r="AO469" s="1022"/>
    </row>
    <row r="470" spans="1:41" ht="12.75" customHeight="1">
      <c r="A470" s="1009"/>
      <c r="B470" s="1005"/>
      <c r="C470" s="1005"/>
      <c r="D470" s="1005"/>
      <c r="E470" s="1005"/>
      <c r="F470" s="1005"/>
      <c r="G470" s="1005"/>
      <c r="H470" s="1005"/>
      <c r="I470" s="1005"/>
      <c r="J470" s="1005"/>
      <c r="K470" s="1005"/>
      <c r="L470" s="1005"/>
      <c r="M470" s="1005"/>
      <c r="N470" s="1005"/>
      <c r="O470" s="1005"/>
      <c r="P470" s="1005"/>
      <c r="Q470" s="1005"/>
      <c r="R470" s="1005"/>
      <c r="S470" s="1005"/>
      <c r="T470" s="1005"/>
      <c r="U470" s="1005"/>
      <c r="V470" s="1005"/>
      <c r="W470" s="1005"/>
      <c r="X470" s="1005"/>
      <c r="Y470" s="1005"/>
      <c r="Z470" s="1005"/>
      <c r="AA470" s="1005"/>
      <c r="AB470" s="1005"/>
      <c r="AC470" s="1005"/>
      <c r="AD470" s="1005"/>
      <c r="AE470" s="1005"/>
      <c r="AF470" s="1005"/>
      <c r="AG470" s="1005"/>
      <c r="AH470" s="1005"/>
      <c r="AI470" s="1005"/>
      <c r="AJ470" s="1005"/>
      <c r="AK470" s="1005"/>
      <c r="AL470" s="1005"/>
      <c r="AM470" s="1005"/>
      <c r="AN470" s="1031"/>
      <c r="AO470" s="1022"/>
    </row>
    <row r="471" spans="1:41" ht="12.75" customHeight="1">
      <c r="A471" s="1004"/>
      <c r="B471" s="1009"/>
      <c r="C471" s="1009"/>
      <c r="D471" s="1009"/>
      <c r="E471" s="1009"/>
      <c r="F471" s="1009"/>
      <c r="G471" s="1009"/>
      <c r="H471" s="1009"/>
      <c r="I471" s="1009"/>
      <c r="J471" s="1009"/>
      <c r="K471" s="1009"/>
      <c r="L471" s="1009"/>
      <c r="M471" s="1009"/>
      <c r="N471" s="1009"/>
      <c r="O471" s="1009"/>
      <c r="P471" s="1009"/>
      <c r="Q471" s="1009"/>
      <c r="R471" s="1009"/>
      <c r="S471" s="1009"/>
      <c r="T471" s="1009"/>
      <c r="U471" s="1009"/>
      <c r="V471" s="1009"/>
      <c r="W471" s="1009"/>
      <c r="X471" s="1009"/>
      <c r="Y471" s="1009"/>
      <c r="Z471" s="1009"/>
      <c r="AA471" s="1009"/>
      <c r="AB471" s="1009"/>
      <c r="AC471" s="1009"/>
      <c r="AD471" s="1009"/>
      <c r="AE471" s="1009"/>
      <c r="AF471" s="1009"/>
      <c r="AH471" s="1009"/>
      <c r="AI471" s="1009"/>
      <c r="AJ471" s="1009"/>
      <c r="AK471" s="1009"/>
      <c r="AL471" s="1009"/>
      <c r="AM471" s="1009"/>
      <c r="AN471" s="1015"/>
      <c r="AO471" s="1022"/>
    </row>
    <row r="472" spans="1:41" ht="12.75" customHeight="1">
      <c r="A472" s="1004"/>
      <c r="AJ472" s="1004"/>
      <c r="AK472" s="1004"/>
      <c r="AL472" s="1004"/>
      <c r="AN472" s="1034"/>
      <c r="AO472" s="1022"/>
    </row>
    <row r="473" spans="1:41" ht="12.75" customHeight="1">
      <c r="A473" s="1004"/>
      <c r="AJ473" s="1004"/>
      <c r="AK473" s="1004"/>
      <c r="AL473" s="1004"/>
      <c r="AN473" s="1034"/>
      <c r="AO473" s="1022"/>
    </row>
    <row r="474" spans="1:41" ht="12.75" customHeight="1">
      <c r="A474" s="1004"/>
      <c r="AJ474" s="1004"/>
      <c r="AK474" s="1004"/>
      <c r="AL474" s="1004"/>
      <c r="AO474" s="1022"/>
    </row>
    <row r="475" spans="1:41" ht="12.75" customHeight="1">
      <c r="A475" s="1004"/>
      <c r="AJ475" s="1004"/>
      <c r="AK475" s="1004"/>
      <c r="AL475" s="1004"/>
      <c r="AO475" s="1022"/>
    </row>
    <row r="476" spans="1:41" ht="12.75" customHeight="1">
      <c r="A476" s="1004"/>
      <c r="AJ476" s="1004"/>
      <c r="AK476" s="1004"/>
      <c r="AL476" s="1004"/>
      <c r="AO476" s="1022"/>
    </row>
    <row r="477" spans="1:41" ht="12.75" customHeight="1">
      <c r="A477" s="1004"/>
      <c r="AJ477" s="1004"/>
      <c r="AK477" s="1004"/>
      <c r="AL477" s="1004"/>
      <c r="AN477" s="1004"/>
      <c r="AO477" s="1022"/>
    </row>
    <row r="478" spans="1:41" ht="12.75" customHeight="1">
      <c r="A478" s="1004"/>
      <c r="AJ478" s="1004"/>
      <c r="AK478" s="1004"/>
      <c r="AL478" s="1004"/>
      <c r="AM478" s="1041"/>
      <c r="AN478" s="1041"/>
    </row>
    <row r="479" spans="1:41" s="1818" customFormat="1" ht="12.9" customHeight="1">
      <c r="A479" s="1004"/>
      <c r="B479" s="1004"/>
      <c r="C479" s="1004"/>
      <c r="D479" s="1004"/>
      <c r="E479" s="1004"/>
      <c r="F479" s="1004"/>
      <c r="G479" s="1004"/>
      <c r="H479" s="1004"/>
      <c r="I479" s="1004"/>
      <c r="J479" s="1004"/>
      <c r="K479" s="1004"/>
      <c r="L479" s="1004"/>
      <c r="M479" s="1004"/>
      <c r="N479" s="1004"/>
      <c r="O479" s="1004"/>
      <c r="P479" s="1004"/>
      <c r="Q479" s="1004"/>
      <c r="R479" s="1004"/>
      <c r="S479" s="1004"/>
      <c r="T479" s="1004"/>
      <c r="U479" s="1004"/>
      <c r="V479" s="1004"/>
      <c r="W479" s="1004"/>
      <c r="X479" s="1004"/>
      <c r="Y479" s="1004"/>
      <c r="Z479" s="1004"/>
      <c r="AA479" s="1004"/>
      <c r="AB479" s="1004"/>
      <c r="AC479" s="1004"/>
      <c r="AD479" s="1004"/>
      <c r="AE479" s="1004"/>
      <c r="AF479" s="1004"/>
      <c r="AG479" s="1009"/>
      <c r="AH479" s="1004"/>
      <c r="AI479" s="1004"/>
      <c r="AJ479" s="1004"/>
      <c r="AK479" s="1004"/>
      <c r="AL479" s="1004"/>
      <c r="AM479" s="1004"/>
      <c r="AN479" s="1004"/>
      <c r="AO479" s="1817"/>
    </row>
    <row r="480" spans="1:41" s="1818" customFormat="1" ht="12.9" customHeight="1">
      <c r="A480" s="1004"/>
      <c r="B480" s="1004"/>
      <c r="C480" s="1004"/>
      <c r="D480" s="1004"/>
      <c r="E480" s="1004"/>
      <c r="F480" s="1004"/>
      <c r="G480" s="1004"/>
      <c r="H480" s="1004"/>
      <c r="I480" s="1004"/>
      <c r="J480" s="1004"/>
      <c r="K480" s="1004"/>
      <c r="L480" s="1004"/>
      <c r="M480" s="1004"/>
      <c r="N480" s="1004"/>
      <c r="O480" s="1004"/>
      <c r="P480" s="1004"/>
      <c r="Q480" s="1004"/>
      <c r="R480" s="1004"/>
      <c r="S480" s="1004"/>
      <c r="T480" s="1004"/>
      <c r="U480" s="1004"/>
      <c r="V480" s="1004"/>
      <c r="W480" s="1004"/>
      <c r="X480" s="1004"/>
      <c r="Y480" s="1004"/>
      <c r="Z480" s="1004"/>
      <c r="AA480" s="1004"/>
      <c r="AB480" s="1004"/>
      <c r="AC480" s="1004"/>
      <c r="AD480" s="1004"/>
      <c r="AE480" s="1004"/>
      <c r="AF480" s="1004"/>
      <c r="AG480" s="1009"/>
      <c r="AH480" s="1004"/>
      <c r="AI480" s="1004"/>
      <c r="AJ480" s="1004"/>
      <c r="AK480" s="1004"/>
      <c r="AL480" s="1004"/>
      <c r="AM480" s="1004"/>
      <c r="AN480" s="1812"/>
      <c r="AO480" s="1817"/>
    </row>
    <row r="481" spans="1:41" s="1818" customFormat="1" ht="12.9" customHeight="1">
      <c r="A481" s="1004"/>
      <c r="B481" s="1004"/>
      <c r="C481" s="1004"/>
      <c r="D481" s="1004"/>
      <c r="E481" s="1004"/>
      <c r="F481" s="1004"/>
      <c r="G481" s="1004"/>
      <c r="H481" s="1004"/>
      <c r="I481" s="1004"/>
      <c r="J481" s="1004"/>
      <c r="K481" s="1004"/>
      <c r="L481" s="1004"/>
      <c r="M481" s="1004"/>
      <c r="N481" s="1004"/>
      <c r="O481" s="1004"/>
      <c r="P481" s="1004"/>
      <c r="Q481" s="1004"/>
      <c r="R481" s="1004"/>
      <c r="S481" s="1004"/>
      <c r="T481" s="1004"/>
      <c r="U481" s="1004"/>
      <c r="V481" s="1004"/>
      <c r="W481" s="1004"/>
      <c r="X481" s="1004"/>
      <c r="Y481" s="1004"/>
      <c r="Z481" s="1004"/>
      <c r="AA481" s="1004"/>
      <c r="AB481" s="1004"/>
      <c r="AC481" s="1004"/>
      <c r="AD481" s="1004"/>
      <c r="AE481" s="1004"/>
      <c r="AF481" s="1004"/>
      <c r="AG481" s="1009"/>
      <c r="AH481" s="1004"/>
      <c r="AI481" s="1004"/>
      <c r="AJ481" s="1004"/>
      <c r="AK481" s="1004"/>
      <c r="AL481" s="1004"/>
      <c r="AM481" s="1004"/>
      <c r="AN481" s="1813"/>
      <c r="AO481" s="1817"/>
    </row>
    <row r="482" spans="1:41" s="1818" customFormat="1" ht="12.9" customHeight="1">
      <c r="A482" s="1004"/>
      <c r="B482" s="1004"/>
      <c r="C482" s="1004"/>
      <c r="D482" s="1004"/>
      <c r="E482" s="1004"/>
      <c r="F482" s="1004"/>
      <c r="G482" s="1004"/>
      <c r="H482" s="1004"/>
      <c r="I482" s="1004"/>
      <c r="J482" s="1004"/>
      <c r="K482" s="1004"/>
      <c r="L482" s="1004"/>
      <c r="M482" s="1004"/>
      <c r="N482" s="1004"/>
      <c r="O482" s="1004"/>
      <c r="P482" s="1004"/>
      <c r="Q482" s="1004"/>
      <c r="R482" s="1004"/>
      <c r="S482" s="1004"/>
      <c r="T482" s="1004"/>
      <c r="U482" s="1004"/>
      <c r="V482" s="1004"/>
      <c r="W482" s="1004"/>
      <c r="X482" s="1004"/>
      <c r="Y482" s="1004"/>
      <c r="Z482" s="1004"/>
      <c r="AA482" s="1004"/>
      <c r="AB482" s="1004"/>
      <c r="AC482" s="1004"/>
      <c r="AD482" s="1004"/>
      <c r="AE482" s="1004"/>
      <c r="AF482" s="1004"/>
      <c r="AG482" s="1009"/>
      <c r="AH482" s="1004"/>
      <c r="AI482" s="1004"/>
      <c r="AJ482" s="1004"/>
      <c r="AK482" s="1004"/>
      <c r="AL482" s="1004"/>
      <c r="AM482" s="1004"/>
      <c r="AN482" s="1022"/>
      <c r="AO482" s="1817"/>
    </row>
    <row r="483" spans="1:41" s="1818" customFormat="1" ht="12.9" customHeight="1">
      <c r="A483" s="1004"/>
      <c r="B483" s="1004"/>
      <c r="C483" s="1004"/>
      <c r="D483" s="1004"/>
      <c r="E483" s="1004"/>
      <c r="F483" s="1004"/>
      <c r="G483" s="1004"/>
      <c r="H483" s="1004"/>
      <c r="I483" s="1004"/>
      <c r="J483" s="1004"/>
      <c r="K483" s="1004"/>
      <c r="L483" s="1004"/>
      <c r="M483" s="1004"/>
      <c r="N483" s="1004"/>
      <c r="O483" s="1004"/>
      <c r="P483" s="1004"/>
      <c r="Q483" s="1004"/>
      <c r="R483" s="1004"/>
      <c r="S483" s="1004"/>
      <c r="T483" s="1004"/>
      <c r="U483" s="1004"/>
      <c r="V483" s="1004"/>
      <c r="W483" s="1004"/>
      <c r="X483" s="1004"/>
      <c r="Y483" s="1004"/>
      <c r="Z483" s="1004"/>
      <c r="AA483" s="1004"/>
      <c r="AB483" s="1004"/>
      <c r="AC483" s="1004"/>
      <c r="AD483" s="1004"/>
      <c r="AE483" s="1004"/>
      <c r="AF483" s="1004"/>
      <c r="AG483" s="1009"/>
      <c r="AH483" s="1004"/>
      <c r="AI483" s="1004"/>
      <c r="AJ483" s="1004"/>
      <c r="AK483" s="1004"/>
      <c r="AL483" s="1004"/>
      <c r="AM483" s="1004"/>
      <c r="AN483" s="1022"/>
      <c r="AO483" s="1819"/>
    </row>
    <row r="484" spans="1:41" s="1818" customFormat="1" ht="12.9" customHeight="1">
      <c r="A484" s="1004"/>
      <c r="B484" s="1004"/>
      <c r="C484" s="1004"/>
      <c r="D484" s="1004"/>
      <c r="E484" s="1004"/>
      <c r="F484" s="1004"/>
      <c r="G484" s="1004"/>
      <c r="H484" s="1004"/>
      <c r="I484" s="1004"/>
      <c r="J484" s="1004"/>
      <c r="K484" s="1004"/>
      <c r="L484" s="1004"/>
      <c r="M484" s="1004"/>
      <c r="N484" s="1004"/>
      <c r="O484" s="1004"/>
      <c r="P484" s="1004"/>
      <c r="Q484" s="1004"/>
      <c r="R484" s="1004"/>
      <c r="S484" s="1004"/>
      <c r="T484" s="1004"/>
      <c r="U484" s="1004"/>
      <c r="V484" s="1004"/>
      <c r="W484" s="1004"/>
      <c r="X484" s="1004"/>
      <c r="Y484" s="1004"/>
      <c r="Z484" s="1004"/>
      <c r="AA484" s="1004"/>
      <c r="AB484" s="1004"/>
      <c r="AC484" s="1004"/>
      <c r="AD484" s="1004"/>
      <c r="AE484" s="1004"/>
      <c r="AF484" s="1004"/>
      <c r="AG484" s="1009"/>
      <c r="AH484" s="1004"/>
      <c r="AI484" s="1004"/>
      <c r="AJ484" s="1004"/>
      <c r="AK484" s="1004"/>
      <c r="AL484" s="1004"/>
      <c r="AM484" s="1004"/>
      <c r="AN484" s="1022"/>
      <c r="AO484" s="1817"/>
    </row>
    <row r="485" spans="1:41" s="1818" customFormat="1" ht="12.9" customHeight="1">
      <c r="A485" s="1004"/>
      <c r="B485" s="1004"/>
      <c r="C485" s="1004"/>
      <c r="D485" s="1004"/>
      <c r="E485" s="1004"/>
      <c r="F485" s="1004"/>
      <c r="G485" s="1004"/>
      <c r="H485" s="1004"/>
      <c r="I485" s="1004"/>
      <c r="J485" s="1004"/>
      <c r="K485" s="1004"/>
      <c r="L485" s="1004"/>
      <c r="M485" s="1004"/>
      <c r="N485" s="1004"/>
      <c r="O485" s="1004"/>
      <c r="P485" s="1004"/>
      <c r="Q485" s="1004"/>
      <c r="R485" s="1004"/>
      <c r="S485" s="1004"/>
      <c r="T485" s="1004"/>
      <c r="U485" s="1004"/>
      <c r="V485" s="1004"/>
      <c r="W485" s="1004"/>
      <c r="X485" s="1004"/>
      <c r="Y485" s="1004"/>
      <c r="Z485" s="1004"/>
      <c r="AA485" s="1004"/>
      <c r="AB485" s="1004"/>
      <c r="AC485" s="1004"/>
      <c r="AD485" s="1004"/>
      <c r="AE485" s="1004"/>
      <c r="AF485" s="1004"/>
      <c r="AG485" s="1009"/>
      <c r="AH485" s="1004"/>
      <c r="AI485" s="1004"/>
      <c r="AJ485" s="1004"/>
      <c r="AK485" s="1004"/>
      <c r="AL485" s="1004"/>
      <c r="AM485" s="1004"/>
      <c r="AN485" s="1022"/>
      <c r="AO485" s="1817"/>
    </row>
    <row r="486" spans="1:41" s="1818" customFormat="1" ht="12.9" customHeight="1">
      <c r="A486" s="1004"/>
      <c r="B486" s="1004"/>
      <c r="C486" s="1004"/>
      <c r="D486" s="1004"/>
      <c r="E486" s="1004"/>
      <c r="F486" s="1004"/>
      <c r="G486" s="1004"/>
      <c r="H486" s="1004"/>
      <c r="I486" s="1004"/>
      <c r="J486" s="1004"/>
      <c r="K486" s="1004"/>
      <c r="L486" s="1004"/>
      <c r="M486" s="1004"/>
      <c r="N486" s="1004"/>
      <c r="O486" s="1004"/>
      <c r="P486" s="1004"/>
      <c r="Q486" s="1004"/>
      <c r="R486" s="1004"/>
      <c r="S486" s="1004"/>
      <c r="T486" s="1004"/>
      <c r="U486" s="1004"/>
      <c r="V486" s="1004"/>
      <c r="W486" s="1004"/>
      <c r="X486" s="1004"/>
      <c r="Y486" s="1004"/>
      <c r="Z486" s="1004"/>
      <c r="AA486" s="1004"/>
      <c r="AB486" s="1004"/>
      <c r="AC486" s="1004"/>
      <c r="AD486" s="1004"/>
      <c r="AE486" s="1004"/>
      <c r="AF486" s="1004"/>
      <c r="AG486" s="1009"/>
      <c r="AH486" s="1004"/>
      <c r="AI486" s="1004"/>
      <c r="AJ486" s="1004"/>
      <c r="AK486" s="1004"/>
      <c r="AL486" s="1004"/>
      <c r="AM486" s="1004"/>
      <c r="AN486" s="1022"/>
      <c r="AO486" s="1817"/>
    </row>
    <row r="487" spans="1:41" s="1818" customFormat="1" ht="12.9" customHeight="1">
      <c r="A487" s="1004"/>
      <c r="B487" s="1004"/>
      <c r="C487" s="1004"/>
      <c r="D487" s="1004"/>
      <c r="E487" s="1004"/>
      <c r="F487" s="1004"/>
      <c r="G487" s="1004"/>
      <c r="H487" s="1004"/>
      <c r="I487" s="1004"/>
      <c r="J487" s="1004"/>
      <c r="K487" s="1004"/>
      <c r="L487" s="1004"/>
      <c r="M487" s="1004"/>
      <c r="N487" s="1004"/>
      <c r="O487" s="1004"/>
      <c r="P487" s="1004"/>
      <c r="Q487" s="1004"/>
      <c r="R487" s="1004"/>
      <c r="S487" s="1004"/>
      <c r="T487" s="1004"/>
      <c r="U487" s="1004"/>
      <c r="V487" s="1004"/>
      <c r="W487" s="1004"/>
      <c r="X487" s="1004"/>
      <c r="Y487" s="1004"/>
      <c r="Z487" s="1004"/>
      <c r="AA487" s="1004"/>
      <c r="AB487" s="1004"/>
      <c r="AC487" s="1004"/>
      <c r="AD487" s="1004"/>
      <c r="AE487" s="1004"/>
      <c r="AF487" s="1004"/>
      <c r="AG487" s="1009"/>
      <c r="AH487" s="1004"/>
      <c r="AI487" s="1004"/>
      <c r="AJ487" s="1004"/>
      <c r="AK487" s="1004"/>
      <c r="AL487" s="1004"/>
      <c r="AM487" s="1004"/>
      <c r="AN487" s="1022"/>
      <c r="AO487" s="1817"/>
    </row>
    <row r="488" spans="1:41" s="1818" customFormat="1" ht="12.9" customHeight="1">
      <c r="A488" s="1004"/>
      <c r="B488" s="1004"/>
      <c r="C488" s="1004"/>
      <c r="D488" s="1004"/>
      <c r="E488" s="1004"/>
      <c r="F488" s="1004"/>
      <c r="G488" s="1004"/>
      <c r="H488" s="1004"/>
      <c r="I488" s="1004"/>
      <c r="J488" s="1004"/>
      <c r="K488" s="1004"/>
      <c r="L488" s="1004"/>
      <c r="M488" s="1004"/>
      <c r="N488" s="1004"/>
      <c r="O488" s="1004"/>
      <c r="P488" s="1004"/>
      <c r="Q488" s="1004"/>
      <c r="R488" s="1004"/>
      <c r="S488" s="1004"/>
      <c r="T488" s="1004"/>
      <c r="U488" s="1004"/>
      <c r="V488" s="1004"/>
      <c r="W488" s="1004"/>
      <c r="X488" s="1004"/>
      <c r="Y488" s="1004"/>
      <c r="Z488" s="1004"/>
      <c r="AA488" s="1004"/>
      <c r="AB488" s="1004"/>
      <c r="AC488" s="1004"/>
      <c r="AD488" s="1004"/>
      <c r="AE488" s="1004"/>
      <c r="AF488" s="1004"/>
      <c r="AG488" s="1009"/>
      <c r="AH488" s="1004"/>
      <c r="AI488" s="1004"/>
      <c r="AJ488" s="1004"/>
      <c r="AK488" s="1004"/>
      <c r="AL488" s="1004"/>
      <c r="AM488" s="1004"/>
      <c r="AN488" s="1022"/>
      <c r="AO488" s="1819"/>
    </row>
    <row r="489" spans="1:41" s="1818" customFormat="1" ht="12.9" customHeight="1">
      <c r="A489" s="1004"/>
      <c r="B489" s="1004"/>
      <c r="C489" s="1004"/>
      <c r="D489" s="1004"/>
      <c r="E489" s="1004"/>
      <c r="F489" s="1004"/>
      <c r="G489" s="1004"/>
      <c r="H489" s="1004"/>
      <c r="I489" s="1004"/>
      <c r="J489" s="1004"/>
      <c r="K489" s="1004"/>
      <c r="L489" s="1004"/>
      <c r="M489" s="1004"/>
      <c r="N489" s="1004"/>
      <c r="O489" s="1004"/>
      <c r="P489" s="1004"/>
      <c r="Q489" s="1004"/>
      <c r="R489" s="1004"/>
      <c r="S489" s="1004"/>
      <c r="T489" s="1004"/>
      <c r="U489" s="1004"/>
      <c r="V489" s="1004"/>
      <c r="W489" s="1004"/>
      <c r="X489" s="1004"/>
      <c r="Y489" s="1004"/>
      <c r="Z489" s="1004"/>
      <c r="AA489" s="1004"/>
      <c r="AB489" s="1004"/>
      <c r="AC489" s="1004"/>
      <c r="AD489" s="1004"/>
      <c r="AE489" s="1004"/>
      <c r="AF489" s="1004"/>
      <c r="AG489" s="1009"/>
      <c r="AH489" s="1004"/>
      <c r="AI489" s="1004"/>
      <c r="AJ489" s="1004"/>
      <c r="AK489" s="1004"/>
      <c r="AL489" s="1004"/>
      <c r="AM489" s="1004"/>
      <c r="AN489" s="1022"/>
      <c r="AO489" s="1817"/>
    </row>
    <row r="490" spans="1:41" s="1818" customFormat="1" ht="12.9" customHeight="1">
      <c r="A490" s="1004"/>
      <c r="B490" s="1004"/>
      <c r="C490" s="1004"/>
      <c r="D490" s="1004"/>
      <c r="E490" s="1004"/>
      <c r="F490" s="1004"/>
      <c r="G490" s="1004"/>
      <c r="H490" s="1004"/>
      <c r="I490" s="1004"/>
      <c r="J490" s="1004"/>
      <c r="K490" s="1004"/>
      <c r="L490" s="1004"/>
      <c r="M490" s="1004"/>
      <c r="N490" s="1004"/>
      <c r="O490" s="1004"/>
      <c r="P490" s="1004"/>
      <c r="Q490" s="1004"/>
      <c r="R490" s="1004"/>
      <c r="S490" s="1004"/>
      <c r="T490" s="1004"/>
      <c r="U490" s="1004"/>
      <c r="V490" s="1004"/>
      <c r="W490" s="1004"/>
      <c r="X490" s="1004"/>
      <c r="Y490" s="1004"/>
      <c r="Z490" s="1004"/>
      <c r="AA490" s="1004"/>
      <c r="AB490" s="1004"/>
      <c r="AC490" s="1004"/>
      <c r="AD490" s="1004"/>
      <c r="AE490" s="1004"/>
      <c r="AF490" s="1004"/>
      <c r="AG490" s="1009"/>
      <c r="AH490" s="1004"/>
      <c r="AI490" s="1004"/>
      <c r="AJ490" s="1004"/>
      <c r="AK490" s="1004"/>
      <c r="AL490" s="1004"/>
      <c r="AM490" s="1004"/>
      <c r="AN490" s="1022"/>
      <c r="AO490" s="1817"/>
    </row>
    <row r="491" spans="1:41" s="1818" customFormat="1" ht="12.9" customHeight="1">
      <c r="A491" s="1004"/>
      <c r="B491" s="1004"/>
      <c r="C491" s="1004"/>
      <c r="D491" s="1004"/>
      <c r="E491" s="1004"/>
      <c r="F491" s="1004"/>
      <c r="G491" s="1004"/>
      <c r="H491" s="1004"/>
      <c r="I491" s="1004"/>
      <c r="J491" s="1004"/>
      <c r="K491" s="1004"/>
      <c r="L491" s="1004"/>
      <c r="M491" s="1004"/>
      <c r="N491" s="1004"/>
      <c r="O491" s="1004"/>
      <c r="P491" s="1004"/>
      <c r="Q491" s="1004"/>
      <c r="R491" s="1004"/>
      <c r="S491" s="1004"/>
      <c r="T491" s="1004"/>
      <c r="U491" s="1004"/>
      <c r="V491" s="1004"/>
      <c r="W491" s="1004"/>
      <c r="X491" s="1004"/>
      <c r="Y491" s="1004"/>
      <c r="Z491" s="1004"/>
      <c r="AA491" s="1004"/>
      <c r="AB491" s="1004"/>
      <c r="AC491" s="1004"/>
      <c r="AD491" s="1004"/>
      <c r="AE491" s="1004"/>
      <c r="AF491" s="1004"/>
      <c r="AG491" s="1009"/>
      <c r="AH491" s="1004"/>
      <c r="AI491" s="1004"/>
      <c r="AJ491" s="1004"/>
      <c r="AK491" s="1004"/>
      <c r="AL491" s="1004"/>
      <c r="AM491" s="1004"/>
      <c r="AN491" s="1022"/>
      <c r="AO491" s="1817"/>
    </row>
    <row r="492" spans="1:41" s="1818" customFormat="1" ht="12.9" customHeight="1">
      <c r="A492" s="1004"/>
      <c r="B492" s="1004"/>
      <c r="C492" s="1004"/>
      <c r="D492" s="1004"/>
      <c r="E492" s="1004"/>
      <c r="F492" s="1004"/>
      <c r="G492" s="1004"/>
      <c r="H492" s="1004"/>
      <c r="I492" s="1004"/>
      <c r="J492" s="1004"/>
      <c r="K492" s="1004"/>
      <c r="L492" s="1004"/>
      <c r="M492" s="1004"/>
      <c r="N492" s="1004"/>
      <c r="O492" s="1004"/>
      <c r="P492" s="1004"/>
      <c r="Q492" s="1004"/>
      <c r="R492" s="1004"/>
      <c r="S492" s="1004"/>
      <c r="T492" s="1004"/>
      <c r="U492" s="1004"/>
      <c r="V492" s="1004"/>
      <c r="W492" s="1004"/>
      <c r="X492" s="1004"/>
      <c r="Y492" s="1004"/>
      <c r="Z492" s="1004"/>
      <c r="AA492" s="1004"/>
      <c r="AB492" s="1004"/>
      <c r="AC492" s="1004"/>
      <c r="AD492" s="1004"/>
      <c r="AE492" s="1004"/>
      <c r="AF492" s="1004"/>
      <c r="AG492" s="1009"/>
      <c r="AH492" s="1004"/>
      <c r="AI492" s="1004"/>
      <c r="AJ492" s="1004"/>
      <c r="AK492" s="1004"/>
      <c r="AL492" s="1004"/>
      <c r="AM492" s="1004"/>
      <c r="AN492" s="1022"/>
      <c r="AO492" s="1817"/>
    </row>
    <row r="493" spans="1:41" s="1818" customFormat="1" ht="12.9" customHeight="1">
      <c r="A493" s="1004"/>
      <c r="B493" s="1004"/>
      <c r="C493" s="1004"/>
      <c r="D493" s="1004"/>
      <c r="E493" s="1004"/>
      <c r="F493" s="1004"/>
      <c r="G493" s="1004"/>
      <c r="H493" s="1004"/>
      <c r="I493" s="1004"/>
      <c r="J493" s="1004"/>
      <c r="K493" s="1004"/>
      <c r="L493" s="1004"/>
      <c r="M493" s="1004"/>
      <c r="N493" s="1004"/>
      <c r="O493" s="1004"/>
      <c r="P493" s="1004"/>
      <c r="Q493" s="1004"/>
      <c r="R493" s="1004"/>
      <c r="S493" s="1004"/>
      <c r="T493" s="1004"/>
      <c r="U493" s="1004"/>
      <c r="V493" s="1004"/>
      <c r="W493" s="1004"/>
      <c r="X493" s="1004"/>
      <c r="Y493" s="1004"/>
      <c r="Z493" s="1004"/>
      <c r="AA493" s="1004"/>
      <c r="AB493" s="1004"/>
      <c r="AC493" s="1004"/>
      <c r="AD493" s="1004"/>
      <c r="AE493" s="1004"/>
      <c r="AF493" s="1004"/>
      <c r="AG493" s="1009"/>
      <c r="AH493" s="1004"/>
      <c r="AI493" s="1004"/>
      <c r="AJ493" s="1004"/>
      <c r="AK493" s="1004"/>
      <c r="AL493" s="1004"/>
      <c r="AM493" s="1004"/>
      <c r="AN493" s="1022"/>
      <c r="AO493" s="1819"/>
    </row>
    <row r="494" spans="1:41" s="1818" customFormat="1" ht="12.9" customHeight="1">
      <c r="A494" s="1004"/>
      <c r="B494" s="1004"/>
      <c r="C494" s="1004"/>
      <c r="D494" s="1004"/>
      <c r="E494" s="1004"/>
      <c r="F494" s="1004"/>
      <c r="G494" s="1004"/>
      <c r="H494" s="1004"/>
      <c r="I494" s="1004"/>
      <c r="J494" s="1004"/>
      <c r="K494" s="1004"/>
      <c r="L494" s="1004"/>
      <c r="M494" s="1004"/>
      <c r="N494" s="1004"/>
      <c r="O494" s="1004"/>
      <c r="P494" s="1004"/>
      <c r="Q494" s="1004"/>
      <c r="R494" s="1004"/>
      <c r="S494" s="1004"/>
      <c r="T494" s="1004"/>
      <c r="U494" s="1004"/>
      <c r="V494" s="1004"/>
      <c r="W494" s="1004"/>
      <c r="X494" s="1004"/>
      <c r="Y494" s="1004"/>
      <c r="Z494" s="1004"/>
      <c r="AA494" s="1004"/>
      <c r="AB494" s="1004"/>
      <c r="AC494" s="1004"/>
      <c r="AD494" s="1004"/>
      <c r="AE494" s="1004"/>
      <c r="AF494" s="1004"/>
      <c r="AG494" s="1009"/>
      <c r="AH494" s="1004"/>
      <c r="AI494" s="1004"/>
      <c r="AJ494" s="1004"/>
      <c r="AK494" s="1004"/>
      <c r="AL494" s="1004"/>
      <c r="AM494" s="1004"/>
      <c r="AN494" s="1022"/>
      <c r="AO494" s="1817"/>
    </row>
    <row r="495" spans="1:41" s="1818" customFormat="1" ht="12.9" customHeight="1">
      <c r="A495" s="1004"/>
      <c r="B495" s="1004"/>
      <c r="C495" s="1004"/>
      <c r="D495" s="1004"/>
      <c r="E495" s="1004"/>
      <c r="F495" s="1004"/>
      <c r="G495" s="1004"/>
      <c r="H495" s="1004"/>
      <c r="I495" s="1004"/>
      <c r="J495" s="1004"/>
      <c r="K495" s="1004"/>
      <c r="L495" s="1004"/>
      <c r="M495" s="1004"/>
      <c r="N495" s="1004"/>
      <c r="O495" s="1004"/>
      <c r="P495" s="1004"/>
      <c r="Q495" s="1004"/>
      <c r="R495" s="1004"/>
      <c r="S495" s="1004"/>
      <c r="T495" s="1004"/>
      <c r="U495" s="1004"/>
      <c r="V495" s="1004"/>
      <c r="W495" s="1004"/>
      <c r="X495" s="1004"/>
      <c r="Y495" s="1004"/>
      <c r="Z495" s="1004"/>
      <c r="AA495" s="1004"/>
      <c r="AB495" s="1004"/>
      <c r="AC495" s="1004"/>
      <c r="AD495" s="1004"/>
      <c r="AE495" s="1004"/>
      <c r="AF495" s="1004"/>
      <c r="AG495" s="1009"/>
      <c r="AH495" s="1004"/>
      <c r="AI495" s="1004"/>
      <c r="AJ495" s="1004"/>
      <c r="AK495" s="1004"/>
      <c r="AL495" s="1004"/>
      <c r="AM495" s="1004"/>
      <c r="AN495" s="1022"/>
      <c r="AO495" s="1817"/>
    </row>
    <row r="496" spans="1:41" s="1818" customFormat="1" ht="12.9" customHeight="1">
      <c r="A496" s="1004"/>
      <c r="B496" s="1004"/>
      <c r="C496" s="1004"/>
      <c r="D496" s="1004"/>
      <c r="E496" s="1004"/>
      <c r="F496" s="1004"/>
      <c r="G496" s="1004"/>
      <c r="H496" s="1004"/>
      <c r="I496" s="1004"/>
      <c r="J496" s="1004"/>
      <c r="K496" s="1004"/>
      <c r="L496" s="1004"/>
      <c r="M496" s="1004"/>
      <c r="N496" s="1004"/>
      <c r="O496" s="1004"/>
      <c r="P496" s="1004"/>
      <c r="Q496" s="1004"/>
      <c r="R496" s="1004"/>
      <c r="S496" s="1004"/>
      <c r="T496" s="1004"/>
      <c r="U496" s="1004"/>
      <c r="V496" s="1004"/>
      <c r="W496" s="1004"/>
      <c r="X496" s="1004"/>
      <c r="Y496" s="1004"/>
      <c r="Z496" s="1004"/>
      <c r="AA496" s="1004"/>
      <c r="AB496" s="1004"/>
      <c r="AC496" s="1004"/>
      <c r="AD496" s="1004"/>
      <c r="AE496" s="1004"/>
      <c r="AF496" s="1004"/>
      <c r="AG496" s="1009"/>
      <c r="AH496" s="1004"/>
      <c r="AI496" s="1004"/>
      <c r="AJ496" s="1004"/>
      <c r="AK496" s="1004"/>
      <c r="AL496" s="1004"/>
      <c r="AM496" s="1004"/>
      <c r="AN496" s="1022"/>
      <c r="AO496" s="1817"/>
    </row>
    <row r="497" spans="1:41" s="1818" customFormat="1" ht="12.9" customHeight="1">
      <c r="A497" s="1004"/>
      <c r="B497" s="1004"/>
      <c r="C497" s="1004"/>
      <c r="D497" s="1004"/>
      <c r="E497" s="1004"/>
      <c r="F497" s="1004"/>
      <c r="G497" s="1004"/>
      <c r="H497" s="1004"/>
      <c r="I497" s="1004"/>
      <c r="J497" s="1004"/>
      <c r="K497" s="1004"/>
      <c r="L497" s="1004"/>
      <c r="M497" s="1004"/>
      <c r="N497" s="1004"/>
      <c r="O497" s="1004"/>
      <c r="P497" s="1004"/>
      <c r="Q497" s="1004"/>
      <c r="R497" s="1004"/>
      <c r="S497" s="1004"/>
      <c r="T497" s="1004"/>
      <c r="U497" s="1004"/>
      <c r="V497" s="1004"/>
      <c r="W497" s="1004"/>
      <c r="X497" s="1004"/>
      <c r="Y497" s="1004"/>
      <c r="Z497" s="1004"/>
      <c r="AA497" s="1004"/>
      <c r="AB497" s="1004"/>
      <c r="AC497" s="1004"/>
      <c r="AD497" s="1004"/>
      <c r="AE497" s="1004"/>
      <c r="AF497" s="1004"/>
      <c r="AG497" s="1009"/>
      <c r="AH497" s="1004"/>
      <c r="AI497" s="1004"/>
      <c r="AJ497" s="1004"/>
      <c r="AK497" s="1004"/>
      <c r="AL497" s="1004"/>
      <c r="AM497" s="1004"/>
      <c r="AN497" s="1022"/>
      <c r="AO497" s="1817"/>
    </row>
    <row r="498" spans="1:41" s="1818" customFormat="1" ht="12.9" customHeight="1">
      <c r="A498" s="1004"/>
      <c r="B498" s="1004"/>
      <c r="C498" s="1004"/>
      <c r="D498" s="1004"/>
      <c r="E498" s="1004"/>
      <c r="F498" s="1004"/>
      <c r="G498" s="1004"/>
      <c r="H498" s="1004"/>
      <c r="I498" s="1004"/>
      <c r="J498" s="1004"/>
      <c r="K498" s="1004"/>
      <c r="L498" s="1004"/>
      <c r="M498" s="1004"/>
      <c r="N498" s="1004"/>
      <c r="O498" s="1004"/>
      <c r="P498" s="1004"/>
      <c r="Q498" s="1004"/>
      <c r="R498" s="1004"/>
      <c r="S498" s="1004"/>
      <c r="T498" s="1004"/>
      <c r="U498" s="1004"/>
      <c r="V498" s="1004"/>
      <c r="W498" s="1004"/>
      <c r="X498" s="1004"/>
      <c r="Y498" s="1004"/>
      <c r="Z498" s="1004"/>
      <c r="AA498" s="1004"/>
      <c r="AB498" s="1004"/>
      <c r="AC498" s="1004"/>
      <c r="AD498" s="1004"/>
      <c r="AE498" s="1004"/>
      <c r="AF498" s="1004"/>
      <c r="AG498" s="1009"/>
      <c r="AH498" s="1004"/>
      <c r="AI498" s="1004"/>
      <c r="AJ498" s="1004"/>
      <c r="AK498" s="1004"/>
      <c r="AL498" s="1004"/>
      <c r="AM498" s="1004"/>
      <c r="AN498" s="1022"/>
      <c r="AO498" s="1817"/>
    </row>
    <row r="499" spans="1:41" s="1818" customFormat="1" ht="12.9" customHeight="1">
      <c r="A499" s="1004"/>
      <c r="B499" s="1004"/>
      <c r="C499" s="1004"/>
      <c r="D499" s="1004"/>
      <c r="E499" s="1004"/>
      <c r="F499" s="1004"/>
      <c r="G499" s="1004"/>
      <c r="H499" s="1004"/>
      <c r="I499" s="1004"/>
      <c r="J499" s="1004"/>
      <c r="K499" s="1004"/>
      <c r="L499" s="1004"/>
      <c r="M499" s="1004"/>
      <c r="N499" s="1004"/>
      <c r="O499" s="1004"/>
      <c r="P499" s="1004"/>
      <c r="Q499" s="1004"/>
      <c r="R499" s="1004"/>
      <c r="S499" s="1004"/>
      <c r="T499" s="1004"/>
      <c r="U499" s="1004"/>
      <c r="V499" s="1004"/>
      <c r="W499" s="1004"/>
      <c r="X499" s="1004"/>
      <c r="Y499" s="1004"/>
      <c r="Z499" s="1004"/>
      <c r="AA499" s="1004"/>
      <c r="AB499" s="1004"/>
      <c r="AC499" s="1004"/>
      <c r="AD499" s="1004"/>
      <c r="AE499" s="1004"/>
      <c r="AF499" s="1004"/>
      <c r="AG499" s="1009"/>
      <c r="AH499" s="1004"/>
      <c r="AI499" s="1004"/>
      <c r="AJ499" s="1004"/>
      <c r="AK499" s="1004"/>
      <c r="AL499" s="1004"/>
      <c r="AM499" s="1004"/>
      <c r="AN499" s="1022"/>
      <c r="AO499" s="1817"/>
    </row>
    <row r="500" spans="1:41" s="1818" customFormat="1" ht="12.9" customHeight="1">
      <c r="A500" s="1004"/>
      <c r="B500" s="1004"/>
      <c r="C500" s="1004"/>
      <c r="D500" s="1004"/>
      <c r="E500" s="1004"/>
      <c r="F500" s="1004"/>
      <c r="G500" s="1004"/>
      <c r="H500" s="1004"/>
      <c r="I500" s="1004"/>
      <c r="J500" s="1004"/>
      <c r="K500" s="1004"/>
      <c r="L500" s="1004"/>
      <c r="M500" s="1004"/>
      <c r="N500" s="1004"/>
      <c r="O500" s="1004"/>
      <c r="P500" s="1004"/>
      <c r="Q500" s="1004"/>
      <c r="R500" s="1004"/>
      <c r="S500" s="1004"/>
      <c r="T500" s="1004"/>
      <c r="U500" s="1004"/>
      <c r="V500" s="1004"/>
      <c r="W500" s="1004"/>
      <c r="X500" s="1004"/>
      <c r="Y500" s="1004"/>
      <c r="Z500" s="1004"/>
      <c r="AA500" s="1004"/>
      <c r="AB500" s="1004"/>
      <c r="AC500" s="1004"/>
      <c r="AD500" s="1004"/>
      <c r="AE500" s="1004"/>
      <c r="AF500" s="1004"/>
      <c r="AG500" s="1009"/>
      <c r="AH500" s="1004"/>
      <c r="AI500" s="1004"/>
      <c r="AJ500" s="1004"/>
      <c r="AK500" s="1004"/>
      <c r="AL500" s="1004"/>
      <c r="AM500" s="1004"/>
      <c r="AN500" s="1022"/>
      <c r="AO500" s="1817"/>
    </row>
    <row r="501" spans="1:41" s="1818" customFormat="1" ht="12.9" customHeight="1">
      <c r="A501" s="1004"/>
      <c r="B501" s="1004"/>
      <c r="C501" s="1004"/>
      <c r="D501" s="1004"/>
      <c r="E501" s="1004"/>
      <c r="F501" s="1004"/>
      <c r="G501" s="1004"/>
      <c r="H501" s="1004"/>
      <c r="I501" s="1004"/>
      <c r="J501" s="1004"/>
      <c r="K501" s="1004"/>
      <c r="L501" s="1004"/>
      <c r="M501" s="1004"/>
      <c r="N501" s="1004"/>
      <c r="O501" s="1004"/>
      <c r="P501" s="1004"/>
      <c r="Q501" s="1004"/>
      <c r="R501" s="1004"/>
      <c r="S501" s="1004"/>
      <c r="T501" s="1004"/>
      <c r="U501" s="1004"/>
      <c r="V501" s="1004"/>
      <c r="W501" s="1004"/>
      <c r="X501" s="1004"/>
      <c r="Y501" s="1004"/>
      <c r="Z501" s="1004"/>
      <c r="AA501" s="1004"/>
      <c r="AB501" s="1004"/>
      <c r="AC501" s="1004"/>
      <c r="AD501" s="1004"/>
      <c r="AE501" s="1004"/>
      <c r="AF501" s="1004"/>
      <c r="AG501" s="1009"/>
      <c r="AH501" s="1004"/>
      <c r="AI501" s="1004"/>
      <c r="AJ501" s="1004"/>
      <c r="AK501" s="1004"/>
      <c r="AL501" s="1004"/>
      <c r="AM501" s="1004"/>
      <c r="AN501" s="1022"/>
      <c r="AO501" s="1817"/>
    </row>
    <row r="502" spans="1:41" s="1818" customFormat="1" ht="12.9" customHeight="1">
      <c r="A502" s="1004"/>
      <c r="B502" s="1004"/>
      <c r="C502" s="1004"/>
      <c r="D502" s="1004"/>
      <c r="E502" s="1004"/>
      <c r="F502" s="1004"/>
      <c r="G502" s="1004"/>
      <c r="H502" s="1004"/>
      <c r="I502" s="1004"/>
      <c r="J502" s="1004"/>
      <c r="K502" s="1004"/>
      <c r="L502" s="1004"/>
      <c r="M502" s="1004"/>
      <c r="N502" s="1004"/>
      <c r="O502" s="1004"/>
      <c r="P502" s="1004"/>
      <c r="Q502" s="1004"/>
      <c r="R502" s="1004"/>
      <c r="S502" s="1004"/>
      <c r="T502" s="1004"/>
      <c r="U502" s="1004"/>
      <c r="V502" s="1004"/>
      <c r="W502" s="1004"/>
      <c r="X502" s="1004"/>
      <c r="Y502" s="1004"/>
      <c r="Z502" s="1004"/>
      <c r="AA502" s="1004"/>
      <c r="AB502" s="1004"/>
      <c r="AC502" s="1004"/>
      <c r="AD502" s="1004"/>
      <c r="AE502" s="1004"/>
      <c r="AF502" s="1004"/>
      <c r="AG502" s="1009"/>
      <c r="AH502" s="1004"/>
      <c r="AI502" s="1004"/>
      <c r="AJ502" s="1004"/>
      <c r="AK502" s="1004"/>
      <c r="AL502" s="1004"/>
      <c r="AM502" s="1004"/>
      <c r="AN502" s="1022"/>
      <c r="AO502" s="1817"/>
    </row>
    <row r="503" spans="1:41" s="1818" customFormat="1" ht="12.9" customHeight="1">
      <c r="A503" s="1004"/>
      <c r="B503" s="1004"/>
      <c r="C503" s="1004"/>
      <c r="D503" s="1004"/>
      <c r="E503" s="1004"/>
      <c r="F503" s="1004"/>
      <c r="G503" s="1004"/>
      <c r="H503" s="1004"/>
      <c r="I503" s="1004"/>
      <c r="J503" s="1004"/>
      <c r="K503" s="1004"/>
      <c r="L503" s="1004"/>
      <c r="M503" s="1004"/>
      <c r="N503" s="1004"/>
      <c r="O503" s="1004"/>
      <c r="P503" s="1004"/>
      <c r="Q503" s="1004"/>
      <c r="R503" s="1004"/>
      <c r="S503" s="1004"/>
      <c r="T503" s="1004"/>
      <c r="U503" s="1004"/>
      <c r="V503" s="1004"/>
      <c r="W503" s="1004"/>
      <c r="X503" s="1004"/>
      <c r="Y503" s="1004"/>
      <c r="Z503" s="1004"/>
      <c r="AA503" s="1004"/>
      <c r="AB503" s="1004"/>
      <c r="AC503" s="1004"/>
      <c r="AD503" s="1004"/>
      <c r="AE503" s="1004"/>
      <c r="AF503" s="1004"/>
      <c r="AG503" s="1009"/>
      <c r="AH503" s="1004"/>
      <c r="AI503" s="1004"/>
      <c r="AJ503" s="1004"/>
      <c r="AK503" s="1004"/>
      <c r="AL503" s="1004"/>
      <c r="AM503" s="1004"/>
      <c r="AN503" s="1022"/>
      <c r="AO503" s="1817"/>
    </row>
    <row r="504" spans="1:41" s="1818" customFormat="1" ht="12.9" customHeight="1">
      <c r="A504" s="1004"/>
      <c r="B504" s="1004"/>
      <c r="C504" s="1004"/>
      <c r="D504" s="1004"/>
      <c r="E504" s="1004"/>
      <c r="F504" s="1004"/>
      <c r="G504" s="1004"/>
      <c r="H504" s="1004"/>
      <c r="I504" s="1004"/>
      <c r="J504" s="1004"/>
      <c r="K504" s="1004"/>
      <c r="L504" s="1004"/>
      <c r="M504" s="1004"/>
      <c r="N504" s="1004"/>
      <c r="O504" s="1004"/>
      <c r="P504" s="1004"/>
      <c r="Q504" s="1004"/>
      <c r="R504" s="1004"/>
      <c r="S504" s="1004"/>
      <c r="T504" s="1004"/>
      <c r="U504" s="1004"/>
      <c r="V504" s="1004"/>
      <c r="W504" s="1004"/>
      <c r="X504" s="1004"/>
      <c r="Y504" s="1004"/>
      <c r="Z504" s="1004"/>
      <c r="AA504" s="1004"/>
      <c r="AB504" s="1004"/>
      <c r="AC504" s="1004"/>
      <c r="AD504" s="1004"/>
      <c r="AE504" s="1004"/>
      <c r="AF504" s="1004"/>
      <c r="AG504" s="1009"/>
      <c r="AH504" s="1004"/>
      <c r="AI504" s="1004"/>
      <c r="AJ504" s="1004"/>
      <c r="AK504" s="1004"/>
      <c r="AL504" s="1004"/>
      <c r="AM504" s="1004"/>
      <c r="AN504" s="1022"/>
      <c r="AO504" s="1817"/>
    </row>
    <row r="505" spans="1:41" s="1818" customFormat="1" ht="12.9" customHeight="1">
      <c r="A505" s="1004"/>
      <c r="B505" s="1004"/>
      <c r="C505" s="1004"/>
      <c r="D505" s="1004"/>
      <c r="E505" s="1004"/>
      <c r="F505" s="1004"/>
      <c r="G505" s="1004"/>
      <c r="H505" s="1004"/>
      <c r="I505" s="1004"/>
      <c r="J505" s="1004"/>
      <c r="K505" s="1004"/>
      <c r="L505" s="1004"/>
      <c r="M505" s="1004"/>
      <c r="N505" s="1004"/>
      <c r="O505" s="1004"/>
      <c r="P505" s="1004"/>
      <c r="Q505" s="1004"/>
      <c r="R505" s="1004"/>
      <c r="S505" s="1004"/>
      <c r="T505" s="1004"/>
      <c r="U505" s="1004"/>
      <c r="V505" s="1004"/>
      <c r="W505" s="1004"/>
      <c r="X505" s="1004"/>
      <c r="Y505" s="1004"/>
      <c r="Z505" s="1004"/>
      <c r="AA505" s="1004"/>
      <c r="AB505" s="1004"/>
      <c r="AC505" s="1004"/>
      <c r="AD505" s="1004"/>
      <c r="AE505" s="1004"/>
      <c r="AF505" s="1004"/>
      <c r="AG505" s="1009"/>
      <c r="AH505" s="1004"/>
      <c r="AI505" s="1004"/>
      <c r="AJ505" s="1004"/>
      <c r="AK505" s="1004"/>
      <c r="AL505" s="1004"/>
      <c r="AM505" s="1004"/>
      <c r="AN505" s="1022"/>
      <c r="AO505" s="1817"/>
    </row>
    <row r="506" spans="1:41" s="1818" customFormat="1" ht="12.9" customHeight="1">
      <c r="A506" s="1004"/>
      <c r="B506" s="1004"/>
      <c r="C506" s="1004"/>
      <c r="D506" s="1004"/>
      <c r="E506" s="1004"/>
      <c r="F506" s="1004"/>
      <c r="G506" s="1004"/>
      <c r="H506" s="1004"/>
      <c r="I506" s="1004"/>
      <c r="J506" s="1004"/>
      <c r="K506" s="1004"/>
      <c r="L506" s="1004"/>
      <c r="M506" s="1004"/>
      <c r="N506" s="1004"/>
      <c r="O506" s="1004"/>
      <c r="P506" s="1004"/>
      <c r="Q506" s="1004"/>
      <c r="R506" s="1004"/>
      <c r="S506" s="1004"/>
      <c r="T506" s="1004"/>
      <c r="U506" s="1004"/>
      <c r="V506" s="1004"/>
      <c r="W506" s="1004"/>
      <c r="X506" s="1004"/>
      <c r="Y506" s="1004"/>
      <c r="Z506" s="1004"/>
      <c r="AA506" s="1004"/>
      <c r="AB506" s="1004"/>
      <c r="AC506" s="1004"/>
      <c r="AD506" s="1004"/>
      <c r="AE506" s="1004"/>
      <c r="AF506" s="1004"/>
      <c r="AG506" s="1009"/>
      <c r="AH506" s="1004"/>
      <c r="AI506" s="1004"/>
      <c r="AJ506" s="1004"/>
      <c r="AK506" s="1004"/>
      <c r="AL506" s="1004"/>
      <c r="AM506" s="1004"/>
      <c r="AN506" s="1022"/>
      <c r="AO506" s="1817"/>
    </row>
    <row r="507" spans="1:41" s="1818" customFormat="1" ht="12.9" customHeight="1">
      <c r="A507" s="1004"/>
      <c r="B507" s="1004"/>
      <c r="C507" s="1004"/>
      <c r="D507" s="1004"/>
      <c r="E507" s="1004"/>
      <c r="F507" s="1004"/>
      <c r="G507" s="1004"/>
      <c r="H507" s="1004"/>
      <c r="I507" s="1004"/>
      <c r="J507" s="1004"/>
      <c r="K507" s="1004"/>
      <c r="L507" s="1004"/>
      <c r="M507" s="1004"/>
      <c r="N507" s="1004"/>
      <c r="O507" s="1004"/>
      <c r="P507" s="1004"/>
      <c r="Q507" s="1004"/>
      <c r="R507" s="1004"/>
      <c r="S507" s="1004"/>
      <c r="T507" s="1004"/>
      <c r="U507" s="1004"/>
      <c r="V507" s="1004"/>
      <c r="W507" s="1004"/>
      <c r="X507" s="1004"/>
      <c r="Y507" s="1004"/>
      <c r="Z507" s="1004"/>
      <c r="AA507" s="1004"/>
      <c r="AB507" s="1004"/>
      <c r="AC507" s="1004"/>
      <c r="AD507" s="1004"/>
      <c r="AE507" s="1004"/>
      <c r="AF507" s="1004"/>
      <c r="AG507" s="1009"/>
      <c r="AH507" s="1004"/>
      <c r="AI507" s="1004"/>
      <c r="AJ507" s="1004"/>
      <c r="AK507" s="1004"/>
      <c r="AL507" s="1004"/>
      <c r="AM507" s="1004"/>
      <c r="AN507" s="1022"/>
      <c r="AO507" s="1817"/>
    </row>
    <row r="508" spans="1:41" s="1818" customFormat="1" ht="12.9" customHeight="1">
      <c r="A508" s="1004"/>
      <c r="B508" s="1004"/>
      <c r="C508" s="1004"/>
      <c r="D508" s="1004"/>
      <c r="E508" s="1004"/>
      <c r="F508" s="1004"/>
      <c r="G508" s="1004"/>
      <c r="H508" s="1004"/>
      <c r="I508" s="1004"/>
      <c r="J508" s="1004"/>
      <c r="K508" s="1004"/>
      <c r="L508" s="1004"/>
      <c r="M508" s="1004"/>
      <c r="N508" s="1004"/>
      <c r="O508" s="1004"/>
      <c r="P508" s="1004"/>
      <c r="Q508" s="1004"/>
      <c r="R508" s="1004"/>
      <c r="S508" s="1004"/>
      <c r="T508" s="1004"/>
      <c r="U508" s="1004"/>
      <c r="V508" s="1004"/>
      <c r="W508" s="1004"/>
      <c r="X508" s="1004"/>
      <c r="Y508" s="1004"/>
      <c r="Z508" s="1004"/>
      <c r="AA508" s="1004"/>
      <c r="AB508" s="1004"/>
      <c r="AC508" s="1004"/>
      <c r="AD508" s="1004"/>
      <c r="AE508" s="1004"/>
      <c r="AF508" s="1004"/>
      <c r="AG508" s="1009"/>
      <c r="AH508" s="1004"/>
      <c r="AI508" s="1004"/>
      <c r="AJ508" s="1004"/>
      <c r="AK508" s="1004"/>
      <c r="AL508" s="1004"/>
      <c r="AM508" s="1004"/>
      <c r="AN508" s="1022"/>
      <c r="AO508" s="1817"/>
    </row>
    <row r="509" spans="1:41" s="1818" customFormat="1" ht="12.9" customHeight="1">
      <c r="A509" s="1004"/>
      <c r="B509" s="1004"/>
      <c r="C509" s="1004"/>
      <c r="D509" s="1004"/>
      <c r="E509" s="1004"/>
      <c r="F509" s="1004"/>
      <c r="G509" s="1004"/>
      <c r="H509" s="1004"/>
      <c r="I509" s="1004"/>
      <c r="J509" s="1004"/>
      <c r="K509" s="1004"/>
      <c r="L509" s="1004"/>
      <c r="M509" s="1004"/>
      <c r="N509" s="1004"/>
      <c r="O509" s="1004"/>
      <c r="P509" s="1004"/>
      <c r="Q509" s="1004"/>
      <c r="R509" s="1004"/>
      <c r="S509" s="1004"/>
      <c r="T509" s="1004"/>
      <c r="U509" s="1004"/>
      <c r="V509" s="1004"/>
      <c r="W509" s="1004"/>
      <c r="X509" s="1004"/>
      <c r="Y509" s="1004"/>
      <c r="Z509" s="1004"/>
      <c r="AA509" s="1004"/>
      <c r="AB509" s="1004"/>
      <c r="AC509" s="1004"/>
      <c r="AD509" s="1004"/>
      <c r="AE509" s="1004"/>
      <c r="AF509" s="1004"/>
      <c r="AG509" s="1009"/>
      <c r="AH509" s="1004"/>
      <c r="AI509" s="1004"/>
      <c r="AJ509" s="1004"/>
      <c r="AK509" s="1004"/>
      <c r="AL509" s="1004"/>
      <c r="AM509" s="1004"/>
      <c r="AN509" s="1022"/>
      <c r="AO509" s="1817"/>
    </row>
    <row r="510" spans="1:41" s="1818" customFormat="1" ht="12.75" customHeight="1">
      <c r="A510" s="1004"/>
      <c r="B510" s="1004"/>
      <c r="C510" s="1004"/>
      <c r="D510" s="1004"/>
      <c r="E510" s="1004"/>
      <c r="F510" s="1004"/>
      <c r="G510" s="1004"/>
      <c r="H510" s="1004"/>
      <c r="I510" s="1004"/>
      <c r="J510" s="1004"/>
      <c r="K510" s="1004"/>
      <c r="L510" s="1004"/>
      <c r="M510" s="1004"/>
      <c r="N510" s="1004"/>
      <c r="O510" s="1004"/>
      <c r="P510" s="1004"/>
      <c r="Q510" s="1004"/>
      <c r="R510" s="1004"/>
      <c r="S510" s="1004"/>
      <c r="T510" s="1004"/>
      <c r="U510" s="1004"/>
      <c r="V510" s="1004"/>
      <c r="W510" s="1004"/>
      <c r="X510" s="1004"/>
      <c r="Y510" s="1004"/>
      <c r="Z510" s="1004"/>
      <c r="AA510" s="1004"/>
      <c r="AB510" s="1004"/>
      <c r="AC510" s="1004"/>
      <c r="AD510" s="1004"/>
      <c r="AE510" s="1004"/>
      <c r="AF510" s="1004"/>
      <c r="AG510" s="1009"/>
      <c r="AH510" s="1004"/>
      <c r="AI510" s="1004"/>
      <c r="AJ510" s="1004"/>
      <c r="AK510" s="1004"/>
      <c r="AL510" s="1004"/>
      <c r="AM510" s="1004"/>
      <c r="AN510" s="1022"/>
      <c r="AO510" s="1822"/>
    </row>
    <row r="511" spans="1:41" s="1818" customFormat="1" ht="12.75" customHeight="1">
      <c r="B511" s="1004"/>
      <c r="C511" s="1004"/>
      <c r="D511" s="1004"/>
      <c r="E511" s="1004"/>
      <c r="F511" s="1004"/>
      <c r="G511" s="1004"/>
      <c r="H511" s="1004"/>
      <c r="I511" s="1004"/>
      <c r="J511" s="1004"/>
      <c r="K511" s="1004"/>
      <c r="L511" s="1004"/>
      <c r="M511" s="1004"/>
      <c r="N511" s="1004"/>
      <c r="O511" s="1004"/>
      <c r="P511" s="1004"/>
      <c r="Q511" s="1004"/>
      <c r="R511" s="1004"/>
      <c r="S511" s="1004"/>
      <c r="T511" s="1004"/>
      <c r="U511" s="1004"/>
      <c r="V511" s="1004"/>
      <c r="W511" s="1004"/>
      <c r="X511" s="1004"/>
      <c r="Y511" s="1004"/>
      <c r="Z511" s="1004"/>
      <c r="AA511" s="1004"/>
      <c r="AB511" s="1004"/>
      <c r="AC511" s="1004"/>
      <c r="AD511" s="1004"/>
      <c r="AE511" s="1004"/>
      <c r="AF511" s="1004"/>
      <c r="AG511" s="1009"/>
      <c r="AH511" s="1004"/>
      <c r="AI511" s="1004"/>
      <c r="AJ511" s="1004"/>
      <c r="AK511" s="1004"/>
      <c r="AL511" s="1004"/>
      <c r="AM511" s="1004"/>
      <c r="AN511" s="1005"/>
      <c r="AO511" s="1822"/>
    </row>
    <row r="512" spans="1:41" s="1818" customFormat="1" ht="12.75" customHeight="1">
      <c r="AG512" s="2223"/>
      <c r="AN512" s="1815"/>
      <c r="AO512" s="1822"/>
    </row>
    <row r="513" spans="1:41" s="1818" customFormat="1" ht="12.75" customHeight="1">
      <c r="AG513" s="2223"/>
      <c r="AN513" s="1815"/>
      <c r="AO513" s="1822"/>
    </row>
    <row r="514" spans="1:41" s="1823" customFormat="1" ht="12.75" customHeight="1">
      <c r="A514" s="1818"/>
      <c r="B514" s="1818"/>
      <c r="C514" s="1818"/>
      <c r="D514" s="1818"/>
      <c r="E514" s="1818"/>
      <c r="F514" s="1818"/>
      <c r="G514" s="1818"/>
      <c r="H514" s="1818"/>
      <c r="I514" s="1818"/>
      <c r="J514" s="1818"/>
      <c r="K514" s="1818"/>
      <c r="L514" s="1818"/>
      <c r="M514" s="1818"/>
      <c r="N514" s="1818"/>
      <c r="O514" s="1818"/>
      <c r="P514" s="1818"/>
      <c r="Q514" s="1818"/>
      <c r="R514" s="1818"/>
      <c r="S514" s="1818"/>
      <c r="T514" s="1818"/>
      <c r="U514" s="1818"/>
      <c r="V514" s="1818"/>
      <c r="W514" s="1818"/>
      <c r="X514" s="1818"/>
      <c r="Y514" s="1818"/>
      <c r="Z514" s="1818"/>
      <c r="AA514" s="1818"/>
      <c r="AB514" s="1818"/>
      <c r="AC514" s="1818"/>
      <c r="AD514" s="1818"/>
      <c r="AE514" s="1818"/>
      <c r="AF514" s="1818"/>
      <c r="AG514" s="2223"/>
      <c r="AH514" s="1818"/>
      <c r="AI514" s="1818"/>
      <c r="AJ514" s="1818"/>
      <c r="AK514" s="1818"/>
      <c r="AL514" s="1818"/>
      <c r="AM514" s="1818"/>
      <c r="AN514" s="1815"/>
      <c r="AO514" s="1822"/>
    </row>
    <row r="515" spans="1:41" s="1823" customFormat="1" ht="12.75" customHeight="1">
      <c r="A515" s="1818"/>
      <c r="B515" s="1818"/>
      <c r="C515" s="1818"/>
      <c r="D515" s="1818"/>
      <c r="E515" s="1818"/>
      <c r="F515" s="1818"/>
      <c r="G515" s="1818"/>
      <c r="H515" s="1818"/>
      <c r="I515" s="1818"/>
      <c r="J515" s="1818"/>
      <c r="K515" s="1818"/>
      <c r="L515" s="1818"/>
      <c r="M515" s="1818"/>
      <c r="N515" s="1818"/>
      <c r="O515" s="1818"/>
      <c r="P515" s="1818"/>
      <c r="Q515" s="1818"/>
      <c r="R515" s="1818"/>
      <c r="S515" s="1818"/>
      <c r="T515" s="1818"/>
      <c r="U515" s="1818"/>
      <c r="V515" s="1818"/>
      <c r="W515" s="1818"/>
      <c r="X515" s="1818"/>
      <c r="Y515" s="1818"/>
      <c r="Z515" s="1818"/>
      <c r="AA515" s="1818"/>
      <c r="AB515" s="1818"/>
      <c r="AC515" s="1818"/>
      <c r="AD515" s="1818"/>
      <c r="AE515" s="1818"/>
      <c r="AF515" s="1818"/>
      <c r="AG515" s="2223"/>
      <c r="AH515" s="1818"/>
      <c r="AI515" s="1818"/>
      <c r="AJ515" s="1818"/>
      <c r="AK515" s="1818"/>
      <c r="AL515" s="1818"/>
      <c r="AM515" s="1818"/>
      <c r="AN515" s="1815"/>
      <c r="AO515" s="1822"/>
    </row>
    <row r="516" spans="1:41" s="1823" customFormat="1" ht="12.75" customHeight="1">
      <c r="A516" s="1818"/>
      <c r="B516" s="1818"/>
      <c r="C516" s="1818"/>
      <c r="D516" s="1818"/>
      <c r="E516" s="1818"/>
      <c r="F516" s="1818"/>
      <c r="G516" s="1818"/>
      <c r="H516" s="1818"/>
      <c r="I516" s="1818"/>
      <c r="J516" s="1818"/>
      <c r="K516" s="1818"/>
      <c r="L516" s="1818"/>
      <c r="M516" s="1818"/>
      <c r="N516" s="1818"/>
      <c r="O516" s="1818"/>
      <c r="P516" s="1818"/>
      <c r="Q516" s="1818"/>
      <c r="R516" s="1818"/>
      <c r="S516" s="1818"/>
      <c r="T516" s="1818"/>
      <c r="U516" s="1818"/>
      <c r="V516" s="1818"/>
      <c r="W516" s="1818"/>
      <c r="X516" s="1818"/>
      <c r="Y516" s="1818"/>
      <c r="Z516" s="1818"/>
      <c r="AA516" s="1818"/>
      <c r="AB516" s="1818"/>
      <c r="AC516" s="1818"/>
      <c r="AD516" s="1818"/>
      <c r="AE516" s="1818"/>
      <c r="AF516" s="1818"/>
      <c r="AG516" s="2223"/>
      <c r="AH516" s="1818"/>
      <c r="AI516" s="1818"/>
      <c r="AJ516" s="1818"/>
      <c r="AK516" s="1818"/>
      <c r="AL516" s="1818"/>
      <c r="AM516" s="1818"/>
      <c r="AN516" s="1816"/>
      <c r="AO516" s="1824"/>
    </row>
    <row r="517" spans="1:41" s="1823" customFormat="1" ht="12.75" customHeight="1">
      <c r="A517" s="1818"/>
      <c r="B517" s="1818"/>
      <c r="C517" s="1818"/>
      <c r="D517" s="1818"/>
      <c r="E517" s="1818"/>
      <c r="F517" s="1818"/>
      <c r="G517" s="1818"/>
      <c r="H517" s="1818"/>
      <c r="I517" s="1818"/>
      <c r="J517" s="1818"/>
      <c r="K517" s="1818"/>
      <c r="L517" s="1818"/>
      <c r="M517" s="1818"/>
      <c r="N517" s="1818"/>
      <c r="O517" s="1818"/>
      <c r="P517" s="1818"/>
      <c r="Q517" s="1818"/>
      <c r="R517" s="1818"/>
      <c r="S517" s="1818"/>
      <c r="T517" s="1818"/>
      <c r="U517" s="1818"/>
      <c r="V517" s="1818"/>
      <c r="W517" s="1818"/>
      <c r="X517" s="1818"/>
      <c r="Y517" s="1818"/>
      <c r="Z517" s="1818"/>
      <c r="AA517" s="1818"/>
      <c r="AB517" s="1818"/>
      <c r="AC517" s="1818"/>
      <c r="AD517" s="1818"/>
      <c r="AE517" s="1818"/>
      <c r="AF517" s="1818"/>
      <c r="AG517" s="2223"/>
      <c r="AH517" s="1818"/>
      <c r="AI517" s="1818"/>
      <c r="AJ517" s="1818"/>
      <c r="AK517" s="1818"/>
      <c r="AL517" s="1818"/>
      <c r="AM517" s="1818"/>
      <c r="AN517" s="1815"/>
      <c r="AO517" s="1824"/>
    </row>
    <row r="518" spans="1:41" s="1823" customFormat="1" ht="12.75" customHeight="1">
      <c r="A518" s="1818"/>
      <c r="B518" s="1818"/>
      <c r="C518" s="1818"/>
      <c r="D518" s="1818"/>
      <c r="E518" s="1818"/>
      <c r="F518" s="1818"/>
      <c r="G518" s="1818"/>
      <c r="H518" s="1818"/>
      <c r="I518" s="1818"/>
      <c r="J518" s="1818"/>
      <c r="K518" s="1818"/>
      <c r="L518" s="1818"/>
      <c r="M518" s="1818"/>
      <c r="N518" s="1818"/>
      <c r="O518" s="1818"/>
      <c r="P518" s="1818"/>
      <c r="Q518" s="1818"/>
      <c r="R518" s="1818"/>
      <c r="S518" s="1818"/>
      <c r="T518" s="1818"/>
      <c r="U518" s="1818"/>
      <c r="V518" s="1818"/>
      <c r="W518" s="1818"/>
      <c r="X518" s="1818"/>
      <c r="Y518" s="1818"/>
      <c r="Z518" s="1818"/>
      <c r="AA518" s="1818"/>
      <c r="AB518" s="1818"/>
      <c r="AC518" s="1818"/>
      <c r="AD518" s="1818"/>
      <c r="AE518" s="1818"/>
      <c r="AF518" s="1818"/>
      <c r="AG518" s="2223"/>
      <c r="AH518" s="1818"/>
      <c r="AI518" s="1818"/>
      <c r="AJ518" s="1818"/>
      <c r="AK518" s="1818"/>
      <c r="AL518" s="1818"/>
      <c r="AM518" s="1818"/>
      <c r="AN518" s="1815"/>
      <c r="AO518" s="1824"/>
    </row>
    <row r="519" spans="1:41" s="1823" customFormat="1" ht="12.75" customHeight="1">
      <c r="A519" s="1818"/>
      <c r="B519" s="1818"/>
      <c r="C519" s="1818"/>
      <c r="D519" s="1818"/>
      <c r="E519" s="1818"/>
      <c r="F519" s="1818"/>
      <c r="G519" s="1818"/>
      <c r="H519" s="1818"/>
      <c r="I519" s="1818"/>
      <c r="J519" s="1818"/>
      <c r="K519" s="1818"/>
      <c r="L519" s="1818"/>
      <c r="M519" s="1818"/>
      <c r="N519" s="1818"/>
      <c r="O519" s="1818"/>
      <c r="P519" s="1818"/>
      <c r="Q519" s="1818"/>
      <c r="R519" s="1818"/>
      <c r="S519" s="1818"/>
      <c r="T519" s="1818"/>
      <c r="U519" s="1818"/>
      <c r="V519" s="1818"/>
      <c r="W519" s="1818"/>
      <c r="X519" s="1818"/>
      <c r="Y519" s="1818"/>
      <c r="Z519" s="1818"/>
      <c r="AA519" s="1818"/>
      <c r="AB519" s="1818"/>
      <c r="AC519" s="1818"/>
      <c r="AD519" s="1818"/>
      <c r="AE519" s="1818"/>
      <c r="AF519" s="1818"/>
      <c r="AG519" s="2223"/>
      <c r="AH519" s="1818"/>
      <c r="AI519" s="1818"/>
      <c r="AJ519" s="1818"/>
      <c r="AK519" s="1818"/>
      <c r="AL519" s="1818"/>
      <c r="AM519" s="1818"/>
      <c r="AN519" s="1815"/>
      <c r="AO519" s="1825"/>
    </row>
    <row r="520" spans="1:41" s="1823" customFormat="1" ht="12" customHeight="1">
      <c r="A520" s="1818"/>
      <c r="B520" s="1818"/>
      <c r="C520" s="1818"/>
      <c r="D520" s="1818"/>
      <c r="E520" s="1818"/>
      <c r="F520" s="1818"/>
      <c r="G520" s="1818"/>
      <c r="H520" s="1818"/>
      <c r="I520" s="1818"/>
      <c r="J520" s="1818"/>
      <c r="K520" s="1818"/>
      <c r="L520" s="1818"/>
      <c r="M520" s="1818"/>
      <c r="N520" s="1818"/>
      <c r="O520" s="1818"/>
      <c r="P520" s="1818"/>
      <c r="Q520" s="1818"/>
      <c r="R520" s="1818"/>
      <c r="S520" s="1818"/>
      <c r="T520" s="1818"/>
      <c r="U520" s="1818"/>
      <c r="V520" s="1818"/>
      <c r="W520" s="1818"/>
      <c r="X520" s="1818"/>
      <c r="Y520" s="1818"/>
      <c r="Z520" s="1818"/>
      <c r="AA520" s="1818"/>
      <c r="AB520" s="1818"/>
      <c r="AC520" s="1818"/>
      <c r="AD520" s="1818"/>
      <c r="AE520" s="1818"/>
      <c r="AF520" s="1818"/>
      <c r="AG520" s="2223"/>
      <c r="AH520" s="1818"/>
      <c r="AI520" s="1818"/>
      <c r="AJ520" s="1818"/>
      <c r="AK520" s="1818"/>
      <c r="AL520" s="1818"/>
      <c r="AM520" s="1818"/>
      <c r="AN520" s="1815"/>
      <c r="AO520" s="1825"/>
    </row>
    <row r="521" spans="1:41" s="1823" customFormat="1" ht="12" customHeight="1">
      <c r="A521" s="1818"/>
      <c r="B521" s="1818"/>
      <c r="C521" s="1818"/>
      <c r="D521" s="1818"/>
      <c r="E521" s="1818"/>
      <c r="F521" s="1818"/>
      <c r="G521" s="1818"/>
      <c r="H521" s="1818"/>
      <c r="I521" s="1818"/>
      <c r="J521" s="1818"/>
      <c r="K521" s="1818"/>
      <c r="L521" s="1818"/>
      <c r="M521" s="1818"/>
      <c r="N521" s="1818"/>
      <c r="O521" s="1818"/>
      <c r="P521" s="1818"/>
      <c r="Q521" s="1818"/>
      <c r="R521" s="1818"/>
      <c r="S521" s="1818"/>
      <c r="T521" s="1818"/>
      <c r="U521" s="1818"/>
      <c r="V521" s="1818"/>
      <c r="W521" s="1818"/>
      <c r="X521" s="1818"/>
      <c r="Y521" s="1818"/>
      <c r="Z521" s="1818"/>
      <c r="AA521" s="1818"/>
      <c r="AB521" s="1818"/>
      <c r="AC521" s="1818"/>
      <c r="AD521" s="1818"/>
      <c r="AE521" s="1818"/>
      <c r="AF521" s="1818"/>
      <c r="AG521" s="2223"/>
      <c r="AH521" s="1818"/>
      <c r="AI521" s="1818"/>
      <c r="AJ521" s="1818"/>
      <c r="AK521" s="1818"/>
      <c r="AL521" s="1818"/>
      <c r="AM521" s="1818"/>
      <c r="AN521" s="1816"/>
      <c r="AO521" s="1825"/>
    </row>
    <row r="522" spans="1:41" s="1823" customFormat="1" ht="12" customHeight="1">
      <c r="A522" s="1818"/>
      <c r="B522" s="1818"/>
      <c r="C522" s="1818"/>
      <c r="D522" s="1818"/>
      <c r="E522" s="1818"/>
      <c r="F522" s="1818"/>
      <c r="G522" s="1818"/>
      <c r="H522" s="1818"/>
      <c r="I522" s="1818"/>
      <c r="J522" s="1818"/>
      <c r="K522" s="1818"/>
      <c r="L522" s="1818"/>
      <c r="M522" s="1818"/>
      <c r="N522" s="1818"/>
      <c r="O522" s="1818"/>
      <c r="P522" s="1818"/>
      <c r="Q522" s="1818"/>
      <c r="R522" s="1818"/>
      <c r="S522" s="1818"/>
      <c r="T522" s="1818"/>
      <c r="U522" s="1818"/>
      <c r="V522" s="1818"/>
      <c r="W522" s="1818"/>
      <c r="X522" s="1818"/>
      <c r="Y522" s="1818"/>
      <c r="Z522" s="1818"/>
      <c r="AA522" s="1818"/>
      <c r="AB522" s="1818"/>
      <c r="AC522" s="1818"/>
      <c r="AD522" s="1818"/>
      <c r="AE522" s="1818"/>
      <c r="AF522" s="1818"/>
      <c r="AG522" s="2223"/>
      <c r="AH522" s="1818"/>
      <c r="AI522" s="1818"/>
      <c r="AJ522" s="1818"/>
      <c r="AK522" s="1818"/>
      <c r="AL522" s="1818"/>
      <c r="AM522" s="1818"/>
      <c r="AN522" s="1815"/>
      <c r="AO522" s="1826"/>
    </row>
    <row r="523" spans="1:41" s="1827" customFormat="1" ht="12" customHeight="1">
      <c r="A523" s="1818"/>
      <c r="B523" s="1818"/>
      <c r="C523" s="1818"/>
      <c r="D523" s="1818"/>
      <c r="E523" s="1818"/>
      <c r="F523" s="1818"/>
      <c r="G523" s="1818"/>
      <c r="H523" s="1818"/>
      <c r="I523" s="1818"/>
      <c r="J523" s="1818"/>
      <c r="K523" s="1818"/>
      <c r="L523" s="1818"/>
      <c r="M523" s="1818"/>
      <c r="N523" s="1818"/>
      <c r="O523" s="1818"/>
      <c r="P523" s="1818"/>
      <c r="Q523" s="1818"/>
      <c r="R523" s="1818"/>
      <c r="S523" s="1818"/>
      <c r="T523" s="1818"/>
      <c r="U523" s="1818"/>
      <c r="V523" s="1818"/>
      <c r="W523" s="1818"/>
      <c r="X523" s="1818"/>
      <c r="Y523" s="1818"/>
      <c r="Z523" s="1818"/>
      <c r="AA523" s="1818"/>
      <c r="AB523" s="1818"/>
      <c r="AC523" s="1818"/>
      <c r="AD523" s="1818"/>
      <c r="AE523" s="1818"/>
      <c r="AF523" s="1818"/>
      <c r="AG523" s="2223"/>
      <c r="AH523" s="1818"/>
      <c r="AI523" s="1818"/>
      <c r="AJ523" s="1818"/>
      <c r="AK523" s="1818"/>
      <c r="AL523" s="1818"/>
      <c r="AM523" s="1818"/>
      <c r="AN523" s="1815"/>
      <c r="AO523" s="1826"/>
    </row>
    <row r="524" spans="1:41" s="1827" customFormat="1" ht="12" customHeight="1">
      <c r="A524" s="1818"/>
      <c r="B524" s="1818"/>
      <c r="C524" s="1818"/>
      <c r="D524" s="1818"/>
      <c r="E524" s="1818"/>
      <c r="F524" s="1818"/>
      <c r="G524" s="1818"/>
      <c r="H524" s="1818"/>
      <c r="I524" s="1818"/>
      <c r="J524" s="1818"/>
      <c r="K524" s="1818"/>
      <c r="L524" s="1818"/>
      <c r="M524" s="1818"/>
      <c r="N524" s="1818"/>
      <c r="O524" s="1818"/>
      <c r="P524" s="1818"/>
      <c r="Q524" s="1818"/>
      <c r="R524" s="1818"/>
      <c r="S524" s="1818"/>
      <c r="T524" s="1818"/>
      <c r="U524" s="1818"/>
      <c r="V524" s="1818"/>
      <c r="W524" s="1818"/>
      <c r="X524" s="1818"/>
      <c r="Y524" s="1818"/>
      <c r="Z524" s="1818"/>
      <c r="AA524" s="1818"/>
      <c r="AB524" s="1818"/>
      <c r="AC524" s="1818"/>
      <c r="AD524" s="1818"/>
      <c r="AE524" s="1818"/>
      <c r="AF524" s="1818"/>
      <c r="AG524" s="2223"/>
      <c r="AH524" s="1818"/>
      <c r="AI524" s="1818"/>
      <c r="AJ524" s="1818"/>
      <c r="AK524" s="1818"/>
      <c r="AL524" s="1818"/>
      <c r="AM524" s="1818"/>
      <c r="AN524" s="1815"/>
      <c r="AO524" s="1826"/>
    </row>
    <row r="525" spans="1:41" s="1827" customFormat="1" ht="12" customHeight="1">
      <c r="A525" s="1818"/>
      <c r="B525" s="1818"/>
      <c r="C525" s="1818"/>
      <c r="D525" s="1818"/>
      <c r="E525" s="1818"/>
      <c r="F525" s="1818"/>
      <c r="G525" s="1818"/>
      <c r="H525" s="1818"/>
      <c r="I525" s="1818"/>
      <c r="J525" s="1818"/>
      <c r="K525" s="1818"/>
      <c r="L525" s="1818"/>
      <c r="M525" s="1818"/>
      <c r="N525" s="1818"/>
      <c r="O525" s="1818"/>
      <c r="P525" s="1818"/>
      <c r="Q525" s="1818"/>
      <c r="R525" s="1818"/>
      <c r="S525" s="1818"/>
      <c r="T525" s="1818"/>
      <c r="U525" s="1818"/>
      <c r="V525" s="1818"/>
      <c r="W525" s="1818"/>
      <c r="X525" s="1818"/>
      <c r="Y525" s="1818"/>
      <c r="Z525" s="1818"/>
      <c r="AA525" s="1818"/>
      <c r="AB525" s="1818"/>
      <c r="AC525" s="1818"/>
      <c r="AD525" s="1818"/>
      <c r="AE525" s="1818"/>
      <c r="AF525" s="1818"/>
      <c r="AG525" s="2223"/>
      <c r="AH525" s="1818"/>
      <c r="AI525" s="1818"/>
      <c r="AJ525" s="1818"/>
      <c r="AK525" s="1818"/>
      <c r="AL525" s="1818"/>
      <c r="AM525" s="1818"/>
      <c r="AN525" s="1815"/>
      <c r="AO525" s="1826"/>
    </row>
    <row r="526" spans="1:41" s="1827" customFormat="1" ht="12" customHeight="1">
      <c r="A526" s="1818"/>
      <c r="B526" s="1818"/>
      <c r="C526" s="1818"/>
      <c r="D526" s="1818"/>
      <c r="E526" s="1818"/>
      <c r="F526" s="1818"/>
      <c r="G526" s="1818"/>
      <c r="H526" s="1818"/>
      <c r="I526" s="1818"/>
      <c r="J526" s="1818"/>
      <c r="K526" s="1818"/>
      <c r="L526" s="1818"/>
      <c r="M526" s="1818"/>
      <c r="N526" s="1818"/>
      <c r="O526" s="1818"/>
      <c r="P526" s="1818"/>
      <c r="Q526" s="1818"/>
      <c r="R526" s="1818"/>
      <c r="S526" s="1818"/>
      <c r="T526" s="1818"/>
      <c r="U526" s="1818"/>
      <c r="V526" s="1818"/>
      <c r="W526" s="1818"/>
      <c r="X526" s="1818"/>
      <c r="Y526" s="1818"/>
      <c r="Z526" s="1818"/>
      <c r="AA526" s="1818"/>
      <c r="AB526" s="1818"/>
      <c r="AC526" s="1818"/>
      <c r="AD526" s="1818"/>
      <c r="AE526" s="1818"/>
      <c r="AF526" s="1818"/>
      <c r="AG526" s="2223"/>
      <c r="AH526" s="1818"/>
      <c r="AI526" s="1818"/>
      <c r="AJ526" s="1818"/>
      <c r="AK526" s="1818"/>
      <c r="AL526" s="1818"/>
      <c r="AM526" s="1818"/>
      <c r="AN526" s="1816"/>
      <c r="AO526" s="1829"/>
    </row>
    <row r="527" spans="1:41" s="1823" customFormat="1" ht="12" customHeight="1">
      <c r="A527" s="1818"/>
      <c r="B527" s="1818"/>
      <c r="C527" s="1818"/>
      <c r="D527" s="1818"/>
      <c r="E527" s="1818"/>
      <c r="F527" s="1818"/>
      <c r="G527" s="1818"/>
      <c r="H527" s="1818"/>
      <c r="I527" s="1818"/>
      <c r="J527" s="1818"/>
      <c r="K527" s="1818"/>
      <c r="L527" s="1818"/>
      <c r="M527" s="1818"/>
      <c r="N527" s="1818"/>
      <c r="O527" s="1818"/>
      <c r="P527" s="1818"/>
      <c r="Q527" s="1818"/>
      <c r="R527" s="1818"/>
      <c r="S527" s="1818"/>
      <c r="T527" s="1818"/>
      <c r="U527" s="1818"/>
      <c r="V527" s="1818"/>
      <c r="W527" s="1818"/>
      <c r="X527" s="1818"/>
      <c r="Y527" s="1818"/>
      <c r="Z527" s="1818"/>
      <c r="AA527" s="1818"/>
      <c r="AB527" s="1818"/>
      <c r="AC527" s="1818"/>
      <c r="AD527" s="1818"/>
      <c r="AE527" s="1818"/>
      <c r="AF527" s="1818"/>
      <c r="AG527" s="2223"/>
      <c r="AH527" s="1818"/>
      <c r="AI527" s="1818"/>
      <c r="AJ527" s="1818"/>
      <c r="AK527" s="1818"/>
      <c r="AL527" s="1818"/>
      <c r="AM527" s="1818"/>
      <c r="AN527" s="1815"/>
      <c r="AO527" s="1826"/>
    </row>
    <row r="528" spans="1:41" s="1823" customFormat="1" ht="12" customHeight="1">
      <c r="A528" s="1818"/>
      <c r="B528" s="1818"/>
      <c r="C528" s="1818"/>
      <c r="D528" s="1818"/>
      <c r="E528" s="1818"/>
      <c r="F528" s="1818"/>
      <c r="G528" s="1818"/>
      <c r="H528" s="1818"/>
      <c r="I528" s="1818"/>
      <c r="J528" s="1818"/>
      <c r="K528" s="1818"/>
      <c r="L528" s="1818"/>
      <c r="M528" s="1818"/>
      <c r="N528" s="1818"/>
      <c r="O528" s="1818"/>
      <c r="P528" s="1818"/>
      <c r="Q528" s="1818"/>
      <c r="R528" s="1818"/>
      <c r="S528" s="1818"/>
      <c r="T528" s="1818"/>
      <c r="U528" s="1818"/>
      <c r="V528" s="1818"/>
      <c r="W528" s="1818"/>
      <c r="X528" s="1818"/>
      <c r="Y528" s="1818"/>
      <c r="Z528" s="1818"/>
      <c r="AA528" s="1818"/>
      <c r="AB528" s="1818"/>
      <c r="AC528" s="1818"/>
      <c r="AD528" s="1818"/>
      <c r="AE528" s="1818"/>
      <c r="AF528" s="1818"/>
      <c r="AG528" s="2223"/>
      <c r="AH528" s="1818"/>
      <c r="AI528" s="1818"/>
      <c r="AJ528" s="1818"/>
      <c r="AK528" s="1818"/>
      <c r="AL528" s="1818"/>
      <c r="AM528" s="1818"/>
      <c r="AN528" s="1815"/>
      <c r="AO528" s="1826"/>
    </row>
    <row r="529" spans="1:43" s="1823" customFormat="1" ht="12" customHeight="1">
      <c r="A529" s="1818"/>
      <c r="B529" s="1818"/>
      <c r="C529" s="1818"/>
      <c r="D529" s="1818"/>
      <c r="E529" s="1818"/>
      <c r="F529" s="1818"/>
      <c r="G529" s="1818"/>
      <c r="H529" s="1818"/>
      <c r="I529" s="1818"/>
      <c r="J529" s="1818"/>
      <c r="K529" s="1818"/>
      <c r="L529" s="1818"/>
      <c r="M529" s="1818"/>
      <c r="N529" s="1818"/>
      <c r="O529" s="1818"/>
      <c r="P529" s="1818"/>
      <c r="Q529" s="1818"/>
      <c r="R529" s="1818"/>
      <c r="S529" s="1818"/>
      <c r="T529" s="1818"/>
      <c r="U529" s="1818"/>
      <c r="V529" s="1818"/>
      <c r="W529" s="1818"/>
      <c r="X529" s="1818"/>
      <c r="Y529" s="1818"/>
      <c r="Z529" s="1818"/>
      <c r="AA529" s="1818"/>
      <c r="AB529" s="1818"/>
      <c r="AC529" s="1818"/>
      <c r="AD529" s="1818"/>
      <c r="AE529" s="1818"/>
      <c r="AF529" s="1818"/>
      <c r="AG529" s="2223"/>
      <c r="AH529" s="1818"/>
      <c r="AI529" s="1818"/>
      <c r="AJ529" s="1818"/>
      <c r="AK529" s="1818"/>
      <c r="AL529" s="1818"/>
      <c r="AM529" s="1818"/>
      <c r="AN529" s="1815"/>
      <c r="AO529" s="1826"/>
    </row>
    <row r="530" spans="1:43" s="1823" customFormat="1" ht="12" customHeight="1">
      <c r="A530" s="1818"/>
      <c r="B530" s="1818"/>
      <c r="C530" s="1818"/>
      <c r="D530" s="1818"/>
      <c r="E530" s="1818"/>
      <c r="F530" s="1818"/>
      <c r="G530" s="1818"/>
      <c r="H530" s="1818"/>
      <c r="I530" s="1818"/>
      <c r="J530" s="1818"/>
      <c r="K530" s="1818"/>
      <c r="L530" s="1818"/>
      <c r="M530" s="1818"/>
      <c r="N530" s="1818"/>
      <c r="O530" s="1818"/>
      <c r="P530" s="1818"/>
      <c r="Q530" s="1818"/>
      <c r="R530" s="1818"/>
      <c r="S530" s="1818"/>
      <c r="T530" s="1818"/>
      <c r="U530" s="1818"/>
      <c r="V530" s="1818"/>
      <c r="W530" s="1818"/>
      <c r="X530" s="1818"/>
      <c r="Y530" s="1818"/>
      <c r="Z530" s="1818"/>
      <c r="AA530" s="1818"/>
      <c r="AB530" s="1818"/>
      <c r="AC530" s="1818"/>
      <c r="AD530" s="1818"/>
      <c r="AE530" s="1818"/>
      <c r="AF530" s="1818"/>
      <c r="AG530" s="2223"/>
      <c r="AH530" s="1818"/>
      <c r="AI530" s="1818"/>
      <c r="AJ530" s="1818"/>
      <c r="AK530" s="1818"/>
      <c r="AL530" s="1818"/>
      <c r="AM530" s="1818"/>
      <c r="AN530" s="1815"/>
      <c r="AO530" s="1824"/>
    </row>
    <row r="531" spans="1:43" s="1823" customFormat="1" ht="12" customHeight="1">
      <c r="A531" s="1818"/>
      <c r="B531" s="1818"/>
      <c r="C531" s="1818"/>
      <c r="D531" s="1818"/>
      <c r="E531" s="1818"/>
      <c r="F531" s="1818"/>
      <c r="G531" s="1818"/>
      <c r="H531" s="1818"/>
      <c r="I531" s="1818"/>
      <c r="J531" s="1818"/>
      <c r="K531" s="1818"/>
      <c r="L531" s="1818"/>
      <c r="M531" s="1818"/>
      <c r="N531" s="1818"/>
      <c r="O531" s="1818"/>
      <c r="P531" s="1818"/>
      <c r="Q531" s="1818"/>
      <c r="R531" s="1818"/>
      <c r="S531" s="1818"/>
      <c r="T531" s="1818"/>
      <c r="U531" s="1818"/>
      <c r="V531" s="1818"/>
      <c r="W531" s="1818"/>
      <c r="X531" s="1818"/>
      <c r="Y531" s="1818"/>
      <c r="Z531" s="1818"/>
      <c r="AA531" s="1818"/>
      <c r="AB531" s="1818"/>
      <c r="AC531" s="1818"/>
      <c r="AD531" s="1818"/>
      <c r="AE531" s="1818"/>
      <c r="AF531" s="1818"/>
      <c r="AG531" s="2223"/>
      <c r="AH531" s="1818"/>
      <c r="AI531" s="1818"/>
      <c r="AJ531" s="1818"/>
      <c r="AK531" s="1818"/>
      <c r="AL531" s="1818"/>
      <c r="AM531" s="1818"/>
      <c r="AN531" s="1815"/>
      <c r="AO531" s="1824"/>
    </row>
    <row r="532" spans="1:43" s="1823" customFormat="1" ht="12" customHeight="1">
      <c r="A532" s="1818"/>
      <c r="B532" s="1818"/>
      <c r="C532" s="1818"/>
      <c r="D532" s="1818"/>
      <c r="E532" s="1818"/>
      <c r="F532" s="1818"/>
      <c r="G532" s="1818"/>
      <c r="H532" s="1818"/>
      <c r="I532" s="1818"/>
      <c r="J532" s="1818"/>
      <c r="K532" s="1818"/>
      <c r="L532" s="1818"/>
      <c r="M532" s="1818"/>
      <c r="N532" s="1818"/>
      <c r="O532" s="1818"/>
      <c r="P532" s="1818"/>
      <c r="Q532" s="1818"/>
      <c r="R532" s="1818"/>
      <c r="S532" s="1818"/>
      <c r="T532" s="1818"/>
      <c r="U532" s="1818"/>
      <c r="V532" s="1818"/>
      <c r="W532" s="1818"/>
      <c r="X532" s="1818"/>
      <c r="Y532" s="1818"/>
      <c r="Z532" s="1818"/>
      <c r="AA532" s="1818"/>
      <c r="AB532" s="1818"/>
      <c r="AC532" s="1818"/>
      <c r="AD532" s="1818"/>
      <c r="AE532" s="1818"/>
      <c r="AF532" s="1818"/>
      <c r="AG532" s="2223"/>
      <c r="AH532" s="1818"/>
      <c r="AI532" s="1818"/>
      <c r="AJ532" s="1818"/>
      <c r="AK532" s="1818"/>
      <c r="AL532" s="1818"/>
      <c r="AM532" s="1818"/>
      <c r="AN532" s="1815"/>
      <c r="AO532" s="1824"/>
    </row>
    <row r="533" spans="1:43" s="1823" customFormat="1" ht="12" customHeight="1">
      <c r="A533" s="1818"/>
      <c r="B533" s="1818"/>
      <c r="C533" s="1818"/>
      <c r="D533" s="1818"/>
      <c r="E533" s="1818"/>
      <c r="F533" s="1818"/>
      <c r="G533" s="1818"/>
      <c r="H533" s="1818"/>
      <c r="I533" s="1818"/>
      <c r="J533" s="1818"/>
      <c r="K533" s="1818"/>
      <c r="L533" s="1818"/>
      <c r="M533" s="1818"/>
      <c r="N533" s="1818"/>
      <c r="O533" s="1818"/>
      <c r="P533" s="1818"/>
      <c r="Q533" s="1818"/>
      <c r="R533" s="1818"/>
      <c r="S533" s="1818"/>
      <c r="T533" s="1818"/>
      <c r="U533" s="1818"/>
      <c r="V533" s="1818"/>
      <c r="W533" s="1818"/>
      <c r="X533" s="1818"/>
      <c r="Y533" s="1818"/>
      <c r="Z533" s="1818"/>
      <c r="AA533" s="1818"/>
      <c r="AB533" s="1818"/>
      <c r="AC533" s="1818"/>
      <c r="AD533" s="1818"/>
      <c r="AE533" s="1818"/>
      <c r="AF533" s="1818"/>
      <c r="AG533" s="2223"/>
      <c r="AH533" s="1818"/>
      <c r="AI533" s="1818"/>
      <c r="AJ533" s="1818"/>
      <c r="AK533" s="1818"/>
      <c r="AL533" s="1818"/>
      <c r="AM533" s="1818"/>
      <c r="AN533" s="1815"/>
      <c r="AO533" s="1824"/>
    </row>
    <row r="534" spans="1:43" s="1823" customFormat="1" ht="12" customHeight="1">
      <c r="A534" s="1818"/>
      <c r="B534" s="1818"/>
      <c r="C534" s="1818"/>
      <c r="D534" s="1818"/>
      <c r="E534" s="1818"/>
      <c r="F534" s="1818"/>
      <c r="G534" s="1818"/>
      <c r="H534" s="1818"/>
      <c r="I534" s="1818"/>
      <c r="J534" s="1818"/>
      <c r="K534" s="1818"/>
      <c r="L534" s="1818"/>
      <c r="M534" s="1818"/>
      <c r="N534" s="1818"/>
      <c r="O534" s="1818"/>
      <c r="P534" s="1818"/>
      <c r="Q534" s="1818"/>
      <c r="R534" s="1818"/>
      <c r="S534" s="1818"/>
      <c r="T534" s="1818"/>
      <c r="U534" s="1818"/>
      <c r="V534" s="1818"/>
      <c r="W534" s="1818"/>
      <c r="X534" s="1818"/>
      <c r="Y534" s="1818"/>
      <c r="Z534" s="1818"/>
      <c r="AA534" s="1818"/>
      <c r="AB534" s="1818"/>
      <c r="AC534" s="1818"/>
      <c r="AD534" s="1818"/>
      <c r="AE534" s="1818"/>
      <c r="AF534" s="1818"/>
      <c r="AG534" s="2223"/>
      <c r="AH534" s="1818"/>
      <c r="AI534" s="1818"/>
      <c r="AJ534" s="1818"/>
      <c r="AK534" s="1818"/>
      <c r="AL534" s="1818"/>
      <c r="AM534" s="1818"/>
      <c r="AN534" s="1815"/>
      <c r="AO534" s="1825"/>
    </row>
    <row r="535" spans="1:43" s="1823" customFormat="1" ht="12" customHeight="1">
      <c r="A535" s="1818"/>
      <c r="B535" s="1818"/>
      <c r="C535" s="1818"/>
      <c r="D535" s="1818"/>
      <c r="E535" s="1818"/>
      <c r="F535" s="1818"/>
      <c r="G535" s="1818"/>
      <c r="H535" s="1818"/>
      <c r="I535" s="1818"/>
      <c r="J535" s="1818"/>
      <c r="K535" s="1818"/>
      <c r="L535" s="1818"/>
      <c r="M535" s="1818"/>
      <c r="N535" s="1818"/>
      <c r="O535" s="1818"/>
      <c r="P535" s="1818"/>
      <c r="Q535" s="1818"/>
      <c r="R535" s="1818"/>
      <c r="S535" s="1818"/>
      <c r="T535" s="1818"/>
      <c r="U535" s="1818"/>
      <c r="V535" s="1818"/>
      <c r="W535" s="1818"/>
      <c r="X535" s="1818"/>
      <c r="Y535" s="1818"/>
      <c r="Z535" s="1818"/>
      <c r="AA535" s="1818"/>
      <c r="AB535" s="1818"/>
      <c r="AC535" s="1818"/>
      <c r="AD535" s="1818"/>
      <c r="AE535" s="1818"/>
      <c r="AF535" s="1818"/>
      <c r="AG535" s="2223"/>
      <c r="AH535" s="1818"/>
      <c r="AI535" s="1818"/>
      <c r="AJ535" s="1818"/>
      <c r="AK535" s="1818"/>
      <c r="AL535" s="1818"/>
      <c r="AM535" s="1818"/>
      <c r="AN535" s="1815"/>
      <c r="AO535" s="1825"/>
    </row>
    <row r="536" spans="1:43" s="1823" customFormat="1" ht="12" customHeight="1">
      <c r="A536" s="1818"/>
      <c r="B536" s="1818"/>
      <c r="C536" s="1818"/>
      <c r="D536" s="1818"/>
      <c r="E536" s="1818"/>
      <c r="F536" s="1818"/>
      <c r="G536" s="1818"/>
      <c r="H536" s="1818"/>
      <c r="I536" s="1818"/>
      <c r="J536" s="1818"/>
      <c r="K536" s="1818"/>
      <c r="L536" s="1818"/>
      <c r="M536" s="1818"/>
      <c r="N536" s="1818"/>
      <c r="O536" s="1818"/>
      <c r="P536" s="1818"/>
      <c r="Q536" s="1818"/>
      <c r="R536" s="1818"/>
      <c r="S536" s="1818"/>
      <c r="T536" s="1818"/>
      <c r="U536" s="1818"/>
      <c r="V536" s="1818"/>
      <c r="W536" s="1818"/>
      <c r="X536" s="1818"/>
      <c r="Y536" s="1818"/>
      <c r="Z536" s="1818"/>
      <c r="AA536" s="1818"/>
      <c r="AB536" s="1818"/>
      <c r="AC536" s="1818"/>
      <c r="AD536" s="1818"/>
      <c r="AE536" s="1818"/>
      <c r="AF536" s="1818"/>
      <c r="AG536" s="2223"/>
      <c r="AH536" s="1818"/>
      <c r="AI536" s="1818"/>
      <c r="AJ536" s="1818"/>
      <c r="AK536" s="1818"/>
      <c r="AL536" s="1818"/>
      <c r="AM536" s="1818"/>
      <c r="AN536" s="1815"/>
      <c r="AO536" s="1825"/>
    </row>
    <row r="537" spans="1:43" s="1823" customFormat="1" ht="12" customHeight="1">
      <c r="A537" s="1818"/>
      <c r="B537" s="1818"/>
      <c r="C537" s="1818"/>
      <c r="D537" s="1818"/>
      <c r="E537" s="1818"/>
      <c r="F537" s="1818"/>
      <c r="G537" s="1818"/>
      <c r="H537" s="1818"/>
      <c r="I537" s="1818"/>
      <c r="J537" s="1818"/>
      <c r="K537" s="1818"/>
      <c r="L537" s="1818"/>
      <c r="M537" s="1818"/>
      <c r="N537" s="1818"/>
      <c r="O537" s="1818"/>
      <c r="P537" s="1818"/>
      <c r="Q537" s="1818"/>
      <c r="R537" s="1818"/>
      <c r="S537" s="1818"/>
      <c r="T537" s="1818"/>
      <c r="U537" s="1818"/>
      <c r="V537" s="1818"/>
      <c r="W537" s="1818"/>
      <c r="X537" s="1818"/>
      <c r="Y537" s="1818"/>
      <c r="Z537" s="1818"/>
      <c r="AA537" s="1818"/>
      <c r="AB537" s="1818"/>
      <c r="AC537" s="1818"/>
      <c r="AD537" s="1818"/>
      <c r="AE537" s="1818"/>
      <c r="AF537" s="1818"/>
      <c r="AG537" s="2223"/>
      <c r="AH537" s="1818"/>
      <c r="AI537" s="1818"/>
      <c r="AJ537" s="1818"/>
      <c r="AK537" s="1818"/>
      <c r="AL537" s="1818"/>
      <c r="AM537" s="1818"/>
      <c r="AN537" s="1815"/>
      <c r="AO537" s="1822"/>
    </row>
    <row r="538" spans="1:43" s="1823" customFormat="1" ht="12" customHeight="1">
      <c r="A538" s="1818"/>
      <c r="B538" s="1818"/>
      <c r="C538" s="1818"/>
      <c r="D538" s="1818"/>
      <c r="E538" s="1818"/>
      <c r="F538" s="1818"/>
      <c r="G538" s="1818"/>
      <c r="H538" s="1818"/>
      <c r="I538" s="1818"/>
      <c r="J538" s="1818"/>
      <c r="K538" s="1818"/>
      <c r="L538" s="1818"/>
      <c r="M538" s="1818"/>
      <c r="N538" s="1818"/>
      <c r="O538" s="1818"/>
      <c r="P538" s="1818"/>
      <c r="Q538" s="1818"/>
      <c r="R538" s="1818"/>
      <c r="S538" s="1818"/>
      <c r="T538" s="1818"/>
      <c r="U538" s="1818"/>
      <c r="V538" s="1818"/>
      <c r="W538" s="1818"/>
      <c r="X538" s="1818"/>
      <c r="Y538" s="1818"/>
      <c r="Z538" s="1818"/>
      <c r="AA538" s="1818"/>
      <c r="AB538" s="1818"/>
      <c r="AC538" s="1818"/>
      <c r="AD538" s="1818"/>
      <c r="AE538" s="1818"/>
      <c r="AF538" s="1818"/>
      <c r="AG538" s="2223"/>
      <c r="AH538" s="1818"/>
      <c r="AI538" s="1818"/>
      <c r="AJ538" s="1818"/>
      <c r="AK538" s="1818"/>
      <c r="AL538" s="1818"/>
      <c r="AM538" s="1818"/>
      <c r="AN538" s="1815"/>
      <c r="AO538" s="1822"/>
    </row>
    <row r="539" spans="1:43" s="1830" customFormat="1" ht="12" customHeight="1">
      <c r="A539" s="1818"/>
      <c r="B539" s="1818"/>
      <c r="C539" s="1818"/>
      <c r="D539" s="1818"/>
      <c r="E539" s="1818"/>
      <c r="F539" s="1818"/>
      <c r="G539" s="1818"/>
      <c r="H539" s="1818"/>
      <c r="I539" s="1818"/>
      <c r="J539" s="1818"/>
      <c r="K539" s="1818"/>
      <c r="L539" s="1818"/>
      <c r="M539" s="1818"/>
      <c r="N539" s="1818"/>
      <c r="O539" s="1818"/>
      <c r="P539" s="1818"/>
      <c r="Q539" s="1818"/>
      <c r="R539" s="1818"/>
      <c r="S539" s="1818"/>
      <c r="T539" s="1818"/>
      <c r="U539" s="1818"/>
      <c r="V539" s="1818"/>
      <c r="W539" s="1818"/>
      <c r="X539" s="1818"/>
      <c r="Y539" s="1818"/>
      <c r="Z539" s="1818"/>
      <c r="AA539" s="1818"/>
      <c r="AB539" s="1818"/>
      <c r="AC539" s="1818"/>
      <c r="AD539" s="1818"/>
      <c r="AE539" s="1818"/>
      <c r="AF539" s="1818"/>
      <c r="AG539" s="2223"/>
      <c r="AH539" s="1818"/>
      <c r="AI539" s="1818"/>
      <c r="AJ539" s="1818"/>
      <c r="AK539" s="1818"/>
      <c r="AL539" s="1818"/>
      <c r="AM539" s="1818"/>
      <c r="AN539" s="1815"/>
      <c r="AO539" s="1832"/>
      <c r="AP539" s="1939"/>
      <c r="AQ539" s="1939"/>
    </row>
    <row r="540" spans="1:43" s="1830" customFormat="1" ht="12" customHeight="1">
      <c r="A540" s="1818"/>
      <c r="B540" s="1818"/>
      <c r="C540" s="1818"/>
      <c r="D540" s="1818"/>
      <c r="E540" s="1818"/>
      <c r="F540" s="1818"/>
      <c r="G540" s="1818"/>
      <c r="H540" s="1818"/>
      <c r="I540" s="1818"/>
      <c r="J540" s="1818"/>
      <c r="K540" s="1818"/>
      <c r="L540" s="1818"/>
      <c r="M540" s="1818"/>
      <c r="N540" s="1818"/>
      <c r="O540" s="1818"/>
      <c r="P540" s="1818"/>
      <c r="Q540" s="1818"/>
      <c r="R540" s="1818"/>
      <c r="S540" s="1818"/>
      <c r="T540" s="1818"/>
      <c r="U540" s="1818"/>
      <c r="V540" s="1818"/>
      <c r="W540" s="1818"/>
      <c r="X540" s="1818"/>
      <c r="Y540" s="1818"/>
      <c r="Z540" s="1818"/>
      <c r="AA540" s="1818"/>
      <c r="AB540" s="1818"/>
      <c r="AC540" s="1818"/>
      <c r="AD540" s="1818"/>
      <c r="AE540" s="1818"/>
      <c r="AF540" s="1818"/>
      <c r="AG540" s="2223"/>
      <c r="AH540" s="1818"/>
      <c r="AI540" s="1818"/>
      <c r="AJ540" s="1818"/>
      <c r="AK540" s="1818"/>
      <c r="AL540" s="1818"/>
      <c r="AM540" s="1818"/>
      <c r="AN540" s="1815"/>
      <c r="AO540" s="1832"/>
      <c r="AP540" s="1939"/>
      <c r="AQ540" s="1939"/>
    </row>
    <row r="541" spans="1:43" s="1830" customFormat="1" ht="12" customHeight="1">
      <c r="A541" s="1818"/>
      <c r="B541" s="1818"/>
      <c r="C541" s="1818"/>
      <c r="D541" s="1818"/>
      <c r="E541" s="1818"/>
      <c r="F541" s="1818"/>
      <c r="G541" s="1818"/>
      <c r="H541" s="1818"/>
      <c r="I541" s="1818"/>
      <c r="J541" s="1818"/>
      <c r="K541" s="1818"/>
      <c r="L541" s="1818"/>
      <c r="M541" s="1818"/>
      <c r="N541" s="1818"/>
      <c r="O541" s="1818"/>
      <c r="P541" s="1818"/>
      <c r="Q541" s="1818"/>
      <c r="R541" s="1818"/>
      <c r="S541" s="1818"/>
      <c r="T541" s="1818"/>
      <c r="U541" s="1818"/>
      <c r="V541" s="1818"/>
      <c r="W541" s="1818"/>
      <c r="X541" s="1818"/>
      <c r="Y541" s="1818"/>
      <c r="Z541" s="1818"/>
      <c r="AA541" s="1818"/>
      <c r="AB541" s="1818"/>
      <c r="AC541" s="1818"/>
      <c r="AD541" s="1818"/>
      <c r="AE541" s="1818"/>
      <c r="AF541" s="1818"/>
      <c r="AG541" s="2223"/>
      <c r="AH541" s="1818"/>
      <c r="AI541" s="1818"/>
      <c r="AJ541" s="1818"/>
      <c r="AK541" s="1818"/>
      <c r="AL541" s="1818"/>
      <c r="AM541" s="1818"/>
      <c r="AN541" s="1815"/>
      <c r="AO541" s="1832"/>
      <c r="AP541" s="1939"/>
      <c r="AQ541" s="1939"/>
    </row>
    <row r="542" spans="1:43" s="1830" customFormat="1" ht="12" customHeight="1">
      <c r="A542" s="1818"/>
      <c r="B542" s="1818"/>
      <c r="C542" s="1818"/>
      <c r="D542" s="1818"/>
      <c r="E542" s="1818"/>
      <c r="F542" s="1818"/>
      <c r="G542" s="1818"/>
      <c r="H542" s="1818"/>
      <c r="I542" s="1818"/>
      <c r="J542" s="1818"/>
      <c r="K542" s="1818"/>
      <c r="L542" s="1818"/>
      <c r="M542" s="1818"/>
      <c r="N542" s="1818"/>
      <c r="O542" s="1818"/>
      <c r="P542" s="1818"/>
      <c r="Q542" s="1818"/>
      <c r="R542" s="1818"/>
      <c r="S542" s="1818"/>
      <c r="T542" s="1818"/>
      <c r="U542" s="1818"/>
      <c r="V542" s="1818"/>
      <c r="W542" s="1818"/>
      <c r="X542" s="1818"/>
      <c r="Y542" s="1818"/>
      <c r="Z542" s="1818"/>
      <c r="AA542" s="1818"/>
      <c r="AB542" s="1818"/>
      <c r="AC542" s="1818"/>
      <c r="AD542" s="1818"/>
      <c r="AE542" s="1818"/>
      <c r="AF542" s="1818"/>
      <c r="AG542" s="2223"/>
      <c r="AH542" s="1818"/>
      <c r="AI542" s="1818"/>
      <c r="AJ542" s="1818"/>
      <c r="AK542" s="1818"/>
      <c r="AL542" s="1818"/>
      <c r="AM542" s="1818"/>
      <c r="AN542" s="1815"/>
      <c r="AO542" s="1832"/>
      <c r="AP542" s="1939"/>
      <c r="AQ542" s="1939"/>
    </row>
    <row r="543" spans="1:43" ht="12" customHeight="1">
      <c r="A543" s="1818"/>
      <c r="B543" s="1818"/>
      <c r="C543" s="1818"/>
      <c r="D543" s="1818"/>
      <c r="E543" s="1818"/>
      <c r="F543" s="1818"/>
      <c r="G543" s="1818"/>
      <c r="H543" s="1818"/>
      <c r="I543" s="1818"/>
      <c r="J543" s="1818"/>
      <c r="K543" s="1818"/>
      <c r="L543" s="1818"/>
      <c r="M543" s="1818"/>
      <c r="N543" s="1818"/>
      <c r="O543" s="1818"/>
      <c r="P543" s="1818"/>
      <c r="Q543" s="1818"/>
      <c r="R543" s="1818"/>
      <c r="S543" s="1818"/>
      <c r="T543" s="1818"/>
      <c r="U543" s="1818"/>
      <c r="V543" s="1818"/>
      <c r="W543" s="1818"/>
      <c r="X543" s="1818"/>
      <c r="Y543" s="1818"/>
      <c r="Z543" s="1818"/>
      <c r="AA543" s="1818"/>
      <c r="AB543" s="1818"/>
      <c r="AC543" s="1818"/>
      <c r="AD543" s="1818"/>
      <c r="AE543" s="1818"/>
      <c r="AF543" s="1818"/>
      <c r="AG543" s="2223"/>
      <c r="AH543" s="1818"/>
      <c r="AI543" s="1818"/>
      <c r="AJ543" s="1818"/>
      <c r="AK543" s="1818"/>
      <c r="AL543" s="1818"/>
      <c r="AM543" s="1818"/>
      <c r="AN543" s="1820"/>
      <c r="AO543" s="1816"/>
    </row>
    <row r="544" spans="1:43" ht="12" customHeight="1">
      <c r="A544" s="1818"/>
      <c r="B544" s="1818"/>
      <c r="C544" s="1818"/>
      <c r="D544" s="1818"/>
      <c r="E544" s="1818"/>
      <c r="F544" s="1818"/>
      <c r="G544" s="1818"/>
      <c r="H544" s="1818"/>
      <c r="I544" s="1818"/>
      <c r="J544" s="1818"/>
      <c r="K544" s="1818"/>
      <c r="L544" s="1818"/>
      <c r="M544" s="1818"/>
      <c r="N544" s="1818"/>
      <c r="O544" s="1818"/>
      <c r="P544" s="1818"/>
      <c r="Q544" s="1818"/>
      <c r="R544" s="1818"/>
      <c r="S544" s="1818"/>
      <c r="T544" s="1818"/>
      <c r="U544" s="1818"/>
      <c r="V544" s="1818"/>
      <c r="W544" s="1818"/>
      <c r="X544" s="1818"/>
      <c r="Y544" s="1818"/>
      <c r="Z544" s="1818"/>
      <c r="AA544" s="1818"/>
      <c r="AB544" s="1818"/>
      <c r="AC544" s="1818"/>
      <c r="AD544" s="1818"/>
      <c r="AE544" s="1818"/>
      <c r="AF544" s="1818"/>
      <c r="AG544" s="2223"/>
      <c r="AH544" s="1818"/>
      <c r="AI544" s="1818"/>
      <c r="AJ544" s="1818"/>
      <c r="AK544" s="1818"/>
      <c r="AL544" s="1818"/>
      <c r="AM544" s="1818"/>
      <c r="AN544" s="1820"/>
      <c r="AO544" s="1898"/>
    </row>
    <row r="545" spans="1:41" ht="12" customHeight="1">
      <c r="A545" s="1818"/>
      <c r="B545" s="1818"/>
      <c r="C545" s="1818"/>
      <c r="D545" s="1818"/>
      <c r="E545" s="1818"/>
      <c r="F545" s="1818"/>
      <c r="G545" s="1818"/>
      <c r="H545" s="1818"/>
      <c r="I545" s="1818"/>
      <c r="J545" s="1818"/>
      <c r="K545" s="1818"/>
      <c r="L545" s="1818"/>
      <c r="M545" s="1818"/>
      <c r="N545" s="1818"/>
      <c r="O545" s="1818"/>
      <c r="P545" s="1818"/>
      <c r="Q545" s="1818"/>
      <c r="R545" s="1818"/>
      <c r="S545" s="1818"/>
      <c r="T545" s="1818"/>
      <c r="U545" s="1818"/>
      <c r="V545" s="1818"/>
      <c r="W545" s="1818"/>
      <c r="X545" s="1818"/>
      <c r="Y545" s="1818"/>
      <c r="Z545" s="1818"/>
      <c r="AA545" s="1818"/>
      <c r="AB545" s="1818"/>
      <c r="AC545" s="1818"/>
      <c r="AD545" s="1818"/>
      <c r="AE545" s="1818"/>
      <c r="AF545" s="1818"/>
      <c r="AG545" s="2223"/>
      <c r="AH545" s="1818"/>
      <c r="AI545" s="1818"/>
      <c r="AJ545" s="1818"/>
      <c r="AK545" s="1818"/>
      <c r="AL545" s="1818"/>
      <c r="AM545" s="1818"/>
      <c r="AN545" s="1820"/>
      <c r="AO545" s="1898"/>
    </row>
    <row r="546" spans="1:41" ht="12" customHeight="1">
      <c r="A546" s="1823"/>
      <c r="B546" s="1818"/>
      <c r="C546" s="1818"/>
      <c r="D546" s="1818"/>
      <c r="E546" s="1818"/>
      <c r="F546" s="1818"/>
      <c r="G546" s="1818"/>
      <c r="H546" s="1818"/>
      <c r="I546" s="1818"/>
      <c r="J546" s="1818"/>
      <c r="K546" s="1818"/>
      <c r="L546" s="1818"/>
      <c r="M546" s="1818"/>
      <c r="N546" s="1818"/>
      <c r="O546" s="1818"/>
      <c r="P546" s="1818"/>
      <c r="Q546" s="1818"/>
      <c r="R546" s="1818"/>
      <c r="S546" s="1818"/>
      <c r="T546" s="1818"/>
      <c r="U546" s="1818"/>
      <c r="V546" s="1818"/>
      <c r="W546" s="1818"/>
      <c r="X546" s="1818"/>
      <c r="Y546" s="1818"/>
      <c r="Z546" s="1818"/>
      <c r="AA546" s="1818"/>
      <c r="AB546" s="1818"/>
      <c r="AC546" s="1818"/>
      <c r="AD546" s="1818"/>
      <c r="AE546" s="1818"/>
      <c r="AF546" s="1818"/>
      <c r="AG546" s="2223"/>
      <c r="AH546" s="1818"/>
      <c r="AI546" s="1818"/>
      <c r="AJ546" s="1818"/>
      <c r="AK546" s="1818"/>
      <c r="AL546" s="1818"/>
      <c r="AM546" s="1818"/>
      <c r="AN546" s="1820"/>
      <c r="AO546" s="1898"/>
    </row>
    <row r="547" spans="1:41" ht="12" customHeight="1">
      <c r="A547" s="1823"/>
      <c r="B547" s="1823"/>
      <c r="C547" s="1823"/>
      <c r="D547" s="1823"/>
      <c r="E547" s="1823"/>
      <c r="F547" s="1823"/>
      <c r="G547" s="1823"/>
      <c r="H547" s="1823"/>
      <c r="I547" s="1823"/>
      <c r="J547" s="1823"/>
      <c r="K547" s="1823"/>
      <c r="L547" s="1823"/>
      <c r="M547" s="1823"/>
      <c r="N547" s="1823"/>
      <c r="O547" s="1823"/>
      <c r="P547" s="1823"/>
      <c r="Q547" s="1823"/>
      <c r="R547" s="1823"/>
      <c r="S547" s="1823"/>
      <c r="T547" s="1823"/>
      <c r="U547" s="1823"/>
      <c r="V547" s="1823"/>
      <c r="W547" s="1823"/>
      <c r="X547" s="1823"/>
      <c r="Y547" s="1823"/>
      <c r="Z547" s="1823"/>
      <c r="AA547" s="1823"/>
      <c r="AB547" s="1823"/>
      <c r="AC547" s="1823"/>
      <c r="AD547" s="1823"/>
      <c r="AE547" s="1823"/>
      <c r="AF547" s="1823"/>
      <c r="AG547" s="1827"/>
      <c r="AH547" s="1823"/>
      <c r="AI547" s="1823"/>
      <c r="AJ547" s="1823"/>
      <c r="AK547" s="1823"/>
      <c r="AL547" s="1823"/>
      <c r="AM547" s="1823"/>
      <c r="AN547" s="1820"/>
      <c r="AO547" s="1898"/>
    </row>
    <row r="548" spans="1:41" ht="12" customHeight="1">
      <c r="A548" s="1823"/>
      <c r="B548" s="1823"/>
      <c r="C548" s="1823"/>
      <c r="D548" s="1823"/>
      <c r="E548" s="1823"/>
      <c r="F548" s="1823"/>
      <c r="G548" s="1823"/>
      <c r="H548" s="1823"/>
      <c r="I548" s="1823"/>
      <c r="J548" s="1823"/>
      <c r="K548" s="1823"/>
      <c r="L548" s="1823"/>
      <c r="M548" s="1823"/>
      <c r="N548" s="1823"/>
      <c r="O548" s="1823"/>
      <c r="P548" s="1823"/>
      <c r="Q548" s="1823"/>
      <c r="R548" s="1823"/>
      <c r="S548" s="1823"/>
      <c r="T548" s="1823"/>
      <c r="U548" s="1823"/>
      <c r="V548" s="1823"/>
      <c r="W548" s="1823"/>
      <c r="X548" s="1823"/>
      <c r="Y548" s="1823"/>
      <c r="Z548" s="1823"/>
      <c r="AA548" s="1823"/>
      <c r="AB548" s="1823"/>
      <c r="AC548" s="1823"/>
      <c r="AD548" s="1823"/>
      <c r="AE548" s="1823"/>
      <c r="AF548" s="1823"/>
      <c r="AG548" s="1827"/>
      <c r="AH548" s="1823"/>
      <c r="AI548" s="1823"/>
      <c r="AJ548" s="1823"/>
      <c r="AK548" s="1823"/>
      <c r="AL548" s="1823"/>
      <c r="AM548" s="1823"/>
      <c r="AN548" s="1820"/>
      <c r="AO548" s="1816"/>
    </row>
    <row r="549" spans="1:41" ht="12" customHeight="1">
      <c r="A549" s="1823"/>
      <c r="B549" s="1823"/>
      <c r="C549" s="1823"/>
      <c r="D549" s="1823"/>
      <c r="E549" s="1823"/>
      <c r="F549" s="1823"/>
      <c r="G549" s="1823"/>
      <c r="H549" s="1823"/>
      <c r="I549" s="1823"/>
      <c r="J549" s="1823"/>
      <c r="K549" s="1823"/>
      <c r="L549" s="1823"/>
      <c r="M549" s="1823"/>
      <c r="N549" s="1823"/>
      <c r="O549" s="1823"/>
      <c r="P549" s="1823"/>
      <c r="Q549" s="1823"/>
      <c r="R549" s="1823"/>
      <c r="S549" s="1823"/>
      <c r="T549" s="1823"/>
      <c r="U549" s="1823"/>
      <c r="V549" s="1823"/>
      <c r="W549" s="1823"/>
      <c r="X549" s="1823"/>
      <c r="Y549" s="1823"/>
      <c r="Z549" s="1823"/>
      <c r="AA549" s="1823"/>
      <c r="AB549" s="1823"/>
      <c r="AC549" s="1823"/>
      <c r="AD549" s="1823"/>
      <c r="AE549" s="1823"/>
      <c r="AF549" s="1823"/>
      <c r="AG549" s="1827"/>
      <c r="AH549" s="1823"/>
      <c r="AI549" s="1823"/>
      <c r="AJ549" s="1823"/>
      <c r="AK549" s="1823"/>
      <c r="AL549" s="1823"/>
      <c r="AM549" s="1823"/>
      <c r="AN549" s="1820"/>
      <c r="AO549" s="1898"/>
    </row>
    <row r="550" spans="1:41" ht="12" customHeight="1">
      <c r="A550" s="1823"/>
      <c r="B550" s="1823"/>
      <c r="C550" s="1823"/>
      <c r="D550" s="1823"/>
      <c r="E550" s="1823"/>
      <c r="F550" s="1823"/>
      <c r="G550" s="1823"/>
      <c r="H550" s="1823"/>
      <c r="I550" s="1823"/>
      <c r="J550" s="1823"/>
      <c r="K550" s="1823"/>
      <c r="L550" s="1823"/>
      <c r="M550" s="1823"/>
      <c r="N550" s="1823"/>
      <c r="O550" s="1823"/>
      <c r="P550" s="1823"/>
      <c r="Q550" s="1823"/>
      <c r="R550" s="1823"/>
      <c r="S550" s="1823"/>
      <c r="T550" s="1823"/>
      <c r="U550" s="1823"/>
      <c r="V550" s="1823"/>
      <c r="W550" s="1823"/>
      <c r="X550" s="1823"/>
      <c r="Y550" s="1823"/>
      <c r="Z550" s="1823"/>
      <c r="AA550" s="1823"/>
      <c r="AB550" s="1823"/>
      <c r="AC550" s="1823"/>
      <c r="AD550" s="1823"/>
      <c r="AE550" s="1823"/>
      <c r="AF550" s="1823"/>
      <c r="AG550" s="1827"/>
      <c r="AH550" s="1823"/>
      <c r="AI550" s="1823"/>
      <c r="AJ550" s="1823"/>
      <c r="AK550" s="1823"/>
      <c r="AL550" s="1823"/>
      <c r="AM550" s="1823"/>
      <c r="AN550" s="1820"/>
      <c r="AO550" s="1898"/>
    </row>
    <row r="551" spans="1:41" ht="12" customHeight="1">
      <c r="A551" s="1823"/>
      <c r="B551" s="1823"/>
      <c r="C551" s="1823"/>
      <c r="D551" s="1823"/>
      <c r="E551" s="1823"/>
      <c r="F551" s="1823"/>
      <c r="G551" s="1823"/>
      <c r="H551" s="1823"/>
      <c r="I551" s="1823"/>
      <c r="J551" s="1823"/>
      <c r="K551" s="1823"/>
      <c r="L551" s="1823"/>
      <c r="M551" s="1823"/>
      <c r="N551" s="1823"/>
      <c r="O551" s="1823"/>
      <c r="P551" s="1823"/>
      <c r="Q551" s="1823"/>
      <c r="R551" s="1823"/>
      <c r="S551" s="1823"/>
      <c r="T551" s="1823"/>
      <c r="U551" s="1823"/>
      <c r="V551" s="1823"/>
      <c r="W551" s="1823"/>
      <c r="X551" s="1823"/>
      <c r="Y551" s="1823"/>
      <c r="Z551" s="1823"/>
      <c r="AA551" s="1823"/>
      <c r="AB551" s="1823"/>
      <c r="AC551" s="1823"/>
      <c r="AD551" s="1823"/>
      <c r="AE551" s="1823"/>
      <c r="AF551" s="1823"/>
      <c r="AG551" s="1827"/>
      <c r="AH551" s="1823"/>
      <c r="AI551" s="1823"/>
      <c r="AJ551" s="1823"/>
      <c r="AK551" s="1823"/>
      <c r="AL551" s="1823"/>
      <c r="AM551" s="1823"/>
      <c r="AN551" s="1820"/>
      <c r="AO551" s="1898"/>
    </row>
    <row r="552" spans="1:41" ht="12" customHeight="1">
      <c r="A552" s="1823"/>
      <c r="B552" s="1823"/>
      <c r="C552" s="1823"/>
      <c r="D552" s="1823"/>
      <c r="E552" s="1823"/>
      <c r="F552" s="1823"/>
      <c r="G552" s="1823"/>
      <c r="H552" s="1823"/>
      <c r="I552" s="1823"/>
      <c r="J552" s="1823"/>
      <c r="K552" s="1823"/>
      <c r="L552" s="1823"/>
      <c r="M552" s="1823"/>
      <c r="N552" s="1823"/>
      <c r="O552" s="1823"/>
      <c r="P552" s="1823"/>
      <c r="Q552" s="1823"/>
      <c r="R552" s="1823"/>
      <c r="S552" s="1823"/>
      <c r="T552" s="1823"/>
      <c r="U552" s="1823"/>
      <c r="V552" s="1823"/>
      <c r="W552" s="1823"/>
      <c r="X552" s="1823"/>
      <c r="Y552" s="1823"/>
      <c r="Z552" s="1823"/>
      <c r="AA552" s="1823"/>
      <c r="AB552" s="1823"/>
      <c r="AC552" s="1823"/>
      <c r="AD552" s="1823"/>
      <c r="AE552" s="1823"/>
      <c r="AF552" s="1823"/>
      <c r="AG552" s="1827"/>
      <c r="AH552" s="1823"/>
      <c r="AI552" s="1823"/>
      <c r="AJ552" s="1823"/>
      <c r="AK552" s="1823"/>
      <c r="AL552" s="1823"/>
      <c r="AM552" s="1823"/>
      <c r="AN552" s="1820"/>
      <c r="AO552" s="1898"/>
    </row>
    <row r="553" spans="1:41" ht="12" customHeight="1">
      <c r="A553" s="1823"/>
      <c r="B553" s="1823"/>
      <c r="C553" s="1823"/>
      <c r="D553" s="1823"/>
      <c r="E553" s="1823"/>
      <c r="F553" s="1823"/>
      <c r="G553" s="1823"/>
      <c r="H553" s="1823"/>
      <c r="I553" s="1823"/>
      <c r="J553" s="1823"/>
      <c r="K553" s="1823"/>
      <c r="L553" s="1823"/>
      <c r="M553" s="1823"/>
      <c r="N553" s="1823"/>
      <c r="O553" s="1823"/>
      <c r="P553" s="1823"/>
      <c r="Q553" s="1823"/>
      <c r="R553" s="1823"/>
      <c r="S553" s="1823"/>
      <c r="T553" s="1823"/>
      <c r="U553" s="1823"/>
      <c r="V553" s="1823"/>
      <c r="W553" s="1823"/>
      <c r="X553" s="1823"/>
      <c r="Y553" s="1823"/>
      <c r="Z553" s="1823"/>
      <c r="AA553" s="1823"/>
      <c r="AB553" s="1823"/>
      <c r="AC553" s="1823"/>
      <c r="AD553" s="1823"/>
      <c r="AE553" s="1823"/>
      <c r="AF553" s="1823"/>
      <c r="AG553" s="1827"/>
      <c r="AH553" s="1823"/>
      <c r="AI553" s="1823"/>
      <c r="AJ553" s="1823"/>
      <c r="AK553" s="1823"/>
      <c r="AL553" s="1823"/>
      <c r="AM553" s="1823"/>
      <c r="AN553" s="1820"/>
      <c r="AO553" s="1816"/>
    </row>
    <row r="554" spans="1:41" ht="12" customHeight="1">
      <c r="A554" s="1823"/>
      <c r="B554" s="1823"/>
      <c r="C554" s="1823"/>
      <c r="D554" s="1823"/>
      <c r="E554" s="1823"/>
      <c r="F554" s="1823"/>
      <c r="G554" s="1823"/>
      <c r="H554" s="1823"/>
      <c r="I554" s="1823"/>
      <c r="J554" s="1823"/>
      <c r="K554" s="1823"/>
      <c r="L554" s="1823"/>
      <c r="M554" s="1823"/>
      <c r="N554" s="1823"/>
      <c r="O554" s="1823"/>
      <c r="P554" s="1823"/>
      <c r="Q554" s="1823"/>
      <c r="R554" s="1823"/>
      <c r="S554" s="1823"/>
      <c r="T554" s="1823"/>
      <c r="U554" s="1823"/>
      <c r="V554" s="1823"/>
      <c r="W554" s="1823"/>
      <c r="X554" s="1823"/>
      <c r="Y554" s="1823"/>
      <c r="Z554" s="1823"/>
      <c r="AA554" s="1823"/>
      <c r="AB554" s="1823"/>
      <c r="AC554" s="1823"/>
      <c r="AD554" s="1823"/>
      <c r="AE554" s="1823"/>
      <c r="AF554" s="1823"/>
      <c r="AG554" s="1827"/>
      <c r="AH554" s="1823"/>
      <c r="AI554" s="1823"/>
      <c r="AJ554" s="1823"/>
      <c r="AK554" s="1823"/>
      <c r="AL554" s="1823"/>
      <c r="AM554" s="1823"/>
      <c r="AN554" s="1820"/>
      <c r="AO554" s="1898"/>
    </row>
    <row r="555" spans="1:41" ht="12" customHeight="1">
      <c r="A555" s="1827"/>
      <c r="B555" s="1823"/>
      <c r="C555" s="1823"/>
      <c r="D555" s="1823"/>
      <c r="E555" s="1823"/>
      <c r="F555" s="1823"/>
      <c r="G555" s="1823"/>
      <c r="H555" s="1823"/>
      <c r="I555" s="1823"/>
      <c r="J555" s="1823"/>
      <c r="K555" s="1823"/>
      <c r="L555" s="1823"/>
      <c r="M555" s="1823"/>
      <c r="N555" s="1823"/>
      <c r="O555" s="1823"/>
      <c r="P555" s="1823"/>
      <c r="Q555" s="1823"/>
      <c r="R555" s="1823"/>
      <c r="S555" s="1823"/>
      <c r="T555" s="1823"/>
      <c r="U555" s="1823"/>
      <c r="V555" s="1823"/>
      <c r="W555" s="1823"/>
      <c r="X555" s="1823"/>
      <c r="Y555" s="1823"/>
      <c r="Z555" s="1823"/>
      <c r="AA555" s="1823"/>
      <c r="AB555" s="1823"/>
      <c r="AC555" s="1823"/>
      <c r="AD555" s="1823"/>
      <c r="AE555" s="1823"/>
      <c r="AF555" s="1823"/>
      <c r="AG555" s="1827"/>
      <c r="AH555" s="1823"/>
      <c r="AI555" s="1823"/>
      <c r="AJ555" s="1823"/>
      <c r="AK555" s="1823"/>
      <c r="AL555" s="1823"/>
      <c r="AM555" s="1823"/>
      <c r="AN555" s="1820"/>
      <c r="AO555" s="1898"/>
    </row>
    <row r="556" spans="1:41" ht="12" customHeight="1">
      <c r="A556" s="1827"/>
      <c r="B556" s="1827"/>
      <c r="C556" s="1827"/>
      <c r="D556" s="1827"/>
      <c r="E556" s="1827"/>
      <c r="F556" s="1827"/>
      <c r="G556" s="1827"/>
      <c r="H556" s="1827"/>
      <c r="I556" s="1827"/>
      <c r="J556" s="1827"/>
      <c r="K556" s="1827"/>
      <c r="L556" s="1827"/>
      <c r="M556" s="1827"/>
      <c r="N556" s="1827"/>
      <c r="O556" s="1827"/>
      <c r="P556" s="1827"/>
      <c r="Q556" s="1827"/>
      <c r="R556" s="1827"/>
      <c r="S556" s="1827"/>
      <c r="T556" s="1827"/>
      <c r="U556" s="1827"/>
      <c r="V556" s="1827"/>
      <c r="W556" s="1827"/>
      <c r="X556" s="1827"/>
      <c r="Y556" s="1827"/>
      <c r="Z556" s="1827"/>
      <c r="AA556" s="1827"/>
      <c r="AB556" s="1827"/>
      <c r="AC556" s="1827"/>
      <c r="AD556" s="1827"/>
      <c r="AE556" s="1827"/>
      <c r="AF556" s="1827"/>
      <c r="AG556" s="1827"/>
      <c r="AH556" s="1827"/>
      <c r="AI556" s="1827"/>
      <c r="AJ556" s="1827"/>
      <c r="AK556" s="1827"/>
      <c r="AL556" s="1827"/>
      <c r="AM556" s="1827"/>
      <c r="AN556" s="1820"/>
      <c r="AO556" s="1898"/>
    </row>
    <row r="557" spans="1:41" ht="12" customHeight="1">
      <c r="A557" s="1827"/>
      <c r="B557" s="1827"/>
      <c r="C557" s="1827"/>
      <c r="D557" s="1827"/>
      <c r="E557" s="1827"/>
      <c r="F557" s="1827"/>
      <c r="G557" s="1827"/>
      <c r="H557" s="1827"/>
      <c r="I557" s="1827"/>
      <c r="J557" s="1827"/>
      <c r="K557" s="1827"/>
      <c r="L557" s="1827"/>
      <c r="M557" s="1827"/>
      <c r="N557" s="1827"/>
      <c r="O557" s="1827"/>
      <c r="P557" s="1827"/>
      <c r="Q557" s="1827"/>
      <c r="R557" s="1827"/>
      <c r="S557" s="1827"/>
      <c r="T557" s="1827"/>
      <c r="U557" s="1827"/>
      <c r="V557" s="1827"/>
      <c r="W557" s="1827"/>
      <c r="X557" s="1827"/>
      <c r="Y557" s="1827"/>
      <c r="Z557" s="1827"/>
      <c r="AA557" s="1827"/>
      <c r="AB557" s="1827"/>
      <c r="AC557" s="1827"/>
      <c r="AD557" s="1827"/>
      <c r="AE557" s="1827"/>
      <c r="AF557" s="1827"/>
      <c r="AG557" s="1827"/>
      <c r="AH557" s="1827"/>
      <c r="AI557" s="1827"/>
      <c r="AJ557" s="1827"/>
      <c r="AK557" s="1827"/>
      <c r="AL557" s="1827"/>
      <c r="AM557" s="1827"/>
      <c r="AN557" s="1820"/>
      <c r="AO557" s="1898"/>
    </row>
    <row r="558" spans="1:41" ht="12" customHeight="1">
      <c r="A558" s="1827"/>
      <c r="B558" s="1827"/>
      <c r="C558" s="1827"/>
      <c r="D558" s="1827"/>
      <c r="E558" s="1827"/>
      <c r="F558" s="1827"/>
      <c r="G558" s="1827"/>
      <c r="H558" s="1827"/>
      <c r="I558" s="1827"/>
      <c r="J558" s="1827"/>
      <c r="K558" s="1827"/>
      <c r="L558" s="1827"/>
      <c r="M558" s="1827"/>
      <c r="N558" s="1827"/>
      <c r="O558" s="1827"/>
      <c r="P558" s="1827"/>
      <c r="Q558" s="1827"/>
      <c r="R558" s="1827"/>
      <c r="S558" s="1827"/>
      <c r="T558" s="1827"/>
      <c r="U558" s="1827"/>
      <c r="V558" s="1827"/>
      <c r="W558" s="1827"/>
      <c r="X558" s="1827"/>
      <c r="Y558" s="1827"/>
      <c r="Z558" s="1827"/>
      <c r="AA558" s="1827"/>
      <c r="AB558" s="1827"/>
      <c r="AC558" s="1827"/>
      <c r="AD558" s="1827"/>
      <c r="AE558" s="1827"/>
      <c r="AF558" s="1827"/>
      <c r="AG558" s="1827"/>
      <c r="AH558" s="1827"/>
      <c r="AI558" s="1827"/>
      <c r="AJ558" s="1827"/>
      <c r="AK558" s="1827"/>
      <c r="AL558" s="1827"/>
      <c r="AM558" s="1827"/>
      <c r="AN558" s="1820"/>
      <c r="AO558" s="1898"/>
    </row>
    <row r="559" spans="1:41" ht="12" customHeight="1">
      <c r="A559" s="1823"/>
      <c r="B559" s="1827"/>
      <c r="C559" s="1827"/>
      <c r="D559" s="1827"/>
      <c r="E559" s="1827"/>
      <c r="F559" s="1827"/>
      <c r="G559" s="1827"/>
      <c r="H559" s="1827"/>
      <c r="I559" s="1827"/>
      <c r="J559" s="1827"/>
      <c r="K559" s="1827"/>
      <c r="L559" s="1827"/>
      <c r="M559" s="1827"/>
      <c r="N559" s="1827"/>
      <c r="O559" s="1827"/>
      <c r="P559" s="1827"/>
      <c r="Q559" s="1827"/>
      <c r="R559" s="1827"/>
      <c r="S559" s="1827"/>
      <c r="T559" s="1827"/>
      <c r="U559" s="1827"/>
      <c r="V559" s="1827"/>
      <c r="W559" s="1827"/>
      <c r="X559" s="1827"/>
      <c r="Y559" s="1827"/>
      <c r="Z559" s="1827"/>
      <c r="AA559" s="1827"/>
      <c r="AB559" s="1827"/>
      <c r="AC559" s="1827"/>
      <c r="AD559" s="1827"/>
      <c r="AE559" s="1827"/>
      <c r="AF559" s="1827"/>
      <c r="AG559" s="1827"/>
      <c r="AH559" s="1827"/>
      <c r="AI559" s="1827"/>
      <c r="AJ559" s="1827"/>
      <c r="AK559" s="1827"/>
      <c r="AL559" s="1827"/>
      <c r="AM559" s="1827"/>
      <c r="AN559" s="1826"/>
      <c r="AO559" s="1898"/>
    </row>
    <row r="560" spans="1:41" ht="12" customHeight="1">
      <c r="A560" s="1823"/>
      <c r="B560" s="1823"/>
      <c r="C560" s="1823"/>
      <c r="D560" s="1823"/>
      <c r="E560" s="1823"/>
      <c r="F560" s="1823"/>
      <c r="G560" s="1823"/>
      <c r="H560" s="1823"/>
      <c r="I560" s="1823"/>
      <c r="J560" s="1823"/>
      <c r="K560" s="1823"/>
      <c r="L560" s="1823"/>
      <c r="M560" s="1823"/>
      <c r="N560" s="1823"/>
      <c r="O560" s="1823"/>
      <c r="P560" s="1823"/>
      <c r="Q560" s="1823"/>
      <c r="R560" s="1823"/>
      <c r="S560" s="1823"/>
      <c r="T560" s="1823"/>
      <c r="U560" s="1823"/>
      <c r="V560" s="1823"/>
      <c r="W560" s="1823"/>
      <c r="X560" s="1823"/>
      <c r="Y560" s="1823"/>
      <c r="Z560" s="1823"/>
      <c r="AA560" s="1823"/>
      <c r="AB560" s="1823"/>
      <c r="AC560" s="1823"/>
      <c r="AD560" s="1823"/>
      <c r="AE560" s="1823"/>
      <c r="AF560" s="1823"/>
      <c r="AG560" s="1827"/>
      <c r="AH560" s="1823"/>
      <c r="AI560" s="1823"/>
      <c r="AJ560" s="1823"/>
      <c r="AK560" s="1823"/>
      <c r="AL560" s="1823"/>
      <c r="AM560" s="1823"/>
      <c r="AN560" s="1820"/>
      <c r="AO560" s="1898"/>
    </row>
    <row r="561" spans="1:41" ht="12" customHeight="1">
      <c r="A561" s="1823"/>
      <c r="B561" s="1823"/>
      <c r="C561" s="1823"/>
      <c r="D561" s="1823"/>
      <c r="E561" s="1823"/>
      <c r="F561" s="1823"/>
      <c r="G561" s="1823"/>
      <c r="H561" s="1823"/>
      <c r="I561" s="1823"/>
      <c r="J561" s="1823"/>
      <c r="K561" s="1823"/>
      <c r="L561" s="1823"/>
      <c r="M561" s="1823"/>
      <c r="N561" s="1823"/>
      <c r="O561" s="1823"/>
      <c r="P561" s="1823"/>
      <c r="Q561" s="1823"/>
      <c r="R561" s="1823"/>
      <c r="S561" s="1823"/>
      <c r="T561" s="1823"/>
      <c r="U561" s="1823"/>
      <c r="V561" s="1823"/>
      <c r="W561" s="1823"/>
      <c r="X561" s="1823"/>
      <c r="Y561" s="1823"/>
      <c r="Z561" s="1823"/>
      <c r="AA561" s="1823"/>
      <c r="AB561" s="1823"/>
      <c r="AC561" s="1823"/>
      <c r="AD561" s="1823"/>
      <c r="AE561" s="1823"/>
      <c r="AF561" s="1823"/>
      <c r="AG561" s="1827"/>
      <c r="AH561" s="1823"/>
      <c r="AI561" s="1823"/>
      <c r="AJ561" s="1823"/>
      <c r="AK561" s="1823"/>
      <c r="AL561" s="1823"/>
      <c r="AM561" s="1823"/>
      <c r="AN561" s="1820"/>
      <c r="AO561" s="1898"/>
    </row>
    <row r="562" spans="1:41" ht="12" customHeight="1">
      <c r="A562" s="1823"/>
      <c r="B562" s="1823"/>
      <c r="C562" s="1823"/>
      <c r="D562" s="1823"/>
      <c r="E562" s="1823"/>
      <c r="F562" s="1823"/>
      <c r="G562" s="1823"/>
      <c r="H562" s="1823"/>
      <c r="I562" s="1823"/>
      <c r="J562" s="1823"/>
      <c r="K562" s="1823"/>
      <c r="L562" s="1823"/>
      <c r="M562" s="1823"/>
      <c r="N562" s="1823"/>
      <c r="O562" s="1823"/>
      <c r="P562" s="1823"/>
      <c r="Q562" s="1823"/>
      <c r="R562" s="1823"/>
      <c r="S562" s="1823"/>
      <c r="T562" s="1823"/>
      <c r="U562" s="1823"/>
      <c r="V562" s="1823"/>
      <c r="W562" s="1823"/>
      <c r="X562" s="1823"/>
      <c r="Y562" s="1823"/>
      <c r="Z562" s="1823"/>
      <c r="AA562" s="1823"/>
      <c r="AB562" s="1823"/>
      <c r="AC562" s="1823"/>
      <c r="AD562" s="1823"/>
      <c r="AE562" s="1823"/>
      <c r="AF562" s="1823"/>
      <c r="AG562" s="1827"/>
      <c r="AH562" s="1823"/>
      <c r="AI562" s="1823"/>
      <c r="AJ562" s="1823"/>
      <c r="AK562" s="1823"/>
      <c r="AL562" s="1823"/>
      <c r="AM562" s="1823"/>
      <c r="AN562" s="1820"/>
      <c r="AO562" s="1898"/>
    </row>
    <row r="563" spans="1:41" ht="12" customHeight="1">
      <c r="A563" s="1823"/>
      <c r="B563" s="1823"/>
      <c r="C563" s="1823"/>
      <c r="D563" s="1823"/>
      <c r="E563" s="1823"/>
      <c r="F563" s="1823"/>
      <c r="G563" s="1823"/>
      <c r="H563" s="1823"/>
      <c r="I563" s="1823"/>
      <c r="J563" s="1823"/>
      <c r="K563" s="1823"/>
      <c r="L563" s="1823"/>
      <c r="M563" s="1823"/>
      <c r="N563" s="1823"/>
      <c r="O563" s="1823"/>
      <c r="P563" s="1823"/>
      <c r="Q563" s="1823"/>
      <c r="R563" s="1823"/>
      <c r="S563" s="1823"/>
      <c r="T563" s="1823"/>
      <c r="U563" s="1823"/>
      <c r="V563" s="1823"/>
      <c r="W563" s="1823"/>
      <c r="X563" s="1823"/>
      <c r="Y563" s="1823"/>
      <c r="Z563" s="1823"/>
      <c r="AA563" s="1823"/>
      <c r="AB563" s="1823"/>
      <c r="AC563" s="1823"/>
      <c r="AD563" s="1823"/>
      <c r="AE563" s="1823"/>
      <c r="AF563" s="1823"/>
      <c r="AG563" s="1827"/>
      <c r="AH563" s="1823"/>
      <c r="AI563" s="1823"/>
      <c r="AJ563" s="1823"/>
      <c r="AK563" s="1823"/>
      <c r="AL563" s="1823"/>
      <c r="AM563" s="1823"/>
      <c r="AN563" s="1820"/>
      <c r="AO563" s="1898"/>
    </row>
    <row r="564" spans="1:41" ht="12" customHeight="1">
      <c r="A564" s="1823"/>
      <c r="B564" s="1823"/>
      <c r="C564" s="1823"/>
      <c r="D564" s="1823"/>
      <c r="E564" s="1823"/>
      <c r="F564" s="1823"/>
      <c r="G564" s="1823"/>
      <c r="H564" s="1823"/>
      <c r="I564" s="1823"/>
      <c r="J564" s="1823"/>
      <c r="K564" s="1823"/>
      <c r="L564" s="1823"/>
      <c r="M564" s="1823"/>
      <c r="N564" s="1823"/>
      <c r="O564" s="1823"/>
      <c r="P564" s="1823"/>
      <c r="Q564" s="1823"/>
      <c r="R564" s="1823"/>
      <c r="S564" s="1823"/>
      <c r="T564" s="1823"/>
      <c r="U564" s="1823"/>
      <c r="V564" s="1823"/>
      <c r="W564" s="1823"/>
      <c r="X564" s="1823"/>
      <c r="Y564" s="1823"/>
      <c r="Z564" s="1823"/>
      <c r="AA564" s="1823"/>
      <c r="AB564" s="1823"/>
      <c r="AC564" s="1823"/>
      <c r="AD564" s="1823"/>
      <c r="AE564" s="1823"/>
      <c r="AF564" s="1823"/>
      <c r="AG564" s="1827"/>
      <c r="AH564" s="1823"/>
      <c r="AI564" s="1823"/>
      <c r="AJ564" s="1823"/>
      <c r="AK564" s="1823"/>
      <c r="AL564" s="1823"/>
      <c r="AM564" s="1823"/>
      <c r="AN564" s="1820"/>
      <c r="AO564" s="1898"/>
    </row>
    <row r="565" spans="1:41" ht="12" customHeight="1">
      <c r="A565" s="1823"/>
      <c r="B565" s="1823"/>
      <c r="C565" s="1823"/>
      <c r="D565" s="1823"/>
      <c r="E565" s="1823"/>
      <c r="F565" s="1823"/>
      <c r="G565" s="1823"/>
      <c r="H565" s="1823"/>
      <c r="I565" s="1823"/>
      <c r="J565" s="1823"/>
      <c r="K565" s="1823"/>
      <c r="L565" s="1823"/>
      <c r="M565" s="1823"/>
      <c r="N565" s="1823"/>
      <c r="O565" s="1823"/>
      <c r="P565" s="1823"/>
      <c r="Q565" s="1823"/>
      <c r="R565" s="1823"/>
      <c r="S565" s="1823"/>
      <c r="T565" s="1823"/>
      <c r="U565" s="1823"/>
      <c r="V565" s="1823"/>
      <c r="W565" s="1823"/>
      <c r="X565" s="1823"/>
      <c r="Y565" s="1823"/>
      <c r="Z565" s="1823"/>
      <c r="AA565" s="1823"/>
      <c r="AB565" s="1823"/>
      <c r="AC565" s="1823"/>
      <c r="AD565" s="1823"/>
      <c r="AE565" s="1823"/>
      <c r="AF565" s="1823"/>
      <c r="AG565" s="1827"/>
      <c r="AH565" s="1823"/>
      <c r="AI565" s="1823"/>
      <c r="AJ565" s="1823"/>
      <c r="AK565" s="1823"/>
      <c r="AL565" s="1823"/>
      <c r="AM565" s="1823"/>
      <c r="AN565" s="1820"/>
      <c r="AO565" s="1898"/>
    </row>
    <row r="566" spans="1:41" ht="12" customHeight="1">
      <c r="A566" s="1823"/>
      <c r="B566" s="1823"/>
      <c r="C566" s="1823"/>
      <c r="D566" s="1823"/>
      <c r="E566" s="1823"/>
      <c r="F566" s="1823"/>
      <c r="G566" s="1823"/>
      <c r="H566" s="1823"/>
      <c r="I566" s="1823"/>
      <c r="J566" s="1823"/>
      <c r="K566" s="1823"/>
      <c r="L566" s="1823"/>
      <c r="M566" s="1823"/>
      <c r="N566" s="1823"/>
      <c r="O566" s="1823"/>
      <c r="P566" s="1823"/>
      <c r="Q566" s="1823"/>
      <c r="R566" s="1823"/>
      <c r="S566" s="1823"/>
      <c r="T566" s="1823"/>
      <c r="U566" s="1823"/>
      <c r="V566" s="1823"/>
      <c r="W566" s="1823"/>
      <c r="X566" s="1823"/>
      <c r="Y566" s="1823"/>
      <c r="Z566" s="1823"/>
      <c r="AA566" s="1823"/>
      <c r="AB566" s="1823"/>
      <c r="AC566" s="1823"/>
      <c r="AD566" s="1823"/>
      <c r="AE566" s="1823"/>
      <c r="AF566" s="1823"/>
      <c r="AG566" s="1827"/>
      <c r="AH566" s="1823"/>
      <c r="AI566" s="1823"/>
      <c r="AJ566" s="1823"/>
      <c r="AK566" s="1823"/>
      <c r="AL566" s="1823"/>
      <c r="AM566" s="1823"/>
      <c r="AN566" s="1820"/>
      <c r="AO566" s="1898"/>
    </row>
    <row r="567" spans="1:41" ht="12" customHeight="1">
      <c r="A567" s="1823"/>
      <c r="B567" s="1823"/>
      <c r="C567" s="1823"/>
      <c r="D567" s="1823"/>
      <c r="E567" s="1823"/>
      <c r="F567" s="1823"/>
      <c r="G567" s="1823"/>
      <c r="H567" s="1823"/>
      <c r="I567" s="1823"/>
      <c r="J567" s="1823"/>
      <c r="K567" s="1823"/>
      <c r="L567" s="1823"/>
      <c r="M567" s="1823"/>
      <c r="N567" s="1823"/>
      <c r="O567" s="1823"/>
      <c r="P567" s="1823"/>
      <c r="Q567" s="1823"/>
      <c r="R567" s="1823"/>
      <c r="S567" s="1823"/>
      <c r="T567" s="1823"/>
      <c r="U567" s="1823"/>
      <c r="V567" s="1823"/>
      <c r="W567" s="1823"/>
      <c r="X567" s="1823"/>
      <c r="Y567" s="1823"/>
      <c r="Z567" s="1823"/>
      <c r="AA567" s="1823"/>
      <c r="AB567" s="1823"/>
      <c r="AC567" s="1823"/>
      <c r="AD567" s="1823"/>
      <c r="AE567" s="1823"/>
      <c r="AF567" s="1823"/>
      <c r="AG567" s="1827"/>
      <c r="AH567" s="1823"/>
      <c r="AI567" s="1823"/>
      <c r="AJ567" s="1823"/>
      <c r="AK567" s="1823"/>
      <c r="AL567" s="1823"/>
      <c r="AM567" s="1823"/>
      <c r="AN567" s="1820"/>
      <c r="AO567" s="1898"/>
    </row>
    <row r="568" spans="1:41" ht="12" customHeight="1">
      <c r="A568" s="1823"/>
      <c r="B568" s="1823"/>
      <c r="C568" s="1823"/>
      <c r="D568" s="1823"/>
      <c r="E568" s="1823"/>
      <c r="F568" s="1823"/>
      <c r="G568" s="1823"/>
      <c r="H568" s="1823"/>
      <c r="I568" s="1823"/>
      <c r="J568" s="1823"/>
      <c r="K568" s="1823"/>
      <c r="L568" s="1823"/>
      <c r="M568" s="1823"/>
      <c r="N568" s="1823"/>
      <c r="O568" s="1823"/>
      <c r="P568" s="1823"/>
      <c r="Q568" s="1823"/>
      <c r="R568" s="1823"/>
      <c r="S568" s="1823"/>
      <c r="T568" s="1823"/>
      <c r="U568" s="1823"/>
      <c r="V568" s="1823"/>
      <c r="W568" s="1823"/>
      <c r="X568" s="1823"/>
      <c r="Y568" s="1823"/>
      <c r="Z568" s="1823"/>
      <c r="AA568" s="1823"/>
      <c r="AB568" s="1823"/>
      <c r="AC568" s="1823"/>
      <c r="AD568" s="1823"/>
      <c r="AE568" s="1823"/>
      <c r="AF568" s="1823"/>
      <c r="AG568" s="1827"/>
      <c r="AH568" s="1823"/>
      <c r="AI568" s="1823"/>
      <c r="AJ568" s="1823"/>
      <c r="AK568" s="1823"/>
      <c r="AL568" s="1823"/>
      <c r="AM568" s="1823"/>
      <c r="AN568" s="1820"/>
      <c r="AO568" s="1898"/>
    </row>
    <row r="569" spans="1:41" ht="12" customHeight="1">
      <c r="A569" s="1823"/>
      <c r="B569" s="1823"/>
      <c r="C569" s="1823"/>
      <c r="D569" s="1823"/>
      <c r="E569" s="1823"/>
      <c r="F569" s="1823"/>
      <c r="G569" s="1823"/>
      <c r="H569" s="1823"/>
      <c r="I569" s="1823"/>
      <c r="J569" s="1823"/>
      <c r="K569" s="1823"/>
      <c r="L569" s="1823"/>
      <c r="M569" s="1823"/>
      <c r="N569" s="1823"/>
      <c r="O569" s="1823"/>
      <c r="P569" s="1823"/>
      <c r="Q569" s="1823"/>
      <c r="R569" s="1823"/>
      <c r="S569" s="1823"/>
      <c r="T569" s="1823"/>
      <c r="U569" s="1823"/>
      <c r="V569" s="1823"/>
      <c r="W569" s="1823"/>
      <c r="X569" s="1823"/>
      <c r="Y569" s="1823"/>
      <c r="Z569" s="1823"/>
      <c r="AA569" s="1823"/>
      <c r="AB569" s="1823"/>
      <c r="AC569" s="1823"/>
      <c r="AD569" s="1823"/>
      <c r="AE569" s="1823"/>
      <c r="AF569" s="1823"/>
      <c r="AG569" s="1827"/>
      <c r="AH569" s="1823"/>
      <c r="AI569" s="1823"/>
      <c r="AJ569" s="1823"/>
      <c r="AK569" s="1823"/>
      <c r="AL569" s="1823"/>
      <c r="AM569" s="1823"/>
      <c r="AN569" s="1820"/>
      <c r="AO569" s="1898"/>
    </row>
    <row r="570" spans="1:41" ht="12" customHeight="1">
      <c r="A570" s="1823"/>
      <c r="B570" s="1823"/>
      <c r="C570" s="1823"/>
      <c r="D570" s="1823"/>
      <c r="E570" s="1823"/>
      <c r="F570" s="1823"/>
      <c r="G570" s="1823"/>
      <c r="H570" s="1823"/>
      <c r="I570" s="1823"/>
      <c r="J570" s="1823"/>
      <c r="K570" s="1823"/>
      <c r="L570" s="1823"/>
      <c r="M570" s="1823"/>
      <c r="N570" s="1823"/>
      <c r="O570" s="1823"/>
      <c r="P570" s="1823"/>
      <c r="Q570" s="1823"/>
      <c r="R570" s="1823"/>
      <c r="S570" s="1823"/>
      <c r="T570" s="1823"/>
      <c r="U570" s="1823"/>
      <c r="V570" s="1823"/>
      <c r="W570" s="1823"/>
      <c r="X570" s="1823"/>
      <c r="Y570" s="1823"/>
      <c r="Z570" s="1823"/>
      <c r="AA570" s="1823"/>
      <c r="AB570" s="1823"/>
      <c r="AC570" s="1823"/>
      <c r="AD570" s="1823"/>
      <c r="AE570" s="1823"/>
      <c r="AF570" s="1823"/>
      <c r="AG570" s="1827"/>
      <c r="AH570" s="1823"/>
      <c r="AI570" s="1823"/>
      <c r="AJ570" s="1823"/>
      <c r="AK570" s="1823"/>
      <c r="AL570" s="1823"/>
      <c r="AM570" s="1823"/>
      <c r="AN570" s="1820"/>
      <c r="AO570" s="1898"/>
    </row>
    <row r="571" spans="1:41" ht="12" customHeight="1">
      <c r="A571" s="1830"/>
      <c r="B571" s="1823"/>
      <c r="C571" s="1823"/>
      <c r="D571" s="1823"/>
      <c r="E571" s="1823"/>
      <c r="F571" s="1823"/>
      <c r="G571" s="1823"/>
      <c r="H571" s="1823"/>
      <c r="I571" s="1823"/>
      <c r="J571" s="1823"/>
      <c r="K571" s="1823"/>
      <c r="L571" s="1823"/>
      <c r="M571" s="1823"/>
      <c r="N571" s="1823"/>
      <c r="O571" s="1823"/>
      <c r="P571" s="1823"/>
      <c r="Q571" s="1823"/>
      <c r="R571" s="1823"/>
      <c r="S571" s="1823"/>
      <c r="T571" s="1823"/>
      <c r="U571" s="1823"/>
      <c r="V571" s="1823"/>
      <c r="W571" s="1823"/>
      <c r="X571" s="1823"/>
      <c r="Y571" s="1823"/>
      <c r="Z571" s="1823"/>
      <c r="AA571" s="1823"/>
      <c r="AB571" s="1823"/>
      <c r="AC571" s="1823"/>
      <c r="AD571" s="1823"/>
      <c r="AE571" s="1823"/>
      <c r="AF571" s="1823"/>
      <c r="AG571" s="1827"/>
      <c r="AH571" s="1823"/>
      <c r="AI571" s="1823"/>
      <c r="AJ571" s="1823"/>
      <c r="AK571" s="1823"/>
      <c r="AL571" s="1823"/>
      <c r="AM571" s="1823"/>
      <c r="AN571" s="1820"/>
      <c r="AO571" s="1898"/>
    </row>
    <row r="572" spans="1:41" ht="12" customHeight="1">
      <c r="A572" s="1830"/>
      <c r="B572" s="1830"/>
      <c r="C572" s="1830"/>
      <c r="D572" s="1830"/>
      <c r="E572" s="1830"/>
      <c r="F572" s="1830"/>
      <c r="G572" s="1830"/>
      <c r="H572" s="1830"/>
      <c r="I572" s="1830"/>
      <c r="J572" s="1830"/>
      <c r="K572" s="1830"/>
      <c r="L572" s="1830"/>
      <c r="M572" s="1830"/>
      <c r="N572" s="1830"/>
      <c r="O572" s="1830"/>
      <c r="P572" s="1830"/>
      <c r="Q572" s="1830"/>
      <c r="R572" s="1830"/>
      <c r="S572" s="1830"/>
      <c r="T572" s="1830"/>
      <c r="U572" s="1830"/>
      <c r="V572" s="1830"/>
      <c r="W572" s="1830"/>
      <c r="X572" s="1830"/>
      <c r="Y572" s="1830"/>
      <c r="Z572" s="1830"/>
      <c r="AA572" s="1830"/>
      <c r="AB572" s="1830"/>
      <c r="AC572" s="1830"/>
      <c r="AD572" s="1830"/>
      <c r="AE572" s="1830"/>
      <c r="AF572" s="1830"/>
      <c r="AG572" s="2224"/>
      <c r="AH572" s="1830"/>
      <c r="AI572" s="1830"/>
      <c r="AJ572" s="1830"/>
      <c r="AK572" s="1830"/>
      <c r="AL572" s="1830"/>
      <c r="AM572" s="1830"/>
      <c r="AN572" s="1815"/>
      <c r="AO572" s="1898"/>
    </row>
    <row r="573" spans="1:41" ht="12" customHeight="1">
      <c r="A573" s="1830"/>
      <c r="B573" s="1830"/>
      <c r="C573" s="1830"/>
      <c r="D573" s="1830"/>
      <c r="E573" s="1830"/>
      <c r="F573" s="1830"/>
      <c r="G573" s="1830"/>
      <c r="H573" s="1830"/>
      <c r="I573" s="1830"/>
      <c r="J573" s="1830"/>
      <c r="K573" s="1830"/>
      <c r="L573" s="1830"/>
      <c r="M573" s="1830"/>
      <c r="N573" s="1830"/>
      <c r="O573" s="1830"/>
      <c r="P573" s="1830"/>
      <c r="Q573" s="1830"/>
      <c r="R573" s="1830"/>
      <c r="S573" s="1830"/>
      <c r="T573" s="1830"/>
      <c r="U573" s="1830"/>
      <c r="V573" s="1830"/>
      <c r="W573" s="1830"/>
      <c r="X573" s="1830"/>
      <c r="Y573" s="1830"/>
      <c r="Z573" s="1830"/>
      <c r="AA573" s="1830"/>
      <c r="AB573" s="1830"/>
      <c r="AC573" s="1830"/>
      <c r="AD573" s="1830"/>
      <c r="AE573" s="1830"/>
      <c r="AF573" s="1830"/>
      <c r="AG573" s="2224"/>
      <c r="AH573" s="1830"/>
      <c r="AI573" s="1830"/>
      <c r="AJ573" s="1830"/>
      <c r="AK573" s="1830"/>
      <c r="AL573" s="1830"/>
      <c r="AM573" s="1830"/>
      <c r="AN573" s="1815"/>
      <c r="AO573" s="1898"/>
    </row>
    <row r="574" spans="1:41" ht="12" customHeight="1">
      <c r="A574" s="1830"/>
      <c r="B574" s="1830"/>
      <c r="C574" s="1830"/>
      <c r="D574" s="1830"/>
      <c r="E574" s="1830"/>
      <c r="F574" s="1830"/>
      <c r="G574" s="1830"/>
      <c r="H574" s="1830"/>
      <c r="I574" s="1830"/>
      <c r="J574" s="1830"/>
      <c r="K574" s="1830"/>
      <c r="L574" s="1830"/>
      <c r="M574" s="1830"/>
      <c r="N574" s="1830"/>
      <c r="O574" s="1830"/>
      <c r="P574" s="1830"/>
      <c r="Q574" s="1830"/>
      <c r="R574" s="1830"/>
      <c r="S574" s="1830"/>
      <c r="T574" s="1830"/>
      <c r="U574" s="1830"/>
      <c r="V574" s="1830"/>
      <c r="W574" s="1830"/>
      <c r="X574" s="1830"/>
      <c r="Y574" s="1830"/>
      <c r="Z574" s="1830"/>
      <c r="AA574" s="1830"/>
      <c r="AB574" s="1830"/>
      <c r="AC574" s="1830"/>
      <c r="AD574" s="1830"/>
      <c r="AE574" s="1830"/>
      <c r="AF574" s="1830"/>
      <c r="AG574" s="2224"/>
      <c r="AH574" s="1830"/>
      <c r="AI574" s="1830"/>
      <c r="AJ574" s="1830"/>
      <c r="AK574" s="1830"/>
      <c r="AL574" s="1830"/>
      <c r="AM574" s="1830"/>
      <c r="AN574" s="1815"/>
      <c r="AO574" s="1898"/>
    </row>
    <row r="575" spans="1:41" ht="12" customHeight="1">
      <c r="A575" s="1004"/>
      <c r="B575" s="1830"/>
      <c r="C575" s="1830"/>
      <c r="D575" s="1830"/>
      <c r="E575" s="1830"/>
      <c r="F575" s="1830"/>
      <c r="G575" s="1830"/>
      <c r="H575" s="1830"/>
      <c r="I575" s="1830"/>
      <c r="J575" s="1830"/>
      <c r="K575" s="1830"/>
      <c r="L575" s="1830"/>
      <c r="M575" s="1830"/>
      <c r="N575" s="1830"/>
      <c r="O575" s="1830"/>
      <c r="P575" s="1830"/>
      <c r="Q575" s="1830"/>
      <c r="R575" s="1830"/>
      <c r="S575" s="1830"/>
      <c r="T575" s="1830"/>
      <c r="U575" s="1830"/>
      <c r="V575" s="1830"/>
      <c r="W575" s="1830"/>
      <c r="X575" s="1830"/>
      <c r="Y575" s="1830"/>
      <c r="Z575" s="1830"/>
      <c r="AA575" s="1830"/>
      <c r="AB575" s="1830"/>
      <c r="AC575" s="1830"/>
      <c r="AD575" s="1830"/>
      <c r="AE575" s="1830"/>
      <c r="AF575" s="1830"/>
      <c r="AG575" s="2224"/>
      <c r="AH575" s="1830"/>
      <c r="AI575" s="1830"/>
      <c r="AJ575" s="1830"/>
      <c r="AK575" s="1830"/>
      <c r="AL575" s="1830"/>
      <c r="AM575" s="1830"/>
      <c r="AN575" s="1815"/>
      <c r="AO575" s="1898"/>
    </row>
    <row r="576" spans="1:41" ht="12" customHeight="1">
      <c r="A576" s="1004"/>
      <c r="AJ576" s="1004"/>
      <c r="AK576" s="1004"/>
      <c r="AL576" s="1004"/>
      <c r="AN576" s="1816"/>
      <c r="AO576" s="1898"/>
    </row>
    <row r="577" spans="1:41" ht="12" customHeight="1">
      <c r="A577" s="1004"/>
      <c r="AJ577" s="1004"/>
      <c r="AK577" s="1004"/>
      <c r="AL577" s="1004"/>
      <c r="AN577" s="1815"/>
      <c r="AO577" s="1018"/>
    </row>
    <row r="578" spans="1:41" ht="12" customHeight="1">
      <c r="A578" s="1004"/>
      <c r="AJ578" s="1004"/>
      <c r="AK578" s="1004"/>
      <c r="AL578" s="1004"/>
      <c r="AN578" s="1815"/>
      <c r="AO578" s="1832"/>
    </row>
    <row r="579" spans="1:41" ht="12" customHeight="1">
      <c r="A579" s="1004"/>
      <c r="AJ579" s="1004"/>
      <c r="AK579" s="1004"/>
      <c r="AL579" s="1004"/>
      <c r="AN579" s="1815"/>
      <c r="AO579" s="1832"/>
    </row>
    <row r="580" spans="1:41" ht="12" customHeight="1">
      <c r="A580" s="1004"/>
      <c r="AJ580" s="1004"/>
      <c r="AK580" s="1004"/>
      <c r="AL580" s="1004"/>
      <c r="AN580" s="1815"/>
      <c r="AO580" s="1832"/>
    </row>
    <row r="581" spans="1:41" ht="12" customHeight="1">
      <c r="A581" s="1004"/>
      <c r="AJ581" s="1004"/>
      <c r="AK581" s="1004"/>
      <c r="AL581" s="1004"/>
      <c r="AN581" s="1816"/>
      <c r="AO581" s="1832"/>
    </row>
    <row r="582" spans="1:41" ht="12" customHeight="1">
      <c r="A582" s="1004"/>
      <c r="AJ582" s="1004"/>
      <c r="AK582" s="1004"/>
      <c r="AL582" s="1004"/>
      <c r="AN582" s="1815"/>
      <c r="AO582" s="1816"/>
    </row>
    <row r="583" spans="1:41" ht="12" customHeight="1">
      <c r="A583" s="1004"/>
      <c r="AJ583" s="1004"/>
      <c r="AK583" s="1004"/>
      <c r="AL583" s="1004"/>
      <c r="AN583" s="1815"/>
      <c r="AO583" s="1898"/>
    </row>
    <row r="584" spans="1:41" ht="12" customHeight="1">
      <c r="A584" s="1004"/>
      <c r="AJ584" s="1004"/>
      <c r="AK584" s="1004"/>
      <c r="AL584" s="1004"/>
      <c r="AN584" s="1815"/>
      <c r="AO584" s="1898"/>
    </row>
    <row r="585" spans="1:41" ht="12" customHeight="1">
      <c r="A585" s="1004"/>
      <c r="AJ585" s="1004"/>
      <c r="AK585" s="1004"/>
      <c r="AL585" s="1004"/>
      <c r="AN585" s="1815"/>
      <c r="AO585" s="1898"/>
    </row>
    <row r="586" spans="1:41" ht="12" customHeight="1">
      <c r="A586" s="1004"/>
      <c r="AJ586" s="1004"/>
      <c r="AK586" s="1004"/>
      <c r="AL586" s="1004"/>
      <c r="AN586" s="1816"/>
      <c r="AO586" s="1898"/>
    </row>
    <row r="587" spans="1:41" ht="12" customHeight="1">
      <c r="A587" s="1004"/>
      <c r="AJ587" s="1004"/>
      <c r="AK587" s="1004"/>
      <c r="AL587" s="1004"/>
      <c r="AN587" s="1815"/>
      <c r="AO587" s="1816"/>
    </row>
    <row r="588" spans="1:41" ht="12" customHeight="1">
      <c r="A588" s="1004"/>
      <c r="AJ588" s="1004"/>
      <c r="AK588" s="1004"/>
      <c r="AL588" s="1004"/>
      <c r="AN588" s="1815"/>
      <c r="AO588" s="1898"/>
    </row>
    <row r="589" spans="1:41" ht="12" customHeight="1">
      <c r="A589" s="1004"/>
      <c r="AJ589" s="1004"/>
      <c r="AK589" s="1004"/>
      <c r="AL589" s="1004"/>
      <c r="AN589" s="1815"/>
      <c r="AO589" s="1898"/>
    </row>
    <row r="590" spans="1:41" ht="12" customHeight="1">
      <c r="A590" s="1004"/>
      <c r="AJ590" s="1004"/>
      <c r="AK590" s="1004"/>
      <c r="AL590" s="1004"/>
      <c r="AN590" s="1815"/>
      <c r="AO590" s="1898"/>
    </row>
    <row r="591" spans="1:41" ht="12" customHeight="1">
      <c r="A591" s="1004"/>
      <c r="AJ591" s="1004"/>
      <c r="AK591" s="1004"/>
      <c r="AL591" s="1004"/>
      <c r="AN591" s="1815"/>
      <c r="AO591" s="1898"/>
    </row>
    <row r="592" spans="1:41" ht="12" customHeight="1">
      <c r="A592" s="1004"/>
      <c r="AJ592" s="1004"/>
      <c r="AK592" s="1004"/>
      <c r="AL592" s="1004"/>
      <c r="AN592" s="1815"/>
      <c r="AO592" s="1816"/>
    </row>
    <row r="593" spans="1:43" ht="12" customHeight="1">
      <c r="A593" s="1004"/>
      <c r="AJ593" s="1004"/>
      <c r="AK593" s="1004"/>
      <c r="AL593" s="1004"/>
      <c r="AN593" s="1815"/>
      <c r="AO593" s="1898"/>
    </row>
    <row r="594" spans="1:43" ht="12" customHeight="1">
      <c r="A594" s="1004"/>
      <c r="AJ594" s="1004"/>
      <c r="AK594" s="1004"/>
      <c r="AL594" s="1004"/>
      <c r="AN594" s="1815"/>
      <c r="AO594" s="1898"/>
    </row>
    <row r="595" spans="1:43" ht="12" customHeight="1">
      <c r="A595" s="1004"/>
      <c r="AJ595" s="1004"/>
      <c r="AK595" s="1004"/>
      <c r="AL595" s="1004"/>
      <c r="AN595" s="1815"/>
      <c r="AO595" s="1898"/>
    </row>
    <row r="596" spans="1:43" ht="12" customHeight="1">
      <c r="A596" s="1004"/>
      <c r="AJ596" s="1004"/>
      <c r="AK596" s="1004"/>
      <c r="AL596" s="1004"/>
      <c r="AN596" s="1815"/>
      <c r="AO596" s="1898"/>
    </row>
    <row r="597" spans="1:43" s="1009" customFormat="1" ht="12" customHeight="1">
      <c r="A597" s="1004"/>
      <c r="B597" s="1004"/>
      <c r="C597" s="1004"/>
      <c r="D597" s="1004"/>
      <c r="E597" s="1004"/>
      <c r="F597" s="1004"/>
      <c r="G597" s="1004"/>
      <c r="H597" s="1004"/>
      <c r="I597" s="1004"/>
      <c r="J597" s="1004"/>
      <c r="K597" s="1004"/>
      <c r="L597" s="1004"/>
      <c r="M597" s="1004"/>
      <c r="N597" s="1004"/>
      <c r="O597" s="1004"/>
      <c r="P597" s="1004"/>
      <c r="Q597" s="1004"/>
      <c r="R597" s="1004"/>
      <c r="S597" s="1004"/>
      <c r="T597" s="1004"/>
      <c r="U597" s="1004"/>
      <c r="V597" s="1004"/>
      <c r="W597" s="1004"/>
      <c r="X597" s="1004"/>
      <c r="Y597" s="1004"/>
      <c r="Z597" s="1004"/>
      <c r="AA597" s="1004"/>
      <c r="AB597" s="1004"/>
      <c r="AC597" s="1004"/>
      <c r="AD597" s="1004"/>
      <c r="AE597" s="1004"/>
      <c r="AF597" s="1004"/>
      <c r="AH597" s="1004"/>
      <c r="AI597" s="1004"/>
      <c r="AJ597" s="1004"/>
      <c r="AK597" s="1004"/>
      <c r="AL597" s="1004"/>
      <c r="AM597" s="1004"/>
      <c r="AN597" s="1815"/>
      <c r="AO597" s="1898"/>
      <c r="AP597" s="1084"/>
      <c r="AQ597" s="1084"/>
    </row>
    <row r="598" spans="1:43" s="1009" customFormat="1" ht="12" customHeight="1">
      <c r="A598" s="1004"/>
      <c r="B598" s="1004"/>
      <c r="C598" s="1004"/>
      <c r="D598" s="1004"/>
      <c r="E598" s="1004"/>
      <c r="F598" s="1004"/>
      <c r="G598" s="1004"/>
      <c r="H598" s="1004"/>
      <c r="I598" s="1004"/>
      <c r="J598" s="1004"/>
      <c r="K598" s="1004"/>
      <c r="L598" s="1004"/>
      <c r="M598" s="1004"/>
      <c r="N598" s="1004"/>
      <c r="O598" s="1004"/>
      <c r="P598" s="1004"/>
      <c r="Q598" s="1004"/>
      <c r="R598" s="1004"/>
      <c r="S598" s="1004"/>
      <c r="T598" s="1004"/>
      <c r="U598" s="1004"/>
      <c r="V598" s="1004"/>
      <c r="W598" s="1004"/>
      <c r="X598" s="1004"/>
      <c r="Y598" s="1004"/>
      <c r="Z598" s="1004"/>
      <c r="AA598" s="1004"/>
      <c r="AB598" s="1004"/>
      <c r="AC598" s="1004"/>
      <c r="AD598" s="1004"/>
      <c r="AE598" s="1004"/>
      <c r="AF598" s="1004"/>
      <c r="AH598" s="1004"/>
      <c r="AI598" s="1004"/>
      <c r="AJ598" s="1004"/>
      <c r="AK598" s="1004"/>
      <c r="AL598" s="1004"/>
      <c r="AM598" s="1004"/>
      <c r="AN598" s="1815"/>
      <c r="AO598" s="1898"/>
      <c r="AP598" s="1084"/>
      <c r="AQ598" s="1084"/>
    </row>
    <row r="599" spans="1:43" s="1009" customFormat="1" ht="12" customHeight="1">
      <c r="A599" s="1004"/>
      <c r="B599" s="1004"/>
      <c r="C599" s="1004"/>
      <c r="D599" s="1004"/>
      <c r="E599" s="1004"/>
      <c r="F599" s="1004"/>
      <c r="G599" s="1004"/>
      <c r="H599" s="1004"/>
      <c r="I599" s="1004"/>
      <c r="J599" s="1004"/>
      <c r="K599" s="1004"/>
      <c r="L599" s="1004"/>
      <c r="M599" s="1004"/>
      <c r="N599" s="1004"/>
      <c r="O599" s="1004"/>
      <c r="P599" s="1004"/>
      <c r="Q599" s="1004"/>
      <c r="R599" s="1004"/>
      <c r="S599" s="1004"/>
      <c r="T599" s="1004"/>
      <c r="U599" s="1004"/>
      <c r="V599" s="1004"/>
      <c r="W599" s="1004"/>
      <c r="X599" s="1004"/>
      <c r="Y599" s="1004"/>
      <c r="Z599" s="1004"/>
      <c r="AA599" s="1004"/>
      <c r="AB599" s="1004"/>
      <c r="AC599" s="1004"/>
      <c r="AD599" s="1004"/>
      <c r="AE599" s="1004"/>
      <c r="AF599" s="1004"/>
      <c r="AH599" s="1004"/>
      <c r="AI599" s="1004"/>
      <c r="AJ599" s="1004"/>
      <c r="AK599" s="1004"/>
      <c r="AL599" s="1004"/>
      <c r="AM599" s="1004"/>
      <c r="AN599" s="1815"/>
      <c r="AO599" s="1898"/>
      <c r="AP599" s="1084"/>
      <c r="AQ599" s="1084"/>
    </row>
    <row r="600" spans="1:43" s="1009" customFormat="1" ht="12" customHeight="1">
      <c r="A600" s="1004"/>
      <c r="B600" s="1004"/>
      <c r="C600" s="1004"/>
      <c r="D600" s="1004"/>
      <c r="E600" s="1004"/>
      <c r="F600" s="1004"/>
      <c r="G600" s="1004"/>
      <c r="H600" s="1004"/>
      <c r="I600" s="1004"/>
      <c r="J600" s="1004"/>
      <c r="K600" s="1004"/>
      <c r="L600" s="1004"/>
      <c r="M600" s="1004"/>
      <c r="N600" s="1004"/>
      <c r="O600" s="1004"/>
      <c r="P600" s="1004"/>
      <c r="Q600" s="1004"/>
      <c r="R600" s="1004"/>
      <c r="S600" s="1004"/>
      <c r="T600" s="1004"/>
      <c r="U600" s="1004"/>
      <c r="V600" s="1004"/>
      <c r="W600" s="1004"/>
      <c r="X600" s="1004"/>
      <c r="Y600" s="1004"/>
      <c r="Z600" s="1004"/>
      <c r="AA600" s="1004"/>
      <c r="AB600" s="1004"/>
      <c r="AC600" s="1004"/>
      <c r="AD600" s="1004"/>
      <c r="AE600" s="1004"/>
      <c r="AF600" s="1004"/>
      <c r="AH600" s="1004"/>
      <c r="AI600" s="1004"/>
      <c r="AJ600" s="1004"/>
      <c r="AK600" s="1004"/>
      <c r="AL600" s="1004"/>
      <c r="AM600" s="1004"/>
      <c r="AN600" s="1815"/>
      <c r="AO600" s="1898"/>
      <c r="AP600" s="1084"/>
      <c r="AQ600" s="1084"/>
    </row>
    <row r="601" spans="1:43" s="1009" customFormat="1" ht="12" customHeight="1">
      <c r="A601" s="1004"/>
      <c r="B601" s="1004"/>
      <c r="C601" s="1004"/>
      <c r="D601" s="1004"/>
      <c r="E601" s="1004"/>
      <c r="F601" s="1004"/>
      <c r="G601" s="1004"/>
      <c r="H601" s="1004"/>
      <c r="I601" s="1004"/>
      <c r="J601" s="1004"/>
      <c r="K601" s="1004"/>
      <c r="L601" s="1004"/>
      <c r="M601" s="1004"/>
      <c r="N601" s="1004"/>
      <c r="O601" s="1004"/>
      <c r="P601" s="1004"/>
      <c r="Q601" s="1004"/>
      <c r="R601" s="1004"/>
      <c r="S601" s="1004"/>
      <c r="T601" s="1004"/>
      <c r="U601" s="1004"/>
      <c r="V601" s="1004"/>
      <c r="W601" s="1004"/>
      <c r="X601" s="1004"/>
      <c r="Y601" s="1004"/>
      <c r="Z601" s="1004"/>
      <c r="AA601" s="1004"/>
      <c r="AB601" s="1004"/>
      <c r="AC601" s="1004"/>
      <c r="AD601" s="1004"/>
      <c r="AE601" s="1004"/>
      <c r="AF601" s="1004"/>
      <c r="AH601" s="1004"/>
      <c r="AI601" s="1004"/>
      <c r="AJ601" s="1004"/>
      <c r="AK601" s="1004"/>
      <c r="AL601" s="1004"/>
      <c r="AM601" s="1004"/>
      <c r="AN601" s="1815"/>
      <c r="AO601" s="1898"/>
      <c r="AP601" s="1084"/>
      <c r="AQ601" s="1084"/>
    </row>
    <row r="602" spans="1:43" s="1009" customFormat="1" ht="12" customHeight="1">
      <c r="A602" s="1004"/>
      <c r="B602" s="1004"/>
      <c r="C602" s="1004"/>
      <c r="D602" s="1004"/>
      <c r="E602" s="1004"/>
      <c r="F602" s="1004"/>
      <c r="G602" s="1004"/>
      <c r="H602" s="1004"/>
      <c r="I602" s="1004"/>
      <c r="J602" s="1004"/>
      <c r="K602" s="1004"/>
      <c r="L602" s="1004"/>
      <c r="M602" s="1004"/>
      <c r="N602" s="1004"/>
      <c r="O602" s="1004"/>
      <c r="P602" s="1004"/>
      <c r="Q602" s="1004"/>
      <c r="R602" s="1004"/>
      <c r="S602" s="1004"/>
      <c r="T602" s="1004"/>
      <c r="U602" s="1004"/>
      <c r="V602" s="1004"/>
      <c r="W602" s="1004"/>
      <c r="X602" s="1004"/>
      <c r="Y602" s="1004"/>
      <c r="Z602" s="1004"/>
      <c r="AA602" s="1004"/>
      <c r="AB602" s="1004"/>
      <c r="AC602" s="1004"/>
      <c r="AD602" s="1004"/>
      <c r="AE602" s="1004"/>
      <c r="AF602" s="1004"/>
      <c r="AH602" s="1004"/>
      <c r="AI602" s="1004"/>
      <c r="AJ602" s="1004"/>
      <c r="AK602" s="1004"/>
      <c r="AL602" s="1004"/>
      <c r="AM602" s="1004"/>
      <c r="AN602" s="1815"/>
      <c r="AO602" s="1898"/>
      <c r="AP602" s="1084"/>
      <c r="AQ602" s="1084"/>
    </row>
    <row r="603" spans="1:43" s="1009" customFormat="1" ht="12" customHeight="1">
      <c r="A603" s="1004"/>
      <c r="B603" s="1004"/>
      <c r="C603" s="1004"/>
      <c r="D603" s="1004"/>
      <c r="E603" s="1004"/>
      <c r="F603" s="1004"/>
      <c r="G603" s="1004"/>
      <c r="H603" s="1004"/>
      <c r="I603" s="1004"/>
      <c r="J603" s="1004"/>
      <c r="K603" s="1004"/>
      <c r="L603" s="1004"/>
      <c r="M603" s="1004"/>
      <c r="N603" s="1004"/>
      <c r="O603" s="1004"/>
      <c r="P603" s="1004"/>
      <c r="Q603" s="1004"/>
      <c r="R603" s="1004"/>
      <c r="S603" s="1004"/>
      <c r="T603" s="1004"/>
      <c r="U603" s="1004"/>
      <c r="V603" s="1004"/>
      <c r="W603" s="1004"/>
      <c r="X603" s="1004"/>
      <c r="Y603" s="1004"/>
      <c r="Z603" s="1004"/>
      <c r="AA603" s="1004"/>
      <c r="AB603" s="1004"/>
      <c r="AC603" s="1004"/>
      <c r="AD603" s="1004"/>
      <c r="AE603" s="1004"/>
      <c r="AF603" s="1004"/>
      <c r="AH603" s="1004"/>
      <c r="AI603" s="1004"/>
      <c r="AJ603" s="1004"/>
      <c r="AK603" s="1004"/>
      <c r="AL603" s="1004"/>
      <c r="AM603" s="1004"/>
      <c r="AN603" s="1815"/>
      <c r="AO603" s="1898"/>
      <c r="AP603" s="1084"/>
      <c r="AQ603" s="1084"/>
    </row>
    <row r="604" spans="1:43" s="1009" customFormat="1" ht="12" customHeight="1">
      <c r="A604" s="1004"/>
      <c r="B604" s="1004"/>
      <c r="C604" s="1004"/>
      <c r="D604" s="1004"/>
      <c r="E604" s="1004"/>
      <c r="F604" s="1004"/>
      <c r="G604" s="1004"/>
      <c r="H604" s="1004"/>
      <c r="I604" s="1004"/>
      <c r="J604" s="1004"/>
      <c r="K604" s="1004"/>
      <c r="L604" s="1004"/>
      <c r="M604" s="1004"/>
      <c r="N604" s="1004"/>
      <c r="O604" s="1004"/>
      <c r="P604" s="1004"/>
      <c r="Q604" s="1004"/>
      <c r="R604" s="1004"/>
      <c r="S604" s="1004"/>
      <c r="T604" s="1004"/>
      <c r="U604" s="1004"/>
      <c r="V604" s="1004"/>
      <c r="W604" s="1004"/>
      <c r="X604" s="1004"/>
      <c r="Y604" s="1004"/>
      <c r="Z604" s="1004"/>
      <c r="AA604" s="1004"/>
      <c r="AB604" s="1004"/>
      <c r="AC604" s="1004"/>
      <c r="AD604" s="1004"/>
      <c r="AE604" s="1004"/>
      <c r="AF604" s="1004"/>
      <c r="AH604" s="1004"/>
      <c r="AI604" s="1004"/>
      <c r="AJ604" s="1004"/>
      <c r="AK604" s="1004"/>
      <c r="AL604" s="1004"/>
      <c r="AM604" s="1004"/>
      <c r="AN604" s="1815"/>
      <c r="AO604" s="1898"/>
      <c r="AP604" s="1084"/>
      <c r="AQ604" s="1084"/>
    </row>
    <row r="605" spans="1:43" s="1009" customFormat="1" ht="12" customHeight="1">
      <c r="A605" s="1004"/>
      <c r="B605" s="1004"/>
      <c r="C605" s="1004"/>
      <c r="D605" s="1004"/>
      <c r="E605" s="1004"/>
      <c r="F605" s="1004"/>
      <c r="G605" s="1004"/>
      <c r="H605" s="1004"/>
      <c r="I605" s="1004"/>
      <c r="J605" s="1004"/>
      <c r="K605" s="1004"/>
      <c r="L605" s="1004"/>
      <c r="M605" s="1004"/>
      <c r="N605" s="1004"/>
      <c r="O605" s="1004"/>
      <c r="P605" s="1004"/>
      <c r="Q605" s="1004"/>
      <c r="R605" s="1004"/>
      <c r="S605" s="1004"/>
      <c r="T605" s="1004"/>
      <c r="U605" s="1004"/>
      <c r="V605" s="1004"/>
      <c r="W605" s="1004"/>
      <c r="X605" s="1004"/>
      <c r="Y605" s="1004"/>
      <c r="Z605" s="1004"/>
      <c r="AA605" s="1004"/>
      <c r="AB605" s="1004"/>
      <c r="AC605" s="1004"/>
      <c r="AD605" s="1004"/>
      <c r="AE605" s="1004"/>
      <c r="AF605" s="1004"/>
      <c r="AH605" s="1004"/>
      <c r="AI605" s="1004"/>
      <c r="AJ605" s="1004"/>
      <c r="AK605" s="1004"/>
      <c r="AL605" s="1004"/>
      <c r="AM605" s="1004"/>
      <c r="AN605" s="1815"/>
      <c r="AO605" s="1898"/>
      <c r="AP605" s="1084"/>
      <c r="AQ605" s="1084"/>
    </row>
    <row r="606" spans="1:43" s="1009" customFormat="1" ht="12" customHeight="1">
      <c r="A606" s="1004"/>
      <c r="B606" s="1004"/>
      <c r="C606" s="1004"/>
      <c r="D606" s="1004"/>
      <c r="E606" s="1004"/>
      <c r="F606" s="1004"/>
      <c r="G606" s="1004"/>
      <c r="H606" s="1004"/>
      <c r="I606" s="1004"/>
      <c r="J606" s="1004"/>
      <c r="K606" s="1004"/>
      <c r="L606" s="1004"/>
      <c r="M606" s="1004"/>
      <c r="N606" s="1004"/>
      <c r="O606" s="1004"/>
      <c r="P606" s="1004"/>
      <c r="Q606" s="1004"/>
      <c r="R606" s="1004"/>
      <c r="S606" s="1004"/>
      <c r="T606" s="1004"/>
      <c r="U606" s="1004"/>
      <c r="V606" s="1004"/>
      <c r="W606" s="1004"/>
      <c r="X606" s="1004"/>
      <c r="Y606" s="1004"/>
      <c r="Z606" s="1004"/>
      <c r="AA606" s="1004"/>
      <c r="AB606" s="1004"/>
      <c r="AC606" s="1004"/>
      <c r="AD606" s="1004"/>
      <c r="AE606" s="1004"/>
      <c r="AF606" s="1004"/>
      <c r="AH606" s="1004"/>
      <c r="AI606" s="1004"/>
      <c r="AJ606" s="1004"/>
      <c r="AK606" s="1004"/>
      <c r="AL606" s="1004"/>
      <c r="AM606" s="1004"/>
      <c r="AN606" s="1815"/>
      <c r="AO606" s="1898"/>
      <c r="AP606" s="1084"/>
      <c r="AQ606" s="1084"/>
    </row>
    <row r="607" spans="1:43" s="1009" customFormat="1" ht="12" customHeight="1">
      <c r="A607" s="1004"/>
      <c r="B607" s="1004"/>
      <c r="C607" s="1004"/>
      <c r="D607" s="1004"/>
      <c r="E607" s="1004"/>
      <c r="F607" s="1004"/>
      <c r="G607" s="1004"/>
      <c r="H607" s="1004"/>
      <c r="I607" s="1004"/>
      <c r="J607" s="1004"/>
      <c r="K607" s="1004"/>
      <c r="L607" s="1004"/>
      <c r="M607" s="1004"/>
      <c r="N607" s="1004"/>
      <c r="O607" s="1004"/>
      <c r="P607" s="1004"/>
      <c r="Q607" s="1004"/>
      <c r="R607" s="1004"/>
      <c r="S607" s="1004"/>
      <c r="T607" s="1004"/>
      <c r="U607" s="1004"/>
      <c r="V607" s="1004"/>
      <c r="W607" s="1004"/>
      <c r="X607" s="1004"/>
      <c r="Y607" s="1004"/>
      <c r="Z607" s="1004"/>
      <c r="AA607" s="1004"/>
      <c r="AB607" s="1004"/>
      <c r="AC607" s="1004"/>
      <c r="AD607" s="1004"/>
      <c r="AE607" s="1004"/>
      <c r="AF607" s="1004"/>
      <c r="AH607" s="1004"/>
      <c r="AI607" s="1004"/>
      <c r="AJ607" s="1004"/>
      <c r="AK607" s="1004"/>
      <c r="AL607" s="1004"/>
      <c r="AM607" s="1004"/>
      <c r="AN607" s="1815"/>
      <c r="AO607" s="1898"/>
      <c r="AP607" s="1084"/>
      <c r="AQ607" s="1084"/>
    </row>
    <row r="608" spans="1:43" s="1009" customFormat="1" ht="12" customHeight="1">
      <c r="A608" s="1004"/>
      <c r="B608" s="1004"/>
      <c r="C608" s="1004"/>
      <c r="D608" s="1004"/>
      <c r="E608" s="1004"/>
      <c r="F608" s="1004"/>
      <c r="G608" s="1004"/>
      <c r="H608" s="1004"/>
      <c r="I608" s="1004"/>
      <c r="J608" s="1004"/>
      <c r="K608" s="1004"/>
      <c r="L608" s="1004"/>
      <c r="M608" s="1004"/>
      <c r="N608" s="1004"/>
      <c r="O608" s="1004"/>
      <c r="P608" s="1004"/>
      <c r="Q608" s="1004"/>
      <c r="R608" s="1004"/>
      <c r="S608" s="1004"/>
      <c r="T608" s="1004"/>
      <c r="U608" s="1004"/>
      <c r="V608" s="1004"/>
      <c r="W608" s="1004"/>
      <c r="X608" s="1004"/>
      <c r="Y608" s="1004"/>
      <c r="Z608" s="1004"/>
      <c r="AA608" s="1004"/>
      <c r="AB608" s="1004"/>
      <c r="AC608" s="1004"/>
      <c r="AD608" s="1004"/>
      <c r="AE608" s="1004"/>
      <c r="AF608" s="1004"/>
      <c r="AH608" s="1004"/>
      <c r="AI608" s="1004"/>
      <c r="AJ608" s="1004"/>
      <c r="AK608" s="1004"/>
      <c r="AL608" s="1004"/>
      <c r="AM608" s="1004"/>
      <c r="AN608" s="1815"/>
      <c r="AO608" s="1898"/>
      <c r="AP608" s="1084"/>
      <c r="AQ608" s="1084"/>
    </row>
    <row r="609" spans="1:41" ht="12" customHeight="1">
      <c r="A609" s="1004"/>
      <c r="AJ609" s="1004"/>
      <c r="AK609" s="1004"/>
      <c r="AL609" s="1004"/>
      <c r="AN609" s="1815"/>
      <c r="AO609" s="1828"/>
    </row>
    <row r="610" spans="1:41" ht="12" customHeight="1">
      <c r="A610" s="1004"/>
      <c r="AJ610" s="1004"/>
      <c r="AK610" s="1004"/>
      <c r="AL610" s="1004"/>
      <c r="AO610" s="1832"/>
    </row>
    <row r="611" spans="1:41" ht="12" customHeight="1">
      <c r="A611" s="1004"/>
      <c r="AJ611" s="1004"/>
      <c r="AK611" s="1004"/>
      <c r="AL611" s="1004"/>
      <c r="AN611" s="1815"/>
      <c r="AO611" s="1832"/>
    </row>
    <row r="612" spans="1:41" ht="12" customHeight="1">
      <c r="A612" s="1004"/>
      <c r="AJ612" s="1004"/>
      <c r="AK612" s="1004"/>
      <c r="AL612" s="1004"/>
      <c r="AN612" s="1815"/>
      <c r="AO612" s="1832"/>
    </row>
    <row r="613" spans="1:41" ht="12" customHeight="1">
      <c r="A613" s="1004"/>
      <c r="AJ613" s="1004"/>
      <c r="AK613" s="1004"/>
      <c r="AL613" s="1004"/>
      <c r="AN613" s="1815"/>
      <c r="AO613" s="1832"/>
    </row>
    <row r="614" spans="1:41" ht="12" customHeight="1">
      <c r="A614" s="1004"/>
      <c r="AJ614" s="1004"/>
      <c r="AK614" s="1004"/>
      <c r="AL614" s="1004"/>
      <c r="AN614" s="1815"/>
      <c r="AO614" s="1816"/>
    </row>
    <row r="615" spans="1:41" ht="12" customHeight="1">
      <c r="A615" s="1004"/>
      <c r="AJ615" s="1004"/>
      <c r="AK615" s="1004"/>
      <c r="AL615" s="1004"/>
      <c r="AN615" s="1816"/>
      <c r="AO615" s="1898"/>
    </row>
    <row r="616" spans="1:41" ht="12" customHeight="1">
      <c r="A616" s="1004"/>
      <c r="AJ616" s="1004"/>
      <c r="AK616" s="1004"/>
      <c r="AL616" s="1004"/>
      <c r="AN616" s="1815"/>
      <c r="AO616" s="1898"/>
    </row>
    <row r="617" spans="1:41" ht="12" customHeight="1">
      <c r="A617" s="1004"/>
      <c r="AJ617" s="1004"/>
      <c r="AK617" s="1004"/>
      <c r="AL617" s="1004"/>
      <c r="AN617" s="1815"/>
      <c r="AO617" s="1898"/>
    </row>
    <row r="618" spans="1:41" ht="12" customHeight="1">
      <c r="A618" s="1004"/>
      <c r="AJ618" s="1004"/>
      <c r="AK618" s="1004"/>
      <c r="AL618" s="1004"/>
      <c r="AN618" s="1815"/>
      <c r="AO618" s="1898"/>
    </row>
    <row r="619" spans="1:41" ht="12" customHeight="1">
      <c r="A619" s="1004"/>
      <c r="AJ619" s="1004"/>
      <c r="AK619" s="1004"/>
      <c r="AL619" s="1004"/>
      <c r="AN619" s="1815"/>
      <c r="AO619" s="1816"/>
    </row>
    <row r="620" spans="1:41" ht="12" customHeight="1">
      <c r="A620" s="1004"/>
      <c r="AJ620" s="1004"/>
      <c r="AK620" s="1004"/>
      <c r="AL620" s="1004"/>
      <c r="AN620" s="1816"/>
      <c r="AO620" s="1898"/>
    </row>
    <row r="621" spans="1:41" ht="12" customHeight="1">
      <c r="A621" s="1004"/>
      <c r="AJ621" s="1004"/>
      <c r="AK621" s="1004"/>
      <c r="AL621" s="1004"/>
      <c r="AN621" s="1815"/>
      <c r="AO621" s="1898"/>
    </row>
    <row r="622" spans="1:41" ht="12" customHeight="1">
      <c r="A622" s="1004"/>
      <c r="AJ622" s="1004"/>
      <c r="AK622" s="1004"/>
      <c r="AL622" s="1004"/>
      <c r="AN622" s="1815"/>
      <c r="AO622" s="1898"/>
    </row>
    <row r="623" spans="1:41" ht="12" customHeight="1">
      <c r="A623" s="1004"/>
      <c r="AJ623" s="1004"/>
      <c r="AK623" s="1004"/>
      <c r="AL623" s="1004"/>
      <c r="AN623" s="1815"/>
      <c r="AO623" s="1898"/>
    </row>
    <row r="624" spans="1:41" ht="12" customHeight="1">
      <c r="A624" s="1004"/>
      <c r="AJ624" s="1004"/>
      <c r="AK624" s="1004"/>
      <c r="AL624" s="1004"/>
      <c r="AN624" s="1815"/>
      <c r="AO624" s="1816"/>
    </row>
    <row r="625" spans="1:41" ht="12" customHeight="1">
      <c r="A625" s="1004"/>
      <c r="AJ625" s="1004"/>
      <c r="AK625" s="1004"/>
      <c r="AL625" s="1004"/>
      <c r="AN625" s="1816"/>
      <c r="AO625" s="1898"/>
    </row>
    <row r="626" spans="1:41" ht="12" customHeight="1">
      <c r="A626" s="1004"/>
      <c r="AJ626" s="1004"/>
      <c r="AK626" s="1004"/>
      <c r="AL626" s="1004"/>
      <c r="AN626" s="1815"/>
      <c r="AO626" s="1898"/>
    </row>
    <row r="627" spans="1:41" ht="12" customHeight="1">
      <c r="A627" s="1004"/>
      <c r="AJ627" s="1004"/>
      <c r="AK627" s="1004"/>
      <c r="AL627" s="1004"/>
      <c r="AN627" s="1815"/>
      <c r="AO627" s="1898"/>
    </row>
    <row r="628" spans="1:41" ht="12" customHeight="1">
      <c r="A628" s="1004"/>
      <c r="AJ628" s="1004"/>
      <c r="AK628" s="1004"/>
      <c r="AL628" s="1004"/>
      <c r="AN628" s="1815"/>
      <c r="AO628" s="1898"/>
    </row>
    <row r="629" spans="1:41" ht="12" customHeight="1">
      <c r="A629" s="1009"/>
      <c r="AJ629" s="1004"/>
      <c r="AK629" s="1004"/>
      <c r="AL629" s="1004"/>
      <c r="AN629" s="1815"/>
      <c r="AO629" s="1898"/>
    </row>
    <row r="630" spans="1:41" ht="12" customHeight="1">
      <c r="A630" s="1009"/>
      <c r="B630" s="1009"/>
      <c r="C630" s="1009"/>
      <c r="D630" s="1009"/>
      <c r="E630" s="1009"/>
      <c r="F630" s="1009"/>
      <c r="G630" s="1009"/>
      <c r="H630" s="1009"/>
      <c r="I630" s="1009"/>
      <c r="J630" s="1009"/>
      <c r="K630" s="1009"/>
      <c r="L630" s="1009"/>
      <c r="M630" s="1009"/>
      <c r="N630" s="1009"/>
      <c r="O630" s="1009"/>
      <c r="P630" s="1009"/>
      <c r="Q630" s="1009"/>
      <c r="R630" s="1009"/>
      <c r="S630" s="1009"/>
      <c r="T630" s="1009"/>
      <c r="U630" s="1009"/>
      <c r="V630" s="1009"/>
      <c r="W630" s="1009"/>
      <c r="X630" s="1009"/>
      <c r="Y630" s="1009"/>
      <c r="Z630" s="1009"/>
      <c r="AA630" s="1009"/>
      <c r="AB630" s="1009"/>
      <c r="AC630" s="1009"/>
      <c r="AD630" s="1009"/>
      <c r="AE630" s="1009"/>
      <c r="AF630" s="1009"/>
      <c r="AH630" s="1009"/>
      <c r="AI630" s="1009"/>
      <c r="AJ630" s="1009"/>
      <c r="AK630" s="1009"/>
      <c r="AL630" s="1009"/>
      <c r="AM630" s="1009"/>
      <c r="AN630" s="1815"/>
      <c r="AO630" s="1898"/>
    </row>
    <row r="631" spans="1:41" ht="12" customHeight="1">
      <c r="A631" s="1009"/>
      <c r="B631" s="1009"/>
      <c r="C631" s="1009"/>
      <c r="D631" s="1009"/>
      <c r="E631" s="1009"/>
      <c r="F631" s="1009"/>
      <c r="G631" s="1009"/>
      <c r="H631" s="1009"/>
      <c r="I631" s="1009"/>
      <c r="J631" s="1009"/>
      <c r="K631" s="1009"/>
      <c r="L631" s="1009"/>
      <c r="M631" s="1009"/>
      <c r="N631" s="1009"/>
      <c r="O631" s="1009"/>
      <c r="P631" s="1009"/>
      <c r="Q631" s="1009"/>
      <c r="R631" s="1009"/>
      <c r="S631" s="1009"/>
      <c r="T631" s="1009"/>
      <c r="U631" s="1009"/>
      <c r="V631" s="1009"/>
      <c r="W631" s="1009"/>
      <c r="X631" s="1009"/>
      <c r="Y631" s="1009"/>
      <c r="Z631" s="1009"/>
      <c r="AA631" s="1009"/>
      <c r="AB631" s="1009"/>
      <c r="AC631" s="1009"/>
      <c r="AD631" s="1009"/>
      <c r="AE631" s="1009"/>
      <c r="AF631" s="1009"/>
      <c r="AH631" s="1009"/>
      <c r="AI631" s="1009"/>
      <c r="AJ631" s="1009"/>
      <c r="AK631" s="1009"/>
      <c r="AL631" s="1009"/>
      <c r="AM631" s="1009"/>
      <c r="AN631" s="1815"/>
      <c r="AO631" s="1898"/>
    </row>
    <row r="632" spans="1:41" ht="12" customHeight="1">
      <c r="A632" s="1009"/>
      <c r="B632" s="1009"/>
      <c r="C632" s="1009"/>
      <c r="D632" s="1009"/>
      <c r="E632" s="1009"/>
      <c r="F632" s="1009"/>
      <c r="G632" s="1009"/>
      <c r="H632" s="1009"/>
      <c r="I632" s="1009"/>
      <c r="J632" s="1009"/>
      <c r="K632" s="1009"/>
      <c r="L632" s="1009"/>
      <c r="M632" s="1009"/>
      <c r="N632" s="1009"/>
      <c r="O632" s="1009"/>
      <c r="P632" s="1009"/>
      <c r="Q632" s="1009"/>
      <c r="R632" s="1009"/>
      <c r="S632" s="1009"/>
      <c r="T632" s="1009"/>
      <c r="U632" s="1009"/>
      <c r="V632" s="1009"/>
      <c r="W632" s="1009"/>
      <c r="X632" s="1009"/>
      <c r="Y632" s="1009"/>
      <c r="Z632" s="1009"/>
      <c r="AA632" s="1009"/>
      <c r="AB632" s="1009"/>
      <c r="AC632" s="1009"/>
      <c r="AD632" s="1009"/>
      <c r="AE632" s="1009"/>
      <c r="AF632" s="1009"/>
      <c r="AH632" s="1009"/>
      <c r="AI632" s="1009"/>
      <c r="AJ632" s="1009"/>
      <c r="AK632" s="1009"/>
      <c r="AL632" s="1009"/>
      <c r="AM632" s="1009"/>
      <c r="AN632" s="1815"/>
      <c r="AO632" s="1898"/>
    </row>
    <row r="633" spans="1:41" ht="12" customHeight="1">
      <c r="A633" s="1009"/>
      <c r="B633" s="1009"/>
      <c r="C633" s="1009"/>
      <c r="D633" s="1009"/>
      <c r="E633" s="1009"/>
      <c r="F633" s="1009"/>
      <c r="G633" s="1009"/>
      <c r="H633" s="1009"/>
      <c r="I633" s="1009"/>
      <c r="J633" s="1009"/>
      <c r="K633" s="1009"/>
      <c r="L633" s="1009"/>
      <c r="M633" s="1009"/>
      <c r="N633" s="1009"/>
      <c r="O633" s="1009"/>
      <c r="P633" s="1009"/>
      <c r="Q633" s="1009"/>
      <c r="R633" s="1009"/>
      <c r="S633" s="1009"/>
      <c r="T633" s="1009"/>
      <c r="U633" s="1009"/>
      <c r="V633" s="1009"/>
      <c r="W633" s="1009"/>
      <c r="X633" s="1009"/>
      <c r="Y633" s="1009"/>
      <c r="Z633" s="1009"/>
      <c r="AA633" s="1009"/>
      <c r="AB633" s="1009"/>
      <c r="AC633" s="1009"/>
      <c r="AD633" s="1009"/>
      <c r="AE633" s="1009"/>
      <c r="AF633" s="1009"/>
      <c r="AH633" s="1009"/>
      <c r="AI633" s="1009"/>
      <c r="AJ633" s="1009"/>
      <c r="AK633" s="1009"/>
      <c r="AL633" s="1009"/>
      <c r="AM633" s="1009"/>
      <c r="AN633" s="1815"/>
      <c r="AO633" s="1898"/>
    </row>
    <row r="634" spans="1:41" ht="12" customHeight="1">
      <c r="A634" s="1009"/>
      <c r="B634" s="1009"/>
      <c r="C634" s="1009"/>
      <c r="D634" s="1009"/>
      <c r="E634" s="1009"/>
      <c r="F634" s="1009"/>
      <c r="G634" s="1009"/>
      <c r="H634" s="1009"/>
      <c r="I634" s="1009"/>
      <c r="J634" s="1009"/>
      <c r="K634" s="1009"/>
      <c r="L634" s="1009"/>
      <c r="M634" s="1009"/>
      <c r="N634" s="1009"/>
      <c r="O634" s="1009"/>
      <c r="P634" s="1009"/>
      <c r="Q634" s="1009"/>
      <c r="R634" s="1009"/>
      <c r="S634" s="1009"/>
      <c r="T634" s="1009"/>
      <c r="U634" s="1009"/>
      <c r="V634" s="1009"/>
      <c r="W634" s="1009"/>
      <c r="X634" s="1009"/>
      <c r="Y634" s="1009"/>
      <c r="Z634" s="1009"/>
      <c r="AA634" s="1009"/>
      <c r="AB634" s="1009"/>
      <c r="AC634" s="1009"/>
      <c r="AD634" s="1009"/>
      <c r="AE634" s="1009"/>
      <c r="AF634" s="1009"/>
      <c r="AH634" s="1009"/>
      <c r="AI634" s="1009"/>
      <c r="AJ634" s="1009"/>
      <c r="AK634" s="1009"/>
      <c r="AL634" s="1009"/>
      <c r="AM634" s="1009"/>
      <c r="AN634" s="1815"/>
      <c r="AO634" s="1898"/>
    </row>
    <row r="635" spans="1:41" ht="12" customHeight="1">
      <c r="A635" s="1009"/>
      <c r="B635" s="1009"/>
      <c r="C635" s="1009"/>
      <c r="D635" s="1009"/>
      <c r="E635" s="1009"/>
      <c r="F635" s="1009"/>
      <c r="G635" s="1009"/>
      <c r="H635" s="1009"/>
      <c r="I635" s="1009"/>
      <c r="J635" s="1009"/>
      <c r="K635" s="1009"/>
      <c r="L635" s="1009"/>
      <c r="M635" s="1009"/>
      <c r="N635" s="1009"/>
      <c r="O635" s="1009"/>
      <c r="P635" s="1009"/>
      <c r="Q635" s="1009"/>
      <c r="R635" s="1009"/>
      <c r="S635" s="1009"/>
      <c r="T635" s="1009"/>
      <c r="U635" s="1009"/>
      <c r="V635" s="1009"/>
      <c r="W635" s="1009"/>
      <c r="X635" s="1009"/>
      <c r="Y635" s="1009"/>
      <c r="Z635" s="1009"/>
      <c r="AA635" s="1009"/>
      <c r="AB635" s="1009"/>
      <c r="AC635" s="1009"/>
      <c r="AD635" s="1009"/>
      <c r="AE635" s="1009"/>
      <c r="AF635" s="1009"/>
      <c r="AH635" s="1009"/>
      <c r="AI635" s="1009"/>
      <c r="AJ635" s="1009"/>
      <c r="AK635" s="1009"/>
      <c r="AL635" s="1009"/>
      <c r="AM635" s="1009"/>
      <c r="AN635" s="1815"/>
      <c r="AO635" s="1898"/>
    </row>
    <row r="636" spans="1:41" ht="12" customHeight="1">
      <c r="A636" s="1009"/>
      <c r="B636" s="1009"/>
      <c r="C636" s="1009"/>
      <c r="D636" s="1009"/>
      <c r="E636" s="1009"/>
      <c r="F636" s="1009"/>
      <c r="G636" s="1009"/>
      <c r="H636" s="1009"/>
      <c r="I636" s="1009"/>
      <c r="J636" s="1009"/>
      <c r="K636" s="1009"/>
      <c r="L636" s="1009"/>
      <c r="M636" s="1009"/>
      <c r="N636" s="1009"/>
      <c r="O636" s="1009"/>
      <c r="P636" s="1009"/>
      <c r="Q636" s="1009"/>
      <c r="R636" s="1009"/>
      <c r="S636" s="1009"/>
      <c r="T636" s="1009"/>
      <c r="U636" s="1009"/>
      <c r="V636" s="1009"/>
      <c r="W636" s="1009"/>
      <c r="X636" s="1009"/>
      <c r="Y636" s="1009"/>
      <c r="Z636" s="1009"/>
      <c r="AA636" s="1009"/>
      <c r="AB636" s="1009"/>
      <c r="AC636" s="1009"/>
      <c r="AD636" s="1009"/>
      <c r="AE636" s="1009"/>
      <c r="AF636" s="1009"/>
      <c r="AH636" s="1009"/>
      <c r="AI636" s="1009"/>
      <c r="AJ636" s="1009"/>
      <c r="AK636" s="1009"/>
      <c r="AL636" s="1009"/>
      <c r="AM636" s="1009"/>
      <c r="AN636" s="1815"/>
      <c r="AO636" s="1898"/>
    </row>
    <row r="637" spans="1:41" ht="12" customHeight="1">
      <c r="A637" s="1009"/>
      <c r="B637" s="1009"/>
      <c r="C637" s="1009"/>
      <c r="D637" s="1009"/>
      <c r="E637" s="1009"/>
      <c r="F637" s="1009"/>
      <c r="G637" s="1009"/>
      <c r="H637" s="1009"/>
      <c r="I637" s="1009"/>
      <c r="J637" s="1009"/>
      <c r="K637" s="1009"/>
      <c r="L637" s="1009"/>
      <c r="M637" s="1009"/>
      <c r="N637" s="1009"/>
      <c r="O637" s="1009"/>
      <c r="P637" s="1009"/>
      <c r="Q637" s="1009"/>
      <c r="R637" s="1009"/>
      <c r="S637" s="1009"/>
      <c r="T637" s="1009"/>
      <c r="U637" s="1009"/>
      <c r="V637" s="1009"/>
      <c r="W637" s="1009"/>
      <c r="X637" s="1009"/>
      <c r="Y637" s="1009"/>
      <c r="Z637" s="1009"/>
      <c r="AA637" s="1009"/>
      <c r="AB637" s="1009"/>
      <c r="AC637" s="1009"/>
      <c r="AD637" s="1009"/>
      <c r="AE637" s="1009"/>
      <c r="AF637" s="1009"/>
      <c r="AH637" s="1009"/>
      <c r="AI637" s="1009"/>
      <c r="AJ637" s="1009"/>
      <c r="AK637" s="1009"/>
      <c r="AL637" s="1009"/>
      <c r="AM637" s="1009"/>
      <c r="AN637" s="1815"/>
      <c r="AO637" s="1898"/>
    </row>
    <row r="638" spans="1:41" ht="12" customHeight="1">
      <c r="A638" s="1009"/>
      <c r="B638" s="1009"/>
      <c r="C638" s="1009"/>
      <c r="D638" s="1009"/>
      <c r="E638" s="1009"/>
      <c r="F638" s="1009"/>
      <c r="G638" s="1009"/>
      <c r="H638" s="1009"/>
      <c r="I638" s="1009"/>
      <c r="J638" s="1009"/>
      <c r="K638" s="1009"/>
      <c r="L638" s="1009"/>
      <c r="M638" s="1009"/>
      <c r="N638" s="1009"/>
      <c r="O638" s="1009"/>
      <c r="P638" s="1009"/>
      <c r="Q638" s="1009"/>
      <c r="R638" s="1009"/>
      <c r="S638" s="1009"/>
      <c r="T638" s="1009"/>
      <c r="U638" s="1009"/>
      <c r="V638" s="1009"/>
      <c r="W638" s="1009"/>
      <c r="X638" s="1009"/>
      <c r="Y638" s="1009"/>
      <c r="Z638" s="1009"/>
      <c r="AA638" s="1009"/>
      <c r="AB638" s="1009"/>
      <c r="AC638" s="1009"/>
      <c r="AD638" s="1009"/>
      <c r="AE638" s="1009"/>
      <c r="AF638" s="1009"/>
      <c r="AH638" s="1009"/>
      <c r="AI638" s="1009"/>
      <c r="AJ638" s="1009"/>
      <c r="AK638" s="1009"/>
      <c r="AL638" s="1009"/>
      <c r="AM638" s="1009"/>
      <c r="AN638" s="1815"/>
      <c r="AO638" s="1898"/>
    </row>
    <row r="639" spans="1:41" ht="12" customHeight="1">
      <c r="A639" s="1009"/>
      <c r="B639" s="1009"/>
      <c r="C639" s="1009"/>
      <c r="D639" s="1009"/>
      <c r="E639" s="1009"/>
      <c r="F639" s="1009"/>
      <c r="G639" s="1009"/>
      <c r="H639" s="1009"/>
      <c r="I639" s="1009"/>
      <c r="J639" s="1009"/>
      <c r="K639" s="1009"/>
      <c r="L639" s="1009"/>
      <c r="M639" s="1009"/>
      <c r="N639" s="1009"/>
      <c r="O639" s="1009"/>
      <c r="P639" s="1009"/>
      <c r="Q639" s="1009"/>
      <c r="R639" s="1009"/>
      <c r="S639" s="1009"/>
      <c r="T639" s="1009"/>
      <c r="U639" s="1009"/>
      <c r="V639" s="1009"/>
      <c r="W639" s="1009"/>
      <c r="X639" s="1009"/>
      <c r="Y639" s="1009"/>
      <c r="Z639" s="1009"/>
      <c r="AA639" s="1009"/>
      <c r="AB639" s="1009"/>
      <c r="AC639" s="1009"/>
      <c r="AD639" s="1009"/>
      <c r="AE639" s="1009"/>
      <c r="AF639" s="1009"/>
      <c r="AH639" s="1009"/>
      <c r="AI639" s="1009"/>
      <c r="AJ639" s="1009"/>
      <c r="AK639" s="1009"/>
      <c r="AL639" s="1009"/>
      <c r="AM639" s="1009"/>
      <c r="AN639" s="1815"/>
      <c r="AO639" s="1898"/>
    </row>
    <row r="640" spans="1:41" ht="12" customHeight="1">
      <c r="A640" s="1009"/>
      <c r="B640" s="1009"/>
      <c r="C640" s="1009"/>
      <c r="D640" s="1009"/>
      <c r="E640" s="1009"/>
      <c r="F640" s="1009"/>
      <c r="G640" s="1009"/>
      <c r="H640" s="1009"/>
      <c r="I640" s="1009"/>
      <c r="J640" s="1009"/>
      <c r="K640" s="1009"/>
      <c r="L640" s="1009"/>
      <c r="M640" s="1009"/>
      <c r="N640" s="1009"/>
      <c r="O640" s="1009"/>
      <c r="P640" s="1009"/>
      <c r="Q640" s="1009"/>
      <c r="R640" s="1009"/>
      <c r="S640" s="1009"/>
      <c r="T640" s="1009"/>
      <c r="U640" s="1009"/>
      <c r="V640" s="1009"/>
      <c r="W640" s="1009"/>
      <c r="X640" s="1009"/>
      <c r="Y640" s="1009"/>
      <c r="Z640" s="1009"/>
      <c r="AA640" s="1009"/>
      <c r="AB640" s="1009"/>
      <c r="AC640" s="1009"/>
      <c r="AD640" s="1009"/>
      <c r="AE640" s="1009"/>
      <c r="AF640" s="1009"/>
      <c r="AH640" s="1009"/>
      <c r="AI640" s="1009"/>
      <c r="AJ640" s="1009"/>
      <c r="AK640" s="1009"/>
      <c r="AL640" s="1009"/>
      <c r="AM640" s="1009"/>
      <c r="AN640" s="1815"/>
      <c r="AO640" s="1898"/>
    </row>
    <row r="641" spans="1:41" ht="12" customHeight="1">
      <c r="A641" s="1004"/>
      <c r="B641" s="1009"/>
      <c r="C641" s="1009"/>
      <c r="D641" s="1009"/>
      <c r="E641" s="1009"/>
      <c r="F641" s="1009"/>
      <c r="G641" s="1009"/>
      <c r="H641" s="1009"/>
      <c r="I641" s="1009"/>
      <c r="J641" s="1009"/>
      <c r="K641" s="1009"/>
      <c r="L641" s="1009"/>
      <c r="M641" s="1009"/>
      <c r="N641" s="1009"/>
      <c r="O641" s="1009"/>
      <c r="P641" s="1009"/>
      <c r="Q641" s="1009"/>
      <c r="R641" s="1009"/>
      <c r="S641" s="1009"/>
      <c r="T641" s="1009"/>
      <c r="U641" s="1009"/>
      <c r="V641" s="1009"/>
      <c r="W641" s="1009"/>
      <c r="X641" s="1009"/>
      <c r="Y641" s="1009"/>
      <c r="Z641" s="1009"/>
      <c r="AA641" s="1009"/>
      <c r="AB641" s="1009"/>
      <c r="AC641" s="1009"/>
      <c r="AD641" s="1009"/>
      <c r="AE641" s="1009"/>
      <c r="AF641" s="1009"/>
      <c r="AH641" s="1009"/>
      <c r="AI641" s="1009"/>
      <c r="AJ641" s="1009"/>
      <c r="AK641" s="1009"/>
      <c r="AL641" s="1009"/>
      <c r="AM641" s="1009"/>
      <c r="AN641" s="1815"/>
      <c r="AO641" s="1828"/>
    </row>
    <row r="642" spans="1:41" ht="12" customHeight="1">
      <c r="A642" s="1004"/>
      <c r="AJ642" s="1004"/>
      <c r="AK642" s="1004"/>
      <c r="AL642" s="1004"/>
      <c r="AN642" s="1821"/>
      <c r="AO642" s="1832"/>
    </row>
    <row r="643" spans="1:41" ht="12" customHeight="1">
      <c r="A643" s="1004"/>
      <c r="AJ643" s="1004"/>
      <c r="AK643" s="1004"/>
      <c r="AL643" s="1004"/>
      <c r="AN643" s="1815"/>
      <c r="AO643" s="1832"/>
    </row>
    <row r="644" spans="1:41" ht="12" customHeight="1">
      <c r="A644" s="1004"/>
      <c r="AJ644" s="1004"/>
      <c r="AK644" s="1004"/>
      <c r="AL644" s="1004"/>
      <c r="AN644" s="1815"/>
      <c r="AO644" s="1832"/>
    </row>
    <row r="645" spans="1:41" ht="12" customHeight="1">
      <c r="A645" s="1004"/>
      <c r="AJ645" s="1004"/>
      <c r="AK645" s="1004"/>
      <c r="AL645" s="1004"/>
      <c r="AN645" s="1815"/>
      <c r="AO645" s="1832"/>
    </row>
    <row r="646" spans="1:41" ht="12" customHeight="1">
      <c r="A646" s="1004"/>
      <c r="AJ646" s="1004"/>
      <c r="AK646" s="1004"/>
      <c r="AL646" s="1004"/>
      <c r="AN646" s="1815"/>
      <c r="AO646" s="1816"/>
    </row>
    <row r="647" spans="1:41" ht="12" customHeight="1">
      <c r="A647" s="1004"/>
      <c r="AJ647" s="1004"/>
      <c r="AK647" s="1004"/>
      <c r="AL647" s="1004"/>
      <c r="AN647" s="1816"/>
      <c r="AO647" s="1898"/>
    </row>
    <row r="648" spans="1:41" ht="12" customHeight="1">
      <c r="A648" s="1004"/>
      <c r="AJ648" s="1004"/>
      <c r="AK648" s="1004"/>
      <c r="AL648" s="1004"/>
      <c r="AN648" s="1815"/>
      <c r="AO648" s="1898"/>
    </row>
    <row r="649" spans="1:41" ht="12" customHeight="1">
      <c r="A649" s="1004"/>
      <c r="AJ649" s="1004"/>
      <c r="AK649" s="1004"/>
      <c r="AL649" s="1004"/>
      <c r="AN649" s="1815"/>
      <c r="AO649" s="1898"/>
    </row>
    <row r="650" spans="1:41" ht="12" customHeight="1">
      <c r="A650" s="1004"/>
      <c r="AJ650" s="1004"/>
      <c r="AK650" s="1004"/>
      <c r="AL650" s="1004"/>
      <c r="AN650" s="1815"/>
      <c r="AO650" s="1898"/>
    </row>
    <row r="651" spans="1:41" ht="12" customHeight="1">
      <c r="A651" s="1004"/>
      <c r="AJ651" s="1004"/>
      <c r="AK651" s="1004"/>
      <c r="AL651" s="1004"/>
      <c r="AN651" s="1815"/>
      <c r="AO651" s="1816"/>
    </row>
    <row r="652" spans="1:41" ht="12" customHeight="1">
      <c r="A652" s="1004"/>
      <c r="AJ652" s="1004"/>
      <c r="AK652" s="1004"/>
      <c r="AL652" s="1004"/>
      <c r="AN652" s="1816"/>
      <c r="AO652" s="1898"/>
    </row>
    <row r="653" spans="1:41" ht="12" customHeight="1">
      <c r="A653" s="1004"/>
      <c r="AJ653" s="1004"/>
      <c r="AK653" s="1004"/>
      <c r="AL653" s="1004"/>
      <c r="AN653" s="1815"/>
      <c r="AO653" s="1898"/>
    </row>
    <row r="654" spans="1:41" ht="12" customHeight="1">
      <c r="A654" s="1004"/>
      <c r="AJ654" s="1004"/>
      <c r="AK654" s="1004"/>
      <c r="AL654" s="1004"/>
      <c r="AN654" s="1815"/>
      <c r="AO654" s="1898"/>
    </row>
    <row r="655" spans="1:41" ht="12" customHeight="1">
      <c r="A655" s="1004"/>
      <c r="AJ655" s="1004"/>
      <c r="AK655" s="1004"/>
      <c r="AL655" s="1004"/>
      <c r="AN655" s="1815"/>
      <c r="AO655" s="1898"/>
    </row>
    <row r="656" spans="1:41" ht="12" customHeight="1">
      <c r="A656" s="1004"/>
      <c r="AJ656" s="1004"/>
      <c r="AK656" s="1004"/>
      <c r="AL656" s="1004"/>
      <c r="AN656" s="1815"/>
      <c r="AO656" s="1816"/>
    </row>
    <row r="657" spans="1:41" ht="12" customHeight="1">
      <c r="A657" s="1004"/>
      <c r="AJ657" s="1004"/>
      <c r="AK657" s="1004"/>
      <c r="AL657" s="1004"/>
      <c r="AN657" s="1816"/>
      <c r="AO657" s="1898"/>
    </row>
    <row r="658" spans="1:41" ht="12" customHeight="1">
      <c r="A658" s="1004"/>
      <c r="AJ658" s="1004"/>
      <c r="AK658" s="1004"/>
      <c r="AL658" s="1004"/>
      <c r="AN658" s="1815"/>
      <c r="AO658" s="1898"/>
    </row>
    <row r="659" spans="1:41" ht="12" customHeight="1">
      <c r="A659" s="1004"/>
      <c r="AJ659" s="1004"/>
      <c r="AK659" s="1004"/>
      <c r="AL659" s="1004"/>
      <c r="AN659" s="1815"/>
      <c r="AO659" s="1898"/>
    </row>
    <row r="660" spans="1:41" ht="12" customHeight="1">
      <c r="A660" s="1004"/>
      <c r="AJ660" s="1004"/>
      <c r="AK660" s="1004"/>
      <c r="AL660" s="1004"/>
      <c r="AN660" s="1815"/>
      <c r="AO660" s="1898"/>
    </row>
    <row r="661" spans="1:41" ht="12" customHeight="1">
      <c r="A661" s="1004"/>
      <c r="AJ661" s="1004"/>
      <c r="AK661" s="1004"/>
      <c r="AL661" s="1004"/>
      <c r="AN661" s="1815"/>
      <c r="AO661" s="1898"/>
    </row>
    <row r="662" spans="1:41" ht="12" customHeight="1">
      <c r="A662" s="1004"/>
      <c r="AJ662" s="1004"/>
      <c r="AK662" s="1004"/>
      <c r="AL662" s="1004"/>
      <c r="AN662" s="1815"/>
      <c r="AO662" s="1898"/>
    </row>
    <row r="663" spans="1:41" ht="12" customHeight="1">
      <c r="A663" s="1004"/>
      <c r="AJ663" s="1004"/>
      <c r="AK663" s="1004"/>
      <c r="AL663" s="1004"/>
      <c r="AN663" s="1815"/>
      <c r="AO663" s="1898"/>
    </row>
    <row r="664" spans="1:41" ht="12" customHeight="1">
      <c r="A664" s="1004"/>
      <c r="AJ664" s="1004"/>
      <c r="AK664" s="1004"/>
      <c r="AL664" s="1004"/>
      <c r="AN664" s="1815"/>
      <c r="AO664" s="1898"/>
    </row>
    <row r="665" spans="1:41" ht="12" customHeight="1">
      <c r="A665" s="1004"/>
      <c r="AJ665" s="1004"/>
      <c r="AK665" s="1004"/>
      <c r="AL665" s="1004"/>
      <c r="AN665" s="1815"/>
      <c r="AO665" s="1898"/>
    </row>
    <row r="666" spans="1:41" ht="12" customHeight="1">
      <c r="A666" s="1004"/>
      <c r="AJ666" s="1004"/>
      <c r="AK666" s="1004"/>
      <c r="AL666" s="1004"/>
      <c r="AN666" s="1815"/>
      <c r="AO666" s="1898"/>
    </row>
    <row r="667" spans="1:41" ht="12" customHeight="1">
      <c r="A667" s="1004"/>
      <c r="AJ667" s="1004"/>
      <c r="AK667" s="1004"/>
      <c r="AL667" s="1004"/>
      <c r="AN667" s="1815"/>
      <c r="AO667" s="1898"/>
    </row>
    <row r="668" spans="1:41" ht="12" customHeight="1">
      <c r="A668" s="1004"/>
      <c r="AJ668" s="1004"/>
      <c r="AK668" s="1004"/>
      <c r="AL668" s="1004"/>
      <c r="AN668" s="1815"/>
      <c r="AO668" s="1833"/>
    </row>
    <row r="669" spans="1:41" ht="12" customHeight="1">
      <c r="A669" s="1004"/>
      <c r="AJ669" s="1004"/>
      <c r="AK669" s="1004"/>
      <c r="AL669" s="1004"/>
      <c r="AN669" s="1815"/>
      <c r="AO669" s="1833"/>
    </row>
    <row r="670" spans="1:41" ht="12" customHeight="1">
      <c r="A670" s="1004"/>
      <c r="AJ670" s="1004"/>
      <c r="AK670" s="1004"/>
      <c r="AL670" s="1004"/>
      <c r="AN670" s="1815"/>
      <c r="AO670" s="1822"/>
    </row>
    <row r="671" spans="1:41" ht="12" customHeight="1">
      <c r="A671" s="1004"/>
      <c r="AJ671" s="1004"/>
      <c r="AK671" s="1004"/>
      <c r="AL671" s="1004"/>
      <c r="AN671" s="1815"/>
      <c r="AO671" s="1822"/>
    </row>
    <row r="672" spans="1:41" ht="12" customHeight="1">
      <c r="A672" s="1004"/>
      <c r="AJ672" s="1004"/>
      <c r="AK672" s="1004"/>
      <c r="AL672" s="1004"/>
      <c r="AN672" s="1815"/>
      <c r="AO672" s="1822"/>
    </row>
    <row r="673" spans="1:41">
      <c r="A673" s="1004"/>
      <c r="AJ673" s="1004"/>
      <c r="AK673" s="1004"/>
      <c r="AL673" s="1004"/>
      <c r="AN673" s="1815"/>
      <c r="AO673" s="1822"/>
    </row>
    <row r="674" spans="1:41" s="1831" customFormat="1">
      <c r="A674" s="1004"/>
      <c r="B674" s="1004"/>
      <c r="C674" s="1004"/>
      <c r="D674" s="1004"/>
      <c r="E674" s="1004"/>
      <c r="F674" s="1004"/>
      <c r="G674" s="1004"/>
      <c r="H674" s="1004"/>
      <c r="I674" s="1004"/>
      <c r="J674" s="1004"/>
      <c r="K674" s="1004"/>
      <c r="L674" s="1004"/>
      <c r="M674" s="1004"/>
      <c r="N674" s="1004"/>
      <c r="O674" s="1004"/>
      <c r="P674" s="1004"/>
      <c r="Q674" s="1004"/>
      <c r="R674" s="1004"/>
      <c r="S674" s="1004"/>
      <c r="T674" s="1004"/>
      <c r="U674" s="1004"/>
      <c r="V674" s="1004"/>
      <c r="W674" s="1004"/>
      <c r="X674" s="1004"/>
      <c r="Y674" s="1004"/>
      <c r="Z674" s="1004"/>
      <c r="AA674" s="1004"/>
      <c r="AB674" s="1004"/>
      <c r="AC674" s="1004"/>
      <c r="AD674" s="1004"/>
      <c r="AE674" s="1004"/>
      <c r="AF674" s="1004"/>
      <c r="AG674" s="1009"/>
      <c r="AH674" s="1004"/>
      <c r="AI674" s="1004"/>
      <c r="AJ674" s="1004"/>
      <c r="AK674" s="1004"/>
      <c r="AL674" s="1004"/>
      <c r="AM674" s="1004"/>
      <c r="AN674" s="1821"/>
      <c r="AO674" s="1822"/>
    </row>
    <row r="675" spans="1:41" s="1831" customFormat="1">
      <c r="A675" s="1004"/>
      <c r="B675" s="1004"/>
      <c r="C675" s="1004"/>
      <c r="D675" s="1004"/>
      <c r="E675" s="1004"/>
      <c r="F675" s="1004"/>
      <c r="G675" s="1004"/>
      <c r="H675" s="1004"/>
      <c r="I675" s="1004"/>
      <c r="J675" s="1004"/>
      <c r="K675" s="1004"/>
      <c r="L675" s="1004"/>
      <c r="M675" s="1004"/>
      <c r="N675" s="1004"/>
      <c r="O675" s="1004"/>
      <c r="P675" s="1004"/>
      <c r="Q675" s="1004"/>
      <c r="R675" s="1004"/>
      <c r="S675" s="1004"/>
      <c r="T675" s="1004"/>
      <c r="U675" s="1004"/>
      <c r="V675" s="1004"/>
      <c r="W675" s="1004"/>
      <c r="X675" s="1004"/>
      <c r="Y675" s="1004"/>
      <c r="Z675" s="1004"/>
      <c r="AA675" s="1004"/>
      <c r="AB675" s="1004"/>
      <c r="AC675" s="1004"/>
      <c r="AD675" s="1004"/>
      <c r="AE675" s="1004"/>
      <c r="AF675" s="1004"/>
      <c r="AG675" s="1009"/>
      <c r="AH675" s="1004"/>
      <c r="AI675" s="1004"/>
      <c r="AJ675" s="1004"/>
      <c r="AK675" s="1004"/>
      <c r="AL675" s="1004"/>
      <c r="AM675" s="1004"/>
      <c r="AN675" s="1815"/>
      <c r="AO675" s="1822"/>
    </row>
    <row r="676" spans="1:41" s="1831" customFormat="1">
      <c r="A676" s="1004"/>
      <c r="B676" s="1004"/>
      <c r="C676" s="1004"/>
      <c r="D676" s="1004"/>
      <c r="E676" s="1004"/>
      <c r="F676" s="1004"/>
      <c r="G676" s="1004"/>
      <c r="H676" s="1004"/>
      <c r="I676" s="1004"/>
      <c r="J676" s="1004"/>
      <c r="K676" s="1004"/>
      <c r="L676" s="1004"/>
      <c r="M676" s="1004"/>
      <c r="N676" s="1004"/>
      <c r="O676" s="1004"/>
      <c r="P676" s="1004"/>
      <c r="Q676" s="1004"/>
      <c r="R676" s="1004"/>
      <c r="S676" s="1004"/>
      <c r="T676" s="1004"/>
      <c r="U676" s="1004"/>
      <c r="V676" s="1004"/>
      <c r="W676" s="1004"/>
      <c r="X676" s="1004"/>
      <c r="Y676" s="1004"/>
      <c r="Z676" s="1004"/>
      <c r="AA676" s="1004"/>
      <c r="AB676" s="1004"/>
      <c r="AC676" s="1004"/>
      <c r="AD676" s="1004"/>
      <c r="AE676" s="1004"/>
      <c r="AF676" s="1004"/>
      <c r="AG676" s="1009"/>
      <c r="AH676" s="1004"/>
      <c r="AI676" s="1004"/>
      <c r="AJ676" s="1004"/>
      <c r="AK676" s="1004"/>
      <c r="AL676" s="1004"/>
      <c r="AM676" s="1004"/>
      <c r="AN676" s="1815"/>
      <c r="AO676" s="1824"/>
    </row>
    <row r="677" spans="1:41" s="1831" customFormat="1">
      <c r="A677" s="1004"/>
      <c r="B677" s="1004"/>
      <c r="C677" s="1004"/>
      <c r="D677" s="1004"/>
      <c r="E677" s="1004"/>
      <c r="F677" s="1004"/>
      <c r="G677" s="1004"/>
      <c r="H677" s="1004"/>
      <c r="I677" s="1004"/>
      <c r="J677" s="1004"/>
      <c r="K677" s="1004"/>
      <c r="L677" s="1004"/>
      <c r="M677" s="1004"/>
      <c r="N677" s="1004"/>
      <c r="O677" s="1004"/>
      <c r="P677" s="1004"/>
      <c r="Q677" s="1004"/>
      <c r="R677" s="1004"/>
      <c r="S677" s="1004"/>
      <c r="T677" s="1004"/>
      <c r="U677" s="1004"/>
      <c r="V677" s="1004"/>
      <c r="W677" s="1004"/>
      <c r="X677" s="1004"/>
      <c r="Y677" s="1004"/>
      <c r="Z677" s="1004"/>
      <c r="AA677" s="1004"/>
      <c r="AB677" s="1004"/>
      <c r="AC677" s="1004"/>
      <c r="AD677" s="1004"/>
      <c r="AE677" s="1004"/>
      <c r="AF677" s="1004"/>
      <c r="AG677" s="1009"/>
      <c r="AH677" s="1004"/>
      <c r="AI677" s="1004"/>
      <c r="AJ677" s="1004"/>
      <c r="AK677" s="1004"/>
      <c r="AL677" s="1004"/>
      <c r="AM677" s="1004"/>
      <c r="AN677" s="1815"/>
      <c r="AO677" s="1824"/>
    </row>
    <row r="678" spans="1:41" s="1831" customFormat="1">
      <c r="A678" s="1004"/>
      <c r="B678" s="1004"/>
      <c r="C678" s="1004"/>
      <c r="D678" s="1004"/>
      <c r="E678" s="1004"/>
      <c r="F678" s="1004"/>
      <c r="G678" s="1004"/>
      <c r="H678" s="1004"/>
      <c r="I678" s="1004"/>
      <c r="J678" s="1004"/>
      <c r="K678" s="1004"/>
      <c r="L678" s="1004"/>
      <c r="M678" s="1004"/>
      <c r="N678" s="1004"/>
      <c r="O678" s="1004"/>
      <c r="P678" s="1004"/>
      <c r="Q678" s="1004"/>
      <c r="R678" s="1004"/>
      <c r="S678" s="1004"/>
      <c r="T678" s="1004"/>
      <c r="U678" s="1004"/>
      <c r="V678" s="1004"/>
      <c r="W678" s="1004"/>
      <c r="X678" s="1004"/>
      <c r="Y678" s="1004"/>
      <c r="Z678" s="1004"/>
      <c r="AA678" s="1004"/>
      <c r="AB678" s="1004"/>
      <c r="AC678" s="1004"/>
      <c r="AD678" s="1004"/>
      <c r="AE678" s="1004"/>
      <c r="AF678" s="1004"/>
      <c r="AG678" s="1009"/>
      <c r="AH678" s="1004"/>
      <c r="AI678" s="1004"/>
      <c r="AJ678" s="1004"/>
      <c r="AK678" s="1004"/>
      <c r="AL678" s="1004"/>
      <c r="AM678" s="1004"/>
      <c r="AN678" s="1815"/>
      <c r="AO678" s="1824"/>
    </row>
    <row r="679" spans="1:41" s="1831" customFormat="1">
      <c r="A679" s="1004"/>
      <c r="B679" s="1004"/>
      <c r="C679" s="1004"/>
      <c r="D679" s="1004"/>
      <c r="E679" s="1004"/>
      <c r="F679" s="1004"/>
      <c r="G679" s="1004"/>
      <c r="H679" s="1004"/>
      <c r="I679" s="1004"/>
      <c r="J679" s="1004"/>
      <c r="K679" s="1004"/>
      <c r="L679" s="1004"/>
      <c r="M679" s="1004"/>
      <c r="N679" s="1004"/>
      <c r="O679" s="1004"/>
      <c r="P679" s="1004"/>
      <c r="Q679" s="1004"/>
      <c r="R679" s="1004"/>
      <c r="S679" s="1004"/>
      <c r="T679" s="1004"/>
      <c r="U679" s="1004"/>
      <c r="V679" s="1004"/>
      <c r="W679" s="1004"/>
      <c r="X679" s="1004"/>
      <c r="Y679" s="1004"/>
      <c r="Z679" s="1004"/>
      <c r="AA679" s="1004"/>
      <c r="AB679" s="1004"/>
      <c r="AC679" s="1004"/>
      <c r="AD679" s="1004"/>
      <c r="AE679" s="1004"/>
      <c r="AF679" s="1004"/>
      <c r="AG679" s="1009"/>
      <c r="AH679" s="1004"/>
      <c r="AI679" s="1004"/>
      <c r="AJ679" s="1004"/>
      <c r="AK679" s="1004"/>
      <c r="AL679" s="1004"/>
      <c r="AM679" s="1004"/>
      <c r="AN679" s="1816"/>
      <c r="AO679" s="1825"/>
    </row>
    <row r="680" spans="1:41" s="1831" customFormat="1">
      <c r="A680" s="1004"/>
      <c r="B680" s="1004"/>
      <c r="C680" s="1004"/>
      <c r="D680" s="1004"/>
      <c r="E680" s="1004"/>
      <c r="F680" s="1004"/>
      <c r="G680" s="1004"/>
      <c r="H680" s="1004"/>
      <c r="I680" s="1004"/>
      <c r="J680" s="1004"/>
      <c r="K680" s="1004"/>
      <c r="L680" s="1004"/>
      <c r="M680" s="1004"/>
      <c r="N680" s="1004"/>
      <c r="O680" s="1004"/>
      <c r="P680" s="1004"/>
      <c r="Q680" s="1004"/>
      <c r="R680" s="1004"/>
      <c r="S680" s="1004"/>
      <c r="T680" s="1004"/>
      <c r="U680" s="1004"/>
      <c r="V680" s="1004"/>
      <c r="W680" s="1004"/>
      <c r="X680" s="1004"/>
      <c r="Y680" s="1004"/>
      <c r="Z680" s="1004"/>
      <c r="AA680" s="1004"/>
      <c r="AB680" s="1004"/>
      <c r="AC680" s="1004"/>
      <c r="AD680" s="1004"/>
      <c r="AE680" s="1004"/>
      <c r="AF680" s="1004"/>
      <c r="AG680" s="1009"/>
      <c r="AH680" s="1004"/>
      <c r="AI680" s="1004"/>
      <c r="AJ680" s="1004"/>
      <c r="AK680" s="1004"/>
      <c r="AL680" s="1004"/>
      <c r="AM680" s="1004"/>
      <c r="AN680" s="1815"/>
      <c r="AO680" s="1825"/>
    </row>
    <row r="681" spans="1:41" s="1831" customFormat="1">
      <c r="A681" s="1004"/>
      <c r="B681" s="1004"/>
      <c r="C681" s="1004"/>
      <c r="D681" s="1004"/>
      <c r="E681" s="1004"/>
      <c r="F681" s="1004"/>
      <c r="G681" s="1004"/>
      <c r="H681" s="1004"/>
      <c r="I681" s="1004"/>
      <c r="J681" s="1004"/>
      <c r="K681" s="1004"/>
      <c r="L681" s="1004"/>
      <c r="M681" s="1004"/>
      <c r="N681" s="1004"/>
      <c r="O681" s="1004"/>
      <c r="P681" s="1004"/>
      <c r="Q681" s="1004"/>
      <c r="R681" s="1004"/>
      <c r="S681" s="1004"/>
      <c r="T681" s="1004"/>
      <c r="U681" s="1004"/>
      <c r="V681" s="1004"/>
      <c r="W681" s="1004"/>
      <c r="X681" s="1004"/>
      <c r="Y681" s="1004"/>
      <c r="Z681" s="1004"/>
      <c r="AA681" s="1004"/>
      <c r="AB681" s="1004"/>
      <c r="AC681" s="1004"/>
      <c r="AD681" s="1004"/>
      <c r="AE681" s="1004"/>
      <c r="AF681" s="1004"/>
      <c r="AG681" s="1009"/>
      <c r="AH681" s="1004"/>
      <c r="AI681" s="1004"/>
      <c r="AJ681" s="1004"/>
      <c r="AK681" s="1004"/>
      <c r="AL681" s="1004"/>
      <c r="AM681" s="1004"/>
      <c r="AN681" s="1815"/>
      <c r="AO681" s="1825"/>
    </row>
    <row r="682" spans="1:41" s="1831" customFormat="1">
      <c r="A682" s="1004"/>
      <c r="B682" s="1004"/>
      <c r="C682" s="1004"/>
      <c r="D682" s="1004"/>
      <c r="E682" s="1004"/>
      <c r="F682" s="1004"/>
      <c r="G682" s="1004"/>
      <c r="H682" s="1004"/>
      <c r="I682" s="1004"/>
      <c r="J682" s="1004"/>
      <c r="K682" s="1004"/>
      <c r="L682" s="1004"/>
      <c r="M682" s="1004"/>
      <c r="N682" s="1004"/>
      <c r="O682" s="1004"/>
      <c r="P682" s="1004"/>
      <c r="Q682" s="1004"/>
      <c r="R682" s="1004"/>
      <c r="S682" s="1004"/>
      <c r="T682" s="1004"/>
      <c r="U682" s="1004"/>
      <c r="V682" s="1004"/>
      <c r="W682" s="1004"/>
      <c r="X682" s="1004"/>
      <c r="Y682" s="1004"/>
      <c r="Z682" s="1004"/>
      <c r="AA682" s="1004"/>
      <c r="AB682" s="1004"/>
      <c r="AC682" s="1004"/>
      <c r="AD682" s="1004"/>
      <c r="AE682" s="1004"/>
      <c r="AF682" s="1004"/>
      <c r="AG682" s="1009"/>
      <c r="AH682" s="1004"/>
      <c r="AI682" s="1004"/>
      <c r="AJ682" s="1004"/>
      <c r="AK682" s="1004"/>
      <c r="AL682" s="1004"/>
      <c r="AM682" s="1004"/>
      <c r="AN682" s="1815"/>
      <c r="AO682" s="1826"/>
    </row>
    <row r="683" spans="1:41" s="1021" customFormat="1">
      <c r="A683" s="1004"/>
      <c r="B683" s="1004"/>
      <c r="C683" s="1004"/>
      <c r="D683" s="1004"/>
      <c r="E683" s="1004"/>
      <c r="F683" s="1004"/>
      <c r="G683" s="1004"/>
      <c r="H683" s="1004"/>
      <c r="I683" s="1004"/>
      <c r="J683" s="1004"/>
      <c r="K683" s="1004"/>
      <c r="L683" s="1004"/>
      <c r="M683" s="1004"/>
      <c r="N683" s="1004"/>
      <c r="O683" s="1004"/>
      <c r="P683" s="1004"/>
      <c r="Q683" s="1004"/>
      <c r="R683" s="1004"/>
      <c r="S683" s="1004"/>
      <c r="T683" s="1004"/>
      <c r="U683" s="1004"/>
      <c r="V683" s="1004"/>
      <c r="W683" s="1004"/>
      <c r="X683" s="1004"/>
      <c r="Y683" s="1004"/>
      <c r="Z683" s="1004"/>
      <c r="AA683" s="1004"/>
      <c r="AB683" s="1004"/>
      <c r="AC683" s="1004"/>
      <c r="AD683" s="1004"/>
      <c r="AE683" s="1004"/>
      <c r="AF683" s="1004"/>
      <c r="AG683" s="1009"/>
      <c r="AH683" s="1004"/>
      <c r="AI683" s="1004"/>
      <c r="AJ683" s="1004"/>
      <c r="AK683" s="1004"/>
      <c r="AL683" s="1004"/>
      <c r="AM683" s="1004"/>
      <c r="AN683" s="1815"/>
      <c r="AO683" s="1826"/>
    </row>
    <row r="684" spans="1:41" s="1021" customFormat="1">
      <c r="A684" s="1004"/>
      <c r="B684" s="1004"/>
      <c r="C684" s="1004"/>
      <c r="D684" s="1004"/>
      <c r="E684" s="1004"/>
      <c r="F684" s="1004"/>
      <c r="G684" s="1004"/>
      <c r="H684" s="1004"/>
      <c r="I684" s="1004"/>
      <c r="J684" s="1004"/>
      <c r="K684" s="1004"/>
      <c r="L684" s="1004"/>
      <c r="M684" s="1004"/>
      <c r="N684" s="1004"/>
      <c r="O684" s="1004"/>
      <c r="P684" s="1004"/>
      <c r="Q684" s="1004"/>
      <c r="R684" s="1004"/>
      <c r="S684" s="1004"/>
      <c r="T684" s="1004"/>
      <c r="U684" s="1004"/>
      <c r="V684" s="1004"/>
      <c r="W684" s="1004"/>
      <c r="X684" s="1004"/>
      <c r="Y684" s="1004"/>
      <c r="Z684" s="1004"/>
      <c r="AA684" s="1004"/>
      <c r="AB684" s="1004"/>
      <c r="AC684" s="1004"/>
      <c r="AD684" s="1004"/>
      <c r="AE684" s="1004"/>
      <c r="AF684" s="1004"/>
      <c r="AG684" s="1009"/>
      <c r="AH684" s="1004"/>
      <c r="AI684" s="1004"/>
      <c r="AJ684" s="1004"/>
      <c r="AK684" s="1004"/>
      <c r="AL684" s="1004"/>
      <c r="AM684" s="1004"/>
      <c r="AN684" s="1816"/>
      <c r="AO684" s="1826"/>
    </row>
    <row r="685" spans="1:41" s="1021" customFormat="1">
      <c r="A685" s="1004"/>
      <c r="B685" s="1004"/>
      <c r="C685" s="1004"/>
      <c r="D685" s="1004"/>
      <c r="E685" s="1004"/>
      <c r="F685" s="1004"/>
      <c r="G685" s="1004"/>
      <c r="H685" s="1004"/>
      <c r="I685" s="1004"/>
      <c r="J685" s="1004"/>
      <c r="K685" s="1004"/>
      <c r="L685" s="1004"/>
      <c r="M685" s="1004"/>
      <c r="N685" s="1004"/>
      <c r="O685" s="1004"/>
      <c r="P685" s="1004"/>
      <c r="Q685" s="1004"/>
      <c r="R685" s="1004"/>
      <c r="S685" s="1004"/>
      <c r="T685" s="1004"/>
      <c r="U685" s="1004"/>
      <c r="V685" s="1004"/>
      <c r="W685" s="1004"/>
      <c r="X685" s="1004"/>
      <c r="Y685" s="1004"/>
      <c r="Z685" s="1004"/>
      <c r="AA685" s="1004"/>
      <c r="AB685" s="1004"/>
      <c r="AC685" s="1004"/>
      <c r="AD685" s="1004"/>
      <c r="AE685" s="1004"/>
      <c r="AF685" s="1004"/>
      <c r="AG685" s="1009"/>
      <c r="AH685" s="1004"/>
      <c r="AI685" s="1004"/>
      <c r="AJ685" s="1004"/>
      <c r="AK685" s="1004"/>
      <c r="AL685" s="1004"/>
      <c r="AM685" s="1004"/>
      <c r="AN685" s="1815"/>
      <c r="AO685" s="1826"/>
    </row>
    <row r="686" spans="1:41" s="1021" customFormat="1">
      <c r="A686" s="1004"/>
      <c r="B686" s="1004"/>
      <c r="C686" s="1004"/>
      <c r="D686" s="1004"/>
      <c r="E686" s="1004"/>
      <c r="F686" s="1004"/>
      <c r="G686" s="1004"/>
      <c r="H686" s="1004"/>
      <c r="I686" s="1004"/>
      <c r="J686" s="1004"/>
      <c r="K686" s="1004"/>
      <c r="L686" s="1004"/>
      <c r="M686" s="1004"/>
      <c r="N686" s="1004"/>
      <c r="O686" s="1004"/>
      <c r="P686" s="1004"/>
      <c r="Q686" s="1004"/>
      <c r="R686" s="1004"/>
      <c r="S686" s="1004"/>
      <c r="T686" s="1004"/>
      <c r="U686" s="1004"/>
      <c r="V686" s="1004"/>
      <c r="W686" s="1004"/>
      <c r="X686" s="1004"/>
      <c r="Y686" s="1004"/>
      <c r="Z686" s="1004"/>
      <c r="AA686" s="1004"/>
      <c r="AB686" s="1004"/>
      <c r="AC686" s="1004"/>
      <c r="AD686" s="1004"/>
      <c r="AE686" s="1004"/>
      <c r="AF686" s="1004"/>
      <c r="AG686" s="1009"/>
      <c r="AH686" s="1004"/>
      <c r="AI686" s="1004"/>
      <c r="AJ686" s="1004"/>
      <c r="AK686" s="1004"/>
      <c r="AL686" s="1004"/>
      <c r="AM686" s="1004"/>
      <c r="AN686" s="1815"/>
      <c r="AO686" s="1829"/>
    </row>
    <row r="687" spans="1:41" s="1831" customFormat="1">
      <c r="A687" s="1004"/>
      <c r="B687" s="1004"/>
      <c r="C687" s="1004"/>
      <c r="D687" s="1004"/>
      <c r="E687" s="1004"/>
      <c r="F687" s="1004"/>
      <c r="G687" s="1004"/>
      <c r="H687" s="1004"/>
      <c r="I687" s="1004"/>
      <c r="J687" s="1004"/>
      <c r="K687" s="1004"/>
      <c r="L687" s="1004"/>
      <c r="M687" s="1004"/>
      <c r="N687" s="1004"/>
      <c r="O687" s="1004"/>
      <c r="P687" s="1004"/>
      <c r="Q687" s="1004"/>
      <c r="R687" s="1004"/>
      <c r="S687" s="1004"/>
      <c r="T687" s="1004"/>
      <c r="U687" s="1004"/>
      <c r="V687" s="1004"/>
      <c r="W687" s="1004"/>
      <c r="X687" s="1004"/>
      <c r="Y687" s="1004"/>
      <c r="Z687" s="1004"/>
      <c r="AA687" s="1004"/>
      <c r="AB687" s="1004"/>
      <c r="AC687" s="1004"/>
      <c r="AD687" s="1004"/>
      <c r="AE687" s="1004"/>
      <c r="AF687" s="1004"/>
      <c r="AG687" s="1009"/>
      <c r="AH687" s="1004"/>
      <c r="AI687" s="1004"/>
      <c r="AJ687" s="1004"/>
      <c r="AK687" s="1004"/>
      <c r="AL687" s="1004"/>
      <c r="AM687" s="1004"/>
      <c r="AN687" s="1815"/>
      <c r="AO687" s="1826"/>
    </row>
    <row r="688" spans="1:41" s="1831" customFormat="1">
      <c r="A688" s="1004"/>
      <c r="B688" s="1004"/>
      <c r="C688" s="1004"/>
      <c r="D688" s="1004"/>
      <c r="E688" s="1004"/>
      <c r="F688" s="1004"/>
      <c r="G688" s="1004"/>
      <c r="H688" s="1004"/>
      <c r="I688" s="1004"/>
      <c r="J688" s="1004"/>
      <c r="K688" s="1004"/>
      <c r="L688" s="1004"/>
      <c r="M688" s="1004"/>
      <c r="N688" s="1004"/>
      <c r="O688" s="1004"/>
      <c r="P688" s="1004"/>
      <c r="Q688" s="1004"/>
      <c r="R688" s="1004"/>
      <c r="S688" s="1004"/>
      <c r="T688" s="1004"/>
      <c r="U688" s="1004"/>
      <c r="V688" s="1004"/>
      <c r="W688" s="1004"/>
      <c r="X688" s="1004"/>
      <c r="Y688" s="1004"/>
      <c r="Z688" s="1004"/>
      <c r="AA688" s="1004"/>
      <c r="AB688" s="1004"/>
      <c r="AC688" s="1004"/>
      <c r="AD688" s="1004"/>
      <c r="AE688" s="1004"/>
      <c r="AF688" s="1004"/>
      <c r="AG688" s="1009"/>
      <c r="AH688" s="1004"/>
      <c r="AI688" s="1004"/>
      <c r="AJ688" s="1004"/>
      <c r="AK688" s="1004"/>
      <c r="AL688" s="1004"/>
      <c r="AM688" s="1004"/>
      <c r="AN688" s="1815"/>
      <c r="AO688" s="1826"/>
    </row>
    <row r="689" spans="1:43" s="1831" customFormat="1">
      <c r="A689" s="1004"/>
      <c r="B689" s="1004"/>
      <c r="C689" s="1004"/>
      <c r="D689" s="1004"/>
      <c r="E689" s="1004"/>
      <c r="F689" s="1004"/>
      <c r="G689" s="1004"/>
      <c r="H689" s="1004"/>
      <c r="I689" s="1004"/>
      <c r="J689" s="1004"/>
      <c r="K689" s="1004"/>
      <c r="L689" s="1004"/>
      <c r="M689" s="1004"/>
      <c r="N689" s="1004"/>
      <c r="O689" s="1004"/>
      <c r="P689" s="1004"/>
      <c r="Q689" s="1004"/>
      <c r="R689" s="1004"/>
      <c r="S689" s="1004"/>
      <c r="T689" s="1004"/>
      <c r="U689" s="1004"/>
      <c r="V689" s="1004"/>
      <c r="W689" s="1004"/>
      <c r="X689" s="1004"/>
      <c r="Y689" s="1004"/>
      <c r="Z689" s="1004"/>
      <c r="AA689" s="1004"/>
      <c r="AB689" s="1004"/>
      <c r="AC689" s="1004"/>
      <c r="AD689" s="1004"/>
      <c r="AE689" s="1004"/>
      <c r="AF689" s="1004"/>
      <c r="AG689" s="1009"/>
      <c r="AH689" s="1004"/>
      <c r="AI689" s="1004"/>
      <c r="AJ689" s="1004"/>
      <c r="AK689" s="1004"/>
      <c r="AL689" s="1004"/>
      <c r="AM689" s="1004"/>
      <c r="AN689" s="1816"/>
      <c r="AO689" s="1826"/>
    </row>
    <row r="690" spans="1:43" s="1831" customFormat="1">
      <c r="A690" s="1004"/>
      <c r="B690" s="1004"/>
      <c r="C690" s="1004"/>
      <c r="D690" s="1004"/>
      <c r="E690" s="1004"/>
      <c r="F690" s="1004"/>
      <c r="G690" s="1004"/>
      <c r="H690" s="1004"/>
      <c r="I690" s="1004"/>
      <c r="J690" s="1004"/>
      <c r="K690" s="1004"/>
      <c r="L690" s="1004"/>
      <c r="M690" s="1004"/>
      <c r="N690" s="1004"/>
      <c r="O690" s="1004"/>
      <c r="P690" s="1004"/>
      <c r="Q690" s="1004"/>
      <c r="R690" s="1004"/>
      <c r="S690" s="1004"/>
      <c r="T690" s="1004"/>
      <c r="U690" s="1004"/>
      <c r="V690" s="1004"/>
      <c r="W690" s="1004"/>
      <c r="X690" s="1004"/>
      <c r="Y690" s="1004"/>
      <c r="Z690" s="1004"/>
      <c r="AA690" s="1004"/>
      <c r="AB690" s="1004"/>
      <c r="AC690" s="1004"/>
      <c r="AD690" s="1004"/>
      <c r="AE690" s="1004"/>
      <c r="AF690" s="1004"/>
      <c r="AG690" s="1009"/>
      <c r="AH690" s="1004"/>
      <c r="AI690" s="1004"/>
      <c r="AJ690" s="1004"/>
      <c r="AK690" s="1004"/>
      <c r="AL690" s="1004"/>
      <c r="AM690" s="1004"/>
      <c r="AN690" s="1815"/>
      <c r="AO690" s="1824"/>
    </row>
    <row r="691" spans="1:43" s="1831" customFormat="1">
      <c r="A691" s="1004"/>
      <c r="B691" s="1004"/>
      <c r="C691" s="1004"/>
      <c r="D691" s="1004"/>
      <c r="E691" s="1004"/>
      <c r="F691" s="1004"/>
      <c r="G691" s="1004"/>
      <c r="H691" s="1004"/>
      <c r="I691" s="1004"/>
      <c r="J691" s="1004"/>
      <c r="K691" s="1004"/>
      <c r="L691" s="1004"/>
      <c r="M691" s="1004"/>
      <c r="N691" s="1004"/>
      <c r="O691" s="1004"/>
      <c r="P691" s="1004"/>
      <c r="Q691" s="1004"/>
      <c r="R691" s="1004"/>
      <c r="S691" s="1004"/>
      <c r="T691" s="1004"/>
      <c r="U691" s="1004"/>
      <c r="V691" s="1004"/>
      <c r="W691" s="1004"/>
      <c r="X691" s="1004"/>
      <c r="Y691" s="1004"/>
      <c r="Z691" s="1004"/>
      <c r="AA691" s="1004"/>
      <c r="AB691" s="1004"/>
      <c r="AC691" s="1004"/>
      <c r="AD691" s="1004"/>
      <c r="AE691" s="1004"/>
      <c r="AF691" s="1004"/>
      <c r="AG691" s="1009"/>
      <c r="AH691" s="1004"/>
      <c r="AI691" s="1004"/>
      <c r="AJ691" s="1004"/>
      <c r="AK691" s="1004"/>
      <c r="AL691" s="1004"/>
      <c r="AM691" s="1004"/>
      <c r="AN691" s="1815"/>
      <c r="AO691" s="1824"/>
    </row>
    <row r="692" spans="1:43" s="1831" customFormat="1">
      <c r="A692" s="1004"/>
      <c r="B692" s="1004"/>
      <c r="C692" s="1004"/>
      <c r="D692" s="1004"/>
      <c r="E692" s="1004"/>
      <c r="F692" s="1004"/>
      <c r="G692" s="1004"/>
      <c r="H692" s="1004"/>
      <c r="I692" s="1004"/>
      <c r="J692" s="1004"/>
      <c r="K692" s="1004"/>
      <c r="L692" s="1004"/>
      <c r="M692" s="1004"/>
      <c r="N692" s="1004"/>
      <c r="O692" s="1004"/>
      <c r="P692" s="1004"/>
      <c r="Q692" s="1004"/>
      <c r="R692" s="1004"/>
      <c r="S692" s="1004"/>
      <c r="T692" s="1004"/>
      <c r="U692" s="1004"/>
      <c r="V692" s="1004"/>
      <c r="W692" s="1004"/>
      <c r="X692" s="1004"/>
      <c r="Y692" s="1004"/>
      <c r="Z692" s="1004"/>
      <c r="AA692" s="1004"/>
      <c r="AB692" s="1004"/>
      <c r="AC692" s="1004"/>
      <c r="AD692" s="1004"/>
      <c r="AE692" s="1004"/>
      <c r="AF692" s="1004"/>
      <c r="AG692" s="1009"/>
      <c r="AH692" s="1004"/>
      <c r="AI692" s="1004"/>
      <c r="AJ692" s="1004"/>
      <c r="AK692" s="1004"/>
      <c r="AL692" s="1004"/>
      <c r="AM692" s="1004"/>
      <c r="AN692" s="1815"/>
      <c r="AO692" s="1824"/>
    </row>
    <row r="693" spans="1:43" s="1831" customFormat="1">
      <c r="A693" s="1004"/>
      <c r="B693" s="1004"/>
      <c r="C693" s="1004"/>
      <c r="D693" s="1004"/>
      <c r="E693" s="1004"/>
      <c r="F693" s="1004"/>
      <c r="G693" s="1004"/>
      <c r="H693" s="1004"/>
      <c r="I693" s="1004"/>
      <c r="J693" s="1004"/>
      <c r="K693" s="1004"/>
      <c r="L693" s="1004"/>
      <c r="M693" s="1004"/>
      <c r="N693" s="1004"/>
      <c r="O693" s="1004"/>
      <c r="P693" s="1004"/>
      <c r="Q693" s="1004"/>
      <c r="R693" s="1004"/>
      <c r="S693" s="1004"/>
      <c r="T693" s="1004"/>
      <c r="U693" s="1004"/>
      <c r="V693" s="1004"/>
      <c r="W693" s="1004"/>
      <c r="X693" s="1004"/>
      <c r="Y693" s="1004"/>
      <c r="Z693" s="1004"/>
      <c r="AA693" s="1004"/>
      <c r="AB693" s="1004"/>
      <c r="AC693" s="1004"/>
      <c r="AD693" s="1004"/>
      <c r="AE693" s="1004"/>
      <c r="AF693" s="1004"/>
      <c r="AG693" s="1009"/>
      <c r="AH693" s="1004"/>
      <c r="AI693" s="1004"/>
      <c r="AJ693" s="1004"/>
      <c r="AK693" s="1004"/>
      <c r="AL693" s="1004"/>
      <c r="AM693" s="1004"/>
      <c r="AN693" s="1815"/>
      <c r="AO693" s="1824"/>
    </row>
    <row r="694" spans="1:43">
      <c r="A694" s="1004"/>
      <c r="AJ694" s="1004"/>
      <c r="AK694" s="1004"/>
      <c r="AL694" s="1004"/>
      <c r="AN694" s="1815"/>
      <c r="AO694" s="1822"/>
    </row>
    <row r="695" spans="1:43">
      <c r="A695" s="1004"/>
      <c r="AJ695" s="1004"/>
      <c r="AK695" s="1004"/>
      <c r="AL695" s="1004"/>
      <c r="AN695" s="1815"/>
      <c r="AO695" s="1822"/>
    </row>
    <row r="696" spans="1:43">
      <c r="A696" s="1004"/>
      <c r="AJ696" s="1004"/>
      <c r="AK696" s="1004"/>
      <c r="AL696" s="1004"/>
      <c r="AN696" s="1815"/>
    </row>
    <row r="697" spans="1:43">
      <c r="A697" s="1004"/>
      <c r="AJ697" s="1004"/>
      <c r="AK697" s="1004"/>
      <c r="AL697" s="1004"/>
      <c r="AN697" s="1815"/>
    </row>
    <row r="698" spans="1:43">
      <c r="A698" s="1004"/>
      <c r="AJ698" s="1004"/>
      <c r="AK698" s="1004"/>
      <c r="AL698" s="1004"/>
      <c r="AN698" s="1815"/>
    </row>
    <row r="699" spans="1:43" s="1012" customFormat="1">
      <c r="A699" s="1004"/>
      <c r="B699" s="1004"/>
      <c r="C699" s="1004"/>
      <c r="D699" s="1004"/>
      <c r="E699" s="1004"/>
      <c r="F699" s="1004"/>
      <c r="G699" s="1004"/>
      <c r="H699" s="1004"/>
      <c r="I699" s="1004"/>
      <c r="J699" s="1004"/>
      <c r="K699" s="1004"/>
      <c r="L699" s="1004"/>
      <c r="M699" s="1004"/>
      <c r="N699" s="1004"/>
      <c r="O699" s="1004"/>
      <c r="P699" s="1004"/>
      <c r="Q699" s="1004"/>
      <c r="R699" s="1004"/>
      <c r="S699" s="1004"/>
      <c r="T699" s="1004"/>
      <c r="U699" s="1004"/>
      <c r="V699" s="1004"/>
      <c r="W699" s="1004"/>
      <c r="X699" s="1004"/>
      <c r="Y699" s="1004"/>
      <c r="Z699" s="1004"/>
      <c r="AA699" s="1004"/>
      <c r="AB699" s="1004"/>
      <c r="AC699" s="1004"/>
      <c r="AD699" s="1004"/>
      <c r="AE699" s="1004"/>
      <c r="AF699" s="1004"/>
      <c r="AG699" s="1009"/>
      <c r="AH699" s="1004"/>
      <c r="AI699" s="1004"/>
      <c r="AJ699" s="1004"/>
      <c r="AK699" s="1004"/>
      <c r="AL699" s="1004"/>
      <c r="AM699" s="1004"/>
      <c r="AN699" s="1815"/>
      <c r="AO699" s="1037"/>
      <c r="AP699" s="1095"/>
      <c r="AQ699" s="1095"/>
    </row>
    <row r="700" spans="1:43">
      <c r="A700" s="1004"/>
      <c r="AJ700" s="1004"/>
      <c r="AK700" s="1004"/>
      <c r="AL700" s="1004"/>
      <c r="AN700" s="1815"/>
    </row>
    <row r="701" spans="1:43">
      <c r="A701" s="1004"/>
      <c r="AJ701" s="1004"/>
      <c r="AK701" s="1004"/>
      <c r="AL701" s="1004"/>
    </row>
    <row r="702" spans="1:43" s="1012" customFormat="1">
      <c r="A702" s="1004"/>
      <c r="B702" s="1004"/>
      <c r="C702" s="1004"/>
      <c r="D702" s="1004"/>
      <c r="E702" s="1004"/>
      <c r="F702" s="1004"/>
      <c r="G702" s="1004"/>
      <c r="H702" s="1004"/>
      <c r="I702" s="1004"/>
      <c r="J702" s="1004"/>
      <c r="K702" s="1004"/>
      <c r="L702" s="1004"/>
      <c r="M702" s="1004"/>
      <c r="N702" s="1004"/>
      <c r="O702" s="1004"/>
      <c r="P702" s="1004"/>
      <c r="Q702" s="1004"/>
      <c r="R702" s="1004"/>
      <c r="S702" s="1004"/>
      <c r="T702" s="1004"/>
      <c r="U702" s="1004"/>
      <c r="V702" s="1004"/>
      <c r="W702" s="1004"/>
      <c r="X702" s="1004"/>
      <c r="Y702" s="1004"/>
      <c r="Z702" s="1004"/>
      <c r="AA702" s="1004"/>
      <c r="AB702" s="1004"/>
      <c r="AC702" s="1004"/>
      <c r="AD702" s="1004"/>
      <c r="AE702" s="1004"/>
      <c r="AF702" s="1004"/>
      <c r="AG702" s="1009"/>
      <c r="AH702" s="1004"/>
      <c r="AI702" s="1004"/>
      <c r="AJ702" s="1004"/>
      <c r="AK702" s="1004"/>
      <c r="AL702" s="1004"/>
      <c r="AM702" s="1004"/>
      <c r="AN702" s="1005"/>
      <c r="AO702" s="1037"/>
      <c r="AP702" s="1095"/>
      <c r="AQ702" s="1095"/>
    </row>
    <row r="703" spans="1:43">
      <c r="A703" s="1004"/>
      <c r="AJ703" s="1004"/>
      <c r="AK703" s="1004"/>
      <c r="AL703" s="1004"/>
      <c r="AN703" s="1834"/>
    </row>
    <row r="704" spans="1:43">
      <c r="A704" s="1004"/>
      <c r="AJ704" s="1004"/>
      <c r="AK704" s="1004"/>
      <c r="AL704" s="1004"/>
      <c r="AN704" s="1834"/>
    </row>
    <row r="705" spans="1:43">
      <c r="A705" s="1004"/>
      <c r="AJ705" s="1004"/>
      <c r="AK705" s="1004"/>
      <c r="AL705" s="1004"/>
      <c r="AN705" s="1834"/>
      <c r="AO705" s="1836"/>
    </row>
    <row r="706" spans="1:43">
      <c r="A706" s="1831"/>
      <c r="AJ706" s="1004"/>
      <c r="AK706" s="1004"/>
      <c r="AL706" s="1004"/>
      <c r="AO706" s="1836"/>
    </row>
    <row r="707" spans="1:43">
      <c r="A707" s="1831"/>
      <c r="B707" s="1831"/>
      <c r="C707" s="1831"/>
      <c r="D707" s="1831"/>
      <c r="E707" s="1831"/>
      <c r="F707" s="1831"/>
      <c r="G707" s="1831"/>
      <c r="H707" s="1831"/>
      <c r="I707" s="1831"/>
      <c r="J707" s="1831"/>
      <c r="K707" s="1831"/>
      <c r="L707" s="1831"/>
      <c r="M707" s="1831"/>
      <c r="N707" s="1831"/>
      <c r="O707" s="1831"/>
      <c r="P707" s="1831"/>
      <c r="Q707" s="1831"/>
      <c r="R707" s="1831"/>
      <c r="S707" s="1831"/>
      <c r="T707" s="1831"/>
      <c r="U707" s="1831"/>
      <c r="V707" s="1831"/>
      <c r="W707" s="1831"/>
      <c r="X707" s="1831"/>
      <c r="Y707" s="1831"/>
      <c r="Z707" s="1831"/>
      <c r="AA707" s="1831"/>
      <c r="AB707" s="1831"/>
      <c r="AC707" s="1831"/>
      <c r="AD707" s="1831"/>
      <c r="AE707" s="1831"/>
      <c r="AF707" s="1831"/>
      <c r="AG707" s="1021"/>
      <c r="AH707" s="1831"/>
      <c r="AI707" s="1831"/>
      <c r="AJ707" s="1831"/>
      <c r="AK707" s="1831"/>
      <c r="AL707" s="1831"/>
      <c r="AM707" s="1831"/>
      <c r="AN707" s="1022"/>
      <c r="AO707" s="1836"/>
    </row>
    <row r="708" spans="1:43" ht="12.75" customHeight="1">
      <c r="A708" s="1831"/>
      <c r="B708" s="1831"/>
      <c r="C708" s="1831"/>
      <c r="D708" s="1831"/>
      <c r="E708" s="1831"/>
      <c r="F708" s="1831"/>
      <c r="G708" s="1831"/>
      <c r="H708" s="1831"/>
      <c r="I708" s="1831"/>
      <c r="J708" s="1831"/>
      <c r="K708" s="1831"/>
      <c r="L708" s="1831"/>
      <c r="M708" s="1831"/>
      <c r="N708" s="1831"/>
      <c r="O708" s="1831"/>
      <c r="P708" s="1831"/>
      <c r="Q708" s="1831"/>
      <c r="R708" s="1831"/>
      <c r="S708" s="1831"/>
      <c r="T708" s="1831"/>
      <c r="U708" s="1831"/>
      <c r="V708" s="1831"/>
      <c r="W708" s="1831"/>
      <c r="X708" s="1831"/>
      <c r="Y708" s="1831"/>
      <c r="Z708" s="1831"/>
      <c r="AA708" s="1831"/>
      <c r="AB708" s="1831"/>
      <c r="AC708" s="1831"/>
      <c r="AD708" s="1831"/>
      <c r="AE708" s="1831"/>
      <c r="AF708" s="1831"/>
      <c r="AG708" s="1021"/>
      <c r="AH708" s="1831"/>
      <c r="AI708" s="1831"/>
      <c r="AJ708" s="1831"/>
      <c r="AK708" s="1831"/>
      <c r="AL708" s="1831"/>
      <c r="AM708" s="1831"/>
      <c r="AN708" s="1022"/>
      <c r="AO708" s="1836"/>
    </row>
    <row r="709" spans="1:43" ht="12.75" customHeight="1">
      <c r="A709" s="1831"/>
      <c r="B709" s="1831"/>
      <c r="C709" s="1831"/>
      <c r="D709" s="1831"/>
      <c r="E709" s="1831"/>
      <c r="F709" s="1831"/>
      <c r="G709" s="1831"/>
      <c r="H709" s="1831"/>
      <c r="I709" s="1831"/>
      <c r="J709" s="1831"/>
      <c r="K709" s="1831"/>
      <c r="L709" s="1831"/>
      <c r="M709" s="1831"/>
      <c r="N709" s="1831"/>
      <c r="O709" s="1831"/>
      <c r="P709" s="1831"/>
      <c r="Q709" s="1831"/>
      <c r="R709" s="1831"/>
      <c r="S709" s="1831"/>
      <c r="T709" s="1831"/>
      <c r="U709" s="1831"/>
      <c r="V709" s="1831"/>
      <c r="W709" s="1831"/>
      <c r="X709" s="1831"/>
      <c r="Y709" s="1831"/>
      <c r="Z709" s="1831"/>
      <c r="AA709" s="1831"/>
      <c r="AB709" s="1831"/>
      <c r="AC709" s="1831"/>
      <c r="AD709" s="1831"/>
      <c r="AE709" s="1831"/>
      <c r="AF709" s="1831"/>
      <c r="AG709" s="1021"/>
      <c r="AH709" s="1831"/>
      <c r="AI709" s="1831"/>
      <c r="AJ709" s="1831"/>
      <c r="AK709" s="1831"/>
      <c r="AL709" s="1831"/>
      <c r="AM709" s="1831"/>
      <c r="AN709" s="1022"/>
    </row>
    <row r="710" spans="1:43" ht="12.75" customHeight="1">
      <c r="A710" s="1831"/>
      <c r="B710" s="1831"/>
      <c r="C710" s="1831"/>
      <c r="D710" s="1831"/>
      <c r="E710" s="1831"/>
      <c r="F710" s="1831"/>
      <c r="G710" s="1831"/>
      <c r="H710" s="1831"/>
      <c r="I710" s="1831"/>
      <c r="J710" s="1831"/>
      <c r="K710" s="1831"/>
      <c r="L710" s="1831"/>
      <c r="M710" s="1831"/>
      <c r="N710" s="1831"/>
      <c r="O710" s="1831"/>
      <c r="P710" s="1831"/>
      <c r="Q710" s="1831"/>
      <c r="R710" s="1831"/>
      <c r="S710" s="1831"/>
      <c r="T710" s="1831"/>
      <c r="U710" s="1831"/>
      <c r="V710" s="1831"/>
      <c r="W710" s="1831"/>
      <c r="X710" s="1831"/>
      <c r="Y710" s="1831"/>
      <c r="Z710" s="1831"/>
      <c r="AA710" s="1831"/>
      <c r="AB710" s="1831"/>
      <c r="AC710" s="1831"/>
      <c r="AD710" s="1831"/>
      <c r="AE710" s="1831"/>
      <c r="AF710" s="1831"/>
      <c r="AG710" s="1021"/>
      <c r="AH710" s="1831"/>
      <c r="AI710" s="1831"/>
      <c r="AJ710" s="1831"/>
      <c r="AK710" s="1831"/>
      <c r="AL710" s="1831"/>
      <c r="AM710" s="1831"/>
      <c r="AN710" s="1022"/>
      <c r="AO710" s="1837"/>
    </row>
    <row r="711" spans="1:43" ht="12.75" customHeight="1">
      <c r="A711" s="1831"/>
      <c r="B711" s="1831"/>
      <c r="C711" s="1831"/>
      <c r="D711" s="1831"/>
      <c r="E711" s="1831"/>
      <c r="F711" s="1831"/>
      <c r="G711" s="1831"/>
      <c r="H711" s="1831"/>
      <c r="I711" s="1831"/>
      <c r="J711" s="1831"/>
      <c r="K711" s="1831"/>
      <c r="L711" s="1831"/>
      <c r="M711" s="1831"/>
      <c r="N711" s="1831"/>
      <c r="O711" s="1831"/>
      <c r="P711" s="1831"/>
      <c r="Q711" s="1831"/>
      <c r="R711" s="1831"/>
      <c r="S711" s="1831"/>
      <c r="T711" s="1831"/>
      <c r="U711" s="1831"/>
      <c r="V711" s="1831"/>
      <c r="W711" s="1831"/>
      <c r="X711" s="1831"/>
      <c r="Y711" s="1831"/>
      <c r="Z711" s="1831"/>
      <c r="AA711" s="1831"/>
      <c r="AB711" s="1831"/>
      <c r="AC711" s="1831"/>
      <c r="AD711" s="1831"/>
      <c r="AE711" s="1831"/>
      <c r="AF711" s="1831"/>
      <c r="AG711" s="1021"/>
      <c r="AH711" s="1831"/>
      <c r="AI711" s="1831"/>
      <c r="AJ711" s="1831"/>
      <c r="AK711" s="1831"/>
      <c r="AL711" s="1831"/>
      <c r="AM711" s="1831"/>
      <c r="AN711" s="1022"/>
      <c r="AO711" s="1837"/>
    </row>
    <row r="712" spans="1:43" ht="12.75" customHeight="1">
      <c r="A712" s="1831"/>
      <c r="B712" s="1831"/>
      <c r="C712" s="1831"/>
      <c r="D712" s="1831"/>
      <c r="E712" s="1831"/>
      <c r="F712" s="1831"/>
      <c r="G712" s="1831"/>
      <c r="H712" s="1831"/>
      <c r="I712" s="1831"/>
      <c r="J712" s="1831"/>
      <c r="K712" s="1831"/>
      <c r="L712" s="1831"/>
      <c r="M712" s="1831"/>
      <c r="N712" s="1831"/>
      <c r="O712" s="1831"/>
      <c r="P712" s="1831"/>
      <c r="Q712" s="1831"/>
      <c r="R712" s="1831"/>
      <c r="S712" s="1831"/>
      <c r="T712" s="1831"/>
      <c r="U712" s="1831"/>
      <c r="V712" s="1831"/>
      <c r="W712" s="1831"/>
      <c r="X712" s="1831"/>
      <c r="Y712" s="1831"/>
      <c r="Z712" s="1831"/>
      <c r="AA712" s="1831"/>
      <c r="AB712" s="1831"/>
      <c r="AC712" s="1831"/>
      <c r="AD712" s="1831"/>
      <c r="AE712" s="1831"/>
      <c r="AF712" s="1831"/>
      <c r="AG712" s="1021"/>
      <c r="AH712" s="1831"/>
      <c r="AI712" s="1831"/>
      <c r="AJ712" s="1831"/>
      <c r="AK712" s="1831"/>
      <c r="AL712" s="1831"/>
      <c r="AM712" s="1831"/>
      <c r="AN712" s="1022"/>
      <c r="AO712" s="1837"/>
    </row>
    <row r="713" spans="1:43" ht="12.75" customHeight="1">
      <c r="A713" s="1831"/>
      <c r="B713" s="1831"/>
      <c r="C713" s="1831"/>
      <c r="D713" s="1831"/>
      <c r="E713" s="1831"/>
      <c r="F713" s="1831"/>
      <c r="G713" s="1831"/>
      <c r="H713" s="1831"/>
      <c r="I713" s="1831"/>
      <c r="J713" s="1831"/>
      <c r="K713" s="1831"/>
      <c r="L713" s="1831"/>
      <c r="M713" s="1831"/>
      <c r="N713" s="1831"/>
      <c r="O713" s="1831"/>
      <c r="P713" s="1831"/>
      <c r="Q713" s="1831"/>
      <c r="R713" s="1831"/>
      <c r="S713" s="1831"/>
      <c r="T713" s="1831"/>
      <c r="U713" s="1831"/>
      <c r="V713" s="1831"/>
      <c r="W713" s="1831"/>
      <c r="X713" s="1831"/>
      <c r="Y713" s="1831"/>
      <c r="Z713" s="1831"/>
      <c r="AA713" s="1831"/>
      <c r="AB713" s="1831"/>
      <c r="AC713" s="1831"/>
      <c r="AD713" s="1831"/>
      <c r="AE713" s="1831"/>
      <c r="AF713" s="1831"/>
      <c r="AG713" s="1021"/>
      <c r="AH713" s="1831"/>
      <c r="AI713" s="1831"/>
      <c r="AJ713" s="1831"/>
      <c r="AK713" s="1831"/>
      <c r="AL713" s="1831"/>
      <c r="AM713" s="1831"/>
      <c r="AN713" s="1022"/>
      <c r="AO713" s="1837"/>
    </row>
    <row r="714" spans="1:43" ht="12.75" customHeight="1">
      <c r="A714" s="1831"/>
      <c r="B714" s="1831"/>
      <c r="C714" s="1831"/>
      <c r="D714" s="1831"/>
      <c r="E714" s="1831"/>
      <c r="F714" s="1831"/>
      <c r="G714" s="1831"/>
      <c r="H714" s="1831"/>
      <c r="I714" s="1831"/>
      <c r="J714" s="1831"/>
      <c r="K714" s="1831"/>
      <c r="L714" s="1831"/>
      <c r="M714" s="1831"/>
      <c r="N714" s="1831"/>
      <c r="O714" s="1831"/>
      <c r="P714" s="1831"/>
      <c r="Q714" s="1831"/>
      <c r="R714" s="1831"/>
      <c r="S714" s="1831"/>
      <c r="T714" s="1831"/>
      <c r="U714" s="1831"/>
      <c r="V714" s="1831"/>
      <c r="W714" s="1831"/>
      <c r="X714" s="1831"/>
      <c r="Y714" s="1831"/>
      <c r="Z714" s="1831"/>
      <c r="AA714" s="1831"/>
      <c r="AB714" s="1831"/>
      <c r="AC714" s="1831"/>
      <c r="AD714" s="1831"/>
      <c r="AE714" s="1831"/>
      <c r="AF714" s="1831"/>
      <c r="AG714" s="1021"/>
      <c r="AH714" s="1831"/>
      <c r="AI714" s="1831"/>
      <c r="AJ714" s="1831"/>
      <c r="AK714" s="1831"/>
      <c r="AL714" s="1831"/>
      <c r="AM714" s="1831"/>
      <c r="AN714" s="1022"/>
      <c r="AO714" s="1837"/>
    </row>
    <row r="715" spans="1:43" ht="12.75" customHeight="1">
      <c r="A715" s="1021"/>
      <c r="B715" s="1831"/>
      <c r="C715" s="1831"/>
      <c r="D715" s="1831"/>
      <c r="E715" s="1831"/>
      <c r="F715" s="1831"/>
      <c r="G715" s="1831"/>
      <c r="H715" s="1831"/>
      <c r="I715" s="1831"/>
      <c r="J715" s="1831"/>
      <c r="K715" s="1831"/>
      <c r="L715" s="1831"/>
      <c r="M715" s="1831"/>
      <c r="N715" s="1831"/>
      <c r="O715" s="1831"/>
      <c r="P715" s="1831"/>
      <c r="Q715" s="1831"/>
      <c r="R715" s="1831"/>
      <c r="S715" s="1831"/>
      <c r="T715" s="1831"/>
      <c r="U715" s="1831"/>
      <c r="V715" s="1831"/>
      <c r="W715" s="1831"/>
      <c r="X715" s="1831"/>
      <c r="Y715" s="1831"/>
      <c r="Z715" s="1831"/>
      <c r="AA715" s="1831"/>
      <c r="AB715" s="1831"/>
      <c r="AC715" s="1831"/>
      <c r="AD715" s="1831"/>
      <c r="AE715" s="1831"/>
      <c r="AF715" s="1831"/>
      <c r="AG715" s="1021"/>
      <c r="AH715" s="1831"/>
      <c r="AI715" s="1831"/>
      <c r="AJ715" s="1831"/>
      <c r="AK715" s="1831"/>
      <c r="AL715" s="1831"/>
      <c r="AM715" s="1831"/>
      <c r="AN715" s="1022"/>
    </row>
    <row r="716" spans="1:43" ht="12.9" customHeight="1">
      <c r="A716" s="1021"/>
      <c r="B716" s="1021"/>
      <c r="C716" s="1021"/>
      <c r="D716" s="1021"/>
      <c r="E716" s="1021"/>
      <c r="F716" s="1021"/>
      <c r="G716" s="1021"/>
      <c r="H716" s="1021"/>
      <c r="I716" s="1021"/>
      <c r="J716" s="1021"/>
      <c r="K716" s="1021"/>
      <c r="L716" s="1021"/>
      <c r="M716" s="1021"/>
      <c r="N716" s="1021"/>
      <c r="O716" s="1021"/>
      <c r="P716" s="1021"/>
      <c r="Q716" s="1021"/>
      <c r="R716" s="1021"/>
      <c r="S716" s="1021"/>
      <c r="T716" s="1021"/>
      <c r="U716" s="1021"/>
      <c r="V716" s="1021"/>
      <c r="W716" s="1021"/>
      <c r="X716" s="1021"/>
      <c r="Y716" s="1021"/>
      <c r="Z716" s="1021"/>
      <c r="AA716" s="1021"/>
      <c r="AB716" s="1021"/>
      <c r="AC716" s="1021"/>
      <c r="AD716" s="1021"/>
      <c r="AE716" s="1021"/>
      <c r="AF716" s="1021"/>
      <c r="AG716" s="1021"/>
      <c r="AH716" s="1021"/>
      <c r="AI716" s="1021"/>
      <c r="AJ716" s="1021"/>
      <c r="AK716" s="1021"/>
      <c r="AL716" s="1021"/>
      <c r="AM716" s="1021"/>
      <c r="AN716" s="1022"/>
    </row>
    <row r="717" spans="1:43" s="1005" customFormat="1" ht="12.9" customHeight="1">
      <c r="A717" s="1021"/>
      <c r="B717" s="1021"/>
      <c r="C717" s="1021"/>
      <c r="D717" s="1021"/>
      <c r="E717" s="1021"/>
      <c r="F717" s="1021"/>
      <c r="G717" s="1021"/>
      <c r="H717" s="1021"/>
      <c r="I717" s="1021"/>
      <c r="J717" s="1021"/>
      <c r="K717" s="1021"/>
      <c r="L717" s="1021"/>
      <c r="M717" s="1021"/>
      <c r="N717" s="1021"/>
      <c r="O717" s="1021"/>
      <c r="P717" s="1021"/>
      <c r="Q717" s="1021"/>
      <c r="R717" s="1021"/>
      <c r="S717" s="1021"/>
      <c r="T717" s="1021"/>
      <c r="U717" s="1021"/>
      <c r="V717" s="1021"/>
      <c r="W717" s="1021"/>
      <c r="X717" s="1021"/>
      <c r="Y717" s="1021"/>
      <c r="Z717" s="1021"/>
      <c r="AA717" s="1021"/>
      <c r="AB717" s="1021"/>
      <c r="AC717" s="1021"/>
      <c r="AD717" s="1021"/>
      <c r="AE717" s="1021"/>
      <c r="AF717" s="1021"/>
      <c r="AG717" s="1021"/>
      <c r="AH717" s="1021"/>
      <c r="AI717" s="1021"/>
      <c r="AJ717" s="1021"/>
      <c r="AK717" s="1021"/>
      <c r="AL717" s="1021"/>
      <c r="AM717" s="1021"/>
      <c r="AN717" s="1022"/>
      <c r="AO717" s="1022"/>
      <c r="AP717" s="1037"/>
      <c r="AQ717" s="1037"/>
    </row>
    <row r="718" spans="1:43" ht="12.9" customHeight="1">
      <c r="A718" s="1021"/>
      <c r="B718" s="1021"/>
      <c r="C718" s="1021"/>
      <c r="D718" s="1021"/>
      <c r="E718" s="1021"/>
      <c r="F718" s="1021"/>
      <c r="G718" s="1021"/>
      <c r="H718" s="1021"/>
      <c r="I718" s="1021"/>
      <c r="J718" s="1021"/>
      <c r="K718" s="1021"/>
      <c r="L718" s="1021"/>
      <c r="M718" s="1021"/>
      <c r="N718" s="1021"/>
      <c r="O718" s="1021"/>
      <c r="P718" s="1021"/>
      <c r="Q718" s="1021"/>
      <c r="R718" s="1021"/>
      <c r="S718" s="1021"/>
      <c r="T718" s="1021"/>
      <c r="U718" s="1021"/>
      <c r="V718" s="1021"/>
      <c r="W718" s="1021"/>
      <c r="X718" s="1021"/>
      <c r="Y718" s="1021"/>
      <c r="Z718" s="1021"/>
      <c r="AA718" s="1021"/>
      <c r="AB718" s="1021"/>
      <c r="AC718" s="1021"/>
      <c r="AD718" s="1021"/>
      <c r="AE718" s="1021"/>
      <c r="AF718" s="1021"/>
      <c r="AG718" s="1021"/>
      <c r="AH718" s="1021"/>
      <c r="AI718" s="1021"/>
      <c r="AJ718" s="1021"/>
      <c r="AK718" s="1021"/>
      <c r="AL718" s="1021"/>
      <c r="AM718" s="1021"/>
      <c r="AN718" s="1022"/>
      <c r="AO718" s="1018"/>
    </row>
    <row r="719" spans="1:43" ht="12.9" customHeight="1">
      <c r="A719" s="1831"/>
      <c r="B719" s="1021"/>
      <c r="C719" s="1021"/>
      <c r="D719" s="1021"/>
      <c r="E719" s="1021"/>
      <c r="F719" s="1021"/>
      <c r="G719" s="1021"/>
      <c r="H719" s="1021"/>
      <c r="I719" s="1021"/>
      <c r="J719" s="1021"/>
      <c r="K719" s="1021"/>
      <c r="L719" s="1021"/>
      <c r="M719" s="1021"/>
      <c r="N719" s="1021"/>
      <c r="O719" s="1021"/>
      <c r="P719" s="1021"/>
      <c r="Q719" s="1021"/>
      <c r="R719" s="1021"/>
      <c r="S719" s="1021"/>
      <c r="T719" s="1021"/>
      <c r="U719" s="1021"/>
      <c r="V719" s="1021"/>
      <c r="W719" s="1021"/>
      <c r="X719" s="1021"/>
      <c r="Y719" s="1021"/>
      <c r="Z719" s="1021"/>
      <c r="AA719" s="1021"/>
      <c r="AB719" s="1021"/>
      <c r="AC719" s="1021"/>
      <c r="AD719" s="1021"/>
      <c r="AE719" s="1021"/>
      <c r="AF719" s="1021"/>
      <c r="AG719" s="1021"/>
      <c r="AH719" s="1021"/>
      <c r="AI719" s="1021"/>
      <c r="AJ719" s="1021"/>
      <c r="AK719" s="1021"/>
      <c r="AL719" s="1021"/>
      <c r="AM719" s="1021"/>
      <c r="AN719" s="1835"/>
      <c r="AO719" s="1018"/>
    </row>
    <row r="720" spans="1:43" ht="12.9" customHeight="1">
      <c r="A720" s="1831"/>
      <c r="B720" s="1831"/>
      <c r="C720" s="1831"/>
      <c r="D720" s="1831"/>
      <c r="E720" s="1831"/>
      <c r="F720" s="1831"/>
      <c r="G720" s="1831"/>
      <c r="H720" s="1831"/>
      <c r="I720" s="1831"/>
      <c r="J720" s="1831"/>
      <c r="K720" s="1831"/>
      <c r="L720" s="1831"/>
      <c r="M720" s="1831"/>
      <c r="N720" s="1831"/>
      <c r="O720" s="1831"/>
      <c r="P720" s="1831"/>
      <c r="Q720" s="1831"/>
      <c r="R720" s="1831"/>
      <c r="S720" s="1831"/>
      <c r="T720" s="1831"/>
      <c r="U720" s="1831"/>
      <c r="V720" s="1831"/>
      <c r="W720" s="1831"/>
      <c r="X720" s="1831"/>
      <c r="Y720" s="1831"/>
      <c r="Z720" s="1831"/>
      <c r="AA720" s="1831"/>
      <c r="AB720" s="1831"/>
      <c r="AC720" s="1831"/>
      <c r="AD720" s="1831"/>
      <c r="AE720" s="1831"/>
      <c r="AF720" s="1831"/>
      <c r="AG720" s="1021"/>
      <c r="AH720" s="1831"/>
      <c r="AI720" s="1831"/>
      <c r="AJ720" s="1831"/>
      <c r="AK720" s="1831"/>
      <c r="AL720" s="1831"/>
      <c r="AM720" s="1831"/>
      <c r="AN720" s="1022"/>
      <c r="AO720" s="1018"/>
    </row>
    <row r="721" spans="1:43" ht="12.9" customHeight="1">
      <c r="A721" s="1831"/>
      <c r="B721" s="1831"/>
      <c r="C721" s="1831"/>
      <c r="D721" s="1831"/>
      <c r="E721" s="1831"/>
      <c r="F721" s="1831"/>
      <c r="G721" s="1831"/>
      <c r="H721" s="1831"/>
      <c r="I721" s="1831"/>
      <c r="J721" s="1831"/>
      <c r="K721" s="1831"/>
      <c r="L721" s="1831"/>
      <c r="M721" s="1831"/>
      <c r="N721" s="1831"/>
      <c r="O721" s="1831"/>
      <c r="P721" s="1831"/>
      <c r="Q721" s="1831"/>
      <c r="R721" s="1831"/>
      <c r="S721" s="1831"/>
      <c r="T721" s="1831"/>
      <c r="U721" s="1831"/>
      <c r="V721" s="1831"/>
      <c r="W721" s="1831"/>
      <c r="X721" s="1831"/>
      <c r="Y721" s="1831"/>
      <c r="Z721" s="1831"/>
      <c r="AA721" s="1831"/>
      <c r="AB721" s="1831"/>
      <c r="AC721" s="1831"/>
      <c r="AD721" s="1831"/>
      <c r="AE721" s="1831"/>
      <c r="AF721" s="1831"/>
      <c r="AG721" s="1021"/>
      <c r="AH721" s="1831"/>
      <c r="AI721" s="1831"/>
      <c r="AJ721" s="1831"/>
      <c r="AK721" s="1831"/>
      <c r="AL721" s="1831"/>
      <c r="AM721" s="1831"/>
      <c r="AN721" s="1022"/>
      <c r="AO721" s="1022"/>
    </row>
    <row r="722" spans="1:43" ht="12.9" customHeight="1">
      <c r="A722" s="1831"/>
      <c r="B722" s="1831"/>
      <c r="C722" s="1831"/>
      <c r="D722" s="1831"/>
      <c r="E722" s="1831"/>
      <c r="F722" s="1831"/>
      <c r="G722" s="1831"/>
      <c r="H722" s="1831"/>
      <c r="I722" s="1831"/>
      <c r="J722" s="1831"/>
      <c r="K722" s="1831"/>
      <c r="L722" s="1831"/>
      <c r="M722" s="1831"/>
      <c r="N722" s="1831"/>
      <c r="O722" s="1831"/>
      <c r="P722" s="1831"/>
      <c r="Q722" s="1831"/>
      <c r="R722" s="1831"/>
      <c r="S722" s="1831"/>
      <c r="T722" s="1831"/>
      <c r="U722" s="1831"/>
      <c r="V722" s="1831"/>
      <c r="W722" s="1831"/>
      <c r="X722" s="1831"/>
      <c r="Y722" s="1831"/>
      <c r="Z722" s="1831"/>
      <c r="AA722" s="1831"/>
      <c r="AB722" s="1831"/>
      <c r="AC722" s="1831"/>
      <c r="AD722" s="1831"/>
      <c r="AE722" s="1831"/>
      <c r="AF722" s="1831"/>
      <c r="AG722" s="1021"/>
      <c r="AH722" s="1831"/>
      <c r="AI722" s="1831"/>
      <c r="AJ722" s="1831"/>
      <c r="AK722" s="1831"/>
      <c r="AL722" s="1831"/>
      <c r="AM722" s="1831"/>
      <c r="AN722" s="1022"/>
      <c r="AO722" s="1022"/>
    </row>
    <row r="723" spans="1:43" s="1009" customFormat="1">
      <c r="A723" s="1831"/>
      <c r="B723" s="1831"/>
      <c r="C723" s="1831"/>
      <c r="D723" s="1831"/>
      <c r="E723" s="1831"/>
      <c r="F723" s="1831"/>
      <c r="G723" s="1831"/>
      <c r="H723" s="1831"/>
      <c r="I723" s="1831"/>
      <c r="J723" s="1831"/>
      <c r="K723" s="1831"/>
      <c r="L723" s="1831"/>
      <c r="M723" s="1831"/>
      <c r="N723" s="1831"/>
      <c r="O723" s="1831"/>
      <c r="P723" s="1831"/>
      <c r="Q723" s="1831"/>
      <c r="R723" s="1831"/>
      <c r="S723" s="1831"/>
      <c r="T723" s="1831"/>
      <c r="U723" s="1831"/>
      <c r="V723" s="1831"/>
      <c r="W723" s="1831"/>
      <c r="X723" s="1831"/>
      <c r="Y723" s="1831"/>
      <c r="Z723" s="1831"/>
      <c r="AA723" s="1831"/>
      <c r="AB723" s="1831"/>
      <c r="AC723" s="1831"/>
      <c r="AD723" s="1831"/>
      <c r="AE723" s="1831"/>
      <c r="AF723" s="1831"/>
      <c r="AG723" s="1021"/>
      <c r="AH723" s="1831"/>
      <c r="AI723" s="1831"/>
      <c r="AJ723" s="1831"/>
      <c r="AK723" s="1831"/>
      <c r="AL723" s="1831"/>
      <c r="AM723" s="1831"/>
      <c r="AN723" s="1022"/>
      <c r="AO723" s="1020"/>
      <c r="AP723" s="1084"/>
      <c r="AQ723" s="1084"/>
    </row>
    <row r="724" spans="1:43">
      <c r="A724" s="1831"/>
      <c r="B724" s="1831"/>
      <c r="C724" s="1831"/>
      <c r="D724" s="1831"/>
      <c r="E724" s="1831"/>
      <c r="F724" s="1831"/>
      <c r="G724" s="1831"/>
      <c r="H724" s="1831"/>
      <c r="I724" s="1831"/>
      <c r="J724" s="1831"/>
      <c r="K724" s="1831"/>
      <c r="L724" s="1831"/>
      <c r="M724" s="1831"/>
      <c r="N724" s="1831"/>
      <c r="O724" s="1831"/>
      <c r="P724" s="1831"/>
      <c r="Q724" s="1831"/>
      <c r="R724" s="1831"/>
      <c r="S724" s="1831"/>
      <c r="T724" s="1831"/>
      <c r="U724" s="1831"/>
      <c r="V724" s="1831"/>
      <c r="W724" s="1831"/>
      <c r="X724" s="1831"/>
      <c r="Y724" s="1831"/>
      <c r="Z724" s="1831"/>
      <c r="AA724" s="1831"/>
      <c r="AB724" s="1831"/>
      <c r="AC724" s="1831"/>
      <c r="AD724" s="1831"/>
      <c r="AE724" s="1831"/>
      <c r="AF724" s="1831"/>
      <c r="AG724" s="1021"/>
      <c r="AH724" s="1831"/>
      <c r="AI724" s="1831"/>
      <c r="AJ724" s="1831"/>
      <c r="AK724" s="1831"/>
      <c r="AL724" s="1831"/>
      <c r="AM724" s="1831"/>
      <c r="AN724" s="1022"/>
      <c r="AO724" s="171"/>
    </row>
    <row r="725" spans="1:43">
      <c r="A725" s="1831"/>
      <c r="B725" s="1831"/>
      <c r="C725" s="1831"/>
      <c r="D725" s="1831"/>
      <c r="E725" s="1831"/>
      <c r="F725" s="1831"/>
      <c r="G725" s="1831"/>
      <c r="H725" s="1831"/>
      <c r="I725" s="1831"/>
      <c r="J725" s="1831"/>
      <c r="K725" s="1831"/>
      <c r="L725" s="1831"/>
      <c r="M725" s="1831"/>
      <c r="N725" s="1831"/>
      <c r="O725" s="1831"/>
      <c r="P725" s="1831"/>
      <c r="Q725" s="1831"/>
      <c r="R725" s="1831"/>
      <c r="S725" s="1831"/>
      <c r="T725" s="1831"/>
      <c r="U725" s="1831"/>
      <c r="V725" s="1831"/>
      <c r="W725" s="1831"/>
      <c r="X725" s="1831"/>
      <c r="Y725" s="1831"/>
      <c r="Z725" s="1831"/>
      <c r="AA725" s="1831"/>
      <c r="AB725" s="1831"/>
      <c r="AC725" s="1831"/>
      <c r="AD725" s="1831"/>
      <c r="AE725" s="1831"/>
      <c r="AF725" s="1831"/>
      <c r="AG725" s="1021"/>
      <c r="AH725" s="1831"/>
      <c r="AI725" s="1831"/>
      <c r="AJ725" s="1831"/>
      <c r="AK725" s="1831"/>
      <c r="AL725" s="1831"/>
      <c r="AM725" s="1831"/>
      <c r="AN725" s="1022"/>
      <c r="AO725" s="171"/>
    </row>
    <row r="726" spans="1:43">
      <c r="A726" s="1004"/>
      <c r="B726" s="1831"/>
      <c r="C726" s="1831"/>
      <c r="D726" s="1831"/>
      <c r="E726" s="1831"/>
      <c r="F726" s="1831"/>
      <c r="G726" s="1831"/>
      <c r="H726" s="1831"/>
      <c r="I726" s="1831"/>
      <c r="J726" s="1831"/>
      <c r="K726" s="1831"/>
      <c r="L726" s="1831"/>
      <c r="M726" s="1831"/>
      <c r="N726" s="1831"/>
      <c r="O726" s="1831"/>
      <c r="P726" s="1831"/>
      <c r="Q726" s="1831"/>
      <c r="R726" s="1831"/>
      <c r="S726" s="1831"/>
      <c r="T726" s="1831"/>
      <c r="U726" s="1831"/>
      <c r="V726" s="1831"/>
      <c r="W726" s="1831"/>
      <c r="X726" s="1831"/>
      <c r="Y726" s="1831"/>
      <c r="Z726" s="1831"/>
      <c r="AA726" s="1831"/>
      <c r="AB726" s="1831"/>
      <c r="AC726" s="1831"/>
      <c r="AD726" s="1831"/>
      <c r="AE726" s="1831"/>
      <c r="AF726" s="1831"/>
      <c r="AG726" s="1021"/>
      <c r="AH726" s="1831"/>
      <c r="AI726" s="1831"/>
      <c r="AJ726" s="1831"/>
      <c r="AK726" s="1831"/>
      <c r="AL726" s="1831"/>
      <c r="AM726" s="1831"/>
      <c r="AN726" s="1022"/>
      <c r="AO726" s="171"/>
    </row>
    <row r="727" spans="1:43">
      <c r="A727" s="1004"/>
      <c r="AJ727" s="1004"/>
      <c r="AK727" s="1004"/>
      <c r="AL727" s="1004"/>
      <c r="AO727" s="171"/>
    </row>
    <row r="728" spans="1:43">
      <c r="A728" s="1004"/>
      <c r="AJ728" s="1004"/>
      <c r="AK728" s="1004"/>
      <c r="AL728" s="1004"/>
    </row>
    <row r="729" spans="1:43">
      <c r="A729" s="1004"/>
      <c r="AJ729" s="1004"/>
      <c r="AK729" s="1004"/>
      <c r="AL729" s="1004"/>
    </row>
    <row r="730" spans="1:43">
      <c r="A730" s="1004"/>
      <c r="AJ730" s="1004"/>
      <c r="AK730" s="1004"/>
      <c r="AL730" s="1004"/>
    </row>
    <row r="731" spans="1:43">
      <c r="A731" s="1012"/>
      <c r="AJ731" s="1004"/>
      <c r="AK731" s="1004"/>
      <c r="AL731" s="1004"/>
    </row>
    <row r="732" spans="1:43">
      <c r="A732" s="1004"/>
      <c r="B732" s="1012"/>
      <c r="C732" s="1012"/>
      <c r="D732" s="1012"/>
      <c r="E732" s="1012"/>
      <c r="F732" s="1012"/>
      <c r="G732" s="1012"/>
      <c r="H732" s="1012"/>
      <c r="I732" s="1012"/>
      <c r="J732" s="1012"/>
      <c r="K732" s="1012"/>
      <c r="L732" s="1012"/>
      <c r="M732" s="1012"/>
      <c r="N732" s="1012"/>
      <c r="O732" s="1012"/>
      <c r="P732" s="1012"/>
      <c r="Q732" s="1012"/>
      <c r="R732" s="1012"/>
      <c r="S732" s="1012"/>
      <c r="T732" s="1012"/>
      <c r="U732" s="1012"/>
      <c r="V732" s="1012"/>
      <c r="W732" s="1012"/>
      <c r="X732" s="1012"/>
      <c r="Y732" s="1012"/>
      <c r="Z732" s="1012"/>
      <c r="AA732" s="1012"/>
      <c r="AB732" s="1012"/>
      <c r="AC732" s="1012"/>
      <c r="AD732" s="1012"/>
      <c r="AE732" s="1012"/>
      <c r="AF732" s="1012"/>
      <c r="AG732" s="1005"/>
      <c r="AH732" s="1012"/>
      <c r="AI732" s="1012"/>
      <c r="AJ732" s="1012"/>
      <c r="AK732" s="1012"/>
      <c r="AL732" s="1012"/>
      <c r="AM732" s="1012"/>
    </row>
    <row r="733" spans="1:43">
      <c r="A733" s="1004"/>
      <c r="AJ733" s="1004"/>
      <c r="AK733" s="1004"/>
      <c r="AL733" s="1004"/>
    </row>
    <row r="734" spans="1:43">
      <c r="A734" s="1012"/>
      <c r="AJ734" s="1004"/>
      <c r="AK734" s="1004"/>
      <c r="AL734" s="1004"/>
    </row>
    <row r="735" spans="1:43">
      <c r="A735" s="1004"/>
      <c r="B735" s="1012"/>
      <c r="C735" s="1012"/>
      <c r="D735" s="1012"/>
      <c r="E735" s="1012"/>
      <c r="F735" s="1012"/>
      <c r="G735" s="1012"/>
      <c r="H735" s="1012"/>
      <c r="I735" s="1012"/>
      <c r="J735" s="1012"/>
      <c r="K735" s="1012"/>
      <c r="L735" s="1012"/>
      <c r="M735" s="1012"/>
      <c r="N735" s="1012"/>
      <c r="O735" s="1012"/>
      <c r="P735" s="1012"/>
      <c r="Q735" s="1012"/>
      <c r="R735" s="1012"/>
      <c r="S735" s="1012"/>
      <c r="T735" s="1012"/>
      <c r="U735" s="1012"/>
      <c r="V735" s="1012"/>
      <c r="W735" s="1012"/>
      <c r="X735" s="1012"/>
      <c r="Y735" s="1012"/>
      <c r="Z735" s="1012"/>
      <c r="AA735" s="1012"/>
      <c r="AB735" s="1012"/>
      <c r="AC735" s="1012"/>
      <c r="AD735" s="1012"/>
      <c r="AE735" s="1012"/>
      <c r="AF735" s="1012"/>
      <c r="AG735" s="1005"/>
      <c r="AH735" s="1012"/>
      <c r="AI735" s="1012"/>
      <c r="AJ735" s="1012"/>
      <c r="AK735" s="1012"/>
      <c r="AL735" s="1012"/>
      <c r="AM735" s="1012"/>
    </row>
    <row r="736" spans="1:43">
      <c r="A736" s="1004"/>
      <c r="AJ736" s="1004"/>
      <c r="AK736" s="1004"/>
      <c r="AL736" s="1004"/>
    </row>
    <row r="737" spans="1:41">
      <c r="A737" s="1004"/>
      <c r="AJ737" s="1004"/>
      <c r="AK737" s="1004"/>
      <c r="AL737" s="1004"/>
    </row>
    <row r="738" spans="1:41" ht="13.8">
      <c r="A738" s="1004"/>
      <c r="AJ738" s="1004"/>
      <c r="AK738" s="1004"/>
      <c r="AL738" s="1004"/>
      <c r="AN738" s="1032"/>
    </row>
    <row r="739" spans="1:41">
      <c r="A739" s="1004"/>
      <c r="AJ739" s="1004"/>
      <c r="AK739" s="1004"/>
      <c r="AL739" s="1004"/>
      <c r="AN739" s="1836"/>
    </row>
    <row r="740" spans="1:41">
      <c r="A740" s="1004"/>
      <c r="AJ740" s="1004"/>
      <c r="AK740" s="1004"/>
      <c r="AL740" s="1004"/>
      <c r="AN740" s="1836"/>
    </row>
    <row r="741" spans="1:41">
      <c r="A741" s="1004"/>
      <c r="AJ741" s="1004"/>
      <c r="AK741" s="1004"/>
      <c r="AL741" s="1004"/>
      <c r="AN741" s="1836"/>
    </row>
    <row r="742" spans="1:41">
      <c r="A742" s="1004"/>
      <c r="AJ742" s="1004"/>
      <c r="AK742" s="1004"/>
      <c r="AL742" s="1004"/>
      <c r="AN742" s="1008"/>
    </row>
    <row r="743" spans="1:41">
      <c r="A743" s="1004"/>
      <c r="AJ743" s="1004"/>
      <c r="AK743" s="1004"/>
      <c r="AL743" s="1004"/>
      <c r="AN743" s="1837"/>
    </row>
    <row r="744" spans="1:41">
      <c r="A744" s="1004"/>
      <c r="AJ744" s="1004"/>
      <c r="AK744" s="1004"/>
      <c r="AL744" s="1004"/>
      <c r="AN744" s="1837"/>
    </row>
    <row r="745" spans="1:41">
      <c r="A745" s="1004"/>
      <c r="AJ745" s="1004"/>
      <c r="AK745" s="1004"/>
      <c r="AL745" s="1004"/>
      <c r="AN745" s="1837"/>
    </row>
    <row r="746" spans="1:41">
      <c r="A746" s="1004"/>
      <c r="AJ746" s="1004"/>
      <c r="AK746" s="1004"/>
      <c r="AL746" s="1004"/>
      <c r="AN746" s="1837"/>
    </row>
    <row r="747" spans="1:41">
      <c r="A747" s="1004"/>
      <c r="AJ747" s="1004"/>
      <c r="AK747" s="1004"/>
      <c r="AL747" s="1004"/>
      <c r="AN747" s="1837"/>
    </row>
    <row r="748" spans="1:41">
      <c r="A748" s="1004"/>
      <c r="AJ748" s="1004"/>
      <c r="AK748" s="1004"/>
      <c r="AL748" s="1004"/>
      <c r="AO748" s="1840"/>
    </row>
    <row r="749" spans="1:41" ht="12.9" customHeight="1">
      <c r="A749" s="1005"/>
      <c r="AJ749" s="1004"/>
      <c r="AK749" s="1004"/>
      <c r="AL749" s="1004"/>
    </row>
    <row r="750" spans="1:41" ht="12.9" customHeight="1">
      <c r="A750" s="1004"/>
      <c r="B750" s="1005"/>
      <c r="C750" s="1005"/>
      <c r="D750" s="1005"/>
      <c r="E750" s="1005"/>
      <c r="F750" s="1005"/>
      <c r="G750" s="1005"/>
      <c r="H750" s="1005"/>
      <c r="I750" s="1005"/>
      <c r="J750" s="1005"/>
      <c r="K750" s="1005"/>
      <c r="L750" s="1005"/>
      <c r="M750" s="1005"/>
      <c r="N750" s="1005"/>
      <c r="O750" s="1005"/>
      <c r="P750" s="1005"/>
      <c r="Q750" s="1005"/>
      <c r="R750" s="1005"/>
      <c r="S750" s="1005"/>
      <c r="T750" s="1005"/>
      <c r="U750" s="1005"/>
      <c r="V750" s="1005"/>
      <c r="W750" s="1005"/>
      <c r="X750" s="1005"/>
      <c r="Y750" s="1005"/>
      <c r="Z750" s="1005"/>
      <c r="AA750" s="1005"/>
      <c r="AB750" s="1005"/>
      <c r="AC750" s="1005"/>
      <c r="AD750" s="1005"/>
      <c r="AE750" s="1005"/>
      <c r="AF750" s="1005"/>
      <c r="AG750" s="1005"/>
      <c r="AH750" s="1005"/>
      <c r="AI750" s="1005"/>
      <c r="AJ750" s="1005"/>
      <c r="AK750" s="1005"/>
      <c r="AL750" s="1005"/>
      <c r="AM750" s="1005"/>
    </row>
    <row r="751" spans="1:41" ht="12.9" customHeight="1">
      <c r="A751" s="1004"/>
      <c r="AJ751" s="1004"/>
      <c r="AK751" s="1004"/>
      <c r="AL751" s="1004"/>
    </row>
    <row r="752" spans="1:41" ht="12.9" customHeight="1">
      <c r="A752" s="1004"/>
      <c r="AJ752" s="1004"/>
      <c r="AK752" s="1004"/>
      <c r="AL752" s="1004"/>
    </row>
    <row r="753" spans="1:40" ht="12.9" customHeight="1">
      <c r="A753" s="1004"/>
      <c r="AJ753" s="1004"/>
      <c r="AK753" s="1004"/>
      <c r="AL753" s="1004"/>
      <c r="AN753" s="1037"/>
    </row>
    <row r="754" spans="1:40" ht="12.9" customHeight="1">
      <c r="A754" s="1004"/>
      <c r="AJ754" s="1004"/>
      <c r="AK754" s="1004"/>
      <c r="AL754" s="1004"/>
    </row>
    <row r="755" spans="1:40" ht="12.9" customHeight="1">
      <c r="A755" s="1009"/>
      <c r="AJ755" s="1004"/>
      <c r="AK755" s="1004"/>
      <c r="AL755" s="1004"/>
    </row>
    <row r="756" spans="1:40" ht="12.9" customHeight="1">
      <c r="A756" s="1004"/>
      <c r="B756" s="1009"/>
      <c r="C756" s="1009"/>
      <c r="D756" s="1009"/>
      <c r="E756" s="1009"/>
      <c r="F756" s="1009"/>
      <c r="G756" s="1009"/>
      <c r="H756" s="1009"/>
      <c r="I756" s="1009"/>
      <c r="J756" s="1009"/>
      <c r="K756" s="1009"/>
      <c r="L756" s="1009"/>
      <c r="M756" s="1009"/>
      <c r="N756" s="1009"/>
      <c r="O756" s="1009"/>
      <c r="P756" s="1009"/>
      <c r="Q756" s="1009"/>
      <c r="R756" s="1009"/>
      <c r="S756" s="1009"/>
      <c r="T756" s="1009"/>
      <c r="U756" s="1009"/>
      <c r="V756" s="1009"/>
      <c r="W756" s="1009"/>
      <c r="X756" s="1009"/>
      <c r="Y756" s="1009"/>
      <c r="Z756" s="1009"/>
      <c r="AA756" s="1009"/>
      <c r="AB756" s="1009"/>
      <c r="AC756" s="1009"/>
      <c r="AD756" s="1009"/>
      <c r="AE756" s="1009"/>
      <c r="AF756" s="1009"/>
      <c r="AH756" s="1009"/>
      <c r="AI756" s="1009"/>
      <c r="AJ756" s="1009"/>
      <c r="AK756" s="1009"/>
      <c r="AL756" s="1009"/>
      <c r="AM756" s="1009"/>
      <c r="AN756" s="171"/>
    </row>
    <row r="757" spans="1:40" ht="12.9" customHeight="1">
      <c r="A757" s="1004"/>
      <c r="AJ757" s="1004"/>
      <c r="AK757" s="1004"/>
      <c r="AL757" s="1004"/>
      <c r="AN757" s="1838"/>
    </row>
    <row r="758" spans="1:40" ht="12.9" customHeight="1">
      <c r="A758" s="1004"/>
      <c r="AJ758" s="1004"/>
      <c r="AK758" s="1004"/>
      <c r="AL758" s="1004"/>
      <c r="AN758" s="1838"/>
    </row>
    <row r="759" spans="1:40" ht="12.9" customHeight="1">
      <c r="A759" s="1004"/>
      <c r="AJ759" s="1004"/>
      <c r="AK759" s="1004"/>
      <c r="AL759" s="1004"/>
      <c r="AN759" s="1838"/>
    </row>
    <row r="760" spans="1:40" ht="12.9" customHeight="1">
      <c r="A760" s="1004"/>
      <c r="AJ760" s="1004"/>
      <c r="AK760" s="1004"/>
      <c r="AL760" s="1004"/>
      <c r="AN760" s="1838"/>
    </row>
    <row r="761" spans="1:40" ht="12.9" customHeight="1">
      <c r="A761" s="1004"/>
      <c r="AJ761" s="1004"/>
      <c r="AK761" s="1004"/>
      <c r="AL761" s="1004"/>
    </row>
    <row r="762" spans="1:40" ht="12.9" customHeight="1">
      <c r="A762" s="1004"/>
      <c r="AJ762" s="1004"/>
      <c r="AK762" s="1004"/>
      <c r="AL762" s="1004"/>
    </row>
    <row r="763" spans="1:40" ht="12.9" customHeight="1">
      <c r="A763" s="1004"/>
      <c r="AJ763" s="1004"/>
      <c r="AK763" s="1004"/>
      <c r="AL763" s="1004"/>
    </row>
    <row r="764" spans="1:40" ht="12.9" customHeight="1">
      <c r="A764" s="1004"/>
      <c r="AJ764" s="1004"/>
      <c r="AK764" s="1004"/>
      <c r="AL764" s="1004"/>
    </row>
    <row r="765" spans="1:40" ht="12.9" customHeight="1">
      <c r="A765" s="1004"/>
      <c r="AJ765" s="1004"/>
      <c r="AK765" s="1004"/>
      <c r="AL765" s="1004"/>
    </row>
    <row r="766" spans="1:40" ht="12.9" customHeight="1">
      <c r="A766" s="1004"/>
      <c r="AJ766" s="1004"/>
      <c r="AK766" s="1004"/>
      <c r="AL766" s="1004"/>
    </row>
    <row r="767" spans="1:40" ht="12.9" customHeight="1">
      <c r="A767" s="1004"/>
      <c r="AJ767" s="1004"/>
      <c r="AK767" s="1004"/>
      <c r="AL767" s="1004"/>
    </row>
    <row r="768" spans="1:40" ht="12.9" customHeight="1">
      <c r="A768" s="1004"/>
      <c r="AJ768" s="1004"/>
      <c r="AK768" s="1004"/>
      <c r="AL768" s="1004"/>
    </row>
    <row r="769" spans="1:40" ht="12.9" customHeight="1">
      <c r="A769" s="1004"/>
      <c r="AJ769" s="1004"/>
      <c r="AK769" s="1004"/>
      <c r="AL769" s="1004"/>
    </row>
    <row r="770" spans="1:40" ht="12.9" customHeight="1">
      <c r="A770" s="1004"/>
      <c r="AJ770" s="1004"/>
      <c r="AK770" s="1004"/>
      <c r="AL770" s="1004"/>
    </row>
    <row r="771" spans="1:40" ht="12.9" customHeight="1">
      <c r="A771" s="1004"/>
      <c r="AJ771" s="1004"/>
      <c r="AK771" s="1004"/>
      <c r="AL771" s="1004"/>
    </row>
    <row r="772" spans="1:40" ht="12.9" customHeight="1">
      <c r="A772" s="1004"/>
      <c r="AJ772" s="1004"/>
      <c r="AK772" s="1004"/>
      <c r="AL772" s="1004"/>
    </row>
    <row r="773" spans="1:40" ht="12.9" customHeight="1">
      <c r="A773" s="1004"/>
      <c r="AJ773" s="1004"/>
      <c r="AK773" s="1004"/>
      <c r="AL773" s="1004"/>
    </row>
    <row r="774" spans="1:40" ht="12.9" customHeight="1">
      <c r="A774" s="1004"/>
      <c r="AJ774" s="1004"/>
      <c r="AK774" s="1004"/>
      <c r="AL774" s="1004"/>
    </row>
    <row r="775" spans="1:40" ht="12.9" customHeight="1">
      <c r="A775" s="1004"/>
      <c r="AJ775" s="1004"/>
      <c r="AK775" s="1004"/>
      <c r="AL775" s="1004"/>
    </row>
    <row r="776" spans="1:40" ht="12.9" customHeight="1">
      <c r="A776" s="1004"/>
      <c r="AJ776" s="1004"/>
      <c r="AK776" s="1004"/>
      <c r="AL776" s="1004"/>
    </row>
    <row r="777" spans="1:40" ht="12.9" customHeight="1">
      <c r="A777" s="1004"/>
      <c r="AJ777" s="1004"/>
      <c r="AK777" s="1004"/>
      <c r="AL777" s="1004"/>
    </row>
    <row r="778" spans="1:40" ht="12.9" customHeight="1">
      <c r="A778" s="1004"/>
      <c r="AJ778" s="1004"/>
      <c r="AK778" s="1004"/>
      <c r="AL778" s="1004"/>
    </row>
    <row r="779" spans="1:40" ht="12.9" customHeight="1">
      <c r="A779" s="1004"/>
      <c r="AJ779" s="1004"/>
      <c r="AK779" s="1004"/>
      <c r="AL779" s="1004"/>
    </row>
    <row r="780" spans="1:40" ht="12.9" customHeight="1">
      <c r="A780" s="1004"/>
      <c r="AJ780" s="1004"/>
      <c r="AK780" s="1004"/>
      <c r="AL780" s="1004"/>
    </row>
    <row r="781" spans="1:40" ht="12.9" customHeight="1">
      <c r="A781" s="1004"/>
      <c r="AJ781" s="1004"/>
      <c r="AK781" s="1004"/>
      <c r="AL781" s="1004"/>
      <c r="AN781" s="1839"/>
    </row>
    <row r="782" spans="1:40" ht="12.9" customHeight="1">
      <c r="A782" s="1004"/>
      <c r="AJ782" s="1004"/>
      <c r="AK782" s="1004"/>
      <c r="AL782" s="1004"/>
    </row>
    <row r="783" spans="1:40" ht="12.9" customHeight="1">
      <c r="A783" s="1004"/>
      <c r="AJ783" s="1004"/>
      <c r="AK783" s="1004"/>
      <c r="AL783" s="1004"/>
    </row>
    <row r="784" spans="1:40" ht="12.9" customHeight="1">
      <c r="A784" s="1004"/>
      <c r="AJ784" s="1004"/>
      <c r="AK784" s="1004"/>
      <c r="AL784" s="1004"/>
    </row>
    <row r="785" spans="1:40" ht="12.9" customHeight="1">
      <c r="A785" s="1004"/>
      <c r="AJ785" s="1004"/>
      <c r="AK785" s="1004"/>
      <c r="AL785" s="1004"/>
    </row>
    <row r="786" spans="1:40" ht="12.9" customHeight="1">
      <c r="A786" s="1004"/>
      <c r="AJ786" s="1004"/>
      <c r="AK786" s="1004"/>
      <c r="AL786" s="1004"/>
    </row>
    <row r="787" spans="1:40" ht="12.9" customHeight="1">
      <c r="A787" s="1004"/>
      <c r="AJ787" s="1004"/>
      <c r="AK787" s="1004"/>
      <c r="AL787" s="1004"/>
    </row>
    <row r="788" spans="1:40" ht="12.9" customHeight="1">
      <c r="A788" s="1004"/>
      <c r="AJ788" s="1004"/>
      <c r="AK788" s="1004"/>
      <c r="AL788" s="1004"/>
    </row>
    <row r="789" spans="1:40" ht="12.9" customHeight="1">
      <c r="A789" s="1004"/>
      <c r="AJ789" s="1004"/>
      <c r="AK789" s="1004"/>
      <c r="AL789" s="1004"/>
    </row>
    <row r="790" spans="1:40" ht="12.9" customHeight="1">
      <c r="A790" s="1004"/>
      <c r="AJ790" s="1004"/>
      <c r="AK790" s="1004"/>
      <c r="AL790" s="1004"/>
    </row>
    <row r="791" spans="1:40" ht="12.9" customHeight="1">
      <c r="A791" s="1004"/>
      <c r="AJ791" s="1004"/>
      <c r="AK791" s="1004"/>
      <c r="AL791" s="1004"/>
    </row>
    <row r="792" spans="1:40" ht="12.9" customHeight="1">
      <c r="A792" s="1004"/>
      <c r="AJ792" s="1004"/>
      <c r="AK792" s="1004"/>
      <c r="AL792" s="1004"/>
    </row>
    <row r="793" spans="1:40" ht="12.9" customHeight="1">
      <c r="A793" s="1004"/>
      <c r="AJ793" s="1004"/>
      <c r="AK793" s="1004"/>
      <c r="AL793" s="1004"/>
    </row>
    <row r="794" spans="1:40" ht="12.9" customHeight="1">
      <c r="A794" s="1004"/>
      <c r="AJ794" s="1004"/>
      <c r="AK794" s="1004"/>
      <c r="AL794" s="1004"/>
    </row>
    <row r="795" spans="1:40" ht="12.9" customHeight="1">
      <c r="A795" s="1004"/>
      <c r="AJ795" s="1004"/>
      <c r="AK795" s="1004"/>
      <c r="AL795" s="1004"/>
    </row>
    <row r="796" spans="1:40" ht="12.9" customHeight="1">
      <c r="A796" s="1004"/>
      <c r="AJ796" s="1004"/>
      <c r="AK796" s="1004"/>
      <c r="AL796" s="1004"/>
    </row>
    <row r="797" spans="1:40" ht="12.9" customHeight="1">
      <c r="A797" s="1004"/>
      <c r="AJ797" s="1004"/>
      <c r="AK797" s="1004"/>
      <c r="AL797" s="1004"/>
      <c r="AN797" s="1841"/>
    </row>
    <row r="798" spans="1:40" ht="12.9" customHeight="1">
      <c r="A798" s="1004"/>
      <c r="AJ798" s="1004"/>
      <c r="AK798" s="1004"/>
      <c r="AL798" s="1004"/>
      <c r="AN798" s="1841"/>
    </row>
    <row r="799" spans="1:40" ht="12.9" customHeight="1">
      <c r="A799" s="1004"/>
      <c r="AJ799" s="1004"/>
      <c r="AK799" s="1004"/>
      <c r="AL799" s="1004"/>
    </row>
    <row r="800" spans="1:40" ht="12.9" customHeight="1">
      <c r="A800" s="1004"/>
      <c r="AJ800" s="1004"/>
      <c r="AK800" s="1004"/>
      <c r="AL800" s="1004"/>
    </row>
    <row r="801" spans="1:43" ht="12.9" customHeight="1">
      <c r="A801" s="1004"/>
      <c r="AJ801" s="1004"/>
      <c r="AK801" s="1004"/>
      <c r="AL801" s="1004"/>
    </row>
    <row r="802" spans="1:43" ht="12.9" customHeight="1">
      <c r="A802" s="1004"/>
      <c r="AJ802" s="1004"/>
      <c r="AK802" s="1004"/>
      <c r="AL802" s="1004"/>
    </row>
    <row r="803" spans="1:43" ht="12.9" customHeight="1">
      <c r="A803" s="1004"/>
      <c r="AJ803" s="1004"/>
      <c r="AK803" s="1004"/>
      <c r="AL803" s="1004"/>
    </row>
    <row r="804" spans="1:43" ht="12.9" customHeight="1">
      <c r="A804" s="1004"/>
      <c r="AJ804" s="1004"/>
      <c r="AK804" s="1004"/>
      <c r="AL804" s="1004"/>
    </row>
    <row r="805" spans="1:43" ht="12.9" customHeight="1">
      <c r="A805" s="1004"/>
      <c r="AJ805" s="1004"/>
      <c r="AK805" s="1004"/>
      <c r="AL805" s="1004"/>
    </row>
    <row r="806" spans="1:43" ht="12.9" customHeight="1">
      <c r="A806" s="1004"/>
      <c r="AJ806" s="1004"/>
      <c r="AK806" s="1004"/>
      <c r="AL806" s="1004"/>
    </row>
    <row r="807" spans="1:43" ht="12.9" customHeight="1">
      <c r="A807" s="1004"/>
      <c r="AJ807" s="1004"/>
      <c r="AK807" s="1004"/>
      <c r="AL807" s="1004"/>
    </row>
    <row r="808" spans="1:43" ht="12.9" customHeight="1">
      <c r="A808" s="1004"/>
      <c r="AJ808" s="1004"/>
      <c r="AK808" s="1004"/>
      <c r="AL808" s="1004"/>
    </row>
    <row r="809" spans="1:43" ht="12.9" customHeight="1">
      <c r="A809" s="1004"/>
      <c r="AJ809" s="1004"/>
      <c r="AK809" s="1004"/>
      <c r="AL809" s="1004"/>
    </row>
    <row r="810" spans="1:43" ht="12.9" customHeight="1">
      <c r="A810" s="1004"/>
      <c r="AJ810" s="1004"/>
      <c r="AK810" s="1004"/>
      <c r="AL810" s="1004"/>
    </row>
    <row r="811" spans="1:43" ht="12.9" customHeight="1">
      <c r="A811" s="1004"/>
      <c r="AJ811" s="1004"/>
      <c r="AK811" s="1004"/>
      <c r="AL811" s="1004"/>
    </row>
    <row r="812" spans="1:43" ht="12.9" customHeight="1">
      <c r="A812" s="1004"/>
      <c r="AJ812" s="1004"/>
      <c r="AK812" s="1004"/>
      <c r="AL812" s="1004"/>
    </row>
    <row r="813" spans="1:43" s="1009" customFormat="1" ht="12.75" customHeight="1">
      <c r="A813" s="1004"/>
      <c r="B813" s="1004"/>
      <c r="C813" s="1004"/>
      <c r="D813" s="1004"/>
      <c r="E813" s="1004"/>
      <c r="F813" s="1004"/>
      <c r="G813" s="1004"/>
      <c r="H813" s="1004"/>
      <c r="I813" s="1004"/>
      <c r="J813" s="1004"/>
      <c r="K813" s="1004"/>
      <c r="L813" s="1004"/>
      <c r="M813" s="1004"/>
      <c r="N813" s="1004"/>
      <c r="O813" s="1004"/>
      <c r="P813" s="1004"/>
      <c r="Q813" s="1004"/>
      <c r="R813" s="1004"/>
      <c r="S813" s="1004"/>
      <c r="T813" s="1004"/>
      <c r="U813" s="1004"/>
      <c r="V813" s="1004"/>
      <c r="W813" s="1004"/>
      <c r="X813" s="1004"/>
      <c r="Y813" s="1004"/>
      <c r="Z813" s="1004"/>
      <c r="AA813" s="1004"/>
      <c r="AB813" s="1004"/>
      <c r="AC813" s="1004"/>
      <c r="AD813" s="1004"/>
      <c r="AE813" s="1004"/>
      <c r="AF813" s="1004"/>
      <c r="AH813" s="1004"/>
      <c r="AI813" s="1004"/>
      <c r="AJ813" s="1004"/>
      <c r="AK813" s="1004"/>
      <c r="AL813" s="1004"/>
      <c r="AM813" s="1004"/>
      <c r="AN813" s="1005"/>
      <c r="AO813" s="1026"/>
      <c r="AP813" s="1084"/>
      <c r="AQ813" s="1084"/>
    </row>
    <row r="814" spans="1:43" s="1009" customFormat="1" ht="12.75" customHeight="1">
      <c r="A814" s="1004"/>
      <c r="B814" s="1004"/>
      <c r="C814" s="1004"/>
      <c r="D814" s="1004"/>
      <c r="E814" s="1004"/>
      <c r="F814" s="1004"/>
      <c r="G814" s="1004"/>
      <c r="H814" s="1004"/>
      <c r="I814" s="1004"/>
      <c r="J814" s="1004"/>
      <c r="K814" s="1004"/>
      <c r="L814" s="1004"/>
      <c r="M814" s="1004"/>
      <c r="N814" s="1004"/>
      <c r="O814" s="1004"/>
      <c r="P814" s="1004"/>
      <c r="Q814" s="1004"/>
      <c r="R814" s="1004"/>
      <c r="S814" s="1004"/>
      <c r="T814" s="1004"/>
      <c r="U814" s="1004"/>
      <c r="V814" s="1004"/>
      <c r="W814" s="1004"/>
      <c r="X814" s="1004"/>
      <c r="Y814" s="1004"/>
      <c r="Z814" s="1004"/>
      <c r="AA814" s="1004"/>
      <c r="AB814" s="1004"/>
      <c r="AC814" s="1004"/>
      <c r="AD814" s="1004"/>
      <c r="AE814" s="1004"/>
      <c r="AF814" s="1004"/>
      <c r="AH814" s="1004"/>
      <c r="AI814" s="1004"/>
      <c r="AJ814" s="1004"/>
      <c r="AK814" s="1004"/>
      <c r="AL814" s="1004"/>
      <c r="AM814" s="1004"/>
      <c r="AN814" s="1005"/>
      <c r="AO814" s="1026"/>
      <c r="AP814" s="1084"/>
      <c r="AQ814" s="1084"/>
    </row>
    <row r="815" spans="1:43" s="1009" customFormat="1" ht="12.75" customHeight="1">
      <c r="A815" s="1004"/>
      <c r="B815" s="1004"/>
      <c r="C815" s="1004"/>
      <c r="D815" s="1004"/>
      <c r="E815" s="1004"/>
      <c r="F815" s="1004"/>
      <c r="G815" s="1004"/>
      <c r="H815" s="1004"/>
      <c r="I815" s="1004"/>
      <c r="J815" s="1004"/>
      <c r="K815" s="1004"/>
      <c r="L815" s="1004"/>
      <c r="M815" s="1004"/>
      <c r="N815" s="1004"/>
      <c r="O815" s="1004"/>
      <c r="P815" s="1004"/>
      <c r="Q815" s="1004"/>
      <c r="R815" s="1004"/>
      <c r="S815" s="1004"/>
      <c r="T815" s="1004"/>
      <c r="U815" s="1004"/>
      <c r="V815" s="1004"/>
      <c r="W815" s="1004"/>
      <c r="X815" s="1004"/>
      <c r="Y815" s="1004"/>
      <c r="Z815" s="1004"/>
      <c r="AA815" s="1004"/>
      <c r="AB815" s="1004"/>
      <c r="AC815" s="1004"/>
      <c r="AD815" s="1004"/>
      <c r="AE815" s="1004"/>
      <c r="AF815" s="1004"/>
      <c r="AH815" s="1004"/>
      <c r="AI815" s="1004"/>
      <c r="AJ815" s="1004"/>
      <c r="AK815" s="1004"/>
      <c r="AL815" s="1004"/>
      <c r="AM815" s="1004"/>
      <c r="AN815" s="1842"/>
      <c r="AO815" s="1026"/>
      <c r="AP815" s="1084"/>
      <c r="AQ815" s="1084"/>
    </row>
    <row r="816" spans="1:43" s="1009" customFormat="1" ht="12.75" customHeight="1">
      <c r="A816" s="1004"/>
      <c r="B816" s="1004"/>
      <c r="C816" s="1004"/>
      <c r="D816" s="1004"/>
      <c r="E816" s="1004"/>
      <c r="F816" s="1004"/>
      <c r="G816" s="1004"/>
      <c r="H816" s="1004"/>
      <c r="I816" s="1004"/>
      <c r="J816" s="1004"/>
      <c r="K816" s="1004"/>
      <c r="L816" s="1004"/>
      <c r="M816" s="1004"/>
      <c r="N816" s="1004"/>
      <c r="O816" s="1004"/>
      <c r="P816" s="1004"/>
      <c r="Q816" s="1004"/>
      <c r="R816" s="1004"/>
      <c r="S816" s="1004"/>
      <c r="T816" s="1004"/>
      <c r="U816" s="1004"/>
      <c r="V816" s="1004"/>
      <c r="W816" s="1004"/>
      <c r="X816" s="1004"/>
      <c r="Y816" s="1004"/>
      <c r="Z816" s="1004"/>
      <c r="AA816" s="1004"/>
      <c r="AB816" s="1004"/>
      <c r="AC816" s="1004"/>
      <c r="AD816" s="1004"/>
      <c r="AE816" s="1004"/>
      <c r="AF816" s="1004"/>
      <c r="AH816" s="1004"/>
      <c r="AI816" s="1004"/>
      <c r="AJ816" s="1004"/>
      <c r="AK816" s="1004"/>
      <c r="AL816" s="1004"/>
      <c r="AM816" s="1004"/>
      <c r="AN816" s="1842"/>
      <c r="AO816" s="1026"/>
      <c r="AP816" s="1084"/>
      <c r="AQ816" s="1084"/>
    </row>
    <row r="817" spans="1:43" s="1009" customFormat="1" ht="12.75" customHeight="1">
      <c r="A817" s="1004"/>
      <c r="B817" s="1004"/>
      <c r="C817" s="1004"/>
      <c r="D817" s="1004"/>
      <c r="E817" s="1004"/>
      <c r="F817" s="1004"/>
      <c r="G817" s="1004"/>
      <c r="H817" s="1004"/>
      <c r="I817" s="1004"/>
      <c r="J817" s="1004"/>
      <c r="K817" s="1004"/>
      <c r="L817" s="1004"/>
      <c r="M817" s="1004"/>
      <c r="N817" s="1004"/>
      <c r="O817" s="1004"/>
      <c r="P817" s="1004"/>
      <c r="Q817" s="1004"/>
      <c r="R817" s="1004"/>
      <c r="S817" s="1004"/>
      <c r="T817" s="1004"/>
      <c r="U817" s="1004"/>
      <c r="V817" s="1004"/>
      <c r="W817" s="1004"/>
      <c r="X817" s="1004"/>
      <c r="Y817" s="1004"/>
      <c r="Z817" s="1004"/>
      <c r="AA817" s="1004"/>
      <c r="AB817" s="1004"/>
      <c r="AC817" s="1004"/>
      <c r="AD817" s="1004"/>
      <c r="AE817" s="1004"/>
      <c r="AF817" s="1004"/>
      <c r="AH817" s="1004"/>
      <c r="AI817" s="1004"/>
      <c r="AJ817" s="1004"/>
      <c r="AK817" s="1004"/>
      <c r="AL817" s="1004"/>
      <c r="AM817" s="1004"/>
      <c r="AN817" s="1842"/>
      <c r="AO817" s="1026"/>
      <c r="AP817" s="1084"/>
      <c r="AQ817" s="1084"/>
    </row>
    <row r="818" spans="1:43" s="1009" customFormat="1" ht="12.75" customHeight="1">
      <c r="A818" s="1004"/>
      <c r="B818" s="1004"/>
      <c r="C818" s="1004"/>
      <c r="D818" s="1004"/>
      <c r="E818" s="1004"/>
      <c r="F818" s="1004"/>
      <c r="G818" s="1004"/>
      <c r="H818" s="1004"/>
      <c r="I818" s="1004"/>
      <c r="J818" s="1004"/>
      <c r="K818" s="1004"/>
      <c r="L818" s="1004"/>
      <c r="M818" s="1004"/>
      <c r="N818" s="1004"/>
      <c r="O818" s="1004"/>
      <c r="P818" s="1004"/>
      <c r="Q818" s="1004"/>
      <c r="R818" s="1004"/>
      <c r="S818" s="1004"/>
      <c r="T818" s="1004"/>
      <c r="U818" s="1004"/>
      <c r="V818" s="1004"/>
      <c r="W818" s="1004"/>
      <c r="X818" s="1004"/>
      <c r="Y818" s="1004"/>
      <c r="Z818" s="1004"/>
      <c r="AA818" s="1004"/>
      <c r="AB818" s="1004"/>
      <c r="AC818" s="1004"/>
      <c r="AD818" s="1004"/>
      <c r="AE818" s="1004"/>
      <c r="AF818" s="1004"/>
      <c r="AH818" s="1004"/>
      <c r="AI818" s="1004"/>
      <c r="AJ818" s="1004"/>
      <c r="AK818" s="1004"/>
      <c r="AL818" s="1004"/>
      <c r="AM818" s="1004"/>
      <c r="AN818" s="1842"/>
      <c r="AO818" s="1026"/>
      <c r="AP818" s="1084"/>
      <c r="AQ818" s="1084"/>
    </row>
    <row r="819" spans="1:43" s="1009" customFormat="1" ht="12.75" customHeight="1">
      <c r="A819" s="1004"/>
      <c r="B819" s="1004"/>
      <c r="C819" s="1004"/>
      <c r="D819" s="1004"/>
      <c r="E819" s="1004"/>
      <c r="F819" s="1004"/>
      <c r="G819" s="1004"/>
      <c r="H819" s="1004"/>
      <c r="I819" s="1004"/>
      <c r="J819" s="1004"/>
      <c r="K819" s="1004"/>
      <c r="L819" s="1004"/>
      <c r="M819" s="1004"/>
      <c r="N819" s="1004"/>
      <c r="O819" s="1004"/>
      <c r="P819" s="1004"/>
      <c r="Q819" s="1004"/>
      <c r="R819" s="1004"/>
      <c r="S819" s="1004"/>
      <c r="T819" s="1004"/>
      <c r="U819" s="1004"/>
      <c r="V819" s="1004"/>
      <c r="W819" s="1004"/>
      <c r="X819" s="1004"/>
      <c r="Y819" s="1004"/>
      <c r="Z819" s="1004"/>
      <c r="AA819" s="1004"/>
      <c r="AB819" s="1004"/>
      <c r="AC819" s="1004"/>
      <c r="AD819" s="1004"/>
      <c r="AE819" s="1004"/>
      <c r="AF819" s="1004"/>
      <c r="AH819" s="1004"/>
      <c r="AI819" s="1004"/>
      <c r="AJ819" s="1004"/>
      <c r="AK819" s="1004"/>
      <c r="AL819" s="1004"/>
      <c r="AM819" s="1004"/>
      <c r="AN819" s="1842"/>
      <c r="AO819" s="1026"/>
      <c r="AP819" s="1084"/>
      <c r="AQ819" s="1084"/>
    </row>
    <row r="820" spans="1:43" s="1009" customFormat="1" ht="12.75" customHeight="1">
      <c r="A820" s="1004"/>
      <c r="B820" s="1004"/>
      <c r="C820" s="1004"/>
      <c r="D820" s="1004"/>
      <c r="E820" s="1004"/>
      <c r="F820" s="1004"/>
      <c r="G820" s="1004"/>
      <c r="H820" s="1004"/>
      <c r="I820" s="1004"/>
      <c r="J820" s="1004"/>
      <c r="K820" s="1004"/>
      <c r="L820" s="1004"/>
      <c r="M820" s="1004"/>
      <c r="N820" s="1004"/>
      <c r="O820" s="1004"/>
      <c r="P820" s="1004"/>
      <c r="Q820" s="1004"/>
      <c r="R820" s="1004"/>
      <c r="S820" s="1004"/>
      <c r="T820" s="1004"/>
      <c r="U820" s="1004"/>
      <c r="V820" s="1004"/>
      <c r="W820" s="1004"/>
      <c r="X820" s="1004"/>
      <c r="Y820" s="1004"/>
      <c r="Z820" s="1004"/>
      <c r="AA820" s="1004"/>
      <c r="AB820" s="1004"/>
      <c r="AC820" s="1004"/>
      <c r="AD820" s="1004"/>
      <c r="AE820" s="1004"/>
      <c r="AF820" s="1004"/>
      <c r="AH820" s="1004"/>
      <c r="AI820" s="1004"/>
      <c r="AJ820" s="1004"/>
      <c r="AK820" s="1004"/>
      <c r="AL820" s="1004"/>
      <c r="AM820" s="1004"/>
      <c r="AN820" s="1842"/>
      <c r="AO820" s="1026"/>
      <c r="AP820" s="1084"/>
      <c r="AQ820" s="1084"/>
    </row>
    <row r="821" spans="1:43" s="1009" customFormat="1" ht="12.75" customHeight="1">
      <c r="A821" s="1004"/>
      <c r="B821" s="1004"/>
      <c r="C821" s="1004"/>
      <c r="D821" s="1004"/>
      <c r="E821" s="1004"/>
      <c r="F821" s="1004"/>
      <c r="G821" s="1004"/>
      <c r="H821" s="1004"/>
      <c r="I821" s="1004"/>
      <c r="J821" s="1004"/>
      <c r="K821" s="1004"/>
      <c r="L821" s="1004"/>
      <c r="M821" s="1004"/>
      <c r="N821" s="1004"/>
      <c r="O821" s="1004"/>
      <c r="P821" s="1004"/>
      <c r="Q821" s="1004"/>
      <c r="R821" s="1004"/>
      <c r="S821" s="1004"/>
      <c r="T821" s="1004"/>
      <c r="U821" s="1004"/>
      <c r="V821" s="1004"/>
      <c r="W821" s="1004"/>
      <c r="X821" s="1004"/>
      <c r="Y821" s="1004"/>
      <c r="Z821" s="1004"/>
      <c r="AA821" s="1004"/>
      <c r="AB821" s="1004"/>
      <c r="AC821" s="1004"/>
      <c r="AD821" s="1004"/>
      <c r="AE821" s="1004"/>
      <c r="AF821" s="1004"/>
      <c r="AH821" s="1004"/>
      <c r="AI821" s="1004"/>
      <c r="AJ821" s="1004"/>
      <c r="AK821" s="1004"/>
      <c r="AL821" s="1004"/>
      <c r="AM821" s="1004"/>
      <c r="AN821" s="1842"/>
      <c r="AO821" s="1026"/>
      <c r="AP821" s="1084"/>
      <c r="AQ821" s="1084"/>
    </row>
    <row r="822" spans="1:43" s="1009" customFormat="1" ht="12.75" customHeight="1">
      <c r="A822" s="1004"/>
      <c r="B822" s="1004"/>
      <c r="C822" s="1004"/>
      <c r="D822" s="1004"/>
      <c r="E822" s="1004"/>
      <c r="F822" s="1004"/>
      <c r="G822" s="1004"/>
      <c r="H822" s="1004"/>
      <c r="I822" s="1004"/>
      <c r="J822" s="1004"/>
      <c r="K822" s="1004"/>
      <c r="L822" s="1004"/>
      <c r="M822" s="1004"/>
      <c r="N822" s="1004"/>
      <c r="O822" s="1004"/>
      <c r="P822" s="1004"/>
      <c r="Q822" s="1004"/>
      <c r="R822" s="1004"/>
      <c r="S822" s="1004"/>
      <c r="T822" s="1004"/>
      <c r="U822" s="1004"/>
      <c r="V822" s="1004"/>
      <c r="W822" s="1004"/>
      <c r="X822" s="1004"/>
      <c r="Y822" s="1004"/>
      <c r="Z822" s="1004"/>
      <c r="AA822" s="1004"/>
      <c r="AB822" s="1004"/>
      <c r="AC822" s="1004"/>
      <c r="AD822" s="1004"/>
      <c r="AE822" s="1004"/>
      <c r="AF822" s="1004"/>
      <c r="AH822" s="1004"/>
      <c r="AI822" s="1004"/>
      <c r="AJ822" s="1004"/>
      <c r="AK822" s="1004"/>
      <c r="AL822" s="1004"/>
      <c r="AM822" s="1004"/>
      <c r="AN822" s="1842"/>
      <c r="AO822" s="1026"/>
      <c r="AP822" s="1084"/>
      <c r="AQ822" s="1084"/>
    </row>
    <row r="823" spans="1:43" s="1009" customFormat="1" ht="12.75" customHeight="1">
      <c r="A823" s="1004"/>
      <c r="B823" s="1004"/>
      <c r="C823" s="1004"/>
      <c r="D823" s="1004"/>
      <c r="E823" s="1004"/>
      <c r="F823" s="1004"/>
      <c r="G823" s="1004"/>
      <c r="H823" s="1004"/>
      <c r="I823" s="1004"/>
      <c r="J823" s="1004"/>
      <c r="K823" s="1004"/>
      <c r="L823" s="1004"/>
      <c r="M823" s="1004"/>
      <c r="N823" s="1004"/>
      <c r="O823" s="1004"/>
      <c r="P823" s="1004"/>
      <c r="Q823" s="1004"/>
      <c r="R823" s="1004"/>
      <c r="S823" s="1004"/>
      <c r="T823" s="1004"/>
      <c r="U823" s="1004"/>
      <c r="V823" s="1004"/>
      <c r="W823" s="1004"/>
      <c r="X823" s="1004"/>
      <c r="Y823" s="1004"/>
      <c r="Z823" s="1004"/>
      <c r="AA823" s="1004"/>
      <c r="AB823" s="1004"/>
      <c r="AC823" s="1004"/>
      <c r="AD823" s="1004"/>
      <c r="AE823" s="1004"/>
      <c r="AF823" s="1004"/>
      <c r="AH823" s="1004"/>
      <c r="AI823" s="1004"/>
      <c r="AJ823" s="1004"/>
      <c r="AK823" s="1004"/>
      <c r="AL823" s="1004"/>
      <c r="AM823" s="1004"/>
      <c r="AN823" s="1842"/>
      <c r="AO823" s="1026"/>
      <c r="AP823" s="1084"/>
      <c r="AQ823" s="1084"/>
    </row>
    <row r="824" spans="1:43" s="1009" customFormat="1" ht="12.75" customHeight="1">
      <c r="A824" s="1004"/>
      <c r="B824" s="1004"/>
      <c r="C824" s="1004"/>
      <c r="D824" s="1004"/>
      <c r="E824" s="1004"/>
      <c r="F824" s="1004"/>
      <c r="G824" s="1004"/>
      <c r="H824" s="1004"/>
      <c r="I824" s="1004"/>
      <c r="J824" s="1004"/>
      <c r="K824" s="1004"/>
      <c r="L824" s="1004"/>
      <c r="M824" s="1004"/>
      <c r="N824" s="1004"/>
      <c r="O824" s="1004"/>
      <c r="P824" s="1004"/>
      <c r="Q824" s="1004"/>
      <c r="R824" s="1004"/>
      <c r="S824" s="1004"/>
      <c r="T824" s="1004"/>
      <c r="U824" s="1004"/>
      <c r="V824" s="1004"/>
      <c r="W824" s="1004"/>
      <c r="X824" s="1004"/>
      <c r="Y824" s="1004"/>
      <c r="Z824" s="1004"/>
      <c r="AA824" s="1004"/>
      <c r="AB824" s="1004"/>
      <c r="AC824" s="1004"/>
      <c r="AD824" s="1004"/>
      <c r="AE824" s="1004"/>
      <c r="AF824" s="1004"/>
      <c r="AH824" s="1004"/>
      <c r="AI824" s="1004"/>
      <c r="AJ824" s="1004"/>
      <c r="AK824" s="1004"/>
      <c r="AL824" s="1004"/>
      <c r="AM824" s="1004"/>
      <c r="AN824" s="1842"/>
      <c r="AO824" s="1026"/>
      <c r="AP824" s="1084"/>
      <c r="AQ824" s="1084"/>
    </row>
    <row r="825" spans="1:43" s="1009" customFormat="1" ht="12.75" customHeight="1">
      <c r="A825" s="1004"/>
      <c r="B825" s="1004"/>
      <c r="C825" s="1004"/>
      <c r="D825" s="1004"/>
      <c r="E825" s="1004"/>
      <c r="F825" s="1004"/>
      <c r="G825" s="1004"/>
      <c r="H825" s="1004"/>
      <c r="I825" s="1004"/>
      <c r="J825" s="1004"/>
      <c r="K825" s="1004"/>
      <c r="L825" s="1004"/>
      <c r="M825" s="1004"/>
      <c r="N825" s="1004"/>
      <c r="O825" s="1004"/>
      <c r="P825" s="1004"/>
      <c r="Q825" s="1004"/>
      <c r="R825" s="1004"/>
      <c r="S825" s="1004"/>
      <c r="T825" s="1004"/>
      <c r="U825" s="1004"/>
      <c r="V825" s="1004"/>
      <c r="W825" s="1004"/>
      <c r="X825" s="1004"/>
      <c r="Y825" s="1004"/>
      <c r="Z825" s="1004"/>
      <c r="AA825" s="1004"/>
      <c r="AB825" s="1004"/>
      <c r="AC825" s="1004"/>
      <c r="AD825" s="1004"/>
      <c r="AE825" s="1004"/>
      <c r="AF825" s="1004"/>
      <c r="AH825" s="1004"/>
      <c r="AI825" s="1004"/>
      <c r="AJ825" s="1004"/>
      <c r="AK825" s="1004"/>
      <c r="AL825" s="1004"/>
      <c r="AM825" s="1004"/>
      <c r="AN825" s="1842"/>
      <c r="AO825" s="1026"/>
      <c r="AP825" s="1084"/>
      <c r="AQ825" s="1084"/>
    </row>
    <row r="826" spans="1:43" s="1009" customFormat="1" ht="12.75" customHeight="1">
      <c r="A826" s="1004"/>
      <c r="B826" s="1004"/>
      <c r="C826" s="1004"/>
      <c r="D826" s="1004"/>
      <c r="E826" s="1004"/>
      <c r="F826" s="1004"/>
      <c r="G826" s="1004"/>
      <c r="H826" s="1004"/>
      <c r="I826" s="1004"/>
      <c r="J826" s="1004"/>
      <c r="K826" s="1004"/>
      <c r="L826" s="1004"/>
      <c r="M826" s="1004"/>
      <c r="N826" s="1004"/>
      <c r="O826" s="1004"/>
      <c r="P826" s="1004"/>
      <c r="Q826" s="1004"/>
      <c r="R826" s="1004"/>
      <c r="S826" s="1004"/>
      <c r="T826" s="1004"/>
      <c r="U826" s="1004"/>
      <c r="V826" s="1004"/>
      <c r="W826" s="1004"/>
      <c r="X826" s="1004"/>
      <c r="Y826" s="1004"/>
      <c r="Z826" s="1004"/>
      <c r="AA826" s="1004"/>
      <c r="AB826" s="1004"/>
      <c r="AC826" s="1004"/>
      <c r="AD826" s="1004"/>
      <c r="AE826" s="1004"/>
      <c r="AF826" s="1004"/>
      <c r="AH826" s="1004"/>
      <c r="AI826" s="1004"/>
      <c r="AJ826" s="1004"/>
      <c r="AK826" s="1004"/>
      <c r="AL826" s="1004"/>
      <c r="AM826" s="1004"/>
      <c r="AN826" s="1842"/>
      <c r="AO826" s="1026"/>
      <c r="AP826" s="1084"/>
      <c r="AQ826" s="1084"/>
    </row>
    <row r="827" spans="1:43">
      <c r="A827" s="1004"/>
      <c r="AJ827" s="1004"/>
      <c r="AK827" s="1004"/>
      <c r="AL827" s="1004"/>
    </row>
    <row r="828" spans="1:43">
      <c r="A828" s="1004"/>
      <c r="AJ828" s="1004"/>
      <c r="AK828" s="1004"/>
      <c r="AL828" s="1004"/>
    </row>
    <row r="829" spans="1:43">
      <c r="A829" s="1004"/>
      <c r="AJ829" s="1004"/>
      <c r="AK829" s="1004"/>
      <c r="AL829" s="1004"/>
    </row>
    <row r="830" spans="1:43">
      <c r="A830" s="1004"/>
      <c r="AJ830" s="1004"/>
      <c r="AK830" s="1004"/>
      <c r="AL830" s="1004"/>
    </row>
    <row r="831" spans="1:43">
      <c r="A831" s="1004"/>
      <c r="AJ831" s="1004"/>
      <c r="AK831" s="1004"/>
      <c r="AL831" s="1004"/>
    </row>
    <row r="832" spans="1:43">
      <c r="A832" s="1004"/>
      <c r="AJ832" s="1004"/>
      <c r="AK832" s="1004"/>
      <c r="AL832" s="1004"/>
    </row>
    <row r="833" spans="1:40">
      <c r="A833" s="1004"/>
      <c r="AJ833" s="1004"/>
      <c r="AK833" s="1004"/>
      <c r="AL833" s="1004"/>
    </row>
    <row r="834" spans="1:40">
      <c r="A834" s="1004"/>
      <c r="AJ834" s="1004"/>
      <c r="AK834" s="1004"/>
      <c r="AL834" s="1004"/>
    </row>
    <row r="835" spans="1:40">
      <c r="A835" s="1004"/>
      <c r="AJ835" s="1004"/>
      <c r="AK835" s="1004"/>
      <c r="AL835" s="1004"/>
    </row>
    <row r="836" spans="1:40">
      <c r="A836" s="1004"/>
      <c r="AJ836" s="1004"/>
      <c r="AK836" s="1004"/>
      <c r="AL836" s="1004"/>
    </row>
    <row r="837" spans="1:40">
      <c r="A837" s="1004"/>
      <c r="AJ837" s="1004"/>
      <c r="AK837" s="1004"/>
      <c r="AL837" s="1004"/>
    </row>
    <row r="838" spans="1:40">
      <c r="A838" s="1004"/>
      <c r="AJ838" s="1004"/>
      <c r="AK838" s="1004"/>
      <c r="AL838" s="1004"/>
    </row>
    <row r="839" spans="1:40">
      <c r="A839" s="1004"/>
      <c r="AJ839" s="1004"/>
      <c r="AK839" s="1004"/>
      <c r="AL839" s="1004"/>
    </row>
    <row r="840" spans="1:40">
      <c r="A840" s="1004"/>
      <c r="AJ840" s="1004"/>
      <c r="AK840" s="1004"/>
      <c r="AL840" s="1004"/>
    </row>
    <row r="841" spans="1:40">
      <c r="A841" s="1004"/>
      <c r="AJ841" s="1004"/>
      <c r="AK841" s="1004"/>
      <c r="AL841" s="1004"/>
    </row>
    <row r="842" spans="1:40">
      <c r="A842" s="1004"/>
      <c r="AJ842" s="1004"/>
      <c r="AK842" s="1004"/>
      <c r="AL842" s="1004"/>
    </row>
    <row r="843" spans="1:40">
      <c r="A843" s="1004"/>
      <c r="AJ843" s="1004"/>
      <c r="AK843" s="1004"/>
      <c r="AL843" s="1004"/>
    </row>
    <row r="844" spans="1:40">
      <c r="A844" s="1004"/>
      <c r="AJ844" s="1004"/>
      <c r="AK844" s="1004"/>
      <c r="AL844" s="1004"/>
    </row>
    <row r="845" spans="1:40">
      <c r="A845" s="1009"/>
      <c r="AJ845" s="1004"/>
      <c r="AK845" s="1004"/>
      <c r="AL845" s="1004"/>
      <c r="AN845" s="1004"/>
    </row>
    <row r="846" spans="1:40">
      <c r="A846" s="1009"/>
      <c r="B846" s="1009"/>
      <c r="C846" s="1009"/>
      <c r="D846" s="1009"/>
      <c r="E846" s="1009"/>
      <c r="F846" s="1009"/>
      <c r="G846" s="1009"/>
      <c r="H846" s="1009"/>
      <c r="I846" s="1009"/>
      <c r="J846" s="1009"/>
      <c r="K846" s="1009"/>
      <c r="L846" s="1009"/>
      <c r="M846" s="1009"/>
      <c r="N846" s="1009"/>
      <c r="O846" s="1009"/>
      <c r="P846" s="1009"/>
      <c r="Q846" s="1009"/>
      <c r="R846" s="1009"/>
      <c r="S846" s="1009"/>
      <c r="T846" s="1009"/>
      <c r="U846" s="1009"/>
      <c r="V846" s="1009"/>
      <c r="W846" s="1009"/>
      <c r="X846" s="1009"/>
      <c r="Y846" s="1009"/>
      <c r="Z846" s="1009"/>
      <c r="AA846" s="1009"/>
      <c r="AB846" s="1009"/>
      <c r="AC846" s="1009"/>
      <c r="AD846" s="1009"/>
      <c r="AE846" s="1009"/>
      <c r="AF846" s="1009"/>
      <c r="AH846" s="1009"/>
      <c r="AI846" s="1009"/>
      <c r="AJ846" s="1009"/>
      <c r="AK846" s="1009"/>
      <c r="AL846" s="1009"/>
      <c r="AM846" s="1009"/>
      <c r="AN846" s="1026"/>
    </row>
    <row r="847" spans="1:40">
      <c r="A847" s="1009"/>
      <c r="B847" s="1009"/>
      <c r="C847" s="1009"/>
      <c r="D847" s="1009"/>
      <c r="E847" s="1009"/>
      <c r="F847" s="1009"/>
      <c r="G847" s="1009"/>
      <c r="H847" s="1009"/>
      <c r="I847" s="1009"/>
      <c r="J847" s="1009"/>
      <c r="K847" s="1009"/>
      <c r="L847" s="1009"/>
      <c r="M847" s="1009"/>
      <c r="N847" s="1009"/>
      <c r="O847" s="1009"/>
      <c r="P847" s="1009"/>
      <c r="Q847" s="1009"/>
      <c r="R847" s="1009"/>
      <c r="S847" s="1009"/>
      <c r="T847" s="1009"/>
      <c r="U847" s="1009"/>
      <c r="V847" s="1009"/>
      <c r="W847" s="1009"/>
      <c r="X847" s="1009"/>
      <c r="Y847" s="1009"/>
      <c r="Z847" s="1009"/>
      <c r="AA847" s="1009"/>
      <c r="AB847" s="1009"/>
      <c r="AC847" s="1009"/>
      <c r="AD847" s="1009"/>
      <c r="AE847" s="1009"/>
      <c r="AF847" s="1009"/>
      <c r="AH847" s="1009"/>
      <c r="AI847" s="1009"/>
      <c r="AJ847" s="1009"/>
      <c r="AK847" s="1009"/>
      <c r="AL847" s="1009"/>
      <c r="AM847" s="1009"/>
      <c r="AN847" s="1026"/>
    </row>
    <row r="848" spans="1:40">
      <c r="A848" s="1009"/>
      <c r="B848" s="1009"/>
      <c r="C848" s="1009"/>
      <c r="D848" s="1009"/>
      <c r="E848" s="1009"/>
      <c r="F848" s="1009"/>
      <c r="G848" s="1009"/>
      <c r="H848" s="1009"/>
      <c r="I848" s="1009"/>
      <c r="J848" s="1009"/>
      <c r="K848" s="1009"/>
      <c r="L848" s="1009"/>
      <c r="M848" s="1009"/>
      <c r="N848" s="1009"/>
      <c r="O848" s="1009"/>
      <c r="P848" s="1009"/>
      <c r="Q848" s="1009"/>
      <c r="R848" s="1009"/>
      <c r="S848" s="1009"/>
      <c r="T848" s="1009"/>
      <c r="U848" s="1009"/>
      <c r="V848" s="1009"/>
      <c r="W848" s="1009"/>
      <c r="X848" s="1009"/>
      <c r="Y848" s="1009"/>
      <c r="Z848" s="1009"/>
      <c r="AA848" s="1009"/>
      <c r="AB848" s="1009"/>
      <c r="AC848" s="1009"/>
      <c r="AD848" s="1009"/>
      <c r="AE848" s="1009"/>
      <c r="AF848" s="1009"/>
      <c r="AH848" s="1009"/>
      <c r="AI848" s="1009"/>
      <c r="AJ848" s="1009"/>
      <c r="AK848" s="1009"/>
      <c r="AL848" s="1009"/>
      <c r="AM848" s="1009"/>
      <c r="AN848" s="1026"/>
    </row>
    <row r="849" spans="1:40">
      <c r="A849" s="1009"/>
      <c r="B849" s="1009"/>
      <c r="C849" s="1009"/>
      <c r="D849" s="1009"/>
      <c r="E849" s="1009"/>
      <c r="F849" s="1009"/>
      <c r="G849" s="1009"/>
      <c r="H849" s="1009"/>
      <c r="I849" s="1009"/>
      <c r="J849" s="1009"/>
      <c r="K849" s="1009"/>
      <c r="L849" s="1009"/>
      <c r="M849" s="1009"/>
      <c r="N849" s="1009"/>
      <c r="O849" s="1009"/>
      <c r="P849" s="1009"/>
      <c r="Q849" s="1009"/>
      <c r="R849" s="1009"/>
      <c r="S849" s="1009"/>
      <c r="T849" s="1009"/>
      <c r="U849" s="1009"/>
      <c r="V849" s="1009"/>
      <c r="W849" s="1009"/>
      <c r="X849" s="1009"/>
      <c r="Y849" s="1009"/>
      <c r="Z849" s="1009"/>
      <c r="AA849" s="1009"/>
      <c r="AB849" s="1009"/>
      <c r="AC849" s="1009"/>
      <c r="AD849" s="1009"/>
      <c r="AE849" s="1009"/>
      <c r="AF849" s="1009"/>
      <c r="AH849" s="1009"/>
      <c r="AI849" s="1009"/>
      <c r="AJ849" s="1009"/>
      <c r="AK849" s="1009"/>
      <c r="AL849" s="1009"/>
      <c r="AM849" s="1009"/>
      <c r="AN849" s="1026"/>
    </row>
    <row r="850" spans="1:40">
      <c r="A850" s="1009"/>
      <c r="B850" s="1009"/>
      <c r="C850" s="1009"/>
      <c r="D850" s="1009"/>
      <c r="E850" s="1009"/>
      <c r="F850" s="1009"/>
      <c r="G850" s="1009"/>
      <c r="H850" s="1009"/>
      <c r="I850" s="1009"/>
      <c r="J850" s="1009"/>
      <c r="K850" s="1009"/>
      <c r="L850" s="1009"/>
      <c r="M850" s="1009"/>
      <c r="N850" s="1009"/>
      <c r="O850" s="1009"/>
      <c r="P850" s="1009"/>
      <c r="Q850" s="1009"/>
      <c r="R850" s="1009"/>
      <c r="S850" s="1009"/>
      <c r="T850" s="1009"/>
      <c r="U850" s="1009"/>
      <c r="V850" s="1009"/>
      <c r="W850" s="1009"/>
      <c r="X850" s="1009"/>
      <c r="Y850" s="1009"/>
      <c r="Z850" s="1009"/>
      <c r="AA850" s="1009"/>
      <c r="AB850" s="1009"/>
      <c r="AC850" s="1009"/>
      <c r="AD850" s="1009"/>
      <c r="AE850" s="1009"/>
      <c r="AF850" s="1009"/>
      <c r="AH850" s="1009"/>
      <c r="AI850" s="1009"/>
      <c r="AJ850" s="1009"/>
      <c r="AK850" s="1009"/>
      <c r="AL850" s="1009"/>
      <c r="AM850" s="1009"/>
      <c r="AN850" s="1026"/>
    </row>
    <row r="851" spans="1:40">
      <c r="A851" s="1009"/>
      <c r="B851" s="1009"/>
      <c r="C851" s="1009"/>
      <c r="D851" s="1009"/>
      <c r="E851" s="1009"/>
      <c r="F851" s="1009"/>
      <c r="G851" s="1009"/>
      <c r="H851" s="1009"/>
      <c r="I851" s="1009"/>
      <c r="J851" s="1009"/>
      <c r="K851" s="1009"/>
      <c r="L851" s="1009"/>
      <c r="M851" s="1009"/>
      <c r="N851" s="1009"/>
      <c r="O851" s="1009"/>
      <c r="P851" s="1009"/>
      <c r="Q851" s="1009"/>
      <c r="R851" s="1009"/>
      <c r="S851" s="1009"/>
      <c r="T851" s="1009"/>
      <c r="U851" s="1009"/>
      <c r="V851" s="1009"/>
      <c r="W851" s="1009"/>
      <c r="X851" s="1009"/>
      <c r="Y851" s="1009"/>
      <c r="Z851" s="1009"/>
      <c r="AA851" s="1009"/>
      <c r="AB851" s="1009"/>
      <c r="AC851" s="1009"/>
      <c r="AD851" s="1009"/>
      <c r="AE851" s="1009"/>
      <c r="AF851" s="1009"/>
      <c r="AH851" s="1009"/>
      <c r="AI851" s="1009"/>
      <c r="AJ851" s="1009"/>
      <c r="AK851" s="1009"/>
      <c r="AL851" s="1009"/>
      <c r="AM851" s="1009"/>
      <c r="AN851" s="1026"/>
    </row>
    <row r="852" spans="1:40">
      <c r="A852" s="1009"/>
      <c r="B852" s="1009"/>
      <c r="C852" s="1009"/>
      <c r="D852" s="1009"/>
      <c r="E852" s="1009"/>
      <c r="F852" s="1009"/>
      <c r="G852" s="1009"/>
      <c r="H852" s="1009"/>
      <c r="I852" s="1009"/>
      <c r="J852" s="1009"/>
      <c r="K852" s="1009"/>
      <c r="L852" s="1009"/>
      <c r="M852" s="1009"/>
      <c r="N852" s="1009"/>
      <c r="O852" s="1009"/>
      <c r="P852" s="1009"/>
      <c r="Q852" s="1009"/>
      <c r="R852" s="1009"/>
      <c r="S852" s="1009"/>
      <c r="T852" s="1009"/>
      <c r="U852" s="1009"/>
      <c r="V852" s="1009"/>
      <c r="W852" s="1009"/>
      <c r="X852" s="1009"/>
      <c r="Y852" s="1009"/>
      <c r="Z852" s="1009"/>
      <c r="AA852" s="1009"/>
      <c r="AB852" s="1009"/>
      <c r="AC852" s="1009"/>
      <c r="AD852" s="1009"/>
      <c r="AE852" s="1009"/>
      <c r="AF852" s="1009"/>
      <c r="AH852" s="1009"/>
      <c r="AI852" s="1009"/>
      <c r="AJ852" s="1009"/>
      <c r="AK852" s="1009"/>
      <c r="AL852" s="1009"/>
      <c r="AM852" s="1009"/>
      <c r="AN852" s="1026"/>
    </row>
    <row r="853" spans="1:40">
      <c r="A853" s="1009"/>
      <c r="B853" s="1009"/>
      <c r="C853" s="1009"/>
      <c r="D853" s="1009"/>
      <c r="E853" s="1009"/>
      <c r="F853" s="1009"/>
      <c r="G853" s="1009"/>
      <c r="H853" s="1009"/>
      <c r="I853" s="1009"/>
      <c r="J853" s="1009"/>
      <c r="K853" s="1009"/>
      <c r="L853" s="1009"/>
      <c r="M853" s="1009"/>
      <c r="N853" s="1009"/>
      <c r="O853" s="1009"/>
      <c r="P853" s="1009"/>
      <c r="Q853" s="1009"/>
      <c r="R853" s="1009"/>
      <c r="S853" s="1009"/>
      <c r="T853" s="1009"/>
      <c r="U853" s="1009"/>
      <c r="V853" s="1009"/>
      <c r="W853" s="1009"/>
      <c r="X853" s="1009"/>
      <c r="Y853" s="1009"/>
      <c r="Z853" s="1009"/>
      <c r="AA853" s="1009"/>
      <c r="AB853" s="1009"/>
      <c r="AC853" s="1009"/>
      <c r="AD853" s="1009"/>
      <c r="AE853" s="1009"/>
      <c r="AF853" s="1009"/>
      <c r="AH853" s="1009"/>
      <c r="AI853" s="1009"/>
      <c r="AJ853" s="1009"/>
      <c r="AK853" s="1009"/>
      <c r="AL853" s="1009"/>
      <c r="AM853" s="1009"/>
      <c r="AN853" s="1026"/>
    </row>
    <row r="854" spans="1:40">
      <c r="A854" s="1009"/>
      <c r="B854" s="1009"/>
      <c r="C854" s="1009"/>
      <c r="D854" s="1009"/>
      <c r="E854" s="1009"/>
      <c r="F854" s="1009"/>
      <c r="G854" s="1009"/>
      <c r="H854" s="1009"/>
      <c r="I854" s="1009"/>
      <c r="J854" s="1009"/>
      <c r="K854" s="1009"/>
      <c r="L854" s="1009"/>
      <c r="M854" s="1009"/>
      <c r="N854" s="1009"/>
      <c r="O854" s="1009"/>
      <c r="P854" s="1009"/>
      <c r="Q854" s="1009"/>
      <c r="R854" s="1009"/>
      <c r="S854" s="1009"/>
      <c r="T854" s="1009"/>
      <c r="U854" s="1009"/>
      <c r="V854" s="1009"/>
      <c r="W854" s="1009"/>
      <c r="X854" s="1009"/>
      <c r="Y854" s="1009"/>
      <c r="Z854" s="1009"/>
      <c r="AA854" s="1009"/>
      <c r="AB854" s="1009"/>
      <c r="AC854" s="1009"/>
      <c r="AD854" s="1009"/>
      <c r="AE854" s="1009"/>
      <c r="AF854" s="1009"/>
      <c r="AH854" s="1009"/>
      <c r="AI854" s="1009"/>
      <c r="AJ854" s="1009"/>
      <c r="AK854" s="1009"/>
      <c r="AL854" s="1009"/>
      <c r="AM854" s="1009"/>
      <c r="AN854" s="1026"/>
    </row>
    <row r="855" spans="1:40">
      <c r="A855" s="1009"/>
      <c r="B855" s="1009"/>
      <c r="C855" s="1009"/>
      <c r="D855" s="1009"/>
      <c r="E855" s="1009"/>
      <c r="F855" s="1009"/>
      <c r="G855" s="1009"/>
      <c r="H855" s="1009"/>
      <c r="I855" s="1009"/>
      <c r="J855" s="1009"/>
      <c r="K855" s="1009"/>
      <c r="L855" s="1009"/>
      <c r="M855" s="1009"/>
      <c r="N855" s="1009"/>
      <c r="O855" s="1009"/>
      <c r="P855" s="1009"/>
      <c r="Q855" s="1009"/>
      <c r="R855" s="1009"/>
      <c r="S855" s="1009"/>
      <c r="T855" s="1009"/>
      <c r="U855" s="1009"/>
      <c r="V855" s="1009"/>
      <c r="W855" s="1009"/>
      <c r="X855" s="1009"/>
      <c r="Y855" s="1009"/>
      <c r="Z855" s="1009"/>
      <c r="AA855" s="1009"/>
      <c r="AB855" s="1009"/>
      <c r="AC855" s="1009"/>
      <c r="AD855" s="1009"/>
      <c r="AE855" s="1009"/>
      <c r="AF855" s="1009"/>
      <c r="AH855" s="1009"/>
      <c r="AI855" s="1009"/>
      <c r="AJ855" s="1009"/>
      <c r="AK855" s="1009"/>
      <c r="AL855" s="1009"/>
      <c r="AM855" s="1009"/>
      <c r="AN855" s="1026"/>
    </row>
    <row r="856" spans="1:40">
      <c r="A856" s="1009"/>
      <c r="B856" s="1009"/>
      <c r="C856" s="1009"/>
      <c r="D856" s="1009"/>
      <c r="E856" s="1009"/>
      <c r="F856" s="1009"/>
      <c r="G856" s="1009"/>
      <c r="H856" s="1009"/>
      <c r="I856" s="1009"/>
      <c r="J856" s="1009"/>
      <c r="K856" s="1009"/>
      <c r="L856" s="1009"/>
      <c r="M856" s="1009"/>
      <c r="N856" s="1009"/>
      <c r="O856" s="1009"/>
      <c r="P856" s="1009"/>
      <c r="Q856" s="1009"/>
      <c r="R856" s="1009"/>
      <c r="S856" s="1009"/>
      <c r="T856" s="1009"/>
      <c r="U856" s="1009"/>
      <c r="V856" s="1009"/>
      <c r="W856" s="1009"/>
      <c r="X856" s="1009"/>
      <c r="Y856" s="1009"/>
      <c r="Z856" s="1009"/>
      <c r="AA856" s="1009"/>
      <c r="AB856" s="1009"/>
      <c r="AC856" s="1009"/>
      <c r="AD856" s="1009"/>
      <c r="AE856" s="1009"/>
      <c r="AF856" s="1009"/>
      <c r="AH856" s="1009"/>
      <c r="AI856" s="1009"/>
      <c r="AJ856" s="1009"/>
      <c r="AK856" s="1009"/>
      <c r="AL856" s="1009"/>
      <c r="AM856" s="1009"/>
      <c r="AN856" s="1026"/>
    </row>
    <row r="857" spans="1:40">
      <c r="A857" s="1009"/>
      <c r="B857" s="1009"/>
      <c r="C857" s="1009"/>
      <c r="D857" s="1009"/>
      <c r="E857" s="1009"/>
      <c r="F857" s="1009"/>
      <c r="G857" s="1009"/>
      <c r="H857" s="1009"/>
      <c r="I857" s="1009"/>
      <c r="J857" s="1009"/>
      <c r="K857" s="1009"/>
      <c r="L857" s="1009"/>
      <c r="M857" s="1009"/>
      <c r="N857" s="1009"/>
      <c r="O857" s="1009"/>
      <c r="P857" s="1009"/>
      <c r="Q857" s="1009"/>
      <c r="R857" s="1009"/>
      <c r="S857" s="1009"/>
      <c r="T857" s="1009"/>
      <c r="U857" s="1009"/>
      <c r="V857" s="1009"/>
      <c r="W857" s="1009"/>
      <c r="X857" s="1009"/>
      <c r="Y857" s="1009"/>
      <c r="Z857" s="1009"/>
      <c r="AA857" s="1009"/>
      <c r="AB857" s="1009"/>
      <c r="AC857" s="1009"/>
      <c r="AD857" s="1009"/>
      <c r="AE857" s="1009"/>
      <c r="AF857" s="1009"/>
      <c r="AH857" s="1009"/>
      <c r="AI857" s="1009"/>
      <c r="AJ857" s="1009"/>
      <c r="AK857" s="1009"/>
      <c r="AL857" s="1009"/>
      <c r="AM857" s="1009"/>
      <c r="AN857" s="1026"/>
    </row>
    <row r="858" spans="1:40">
      <c r="A858" s="1009"/>
      <c r="B858" s="1009"/>
      <c r="C858" s="1009"/>
      <c r="D858" s="1009"/>
      <c r="E858" s="1009"/>
      <c r="F858" s="1009"/>
      <c r="G858" s="1009"/>
      <c r="H858" s="1009"/>
      <c r="I858" s="1009"/>
      <c r="J858" s="1009"/>
      <c r="K858" s="1009"/>
      <c r="L858" s="1009"/>
      <c r="M858" s="1009"/>
      <c r="N858" s="1009"/>
      <c r="O858" s="1009"/>
      <c r="P858" s="1009"/>
      <c r="Q858" s="1009"/>
      <c r="R858" s="1009"/>
      <c r="S858" s="1009"/>
      <c r="T858" s="1009"/>
      <c r="U858" s="1009"/>
      <c r="V858" s="1009"/>
      <c r="W858" s="1009"/>
      <c r="X858" s="1009"/>
      <c r="Y858" s="1009"/>
      <c r="Z858" s="1009"/>
      <c r="AA858" s="1009"/>
      <c r="AB858" s="1009"/>
      <c r="AC858" s="1009"/>
      <c r="AD858" s="1009"/>
      <c r="AE858" s="1009"/>
      <c r="AF858" s="1009"/>
      <c r="AH858" s="1009"/>
      <c r="AI858" s="1009"/>
      <c r="AJ858" s="1009"/>
      <c r="AK858" s="1009"/>
      <c r="AL858" s="1009"/>
      <c r="AM858" s="1009"/>
      <c r="AN858" s="1026"/>
    </row>
    <row r="859" spans="1:40">
      <c r="B859" s="1009"/>
      <c r="C859" s="1009"/>
      <c r="D859" s="1009"/>
      <c r="E859" s="1009"/>
      <c r="F859" s="1009"/>
      <c r="G859" s="1009"/>
      <c r="H859" s="1009"/>
      <c r="I859" s="1009"/>
      <c r="J859" s="1009"/>
      <c r="K859" s="1009"/>
      <c r="L859" s="1009"/>
      <c r="M859" s="1009"/>
      <c r="N859" s="1009"/>
      <c r="O859" s="1009"/>
      <c r="P859" s="1009"/>
      <c r="Q859" s="1009"/>
      <c r="R859" s="1009"/>
      <c r="S859" s="1009"/>
      <c r="T859" s="1009"/>
      <c r="U859" s="1009"/>
      <c r="V859" s="1009"/>
      <c r="W859" s="1009"/>
      <c r="X859" s="1009"/>
      <c r="Y859" s="1009"/>
      <c r="Z859" s="1009"/>
      <c r="AA859" s="1009"/>
      <c r="AB859" s="1009"/>
      <c r="AC859" s="1009"/>
      <c r="AD859" s="1009"/>
      <c r="AE859" s="1009"/>
      <c r="AF859" s="1009"/>
      <c r="AH859" s="1009"/>
      <c r="AI859" s="1009"/>
      <c r="AJ859" s="1009"/>
      <c r="AK859" s="1009"/>
      <c r="AL859" s="1009"/>
      <c r="AM859" s="1009"/>
      <c r="AN859" s="1026"/>
    </row>
  </sheetData>
  <sheetProtection algorithmName="SHA-512" hashValue="RWy+0+m6dUfKY9iZD5uRSC5DI1S0Rw8B3vRJNW0fSXXC6Ha7ExbabP/cQ0IPLhyNfjcLthg6PPHM18wKyvXVVw==" saltValue="n2iakU9WVE0Pbqnty53ZfA==" spinCount="100000" sheet="1" scenarios="1" formatCells="0" formatColumns="0" formatRows="0"/>
  <mergeCells count="154">
    <mergeCell ref="C4:F4"/>
    <mergeCell ref="B38:C38"/>
    <mergeCell ref="B41:C41"/>
    <mergeCell ref="J64:K64"/>
    <mergeCell ref="C6:F6"/>
    <mergeCell ref="B9:B10"/>
    <mergeCell ref="B44:C44"/>
    <mergeCell ref="B17:C17"/>
    <mergeCell ref="B18:C18"/>
    <mergeCell ref="B30:C30"/>
    <mergeCell ref="B46:C46"/>
    <mergeCell ref="B37:C37"/>
    <mergeCell ref="B40:C40"/>
    <mergeCell ref="B43:C43"/>
    <mergeCell ref="B19:C19"/>
    <mergeCell ref="B42:C42"/>
    <mergeCell ref="E36:H36"/>
    <mergeCell ref="J62:K62"/>
    <mergeCell ref="J63:K63"/>
    <mergeCell ref="B7:C8"/>
    <mergeCell ref="B20:C20"/>
    <mergeCell ref="B21:C21"/>
    <mergeCell ref="B22:C22"/>
    <mergeCell ref="B23:C23"/>
    <mergeCell ref="B11:C11"/>
    <mergeCell ref="F72:G72"/>
    <mergeCell ref="E84:G84"/>
    <mergeCell ref="E200:G200"/>
    <mergeCell ref="E210:G210"/>
    <mergeCell ref="E217:G217"/>
    <mergeCell ref="E218:G218"/>
    <mergeCell ref="E168:G168"/>
    <mergeCell ref="B64:G64"/>
    <mergeCell ref="B13:C13"/>
    <mergeCell ref="B14:C14"/>
    <mergeCell ref="B16:C16"/>
    <mergeCell ref="B15:C15"/>
    <mergeCell ref="B70:C70"/>
    <mergeCell ref="E154:G154"/>
    <mergeCell ref="E201:G201"/>
    <mergeCell ref="E212:G212"/>
    <mergeCell ref="B173:C173"/>
    <mergeCell ref="E85:G85"/>
    <mergeCell ref="D87:F87"/>
    <mergeCell ref="E101:G101"/>
    <mergeCell ref="E214:G214"/>
    <mergeCell ref="B12:C12"/>
    <mergeCell ref="B170:C170"/>
    <mergeCell ref="B448:B449"/>
    <mergeCell ref="E244:G244"/>
    <mergeCell ref="B220:D220"/>
    <mergeCell ref="E262:G262"/>
    <mergeCell ref="B238:H238"/>
    <mergeCell ref="E236:G236"/>
    <mergeCell ref="B231:H231"/>
    <mergeCell ref="E233:G233"/>
    <mergeCell ref="E235:G235"/>
    <mergeCell ref="E234:G234"/>
    <mergeCell ref="E241:G241"/>
    <mergeCell ref="B243:H243"/>
    <mergeCell ref="B256:H256"/>
    <mergeCell ref="B239:C239"/>
    <mergeCell ref="E245:G245"/>
    <mergeCell ref="E246:G246"/>
    <mergeCell ref="E232:G232"/>
    <mergeCell ref="B250:H250"/>
    <mergeCell ref="E293:G293"/>
    <mergeCell ref="E294:G294"/>
    <mergeCell ref="E303:G303"/>
    <mergeCell ref="E304:G304"/>
    <mergeCell ref="E305:G305"/>
    <mergeCell ref="E308:G308"/>
    <mergeCell ref="AO6:AQ8"/>
    <mergeCell ref="AO2:AQ4"/>
    <mergeCell ref="B69:G69"/>
    <mergeCell ref="F70:G70"/>
    <mergeCell ref="F71:G71"/>
    <mergeCell ref="B68:G68"/>
    <mergeCell ref="B71:C71"/>
    <mergeCell ref="B75:C75"/>
    <mergeCell ref="B73:C73"/>
    <mergeCell ref="F73:G73"/>
    <mergeCell ref="B74:C74"/>
    <mergeCell ref="B24:C24"/>
    <mergeCell ref="B25:C25"/>
    <mergeCell ref="B26:C26"/>
    <mergeCell ref="B27:C27"/>
    <mergeCell ref="B28:C28"/>
    <mergeCell ref="B39:C39"/>
    <mergeCell ref="B45:C45"/>
    <mergeCell ref="M2:M3"/>
    <mergeCell ref="P4:Q4"/>
    <mergeCell ref="AJ2:AJ3"/>
    <mergeCell ref="E7:H7"/>
    <mergeCell ref="E8:H8"/>
    <mergeCell ref="E10:H10"/>
    <mergeCell ref="B29:C29"/>
    <mergeCell ref="E287:G287"/>
    <mergeCell ref="B56:C56"/>
    <mergeCell ref="B47:C47"/>
    <mergeCell ref="B48:C48"/>
    <mergeCell ref="B49:C49"/>
    <mergeCell ref="B50:C50"/>
    <mergeCell ref="B51:C51"/>
    <mergeCell ref="B52:C52"/>
    <mergeCell ref="B53:C53"/>
    <mergeCell ref="B54:C54"/>
    <mergeCell ref="B55:C55"/>
    <mergeCell ref="E247:G247"/>
    <mergeCell ref="E248:G248"/>
    <mergeCell ref="E211:G211"/>
    <mergeCell ref="E203:G203"/>
    <mergeCell ref="E222:G222"/>
    <mergeCell ref="E226:G226"/>
    <mergeCell ref="E220:G220"/>
    <mergeCell ref="E155:G155"/>
    <mergeCell ref="E216:G216"/>
    <mergeCell ref="E207:G207"/>
    <mergeCell ref="E206:G206"/>
    <mergeCell ref="B72:C72"/>
    <mergeCell ref="E63:H63"/>
    <mergeCell ref="B67:G67"/>
    <mergeCell ref="E209:G209"/>
    <mergeCell ref="E193:G193"/>
    <mergeCell ref="E215:G215"/>
    <mergeCell ref="E219:G219"/>
    <mergeCell ref="F105:G105"/>
    <mergeCell ref="F106:G106"/>
    <mergeCell ref="F166:H166"/>
    <mergeCell ref="E205:G205"/>
    <mergeCell ref="F75:G75"/>
    <mergeCell ref="F76:G76"/>
    <mergeCell ref="E208:G208"/>
    <mergeCell ref="F74:G74"/>
    <mergeCell ref="E113:H113"/>
    <mergeCell ref="E213:G213"/>
    <mergeCell ref="E202:G202"/>
    <mergeCell ref="E204:G204"/>
    <mergeCell ref="B176:C176"/>
    <mergeCell ref="B179:C179"/>
    <mergeCell ref="B182:C182"/>
    <mergeCell ref="E309:G309"/>
    <mergeCell ref="E312:G312"/>
    <mergeCell ref="B307:H307"/>
    <mergeCell ref="E295:G295"/>
    <mergeCell ref="E296:G296"/>
    <mergeCell ref="E297:G297"/>
    <mergeCell ref="E298:G298"/>
    <mergeCell ref="E299:G299"/>
    <mergeCell ref="E300:G300"/>
    <mergeCell ref="E301:G301"/>
    <mergeCell ref="E302:G302"/>
    <mergeCell ref="E310:G310"/>
    <mergeCell ref="E311:G311"/>
  </mergeCells>
  <conditionalFormatting sqref="E207:G207 E219:G219">
    <cfRule type="expression" dxfId="340" priority="1066">
      <formula>$E$220&lt;&gt;0</formula>
    </cfRule>
  </conditionalFormatting>
  <conditionalFormatting sqref="I164 I170 I173 I167">
    <cfRule type="expression" dxfId="339" priority="1760">
      <formula>$L$4&gt;$I$6</formula>
    </cfRule>
  </conditionalFormatting>
  <conditionalFormatting sqref="J164 J170 J173 J167">
    <cfRule type="expression" dxfId="338" priority="1765">
      <formula>$L$4&gt;$J$6</formula>
    </cfRule>
  </conditionalFormatting>
  <conditionalFormatting sqref="K164 K170 K173 K167">
    <cfRule type="expression" dxfId="337" priority="1770">
      <formula>$L$4&gt;$K$6</formula>
    </cfRule>
  </conditionalFormatting>
  <conditionalFormatting sqref="L164 L170 L173 L167">
    <cfRule type="expression" dxfId="336" priority="1775">
      <formula>$L$4&gt;$L$6</formula>
    </cfRule>
  </conditionalFormatting>
  <conditionalFormatting sqref="M164 M170 M173 M167">
    <cfRule type="expression" dxfId="335" priority="1780">
      <formula>$L$4&gt;$M$6</formula>
    </cfRule>
  </conditionalFormatting>
  <conditionalFormatting sqref="N164 N170 N173 N167">
    <cfRule type="expression" dxfId="334" priority="1785">
      <formula>$L$4&gt;$N$6</formula>
    </cfRule>
  </conditionalFormatting>
  <conditionalFormatting sqref="O164 O170 O173 O167">
    <cfRule type="expression" dxfId="333" priority="1790">
      <formula>$L$4&gt;$O$6</formula>
    </cfRule>
  </conditionalFormatting>
  <conditionalFormatting sqref="P164 P170 P173 P167">
    <cfRule type="expression" dxfId="332" priority="1795">
      <formula>$L$4&gt;$P$6</formula>
    </cfRule>
  </conditionalFormatting>
  <conditionalFormatting sqref="Q164 Q170 Q173 Q167">
    <cfRule type="expression" dxfId="331" priority="1800">
      <formula>$L$4&gt;$Q$6</formula>
    </cfRule>
  </conditionalFormatting>
  <conditionalFormatting sqref="R164 R170 R173 R167">
    <cfRule type="expression" dxfId="330" priority="1805">
      <formula>$L$4&gt;$R$6</formula>
    </cfRule>
  </conditionalFormatting>
  <conditionalFormatting sqref="S164 S170 S173 S167">
    <cfRule type="expression" dxfId="329" priority="1810">
      <formula>$L$4&gt;$S$6</formula>
    </cfRule>
  </conditionalFormatting>
  <conditionalFormatting sqref="L2">
    <cfRule type="expression" dxfId="328" priority="2310">
      <formula>$M$4=1</formula>
    </cfRule>
  </conditionalFormatting>
  <conditionalFormatting sqref="T31:AF32">
    <cfRule type="expression" dxfId="327" priority="723">
      <formula>"fx!$C$49=2"</formula>
    </cfRule>
  </conditionalFormatting>
  <conditionalFormatting sqref="I6:I8">
    <cfRule type="expression" dxfId="326" priority="709">
      <formula>$L$4&gt;$I$6</formula>
    </cfRule>
  </conditionalFormatting>
  <conditionalFormatting sqref="J6:J8">
    <cfRule type="expression" dxfId="325" priority="708">
      <formula>$L$4&gt;$J$6</formula>
    </cfRule>
  </conditionalFormatting>
  <conditionalFormatting sqref="K6:K8">
    <cfRule type="expression" dxfId="324" priority="707">
      <formula>$L$4&gt;$K$6</formula>
    </cfRule>
  </conditionalFormatting>
  <conditionalFormatting sqref="L6:L8">
    <cfRule type="expression" dxfId="323" priority="706">
      <formula>$L$4&gt;$L$6</formula>
    </cfRule>
  </conditionalFormatting>
  <conditionalFormatting sqref="M6:M8">
    <cfRule type="expression" dxfId="322" priority="705">
      <formula>$L$4&gt;$M$6</formula>
    </cfRule>
  </conditionalFormatting>
  <conditionalFormatting sqref="N6:N8">
    <cfRule type="expression" dxfId="321" priority="704">
      <formula>$L$4&gt;$N$6</formula>
    </cfRule>
  </conditionalFormatting>
  <conditionalFormatting sqref="O6:O8">
    <cfRule type="expression" dxfId="320" priority="703">
      <formula>$L$4&gt;$O$6</formula>
    </cfRule>
  </conditionalFormatting>
  <conditionalFormatting sqref="P6:P8">
    <cfRule type="expression" dxfId="319" priority="702">
      <formula>$L$4&gt;$P$6</formula>
    </cfRule>
  </conditionalFormatting>
  <conditionalFormatting sqref="Q6:Q8">
    <cfRule type="expression" dxfId="318" priority="701">
      <formula>$L$4&gt;$Q$6</formula>
    </cfRule>
  </conditionalFormatting>
  <conditionalFormatting sqref="R6:R8">
    <cfRule type="expression" dxfId="317" priority="700">
      <formula>$L$4&gt;$R$6</formula>
    </cfRule>
  </conditionalFormatting>
  <conditionalFormatting sqref="S6:S8">
    <cfRule type="expression" dxfId="316" priority="699">
      <formula>$L$4&gt;$S$6</formula>
    </cfRule>
  </conditionalFormatting>
  <conditionalFormatting sqref="L4">
    <cfRule type="expression" dxfId="315" priority="698">
      <formula>$M$4=1</formula>
    </cfRule>
  </conditionalFormatting>
  <conditionalFormatting sqref="N4">
    <cfRule type="expression" dxfId="314" priority="697">
      <formula>$M$4=1</formula>
    </cfRule>
  </conditionalFormatting>
  <conditionalFormatting sqref="I126:I133">
    <cfRule type="expression" dxfId="313" priority="583">
      <formula>$L$4&gt;$I$6</formula>
    </cfRule>
  </conditionalFormatting>
  <conditionalFormatting sqref="J126:J133">
    <cfRule type="expression" dxfId="312" priority="582">
      <formula>$L$4&gt;$J$6</formula>
    </cfRule>
  </conditionalFormatting>
  <conditionalFormatting sqref="K126:K133">
    <cfRule type="expression" dxfId="311" priority="581">
      <formula>$L$4&gt;$K$6</formula>
    </cfRule>
  </conditionalFormatting>
  <conditionalFormatting sqref="L126:L133">
    <cfRule type="expression" dxfId="310" priority="580">
      <formula>$L$4&gt;$L$6</formula>
    </cfRule>
  </conditionalFormatting>
  <conditionalFormatting sqref="M126:M133">
    <cfRule type="expression" dxfId="309" priority="579">
      <formula>$L$4&gt;$M$6</formula>
    </cfRule>
  </conditionalFormatting>
  <conditionalFormatting sqref="N126:N133">
    <cfRule type="expression" dxfId="308" priority="578">
      <formula>$L$4&gt;$N$6</formula>
    </cfRule>
  </conditionalFormatting>
  <conditionalFormatting sqref="O126:O133">
    <cfRule type="expression" dxfId="307" priority="577">
      <formula>$L$4&gt;$O$6</formula>
    </cfRule>
  </conditionalFormatting>
  <conditionalFormatting sqref="P126:P133">
    <cfRule type="expression" dxfId="306" priority="576">
      <formula>$L$4&gt;$P$6</formula>
    </cfRule>
  </conditionalFormatting>
  <conditionalFormatting sqref="Q126:Q133">
    <cfRule type="expression" dxfId="305" priority="575">
      <formula>$L$4&gt;$Q$6</formula>
    </cfRule>
  </conditionalFormatting>
  <conditionalFormatting sqref="R126:R133">
    <cfRule type="expression" dxfId="304" priority="574">
      <formula>$L$4&gt;$R$6</formula>
    </cfRule>
  </conditionalFormatting>
  <conditionalFormatting sqref="S126:S133">
    <cfRule type="expression" dxfId="303" priority="573">
      <formula>$L$4&gt;$S$6</formula>
    </cfRule>
  </conditionalFormatting>
  <conditionalFormatting sqref="I34">
    <cfRule type="expression" dxfId="302" priority="303">
      <formula>$L$4&gt;$I$6</formula>
    </cfRule>
  </conditionalFormatting>
  <conditionalFormatting sqref="I60">
    <cfRule type="expression" dxfId="301" priority="302">
      <formula>$L$4&gt;$I$6</formula>
    </cfRule>
  </conditionalFormatting>
  <conditionalFormatting sqref="J34">
    <cfRule type="expression" dxfId="300" priority="301">
      <formula>$L$4&gt;$J$6</formula>
    </cfRule>
  </conditionalFormatting>
  <conditionalFormatting sqref="J60">
    <cfRule type="expression" dxfId="299" priority="300">
      <formula>$L$4&gt;$J$6</formula>
    </cfRule>
  </conditionalFormatting>
  <conditionalFormatting sqref="K34">
    <cfRule type="expression" dxfId="298" priority="299">
      <formula>$L$4&gt;$K$6</formula>
    </cfRule>
  </conditionalFormatting>
  <conditionalFormatting sqref="K60">
    <cfRule type="expression" dxfId="297" priority="298">
      <formula>$L$4&gt;$K$6</formula>
    </cfRule>
  </conditionalFormatting>
  <conditionalFormatting sqref="L34">
    <cfRule type="expression" dxfId="296" priority="297">
      <formula>$L$4&gt;$L$6</formula>
    </cfRule>
  </conditionalFormatting>
  <conditionalFormatting sqref="L60">
    <cfRule type="expression" dxfId="295" priority="296">
      <formula>$L$4&gt;$L$6</formula>
    </cfRule>
  </conditionalFormatting>
  <conditionalFormatting sqref="M34">
    <cfRule type="expression" dxfId="294" priority="295">
      <formula>$L$4&gt;$M$6</formula>
    </cfRule>
  </conditionalFormatting>
  <conditionalFormatting sqref="M60">
    <cfRule type="expression" dxfId="293" priority="294">
      <formula>$L$4&gt;$M$6</formula>
    </cfRule>
  </conditionalFormatting>
  <conditionalFormatting sqref="N34">
    <cfRule type="expression" dxfId="292" priority="293">
      <formula>$L$4&gt;$N$6</formula>
    </cfRule>
  </conditionalFormatting>
  <conditionalFormatting sqref="N60">
    <cfRule type="expression" dxfId="291" priority="292">
      <formula>$L$4&gt;$N$6</formula>
    </cfRule>
  </conditionalFormatting>
  <conditionalFormatting sqref="O34">
    <cfRule type="expression" dxfId="290" priority="289">
      <formula>$L$4&gt;$O$6</formula>
    </cfRule>
  </conditionalFormatting>
  <conditionalFormatting sqref="O60">
    <cfRule type="expression" dxfId="289" priority="288">
      <formula>$L$4&gt;$O$6</formula>
    </cfRule>
  </conditionalFormatting>
  <conditionalFormatting sqref="P34">
    <cfRule type="expression" dxfId="288" priority="287">
      <formula>$L$4&gt;$P$6</formula>
    </cfRule>
  </conditionalFormatting>
  <conditionalFormatting sqref="P60">
    <cfRule type="expression" dxfId="287" priority="286">
      <formula>$L$4&gt;$P$6</formula>
    </cfRule>
  </conditionalFormatting>
  <conditionalFormatting sqref="Q34">
    <cfRule type="expression" dxfId="286" priority="285">
      <formula>$L$4&gt;$Q$6</formula>
    </cfRule>
  </conditionalFormatting>
  <conditionalFormatting sqref="Q60">
    <cfRule type="expression" dxfId="285" priority="284">
      <formula>$L$4&gt;$Q$6</formula>
    </cfRule>
  </conditionalFormatting>
  <conditionalFormatting sqref="R34">
    <cfRule type="expression" dxfId="284" priority="283">
      <formula>$L$4&gt;$R$6</formula>
    </cfRule>
  </conditionalFormatting>
  <conditionalFormatting sqref="R60">
    <cfRule type="expression" dxfId="283" priority="282">
      <formula>$L$4&gt;$R$6</formula>
    </cfRule>
  </conditionalFormatting>
  <conditionalFormatting sqref="S34">
    <cfRule type="expression" dxfId="282" priority="281">
      <formula>$L$4&gt;$S$6</formula>
    </cfRule>
  </conditionalFormatting>
  <conditionalFormatting sqref="S60">
    <cfRule type="expression" dxfId="281" priority="280">
      <formula>$L$4&gt;$S$6</formula>
    </cfRule>
  </conditionalFormatting>
  <conditionalFormatting sqref="I81">
    <cfRule type="expression" dxfId="280" priority="279">
      <formula>$L$4&gt;$I$6</formula>
    </cfRule>
  </conditionalFormatting>
  <conditionalFormatting sqref="J81">
    <cfRule type="expression" dxfId="279" priority="278">
      <formula>$L$4&gt;$J$6</formula>
    </cfRule>
  </conditionalFormatting>
  <conditionalFormatting sqref="K81">
    <cfRule type="expression" dxfId="278" priority="277">
      <formula>$L$4&gt;$K$6</formula>
    </cfRule>
  </conditionalFormatting>
  <conditionalFormatting sqref="L81">
    <cfRule type="expression" dxfId="277" priority="276">
      <formula>$L$4&gt;$L$6</formula>
    </cfRule>
  </conditionalFormatting>
  <conditionalFormatting sqref="M81">
    <cfRule type="expression" dxfId="276" priority="275">
      <formula>$L$4&gt;$M$6</formula>
    </cfRule>
  </conditionalFormatting>
  <conditionalFormatting sqref="N81">
    <cfRule type="expression" dxfId="275" priority="274">
      <formula>$L$4&gt;$N$6</formula>
    </cfRule>
  </conditionalFormatting>
  <conditionalFormatting sqref="O81">
    <cfRule type="expression" dxfId="274" priority="273">
      <formula>$L$4&gt;$O$6</formula>
    </cfRule>
  </conditionalFormatting>
  <conditionalFormatting sqref="P81">
    <cfRule type="expression" dxfId="273" priority="272">
      <formula>$L$4&gt;$P$6</formula>
    </cfRule>
  </conditionalFormatting>
  <conditionalFormatting sqref="Q81">
    <cfRule type="expression" dxfId="272" priority="271">
      <formula>$L$4&gt;$Q$6</formula>
    </cfRule>
  </conditionalFormatting>
  <conditionalFormatting sqref="R81">
    <cfRule type="expression" dxfId="271" priority="270">
      <formula>$L$4&gt;$R$6</formula>
    </cfRule>
  </conditionalFormatting>
  <conditionalFormatting sqref="S81">
    <cfRule type="expression" dxfId="270" priority="269">
      <formula>$L$4&gt;$S$6</formula>
    </cfRule>
  </conditionalFormatting>
  <conditionalFormatting sqref="I86">
    <cfRule type="expression" dxfId="269" priority="268">
      <formula>$L$4&gt;$I$6</formula>
    </cfRule>
  </conditionalFormatting>
  <conditionalFormatting sqref="J86">
    <cfRule type="expression" dxfId="268" priority="267">
      <formula>$L$4&gt;$J$6</formula>
    </cfRule>
  </conditionalFormatting>
  <conditionalFormatting sqref="K86">
    <cfRule type="expression" dxfId="267" priority="266">
      <formula>$L$4&gt;$K$6</formula>
    </cfRule>
  </conditionalFormatting>
  <conditionalFormatting sqref="L86">
    <cfRule type="expression" dxfId="266" priority="265">
      <formula>$L$4&gt;$L$6</formula>
    </cfRule>
  </conditionalFormatting>
  <conditionalFormatting sqref="M86">
    <cfRule type="expression" dxfId="265" priority="264">
      <formula>$L$4&gt;$M$6</formula>
    </cfRule>
  </conditionalFormatting>
  <conditionalFormatting sqref="N86">
    <cfRule type="expression" dxfId="264" priority="263">
      <formula>$L$4&gt;$N$6</formula>
    </cfRule>
  </conditionalFormatting>
  <conditionalFormatting sqref="O86">
    <cfRule type="expression" dxfId="263" priority="262">
      <formula>$L$4&gt;$O$6</formula>
    </cfRule>
  </conditionalFormatting>
  <conditionalFormatting sqref="P86">
    <cfRule type="expression" dxfId="262" priority="261">
      <formula>$L$4&gt;$P$6</formula>
    </cfRule>
  </conditionalFormatting>
  <conditionalFormatting sqref="Q86">
    <cfRule type="expression" dxfId="261" priority="260">
      <formula>$L$4&gt;$Q$6</formula>
    </cfRule>
  </conditionalFormatting>
  <conditionalFormatting sqref="R86">
    <cfRule type="expression" dxfId="260" priority="259">
      <formula>$L$4&gt;$R$6</formula>
    </cfRule>
  </conditionalFormatting>
  <conditionalFormatting sqref="S86">
    <cfRule type="expression" dxfId="259" priority="258">
      <formula>$L$4&gt;$S$6</formula>
    </cfRule>
  </conditionalFormatting>
  <conditionalFormatting sqref="I109">
    <cfRule type="expression" dxfId="258" priority="257">
      <formula>$L$4&gt;$I$6</formula>
    </cfRule>
  </conditionalFormatting>
  <conditionalFormatting sqref="J109">
    <cfRule type="expression" dxfId="257" priority="256">
      <formula>$L$4&gt;$J$6</formula>
    </cfRule>
  </conditionalFormatting>
  <conditionalFormatting sqref="K109">
    <cfRule type="expression" dxfId="256" priority="255">
      <formula>$L$4&gt;$K$6</formula>
    </cfRule>
  </conditionalFormatting>
  <conditionalFormatting sqref="L109">
    <cfRule type="expression" dxfId="255" priority="254">
      <formula>$L$4&gt;$L$6</formula>
    </cfRule>
  </conditionalFormatting>
  <conditionalFormatting sqref="M109">
    <cfRule type="expression" dxfId="254" priority="253">
      <formula>$L$4&gt;$M$6</formula>
    </cfRule>
  </conditionalFormatting>
  <conditionalFormatting sqref="N109">
    <cfRule type="expression" dxfId="253" priority="252">
      <formula>$L$4&gt;$N$6</formula>
    </cfRule>
  </conditionalFormatting>
  <conditionalFormatting sqref="O109">
    <cfRule type="expression" dxfId="252" priority="251">
      <formula>$L$4&gt;$O$6</formula>
    </cfRule>
  </conditionalFormatting>
  <conditionalFormatting sqref="P109">
    <cfRule type="expression" dxfId="251" priority="250">
      <formula>$L$4&gt;$P$6</formula>
    </cfRule>
  </conditionalFormatting>
  <conditionalFormatting sqref="Q109">
    <cfRule type="expression" dxfId="250" priority="249">
      <formula>$L$4&gt;$Q$6</formula>
    </cfRule>
  </conditionalFormatting>
  <conditionalFormatting sqref="R109">
    <cfRule type="expression" dxfId="249" priority="248">
      <formula>$L$4&gt;$R$6</formula>
    </cfRule>
  </conditionalFormatting>
  <conditionalFormatting sqref="S109">
    <cfRule type="expression" dxfId="248" priority="247">
      <formula>$L$4&gt;$S$6</formula>
    </cfRule>
  </conditionalFormatting>
  <conditionalFormatting sqref="I112">
    <cfRule type="expression" dxfId="247" priority="246">
      <formula>$L$4&gt;$I$6</formula>
    </cfRule>
  </conditionalFormatting>
  <conditionalFormatting sqref="J112">
    <cfRule type="expression" dxfId="246" priority="245">
      <formula>$L$4&gt;$J$6</formula>
    </cfRule>
  </conditionalFormatting>
  <conditionalFormatting sqref="K112">
    <cfRule type="expression" dxfId="245" priority="244">
      <formula>$L$4&gt;$K$6</formula>
    </cfRule>
  </conditionalFormatting>
  <conditionalFormatting sqref="L112">
    <cfRule type="expression" dxfId="244" priority="243">
      <formula>$L$4&gt;$L$6</formula>
    </cfRule>
  </conditionalFormatting>
  <conditionalFormatting sqref="M112">
    <cfRule type="expression" dxfId="243" priority="242">
      <formula>$L$4&gt;$M$6</formula>
    </cfRule>
  </conditionalFormatting>
  <conditionalFormatting sqref="N112">
    <cfRule type="expression" dxfId="242" priority="241">
      <formula>$L$4&gt;$N$6</formula>
    </cfRule>
  </conditionalFormatting>
  <conditionalFormatting sqref="O112">
    <cfRule type="expression" dxfId="241" priority="240">
      <formula>$L$4&gt;$O$6</formula>
    </cfRule>
  </conditionalFormatting>
  <conditionalFormatting sqref="P112">
    <cfRule type="expression" dxfId="240" priority="239">
      <formula>$L$4&gt;$P$6</formula>
    </cfRule>
  </conditionalFormatting>
  <conditionalFormatting sqref="Q112">
    <cfRule type="expression" dxfId="239" priority="238">
      <formula>$L$4&gt;$Q$6</formula>
    </cfRule>
  </conditionalFormatting>
  <conditionalFormatting sqref="R112">
    <cfRule type="expression" dxfId="238" priority="237">
      <formula>$L$4&gt;$R$6</formula>
    </cfRule>
  </conditionalFormatting>
  <conditionalFormatting sqref="S112">
    <cfRule type="expression" dxfId="237" priority="236">
      <formula>$L$4&gt;$S$6</formula>
    </cfRule>
  </conditionalFormatting>
  <conditionalFormatting sqref="I136">
    <cfRule type="expression" dxfId="236" priority="235">
      <formula>$L$4&gt;$I$6</formula>
    </cfRule>
  </conditionalFormatting>
  <conditionalFormatting sqref="J136">
    <cfRule type="expression" dxfId="235" priority="234">
      <formula>$L$4&gt;$J$6</formula>
    </cfRule>
  </conditionalFormatting>
  <conditionalFormatting sqref="K136">
    <cfRule type="expression" dxfId="234" priority="233">
      <formula>$L$4&gt;$K$6</formula>
    </cfRule>
  </conditionalFormatting>
  <conditionalFormatting sqref="L136">
    <cfRule type="expression" dxfId="233" priority="232">
      <formula>$L$4&gt;$L$6</formula>
    </cfRule>
  </conditionalFormatting>
  <conditionalFormatting sqref="M136">
    <cfRule type="expression" dxfId="232" priority="231">
      <formula>$L$4&gt;$M$6</formula>
    </cfRule>
  </conditionalFormatting>
  <conditionalFormatting sqref="N136">
    <cfRule type="expression" dxfId="231" priority="230">
      <formula>$L$4&gt;$N$6</formula>
    </cfRule>
  </conditionalFormatting>
  <conditionalFormatting sqref="O136">
    <cfRule type="expression" dxfId="230" priority="229">
      <formula>$L$4&gt;$O$6</formula>
    </cfRule>
  </conditionalFormatting>
  <conditionalFormatting sqref="P136">
    <cfRule type="expression" dxfId="229" priority="228">
      <formula>$L$4&gt;$P$6</formula>
    </cfRule>
  </conditionalFormatting>
  <conditionalFormatting sqref="Q136">
    <cfRule type="expression" dxfId="228" priority="227">
      <formula>$L$4&gt;$Q$6</formula>
    </cfRule>
  </conditionalFormatting>
  <conditionalFormatting sqref="R136">
    <cfRule type="expression" dxfId="227" priority="226">
      <formula>$L$4&gt;$R$6</formula>
    </cfRule>
  </conditionalFormatting>
  <conditionalFormatting sqref="S136">
    <cfRule type="expression" dxfId="226" priority="225">
      <formula>$L$4&gt;$S$6</formula>
    </cfRule>
  </conditionalFormatting>
  <conditionalFormatting sqref="I157">
    <cfRule type="expression" dxfId="225" priority="224">
      <formula>$L$4&gt;$I$6</formula>
    </cfRule>
  </conditionalFormatting>
  <conditionalFormatting sqref="J157">
    <cfRule type="expression" dxfId="224" priority="223">
      <formula>$L$4&gt;$J$6</formula>
    </cfRule>
  </conditionalFormatting>
  <conditionalFormatting sqref="K157">
    <cfRule type="expression" dxfId="223" priority="222">
      <formula>$L$4&gt;$K$6</formula>
    </cfRule>
  </conditionalFormatting>
  <conditionalFormatting sqref="L157">
    <cfRule type="expression" dxfId="222" priority="221">
      <formula>$L$4&gt;$L$6</formula>
    </cfRule>
  </conditionalFormatting>
  <conditionalFormatting sqref="M157">
    <cfRule type="expression" dxfId="221" priority="220">
      <formula>$L$4&gt;$M$6</formula>
    </cfRule>
  </conditionalFormatting>
  <conditionalFormatting sqref="N157">
    <cfRule type="expression" dxfId="220" priority="219">
      <formula>$L$4&gt;$N$6</formula>
    </cfRule>
  </conditionalFormatting>
  <conditionalFormatting sqref="O157">
    <cfRule type="expression" dxfId="219" priority="218">
      <formula>$L$4&gt;$O$6</formula>
    </cfRule>
  </conditionalFormatting>
  <conditionalFormatting sqref="P157">
    <cfRule type="expression" dxfId="218" priority="217">
      <formula>$L$4&gt;$P$6</formula>
    </cfRule>
  </conditionalFormatting>
  <conditionalFormatting sqref="Q157">
    <cfRule type="expression" dxfId="217" priority="216">
      <formula>$L$4&gt;$Q$6</formula>
    </cfRule>
  </conditionalFormatting>
  <conditionalFormatting sqref="R157">
    <cfRule type="expression" dxfId="216" priority="215">
      <formula>$L$4&gt;$R$6</formula>
    </cfRule>
  </conditionalFormatting>
  <conditionalFormatting sqref="S157">
    <cfRule type="expression" dxfId="215" priority="214">
      <formula>$L$4&gt;$S$6</formula>
    </cfRule>
  </conditionalFormatting>
  <conditionalFormatting sqref="I161">
    <cfRule type="expression" dxfId="214" priority="213">
      <formula>$L$4&gt;$I$6</formula>
    </cfRule>
  </conditionalFormatting>
  <conditionalFormatting sqref="J161">
    <cfRule type="expression" dxfId="213" priority="212">
      <formula>$L$4&gt;$J$6</formula>
    </cfRule>
  </conditionalFormatting>
  <conditionalFormatting sqref="K161">
    <cfRule type="expression" dxfId="212" priority="211">
      <formula>$L$4&gt;$K$6</formula>
    </cfRule>
  </conditionalFormatting>
  <conditionalFormatting sqref="L161">
    <cfRule type="expression" dxfId="211" priority="210">
      <formula>$L$4&gt;$L$6</formula>
    </cfRule>
  </conditionalFormatting>
  <conditionalFormatting sqref="M161">
    <cfRule type="expression" dxfId="210" priority="209">
      <formula>$L$4&gt;$M$6</formula>
    </cfRule>
  </conditionalFormatting>
  <conditionalFormatting sqref="N161">
    <cfRule type="expression" dxfId="209" priority="208">
      <formula>$L$4&gt;$N$6</formula>
    </cfRule>
  </conditionalFormatting>
  <conditionalFormatting sqref="O161">
    <cfRule type="expression" dxfId="208" priority="207">
      <formula>$L$4&gt;$O$6</formula>
    </cfRule>
  </conditionalFormatting>
  <conditionalFormatting sqref="P161">
    <cfRule type="expression" dxfId="207" priority="206">
      <formula>$L$4&gt;$P$6</formula>
    </cfRule>
  </conditionalFormatting>
  <conditionalFormatting sqref="Q161">
    <cfRule type="expression" dxfId="206" priority="205">
      <formula>$L$4&gt;$Q$6</formula>
    </cfRule>
  </conditionalFormatting>
  <conditionalFormatting sqref="R161">
    <cfRule type="expression" dxfId="205" priority="204">
      <formula>$L$4&gt;$R$6</formula>
    </cfRule>
  </conditionalFormatting>
  <conditionalFormatting sqref="S161">
    <cfRule type="expression" dxfId="204" priority="203">
      <formula>$L$4&gt;$S$6</formula>
    </cfRule>
  </conditionalFormatting>
  <conditionalFormatting sqref="I169">
    <cfRule type="expression" dxfId="203" priority="202">
      <formula>$L$4&gt;$I$6</formula>
    </cfRule>
  </conditionalFormatting>
  <conditionalFormatting sqref="J169">
    <cfRule type="expression" dxfId="202" priority="201">
      <formula>$L$4&gt;$J$6</formula>
    </cfRule>
  </conditionalFormatting>
  <conditionalFormatting sqref="K169">
    <cfRule type="expression" dxfId="201" priority="200">
      <formula>$L$4&gt;$K$6</formula>
    </cfRule>
  </conditionalFormatting>
  <conditionalFormatting sqref="L169">
    <cfRule type="expression" dxfId="200" priority="199">
      <formula>$L$4&gt;$L$6</formula>
    </cfRule>
  </conditionalFormatting>
  <conditionalFormatting sqref="M169">
    <cfRule type="expression" dxfId="199" priority="198">
      <formula>$L$4&gt;$M$6</formula>
    </cfRule>
  </conditionalFormatting>
  <conditionalFormatting sqref="N169">
    <cfRule type="expression" dxfId="198" priority="197">
      <formula>$L$4&gt;$N$6</formula>
    </cfRule>
  </conditionalFormatting>
  <conditionalFormatting sqref="O169">
    <cfRule type="expression" dxfId="197" priority="196">
      <formula>$L$4&gt;$O$6</formula>
    </cfRule>
  </conditionalFormatting>
  <conditionalFormatting sqref="P169">
    <cfRule type="expression" dxfId="196" priority="195">
      <formula>$L$4&gt;$P$6</formula>
    </cfRule>
  </conditionalFormatting>
  <conditionalFormatting sqref="Q169">
    <cfRule type="expression" dxfId="195" priority="194">
      <formula>$L$4&gt;$Q$6</formula>
    </cfRule>
  </conditionalFormatting>
  <conditionalFormatting sqref="R169">
    <cfRule type="expression" dxfId="194" priority="193">
      <formula>$L$4&gt;$R$6</formula>
    </cfRule>
  </conditionalFormatting>
  <conditionalFormatting sqref="S169">
    <cfRule type="expression" dxfId="193" priority="192">
      <formula>$L$4&gt;$S$6</formula>
    </cfRule>
  </conditionalFormatting>
  <conditionalFormatting sqref="I187">
    <cfRule type="expression" dxfId="192" priority="191">
      <formula>$L$4&gt;$I$6</formula>
    </cfRule>
  </conditionalFormatting>
  <conditionalFormatting sqref="J187">
    <cfRule type="expression" dxfId="191" priority="190">
      <formula>$L$4&gt;$J$6</formula>
    </cfRule>
  </conditionalFormatting>
  <conditionalFormatting sqref="K187">
    <cfRule type="expression" dxfId="190" priority="189">
      <formula>$L$4&gt;$K$6</formula>
    </cfRule>
  </conditionalFormatting>
  <conditionalFormatting sqref="L187">
    <cfRule type="expression" dxfId="189" priority="188">
      <formula>$L$4&gt;$L$6</formula>
    </cfRule>
  </conditionalFormatting>
  <conditionalFormatting sqref="M187">
    <cfRule type="expression" dxfId="188" priority="187">
      <formula>$L$4&gt;$M$6</formula>
    </cfRule>
  </conditionalFormatting>
  <conditionalFormatting sqref="N187">
    <cfRule type="expression" dxfId="187" priority="186">
      <formula>$L$4&gt;$N$6</formula>
    </cfRule>
  </conditionalFormatting>
  <conditionalFormatting sqref="O187">
    <cfRule type="expression" dxfId="186" priority="185">
      <formula>$L$4&gt;$O$6</formula>
    </cfRule>
  </conditionalFormatting>
  <conditionalFormatting sqref="P187">
    <cfRule type="expression" dxfId="185" priority="184">
      <formula>$L$4&gt;$P$6</formula>
    </cfRule>
  </conditionalFormatting>
  <conditionalFormatting sqref="Q187">
    <cfRule type="expression" dxfId="184" priority="183">
      <formula>$L$4&gt;$Q$6</formula>
    </cfRule>
  </conditionalFormatting>
  <conditionalFormatting sqref="R187">
    <cfRule type="expression" dxfId="183" priority="182">
      <formula>$L$4&gt;$R$6</formula>
    </cfRule>
  </conditionalFormatting>
  <conditionalFormatting sqref="S187">
    <cfRule type="expression" dxfId="182" priority="181">
      <formula>$L$4&gt;$S$6</formula>
    </cfRule>
  </conditionalFormatting>
  <conditionalFormatting sqref="I194">
    <cfRule type="expression" dxfId="181" priority="180">
      <formula>$L$4&gt;$I$6</formula>
    </cfRule>
  </conditionalFormatting>
  <conditionalFormatting sqref="J194">
    <cfRule type="expression" dxfId="180" priority="179">
      <formula>$L$4&gt;$J$6</formula>
    </cfRule>
  </conditionalFormatting>
  <conditionalFormatting sqref="K194">
    <cfRule type="expression" dxfId="179" priority="178">
      <formula>$L$4&gt;$K$6</formula>
    </cfRule>
  </conditionalFormatting>
  <conditionalFormatting sqref="L194">
    <cfRule type="expression" dxfId="178" priority="177">
      <formula>$L$4&gt;$L$6</formula>
    </cfRule>
  </conditionalFormatting>
  <conditionalFormatting sqref="M194">
    <cfRule type="expression" dxfId="177" priority="176">
      <formula>$L$4&gt;$M$6</formula>
    </cfRule>
  </conditionalFormatting>
  <conditionalFormatting sqref="N194">
    <cfRule type="expression" dxfId="176" priority="175">
      <formula>$L$4&gt;$N$6</formula>
    </cfRule>
  </conditionalFormatting>
  <conditionalFormatting sqref="O194">
    <cfRule type="expression" dxfId="175" priority="174">
      <formula>$L$4&gt;$O$6</formula>
    </cfRule>
  </conditionalFormatting>
  <conditionalFormatting sqref="P194">
    <cfRule type="expression" dxfId="174" priority="173">
      <formula>$L$4&gt;$P$6</formula>
    </cfRule>
  </conditionalFormatting>
  <conditionalFormatting sqref="Q194">
    <cfRule type="expression" dxfId="173" priority="172">
      <formula>$L$4&gt;$Q$6</formula>
    </cfRule>
  </conditionalFormatting>
  <conditionalFormatting sqref="R194">
    <cfRule type="expression" dxfId="172" priority="171">
      <formula>$L$4&gt;$R$6</formula>
    </cfRule>
  </conditionalFormatting>
  <conditionalFormatting sqref="S194">
    <cfRule type="expression" dxfId="171" priority="170">
      <formula>$L$4&gt;$S$6</formula>
    </cfRule>
  </conditionalFormatting>
  <conditionalFormatting sqref="I230">
    <cfRule type="expression" dxfId="170" priority="169">
      <formula>$L$4&gt;$I$6</formula>
    </cfRule>
  </conditionalFormatting>
  <conditionalFormatting sqref="J230">
    <cfRule type="expression" dxfId="169" priority="168">
      <formula>$L$4&gt;$J$6</formula>
    </cfRule>
  </conditionalFormatting>
  <conditionalFormatting sqref="K230">
    <cfRule type="expression" dxfId="168" priority="167">
      <formula>$L$4&gt;$K$6</formula>
    </cfRule>
  </conditionalFormatting>
  <conditionalFormatting sqref="L230">
    <cfRule type="expression" dxfId="167" priority="166">
      <formula>$L$4&gt;$L$6</formula>
    </cfRule>
  </conditionalFormatting>
  <conditionalFormatting sqref="M230">
    <cfRule type="expression" dxfId="166" priority="165">
      <formula>$L$4&gt;$M$6</formula>
    </cfRule>
  </conditionalFormatting>
  <conditionalFormatting sqref="N230">
    <cfRule type="expression" dxfId="165" priority="164">
      <formula>$L$4&gt;$N$6</formula>
    </cfRule>
  </conditionalFormatting>
  <conditionalFormatting sqref="O230">
    <cfRule type="expression" dxfId="164" priority="163">
      <formula>$L$4&gt;$O$6</formula>
    </cfRule>
  </conditionalFormatting>
  <conditionalFormatting sqref="P230">
    <cfRule type="expression" dxfId="163" priority="162">
      <formula>$L$4&gt;$P$6</formula>
    </cfRule>
  </conditionalFormatting>
  <conditionalFormatting sqref="Q230">
    <cfRule type="expression" dxfId="162" priority="161">
      <formula>$L$4&gt;$Q$6</formula>
    </cfRule>
  </conditionalFormatting>
  <conditionalFormatting sqref="R230">
    <cfRule type="expression" dxfId="161" priority="160">
      <formula>$L$4&gt;$R$6</formula>
    </cfRule>
  </conditionalFormatting>
  <conditionalFormatting sqref="S230">
    <cfRule type="expression" dxfId="160" priority="159">
      <formula>$L$4&gt;$S$6</formula>
    </cfRule>
  </conditionalFormatting>
  <conditionalFormatting sqref="I237">
    <cfRule type="expression" dxfId="159" priority="158">
      <formula>$L$4&gt;$I$6</formula>
    </cfRule>
  </conditionalFormatting>
  <conditionalFormatting sqref="J237">
    <cfRule type="expression" dxfId="158" priority="157">
      <formula>$L$4&gt;$J$6</formula>
    </cfRule>
  </conditionalFormatting>
  <conditionalFormatting sqref="K237">
    <cfRule type="expression" dxfId="157" priority="156">
      <formula>$L$4&gt;$K$6</formula>
    </cfRule>
  </conditionalFormatting>
  <conditionalFormatting sqref="L237">
    <cfRule type="expression" dxfId="156" priority="155">
      <formula>$L$4&gt;$L$6</formula>
    </cfRule>
  </conditionalFormatting>
  <conditionalFormatting sqref="M237">
    <cfRule type="expression" dxfId="155" priority="154">
      <formula>$L$4&gt;$M$6</formula>
    </cfRule>
  </conditionalFormatting>
  <conditionalFormatting sqref="N237">
    <cfRule type="expression" dxfId="154" priority="153">
      <formula>$L$4&gt;$N$6</formula>
    </cfRule>
  </conditionalFormatting>
  <conditionalFormatting sqref="O237">
    <cfRule type="expression" dxfId="153" priority="152">
      <formula>$L$4&gt;$O$6</formula>
    </cfRule>
  </conditionalFormatting>
  <conditionalFormatting sqref="P237">
    <cfRule type="expression" dxfId="152" priority="151">
      <formula>$L$4&gt;$P$6</formula>
    </cfRule>
  </conditionalFormatting>
  <conditionalFormatting sqref="Q237">
    <cfRule type="expression" dxfId="151" priority="150">
      <formula>$L$4&gt;$Q$6</formula>
    </cfRule>
  </conditionalFormatting>
  <conditionalFormatting sqref="R237">
    <cfRule type="expression" dxfId="150" priority="149">
      <formula>$L$4&gt;$R$6</formula>
    </cfRule>
  </conditionalFormatting>
  <conditionalFormatting sqref="S237">
    <cfRule type="expression" dxfId="149" priority="148">
      <formula>$L$4&gt;$S$6</formula>
    </cfRule>
  </conditionalFormatting>
  <conditionalFormatting sqref="I242">
    <cfRule type="expression" dxfId="148" priority="147">
      <formula>$L$4&gt;$I$6</formula>
    </cfRule>
  </conditionalFormatting>
  <conditionalFormatting sqref="J242">
    <cfRule type="expression" dxfId="147" priority="146">
      <formula>$L$4&gt;$J$6</formula>
    </cfRule>
  </conditionalFormatting>
  <conditionalFormatting sqref="K242">
    <cfRule type="expression" dxfId="146" priority="145">
      <formula>$L$4&gt;$K$6</formula>
    </cfRule>
  </conditionalFormatting>
  <conditionalFormatting sqref="L242">
    <cfRule type="expression" dxfId="145" priority="144">
      <formula>$L$4&gt;$L$6</formula>
    </cfRule>
  </conditionalFormatting>
  <conditionalFormatting sqref="M242">
    <cfRule type="expression" dxfId="144" priority="143">
      <formula>$L$4&gt;$M$6</formula>
    </cfRule>
  </conditionalFormatting>
  <conditionalFormatting sqref="N242">
    <cfRule type="expression" dxfId="143" priority="142">
      <formula>$L$4&gt;$N$6</formula>
    </cfRule>
  </conditionalFormatting>
  <conditionalFormatting sqref="O242">
    <cfRule type="expression" dxfId="142" priority="141">
      <formula>$L$4&gt;$O$6</formula>
    </cfRule>
  </conditionalFormatting>
  <conditionalFormatting sqref="P242">
    <cfRule type="expression" dxfId="141" priority="140">
      <formula>$L$4&gt;$P$6</formula>
    </cfRule>
  </conditionalFormatting>
  <conditionalFormatting sqref="Q242">
    <cfRule type="expression" dxfId="140" priority="139">
      <formula>$L$4&gt;$Q$6</formula>
    </cfRule>
  </conditionalFormatting>
  <conditionalFormatting sqref="R242">
    <cfRule type="expression" dxfId="139" priority="138">
      <formula>$L$4&gt;$R$6</formula>
    </cfRule>
  </conditionalFormatting>
  <conditionalFormatting sqref="S242">
    <cfRule type="expression" dxfId="138" priority="137">
      <formula>$L$4&gt;$S$6</formula>
    </cfRule>
  </conditionalFormatting>
  <conditionalFormatting sqref="I249">
    <cfRule type="expression" dxfId="137" priority="136">
      <formula>$L$4&gt;$I$6</formula>
    </cfRule>
  </conditionalFormatting>
  <conditionalFormatting sqref="J249">
    <cfRule type="expression" dxfId="136" priority="135">
      <formula>$L$4&gt;$J$6</formula>
    </cfRule>
  </conditionalFormatting>
  <conditionalFormatting sqref="K249">
    <cfRule type="expression" dxfId="135" priority="134">
      <formula>$L$4&gt;$K$6</formula>
    </cfRule>
  </conditionalFormatting>
  <conditionalFormatting sqref="L249">
    <cfRule type="expression" dxfId="134" priority="133">
      <formula>$L$4&gt;$L$6</formula>
    </cfRule>
  </conditionalFormatting>
  <conditionalFormatting sqref="M249">
    <cfRule type="expression" dxfId="133" priority="132">
      <formula>$L$4&gt;$M$6</formula>
    </cfRule>
  </conditionalFormatting>
  <conditionalFormatting sqref="N249">
    <cfRule type="expression" dxfId="132" priority="131">
      <formula>$L$4&gt;$N$6</formula>
    </cfRule>
  </conditionalFormatting>
  <conditionalFormatting sqref="O249">
    <cfRule type="expression" dxfId="131" priority="130">
      <formula>$L$4&gt;$O$6</formula>
    </cfRule>
  </conditionalFormatting>
  <conditionalFormatting sqref="P249">
    <cfRule type="expression" dxfId="130" priority="129">
      <formula>$L$4&gt;$P$6</formula>
    </cfRule>
  </conditionalFormatting>
  <conditionalFormatting sqref="Q249">
    <cfRule type="expression" dxfId="129" priority="128">
      <formula>$L$4&gt;$Q$6</formula>
    </cfRule>
  </conditionalFormatting>
  <conditionalFormatting sqref="R249">
    <cfRule type="expression" dxfId="128" priority="127">
      <formula>$L$4&gt;$R$6</formula>
    </cfRule>
  </conditionalFormatting>
  <conditionalFormatting sqref="S249">
    <cfRule type="expression" dxfId="127" priority="126">
      <formula>$L$4&gt;$S$6</formula>
    </cfRule>
  </conditionalFormatting>
  <conditionalFormatting sqref="I255">
    <cfRule type="expression" dxfId="126" priority="125">
      <formula>$L$4&gt;$I$6</formula>
    </cfRule>
  </conditionalFormatting>
  <conditionalFormatting sqref="J255">
    <cfRule type="expression" dxfId="125" priority="124">
      <formula>$L$4&gt;$J$6</formula>
    </cfRule>
  </conditionalFormatting>
  <conditionalFormatting sqref="K255">
    <cfRule type="expression" dxfId="124" priority="123">
      <formula>$L$4&gt;$K$6</formula>
    </cfRule>
  </conditionalFormatting>
  <conditionalFormatting sqref="L255">
    <cfRule type="expression" dxfId="123" priority="122">
      <formula>$L$4&gt;$L$6</formula>
    </cfRule>
  </conditionalFormatting>
  <conditionalFormatting sqref="M255">
    <cfRule type="expression" dxfId="122" priority="121">
      <formula>$L$4&gt;$M$6</formula>
    </cfRule>
  </conditionalFormatting>
  <conditionalFormatting sqref="N255">
    <cfRule type="expression" dxfId="121" priority="120">
      <formula>$L$4&gt;$N$6</formula>
    </cfRule>
  </conditionalFormatting>
  <conditionalFormatting sqref="O255">
    <cfRule type="expression" dxfId="120" priority="119">
      <formula>$L$4&gt;$O$6</formula>
    </cfRule>
  </conditionalFormatting>
  <conditionalFormatting sqref="P255">
    <cfRule type="expression" dxfId="119" priority="118">
      <formula>$L$4&gt;$P$6</formula>
    </cfRule>
  </conditionalFormatting>
  <conditionalFormatting sqref="Q255">
    <cfRule type="expression" dxfId="118" priority="117">
      <formula>$L$4&gt;$Q$6</formula>
    </cfRule>
  </conditionalFormatting>
  <conditionalFormatting sqref="R255">
    <cfRule type="expression" dxfId="117" priority="116">
      <formula>$L$4&gt;$R$6</formula>
    </cfRule>
  </conditionalFormatting>
  <conditionalFormatting sqref="S255">
    <cfRule type="expression" dxfId="116" priority="115">
      <formula>$L$4&gt;$S$6</formula>
    </cfRule>
  </conditionalFormatting>
  <conditionalFormatting sqref="I260">
    <cfRule type="expression" dxfId="115" priority="114">
      <formula>$L$4&gt;$I$6</formula>
    </cfRule>
  </conditionalFormatting>
  <conditionalFormatting sqref="J260">
    <cfRule type="expression" dxfId="114" priority="113">
      <formula>$L$4&gt;$J$6</formula>
    </cfRule>
  </conditionalFormatting>
  <conditionalFormatting sqref="K260">
    <cfRule type="expression" dxfId="113" priority="112">
      <formula>$L$4&gt;$K$6</formula>
    </cfRule>
  </conditionalFormatting>
  <conditionalFormatting sqref="L260">
    <cfRule type="expression" dxfId="112" priority="111">
      <formula>$L$4&gt;$L$6</formula>
    </cfRule>
  </conditionalFormatting>
  <conditionalFormatting sqref="M260">
    <cfRule type="expression" dxfId="111" priority="110">
      <formula>$L$4&gt;$M$6</formula>
    </cfRule>
  </conditionalFormatting>
  <conditionalFormatting sqref="N260">
    <cfRule type="expression" dxfId="110" priority="109">
      <formula>$L$4&gt;$N$6</formula>
    </cfRule>
  </conditionalFormatting>
  <conditionalFormatting sqref="O260">
    <cfRule type="expression" dxfId="109" priority="108">
      <formula>$L$4&gt;$O$6</formula>
    </cfRule>
  </conditionalFormatting>
  <conditionalFormatting sqref="P260">
    <cfRule type="expression" dxfId="108" priority="107">
      <formula>$L$4&gt;$P$6</formula>
    </cfRule>
  </conditionalFormatting>
  <conditionalFormatting sqref="Q260">
    <cfRule type="expression" dxfId="107" priority="106">
      <formula>$L$4&gt;$Q$6</formula>
    </cfRule>
  </conditionalFormatting>
  <conditionalFormatting sqref="R260">
    <cfRule type="expression" dxfId="106" priority="105">
      <formula>$L$4&gt;$R$6</formula>
    </cfRule>
  </conditionalFormatting>
  <conditionalFormatting sqref="S260">
    <cfRule type="expression" dxfId="105" priority="104">
      <formula>$L$4&gt;$S$6</formula>
    </cfRule>
  </conditionalFormatting>
  <conditionalFormatting sqref="I264">
    <cfRule type="expression" dxfId="104" priority="103">
      <formula>$L$4&gt;$I$6</formula>
    </cfRule>
  </conditionalFormatting>
  <conditionalFormatting sqref="J264">
    <cfRule type="expression" dxfId="103" priority="102">
      <formula>$L$4&gt;$J$6</formula>
    </cfRule>
  </conditionalFormatting>
  <conditionalFormatting sqref="K264">
    <cfRule type="expression" dxfId="102" priority="101">
      <formula>$L$4&gt;$K$6</formula>
    </cfRule>
  </conditionalFormatting>
  <conditionalFormatting sqref="L264">
    <cfRule type="expression" dxfId="101" priority="100">
      <formula>$L$4&gt;$L$6</formula>
    </cfRule>
  </conditionalFormatting>
  <conditionalFormatting sqref="M264">
    <cfRule type="expression" dxfId="100" priority="99">
      <formula>$L$4&gt;$M$6</formula>
    </cfRule>
  </conditionalFormatting>
  <conditionalFormatting sqref="N264">
    <cfRule type="expression" dxfId="99" priority="98">
      <formula>$L$4&gt;$N$6</formula>
    </cfRule>
  </conditionalFormatting>
  <conditionalFormatting sqref="O264">
    <cfRule type="expression" dxfId="98" priority="97">
      <formula>$L$4&gt;$O$6</formula>
    </cfRule>
  </conditionalFormatting>
  <conditionalFormatting sqref="P264">
    <cfRule type="expression" dxfId="97" priority="96">
      <formula>$L$4&gt;$P$6</formula>
    </cfRule>
  </conditionalFormatting>
  <conditionalFormatting sqref="Q264">
    <cfRule type="expression" dxfId="96" priority="95">
      <formula>$L$4&gt;$Q$6</formula>
    </cfRule>
  </conditionalFormatting>
  <conditionalFormatting sqref="R264">
    <cfRule type="expression" dxfId="95" priority="94">
      <formula>$L$4&gt;$R$6</formula>
    </cfRule>
  </conditionalFormatting>
  <conditionalFormatting sqref="S264">
    <cfRule type="expression" dxfId="94" priority="93">
      <formula>$L$4&gt;$S$6</formula>
    </cfRule>
  </conditionalFormatting>
  <conditionalFormatting sqref="I269">
    <cfRule type="expression" dxfId="93" priority="92">
      <formula>$L$4&gt;$I$6</formula>
    </cfRule>
  </conditionalFormatting>
  <conditionalFormatting sqref="J269">
    <cfRule type="expression" dxfId="92" priority="91">
      <formula>$L$4&gt;$J$6</formula>
    </cfRule>
  </conditionalFormatting>
  <conditionalFormatting sqref="K269">
    <cfRule type="expression" dxfId="91" priority="90">
      <formula>$L$4&gt;$K$6</formula>
    </cfRule>
  </conditionalFormatting>
  <conditionalFormatting sqref="L269">
    <cfRule type="expression" dxfId="90" priority="89">
      <formula>$L$4&gt;$L$6</formula>
    </cfRule>
  </conditionalFormatting>
  <conditionalFormatting sqref="M269">
    <cfRule type="expression" dxfId="89" priority="88">
      <formula>$L$4&gt;$M$6</formula>
    </cfRule>
  </conditionalFormatting>
  <conditionalFormatting sqref="N269">
    <cfRule type="expression" dxfId="88" priority="87">
      <formula>$L$4&gt;$N$6</formula>
    </cfRule>
  </conditionalFormatting>
  <conditionalFormatting sqref="O269">
    <cfRule type="expression" dxfId="87" priority="86">
      <formula>$L$4&gt;$O$6</formula>
    </cfRule>
  </conditionalFormatting>
  <conditionalFormatting sqref="P269">
    <cfRule type="expression" dxfId="86" priority="85">
      <formula>$L$4&gt;$P$6</formula>
    </cfRule>
  </conditionalFormatting>
  <conditionalFormatting sqref="Q269">
    <cfRule type="expression" dxfId="85" priority="84">
      <formula>$L$4&gt;$Q$6</formula>
    </cfRule>
  </conditionalFormatting>
  <conditionalFormatting sqref="R269">
    <cfRule type="expression" dxfId="84" priority="83">
      <formula>$L$4&gt;$R$6</formula>
    </cfRule>
  </conditionalFormatting>
  <conditionalFormatting sqref="S269">
    <cfRule type="expression" dxfId="83" priority="82">
      <formula>$L$4&gt;$S$6</formula>
    </cfRule>
  </conditionalFormatting>
  <conditionalFormatting sqref="I276">
    <cfRule type="expression" dxfId="82" priority="81">
      <formula>$L$4&gt;$I$6</formula>
    </cfRule>
  </conditionalFormatting>
  <conditionalFormatting sqref="J276">
    <cfRule type="expression" dxfId="81" priority="80">
      <formula>$L$4&gt;$J$6</formula>
    </cfRule>
  </conditionalFormatting>
  <conditionalFormatting sqref="K276">
    <cfRule type="expression" dxfId="80" priority="79">
      <formula>$L$4&gt;$K$6</formula>
    </cfRule>
  </conditionalFormatting>
  <conditionalFormatting sqref="L276">
    <cfRule type="expression" dxfId="79" priority="78">
      <formula>$L$4&gt;$L$6</formula>
    </cfRule>
  </conditionalFormatting>
  <conditionalFormatting sqref="M276">
    <cfRule type="expression" dxfId="78" priority="77">
      <formula>$L$4&gt;$M$6</formula>
    </cfRule>
  </conditionalFormatting>
  <conditionalFormatting sqref="N276">
    <cfRule type="expression" dxfId="77" priority="76">
      <formula>$L$4&gt;$N$6</formula>
    </cfRule>
  </conditionalFormatting>
  <conditionalFormatting sqref="O276">
    <cfRule type="expression" dxfId="76" priority="75">
      <formula>$L$4&gt;$O$6</formula>
    </cfRule>
  </conditionalFormatting>
  <conditionalFormatting sqref="P276">
    <cfRule type="expression" dxfId="75" priority="74">
      <formula>$L$4&gt;$P$6</formula>
    </cfRule>
  </conditionalFormatting>
  <conditionalFormatting sqref="Q276">
    <cfRule type="expression" dxfId="74" priority="73">
      <formula>$L$4&gt;$Q$6</formula>
    </cfRule>
  </conditionalFormatting>
  <conditionalFormatting sqref="R276">
    <cfRule type="expression" dxfId="73" priority="72">
      <formula>$L$4&gt;$R$6</formula>
    </cfRule>
  </conditionalFormatting>
  <conditionalFormatting sqref="S276">
    <cfRule type="expression" dxfId="72" priority="71">
      <formula>$L$4&gt;$S$6</formula>
    </cfRule>
  </conditionalFormatting>
  <conditionalFormatting sqref="I291">
    <cfRule type="expression" dxfId="71" priority="70">
      <formula>$L$4&gt;$I$6</formula>
    </cfRule>
  </conditionalFormatting>
  <conditionalFormatting sqref="J291">
    <cfRule type="expression" dxfId="70" priority="69">
      <formula>$L$4&gt;$J$6</formula>
    </cfRule>
  </conditionalFormatting>
  <conditionalFormatting sqref="K291">
    <cfRule type="expression" dxfId="69" priority="68">
      <formula>$L$4&gt;$K$6</formula>
    </cfRule>
  </conditionalFormatting>
  <conditionalFormatting sqref="L291">
    <cfRule type="expression" dxfId="68" priority="67">
      <formula>$L$4&gt;$L$6</formula>
    </cfRule>
  </conditionalFormatting>
  <conditionalFormatting sqref="M291">
    <cfRule type="expression" dxfId="67" priority="66">
      <formula>$L$4&gt;$M$6</formula>
    </cfRule>
  </conditionalFormatting>
  <conditionalFormatting sqref="N291">
    <cfRule type="expression" dxfId="66" priority="65">
      <formula>$L$4&gt;$N$6</formula>
    </cfRule>
  </conditionalFormatting>
  <conditionalFormatting sqref="O291">
    <cfRule type="expression" dxfId="65" priority="64">
      <formula>$L$4&gt;$O$6</formula>
    </cfRule>
  </conditionalFormatting>
  <conditionalFormatting sqref="P291">
    <cfRule type="expression" dxfId="64" priority="63">
      <formula>$L$4&gt;$P$6</formula>
    </cfRule>
  </conditionalFormatting>
  <conditionalFormatting sqref="Q291">
    <cfRule type="expression" dxfId="63" priority="62">
      <formula>$L$4&gt;$Q$6</formula>
    </cfRule>
  </conditionalFormatting>
  <conditionalFormatting sqref="R291">
    <cfRule type="expression" dxfId="62" priority="61">
      <formula>$L$4&gt;$R$6</formula>
    </cfRule>
  </conditionalFormatting>
  <conditionalFormatting sqref="S291">
    <cfRule type="expression" dxfId="61" priority="60">
      <formula>$L$4&gt;$S$6</formula>
    </cfRule>
  </conditionalFormatting>
  <conditionalFormatting sqref="I306">
    <cfRule type="expression" dxfId="60" priority="59">
      <formula>$L$4&gt;$I$6</formula>
    </cfRule>
  </conditionalFormatting>
  <conditionalFormatting sqref="J306">
    <cfRule type="expression" dxfId="59" priority="58">
      <formula>$L$4&gt;$J$6</formula>
    </cfRule>
  </conditionalFormatting>
  <conditionalFormatting sqref="K306">
    <cfRule type="expression" dxfId="58" priority="57">
      <formula>$L$4&gt;$K$6</formula>
    </cfRule>
  </conditionalFormatting>
  <conditionalFormatting sqref="L306">
    <cfRule type="expression" dxfId="57" priority="56">
      <formula>$L$4&gt;$L$6</formula>
    </cfRule>
  </conditionalFormatting>
  <conditionalFormatting sqref="M306">
    <cfRule type="expression" dxfId="56" priority="55">
      <formula>$L$4&gt;$M$6</formula>
    </cfRule>
  </conditionalFormatting>
  <conditionalFormatting sqref="N306">
    <cfRule type="expression" dxfId="55" priority="54">
      <formula>$L$4&gt;$N$6</formula>
    </cfRule>
  </conditionalFormatting>
  <conditionalFormatting sqref="O306">
    <cfRule type="expression" dxfId="54" priority="53">
      <formula>$L$4&gt;$O$6</formula>
    </cfRule>
  </conditionalFormatting>
  <conditionalFormatting sqref="P306">
    <cfRule type="expression" dxfId="53" priority="52">
      <formula>$L$4&gt;$P$6</formula>
    </cfRule>
  </conditionalFormatting>
  <conditionalFormatting sqref="Q306">
    <cfRule type="expression" dxfId="52" priority="51">
      <formula>$L$4&gt;$Q$6</formula>
    </cfRule>
  </conditionalFormatting>
  <conditionalFormatting sqref="R306">
    <cfRule type="expression" dxfId="51" priority="50">
      <formula>$L$4&gt;$R$6</formula>
    </cfRule>
  </conditionalFormatting>
  <conditionalFormatting sqref="S306">
    <cfRule type="expression" dxfId="50" priority="49">
      <formula>$L$4&gt;$S$6</formula>
    </cfRule>
  </conditionalFormatting>
  <conditionalFormatting sqref="I176">
    <cfRule type="expression" dxfId="49" priority="34">
      <formula>$L$4&gt;$I$6</formula>
    </cfRule>
  </conditionalFormatting>
  <conditionalFormatting sqref="J176">
    <cfRule type="expression" dxfId="48" priority="35">
      <formula>$L$4&gt;$J$6</formula>
    </cfRule>
  </conditionalFormatting>
  <conditionalFormatting sqref="K176">
    <cfRule type="expression" dxfId="47" priority="36">
      <formula>$L$4&gt;$K$6</formula>
    </cfRule>
  </conditionalFormatting>
  <conditionalFormatting sqref="L176">
    <cfRule type="expression" dxfId="46" priority="37">
      <formula>$L$4&gt;$L$6</formula>
    </cfRule>
  </conditionalFormatting>
  <conditionalFormatting sqref="M176">
    <cfRule type="expression" dxfId="45" priority="38">
      <formula>$L$4&gt;$M$6</formula>
    </cfRule>
  </conditionalFormatting>
  <conditionalFormatting sqref="N176">
    <cfRule type="expression" dxfId="44" priority="39">
      <formula>$L$4&gt;$N$6</formula>
    </cfRule>
  </conditionalFormatting>
  <conditionalFormatting sqref="O176">
    <cfRule type="expression" dxfId="43" priority="40">
      <formula>$L$4&gt;$O$6</formula>
    </cfRule>
  </conditionalFormatting>
  <conditionalFormatting sqref="P176">
    <cfRule type="expression" dxfId="42" priority="41">
      <formula>$L$4&gt;$P$6</formula>
    </cfRule>
  </conditionalFormatting>
  <conditionalFormatting sqref="Q176">
    <cfRule type="expression" dxfId="41" priority="42">
      <formula>$L$4&gt;$Q$6</formula>
    </cfRule>
  </conditionalFormatting>
  <conditionalFormatting sqref="R176">
    <cfRule type="expression" dxfId="40" priority="43">
      <formula>$L$4&gt;$R$6</formula>
    </cfRule>
  </conditionalFormatting>
  <conditionalFormatting sqref="S176">
    <cfRule type="expression" dxfId="39" priority="44">
      <formula>$L$4&gt;$S$6</formula>
    </cfRule>
  </conditionalFormatting>
  <conditionalFormatting sqref="I179">
    <cfRule type="expression" dxfId="38" priority="23">
      <formula>$L$4&gt;$I$6</formula>
    </cfRule>
  </conditionalFormatting>
  <conditionalFormatting sqref="J179">
    <cfRule type="expression" dxfId="37" priority="24">
      <formula>$L$4&gt;$J$6</formula>
    </cfRule>
  </conditionalFormatting>
  <conditionalFormatting sqref="K179">
    <cfRule type="expression" dxfId="36" priority="25">
      <formula>$L$4&gt;$K$6</formula>
    </cfRule>
  </conditionalFormatting>
  <conditionalFormatting sqref="L179">
    <cfRule type="expression" dxfId="35" priority="26">
      <formula>$L$4&gt;$L$6</formula>
    </cfRule>
  </conditionalFormatting>
  <conditionalFormatting sqref="M179">
    <cfRule type="expression" dxfId="34" priority="27">
      <formula>$L$4&gt;$M$6</formula>
    </cfRule>
  </conditionalFormatting>
  <conditionalFormatting sqref="N179">
    <cfRule type="expression" dxfId="33" priority="28">
      <formula>$L$4&gt;$N$6</formula>
    </cfRule>
  </conditionalFormatting>
  <conditionalFormatting sqref="O179">
    <cfRule type="expression" dxfId="32" priority="29">
      <formula>$L$4&gt;$O$6</formula>
    </cfRule>
  </conditionalFormatting>
  <conditionalFormatting sqref="P179">
    <cfRule type="expression" dxfId="31" priority="30">
      <formula>$L$4&gt;$P$6</formula>
    </cfRule>
  </conditionalFormatting>
  <conditionalFormatting sqref="Q179">
    <cfRule type="expression" dxfId="30" priority="31">
      <formula>$L$4&gt;$Q$6</formula>
    </cfRule>
  </conditionalFormatting>
  <conditionalFormatting sqref="R179">
    <cfRule type="expression" dxfId="29" priority="32">
      <formula>$L$4&gt;$R$6</formula>
    </cfRule>
  </conditionalFormatting>
  <conditionalFormatting sqref="S179">
    <cfRule type="expression" dxfId="28" priority="33">
      <formula>$L$4&gt;$S$6</formula>
    </cfRule>
  </conditionalFormatting>
  <conditionalFormatting sqref="I182">
    <cfRule type="expression" dxfId="27" priority="12">
      <formula>$L$4&gt;$I$6</formula>
    </cfRule>
  </conditionalFormatting>
  <conditionalFormatting sqref="J182">
    <cfRule type="expression" dxfId="26" priority="13">
      <formula>$L$4&gt;$J$6</formula>
    </cfRule>
  </conditionalFormatting>
  <conditionalFormatting sqref="K182">
    <cfRule type="expression" dxfId="25" priority="14">
      <formula>$L$4&gt;$K$6</formula>
    </cfRule>
  </conditionalFormatting>
  <conditionalFormatting sqref="L182">
    <cfRule type="expression" dxfId="24" priority="15">
      <formula>$L$4&gt;$L$6</formula>
    </cfRule>
  </conditionalFormatting>
  <conditionalFormatting sqref="M182">
    <cfRule type="expression" dxfId="23" priority="16">
      <formula>$L$4&gt;$M$6</formula>
    </cfRule>
  </conditionalFormatting>
  <conditionalFormatting sqref="N182">
    <cfRule type="expression" dxfId="22" priority="17">
      <formula>$L$4&gt;$N$6</formula>
    </cfRule>
  </conditionalFormatting>
  <conditionalFormatting sqref="O182">
    <cfRule type="expression" dxfId="21" priority="18">
      <formula>$L$4&gt;$O$6</formula>
    </cfRule>
  </conditionalFormatting>
  <conditionalFormatting sqref="P182">
    <cfRule type="expression" dxfId="20" priority="19">
      <formula>$L$4&gt;$P$6</formula>
    </cfRule>
  </conditionalFormatting>
  <conditionalFormatting sqref="Q182">
    <cfRule type="expression" dxfId="19" priority="20">
      <formula>$L$4&gt;$Q$6</formula>
    </cfRule>
  </conditionalFormatting>
  <conditionalFormatting sqref="R182">
    <cfRule type="expression" dxfId="18" priority="21">
      <formula>$L$4&gt;$R$6</formula>
    </cfRule>
  </conditionalFormatting>
  <conditionalFormatting sqref="S182">
    <cfRule type="expression" dxfId="17" priority="22">
      <formula>$L$4&gt;$S$6</formula>
    </cfRule>
  </conditionalFormatting>
  <conditionalFormatting sqref="I313">
    <cfRule type="expression" dxfId="16" priority="11">
      <formula>$L$4&gt;$I$6</formula>
    </cfRule>
  </conditionalFormatting>
  <conditionalFormatting sqref="J313">
    <cfRule type="expression" dxfId="15" priority="10">
      <formula>$L$4&gt;$J$6</formula>
    </cfRule>
  </conditionalFormatting>
  <conditionalFormatting sqref="K313">
    <cfRule type="expression" dxfId="14" priority="9">
      <formula>$L$4&gt;$K$6</formula>
    </cfRule>
  </conditionalFormatting>
  <conditionalFormatting sqref="L313">
    <cfRule type="expression" dxfId="13" priority="8">
      <formula>$L$4&gt;$L$6</formula>
    </cfRule>
  </conditionalFormatting>
  <conditionalFormatting sqref="M313">
    <cfRule type="expression" dxfId="12" priority="7">
      <formula>$L$4&gt;$M$6</formula>
    </cfRule>
  </conditionalFormatting>
  <conditionalFormatting sqref="N313">
    <cfRule type="expression" dxfId="11" priority="6">
      <formula>$L$4&gt;$N$6</formula>
    </cfRule>
  </conditionalFormatting>
  <conditionalFormatting sqref="O313">
    <cfRule type="expression" dxfId="10" priority="5">
      <formula>$L$4&gt;$O$6</formula>
    </cfRule>
  </conditionalFormatting>
  <conditionalFormatting sqref="P313">
    <cfRule type="expression" dxfId="9" priority="4">
      <formula>$L$4&gt;$P$6</formula>
    </cfRule>
  </conditionalFormatting>
  <conditionalFormatting sqref="Q313">
    <cfRule type="expression" dxfId="8" priority="3">
      <formula>$L$4&gt;$Q$6</formula>
    </cfRule>
  </conditionalFormatting>
  <conditionalFormatting sqref="R313">
    <cfRule type="expression" dxfId="7" priority="2">
      <formula>$L$4&gt;$R$6</formula>
    </cfRule>
  </conditionalFormatting>
  <conditionalFormatting sqref="S313">
    <cfRule type="expression" dxfId="6" priority="1">
      <formula>$L$4&gt;$S$6</formula>
    </cfRule>
  </conditionalFormatting>
  <dataValidations count="12">
    <dataValidation allowBlank="1" showInputMessage="1" showErrorMessage="1" sqref="E314 E316:E419 E265 E421 F229:F230 F70:F80 F227 E226 E222 F223 F190:F191 F186:F187 G157 F188:H189 H170:H171 F195:F196 E193 G136 F112:G112 H110:H111 H162:H164 F249:F255 G161:G163 F156:F164 F170:F171 E212:E218 E208:E210 E220 B220 E204 F198:F199 E206 F225 F103:H103 F104:F108 F98:F99 E95:E97 B108 H104 G107:H108 E86:F86 F61:F62 E59:F60 E70:E77 D70:D76 E66:F66 H83:H84 E81:F81 F109:H109 E83:G83 E84 E33:F35 F258:F264 F134 F136:F137 E201:E202"/>
    <dataValidation type="list" allowBlank="1" showInputMessage="1" showErrorMessage="1" sqref="E114:E133 E139:E153 E11:E30 E37:E56">
      <formula1>$E$427:$E$433</formula1>
    </dataValidation>
    <dataValidation type="list" allowBlank="1" showInputMessage="1" showErrorMessage="1" sqref="G116:G133 G139:G153 G239 G252 G257 G11:G30 G114 G37:G56">
      <formula1>$G$315:$G$318</formula1>
    </dataValidation>
    <dataValidation type="list" allowBlank="1" showInputMessage="1" showErrorMessage="1" sqref="B64:G64">
      <formula1>$B$460:$B$462</formula1>
    </dataValidation>
    <dataValidation type="list" allowBlank="1" showInputMessage="1" showErrorMessage="1" sqref="E57:E58 E31:E32">
      <formula1>$G$423:$G$429</formula1>
    </dataValidation>
    <dataValidation type="list" allowBlank="1" showInputMessage="1" showErrorMessage="1" sqref="L4">
      <formula1>$E$435:$E$446</formula1>
    </dataValidation>
    <dataValidation type="list" allowBlank="1" showInputMessage="1" showErrorMessage="1" sqref="P4">
      <formula1>$B$430:$B$431</formula1>
    </dataValidation>
    <dataValidation type="list" allowBlank="1" showInputMessage="1" showErrorMessage="1" sqref="T4">
      <formula1>$B$435:$B$446</formula1>
    </dataValidation>
    <dataValidation type="list" allowBlank="1" showInputMessage="1" showErrorMessage="1" sqref="C6:F6">
      <formula1>$B$426:$B$429</formula1>
    </dataValidation>
    <dataValidation type="list" allowBlank="1" showInputMessage="1" showErrorMessage="1" sqref="C4:F4">
      <formula1>$B$432:$B$433</formula1>
    </dataValidation>
    <dataValidation type="list" allowBlank="1" showInputMessage="1" showErrorMessage="1" sqref="N4">
      <formula1>$B$451:$B$459</formula1>
    </dataValidation>
    <dataValidation allowBlank="1" showInputMessage="1" showErrorMessage="1" promptTitle="Beräknad avskrivningsprocent" prompt="Total summerad avskrivning under budgetperioden i procent av totala anläggningstillgångar._x000a__x000a_Ändra avskrivningsprocent i kolumn AH på respektive rad ovan._x000a_" sqref="G156"/>
  </dataValidations>
  <hyperlinks>
    <hyperlink ref="AR4" location="ARBETSBLAD!I1" display="Tillbaka &lt;&lt;"/>
    <hyperlink ref="BD4" location="ARBETSBLAD!U1" display="Tillbaka &lt;&lt;"/>
    <hyperlink ref="A319" location="ARBETSBLAD!A464" display="▼"/>
    <hyperlink ref="T270:V270" location="Instruktion!A434" display="Läs mer på fliken Instruktion"/>
    <hyperlink ref="R226:T226" location="Instruktion!A368" display="Läs mer på fliken Instruktion"/>
    <hyperlink ref="R222:T222" location="Instruktion!A368" display="Läs mer på fliken Instruktion"/>
    <hyperlink ref="B278:C278" location="Instruktion!A440" display="Läs mer på fliken Instruktion "/>
    <hyperlink ref="H204" location="ARBETSBLAD!A231" tooltip="Betalning/periodisering av poster i ingående balans Kundfordringar och övriga fordringar" display="&gt;"/>
    <hyperlink ref="H201" location="ARBETSBLAD!A292" tooltip="Ing balans anläggningstillgångar. Bearbeta vidare på rad 154" display="&gt;"/>
    <hyperlink ref="H203" location="ARBETSBLAD!A85" tooltip="Varulager i ingående balans. Se Information om lagernivå, rad 85" display="&gt;"/>
    <hyperlink ref="H205" location="ARBETSBLAD!A224" tooltip="Ing balans momsfordran. Budgetera inbetalning på rad 224" display="&gt;"/>
    <hyperlink ref="H210" location="ARBETSBLAD!A186" tooltip="Ing balans långfristiga skulder. Amortera på rad 185" display="&gt;"/>
    <hyperlink ref="H211" location="ARBETSBLAD!A168" tooltip="Checkkredit limit vid tillfället för ing balans. Se rad 168. Ny limit sätter du på rad 167" display="&gt;"/>
    <hyperlink ref="H212" location="ARBETSBLAD!A193" tooltip="Ingående balans Ränteskuld. Se rad 193. Budgetera betalning av ränteskuld på rad 192." display="&gt;"/>
    <hyperlink ref="H213" location="ARBETSBLAD!A244" tooltip="Ing balans för leverantörsskulder och övriga kortfristiga skulder. Budgetera betalning och periodisering i modulen på rad 245 till 247," display="&gt;"/>
    <hyperlink ref="H215" location="ARBETSBLAD!A262" tooltip="Ing balans Skatteskuld. Budgetera betalning på rad 262" display="&gt;"/>
    <hyperlink ref="H216" location="ARBETSBLAD!A101" tooltip="Ing balans Semesterlöneskuld. Se rad 101. Betala semesterlön på rad 100" display="&gt;"/>
    <hyperlink ref="H218" location="ARBETSBLAD!A228" tooltip="Ing balans momsskuld. Lägg in betalning på rad 228." display="&gt;"/>
    <hyperlink ref="H202" location="ARBETSBLAD!A307" tooltip="Förs automatiskt även till post i eget kapital" display="&gt;"/>
    <hyperlink ref="H206" location="Likviditetsbudget!I35" tooltip="Till rad 35 i likviditetsbudget" display="&gt;"/>
    <hyperlink ref="H214" location="Likviditetsbudget!A1" display="&gt;"/>
    <hyperlink ref="H217" location="Likviditetsbudget!A24" tooltip="Arbetsgivaravgift i likviditetsbudgeten" display="&gt;"/>
    <hyperlink ref="T265:V265" location="Instruktion!A430" display="Läs mer på fliken Instruktion"/>
    <hyperlink ref="E292:G292" location="Instruktion!A458" display="Läs instruktion!"/>
    <hyperlink ref="P308:Q308" location="Instruktion!A470" display="Läs instruktion!"/>
  </hyperlinks>
  <pageMargins left="0.15748031496062992" right="0.15748031496062992" top="0.31496062992125984" bottom="0.39370078740157483" header="0.23622047244094491" footer="0.15748031496062992"/>
  <pageSetup paperSize="9" orientation="landscape" r:id="rId1"/>
  <headerFooter>
    <oddFooter>&amp;C&amp;"Arial Narrow,Normal"&amp;8© Almi Företagspartner AB 2016-04-18</oddFooter>
  </headerFooter>
  <ignoredErrors>
    <ignoredError sqref="AL11:AL17" formulaRange="1"/>
  </ignoredErrors>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747" id="{2FBC20CF-BE37-4010-8870-6C8D20814AA1}">
            <xm:f>fx!$C$58=2</xm:f>
            <x14:dxf>
              <font>
                <strike/>
                <color rgb="FFFF0000"/>
              </font>
            </x14:dxf>
          </x14:cfRule>
          <xm:sqref>T31:AF32</xm:sqref>
        </x14:conditionalFormatting>
        <x14:conditionalFormatting xmlns:xm="http://schemas.microsoft.com/office/excel/2006/main">
          <x14:cfRule type="expression" priority="724" id="{546F8F48-D266-440B-A78A-FFF542F20F38}">
            <xm:f>fx!$C$58=2</xm:f>
            <x14:dxf>
              <font>
                <strike/>
                <color rgb="FFFF0000"/>
              </font>
            </x14:dxf>
          </x14:cfRule>
          <xm:sqref>U57:AF58</xm:sqref>
        </x14:conditionalFormatting>
        <x14:conditionalFormatting xmlns:xm="http://schemas.microsoft.com/office/excel/2006/main">
          <x14:cfRule type="expression" priority="48" id="{2207F033-9262-4BF5-8080-093D35EFB588}">
            <xm:f>fx!$C$57=2</xm:f>
            <x14:dxf>
              <fill>
                <patternFill>
                  <bgColor rgb="FFDAEEF3"/>
                </patternFill>
              </fill>
            </x14:dxf>
          </x14:cfRule>
          <xm:sqref>U6:AF8</xm:sqref>
        </x14:conditionalFormatting>
        <x14:conditionalFormatting xmlns:xm="http://schemas.microsoft.com/office/excel/2006/main">
          <x14:cfRule type="expression" priority="47" id="{53218D3C-6375-4091-B990-3E13210BF675}">
            <xm:f>fx!$C$57=2</xm:f>
            <x14:dxf>
              <fill>
                <patternFill>
                  <bgColor rgb="FFFFFFCC"/>
                </patternFill>
              </fill>
            </x14:dxf>
          </x14:cfRule>
          <xm:sqref>V62:Y64</xm:sqref>
        </x14:conditionalFormatting>
        <x14:conditionalFormatting xmlns:xm="http://schemas.microsoft.com/office/excel/2006/main">
          <x14:cfRule type="expression" priority="45" id="{678ED0D1-DD27-4CFB-AE95-54DAE5803FB7}">
            <xm:f>fx!$C$57=2</xm:f>
            <x14:dxf>
              <font>
                <color rgb="FFFFFFCC"/>
              </font>
            </x14:dxf>
          </x14:cfRule>
          <x14:cfRule type="expression" priority="46" id="{9377A996-7547-4801-B7F8-491742954867}">
            <xm:f>fx!$C$57=2</xm:f>
            <x14:dxf>
              <border>
                <left style="hair">
                  <color auto="1"/>
                </left>
                <right style="hair">
                  <color auto="1"/>
                </right>
                <top style="hair">
                  <color auto="1"/>
                </top>
                <bottom style="hair">
                  <color auto="1"/>
                </bottom>
                <vertical/>
                <horizontal/>
              </border>
            </x14:dxf>
          </x14:cfRule>
          <xm:sqref>X63:X64</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3"/>
  <sheetViews>
    <sheetView showGridLines="0" showZeros="0" zoomScaleNormal="100" workbookViewId="0"/>
  </sheetViews>
  <sheetFormatPr defaultColWidth="9.109375" defaultRowHeight="13.8"/>
  <cols>
    <col min="1" max="1" width="0.88671875" style="788" customWidth="1"/>
    <col min="2" max="2" width="28.44140625" style="788" customWidth="1"/>
    <col min="3" max="3" width="9.33203125" style="788" customWidth="1"/>
    <col min="4" max="4" width="5.6640625" style="788" customWidth="1"/>
    <col min="5" max="5" width="1.44140625" style="788" customWidth="1"/>
    <col min="6" max="6" width="10.33203125" style="788" customWidth="1"/>
    <col min="7" max="7" width="1.44140625" style="788" customWidth="1"/>
    <col min="8" max="8" width="10.33203125" style="788" customWidth="1"/>
    <col min="9" max="9" width="1.109375" style="788" customWidth="1"/>
    <col min="10" max="10" width="10.33203125" style="788" customWidth="1"/>
    <col min="11" max="11" width="1.44140625" style="788" customWidth="1"/>
    <col min="12" max="12" width="10.33203125" style="788" customWidth="1"/>
    <col min="13" max="13" width="0.6640625" style="788" customWidth="1"/>
    <col min="14" max="14" width="10.33203125" style="788" customWidth="1"/>
    <col min="15" max="15" width="0.6640625" style="788" customWidth="1"/>
    <col min="16" max="16" width="9.6640625" style="788" customWidth="1"/>
    <col min="17" max="17" width="7" style="788" customWidth="1"/>
    <col min="18" max="18" width="9.33203125" style="788" customWidth="1"/>
    <col min="19" max="19" width="5.6640625" style="788" customWidth="1"/>
    <col min="20" max="20" width="0.88671875" style="788" customWidth="1"/>
    <col min="21" max="21" width="0.6640625" style="788" customWidth="1"/>
    <col min="22" max="22" width="10.33203125" style="788" customWidth="1"/>
    <col min="23" max="23" width="0.6640625" style="788" customWidth="1"/>
    <col min="24" max="24" width="10.6640625" style="788" customWidth="1"/>
    <col min="25" max="25" width="1.44140625" style="788" customWidth="1"/>
    <col min="26" max="26" width="10.33203125" style="788" customWidth="1"/>
    <col min="27" max="27" width="0.6640625" style="788" customWidth="1"/>
    <col min="28" max="16384" width="9.109375" style="788"/>
  </cols>
  <sheetData>
    <row r="1" spans="2:28" ht="19.5" customHeight="1">
      <c r="B1" s="2138" t="s">
        <v>234</v>
      </c>
      <c r="C1" s="2139"/>
      <c r="D1" s="2139"/>
      <c r="E1" s="2140"/>
      <c r="F1" s="2141"/>
      <c r="G1" s="2141"/>
      <c r="H1" s="2141"/>
      <c r="I1" s="2142"/>
      <c r="J1" s="2142"/>
      <c r="K1" s="2143"/>
      <c r="L1" s="2144"/>
      <c r="N1" s="1220" t="str">
        <f>IF(AND(SUM(ARBETSBLAD!I11:T14)=0,SUM(ARBETSBLAD!I37:T40)=0),"All budgetering görs på fliken ARBETSBLAD!","")</f>
        <v>All budgetering görs på fliken ARBETSBLAD!</v>
      </c>
      <c r="O1" s="1059"/>
    </row>
    <row r="2" spans="2:28" ht="10.5" customHeight="1">
      <c r="B2" s="3059" t="str">
        <f>ARBETSBLAD!B7</f>
        <v>Företagsnamn</v>
      </c>
      <c r="C2" s="3060"/>
      <c r="D2" s="2060"/>
      <c r="E2" s="2060"/>
      <c r="F2" s="3065" t="str">
        <f>ARBETSBLAD!AJ2</f>
        <v>Januari</v>
      </c>
      <c r="G2" s="3066"/>
      <c r="H2" s="3067"/>
      <c r="I2" s="947"/>
      <c r="J2" s="3065" t="str">
        <f>ARBETSBLAD!AL2</f>
        <v>Januari</v>
      </c>
      <c r="K2" s="3066"/>
      <c r="L2" s="3067"/>
      <c r="N2" s="1221" t="s">
        <v>1430</v>
      </c>
      <c r="O2" s="1061"/>
    </row>
    <row r="3" spans="2:28" ht="10.5" customHeight="1">
      <c r="B3" s="3061"/>
      <c r="C3" s="3060"/>
      <c r="D3" s="2062"/>
      <c r="E3" s="2060"/>
      <c r="F3" s="3068">
        <f>ARBETSBLAD!AJ4</f>
        <v>2016</v>
      </c>
      <c r="G3" s="3069"/>
      <c r="H3" s="3070"/>
      <c r="I3" s="947"/>
      <c r="J3" s="3068">
        <f>ARBETSBLAD!AL4</f>
        <v>2017</v>
      </c>
      <c r="K3" s="3069"/>
      <c r="L3" s="3070"/>
      <c r="N3" s="1060"/>
      <c r="O3" s="1061"/>
    </row>
    <row r="4" spans="2:28" ht="6" customHeight="1">
      <c r="B4" s="2145"/>
      <c r="C4" s="2060"/>
      <c r="D4" s="2060"/>
      <c r="E4" s="2060"/>
      <c r="F4" s="3071" t="s">
        <v>1112</v>
      </c>
      <c r="G4" s="3072"/>
      <c r="H4" s="3073"/>
      <c r="I4" s="947"/>
      <c r="J4" s="3071" t="s">
        <v>1112</v>
      </c>
      <c r="K4" s="3072">
        <v>9</v>
      </c>
      <c r="L4" s="3073">
        <v>10</v>
      </c>
      <c r="N4" s="1060"/>
      <c r="O4" s="1061"/>
    </row>
    <row r="5" spans="2:28" ht="10.5" customHeight="1">
      <c r="B5" s="2146"/>
      <c r="C5" s="2147"/>
      <c r="D5" s="2147"/>
      <c r="E5" s="2148"/>
      <c r="F5" s="3062" t="str">
        <f>ARBETSBLAD!AJ7</f>
        <v>December</v>
      </c>
      <c r="G5" s="3063"/>
      <c r="H5" s="3064"/>
      <c r="I5" s="2059"/>
      <c r="J5" s="3062" t="str">
        <f>ARBETSBLAD!AL7</f>
        <v>December</v>
      </c>
      <c r="K5" s="3063">
        <v>2015</v>
      </c>
      <c r="L5" s="3064">
        <v>2015</v>
      </c>
    </row>
    <row r="6" spans="2:28" ht="10.5" customHeight="1">
      <c r="B6" s="3057" t="s">
        <v>832</v>
      </c>
      <c r="C6" s="2149"/>
      <c r="D6" s="2149"/>
      <c r="E6" s="2149"/>
      <c r="F6" s="3054">
        <f>ARBETSBLAD!AJ8</f>
        <v>2016</v>
      </c>
      <c r="G6" s="3055"/>
      <c r="H6" s="3056"/>
      <c r="I6" s="596"/>
      <c r="J6" s="3054">
        <f>ARBETSBLAD!AL8</f>
        <v>2017</v>
      </c>
      <c r="K6" s="3055" t="s">
        <v>43</v>
      </c>
      <c r="L6" s="3056" t="s">
        <v>44</v>
      </c>
      <c r="N6" s="1063"/>
      <c r="O6" s="1064"/>
    </row>
    <row r="7" spans="2:28" ht="6" customHeight="1">
      <c r="B7" s="3058"/>
      <c r="C7" s="2060"/>
      <c r="D7" s="2060"/>
      <c r="E7" s="2060"/>
      <c r="F7" s="2060"/>
      <c r="G7" s="2061"/>
      <c r="H7" s="947"/>
      <c r="I7" s="947"/>
      <c r="J7" s="947"/>
      <c r="K7" s="2061"/>
      <c r="L7" s="949"/>
      <c r="N7" s="1063"/>
      <c r="O7" s="1064"/>
      <c r="Z7" s="1007"/>
      <c r="AA7" s="1007"/>
      <c r="AB7" s="1007"/>
    </row>
    <row r="8" spans="2:28" ht="14.1" customHeight="1">
      <c r="B8" s="612" t="s">
        <v>161</v>
      </c>
      <c r="C8" s="557"/>
      <c r="D8" s="557"/>
      <c r="E8" s="1145"/>
      <c r="F8" s="1123"/>
      <c r="G8" s="246"/>
      <c r="H8" s="172"/>
      <c r="I8" s="1128"/>
      <c r="J8" s="1123"/>
      <c r="K8" s="246"/>
      <c r="L8" s="172"/>
      <c r="O8" s="1065"/>
      <c r="Z8" s="1007"/>
      <c r="AA8" s="1007"/>
      <c r="AB8" s="1007"/>
    </row>
    <row r="9" spans="2:28" s="1021" customFormat="1" ht="14.1" customHeight="1">
      <c r="B9" s="613" t="s">
        <v>162</v>
      </c>
      <c r="C9" s="179"/>
      <c r="D9" s="179"/>
      <c r="E9" s="1145"/>
      <c r="F9" s="1124"/>
      <c r="G9" s="247" t="s">
        <v>115</v>
      </c>
      <c r="H9" s="222">
        <f>ARBETSBLAD!AJ33</f>
        <v>0</v>
      </c>
      <c r="I9" s="1128"/>
      <c r="J9" s="1124"/>
      <c r="K9" s="247" t="s">
        <v>115</v>
      </c>
      <c r="L9" s="222">
        <f>ARBETSBLAD!AL33</f>
        <v>0</v>
      </c>
      <c r="N9" s="1066"/>
      <c r="Z9" s="1022"/>
      <c r="AA9" s="1022"/>
      <c r="AB9" s="1007"/>
    </row>
    <row r="10" spans="2:28" s="1021" customFormat="1" ht="14.1" customHeight="1">
      <c r="B10" s="618" t="s">
        <v>879</v>
      </c>
      <c r="C10" s="179"/>
      <c r="D10" s="179"/>
      <c r="E10" s="1145"/>
      <c r="F10" s="1124"/>
      <c r="G10" s="1218" t="s">
        <v>115</v>
      </c>
      <c r="H10" s="1219">
        <f>ARBETSBLAD!AJ273+ARBETSBLAD!AJ259</f>
        <v>0</v>
      </c>
      <c r="I10" s="1128"/>
      <c r="J10" s="1124"/>
      <c r="K10" s="1218" t="s">
        <v>115</v>
      </c>
      <c r="L10" s="1219">
        <f>ARBETSBLAD!AL273+ARBETSBLAD!AL259</f>
        <v>0</v>
      </c>
      <c r="N10" s="1066"/>
      <c r="Z10" s="1022"/>
      <c r="AA10" s="1022"/>
      <c r="AB10" s="1007"/>
    </row>
    <row r="11" spans="2:28" s="1021" customFormat="1" ht="14.1" customHeight="1">
      <c r="B11" s="2373" t="s">
        <v>1290</v>
      </c>
      <c r="C11" s="179"/>
      <c r="D11" s="179"/>
      <c r="E11" s="2374"/>
      <c r="F11" s="1124"/>
      <c r="G11" s="1218" t="s">
        <v>115</v>
      </c>
      <c r="H11" s="1219">
        <f>ARBETSBLAD!AJ138</f>
        <v>0</v>
      </c>
      <c r="I11" s="1128"/>
      <c r="J11" s="1124"/>
      <c r="K11" s="1218" t="s">
        <v>115</v>
      </c>
      <c r="L11" s="1219">
        <f>ARBETSBLAD!AL138</f>
        <v>0</v>
      </c>
      <c r="N11" s="1066"/>
      <c r="Z11" s="1022"/>
      <c r="AA11" s="1022"/>
      <c r="AB11" s="1007"/>
    </row>
    <row r="12" spans="2:28" ht="14.1" customHeight="1">
      <c r="B12" s="615" t="s">
        <v>163</v>
      </c>
      <c r="C12" s="599"/>
      <c r="D12" s="599"/>
      <c r="E12" s="1145"/>
      <c r="F12" s="1125"/>
      <c r="G12" s="248"/>
      <c r="H12" s="180"/>
      <c r="I12" s="1128"/>
      <c r="J12" s="1125"/>
      <c r="K12" s="248"/>
      <c r="L12" s="180"/>
      <c r="Z12" s="1007"/>
      <c r="AA12" s="1007"/>
      <c r="AB12" s="641"/>
    </row>
    <row r="13" spans="2:28" ht="14.1" customHeight="1">
      <c r="B13" s="613" t="s">
        <v>164</v>
      </c>
      <c r="C13" s="599"/>
      <c r="D13" s="599"/>
      <c r="E13" s="1145"/>
      <c r="F13" s="1126" t="str">
        <f>IF(H12+H13&gt;H8+H9,"",IF(H12+H13=0,"",(H12+H13)/(H8+H9)))</f>
        <v/>
      </c>
      <c r="G13" s="249" t="s">
        <v>116</v>
      </c>
      <c r="H13" s="173">
        <f>ARBETSBLAD!AJ76</f>
        <v>0</v>
      </c>
      <c r="I13" s="1123"/>
      <c r="J13" s="1126" t="str">
        <f>IF(L12+L13&gt;L8+L9,"",IF(L12+L13=0,"",(L12+L13)/(L8+L9)))</f>
        <v/>
      </c>
      <c r="K13" s="249" t="s">
        <v>116</v>
      </c>
      <c r="L13" s="173">
        <f>ARBETSBLAD!AL76</f>
        <v>0</v>
      </c>
      <c r="X13" s="1007"/>
      <c r="Z13" s="1007"/>
      <c r="AA13" s="1007"/>
      <c r="AB13" s="641"/>
    </row>
    <row r="14" spans="2:28" ht="14.1" customHeight="1">
      <c r="B14" s="615" t="s">
        <v>165</v>
      </c>
      <c r="C14" s="599"/>
      <c r="D14" s="599"/>
      <c r="E14" s="1145"/>
      <c r="F14" s="1127" t="str">
        <f>IF((H12+H13)&gt;(H8+H9),"",IF((H8+H9)=0,"",((H8+H9)-(H12+H13))/(H8+H9)))</f>
        <v/>
      </c>
      <c r="G14" s="250" t="s">
        <v>117</v>
      </c>
      <c r="H14" s="180">
        <f>H9+H10+H11-H13</f>
        <v>0</v>
      </c>
      <c r="I14" s="1128"/>
      <c r="J14" s="1127" t="str">
        <f>IF((L12+L13)&gt;(L8+L9),"",IF((L8+L9)=0,"",((L8+L9)-(L12+L13))/(L8+L9)))</f>
        <v/>
      </c>
      <c r="K14" s="250" t="s">
        <v>117</v>
      </c>
      <c r="L14" s="180">
        <f>L9+L10+L11-L13</f>
        <v>0</v>
      </c>
      <c r="Z14" s="1007"/>
      <c r="AA14" s="1007"/>
      <c r="AB14" s="641"/>
    </row>
    <row r="15" spans="2:28" ht="14.1" customHeight="1">
      <c r="B15" s="615" t="s">
        <v>166</v>
      </c>
      <c r="C15" s="599"/>
      <c r="D15" s="599"/>
      <c r="E15" s="1145"/>
      <c r="F15" s="245"/>
      <c r="G15" s="1000"/>
      <c r="H15" s="1001"/>
      <c r="I15" s="1128"/>
      <c r="J15" s="245"/>
      <c r="K15" s="1000"/>
      <c r="L15" s="1001"/>
      <c r="N15" s="1060"/>
      <c r="Z15" s="1007"/>
      <c r="AA15" s="1007"/>
      <c r="AB15" s="641"/>
    </row>
    <row r="16" spans="2:28" ht="14.1" customHeight="1">
      <c r="B16" s="618" t="s">
        <v>1001</v>
      </c>
      <c r="C16" s="599"/>
      <c r="D16" s="599"/>
      <c r="E16" s="1145"/>
      <c r="F16" s="187">
        <f>ARBETSBLAD!AJ98</f>
        <v>0</v>
      </c>
      <c r="G16" s="1002"/>
      <c r="H16" s="1001"/>
      <c r="I16" s="1123"/>
      <c r="J16" s="187">
        <f>ARBETSBLAD!AL98</f>
        <v>0</v>
      </c>
      <c r="K16" s="1002"/>
      <c r="L16" s="1001"/>
      <c r="N16" s="1060"/>
      <c r="Z16" s="1007"/>
      <c r="AA16" s="1007"/>
      <c r="AB16" s="641"/>
    </row>
    <row r="17" spans="2:28" ht="14.1" customHeight="1">
      <c r="B17" s="618" t="s">
        <v>563</v>
      </c>
      <c r="C17" s="599"/>
      <c r="D17" s="599"/>
      <c r="E17" s="1145"/>
      <c r="F17" s="187">
        <f>ARBETSBLAD!AJ99</f>
        <v>0</v>
      </c>
      <c r="G17" s="1002"/>
      <c r="H17" s="1001"/>
      <c r="I17" s="1123"/>
      <c r="J17" s="244">
        <f>ARBETSBLAD!AL99</f>
        <v>0</v>
      </c>
      <c r="K17" s="1002"/>
      <c r="L17" s="1001"/>
      <c r="N17" s="1060"/>
      <c r="Z17" s="1007"/>
      <c r="AA17" s="1007"/>
      <c r="AB17" s="641"/>
    </row>
    <row r="18" spans="2:28" ht="14.1" customHeight="1">
      <c r="B18" s="618" t="s">
        <v>1002</v>
      </c>
      <c r="C18" s="599"/>
      <c r="D18" s="599"/>
      <c r="E18" s="1145"/>
      <c r="F18" s="188">
        <f>ARBETSBLAD!AJ103</f>
        <v>0</v>
      </c>
      <c r="G18" s="1002"/>
      <c r="H18" s="1001"/>
      <c r="I18" s="1123"/>
      <c r="J18" s="188">
        <f>ARBETSBLAD!AL103</f>
        <v>0</v>
      </c>
      <c r="K18" s="1002"/>
      <c r="L18" s="1001"/>
      <c r="N18" s="1060"/>
      <c r="Z18" s="1007"/>
      <c r="AA18" s="1007"/>
      <c r="AB18" s="641"/>
    </row>
    <row r="19" spans="2:28" ht="14.1" customHeight="1">
      <c r="B19" s="618" t="s">
        <v>1003</v>
      </c>
      <c r="C19" s="599"/>
      <c r="D19" s="599"/>
      <c r="E19" s="1145"/>
      <c r="F19" s="188">
        <f>ARBETSBLAD!AJ104</f>
        <v>0</v>
      </c>
      <c r="G19" s="1002"/>
      <c r="H19" s="1001"/>
      <c r="I19" s="1123"/>
      <c r="J19" s="188">
        <f>ARBETSBLAD!AL104</f>
        <v>0</v>
      </c>
      <c r="K19" s="1002"/>
      <c r="L19" s="1001"/>
      <c r="N19" s="1060"/>
      <c r="Z19" s="1007"/>
      <c r="AA19" s="1007"/>
      <c r="AB19" s="641"/>
    </row>
    <row r="20" spans="2:28" ht="14.1" customHeight="1">
      <c r="B20" s="618" t="s">
        <v>1004</v>
      </c>
      <c r="C20" s="599"/>
      <c r="D20" s="599"/>
      <c r="E20" s="1145"/>
      <c r="F20" s="188">
        <f>ARBETSBLAD!AJ105</f>
        <v>0</v>
      </c>
      <c r="G20" s="1003"/>
      <c r="H20" s="1001"/>
      <c r="I20" s="1123"/>
      <c r="J20" s="188">
        <f>ARBETSBLAD!AL105</f>
        <v>0</v>
      </c>
      <c r="K20" s="1003"/>
      <c r="L20" s="1001"/>
      <c r="N20" s="1060"/>
      <c r="Z20" s="1007"/>
      <c r="AA20" s="1007"/>
      <c r="AB20" s="641"/>
    </row>
    <row r="21" spans="2:28" ht="14.1" customHeight="1">
      <c r="B21" s="618" t="s">
        <v>194</v>
      </c>
      <c r="C21" s="599"/>
      <c r="D21" s="599"/>
      <c r="E21" s="1145"/>
      <c r="F21" s="251">
        <f>ARBETSBLAD!AJ106</f>
        <v>0</v>
      </c>
      <c r="G21" s="1003"/>
      <c r="H21" s="1001"/>
      <c r="I21" s="1123"/>
      <c r="J21" s="188">
        <f>ARBETSBLAD!AL106</f>
        <v>0</v>
      </c>
      <c r="K21" s="1003"/>
      <c r="L21" s="1001"/>
      <c r="N21" s="1060"/>
      <c r="Z21" s="1007"/>
      <c r="AA21" s="1007"/>
      <c r="AB21" s="641"/>
    </row>
    <row r="22" spans="2:28" ht="14.1" customHeight="1">
      <c r="B22" s="618" t="str">
        <f>fx!B24</f>
        <v>Övr. personalomkostnader</v>
      </c>
      <c r="C22" s="599"/>
      <c r="D22" s="599"/>
      <c r="E22" s="1145"/>
      <c r="F22" s="243">
        <f>ARBETSBLAD!AJ107</f>
        <v>0</v>
      </c>
      <c r="G22" s="1003"/>
      <c r="H22" s="1001"/>
      <c r="I22" s="1123"/>
      <c r="J22" s="243">
        <f>ARBETSBLAD!AL107</f>
        <v>0</v>
      </c>
      <c r="K22" s="1003"/>
      <c r="L22" s="1001"/>
      <c r="N22" s="1060"/>
      <c r="Z22" s="1007"/>
      <c r="AA22" s="1007"/>
      <c r="AB22" s="641"/>
    </row>
    <row r="23" spans="2:28" ht="14.1" customHeight="1">
      <c r="B23" s="192"/>
      <c r="C23" s="616"/>
      <c r="D23" s="553" t="s">
        <v>167</v>
      </c>
      <c r="E23" s="1145"/>
      <c r="F23" s="244">
        <f>SUM(F16:F22)</f>
        <v>0</v>
      </c>
      <c r="G23" s="1003"/>
      <c r="H23" s="1001"/>
      <c r="I23" s="1123"/>
      <c r="J23" s="244">
        <f>SUM(J16:J22)</f>
        <v>0</v>
      </c>
      <c r="K23" s="1003"/>
      <c r="L23" s="1001"/>
      <c r="N23" s="1060"/>
      <c r="Z23" s="1007"/>
      <c r="AA23" s="1007"/>
      <c r="AB23" s="641"/>
    </row>
    <row r="24" spans="2:28" ht="14.1" customHeight="1">
      <c r="B24" s="615" t="s">
        <v>168</v>
      </c>
      <c r="C24" s="599"/>
      <c r="D24" s="599"/>
      <c r="E24" s="1145"/>
      <c r="F24" s="244"/>
      <c r="G24" s="1003"/>
      <c r="H24" s="1001"/>
      <c r="I24" s="1123"/>
      <c r="J24" s="244"/>
      <c r="K24" s="1003"/>
      <c r="L24" s="1001"/>
      <c r="N24" s="1060"/>
      <c r="Z24" s="1007"/>
      <c r="AA24" s="1007"/>
      <c r="AB24" s="641"/>
    </row>
    <row r="25" spans="2:28" ht="14.1" customHeight="1">
      <c r="B25" s="618" t="str">
        <f>ARBETSBLAD!B114</f>
        <v>Lokalhyra</v>
      </c>
      <c r="C25" s="599"/>
      <c r="D25" s="599"/>
      <c r="E25" s="1145"/>
      <c r="F25" s="244">
        <f>ARBETSBLAD!AJ135</f>
        <v>0</v>
      </c>
      <c r="G25" s="1003"/>
      <c r="H25" s="1001"/>
      <c r="I25" s="1123"/>
      <c r="J25" s="244">
        <f>ARBETSBLAD!AL135</f>
        <v>0</v>
      </c>
      <c r="K25" s="1003"/>
      <c r="L25" s="1001"/>
      <c r="N25" s="1060"/>
      <c r="Z25" s="1007"/>
      <c r="AA25" s="1007"/>
      <c r="AB25" s="641"/>
    </row>
    <row r="26" spans="2:28" ht="14.1" customHeight="1">
      <c r="B26" s="618" t="str">
        <f>ARBETSBLAD!B115</f>
        <v>Företagets försäkringar. Bankavgifter</v>
      </c>
      <c r="C26" s="599"/>
      <c r="D26" s="599"/>
      <c r="E26" s="1145"/>
      <c r="F26" s="251">
        <f>ARBETSBLAD!AJ115</f>
        <v>0</v>
      </c>
      <c r="G26" s="1003"/>
      <c r="H26" s="1001"/>
      <c r="I26" s="1123"/>
      <c r="J26" s="251">
        <f>ARBETSBLAD!AL115</f>
        <v>0</v>
      </c>
      <c r="K26" s="1003"/>
      <c r="L26" s="1001"/>
      <c r="N26" s="1060"/>
      <c r="Z26" s="1007"/>
      <c r="AA26" s="1007"/>
      <c r="AB26" s="1007"/>
    </row>
    <row r="27" spans="2:28" ht="14.1" customHeight="1">
      <c r="B27" s="618" t="str">
        <f>ARBETSBLAD!B116</f>
        <v>Lokalkostnader: el, värme, underhåll</v>
      </c>
      <c r="C27" s="599"/>
      <c r="D27" s="599"/>
      <c r="E27" s="1145"/>
      <c r="F27" s="251">
        <f>ARBETSBLAD!AJ116</f>
        <v>0</v>
      </c>
      <c r="G27" s="1003"/>
      <c r="H27" s="1001"/>
      <c r="I27" s="1123"/>
      <c r="J27" s="188">
        <f>ARBETSBLAD!AL116</f>
        <v>0</v>
      </c>
      <c r="K27" s="1003"/>
      <c r="L27" s="1001"/>
      <c r="N27" s="1060"/>
    </row>
    <row r="28" spans="2:28" ht="14.1" customHeight="1">
      <c r="B28" s="618" t="str">
        <f>ARBETSBLAD!B117</f>
        <v>Resekostnader. Bilersättning</v>
      </c>
      <c r="C28" s="599"/>
      <c r="D28" s="599"/>
      <c r="E28" s="1145"/>
      <c r="F28" s="188">
        <f>ARBETSBLAD!AJ117</f>
        <v>0</v>
      </c>
      <c r="G28" s="1003"/>
      <c r="H28" s="1001"/>
      <c r="I28" s="1123"/>
      <c r="J28" s="188">
        <f>ARBETSBLAD!AL117</f>
        <v>0</v>
      </c>
      <c r="K28" s="1003"/>
      <c r="L28" s="1001"/>
    </row>
    <row r="29" spans="2:28" ht="14.1" customHeight="1">
      <c r="B29" s="618" t="str">
        <f>ARBETSBLAD!B118</f>
        <v>Kontorsmateriel, telefon, porto etc</v>
      </c>
      <c r="C29" s="599"/>
      <c r="D29" s="599"/>
      <c r="E29" s="1145"/>
      <c r="F29" s="188">
        <f>ARBETSBLAD!AJ118</f>
        <v>0</v>
      </c>
      <c r="G29" s="1003"/>
      <c r="H29" s="1001"/>
      <c r="I29" s="1123"/>
      <c r="J29" s="188">
        <f>ARBETSBLAD!AL118</f>
        <v>0</v>
      </c>
      <c r="K29" s="1003"/>
      <c r="L29" s="1001"/>
    </row>
    <row r="30" spans="2:28" ht="14.1" customHeight="1">
      <c r="B30" s="618" t="str">
        <f>ARBETSBLAD!B119</f>
        <v>Försäljn.kostn. (resekostn. övernattning)</v>
      </c>
      <c r="C30" s="599"/>
      <c r="D30" s="599"/>
      <c r="E30" s="1145"/>
      <c r="F30" s="188">
        <f>ARBETSBLAD!AJ119</f>
        <v>0</v>
      </c>
      <c r="G30" s="1003"/>
      <c r="H30" s="1001"/>
      <c r="I30" s="1123"/>
      <c r="J30" s="188">
        <f>ARBETSBLAD!AL119</f>
        <v>0</v>
      </c>
      <c r="K30" s="1003"/>
      <c r="L30" s="1001"/>
    </row>
    <row r="31" spans="2:28" ht="14.1" customHeight="1">
      <c r="B31" s="618" t="str">
        <f>ARBETSBLAD!B120</f>
        <v>Marknadsföring</v>
      </c>
      <c r="C31" s="599"/>
      <c r="D31" s="599"/>
      <c r="E31" s="1145"/>
      <c r="F31" s="188">
        <f>ARBETSBLAD!AJ120</f>
        <v>0</v>
      </c>
      <c r="G31" s="1003"/>
      <c r="H31" s="1001"/>
      <c r="I31" s="1123"/>
      <c r="J31" s="188">
        <f>ARBETSBLAD!AL120</f>
        <v>0</v>
      </c>
      <c r="K31" s="1003"/>
      <c r="L31" s="1001"/>
    </row>
    <row r="32" spans="2:28" ht="14.1" customHeight="1">
      <c r="B32" s="618" t="str">
        <f>ARBETSBLAD!B121</f>
        <v>Bokföring. Revision</v>
      </c>
      <c r="C32" s="599"/>
      <c r="D32" s="599"/>
      <c r="E32" s="1145"/>
      <c r="F32" s="188">
        <f>ARBETSBLAD!AJ121</f>
        <v>0</v>
      </c>
      <c r="G32" s="1003"/>
      <c r="H32" s="1001"/>
      <c r="I32" s="1123"/>
      <c r="J32" s="188">
        <f>ARBETSBLAD!AL121</f>
        <v>0</v>
      </c>
      <c r="K32" s="1003"/>
      <c r="L32" s="1001"/>
    </row>
    <row r="33" spans="1:12" ht="14.1" customHeight="1">
      <c r="B33" s="618" t="str">
        <f>ARBETSBLAD!B122</f>
        <v>Företagsutv, utbildning, produktutveckl</v>
      </c>
      <c r="C33" s="599"/>
      <c r="D33" s="599"/>
      <c r="E33" s="1145"/>
      <c r="F33" s="188">
        <f>ARBETSBLAD!AJ122</f>
        <v>0</v>
      </c>
      <c r="G33" s="1003"/>
      <c r="H33" s="1001"/>
      <c r="I33" s="1123"/>
      <c r="J33" s="188">
        <f>ARBETSBLAD!AL122</f>
        <v>0</v>
      </c>
      <c r="K33" s="1003"/>
      <c r="L33" s="1001"/>
    </row>
    <row r="34" spans="1:12" ht="14.1" customHeight="1">
      <c r="B34" s="618" t="str">
        <f>ARBETSBLAD!B123</f>
        <v>Leasing, hyra utrustn. Övr köpta tjänster</v>
      </c>
      <c r="C34" s="599"/>
      <c r="D34" s="599"/>
      <c r="E34" s="1145"/>
      <c r="F34" s="188">
        <f>ARBETSBLAD!AJ123</f>
        <v>0</v>
      </c>
      <c r="G34" s="1003"/>
      <c r="H34" s="1001"/>
      <c r="I34" s="1123"/>
      <c r="J34" s="188">
        <f>ARBETSBLAD!AL123</f>
        <v>0</v>
      </c>
      <c r="K34" s="1003"/>
      <c r="L34" s="1001"/>
    </row>
    <row r="35" spans="1:12" ht="14.1" customHeight="1">
      <c r="B35" s="618" t="str">
        <f>ARBETSBLAD!B124</f>
        <v>Andra övriga kostnader 1</v>
      </c>
      <c r="C35" s="599"/>
      <c r="D35" s="599"/>
      <c r="E35" s="1145"/>
      <c r="F35" s="187">
        <f>ARBETSBLAD!AJ124</f>
        <v>0</v>
      </c>
      <c r="G35" s="1003"/>
      <c r="H35" s="1001"/>
      <c r="I35" s="1123"/>
      <c r="J35" s="187">
        <f>ARBETSBLAD!AL124</f>
        <v>0</v>
      </c>
      <c r="K35" s="1003"/>
      <c r="L35" s="1001"/>
    </row>
    <row r="36" spans="1:12" ht="14.1" customHeight="1">
      <c r="A36" s="1252"/>
      <c r="B36" s="618" t="str">
        <f>ARBETSBLAD!B125</f>
        <v>Andra övriga kostnader 2</v>
      </c>
      <c r="C36" s="599"/>
      <c r="D36" s="599"/>
      <c r="E36" s="1145"/>
      <c r="F36" s="2415">
        <f>ARBETSBLAD!AJ125</f>
        <v>0</v>
      </c>
      <c r="G36" s="1003"/>
      <c r="H36" s="1001"/>
      <c r="I36" s="1123"/>
      <c r="J36" s="2415">
        <f>ARBETSBLAD!AL125</f>
        <v>0</v>
      </c>
      <c r="K36" s="1003"/>
      <c r="L36" s="1001"/>
    </row>
    <row r="37" spans="1:12" ht="14.1" hidden="1" customHeight="1">
      <c r="A37" s="1252"/>
      <c r="B37" s="618" t="str">
        <f>ARBETSBLAD!B126</f>
        <v>Andra övriga kostnader 3</v>
      </c>
      <c r="C37" s="599"/>
      <c r="D37" s="599"/>
      <c r="E37" s="2374"/>
      <c r="F37" s="2415">
        <f>ARBETSBLAD!AJ126</f>
        <v>0</v>
      </c>
      <c r="G37" s="1003"/>
      <c r="H37" s="2414"/>
      <c r="I37" s="1123"/>
      <c r="J37" s="2400">
        <f>ARBETSBLAD!AL126</f>
        <v>0</v>
      </c>
      <c r="K37" s="1003"/>
      <c r="L37" s="2414"/>
    </row>
    <row r="38" spans="1:12" ht="14.1" hidden="1" customHeight="1">
      <c r="A38" s="1253"/>
      <c r="B38" s="618" t="str">
        <f>ARBETSBLAD!B127</f>
        <v>Andra övriga kostnader 4</v>
      </c>
      <c r="C38" s="599"/>
      <c r="D38" s="599"/>
      <c r="E38" s="1145"/>
      <c r="F38" s="2415">
        <f>ARBETSBLAD!AJ127</f>
        <v>0</v>
      </c>
      <c r="G38" s="1003"/>
      <c r="H38" s="2414"/>
      <c r="I38" s="1123"/>
      <c r="J38" s="2400">
        <f>ARBETSBLAD!AL127</f>
        <v>0</v>
      </c>
      <c r="K38" s="1003"/>
      <c r="L38" s="2414"/>
    </row>
    <row r="39" spans="1:12" ht="14.1" hidden="1" customHeight="1">
      <c r="A39" s="1253"/>
      <c r="B39" s="618" t="str">
        <f>ARBETSBLAD!B128</f>
        <v>Andra övriga kostnader 5</v>
      </c>
      <c r="C39" s="599"/>
      <c r="D39" s="599"/>
      <c r="E39" s="1145"/>
      <c r="F39" s="2415">
        <f>ARBETSBLAD!AJ128</f>
        <v>0</v>
      </c>
      <c r="G39" s="1003"/>
      <c r="H39" s="2414"/>
      <c r="I39" s="1123"/>
      <c r="J39" s="2400">
        <f>ARBETSBLAD!AL128</f>
        <v>0</v>
      </c>
      <c r="K39" s="1003"/>
      <c r="L39" s="2414"/>
    </row>
    <row r="40" spans="1:12" ht="14.1" hidden="1" customHeight="1">
      <c r="A40" s="1253"/>
      <c r="B40" s="618" t="str">
        <f>ARBETSBLAD!B129</f>
        <v>Andra övriga kostnader 6</v>
      </c>
      <c r="C40" s="599"/>
      <c r="D40" s="599"/>
      <c r="E40" s="1145"/>
      <c r="F40" s="2415">
        <f>ARBETSBLAD!AJ129</f>
        <v>0</v>
      </c>
      <c r="G40" s="1003"/>
      <c r="H40" s="2414"/>
      <c r="I40" s="1123"/>
      <c r="J40" s="2400">
        <f>ARBETSBLAD!AL129</f>
        <v>0</v>
      </c>
      <c r="K40" s="1003"/>
      <c r="L40" s="2414"/>
    </row>
    <row r="41" spans="1:12" ht="14.1" hidden="1" customHeight="1">
      <c r="A41" s="1253"/>
      <c r="B41" s="618" t="str">
        <f>ARBETSBLAD!B130</f>
        <v>Andra övriga kostnader 7</v>
      </c>
      <c r="C41" s="599"/>
      <c r="D41" s="599"/>
      <c r="E41" s="1145"/>
      <c r="F41" s="2415">
        <f>ARBETSBLAD!AJ130</f>
        <v>0</v>
      </c>
      <c r="G41" s="1003"/>
      <c r="H41" s="2414"/>
      <c r="I41" s="1123"/>
      <c r="J41" s="2400">
        <f>ARBETSBLAD!AL130</f>
        <v>0</v>
      </c>
      <c r="K41" s="1003"/>
      <c r="L41" s="2414"/>
    </row>
    <row r="42" spans="1:12" ht="14.1" hidden="1" customHeight="1">
      <c r="A42" s="1253"/>
      <c r="B42" s="618" t="str">
        <f>ARBETSBLAD!B131</f>
        <v>Andra övriga kostnader 8</v>
      </c>
      <c r="C42" s="599"/>
      <c r="D42" s="599"/>
      <c r="E42" s="1145"/>
      <c r="F42" s="2415">
        <f>ARBETSBLAD!AJ131</f>
        <v>0</v>
      </c>
      <c r="G42" s="1003"/>
      <c r="H42" s="2414"/>
      <c r="I42" s="1123"/>
      <c r="J42" s="2400">
        <f>ARBETSBLAD!AL131</f>
        <v>0</v>
      </c>
      <c r="K42" s="1003"/>
      <c r="L42" s="2414"/>
    </row>
    <row r="43" spans="1:12" ht="14.1" hidden="1" customHeight="1">
      <c r="A43" s="1253"/>
      <c r="B43" s="618" t="str">
        <f>ARBETSBLAD!B132</f>
        <v>Andra övriga kostnader 9</v>
      </c>
      <c r="C43" s="599"/>
      <c r="D43" s="599"/>
      <c r="E43" s="1145"/>
      <c r="F43" s="2415">
        <f>ARBETSBLAD!AJ132</f>
        <v>0</v>
      </c>
      <c r="G43" s="1003"/>
      <c r="H43" s="2414"/>
      <c r="I43" s="1123"/>
      <c r="J43" s="2400">
        <f>ARBETSBLAD!AL132</f>
        <v>0</v>
      </c>
      <c r="K43" s="1003"/>
      <c r="L43" s="2414"/>
    </row>
    <row r="44" spans="1:12" ht="14.1" hidden="1" customHeight="1">
      <c r="A44" s="1254"/>
      <c r="B44" s="618" t="str">
        <f>ARBETSBLAD!B133</f>
        <v>Andra övriga kostnader 10</v>
      </c>
      <c r="C44" s="599"/>
      <c r="D44" s="599"/>
      <c r="E44" s="1145"/>
      <c r="F44" s="2471">
        <f>ARBETSBLAD!AJ133</f>
        <v>0</v>
      </c>
      <c r="G44" s="1003"/>
      <c r="H44" s="2414"/>
      <c r="I44" s="1123"/>
      <c r="J44" s="174">
        <f>ARBETSBLAD!AL133</f>
        <v>0</v>
      </c>
      <c r="K44" s="1003"/>
      <c r="L44" s="2414"/>
    </row>
    <row r="45" spans="1:12" ht="14.1" customHeight="1">
      <c r="A45" s="1254"/>
      <c r="B45" s="613"/>
      <c r="C45" s="1067"/>
      <c r="D45" s="619" t="s">
        <v>169</v>
      </c>
      <c r="E45" s="1145"/>
      <c r="F45" s="2598">
        <f>SUM(F25:F44)</f>
        <v>0</v>
      </c>
      <c r="G45" s="1003"/>
      <c r="H45" s="1001"/>
      <c r="I45" s="1123"/>
      <c r="J45" s="2598">
        <f>SUM(J25:J44)</f>
        <v>0</v>
      </c>
      <c r="K45" s="1003"/>
      <c r="L45" s="1001"/>
    </row>
    <row r="46" spans="1:12" ht="14.1" customHeight="1">
      <c r="B46" s="615" t="s">
        <v>170</v>
      </c>
      <c r="C46" s="599"/>
      <c r="D46" s="599"/>
      <c r="E46" s="1145"/>
      <c r="F46" s="244"/>
      <c r="G46" s="1003"/>
      <c r="H46" s="1001"/>
      <c r="I46" s="1123"/>
      <c r="J46" s="244"/>
      <c r="K46" s="1003"/>
      <c r="L46" s="1001"/>
    </row>
    <row r="47" spans="1:12" ht="14.1" customHeight="1">
      <c r="B47" s="613" t="s">
        <v>333</v>
      </c>
      <c r="C47" s="599"/>
      <c r="D47" s="599"/>
      <c r="E47" s="1145"/>
      <c r="F47" s="244">
        <f>ARBETSBLAD!AJ156</f>
        <v>0</v>
      </c>
      <c r="G47" s="1003"/>
      <c r="H47" s="1001"/>
      <c r="I47" s="1123"/>
      <c r="J47" s="244">
        <f>ARBETSBLAD!AL156</f>
        <v>0</v>
      </c>
      <c r="K47" s="1003"/>
      <c r="L47" s="1001"/>
    </row>
    <row r="48" spans="1:12" ht="14.1" customHeight="1">
      <c r="B48" s="613" t="s">
        <v>332</v>
      </c>
      <c r="C48" s="599"/>
      <c r="D48" s="599"/>
      <c r="E48" s="1145"/>
      <c r="F48" s="243">
        <f ca="1">fx!AH341</f>
        <v>0</v>
      </c>
      <c r="G48" s="1003"/>
      <c r="H48" s="1001"/>
      <c r="I48" s="1123"/>
      <c r="J48" s="243">
        <f ca="1">fx!AJ341</f>
        <v>0</v>
      </c>
      <c r="K48" s="1003"/>
      <c r="L48" s="1001"/>
    </row>
    <row r="49" spans="2:13" ht="14.1" customHeight="1">
      <c r="B49" s="613"/>
      <c r="C49" s="1067"/>
      <c r="D49" s="619" t="s">
        <v>171</v>
      </c>
      <c r="E49" s="1145"/>
      <c r="F49" s="174">
        <f ca="1">SUM(F47:F48)</f>
        <v>0</v>
      </c>
      <c r="G49" s="1002"/>
      <c r="H49" s="1001"/>
      <c r="I49" s="1123"/>
      <c r="J49" s="174">
        <f ca="1">SUM(J47:J48)</f>
        <v>0</v>
      </c>
      <c r="K49" s="1002"/>
      <c r="L49" s="1001"/>
    </row>
    <row r="50" spans="2:13" ht="14.1" customHeight="1" thickBot="1">
      <c r="B50" s="623" t="s">
        <v>172</v>
      </c>
      <c r="C50" s="599"/>
      <c r="D50" s="599"/>
      <c r="E50" s="1145"/>
      <c r="F50" s="252">
        <f ca="1">F23+F45+F49</f>
        <v>0</v>
      </c>
      <c r="G50" s="253" t="s">
        <v>116</v>
      </c>
      <c r="H50" s="173">
        <f ca="1">F50</f>
        <v>0</v>
      </c>
      <c r="I50" s="1123"/>
      <c r="J50" s="252">
        <f ca="1">J23+J45+J49</f>
        <v>0</v>
      </c>
      <c r="K50" s="254" t="s">
        <v>116</v>
      </c>
      <c r="L50" s="173">
        <f ca="1">J50</f>
        <v>0</v>
      </c>
    </row>
    <row r="51" spans="2:13" ht="14.1" customHeight="1" thickTop="1">
      <c r="B51" s="623" t="s">
        <v>559</v>
      </c>
      <c r="C51" s="620"/>
      <c r="D51" s="621"/>
      <c r="E51" s="1145"/>
      <c r="F51" s="177"/>
      <c r="G51" s="250"/>
      <c r="H51" s="255"/>
      <c r="I51" s="1123"/>
      <c r="J51" s="177"/>
      <c r="K51" s="250"/>
      <c r="L51" s="180"/>
    </row>
    <row r="52" spans="2:13" ht="14.1" customHeight="1" thickBot="1">
      <c r="B52" s="624" t="s">
        <v>558</v>
      </c>
      <c r="C52" s="622"/>
      <c r="D52" s="622"/>
      <c r="E52" s="2131"/>
      <c r="F52" s="2150" t="s">
        <v>117</v>
      </c>
      <c r="G52" s="256"/>
      <c r="H52" s="257">
        <f ca="1">H14-H50</f>
        <v>0</v>
      </c>
      <c r="I52" s="2151"/>
      <c r="J52" s="2150" t="s">
        <v>117</v>
      </c>
      <c r="K52" s="256">
        <f ca="1">L14-L50</f>
        <v>0</v>
      </c>
      <c r="L52" s="257">
        <f ca="1">L14-L50</f>
        <v>0</v>
      </c>
    </row>
    <row r="53" spans="2:13" ht="14.1" customHeight="1" thickTop="1"/>
    <row r="54" spans="2:13" ht="12.9" customHeight="1"/>
    <row r="55" spans="2:13" ht="17.25" customHeight="1">
      <c r="B55" s="1122" t="s">
        <v>851</v>
      </c>
      <c r="C55" s="946"/>
      <c r="D55" s="946"/>
      <c r="E55" s="946"/>
      <c r="F55" s="946"/>
      <c r="G55" s="946"/>
      <c r="H55" s="946"/>
      <c r="I55" s="946"/>
      <c r="J55" s="946"/>
      <c r="K55" s="946"/>
      <c r="L55" s="946"/>
      <c r="M55" s="1136"/>
    </row>
    <row r="56" spans="2:13" ht="12.9" customHeight="1">
      <c r="B56" s="617" t="s">
        <v>852</v>
      </c>
      <c r="C56" s="947"/>
      <c r="D56" s="947"/>
      <c r="E56" s="947"/>
      <c r="F56" s="947"/>
      <c r="G56" s="947"/>
      <c r="H56" s="947"/>
      <c r="I56" s="947"/>
      <c r="J56" s="947"/>
      <c r="K56" s="947"/>
      <c r="L56" s="947"/>
      <c r="M56" s="949"/>
    </row>
    <row r="57" spans="2:13" ht="12.9" customHeight="1">
      <c r="B57" s="617" t="s">
        <v>853</v>
      </c>
      <c r="C57" s="947"/>
      <c r="D57" s="947"/>
      <c r="E57" s="947"/>
      <c r="F57" s="948"/>
      <c r="G57" s="2303" t="s">
        <v>854</v>
      </c>
      <c r="H57" s="2303"/>
      <c r="I57" s="2303"/>
      <c r="J57" s="2303"/>
      <c r="K57" s="2320"/>
      <c r="L57" s="2320"/>
      <c r="M57" s="949"/>
    </row>
    <row r="58" spans="2:13" ht="12.9" customHeight="1">
      <c r="B58" s="617" t="s">
        <v>855</v>
      </c>
      <c r="C58" s="947"/>
      <c r="D58" s="947"/>
      <c r="E58" s="947"/>
      <c r="F58" s="947"/>
      <c r="G58" s="947"/>
      <c r="H58" s="947"/>
      <c r="I58" s="947"/>
      <c r="J58" s="947"/>
      <c r="K58" s="947"/>
      <c r="L58" s="947"/>
      <c r="M58" s="949"/>
    </row>
    <row r="59" spans="2:13" ht="12.9" customHeight="1">
      <c r="B59" s="617" t="s">
        <v>1227</v>
      </c>
      <c r="C59" s="947"/>
      <c r="D59" s="947"/>
      <c r="E59" s="947"/>
      <c r="F59" s="947"/>
      <c r="G59" s="947"/>
      <c r="H59" s="947"/>
      <c r="I59" s="947"/>
      <c r="J59" s="947"/>
      <c r="K59" s="947"/>
      <c r="L59" s="947"/>
      <c r="M59" s="949"/>
    </row>
    <row r="60" spans="2:13" ht="12.9" customHeight="1">
      <c r="B60" s="617" t="s">
        <v>1229</v>
      </c>
      <c r="C60" s="947"/>
      <c r="D60" s="947"/>
      <c r="E60" s="947"/>
      <c r="F60" s="947"/>
      <c r="G60" s="947"/>
      <c r="H60" s="947"/>
      <c r="I60" s="947"/>
      <c r="J60" s="947"/>
      <c r="K60" s="947"/>
      <c r="L60" s="947"/>
      <c r="M60" s="949"/>
    </row>
    <row r="61" spans="2:13" ht="12.9" customHeight="1">
      <c r="B61" s="617" t="s">
        <v>1228</v>
      </c>
      <c r="C61" s="947"/>
      <c r="D61" s="947"/>
      <c r="E61" s="947"/>
      <c r="F61" s="947"/>
      <c r="G61" s="947"/>
      <c r="H61" s="947"/>
      <c r="I61" s="947"/>
      <c r="J61" s="947"/>
      <c r="K61" s="947"/>
      <c r="L61" s="947"/>
      <c r="M61" s="949"/>
    </row>
    <row r="62" spans="2:13" ht="12.9" customHeight="1">
      <c r="B62" s="617" t="s">
        <v>904</v>
      </c>
      <c r="C62" s="947"/>
      <c r="D62" s="947"/>
      <c r="E62" s="947"/>
      <c r="F62" s="947"/>
      <c r="G62" s="947"/>
      <c r="H62" s="947"/>
      <c r="I62" s="947"/>
      <c r="J62" s="947"/>
      <c r="K62" s="947"/>
      <c r="L62" s="947"/>
      <c r="M62" s="949"/>
    </row>
    <row r="63" spans="2:13" ht="12.9" customHeight="1">
      <c r="B63" s="617" t="s">
        <v>1230</v>
      </c>
      <c r="C63" s="947"/>
      <c r="D63" s="947"/>
      <c r="E63" s="947"/>
      <c r="F63" s="947"/>
      <c r="G63" s="947"/>
      <c r="H63" s="947"/>
      <c r="I63" s="947"/>
      <c r="J63" s="947"/>
      <c r="K63" s="947"/>
      <c r="L63" s="947"/>
      <c r="M63" s="949"/>
    </row>
    <row r="64" spans="2:13" ht="12.9" customHeight="1">
      <c r="B64" s="617" t="s">
        <v>905</v>
      </c>
      <c r="C64" s="947"/>
      <c r="D64" s="947"/>
      <c r="E64" s="947"/>
      <c r="F64" s="947"/>
      <c r="G64" s="947"/>
      <c r="H64" s="947"/>
      <c r="I64" s="947"/>
      <c r="J64" s="947"/>
      <c r="K64" s="947"/>
      <c r="L64" s="947"/>
      <c r="M64" s="949"/>
    </row>
    <row r="65" spans="2:16" ht="12.9" customHeight="1">
      <c r="B65" s="617" t="s">
        <v>906</v>
      </c>
      <c r="C65" s="947"/>
      <c r="D65" s="947"/>
      <c r="E65" s="947"/>
      <c r="F65" s="947"/>
      <c r="G65" s="947"/>
      <c r="H65" s="947"/>
      <c r="I65" s="947"/>
      <c r="J65" s="947"/>
      <c r="K65" s="947"/>
      <c r="L65" s="947"/>
      <c r="M65" s="949"/>
    </row>
    <row r="66" spans="2:16" ht="3.75" customHeight="1">
      <c r="B66" s="1147"/>
      <c r="C66" s="950"/>
      <c r="D66" s="950"/>
      <c r="E66" s="950"/>
      <c r="F66" s="950"/>
      <c r="G66" s="950"/>
      <c r="H66" s="950"/>
      <c r="I66" s="950"/>
      <c r="J66" s="950"/>
      <c r="K66" s="950"/>
      <c r="L66" s="950"/>
      <c r="M66" s="1137"/>
    </row>
    <row r="67" spans="2:16" ht="12.9" customHeight="1"/>
    <row r="68" spans="2:16" ht="2.25" customHeight="1">
      <c r="B68" s="2737"/>
      <c r="C68" s="2738"/>
      <c r="D68" s="2738"/>
      <c r="E68" s="2738"/>
      <c r="F68" s="2738"/>
      <c r="G68" s="2738"/>
      <c r="H68" s="2738"/>
      <c r="I68" s="2738"/>
      <c r="J68" s="2738"/>
      <c r="K68" s="2738"/>
      <c r="L68" s="2738"/>
      <c r="M68" s="2739"/>
    </row>
    <row r="69" spans="2:16" ht="15" customHeight="1">
      <c r="B69" s="2735" t="s">
        <v>358</v>
      </c>
      <c r="C69" s="596"/>
      <c r="D69" s="596"/>
      <c r="E69" s="596"/>
      <c r="F69" s="2740" t="s">
        <v>1427</v>
      </c>
      <c r="G69" s="282"/>
      <c r="H69" s="797">
        <v>0</v>
      </c>
      <c r="I69" s="282"/>
      <c r="J69" s="2740" t="s">
        <v>1427</v>
      </c>
      <c r="K69" s="797"/>
      <c r="L69" s="282"/>
      <c r="M69" s="2736"/>
    </row>
    <row r="70" spans="2:16" ht="12.9" customHeight="1">
      <c r="B70" s="1155" t="s">
        <v>362</v>
      </c>
      <c r="C70" s="596"/>
      <c r="D70" s="596"/>
      <c r="E70" s="596"/>
      <c r="F70" s="2741" t="s">
        <v>1428</v>
      </c>
      <c r="G70" s="282"/>
      <c r="H70" s="797"/>
      <c r="I70" s="282"/>
      <c r="J70" s="2741" t="s">
        <v>1428</v>
      </c>
      <c r="K70" s="282"/>
      <c r="L70" s="282"/>
      <c r="M70" s="1156"/>
    </row>
    <row r="71" spans="2:16" ht="12.9" customHeight="1">
      <c r="B71" s="618"/>
      <c r="C71" s="1157"/>
      <c r="D71" s="282"/>
      <c r="E71" s="282"/>
      <c r="F71" s="2742" t="s">
        <v>1429</v>
      </c>
      <c r="G71" s="1159"/>
      <c r="H71" s="1160"/>
      <c r="I71" s="596"/>
      <c r="J71" s="2742" t="s">
        <v>1429</v>
      </c>
      <c r="K71" s="195"/>
      <c r="L71" s="1160"/>
      <c r="M71" s="1161"/>
    </row>
    <row r="72" spans="2:16" ht="12.9" customHeight="1">
      <c r="B72" s="1162" t="s">
        <v>847</v>
      </c>
      <c r="C72" s="282"/>
      <c r="D72" s="1157"/>
      <c r="E72" s="282"/>
      <c r="F72" s="2743">
        <f>IF(fx!AH470&lt;0,0,fx!AH470)</f>
        <v>0</v>
      </c>
      <c r="G72" s="1164"/>
      <c r="H72" s="374">
        <f ca="1">H52</f>
        <v>0</v>
      </c>
      <c r="I72" s="1168"/>
      <c r="J72" s="2743">
        <f>IF(fx!AJ470&lt;0,0,fx!AJ470)</f>
        <v>0</v>
      </c>
      <c r="K72" s="1168"/>
      <c r="L72" s="374">
        <f ca="1">L52</f>
        <v>0</v>
      </c>
      <c r="M72" s="1161"/>
    </row>
    <row r="73" spans="2:16" ht="12.9" customHeight="1" thickBot="1">
      <c r="B73" s="1165" t="s">
        <v>1426</v>
      </c>
      <c r="C73" s="1166"/>
      <c r="D73" s="1166"/>
      <c r="E73" s="1166"/>
      <c r="F73" s="2743">
        <f>H73</f>
        <v>0</v>
      </c>
      <c r="G73" s="1167"/>
      <c r="H73" s="1139"/>
      <c r="I73" s="1168"/>
      <c r="J73" s="2743">
        <f>L73</f>
        <v>0</v>
      </c>
      <c r="K73" s="1163"/>
      <c r="L73" s="1139"/>
      <c r="M73" s="1161"/>
    </row>
    <row r="74" spans="2:16" ht="12.9" customHeight="1" thickBot="1">
      <c r="B74" s="1162" t="s">
        <v>839</v>
      </c>
      <c r="C74" s="1166"/>
      <c r="D74" s="1166"/>
      <c r="E74" s="1166"/>
      <c r="F74" s="2744">
        <f>F72+F73</f>
        <v>0</v>
      </c>
      <c r="G74" s="1167"/>
      <c r="H74" s="975">
        <f ca="1">H72+H73</f>
        <v>0</v>
      </c>
      <c r="I74" s="1168"/>
      <c r="J74" s="2744"/>
      <c r="K74" s="1168"/>
      <c r="L74" s="975">
        <f ca="1">L72+L73</f>
        <v>0</v>
      </c>
      <c r="M74" s="1161"/>
    </row>
    <row r="75" spans="2:16" ht="12.9" customHeight="1" thickBot="1">
      <c r="B75" s="1165" t="s">
        <v>361</v>
      </c>
      <c r="C75" s="1166"/>
      <c r="D75" s="1138">
        <v>0.22</v>
      </c>
      <c r="E75" s="1166"/>
      <c r="F75" s="2745">
        <f>IF(F74&lt;0,0,F74*D75)</f>
        <v>0</v>
      </c>
      <c r="G75" s="1167"/>
      <c r="H75" s="1184">
        <f ca="1">IF(H74&lt;0,0,H74*D75)</f>
        <v>0</v>
      </c>
      <c r="I75" s="1168"/>
      <c r="J75" s="2745"/>
      <c r="K75" s="1168"/>
      <c r="L75" s="1184">
        <f ca="1">IF(L74&lt;0,0,L74*D75)</f>
        <v>0</v>
      </c>
      <c r="M75" s="1161"/>
    </row>
    <row r="76" spans="2:16" ht="12.9" customHeight="1" thickBot="1">
      <c r="B76" s="1162" t="s">
        <v>840</v>
      </c>
      <c r="C76" s="2746" t="s">
        <v>850</v>
      </c>
      <c r="D76" s="1166"/>
      <c r="E76" s="1166"/>
      <c r="F76" s="2749"/>
      <c r="G76" s="1167"/>
      <c r="H76" s="1179">
        <f ca="1">H74-H75</f>
        <v>0</v>
      </c>
      <c r="I76" s="1168"/>
      <c r="J76" s="1168"/>
      <c r="K76" s="1168"/>
      <c r="L76" s="1179">
        <f ca="1">L74-L75</f>
        <v>0</v>
      </c>
      <c r="M76" s="1161"/>
    </row>
    <row r="77" spans="2:16" ht="12.75" customHeight="1" thickTop="1">
      <c r="B77" s="1162"/>
      <c r="C77" s="2747"/>
      <c r="D77" s="2748"/>
      <c r="E77" s="1166"/>
      <c r="F77" s="2749"/>
      <c r="G77" s="1167"/>
      <c r="H77" s="869"/>
      <c r="I77" s="1168"/>
      <c r="J77" s="1168"/>
      <c r="K77" s="1168"/>
      <c r="L77" s="869"/>
      <c r="M77" s="1161"/>
    </row>
    <row r="78" spans="2:16" ht="12.9" customHeight="1">
      <c r="B78" s="1162" t="s">
        <v>360</v>
      </c>
      <c r="C78" s="2746" t="s">
        <v>849</v>
      </c>
      <c r="D78" s="1166"/>
      <c r="E78" s="1166"/>
      <c r="F78" s="2749"/>
      <c r="G78" s="1167"/>
      <c r="H78" s="1183">
        <f>F18</f>
        <v>0</v>
      </c>
      <c r="I78" s="1168"/>
      <c r="J78" s="1168"/>
      <c r="K78" s="1168"/>
      <c r="L78" s="1183">
        <f>J18</f>
        <v>0</v>
      </c>
      <c r="M78" s="1161"/>
      <c r="P78" s="1146"/>
    </row>
    <row r="79" spans="2:16" ht="12.9" customHeight="1" thickBot="1">
      <c r="B79" s="1165" t="s">
        <v>856</v>
      </c>
      <c r="C79" s="1166"/>
      <c r="D79" s="1166"/>
      <c r="E79" s="1166"/>
      <c r="F79" s="1163"/>
      <c r="G79" s="1172" t="s">
        <v>116</v>
      </c>
      <c r="H79" s="1966"/>
      <c r="I79" s="1168"/>
      <c r="J79" s="1168"/>
      <c r="K79" s="1163" t="s">
        <v>116</v>
      </c>
      <c r="L79" s="1966"/>
      <c r="M79" s="1161"/>
      <c r="P79" s="1146"/>
    </row>
    <row r="80" spans="2:16" ht="12.9" customHeight="1" thickBot="1">
      <c r="B80" s="1162" t="s">
        <v>843</v>
      </c>
      <c r="C80" s="596"/>
      <c r="D80" s="596"/>
      <c r="E80" s="1166"/>
      <c r="F80" s="1163"/>
      <c r="G80" s="874"/>
      <c r="H80" s="1132">
        <f>H78-H79</f>
        <v>0</v>
      </c>
      <c r="I80" s="1130"/>
      <c r="J80" s="1168"/>
      <c r="K80" s="1134"/>
      <c r="L80" s="1132">
        <f>L77+L78-L79</f>
        <v>0</v>
      </c>
      <c r="M80" s="1161"/>
    </row>
    <row r="81" spans="2:17" ht="12.9" customHeight="1" thickTop="1">
      <c r="B81" s="1165" t="s">
        <v>844</v>
      </c>
      <c r="C81" s="596"/>
      <c r="D81" s="1144">
        <v>0.31</v>
      </c>
      <c r="E81" s="1166"/>
      <c r="F81" s="1180">
        <f>H80*D81</f>
        <v>0</v>
      </c>
      <c r="G81" s="873"/>
      <c r="H81" s="873"/>
      <c r="I81" s="1176"/>
      <c r="J81" s="1180">
        <f>L80*D81</f>
        <v>0</v>
      </c>
      <c r="K81" s="873"/>
      <c r="L81" s="873"/>
      <c r="M81" s="1169"/>
    </row>
    <row r="82" spans="2:17" ht="12.9" customHeight="1">
      <c r="B82" s="1165" t="s">
        <v>1097</v>
      </c>
      <c r="C82" s="596"/>
      <c r="D82" s="596"/>
      <c r="E82" s="1166"/>
      <c r="F82" s="1181">
        <f>IF(H80&gt;430200,(H80-430200)*0.2-F83/0.25*0.2,0)</f>
        <v>0</v>
      </c>
      <c r="G82" s="873"/>
      <c r="H82" s="873"/>
      <c r="I82" s="1176"/>
      <c r="J82" s="1181">
        <f>IF(L80&gt;430200,(L80-430200)*0.2-J83/0.25*0.2,0)</f>
        <v>0</v>
      </c>
      <c r="K82" s="873"/>
      <c r="L82" s="873"/>
      <c r="M82" s="1169"/>
    </row>
    <row r="83" spans="2:17" ht="12.9" customHeight="1">
      <c r="B83" s="1165" t="s">
        <v>1098</v>
      </c>
      <c r="C83" s="282"/>
      <c r="D83" s="282"/>
      <c r="E83" s="1166"/>
      <c r="F83" s="1182">
        <f>IF(H80&gt;616100,(H80-616100)*0.25,0)</f>
        <v>0</v>
      </c>
      <c r="G83" s="873"/>
      <c r="H83" s="873"/>
      <c r="I83" s="1176"/>
      <c r="J83" s="1182">
        <f>IF(L80&gt;616100,(L80-616100)*0.25,0)</f>
        <v>0</v>
      </c>
      <c r="K83" s="873"/>
      <c r="L83" s="873"/>
      <c r="M83" s="1169"/>
      <c r="Q83" s="1146"/>
    </row>
    <row r="84" spans="2:17" ht="12.9" customHeight="1" thickBot="1">
      <c r="B84" s="1165" t="s">
        <v>859</v>
      </c>
      <c r="C84" s="596"/>
      <c r="D84" s="596"/>
      <c r="E84" s="1175" t="s">
        <v>116</v>
      </c>
      <c r="F84" s="1135"/>
      <c r="G84" s="873"/>
      <c r="H84" s="873"/>
      <c r="I84" s="1177" t="s">
        <v>116</v>
      </c>
      <c r="J84" s="1135"/>
      <c r="K84" s="873"/>
      <c r="L84" s="873"/>
      <c r="M84" s="1169"/>
      <c r="Q84" s="1146"/>
    </row>
    <row r="85" spans="2:17" ht="12.9" customHeight="1" thickBot="1">
      <c r="B85" s="1162" t="s">
        <v>845</v>
      </c>
      <c r="C85" s="596"/>
      <c r="D85" s="596"/>
      <c r="E85" s="1166"/>
      <c r="F85" s="1179">
        <f>SUM(F79:F83)-F84</f>
        <v>0</v>
      </c>
      <c r="G85" s="1163"/>
      <c r="H85" s="873"/>
      <c r="I85" s="1178"/>
      <c r="J85" s="1179">
        <f>SUM(J79:J83)-J84</f>
        <v>0</v>
      </c>
      <c r="K85" s="1175"/>
      <c r="L85" s="873"/>
      <c r="M85" s="1170"/>
    </row>
    <row r="86" spans="2:17" ht="12.9" customHeight="1" thickTop="1">
      <c r="B86" s="1173"/>
      <c r="C86" s="1174"/>
      <c r="D86" s="1174"/>
      <c r="E86" s="1174"/>
      <c r="F86" s="1174"/>
      <c r="G86" s="1174"/>
      <c r="H86" s="1174"/>
      <c r="I86" s="1174"/>
      <c r="J86" s="1174"/>
      <c r="K86" s="1174"/>
      <c r="L86" s="1174"/>
      <c r="M86" s="1171"/>
    </row>
    <row r="87" spans="2:17" ht="12.9" customHeight="1"/>
    <row r="88" spans="2:17" ht="16.5" customHeight="1">
      <c r="B88" s="1151" t="s">
        <v>357</v>
      </c>
      <c r="C88" s="1152"/>
      <c r="D88" s="1152"/>
      <c r="E88" s="1152"/>
      <c r="F88" s="1153"/>
      <c r="G88" s="1154"/>
      <c r="H88" s="1153"/>
      <c r="I88" s="1154"/>
      <c r="J88" s="1153"/>
      <c r="K88" s="1153"/>
      <c r="L88" s="1153"/>
      <c r="M88" s="1185"/>
      <c r="N88" s="1129"/>
    </row>
    <row r="89" spans="2:17" ht="12.9" customHeight="1">
      <c r="B89" s="1155" t="s">
        <v>359</v>
      </c>
      <c r="C89" s="282"/>
      <c r="D89" s="282"/>
      <c r="E89" s="282"/>
      <c r="F89" s="282"/>
      <c r="G89" s="282"/>
      <c r="H89" s="1186"/>
      <c r="I89" s="282"/>
      <c r="J89" s="282"/>
      <c r="K89" s="1187"/>
      <c r="L89" s="1188"/>
      <c r="M89" s="1156"/>
      <c r="N89" s="1129"/>
    </row>
    <row r="90" spans="2:17" ht="12.9" customHeight="1">
      <c r="B90" s="1189"/>
      <c r="C90" s="1159"/>
      <c r="D90" s="1159"/>
      <c r="E90" s="1159"/>
      <c r="F90" s="1159"/>
      <c r="G90" s="1159"/>
      <c r="H90" s="1190"/>
      <c r="I90" s="1158"/>
      <c r="J90" s="282"/>
      <c r="K90" s="1187"/>
      <c r="L90" s="1191"/>
      <c r="M90" s="1156"/>
      <c r="N90" s="1129"/>
      <c r="O90" s="1007"/>
    </row>
    <row r="91" spans="2:17" ht="12.9" customHeight="1">
      <c r="B91" s="1162" t="s">
        <v>846</v>
      </c>
      <c r="C91" s="282"/>
      <c r="D91" s="1157"/>
      <c r="E91" s="282"/>
      <c r="F91" s="1164"/>
      <c r="G91" s="874"/>
      <c r="H91" s="877">
        <f>IF(fx!AH471&lt;0,0,fx!AH471)</f>
        <v>0</v>
      </c>
      <c r="I91" s="1176"/>
      <c r="J91" s="1163"/>
      <c r="K91" s="874"/>
      <c r="L91" s="877">
        <f>IF(fx!AJ471&lt;0,0,fx!AJ471)</f>
        <v>0</v>
      </c>
      <c r="M91" s="1169"/>
      <c r="N91" s="1129"/>
      <c r="O91" s="1007"/>
    </row>
    <row r="92" spans="2:17" ht="12.9" customHeight="1" thickBot="1">
      <c r="B92" s="1165" t="s">
        <v>858</v>
      </c>
      <c r="C92" s="1166"/>
      <c r="D92" s="1143">
        <v>0.25</v>
      </c>
      <c r="E92" s="1166"/>
      <c r="F92" s="1164"/>
      <c r="G92" s="874"/>
      <c r="H92" s="1192">
        <f>IF(H91&lt;0,0,-H91*$D$92)</f>
        <v>0</v>
      </c>
      <c r="I92" s="1130"/>
      <c r="J92" s="1163"/>
      <c r="K92" s="874"/>
      <c r="L92" s="1192">
        <f>IF(L91&lt;0,0,-L91*$D$92)</f>
        <v>0</v>
      </c>
      <c r="M92" s="1193"/>
      <c r="N92" s="1129"/>
      <c r="O92" s="1007"/>
    </row>
    <row r="93" spans="2:17" ht="12.9" customHeight="1">
      <c r="B93" s="1162" t="s">
        <v>841</v>
      </c>
      <c r="C93" s="1166"/>
      <c r="D93" s="1163"/>
      <c r="E93" s="1166"/>
      <c r="F93" s="1163"/>
      <c r="G93" s="874"/>
      <c r="H93" s="1194">
        <f>IF(H91&lt;0,0,H91+H92)</f>
        <v>0</v>
      </c>
      <c r="I93" s="1130"/>
      <c r="J93" s="1163"/>
      <c r="K93" s="874"/>
      <c r="L93" s="1194">
        <f>IF(L91&lt;0,0,L91+L92)</f>
        <v>0</v>
      </c>
      <c r="M93" s="1193"/>
      <c r="N93" s="1129"/>
      <c r="O93" s="1007"/>
    </row>
    <row r="94" spans="2:17" ht="12.9" customHeight="1">
      <c r="B94" s="1165" t="s">
        <v>842</v>
      </c>
      <c r="C94" s="1166"/>
      <c r="D94" s="1144">
        <v>0.28970000000000001</v>
      </c>
      <c r="E94" s="1166"/>
      <c r="F94" s="374">
        <f>$D$94*$H$93</f>
        <v>0</v>
      </c>
      <c r="G94" s="874"/>
      <c r="H94" s="975"/>
      <c r="I94" s="1168"/>
      <c r="J94" s="374">
        <f>$D$94*$L$93</f>
        <v>0</v>
      </c>
      <c r="K94" s="874"/>
      <c r="L94" s="975"/>
      <c r="M94" s="1195"/>
      <c r="N94" s="1129"/>
      <c r="O94" s="1007"/>
    </row>
    <row r="95" spans="2:17" ht="12.9" customHeight="1">
      <c r="B95" s="1165" t="s">
        <v>857</v>
      </c>
      <c r="C95" s="1166"/>
      <c r="D95" s="1196"/>
      <c r="E95" s="1166" t="s">
        <v>116</v>
      </c>
      <c r="F95" s="796"/>
      <c r="G95" s="874"/>
      <c r="H95" s="1182"/>
      <c r="I95" s="1163" t="s">
        <v>116</v>
      </c>
      <c r="J95" s="796"/>
      <c r="K95" s="873"/>
      <c r="L95" s="1182"/>
      <c r="M95" s="1195"/>
      <c r="N95" s="1129"/>
      <c r="O95" s="1007"/>
    </row>
    <row r="96" spans="2:17" ht="12.9" customHeight="1" thickBot="1">
      <c r="B96" s="1165" t="s">
        <v>856</v>
      </c>
      <c r="C96" s="282"/>
      <c r="D96" s="1163"/>
      <c r="E96" s="1166"/>
      <c r="F96" s="1197"/>
      <c r="G96" s="1198" t="s">
        <v>116</v>
      </c>
      <c r="H96" s="1133"/>
      <c r="I96" s="1130"/>
      <c r="J96" s="1197"/>
      <c r="K96" s="1168" t="s">
        <v>116</v>
      </c>
      <c r="L96" s="1133"/>
      <c r="M96" s="1193"/>
      <c r="N96" s="1129"/>
      <c r="O96" s="1007"/>
    </row>
    <row r="97" spans="2:15" ht="12.9" customHeight="1" thickBot="1">
      <c r="B97" s="1162" t="s">
        <v>843</v>
      </c>
      <c r="C97" s="596"/>
      <c r="D97" s="1134"/>
      <c r="E97" s="1166"/>
      <c r="F97" s="1199"/>
      <c r="G97" s="874"/>
      <c r="H97" s="1132">
        <f>IF(H91&lt;0,0,H93-H96)</f>
        <v>0</v>
      </c>
      <c r="I97" s="1130"/>
      <c r="J97" s="1199"/>
      <c r="K97" s="1134"/>
      <c r="L97" s="1132">
        <f>IF(L91&lt;0,0,L93+L94-L96)</f>
        <v>0</v>
      </c>
      <c r="M97" s="1193"/>
      <c r="N97" s="1129"/>
      <c r="O97" s="1007"/>
    </row>
    <row r="98" spans="2:15" ht="12.9" customHeight="1" thickTop="1">
      <c r="B98" s="1165" t="s">
        <v>844</v>
      </c>
      <c r="C98" s="596"/>
      <c r="D98" s="1144">
        <v>0.31</v>
      </c>
      <c r="E98" s="1166"/>
      <c r="F98" s="975">
        <f>H97*D98</f>
        <v>0</v>
      </c>
      <c r="G98" s="873"/>
      <c r="H98" s="873"/>
      <c r="I98" s="1176"/>
      <c r="J98" s="975">
        <f>L97*D98</f>
        <v>0</v>
      </c>
      <c r="K98" s="873"/>
      <c r="L98" s="873"/>
      <c r="M98" s="1169"/>
      <c r="N98" s="1129"/>
      <c r="O98" s="1007"/>
    </row>
    <row r="99" spans="2:15" ht="12.9" customHeight="1">
      <c r="B99" s="1165" t="s">
        <v>1097</v>
      </c>
      <c r="C99" s="596"/>
      <c r="D99" s="596"/>
      <c r="E99" s="1166"/>
      <c r="F99" s="1181">
        <f>IF(H97&gt;430200,(H97-430200)*0.2-F100/0.25*0.2,0)</f>
        <v>0</v>
      </c>
      <c r="G99" s="873"/>
      <c r="H99" s="873"/>
      <c r="I99" s="1176"/>
      <c r="J99" s="1181">
        <f>IF(L97&gt;430200,(L97-430200)*0.2-J100/0.25*0.2,0)</f>
        <v>0</v>
      </c>
      <c r="K99" s="873"/>
      <c r="L99" s="873"/>
      <c r="M99" s="1169"/>
      <c r="N99" s="1129"/>
      <c r="O99" s="1007"/>
    </row>
    <row r="100" spans="2:15" ht="12.9" customHeight="1">
      <c r="B100" s="1165" t="s">
        <v>1098</v>
      </c>
      <c r="C100" s="282"/>
      <c r="D100" s="282"/>
      <c r="E100" s="1166"/>
      <c r="F100" s="1182">
        <f>IF(H97&gt;616100,(H97-616100)*0.25,0)</f>
        <v>0</v>
      </c>
      <c r="G100" s="873"/>
      <c r="H100" s="873"/>
      <c r="I100" s="1176"/>
      <c r="J100" s="1182">
        <f>IF(L97&gt;616100,(L97-616100)*0.25,0)</f>
        <v>0</v>
      </c>
      <c r="K100" s="873"/>
      <c r="L100" s="873"/>
      <c r="M100" s="1169"/>
      <c r="N100" s="1129"/>
      <c r="O100" s="1007"/>
    </row>
    <row r="101" spans="2:15" ht="12.9" customHeight="1" thickBot="1">
      <c r="B101" s="1165" t="s">
        <v>859</v>
      </c>
      <c r="C101" s="596"/>
      <c r="D101" s="596"/>
      <c r="E101" s="1175" t="s">
        <v>116</v>
      </c>
      <c r="F101" s="1135"/>
      <c r="G101" s="873"/>
      <c r="H101" s="873"/>
      <c r="I101" s="1227" t="s">
        <v>116</v>
      </c>
      <c r="J101" s="1135"/>
      <c r="K101" s="873"/>
      <c r="L101" s="873"/>
      <c r="M101" s="1169"/>
      <c r="N101" s="1129"/>
      <c r="O101" s="1007"/>
    </row>
    <row r="102" spans="2:15" ht="12.9" customHeight="1" thickBot="1">
      <c r="B102" s="1162" t="s">
        <v>845</v>
      </c>
      <c r="C102" s="596"/>
      <c r="D102" s="596"/>
      <c r="E102" s="1166"/>
      <c r="F102" s="1200">
        <f>F94-F95+SUM(F98:F100)-F101</f>
        <v>0</v>
      </c>
      <c r="G102" s="1163"/>
      <c r="H102" s="873"/>
      <c r="I102" s="1178"/>
      <c r="J102" s="1200">
        <f>J94-J95+SUM(J98:J100)-J101</f>
        <v>0</v>
      </c>
      <c r="K102" s="1175"/>
      <c r="L102" s="873"/>
      <c r="M102" s="1170"/>
      <c r="N102" s="1129"/>
      <c r="O102" s="1007"/>
    </row>
    <row r="103" spans="2:15" ht="12.9" customHeight="1" thickTop="1">
      <c r="B103" s="1201"/>
      <c r="C103" s="1174"/>
      <c r="D103" s="1174"/>
      <c r="E103" s="1174"/>
      <c r="F103" s="1174"/>
      <c r="G103" s="1174"/>
      <c r="H103" s="1174"/>
      <c r="I103" s="1174"/>
      <c r="J103" s="1174"/>
      <c r="K103" s="1174"/>
      <c r="L103" s="1174"/>
      <c r="M103" s="1171"/>
      <c r="N103" s="1129"/>
      <c r="O103" s="1007"/>
    </row>
  </sheetData>
  <sheetProtection algorithmName="SHA-512" hashValue="5RZpNJ5Sucbue0N3mAL8sfeV1SrCKSSncmqmpZpJTDp0YPvyLqZ7L6PAnkJeoq79wkttF/9i3IRg8gQd/+AEdg==" saltValue="Huh333Xl9yfLuMqsQhPe0w==" spinCount="100000" sheet="1" scenarios="1" formatCells="0" formatColumns="0" formatRows="0"/>
  <mergeCells count="12">
    <mergeCell ref="F6:H6"/>
    <mergeCell ref="J6:L6"/>
    <mergeCell ref="B6:B7"/>
    <mergeCell ref="B2:C3"/>
    <mergeCell ref="F5:H5"/>
    <mergeCell ref="J5:L5"/>
    <mergeCell ref="F2:H2"/>
    <mergeCell ref="J2:L2"/>
    <mergeCell ref="F3:H3"/>
    <mergeCell ref="J3:L3"/>
    <mergeCell ref="F4:H4"/>
    <mergeCell ref="J4:L4"/>
  </mergeCells>
  <dataValidations xWindow="400" yWindow="380" count="1">
    <dataValidation allowBlank="1" showInputMessage="1" showErrorMessage="1" promptTitle="Formelcell" prompt="Budgetera på fliken ARBETSBLAD" sqref="F2:L52"/>
  </dataValidations>
  <hyperlinks>
    <hyperlink ref="G57:L57" r:id="rId1" display="Till Skatteverkets skatteuträkning"/>
    <hyperlink ref="G57:J57" r:id="rId2" display="Till Skatteverkets skatteuträkning"/>
  </hyperlinks>
  <printOptions horizontalCentered="1" verticalCentered="1"/>
  <pageMargins left="0.15748031496062992" right="0.19685039370078741" top="0.27559055118110237" bottom="0.6692913385826772" header="0.11811023622047245" footer="0.35433070866141736"/>
  <pageSetup paperSize="9" orientation="portrait" r:id="rId3"/>
  <headerFooter alignWithMargins="0">
    <oddFooter>&amp;C&amp;"Arial Narrow,Normal"&amp;8© Almi Företagspartner AB 2016-04-18</oddFooter>
  </headerFooter>
  <rowBreaks count="1" manualBreakCount="1">
    <brk id="53" max="16383" man="1"/>
  </rowBreaks>
  <ignoredErrors>
    <ignoredError sqref="L76 H76" unlockedFormula="1"/>
  </ignoredErrors>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51"/>
  <sheetViews>
    <sheetView showGridLines="0" showZeros="0" zoomScaleNormal="100" workbookViewId="0">
      <pane xSplit="3" ySplit="6" topLeftCell="D7" activePane="bottomRight" state="frozenSplit"/>
      <selection activeCell="Q14" sqref="Q14"/>
      <selection pane="topRight" activeCell="Q14" sqref="Q14"/>
      <selection pane="bottomLeft" activeCell="Q14" sqref="Q14"/>
      <selection pane="bottomRight" activeCell="A2" sqref="A2"/>
    </sheetView>
  </sheetViews>
  <sheetFormatPr defaultColWidth="9.109375" defaultRowHeight="13.8"/>
  <cols>
    <col min="1" max="1" width="0.6640625" style="788" customWidth="1"/>
    <col min="2" max="2" width="26.6640625" style="788" customWidth="1"/>
    <col min="3" max="3" width="1.88671875" style="1084" customWidth="1"/>
    <col min="4" max="10" width="8.6640625" style="1082" customWidth="1"/>
    <col min="11" max="17" width="8.6640625" style="1021" customWidth="1"/>
    <col min="18" max="28" width="8.6640625" style="1022" customWidth="1"/>
    <col min="29" max="29" width="9.109375" style="1021" customWidth="1"/>
    <col min="30" max="30" width="1.6640625" style="1022" customWidth="1"/>
    <col min="31" max="31" width="9.33203125" style="1007" customWidth="1"/>
    <col min="32" max="32" width="2.33203125" style="1007" customWidth="1"/>
    <col min="33" max="33" width="0.88671875" style="1007" customWidth="1"/>
    <col min="34" max="35" width="11.33203125" style="1007" customWidth="1"/>
    <col min="36" max="36" width="9.109375" style="788"/>
    <col min="37" max="37" width="9.109375" style="788" customWidth="1"/>
    <col min="38" max="16384" width="9.109375" style="788"/>
  </cols>
  <sheetData>
    <row r="1" spans="1:35">
      <c r="B1" s="3075"/>
      <c r="C1" s="3075"/>
      <c r="D1" s="1969" t="str">
        <f>IF(ARBETSBLAD!M4=1,"Välj startmånad på ARBETSBLAD, cell L4 !!","")</f>
        <v/>
      </c>
      <c r="E1" s="1739"/>
      <c r="F1" s="1739"/>
      <c r="G1" s="1739"/>
      <c r="H1" s="1739"/>
      <c r="I1" s="1739"/>
      <c r="J1" s="1739"/>
      <c r="K1" s="2029" t="str">
        <f>IF(AND(SUM(ARBETSBLAD!I11:T14)=0,SUM(ARBETSBLAD!I37:T40)=0),"All budgetering görs på fliken ARBETSBLAD!","")</f>
        <v>All budgetering görs på fliken ARBETSBLAD!</v>
      </c>
      <c r="L1" s="1492"/>
      <c r="M1" s="1492"/>
      <c r="N1" s="1492"/>
      <c r="O1" s="1492"/>
      <c r="AB1" s="2054" t="s">
        <v>1107</v>
      </c>
      <c r="AC1" s="2055" t="s">
        <v>1107</v>
      </c>
    </row>
    <row r="2" spans="1:35" ht="9.75" customHeight="1">
      <c r="A2" s="1068"/>
      <c r="B2" s="3076" t="s">
        <v>53</v>
      </c>
      <c r="C2" s="1967"/>
      <c r="D2" s="3078">
        <f>ARBETSBLAD!I6</f>
        <v>1</v>
      </c>
      <c r="E2" s="3080">
        <f>ARBETSBLAD!J6</f>
        <v>2</v>
      </c>
      <c r="F2" s="3080">
        <f>ARBETSBLAD!K6</f>
        <v>3</v>
      </c>
      <c r="G2" s="3080">
        <f>ARBETSBLAD!L6</f>
        <v>4</v>
      </c>
      <c r="H2" s="3080">
        <f>ARBETSBLAD!M6</f>
        <v>5</v>
      </c>
      <c r="I2" s="3080">
        <f>ARBETSBLAD!N6</f>
        <v>6</v>
      </c>
      <c r="J2" s="3080">
        <f>ARBETSBLAD!O6</f>
        <v>7</v>
      </c>
      <c r="K2" s="3080">
        <f>ARBETSBLAD!P6</f>
        <v>8</v>
      </c>
      <c r="L2" s="3080">
        <f>ARBETSBLAD!Q6</f>
        <v>9</v>
      </c>
      <c r="M2" s="3080">
        <f>ARBETSBLAD!R6</f>
        <v>10</v>
      </c>
      <c r="N2" s="3080">
        <f>ARBETSBLAD!S6</f>
        <v>11</v>
      </c>
      <c r="O2" s="3080">
        <f>ARBETSBLAD!T6</f>
        <v>12</v>
      </c>
      <c r="P2" s="3080">
        <f>ARBETSBLAD!U6</f>
        <v>13</v>
      </c>
      <c r="Q2" s="3080">
        <f>ARBETSBLAD!V6</f>
        <v>14</v>
      </c>
      <c r="R2" s="3080">
        <f>ARBETSBLAD!W6</f>
        <v>15</v>
      </c>
      <c r="S2" s="3080">
        <f>ARBETSBLAD!X6</f>
        <v>16</v>
      </c>
      <c r="T2" s="3080">
        <f>ARBETSBLAD!Y6</f>
        <v>17</v>
      </c>
      <c r="U2" s="3080">
        <f>ARBETSBLAD!Z6</f>
        <v>18</v>
      </c>
      <c r="V2" s="3080">
        <f>ARBETSBLAD!AA6</f>
        <v>19</v>
      </c>
      <c r="W2" s="3080">
        <f>ARBETSBLAD!AB6</f>
        <v>20</v>
      </c>
      <c r="X2" s="3080">
        <f>ARBETSBLAD!AC6</f>
        <v>21</v>
      </c>
      <c r="Y2" s="3080">
        <f>ARBETSBLAD!AD6</f>
        <v>22</v>
      </c>
      <c r="Z2" s="3080">
        <f>ARBETSBLAD!AE6</f>
        <v>23</v>
      </c>
      <c r="AA2" s="3080">
        <f>ARBETSBLAD!AF6</f>
        <v>24</v>
      </c>
      <c r="AB2" s="2056" t="str">
        <f>ARBETSBLAD!AJ2</f>
        <v>Januari</v>
      </c>
      <c r="AC2" s="2056" t="str">
        <f>ARBETSBLAD!AL2</f>
        <v>Januari</v>
      </c>
      <c r="AD2" s="1069"/>
      <c r="AE2" s="1058"/>
      <c r="AF2" s="1058"/>
      <c r="AG2" s="1058"/>
    </row>
    <row r="3" spans="1:35" ht="9.75" customHeight="1">
      <c r="A3" s="1068"/>
      <c r="B3" s="3077"/>
      <c r="C3" s="1968"/>
      <c r="D3" s="3079"/>
      <c r="E3" s="3081"/>
      <c r="F3" s="3081"/>
      <c r="G3" s="3081"/>
      <c r="H3" s="3081"/>
      <c r="I3" s="3081"/>
      <c r="J3" s="3081"/>
      <c r="K3" s="3081"/>
      <c r="L3" s="3081"/>
      <c r="M3" s="3081"/>
      <c r="N3" s="3081"/>
      <c r="O3" s="3081"/>
      <c r="P3" s="3081"/>
      <c r="Q3" s="3081"/>
      <c r="R3" s="3081"/>
      <c r="S3" s="3081"/>
      <c r="T3" s="3081"/>
      <c r="U3" s="3081"/>
      <c r="V3" s="3081"/>
      <c r="W3" s="3081"/>
      <c r="X3" s="3081"/>
      <c r="Y3" s="3081"/>
      <c r="Z3" s="3081"/>
      <c r="AA3" s="3081"/>
      <c r="AB3" s="2057">
        <f>ARBETSBLAD!AJ4</f>
        <v>2016</v>
      </c>
      <c r="AC3" s="1978">
        <f>ARBETSBLAD!AL4</f>
        <v>2017</v>
      </c>
      <c r="AD3" s="1069"/>
      <c r="AE3" s="1058"/>
      <c r="AF3" s="1058"/>
      <c r="AG3" s="1058"/>
    </row>
    <row r="4" spans="1:35" ht="5.25" customHeight="1">
      <c r="A4" s="1068"/>
      <c r="B4" s="3059" t="str">
        <f>ARBETSBLAD!B7</f>
        <v>Företagsnamn</v>
      </c>
      <c r="C4" s="2316"/>
      <c r="D4" s="3074" t="str">
        <f>LOOKUP(ARBETSBLAD!$L$4,ARBETSBLAD!$I$6:$AF$6,ARBETSBLAD!$I7:$AF7)</f>
        <v>Januari</v>
      </c>
      <c r="E4" s="3074" t="str">
        <f>LOOKUP(ARBETSBLAD!$L$4+SUM($D$47:D47),ARBETSBLAD!$I$6:$AF$6,ARBETSBLAD!$I7:$AF7)</f>
        <v>Februari</v>
      </c>
      <c r="F4" s="3074" t="str">
        <f>LOOKUP(ARBETSBLAD!$L$4+SUM($D$47:E47),ARBETSBLAD!$I$6:$AF$6,ARBETSBLAD!$I7:$AF7)</f>
        <v>Mars</v>
      </c>
      <c r="G4" s="3074" t="str">
        <f>LOOKUP(ARBETSBLAD!$L$4+SUM($D$47:F47),ARBETSBLAD!$I$6:$AF$6,ARBETSBLAD!$I7:$AF7)</f>
        <v>April</v>
      </c>
      <c r="H4" s="3074" t="str">
        <f>LOOKUP(ARBETSBLAD!$L$4+SUM($D$47:G47),ARBETSBLAD!$I$6:$AF$6,ARBETSBLAD!$I7:$AF7)</f>
        <v>Maj</v>
      </c>
      <c r="I4" s="3074" t="str">
        <f>LOOKUP(ARBETSBLAD!$L$4+SUM($D$47:H47),ARBETSBLAD!$I$6:$AF$6,ARBETSBLAD!$I7:$AF7)</f>
        <v>Juni</v>
      </c>
      <c r="J4" s="3074" t="str">
        <f>LOOKUP(ARBETSBLAD!$L$4+SUM($D$47:I47),ARBETSBLAD!$I$6:$AF$6,ARBETSBLAD!$I7:$AF7)</f>
        <v>Juli</v>
      </c>
      <c r="K4" s="3074" t="str">
        <f>LOOKUP(ARBETSBLAD!$L$4+SUM($D$47:J47),ARBETSBLAD!$I$6:$AF$6,ARBETSBLAD!$I7:$AF7)</f>
        <v>Augusti</v>
      </c>
      <c r="L4" s="3074" t="str">
        <f>LOOKUP(ARBETSBLAD!$L$4+SUM($D$47:K47),ARBETSBLAD!$I$6:$AF$6,ARBETSBLAD!$I7:$AF7)</f>
        <v>September</v>
      </c>
      <c r="M4" s="3074" t="str">
        <f>LOOKUP(ARBETSBLAD!$L$4+SUM($D$47:L47),ARBETSBLAD!$I$6:$AF$6,ARBETSBLAD!$I7:$AF7)</f>
        <v>Oktober</v>
      </c>
      <c r="N4" s="3074" t="str">
        <f>LOOKUP(ARBETSBLAD!$L$4+SUM($D$47:M47),ARBETSBLAD!$I$6:$AF$6,ARBETSBLAD!$I7:$AF7)</f>
        <v>November</v>
      </c>
      <c r="O4" s="3074" t="str">
        <f>LOOKUP(ARBETSBLAD!$L$4+SUM($D$47:N47),ARBETSBLAD!$I$6:$AF$6,ARBETSBLAD!$I7:$AF7)</f>
        <v>December</v>
      </c>
      <c r="P4" s="3074" t="str">
        <f>LOOKUP(ARBETSBLAD!$L$4+SUM($D$47:O47),ARBETSBLAD!$I$6:$AF$6,ARBETSBLAD!$I7:$AF7)</f>
        <v>Januari</v>
      </c>
      <c r="Q4" s="3074" t="str">
        <f>IF(Q48=0,"",LOOKUP(ARBETSBLAD!$L$4+SUM($D$47:P47),ARBETSBLAD!$I$6:$AF$6,ARBETSBLAD!$I7:$AF7))</f>
        <v>Februari</v>
      </c>
      <c r="R4" s="3074" t="str">
        <f>IF(R48=0,"",LOOKUP(ARBETSBLAD!$L$4+SUM($D$47:Q47),ARBETSBLAD!$I$6:$AF$6,ARBETSBLAD!$I7:$AF7))</f>
        <v>Mars</v>
      </c>
      <c r="S4" s="3074" t="str">
        <f>IF(S48=0,"",LOOKUP(ARBETSBLAD!$L$4+SUM($D$47:R47),ARBETSBLAD!$I$6:$AF$6,ARBETSBLAD!$I7:$AF7))</f>
        <v>April</v>
      </c>
      <c r="T4" s="3074" t="str">
        <f>IF(T48=0,"",LOOKUP(ARBETSBLAD!$L$4+SUM($D$47:S47),ARBETSBLAD!$I$6:$AF$6,ARBETSBLAD!$I7:$AF7))</f>
        <v>Maj</v>
      </c>
      <c r="U4" s="3074" t="str">
        <f>IF(U48=0,"",LOOKUP(ARBETSBLAD!$L$4+SUM($D$47:T47),ARBETSBLAD!$I$6:$AF$6,ARBETSBLAD!$I7:$AF7))</f>
        <v>Juni</v>
      </c>
      <c r="V4" s="3074" t="str">
        <f>IF(V48=0,"",LOOKUP(ARBETSBLAD!$L$4+SUM($D$47:U47),ARBETSBLAD!$I$6:$AF$6,ARBETSBLAD!$I7:$AF7))</f>
        <v>Juli</v>
      </c>
      <c r="W4" s="3074" t="str">
        <f>IF(W48=0,"",LOOKUP(ARBETSBLAD!$L$4+SUM($D$47:V47),ARBETSBLAD!$I$6:$AF$6,ARBETSBLAD!$I7:$AF7))</f>
        <v>Augusti</v>
      </c>
      <c r="X4" s="3074" t="str">
        <f>IF(X48=0,"",LOOKUP(ARBETSBLAD!$L$4+SUM($D$47:W47),ARBETSBLAD!$I$6:$AF$6,ARBETSBLAD!$I7:$AF7))</f>
        <v>September</v>
      </c>
      <c r="Y4" s="3074" t="str">
        <f>IF(Y48=0,"",LOOKUP(ARBETSBLAD!$L$4+SUM($D$47:X47),ARBETSBLAD!$I$6:$AF$6,ARBETSBLAD!$I7:$AF7))</f>
        <v>Oktober</v>
      </c>
      <c r="Z4" s="3074" t="str">
        <f>IF(Z48=0,"",LOOKUP(ARBETSBLAD!$L$4+SUM($D$47:Y47),ARBETSBLAD!$I$6:$AF$6,ARBETSBLAD!$I7:$AF7))</f>
        <v>November</v>
      </c>
      <c r="AA4" s="3074" t="str">
        <f>IF(AA48=0,"",LOOKUP(ARBETSBLAD!$L$4+SUM($D$47:Z47),ARBETSBLAD!$I$6:$AF$6,ARBETSBLAD!$I7:$AF7))</f>
        <v>December</v>
      </c>
      <c r="AB4" s="2058" t="s">
        <v>1112</v>
      </c>
      <c r="AC4" s="2058" t="s">
        <v>1112</v>
      </c>
      <c r="AD4" s="1069"/>
      <c r="AE4" s="1058"/>
      <c r="AF4" s="1058"/>
      <c r="AG4" s="1058"/>
    </row>
    <row r="5" spans="1:35" ht="9.75" customHeight="1">
      <c r="A5" s="1068"/>
      <c r="B5" s="3059"/>
      <c r="C5" s="2316"/>
      <c r="D5" s="3074"/>
      <c r="E5" s="3074"/>
      <c r="F5" s="3074"/>
      <c r="G5" s="3074"/>
      <c r="H5" s="3074"/>
      <c r="I5" s="3074"/>
      <c r="J5" s="3074"/>
      <c r="K5" s="3074"/>
      <c r="L5" s="3074"/>
      <c r="M5" s="3074"/>
      <c r="N5" s="3074"/>
      <c r="O5" s="3074"/>
      <c r="P5" s="3074"/>
      <c r="Q5" s="3074"/>
      <c r="R5" s="3074"/>
      <c r="S5" s="3074"/>
      <c r="T5" s="3074"/>
      <c r="U5" s="3074"/>
      <c r="V5" s="3074"/>
      <c r="W5" s="3074"/>
      <c r="X5" s="3074"/>
      <c r="Y5" s="3074"/>
      <c r="Z5" s="3074"/>
      <c r="AA5" s="3074"/>
      <c r="AB5" s="1978" t="str">
        <f>ARBETSBLAD!AJ7</f>
        <v>December</v>
      </c>
      <c r="AC5" s="1978" t="str">
        <f>ARBETSBLAD!AL7</f>
        <v>December</v>
      </c>
      <c r="AD5" s="1069"/>
      <c r="AE5" s="1058"/>
      <c r="AF5" s="1058"/>
      <c r="AG5" s="1058"/>
    </row>
    <row r="6" spans="1:35" s="1975" customFormat="1" ht="12" customHeight="1">
      <c r="A6" s="1970"/>
      <c r="B6" s="2152"/>
      <c r="C6" s="2153"/>
      <c r="D6" s="1976">
        <f>fx!I10</f>
        <v>2016</v>
      </c>
      <c r="E6" s="1976">
        <f>fx!J10</f>
        <v>2016</v>
      </c>
      <c r="F6" s="1976">
        <f>fx!K10</f>
        <v>2016</v>
      </c>
      <c r="G6" s="1976">
        <f>fx!L10</f>
        <v>2016</v>
      </c>
      <c r="H6" s="1976">
        <f>fx!M10</f>
        <v>2016</v>
      </c>
      <c r="I6" s="1976">
        <f>fx!N10</f>
        <v>2016</v>
      </c>
      <c r="J6" s="1976">
        <f>fx!O10</f>
        <v>2016</v>
      </c>
      <c r="K6" s="1976">
        <f>fx!P10</f>
        <v>2016</v>
      </c>
      <c r="L6" s="1976">
        <f>fx!Q10</f>
        <v>2016</v>
      </c>
      <c r="M6" s="1976">
        <f>fx!R10</f>
        <v>2016</v>
      </c>
      <c r="N6" s="1976">
        <f>fx!S10</f>
        <v>2016</v>
      </c>
      <c r="O6" s="1976">
        <f>fx!T10</f>
        <v>2016</v>
      </c>
      <c r="P6" s="1976">
        <f>fx!U10</f>
        <v>2017</v>
      </c>
      <c r="Q6" s="1977">
        <f>fx!V10</f>
        <v>2017</v>
      </c>
      <c r="R6" s="1977">
        <f>fx!W10</f>
        <v>2017</v>
      </c>
      <c r="S6" s="1977">
        <f>fx!X10</f>
        <v>2017</v>
      </c>
      <c r="T6" s="1977">
        <f>fx!Y10</f>
        <v>2017</v>
      </c>
      <c r="U6" s="1977">
        <f>fx!Z10</f>
        <v>2017</v>
      </c>
      <c r="V6" s="1977">
        <f>fx!AA10</f>
        <v>2017</v>
      </c>
      <c r="W6" s="1977">
        <f>fx!AB10</f>
        <v>2017</v>
      </c>
      <c r="X6" s="1977">
        <f>fx!AC10</f>
        <v>2017</v>
      </c>
      <c r="Y6" s="1977">
        <f>fx!AD10</f>
        <v>2017</v>
      </c>
      <c r="Z6" s="1977">
        <f>fx!AE10</f>
        <v>2017</v>
      </c>
      <c r="AA6" s="1976">
        <f>fx!AF10</f>
        <v>2017</v>
      </c>
      <c r="AB6" s="2154">
        <f>ARBETSBLAD!AJ8</f>
        <v>2016</v>
      </c>
      <c r="AC6" s="2154">
        <f>ARBETSBLAD!AL8</f>
        <v>2017</v>
      </c>
      <c r="AD6" s="1971"/>
      <c r="AE6" s="1972"/>
      <c r="AF6" s="1972"/>
      <c r="AG6" s="1972"/>
      <c r="AH6" s="1973"/>
      <c r="AI6" s="1974"/>
    </row>
    <row r="7" spans="1:35" s="1021" customFormat="1" ht="18" customHeight="1">
      <c r="A7" s="1070"/>
      <c r="B7" s="1085" t="s">
        <v>351</v>
      </c>
      <c r="C7" s="2318" t="s">
        <v>115</v>
      </c>
      <c r="D7" s="435">
        <f>fx!I13</f>
        <v>0</v>
      </c>
      <c r="E7" s="435">
        <f>fx!J13</f>
        <v>0</v>
      </c>
      <c r="F7" s="435">
        <f>fx!K13</f>
        <v>0</v>
      </c>
      <c r="G7" s="435">
        <f>fx!L13</f>
        <v>0</v>
      </c>
      <c r="H7" s="435">
        <f>fx!M13</f>
        <v>0</v>
      </c>
      <c r="I7" s="435">
        <f>fx!N13</f>
        <v>0</v>
      </c>
      <c r="J7" s="435">
        <f>fx!O13</f>
        <v>0</v>
      </c>
      <c r="K7" s="435">
        <f>fx!P13</f>
        <v>0</v>
      </c>
      <c r="L7" s="435">
        <f>fx!Q13</f>
        <v>0</v>
      </c>
      <c r="M7" s="435">
        <f>fx!R13</f>
        <v>0</v>
      </c>
      <c r="N7" s="435">
        <f>fx!S13</f>
        <v>0</v>
      </c>
      <c r="O7" s="435">
        <f>fx!T13</f>
        <v>0</v>
      </c>
      <c r="P7" s="435">
        <f>fx!U13</f>
        <v>0</v>
      </c>
      <c r="Q7" s="435">
        <f>fx!V13</f>
        <v>0</v>
      </c>
      <c r="R7" s="435">
        <f>fx!W13</f>
        <v>0</v>
      </c>
      <c r="S7" s="435">
        <f>fx!X13</f>
        <v>0</v>
      </c>
      <c r="T7" s="435">
        <f>fx!Y13</f>
        <v>0</v>
      </c>
      <c r="U7" s="435">
        <f>fx!Z13</f>
        <v>0</v>
      </c>
      <c r="V7" s="435">
        <f>fx!AA13</f>
        <v>0</v>
      </c>
      <c r="W7" s="435">
        <f>fx!AB13</f>
        <v>0</v>
      </c>
      <c r="X7" s="435">
        <f>fx!AC13</f>
        <v>0</v>
      </c>
      <c r="Y7" s="435">
        <f>fx!AD13</f>
        <v>0</v>
      </c>
      <c r="Z7" s="435">
        <f>fx!AE13</f>
        <v>0</v>
      </c>
      <c r="AA7" s="435">
        <f>fx!AF13</f>
        <v>0</v>
      </c>
      <c r="AB7" s="2155">
        <f>ARBETSBLAD!AJ33</f>
        <v>0</v>
      </c>
      <c r="AC7" s="2155">
        <f>IF(fx!$C$57=1,ARBETSBLAD!AL33,0)</f>
        <v>0</v>
      </c>
      <c r="AD7" s="1071"/>
      <c r="AE7" s="1062"/>
      <c r="AF7" s="1062"/>
      <c r="AG7" s="1062"/>
      <c r="AH7" s="1007"/>
      <c r="AI7" s="1007"/>
    </row>
    <row r="8" spans="1:35" s="1021" customFormat="1" ht="12" customHeight="1">
      <c r="A8" s="1022"/>
      <c r="B8" s="971" t="s">
        <v>879</v>
      </c>
      <c r="C8" s="2317" t="s">
        <v>115</v>
      </c>
      <c r="D8" s="392">
        <f>fx!I14</f>
        <v>0</v>
      </c>
      <c r="E8" s="392">
        <f>fx!J14</f>
        <v>0</v>
      </c>
      <c r="F8" s="392">
        <f>fx!K14</f>
        <v>0</v>
      </c>
      <c r="G8" s="392">
        <f>fx!L14</f>
        <v>0</v>
      </c>
      <c r="H8" s="392">
        <f>fx!M14</f>
        <v>0</v>
      </c>
      <c r="I8" s="392">
        <f>fx!N14</f>
        <v>0</v>
      </c>
      <c r="J8" s="392">
        <f>fx!O14</f>
        <v>0</v>
      </c>
      <c r="K8" s="392">
        <f>fx!P14</f>
        <v>0</v>
      </c>
      <c r="L8" s="392">
        <f>fx!Q14</f>
        <v>0</v>
      </c>
      <c r="M8" s="392">
        <f>fx!R14</f>
        <v>0</v>
      </c>
      <c r="N8" s="392">
        <f>fx!S14</f>
        <v>0</v>
      </c>
      <c r="O8" s="392">
        <f>fx!T14</f>
        <v>0</v>
      </c>
      <c r="P8" s="392">
        <f>fx!U14</f>
        <v>0</v>
      </c>
      <c r="Q8" s="392">
        <f>fx!V14</f>
        <v>0</v>
      </c>
      <c r="R8" s="392">
        <f>fx!W14</f>
        <v>0</v>
      </c>
      <c r="S8" s="392">
        <f>fx!X14</f>
        <v>0</v>
      </c>
      <c r="T8" s="392">
        <f>fx!Y14</f>
        <v>0</v>
      </c>
      <c r="U8" s="392">
        <f>fx!Z14</f>
        <v>0</v>
      </c>
      <c r="V8" s="392">
        <f>fx!AA14</f>
        <v>0</v>
      </c>
      <c r="W8" s="392">
        <f>fx!AB14</f>
        <v>0</v>
      </c>
      <c r="X8" s="392">
        <f>fx!AC14</f>
        <v>0</v>
      </c>
      <c r="Y8" s="392">
        <f>fx!AD14</f>
        <v>0</v>
      </c>
      <c r="Z8" s="392">
        <f>fx!AE14</f>
        <v>0</v>
      </c>
      <c r="AA8" s="392">
        <f>fx!AF14</f>
        <v>0</v>
      </c>
      <c r="AB8" s="436">
        <f>ARBETSBLAD!AJ273+ARBETSBLAD!AJ259</f>
        <v>0</v>
      </c>
      <c r="AC8" s="436">
        <f>IF(fx!$C$57=1,ARBETSBLAD!AL273+ARBETSBLAD!AL259,0)</f>
        <v>0</v>
      </c>
      <c r="AD8" s="1071"/>
      <c r="AE8" s="1062"/>
      <c r="AF8" s="1062"/>
      <c r="AG8" s="1062"/>
      <c r="AH8" s="1007"/>
      <c r="AI8" s="1007"/>
    </row>
    <row r="9" spans="1:35" s="1021" customFormat="1" ht="12" customHeight="1">
      <c r="A9" s="1022"/>
      <c r="B9" s="2375" t="s">
        <v>1285</v>
      </c>
      <c r="C9" s="2376" t="s">
        <v>115</v>
      </c>
      <c r="D9" s="392">
        <f>fx!I15</f>
        <v>0</v>
      </c>
      <c r="E9" s="392">
        <f>fx!J15</f>
        <v>0</v>
      </c>
      <c r="F9" s="392">
        <f>fx!K15</f>
        <v>0</v>
      </c>
      <c r="G9" s="392">
        <f>fx!L15</f>
        <v>0</v>
      </c>
      <c r="H9" s="392">
        <f>fx!M15</f>
        <v>0</v>
      </c>
      <c r="I9" s="392">
        <f>fx!N15</f>
        <v>0</v>
      </c>
      <c r="J9" s="392">
        <f>fx!O15</f>
        <v>0</v>
      </c>
      <c r="K9" s="392">
        <f>fx!P15</f>
        <v>0</v>
      </c>
      <c r="L9" s="392">
        <f>fx!Q15</f>
        <v>0</v>
      </c>
      <c r="M9" s="392">
        <f>fx!R15</f>
        <v>0</v>
      </c>
      <c r="N9" s="392">
        <f>fx!S15</f>
        <v>0</v>
      </c>
      <c r="O9" s="392">
        <f>fx!T15</f>
        <v>0</v>
      </c>
      <c r="P9" s="392">
        <f>fx!U15</f>
        <v>0</v>
      </c>
      <c r="Q9" s="392">
        <f>fx!V15</f>
        <v>0</v>
      </c>
      <c r="R9" s="392">
        <f>fx!W15</f>
        <v>0</v>
      </c>
      <c r="S9" s="392">
        <f>fx!X15</f>
        <v>0</v>
      </c>
      <c r="T9" s="392">
        <f>fx!Y15</f>
        <v>0</v>
      </c>
      <c r="U9" s="392">
        <f>fx!Z15</f>
        <v>0</v>
      </c>
      <c r="V9" s="392">
        <f>fx!AA15</f>
        <v>0</v>
      </c>
      <c r="W9" s="392">
        <f>fx!AB15</f>
        <v>0</v>
      </c>
      <c r="X9" s="392">
        <f>fx!AC15</f>
        <v>0</v>
      </c>
      <c r="Y9" s="392">
        <f>fx!AD15</f>
        <v>0</v>
      </c>
      <c r="Z9" s="392">
        <f>fx!AE15</f>
        <v>0</v>
      </c>
      <c r="AA9" s="392">
        <f>fx!AF15</f>
        <v>0</v>
      </c>
      <c r="AB9" s="436">
        <f>ARBETSBLAD!AJ138</f>
        <v>0</v>
      </c>
      <c r="AC9" s="436">
        <f>ARBETSBLAD!AL138</f>
        <v>0</v>
      </c>
      <c r="AD9" s="2377"/>
      <c r="AE9" s="1062"/>
      <c r="AF9" s="1062"/>
      <c r="AG9" s="1062"/>
      <c r="AH9" s="1007"/>
      <c r="AI9" s="1007"/>
    </row>
    <row r="10" spans="1:35" ht="12.9" customHeight="1">
      <c r="B10" s="1086" t="s">
        <v>353</v>
      </c>
      <c r="C10" s="2317" t="s">
        <v>116</v>
      </c>
      <c r="D10" s="437">
        <f>fx!I16</f>
        <v>0</v>
      </c>
      <c r="E10" s="437">
        <f>fx!J16</f>
        <v>0</v>
      </c>
      <c r="F10" s="437">
        <f>fx!K16</f>
        <v>0</v>
      </c>
      <c r="G10" s="437">
        <f>fx!L16</f>
        <v>0</v>
      </c>
      <c r="H10" s="437">
        <f>fx!M16</f>
        <v>0</v>
      </c>
      <c r="I10" s="437">
        <f>fx!N16</f>
        <v>0</v>
      </c>
      <c r="J10" s="437">
        <f>fx!O16</f>
        <v>0</v>
      </c>
      <c r="K10" s="437">
        <f>fx!P16</f>
        <v>0</v>
      </c>
      <c r="L10" s="437">
        <f>fx!Q16</f>
        <v>0</v>
      </c>
      <c r="M10" s="437">
        <f>fx!R16</f>
        <v>0</v>
      </c>
      <c r="N10" s="437">
        <f>fx!S16</f>
        <v>0</v>
      </c>
      <c r="O10" s="437">
        <f>fx!T16</f>
        <v>0</v>
      </c>
      <c r="P10" s="437">
        <f>fx!U16</f>
        <v>0</v>
      </c>
      <c r="Q10" s="437">
        <f>fx!V16</f>
        <v>0</v>
      </c>
      <c r="R10" s="437">
        <f>fx!W16</f>
        <v>0</v>
      </c>
      <c r="S10" s="437">
        <f>fx!X16</f>
        <v>0</v>
      </c>
      <c r="T10" s="437">
        <f>fx!Y16</f>
        <v>0</v>
      </c>
      <c r="U10" s="437">
        <f>fx!Z16</f>
        <v>0</v>
      </c>
      <c r="V10" s="437">
        <f>fx!AA16</f>
        <v>0</v>
      </c>
      <c r="W10" s="437">
        <f>fx!AB16</f>
        <v>0</v>
      </c>
      <c r="X10" s="437">
        <f>fx!AC16</f>
        <v>0</v>
      </c>
      <c r="Y10" s="437">
        <f>fx!AD16</f>
        <v>0</v>
      </c>
      <c r="Z10" s="437">
        <f>fx!AE16</f>
        <v>0</v>
      </c>
      <c r="AA10" s="437">
        <f>fx!AF16</f>
        <v>0</v>
      </c>
      <c r="AB10" s="438">
        <f>ARBETSBLAD!AJ76</f>
        <v>0</v>
      </c>
      <c r="AC10" s="438">
        <f>IF(fx!$C$57=1,ARBETSBLAD!AL76,0)</f>
        <v>0</v>
      </c>
      <c r="AD10" s="1071"/>
      <c r="AE10" s="1058"/>
      <c r="AF10" s="1058"/>
      <c r="AG10" s="1058"/>
    </row>
    <row r="11" spans="1:35" ht="12.9" customHeight="1">
      <c r="B11" s="1086" t="str">
        <f>IF(AB8+AC8=0,"Bruttovinst","Bruttovinst 2")</f>
        <v>Bruttovinst</v>
      </c>
      <c r="C11" s="614"/>
      <c r="D11" s="439">
        <f>fx!I17</f>
        <v>0</v>
      </c>
      <c r="E11" s="440">
        <f>fx!J17</f>
        <v>0</v>
      </c>
      <c r="F11" s="440">
        <f>fx!K17</f>
        <v>0</v>
      </c>
      <c r="G11" s="440">
        <f>fx!L17</f>
        <v>0</v>
      </c>
      <c r="H11" s="440">
        <f>fx!M17</f>
        <v>0</v>
      </c>
      <c r="I11" s="440">
        <f>fx!N17</f>
        <v>0</v>
      </c>
      <c r="J11" s="440">
        <f>fx!O17</f>
        <v>0</v>
      </c>
      <c r="K11" s="440">
        <f>fx!P17</f>
        <v>0</v>
      </c>
      <c r="L11" s="440">
        <f>fx!Q17</f>
        <v>0</v>
      </c>
      <c r="M11" s="440">
        <f>fx!R17</f>
        <v>0</v>
      </c>
      <c r="N11" s="440">
        <f>fx!S17</f>
        <v>0</v>
      </c>
      <c r="O11" s="440">
        <f>fx!T17</f>
        <v>0</v>
      </c>
      <c r="P11" s="441">
        <f>fx!U17</f>
        <v>0</v>
      </c>
      <c r="Q11" s="441">
        <f>fx!V17</f>
        <v>0</v>
      </c>
      <c r="R11" s="441">
        <f>fx!W17</f>
        <v>0</v>
      </c>
      <c r="S11" s="441">
        <f>fx!X17</f>
        <v>0</v>
      </c>
      <c r="T11" s="441">
        <f>fx!Y17</f>
        <v>0</v>
      </c>
      <c r="U11" s="441">
        <f>fx!Z17</f>
        <v>0</v>
      </c>
      <c r="V11" s="441">
        <f>fx!AA17</f>
        <v>0</v>
      </c>
      <c r="W11" s="441">
        <f>fx!AB17</f>
        <v>0</v>
      </c>
      <c r="X11" s="441">
        <f>fx!AC17</f>
        <v>0</v>
      </c>
      <c r="Y11" s="441">
        <f>fx!AD17</f>
        <v>0</v>
      </c>
      <c r="Z11" s="441">
        <f>fx!AE17</f>
        <v>0</v>
      </c>
      <c r="AA11" s="441">
        <f>fx!AF17</f>
        <v>0</v>
      </c>
      <c r="AB11" s="442">
        <f>ARBETSBLAD!AJ80</f>
        <v>0</v>
      </c>
      <c r="AC11" s="442">
        <f>ARBETSBLAD!AL80</f>
        <v>0</v>
      </c>
      <c r="AD11" s="1072"/>
      <c r="AE11" s="1035"/>
      <c r="AF11" s="1035"/>
      <c r="AG11" s="1035"/>
      <c r="AI11" s="1073"/>
    </row>
    <row r="12" spans="1:35" ht="15" customHeight="1">
      <c r="B12" s="971" t="s">
        <v>562</v>
      </c>
      <c r="C12" s="614"/>
      <c r="D12" s="443">
        <f>fx!I18</f>
        <v>0</v>
      </c>
      <c r="E12" s="443">
        <f>fx!J18</f>
        <v>0</v>
      </c>
      <c r="F12" s="443">
        <f>fx!K18</f>
        <v>0</v>
      </c>
      <c r="G12" s="443">
        <f>fx!L18</f>
        <v>0</v>
      </c>
      <c r="H12" s="443">
        <f>fx!M18</f>
        <v>0</v>
      </c>
      <c r="I12" s="443">
        <f>fx!N18</f>
        <v>0</v>
      </c>
      <c r="J12" s="443">
        <f>fx!O18</f>
        <v>0</v>
      </c>
      <c r="K12" s="392">
        <f>fx!P18</f>
        <v>0</v>
      </c>
      <c r="L12" s="392">
        <f>fx!Q18</f>
        <v>0</v>
      </c>
      <c r="M12" s="392">
        <f>fx!R18</f>
        <v>0</v>
      </c>
      <c r="N12" s="392">
        <f>fx!S18</f>
        <v>0</v>
      </c>
      <c r="O12" s="392">
        <f>fx!T18</f>
        <v>0</v>
      </c>
      <c r="P12" s="392">
        <f>fx!U18</f>
        <v>0</v>
      </c>
      <c r="Q12" s="392">
        <f>fx!V18</f>
        <v>0</v>
      </c>
      <c r="R12" s="392">
        <f>fx!W18</f>
        <v>0</v>
      </c>
      <c r="S12" s="392">
        <f>fx!X18</f>
        <v>0</v>
      </c>
      <c r="T12" s="392">
        <f>fx!Y18</f>
        <v>0</v>
      </c>
      <c r="U12" s="392">
        <f>fx!Z18</f>
        <v>0</v>
      </c>
      <c r="V12" s="392">
        <f>fx!AA18</f>
        <v>0</v>
      </c>
      <c r="W12" s="392">
        <f>fx!AB18</f>
        <v>0</v>
      </c>
      <c r="X12" s="392">
        <f>fx!AC18</f>
        <v>0</v>
      </c>
      <c r="Y12" s="392">
        <f>fx!AD18</f>
        <v>0</v>
      </c>
      <c r="Z12" s="392">
        <f>fx!AE18</f>
        <v>0</v>
      </c>
      <c r="AA12" s="392">
        <f>fx!AF18</f>
        <v>0</v>
      </c>
      <c r="AB12" s="436">
        <f>ARBETSBLAD!AJ98</f>
        <v>0</v>
      </c>
      <c r="AC12" s="436">
        <f>IF(fx!$C$57=1,ARBETSBLAD!AL98,0)</f>
        <v>0</v>
      </c>
      <c r="AD12" s="1071"/>
      <c r="AE12" s="1022"/>
      <c r="AF12" s="1022"/>
      <c r="AG12" s="1022"/>
      <c r="AH12" s="1022"/>
      <c r="AI12" s="1073">
        <f>ARBETSBLAD!BN23</f>
        <v>0</v>
      </c>
    </row>
    <row r="13" spans="1:35" ht="12" customHeight="1">
      <c r="B13" s="971" t="s">
        <v>563</v>
      </c>
      <c r="C13" s="614"/>
      <c r="D13" s="443">
        <f>fx!I19</f>
        <v>0</v>
      </c>
      <c r="E13" s="443">
        <f>fx!J19</f>
        <v>0</v>
      </c>
      <c r="F13" s="443">
        <f>fx!K19</f>
        <v>0</v>
      </c>
      <c r="G13" s="443">
        <f>fx!L19</f>
        <v>0</v>
      </c>
      <c r="H13" s="443">
        <f>fx!M19</f>
        <v>0</v>
      </c>
      <c r="I13" s="443">
        <f>fx!N19</f>
        <v>0</v>
      </c>
      <c r="J13" s="443">
        <f>fx!O19</f>
        <v>0</v>
      </c>
      <c r="K13" s="392">
        <f>fx!P19</f>
        <v>0</v>
      </c>
      <c r="L13" s="392">
        <f>fx!Q19</f>
        <v>0</v>
      </c>
      <c r="M13" s="392">
        <f>fx!R19</f>
        <v>0</v>
      </c>
      <c r="N13" s="392">
        <f>fx!S19</f>
        <v>0</v>
      </c>
      <c r="O13" s="392">
        <f>fx!T19</f>
        <v>0</v>
      </c>
      <c r="P13" s="392">
        <f>fx!U19</f>
        <v>0</v>
      </c>
      <c r="Q13" s="392">
        <f>fx!V19</f>
        <v>0</v>
      </c>
      <c r="R13" s="392">
        <f>fx!W19</f>
        <v>0</v>
      </c>
      <c r="S13" s="392">
        <f>fx!X19</f>
        <v>0</v>
      </c>
      <c r="T13" s="392">
        <f>fx!Y19</f>
        <v>0</v>
      </c>
      <c r="U13" s="392">
        <f>fx!Z19</f>
        <v>0</v>
      </c>
      <c r="V13" s="392">
        <f>fx!AA19</f>
        <v>0</v>
      </c>
      <c r="W13" s="392">
        <f>fx!AB19</f>
        <v>0</v>
      </c>
      <c r="X13" s="392">
        <f>fx!AC19</f>
        <v>0</v>
      </c>
      <c r="Y13" s="392">
        <f>fx!AD19</f>
        <v>0</v>
      </c>
      <c r="Z13" s="392">
        <f>fx!AE19</f>
        <v>0</v>
      </c>
      <c r="AA13" s="392">
        <f>fx!AF19</f>
        <v>0</v>
      </c>
      <c r="AB13" s="436">
        <f>ARBETSBLAD!AJ99</f>
        <v>0</v>
      </c>
      <c r="AC13" s="436">
        <f>IF(fx!$C$57=1,ARBETSBLAD!AL99,0)</f>
        <v>0</v>
      </c>
      <c r="AD13" s="1071"/>
      <c r="AE13" s="1022"/>
      <c r="AF13" s="1022"/>
      <c r="AG13" s="1022"/>
      <c r="AH13" s="1022"/>
      <c r="AI13" s="1073"/>
    </row>
    <row r="14" spans="1:35" ht="12" customHeight="1">
      <c r="B14" s="971" t="s">
        <v>564</v>
      </c>
      <c r="C14" s="614"/>
      <c r="D14" s="443">
        <f>fx!I20</f>
        <v>0</v>
      </c>
      <c r="E14" s="443">
        <f>fx!J20</f>
        <v>0</v>
      </c>
      <c r="F14" s="443">
        <f>fx!K20</f>
        <v>0</v>
      </c>
      <c r="G14" s="443">
        <f>fx!L20</f>
        <v>0</v>
      </c>
      <c r="H14" s="443">
        <f>fx!M20</f>
        <v>0</v>
      </c>
      <c r="I14" s="443">
        <f>fx!N20</f>
        <v>0</v>
      </c>
      <c r="J14" s="443">
        <f>fx!O20</f>
        <v>0</v>
      </c>
      <c r="K14" s="392">
        <f>fx!P20</f>
        <v>0</v>
      </c>
      <c r="L14" s="392">
        <f>fx!Q20</f>
        <v>0</v>
      </c>
      <c r="M14" s="392">
        <f>fx!R20</f>
        <v>0</v>
      </c>
      <c r="N14" s="392">
        <f>fx!S20</f>
        <v>0</v>
      </c>
      <c r="O14" s="392">
        <f>fx!T20</f>
        <v>0</v>
      </c>
      <c r="P14" s="392">
        <f>fx!U20</f>
        <v>0</v>
      </c>
      <c r="Q14" s="392">
        <f>fx!V20</f>
        <v>0</v>
      </c>
      <c r="R14" s="392">
        <f>fx!W20</f>
        <v>0</v>
      </c>
      <c r="S14" s="392">
        <f>fx!X20</f>
        <v>0</v>
      </c>
      <c r="T14" s="392">
        <f>fx!Y20</f>
        <v>0</v>
      </c>
      <c r="U14" s="392">
        <f>fx!Z20</f>
        <v>0</v>
      </c>
      <c r="V14" s="392">
        <f>fx!AA20</f>
        <v>0</v>
      </c>
      <c r="W14" s="392">
        <f>fx!AB20</f>
        <v>0</v>
      </c>
      <c r="X14" s="392">
        <f>fx!AC20</f>
        <v>0</v>
      </c>
      <c r="Y14" s="392">
        <f>fx!AD20</f>
        <v>0</v>
      </c>
      <c r="Z14" s="392">
        <f>fx!AE20</f>
        <v>0</v>
      </c>
      <c r="AA14" s="392">
        <f>fx!AF20</f>
        <v>0</v>
      </c>
      <c r="AB14" s="436">
        <f>ARBETSBLAD!AJ103</f>
        <v>0</v>
      </c>
      <c r="AC14" s="436">
        <f>IF(fx!$C$57=1,ARBETSBLAD!AL103,0)</f>
        <v>0</v>
      </c>
      <c r="AD14" s="1071"/>
      <c r="AE14" s="1035"/>
      <c r="AF14" s="1035"/>
      <c r="AG14" s="1035"/>
      <c r="AI14" s="1073"/>
    </row>
    <row r="15" spans="1:35" ht="12" customHeight="1">
      <c r="B15" s="971" t="s">
        <v>565</v>
      </c>
      <c r="C15" s="614"/>
      <c r="D15" s="443">
        <f>fx!I21</f>
        <v>0</v>
      </c>
      <c r="E15" s="443">
        <f>fx!J21</f>
        <v>0</v>
      </c>
      <c r="F15" s="443">
        <f>fx!K21</f>
        <v>0</v>
      </c>
      <c r="G15" s="443">
        <f>fx!L21</f>
        <v>0</v>
      </c>
      <c r="H15" s="443">
        <f>fx!M21</f>
        <v>0</v>
      </c>
      <c r="I15" s="443">
        <f>fx!N21</f>
        <v>0</v>
      </c>
      <c r="J15" s="443">
        <f>fx!O21</f>
        <v>0</v>
      </c>
      <c r="K15" s="443">
        <f>fx!P21</f>
        <v>0</v>
      </c>
      <c r="L15" s="443">
        <f>fx!Q21</f>
        <v>0</v>
      </c>
      <c r="M15" s="443">
        <f>fx!R21</f>
        <v>0</v>
      </c>
      <c r="N15" s="443">
        <f>fx!S21</f>
        <v>0</v>
      </c>
      <c r="O15" s="443">
        <f>fx!T21</f>
        <v>0</v>
      </c>
      <c r="P15" s="392">
        <f>fx!U21</f>
        <v>0</v>
      </c>
      <c r="Q15" s="392">
        <f>fx!V21</f>
        <v>0</v>
      </c>
      <c r="R15" s="392">
        <f>fx!W21</f>
        <v>0</v>
      </c>
      <c r="S15" s="392">
        <f>fx!X21</f>
        <v>0</v>
      </c>
      <c r="T15" s="392">
        <f>fx!Y21</f>
        <v>0</v>
      </c>
      <c r="U15" s="392">
        <f>fx!Z21</f>
        <v>0</v>
      </c>
      <c r="V15" s="392">
        <f>fx!AA21</f>
        <v>0</v>
      </c>
      <c r="W15" s="392">
        <f>fx!AB21</f>
        <v>0</v>
      </c>
      <c r="X15" s="392">
        <f>fx!AC21</f>
        <v>0</v>
      </c>
      <c r="Y15" s="392">
        <f>fx!AD21</f>
        <v>0</v>
      </c>
      <c r="Z15" s="392">
        <f>fx!AE21</f>
        <v>0</v>
      </c>
      <c r="AA15" s="392">
        <f>fx!AF21</f>
        <v>0</v>
      </c>
      <c r="AB15" s="436">
        <f>ARBETSBLAD!AJ104</f>
        <v>0</v>
      </c>
      <c r="AC15" s="436">
        <f>IF(fx!$C$57=1,ARBETSBLAD!AL104,0)</f>
        <v>0</v>
      </c>
      <c r="AD15" s="1071"/>
      <c r="AE15" s="1035"/>
      <c r="AF15" s="1035"/>
      <c r="AG15" s="1035"/>
      <c r="AI15" s="1073">
        <f>ARBETSBLAD!BN56</f>
        <v>0</v>
      </c>
    </row>
    <row r="16" spans="1:35" ht="12" customHeight="1">
      <c r="B16" s="971" t="s">
        <v>560</v>
      </c>
      <c r="C16" s="614"/>
      <c r="D16" s="443">
        <f>fx!I22</f>
        <v>0</v>
      </c>
      <c r="E16" s="443">
        <f>fx!J22</f>
        <v>0</v>
      </c>
      <c r="F16" s="443">
        <f>fx!K22</f>
        <v>0</v>
      </c>
      <c r="G16" s="443">
        <f>fx!L22</f>
        <v>0</v>
      </c>
      <c r="H16" s="443">
        <f>fx!M22</f>
        <v>0</v>
      </c>
      <c r="I16" s="443">
        <f>fx!N22</f>
        <v>0</v>
      </c>
      <c r="J16" s="443">
        <f>fx!O22</f>
        <v>0</v>
      </c>
      <c r="K16" s="392">
        <f>fx!P22</f>
        <v>0</v>
      </c>
      <c r="L16" s="392">
        <f>fx!Q22</f>
        <v>0</v>
      </c>
      <c r="M16" s="392">
        <f>fx!R22</f>
        <v>0</v>
      </c>
      <c r="N16" s="392">
        <f>fx!S22</f>
        <v>0</v>
      </c>
      <c r="O16" s="392">
        <f>fx!T22</f>
        <v>0</v>
      </c>
      <c r="P16" s="392">
        <f>fx!U22</f>
        <v>0</v>
      </c>
      <c r="Q16" s="392">
        <f>fx!V22</f>
        <v>0</v>
      </c>
      <c r="R16" s="392">
        <f>fx!W22</f>
        <v>0</v>
      </c>
      <c r="S16" s="392">
        <f>fx!X22</f>
        <v>0</v>
      </c>
      <c r="T16" s="392">
        <f>fx!Y22</f>
        <v>0</v>
      </c>
      <c r="U16" s="392">
        <f>fx!Z22</f>
        <v>0</v>
      </c>
      <c r="V16" s="392">
        <f>fx!AA22</f>
        <v>0</v>
      </c>
      <c r="W16" s="392">
        <f>fx!AB22</f>
        <v>0</v>
      </c>
      <c r="X16" s="392">
        <f>fx!AC22</f>
        <v>0</v>
      </c>
      <c r="Y16" s="392">
        <f>fx!AD22</f>
        <v>0</v>
      </c>
      <c r="Z16" s="392">
        <f>fx!AE22</f>
        <v>0</v>
      </c>
      <c r="AA16" s="392">
        <f>fx!AF22</f>
        <v>0</v>
      </c>
      <c r="AB16" s="436">
        <f>ARBETSBLAD!AJ105</f>
        <v>0</v>
      </c>
      <c r="AC16" s="436">
        <f>IF(fx!$C$57=1,ARBETSBLAD!AL105,0)</f>
        <v>0</v>
      </c>
      <c r="AD16" s="1071"/>
      <c r="AE16" s="1035"/>
      <c r="AF16" s="1035"/>
      <c r="AG16" s="1035"/>
      <c r="AI16" s="1073">
        <f>AI11+AI12-AI14-AI15</f>
        <v>0</v>
      </c>
    </row>
    <row r="17" spans="1:35" ht="12" customHeight="1">
      <c r="B17" s="971" t="s">
        <v>561</v>
      </c>
      <c r="C17" s="614"/>
      <c r="D17" s="443">
        <f>fx!I23</f>
        <v>0</v>
      </c>
      <c r="E17" s="443">
        <f>fx!J23</f>
        <v>0</v>
      </c>
      <c r="F17" s="443">
        <f>fx!K23</f>
        <v>0</v>
      </c>
      <c r="G17" s="443">
        <f>fx!L23</f>
        <v>0</v>
      </c>
      <c r="H17" s="443">
        <f>fx!M23</f>
        <v>0</v>
      </c>
      <c r="I17" s="443">
        <f>fx!N23</f>
        <v>0</v>
      </c>
      <c r="J17" s="443">
        <f>fx!O23</f>
        <v>0</v>
      </c>
      <c r="K17" s="392">
        <f>fx!P23</f>
        <v>0</v>
      </c>
      <c r="L17" s="392">
        <f>fx!Q23</f>
        <v>0</v>
      </c>
      <c r="M17" s="392">
        <f>fx!R23</f>
        <v>0</v>
      </c>
      <c r="N17" s="392">
        <f>fx!S23</f>
        <v>0</v>
      </c>
      <c r="O17" s="392">
        <f>fx!T23</f>
        <v>0</v>
      </c>
      <c r="P17" s="392">
        <f>fx!U23</f>
        <v>0</v>
      </c>
      <c r="Q17" s="392">
        <f>fx!V23</f>
        <v>0</v>
      </c>
      <c r="R17" s="392">
        <f>fx!W23</f>
        <v>0</v>
      </c>
      <c r="S17" s="392">
        <f>fx!X23</f>
        <v>0</v>
      </c>
      <c r="T17" s="392">
        <f>fx!Y23</f>
        <v>0</v>
      </c>
      <c r="U17" s="392">
        <f>fx!Z23</f>
        <v>0</v>
      </c>
      <c r="V17" s="392">
        <f>fx!AA23</f>
        <v>0</v>
      </c>
      <c r="W17" s="392">
        <f>fx!AB23</f>
        <v>0</v>
      </c>
      <c r="X17" s="392">
        <f>fx!AC23</f>
        <v>0</v>
      </c>
      <c r="Y17" s="392">
        <f>fx!AD23</f>
        <v>0</v>
      </c>
      <c r="Z17" s="392">
        <f>fx!AE23</f>
        <v>0</v>
      </c>
      <c r="AA17" s="392">
        <f>fx!AF23</f>
        <v>0</v>
      </c>
      <c r="AB17" s="436">
        <f>ARBETSBLAD!AJ106</f>
        <v>0</v>
      </c>
      <c r="AC17" s="436">
        <f>IF(fx!$C$57=1,ARBETSBLAD!AL106,0)</f>
        <v>0</v>
      </c>
      <c r="AD17" s="1071"/>
      <c r="AE17" s="1035"/>
      <c r="AF17" s="1035"/>
      <c r="AG17" s="1035"/>
      <c r="AI17" s="641"/>
    </row>
    <row r="18" spans="1:35" ht="12" customHeight="1">
      <c r="B18" s="1698" t="str">
        <f>fx!B24</f>
        <v>Övr. personalomkostnader</v>
      </c>
      <c r="C18" s="614"/>
      <c r="D18" s="444">
        <f>fx!I24</f>
        <v>0</v>
      </c>
      <c r="E18" s="444">
        <f>fx!J24</f>
        <v>0</v>
      </c>
      <c r="F18" s="444">
        <f>fx!K24</f>
        <v>0</v>
      </c>
      <c r="G18" s="444">
        <f>fx!L24</f>
        <v>0</v>
      </c>
      <c r="H18" s="444">
        <f>fx!M24</f>
        <v>0</v>
      </c>
      <c r="I18" s="444">
        <f>fx!N24</f>
        <v>0</v>
      </c>
      <c r="J18" s="444">
        <f>fx!O24</f>
        <v>0</v>
      </c>
      <c r="K18" s="437">
        <f>fx!P24</f>
        <v>0</v>
      </c>
      <c r="L18" s="437">
        <f>fx!Q24</f>
        <v>0</v>
      </c>
      <c r="M18" s="437">
        <f>fx!R24</f>
        <v>0</v>
      </c>
      <c r="N18" s="437">
        <f>fx!S24</f>
        <v>0</v>
      </c>
      <c r="O18" s="437">
        <f>fx!T24</f>
        <v>0</v>
      </c>
      <c r="P18" s="437">
        <f>fx!U24</f>
        <v>0</v>
      </c>
      <c r="Q18" s="437">
        <f>fx!V24</f>
        <v>0</v>
      </c>
      <c r="R18" s="437">
        <f>fx!W24</f>
        <v>0</v>
      </c>
      <c r="S18" s="437">
        <f>fx!X24</f>
        <v>0</v>
      </c>
      <c r="T18" s="437">
        <f>fx!Y24</f>
        <v>0</v>
      </c>
      <c r="U18" s="437">
        <f>fx!Z24</f>
        <v>0</v>
      </c>
      <c r="V18" s="437">
        <f>fx!AA24</f>
        <v>0</v>
      </c>
      <c r="W18" s="437">
        <f>fx!AB24</f>
        <v>0</v>
      </c>
      <c r="X18" s="437">
        <f>fx!AC24</f>
        <v>0</v>
      </c>
      <c r="Y18" s="437">
        <f>fx!AD24</f>
        <v>0</v>
      </c>
      <c r="Z18" s="437">
        <f>fx!AE24</f>
        <v>0</v>
      </c>
      <c r="AA18" s="437">
        <f>fx!AF24</f>
        <v>0</v>
      </c>
      <c r="AB18" s="438">
        <f>ARBETSBLAD!AJ107</f>
        <v>0</v>
      </c>
      <c r="AC18" s="438">
        <f>IF(fx!$C$57=1,ARBETSBLAD!AL107,0)</f>
        <v>0</v>
      </c>
      <c r="AD18" s="1071"/>
      <c r="AE18" s="1035"/>
      <c r="AF18" s="1035"/>
      <c r="AG18" s="1035"/>
      <c r="AI18" s="641"/>
    </row>
    <row r="19" spans="1:35" ht="12.9" customHeight="1">
      <c r="B19" s="1698" t="s">
        <v>567</v>
      </c>
      <c r="C19" s="1087" t="s">
        <v>116</v>
      </c>
      <c r="D19" s="445">
        <f>fx!I25</f>
        <v>0</v>
      </c>
      <c r="E19" s="446">
        <f>fx!J25</f>
        <v>0</v>
      </c>
      <c r="F19" s="446">
        <f>fx!K25</f>
        <v>0</v>
      </c>
      <c r="G19" s="446">
        <f>fx!L25</f>
        <v>0</v>
      </c>
      <c r="H19" s="446">
        <f>fx!M25</f>
        <v>0</v>
      </c>
      <c r="I19" s="446">
        <f>fx!N25</f>
        <v>0</v>
      </c>
      <c r="J19" s="446">
        <f>fx!O25</f>
        <v>0</v>
      </c>
      <c r="K19" s="435">
        <f>fx!P25</f>
        <v>0</v>
      </c>
      <c r="L19" s="435">
        <f>fx!Q25</f>
        <v>0</v>
      </c>
      <c r="M19" s="435">
        <f>fx!R25</f>
        <v>0</v>
      </c>
      <c r="N19" s="435">
        <f>fx!S25</f>
        <v>0</v>
      </c>
      <c r="O19" s="447">
        <f>fx!T25</f>
        <v>0</v>
      </c>
      <c r="P19" s="392">
        <f>fx!U25</f>
        <v>0</v>
      </c>
      <c r="Q19" s="392">
        <f>fx!V25</f>
        <v>0</v>
      </c>
      <c r="R19" s="392">
        <f>fx!W25</f>
        <v>0</v>
      </c>
      <c r="S19" s="392">
        <f>fx!X25</f>
        <v>0</v>
      </c>
      <c r="T19" s="392">
        <f>fx!Y25</f>
        <v>0</v>
      </c>
      <c r="U19" s="392">
        <f>fx!Z25</f>
        <v>0</v>
      </c>
      <c r="V19" s="392">
        <f>fx!AA25</f>
        <v>0</v>
      </c>
      <c r="W19" s="392">
        <f>fx!AB25</f>
        <v>0</v>
      </c>
      <c r="X19" s="392">
        <f>fx!AC25</f>
        <v>0</v>
      </c>
      <c r="Y19" s="392">
        <f>fx!AD25</f>
        <v>0</v>
      </c>
      <c r="Z19" s="392">
        <f>fx!AE25</f>
        <v>0</v>
      </c>
      <c r="AA19" s="392">
        <f>fx!AF25</f>
        <v>0</v>
      </c>
      <c r="AB19" s="436">
        <f>ARBETSBLAD!AJ108</f>
        <v>0</v>
      </c>
      <c r="AC19" s="436">
        <f>IF(fx!$C$57=1,ARBETSBLAD!AL108,0)</f>
        <v>0</v>
      </c>
      <c r="AD19" s="1071"/>
      <c r="AE19" s="1035"/>
      <c r="AF19" s="1035"/>
      <c r="AG19" s="1035"/>
      <c r="AI19" s="1074"/>
    </row>
    <row r="20" spans="1:35" ht="15" customHeight="1">
      <c r="B20" s="1698" t="str">
        <f>ARBETSBLAD!B114</f>
        <v>Lokalhyra</v>
      </c>
      <c r="C20" s="614"/>
      <c r="D20" s="443">
        <f>fx!I26</f>
        <v>0</v>
      </c>
      <c r="E20" s="443">
        <f>fx!J26</f>
        <v>0</v>
      </c>
      <c r="F20" s="443">
        <f>fx!K26</f>
        <v>0</v>
      </c>
      <c r="G20" s="443">
        <f>fx!L26</f>
        <v>0</v>
      </c>
      <c r="H20" s="443">
        <f>fx!M26</f>
        <v>0</v>
      </c>
      <c r="I20" s="443">
        <f>fx!N26</f>
        <v>0</v>
      </c>
      <c r="J20" s="443">
        <f>fx!O26</f>
        <v>0</v>
      </c>
      <c r="K20" s="443">
        <f>fx!P26</f>
        <v>0</v>
      </c>
      <c r="L20" s="443">
        <f>fx!Q26</f>
        <v>0</v>
      </c>
      <c r="M20" s="443">
        <f>fx!R26</f>
        <v>0</v>
      </c>
      <c r="N20" s="443">
        <f>fx!S26</f>
        <v>0</v>
      </c>
      <c r="O20" s="443">
        <f>fx!T26</f>
        <v>0</v>
      </c>
      <c r="P20" s="392">
        <f>fx!U26</f>
        <v>0</v>
      </c>
      <c r="Q20" s="392">
        <f>fx!V26</f>
        <v>0</v>
      </c>
      <c r="R20" s="392">
        <f>fx!W26</f>
        <v>0</v>
      </c>
      <c r="S20" s="392">
        <f>fx!X26</f>
        <v>0</v>
      </c>
      <c r="T20" s="392">
        <f>fx!Y26</f>
        <v>0</v>
      </c>
      <c r="U20" s="392">
        <f>fx!Z26</f>
        <v>0</v>
      </c>
      <c r="V20" s="392">
        <f>fx!AA26</f>
        <v>0</v>
      </c>
      <c r="W20" s="392">
        <f>fx!AB26</f>
        <v>0</v>
      </c>
      <c r="X20" s="392">
        <f>fx!AC26</f>
        <v>0</v>
      </c>
      <c r="Y20" s="392">
        <f>fx!AD26</f>
        <v>0</v>
      </c>
      <c r="Z20" s="392">
        <f>fx!AE26</f>
        <v>0</v>
      </c>
      <c r="AA20" s="392">
        <f>fx!AF26</f>
        <v>0</v>
      </c>
      <c r="AB20" s="436">
        <f>ARBETSBLAD!AJ135</f>
        <v>0</v>
      </c>
      <c r="AC20" s="436">
        <f>IF(fx!$C$57=1,ARBETSBLAD!AL135,0)</f>
        <v>0</v>
      </c>
      <c r="AD20" s="1071"/>
      <c r="AE20" s="1035"/>
      <c r="AF20" s="1035"/>
      <c r="AG20" s="1035"/>
      <c r="AI20" s="641"/>
    </row>
    <row r="21" spans="1:35" ht="12" customHeight="1">
      <c r="B21" s="1698" t="str">
        <f>ARBETSBLAD!B115</f>
        <v>Företagets försäkringar. Bankavgifter</v>
      </c>
      <c r="C21" s="614"/>
      <c r="D21" s="443">
        <f>fx!I27</f>
        <v>0</v>
      </c>
      <c r="E21" s="443">
        <f>fx!J27</f>
        <v>0</v>
      </c>
      <c r="F21" s="443">
        <f>fx!K27</f>
        <v>0</v>
      </c>
      <c r="G21" s="443">
        <f>fx!L27</f>
        <v>0</v>
      </c>
      <c r="H21" s="443">
        <f>fx!M27</f>
        <v>0</v>
      </c>
      <c r="I21" s="443">
        <f>fx!N27</f>
        <v>0</v>
      </c>
      <c r="J21" s="443">
        <f>fx!O27</f>
        <v>0</v>
      </c>
      <c r="K21" s="443">
        <f>fx!P27</f>
        <v>0</v>
      </c>
      <c r="L21" s="443">
        <f>fx!Q27</f>
        <v>0</v>
      </c>
      <c r="M21" s="443">
        <f>fx!R27</f>
        <v>0</v>
      </c>
      <c r="N21" s="443">
        <f>fx!S27</f>
        <v>0</v>
      </c>
      <c r="O21" s="443">
        <f>fx!T27</f>
        <v>0</v>
      </c>
      <c r="P21" s="392">
        <f>fx!U27</f>
        <v>0</v>
      </c>
      <c r="Q21" s="392">
        <f>fx!V27</f>
        <v>0</v>
      </c>
      <c r="R21" s="392">
        <f>fx!W27</f>
        <v>0</v>
      </c>
      <c r="S21" s="392">
        <f>fx!X27</f>
        <v>0</v>
      </c>
      <c r="T21" s="392">
        <f>fx!Y27</f>
        <v>0</v>
      </c>
      <c r="U21" s="392">
        <f>fx!Z27</f>
        <v>0</v>
      </c>
      <c r="V21" s="392">
        <f>fx!AA27</f>
        <v>0</v>
      </c>
      <c r="W21" s="392">
        <f>fx!AB27</f>
        <v>0</v>
      </c>
      <c r="X21" s="392">
        <f>fx!AC27</f>
        <v>0</v>
      </c>
      <c r="Y21" s="392">
        <f>fx!AD27</f>
        <v>0</v>
      </c>
      <c r="Z21" s="392">
        <f>fx!AE27</f>
        <v>0</v>
      </c>
      <c r="AA21" s="392">
        <f>fx!AF27</f>
        <v>0</v>
      </c>
      <c r="AB21" s="436">
        <f>ARBETSBLAD!AJ115</f>
        <v>0</v>
      </c>
      <c r="AC21" s="436">
        <f>IF(fx!$C$57=1,ARBETSBLAD!AL115,0)</f>
        <v>0</v>
      </c>
      <c r="AD21" s="1071"/>
      <c r="AE21" s="1035"/>
      <c r="AF21" s="1035"/>
      <c r="AG21" s="1035"/>
      <c r="AI21" s="641"/>
    </row>
    <row r="22" spans="1:35" ht="12" customHeight="1">
      <c r="B22" s="1698" t="str">
        <f>ARBETSBLAD!B116</f>
        <v>Lokalkostnader: el, värme, underhåll</v>
      </c>
      <c r="C22" s="614"/>
      <c r="D22" s="443">
        <f>fx!I28</f>
        <v>0</v>
      </c>
      <c r="E22" s="443">
        <f>fx!J28</f>
        <v>0</v>
      </c>
      <c r="F22" s="443">
        <f>fx!K28</f>
        <v>0</v>
      </c>
      <c r="G22" s="443">
        <f>fx!L28</f>
        <v>0</v>
      </c>
      <c r="H22" s="443">
        <f>fx!M28</f>
        <v>0</v>
      </c>
      <c r="I22" s="443">
        <f>fx!N28</f>
        <v>0</v>
      </c>
      <c r="J22" s="443">
        <f>fx!O28</f>
        <v>0</v>
      </c>
      <c r="K22" s="443">
        <f>fx!P28</f>
        <v>0</v>
      </c>
      <c r="L22" s="443">
        <f>fx!Q28</f>
        <v>0</v>
      </c>
      <c r="M22" s="443">
        <f>fx!R28</f>
        <v>0</v>
      </c>
      <c r="N22" s="443">
        <f>fx!S28</f>
        <v>0</v>
      </c>
      <c r="O22" s="443">
        <f>fx!T28</f>
        <v>0</v>
      </c>
      <c r="P22" s="392">
        <f>fx!U28</f>
        <v>0</v>
      </c>
      <c r="Q22" s="392">
        <f>fx!V28</f>
        <v>0</v>
      </c>
      <c r="R22" s="392">
        <f>fx!W28</f>
        <v>0</v>
      </c>
      <c r="S22" s="392">
        <f>fx!X28</f>
        <v>0</v>
      </c>
      <c r="T22" s="392">
        <f>fx!Y28</f>
        <v>0</v>
      </c>
      <c r="U22" s="392">
        <f>fx!Z28</f>
        <v>0</v>
      </c>
      <c r="V22" s="392">
        <f>fx!AA28</f>
        <v>0</v>
      </c>
      <c r="W22" s="392">
        <f>fx!AB28</f>
        <v>0</v>
      </c>
      <c r="X22" s="392">
        <f>fx!AC28</f>
        <v>0</v>
      </c>
      <c r="Y22" s="392">
        <f>fx!AD28</f>
        <v>0</v>
      </c>
      <c r="Z22" s="392">
        <f>fx!AE28</f>
        <v>0</v>
      </c>
      <c r="AA22" s="392">
        <f>fx!AF28</f>
        <v>0</v>
      </c>
      <c r="AB22" s="436">
        <f>ARBETSBLAD!AJ116</f>
        <v>0</v>
      </c>
      <c r="AC22" s="436">
        <f>IF(fx!$C$57=1,ARBETSBLAD!AL116,0)</f>
        <v>0</v>
      </c>
      <c r="AD22" s="1071"/>
      <c r="AE22" s="1035"/>
      <c r="AF22" s="1035"/>
      <c r="AG22" s="1035"/>
      <c r="AI22" s="641"/>
    </row>
    <row r="23" spans="1:35" ht="12" customHeight="1">
      <c r="B23" s="1698" t="str">
        <f>ARBETSBLAD!B117</f>
        <v>Resekostnader. Bilersättning</v>
      </c>
      <c r="C23" s="614"/>
      <c r="D23" s="443">
        <f>fx!I29</f>
        <v>0</v>
      </c>
      <c r="E23" s="443">
        <f>fx!J29</f>
        <v>0</v>
      </c>
      <c r="F23" s="443">
        <f>fx!K29</f>
        <v>0</v>
      </c>
      <c r="G23" s="443">
        <f>fx!L29</f>
        <v>0</v>
      </c>
      <c r="H23" s="443">
        <f>fx!M29</f>
        <v>0</v>
      </c>
      <c r="I23" s="443">
        <f>fx!N29</f>
        <v>0</v>
      </c>
      <c r="J23" s="443">
        <f>fx!O29</f>
        <v>0</v>
      </c>
      <c r="K23" s="443">
        <f>fx!P29</f>
        <v>0</v>
      </c>
      <c r="L23" s="443">
        <f>fx!Q29</f>
        <v>0</v>
      </c>
      <c r="M23" s="443">
        <f>fx!R29</f>
        <v>0</v>
      </c>
      <c r="N23" s="443">
        <f>fx!S29</f>
        <v>0</v>
      </c>
      <c r="O23" s="443">
        <f>fx!T29</f>
        <v>0</v>
      </c>
      <c r="P23" s="392">
        <f>fx!U29</f>
        <v>0</v>
      </c>
      <c r="Q23" s="392">
        <f>fx!V29</f>
        <v>0</v>
      </c>
      <c r="R23" s="392">
        <f>fx!W29</f>
        <v>0</v>
      </c>
      <c r="S23" s="392">
        <f>fx!X29</f>
        <v>0</v>
      </c>
      <c r="T23" s="392">
        <f>fx!Y29</f>
        <v>0</v>
      </c>
      <c r="U23" s="392">
        <f>fx!Z29</f>
        <v>0</v>
      </c>
      <c r="V23" s="392">
        <f>fx!AA29</f>
        <v>0</v>
      </c>
      <c r="W23" s="392">
        <f>fx!AB29</f>
        <v>0</v>
      </c>
      <c r="X23" s="392">
        <f>fx!AC29</f>
        <v>0</v>
      </c>
      <c r="Y23" s="392">
        <f>fx!AD29</f>
        <v>0</v>
      </c>
      <c r="Z23" s="392">
        <f>fx!AE29</f>
        <v>0</v>
      </c>
      <c r="AA23" s="392">
        <f>fx!AF29</f>
        <v>0</v>
      </c>
      <c r="AB23" s="436">
        <f>ARBETSBLAD!AJ117</f>
        <v>0</v>
      </c>
      <c r="AC23" s="436">
        <f>IF(fx!$C$57=1,ARBETSBLAD!AL117,0)</f>
        <v>0</v>
      </c>
      <c r="AD23" s="1071"/>
      <c r="AE23" s="1035"/>
      <c r="AF23" s="1035"/>
      <c r="AG23" s="1035"/>
      <c r="AI23" s="641"/>
    </row>
    <row r="24" spans="1:35" ht="12" customHeight="1">
      <c r="B24" s="1698" t="str">
        <f>ARBETSBLAD!B118</f>
        <v>Kontorsmateriel, telefon, porto etc</v>
      </c>
      <c r="C24" s="614"/>
      <c r="D24" s="443">
        <f>fx!I30</f>
        <v>0</v>
      </c>
      <c r="E24" s="443">
        <f>fx!J30</f>
        <v>0</v>
      </c>
      <c r="F24" s="443">
        <f>fx!K30</f>
        <v>0</v>
      </c>
      <c r="G24" s="443">
        <f>fx!L30</f>
        <v>0</v>
      </c>
      <c r="H24" s="443">
        <f>fx!M30</f>
        <v>0</v>
      </c>
      <c r="I24" s="443">
        <f>fx!N30</f>
        <v>0</v>
      </c>
      <c r="J24" s="443">
        <f>fx!O30</f>
        <v>0</v>
      </c>
      <c r="K24" s="443">
        <f>fx!P30</f>
        <v>0</v>
      </c>
      <c r="L24" s="443">
        <f>fx!Q30</f>
        <v>0</v>
      </c>
      <c r="M24" s="443">
        <f>fx!R30</f>
        <v>0</v>
      </c>
      <c r="N24" s="443">
        <f>fx!S30</f>
        <v>0</v>
      </c>
      <c r="O24" s="443">
        <f>fx!T30</f>
        <v>0</v>
      </c>
      <c r="P24" s="392">
        <f>fx!U30</f>
        <v>0</v>
      </c>
      <c r="Q24" s="392">
        <f>fx!V30</f>
        <v>0</v>
      </c>
      <c r="R24" s="392">
        <f>fx!W30</f>
        <v>0</v>
      </c>
      <c r="S24" s="392">
        <f>fx!X30</f>
        <v>0</v>
      </c>
      <c r="T24" s="392">
        <f>fx!Y30</f>
        <v>0</v>
      </c>
      <c r="U24" s="392">
        <f>fx!Z30</f>
        <v>0</v>
      </c>
      <c r="V24" s="392">
        <f>fx!AA30</f>
        <v>0</v>
      </c>
      <c r="W24" s="392">
        <f>fx!AB30</f>
        <v>0</v>
      </c>
      <c r="X24" s="392">
        <f>fx!AC30</f>
        <v>0</v>
      </c>
      <c r="Y24" s="392">
        <f>fx!AD30</f>
        <v>0</v>
      </c>
      <c r="Z24" s="392">
        <f>fx!AE30</f>
        <v>0</v>
      </c>
      <c r="AA24" s="392">
        <f>fx!AF30</f>
        <v>0</v>
      </c>
      <c r="AB24" s="436">
        <f>ARBETSBLAD!AJ118</f>
        <v>0</v>
      </c>
      <c r="AC24" s="436">
        <f>IF(fx!$C$57=1,ARBETSBLAD!AL118,0)</f>
        <v>0</v>
      </c>
      <c r="AD24" s="1071"/>
      <c r="AE24" s="1075"/>
      <c r="AF24" s="171"/>
      <c r="AG24" s="1076"/>
      <c r="AI24" s="641"/>
    </row>
    <row r="25" spans="1:35" ht="12" customHeight="1">
      <c r="B25" s="1698" t="str">
        <f>ARBETSBLAD!B119</f>
        <v>Försäljn.kostn. (resekostn. övernattning)</v>
      </c>
      <c r="C25" s="614"/>
      <c r="D25" s="443">
        <f>fx!I31</f>
        <v>0</v>
      </c>
      <c r="E25" s="443">
        <f>fx!J31</f>
        <v>0</v>
      </c>
      <c r="F25" s="443">
        <f>fx!K31</f>
        <v>0</v>
      </c>
      <c r="G25" s="443">
        <f>fx!L31</f>
        <v>0</v>
      </c>
      <c r="H25" s="443">
        <f>fx!M31</f>
        <v>0</v>
      </c>
      <c r="I25" s="443">
        <f>fx!N31</f>
        <v>0</v>
      </c>
      <c r="J25" s="443">
        <f>fx!O31</f>
        <v>0</v>
      </c>
      <c r="K25" s="443">
        <f>fx!P31</f>
        <v>0</v>
      </c>
      <c r="L25" s="443">
        <f>fx!Q31</f>
        <v>0</v>
      </c>
      <c r="M25" s="443">
        <f>fx!R31</f>
        <v>0</v>
      </c>
      <c r="N25" s="443">
        <f>fx!S31</f>
        <v>0</v>
      </c>
      <c r="O25" s="443">
        <f>fx!T31</f>
        <v>0</v>
      </c>
      <c r="P25" s="392">
        <f>fx!U31</f>
        <v>0</v>
      </c>
      <c r="Q25" s="392">
        <f>fx!V31</f>
        <v>0</v>
      </c>
      <c r="R25" s="392">
        <f>fx!W31</f>
        <v>0</v>
      </c>
      <c r="S25" s="392">
        <f>fx!X31</f>
        <v>0</v>
      </c>
      <c r="T25" s="392">
        <f>fx!Y31</f>
        <v>0</v>
      </c>
      <c r="U25" s="392">
        <f>fx!Z31</f>
        <v>0</v>
      </c>
      <c r="V25" s="392">
        <f>fx!AA31</f>
        <v>0</v>
      </c>
      <c r="W25" s="392">
        <f>fx!AB31</f>
        <v>0</v>
      </c>
      <c r="X25" s="392">
        <f>fx!AC31</f>
        <v>0</v>
      </c>
      <c r="Y25" s="392">
        <f>fx!AD31</f>
        <v>0</v>
      </c>
      <c r="Z25" s="392">
        <f>fx!AE31</f>
        <v>0</v>
      </c>
      <c r="AA25" s="392">
        <f>fx!AF31</f>
        <v>0</v>
      </c>
      <c r="AB25" s="436">
        <f>ARBETSBLAD!AJ119</f>
        <v>0</v>
      </c>
      <c r="AC25" s="436">
        <f>IF(fx!$C$57=1,ARBETSBLAD!AL119,0)</f>
        <v>0</v>
      </c>
      <c r="AD25" s="1071"/>
      <c r="AE25" s="1035"/>
      <c r="AF25" s="1035"/>
      <c r="AG25" s="1035"/>
      <c r="AI25" s="641"/>
    </row>
    <row r="26" spans="1:35" ht="12" customHeight="1">
      <c r="B26" s="1698" t="str">
        <f>ARBETSBLAD!B120</f>
        <v>Marknadsföring</v>
      </c>
      <c r="C26" s="614"/>
      <c r="D26" s="443">
        <f>fx!I32</f>
        <v>0</v>
      </c>
      <c r="E26" s="443">
        <f>fx!J32</f>
        <v>0</v>
      </c>
      <c r="F26" s="443">
        <f>fx!K32</f>
        <v>0</v>
      </c>
      <c r="G26" s="443">
        <f>fx!L32</f>
        <v>0</v>
      </c>
      <c r="H26" s="443">
        <f>fx!M32</f>
        <v>0</v>
      </c>
      <c r="I26" s="443">
        <f>fx!N32</f>
        <v>0</v>
      </c>
      <c r="J26" s="443">
        <f>fx!O32</f>
        <v>0</v>
      </c>
      <c r="K26" s="443">
        <f>fx!P32</f>
        <v>0</v>
      </c>
      <c r="L26" s="443">
        <f>fx!Q32</f>
        <v>0</v>
      </c>
      <c r="M26" s="443">
        <f>fx!R32</f>
        <v>0</v>
      </c>
      <c r="N26" s="443">
        <f>fx!S32</f>
        <v>0</v>
      </c>
      <c r="O26" s="443">
        <f>fx!T32</f>
        <v>0</v>
      </c>
      <c r="P26" s="392">
        <f>fx!U32</f>
        <v>0</v>
      </c>
      <c r="Q26" s="392">
        <f>fx!V32</f>
        <v>0</v>
      </c>
      <c r="R26" s="392">
        <f>fx!W32</f>
        <v>0</v>
      </c>
      <c r="S26" s="392">
        <f>fx!X32</f>
        <v>0</v>
      </c>
      <c r="T26" s="392">
        <f>fx!Y32</f>
        <v>0</v>
      </c>
      <c r="U26" s="392">
        <f>fx!Z32</f>
        <v>0</v>
      </c>
      <c r="V26" s="392">
        <f>fx!AA32</f>
        <v>0</v>
      </c>
      <c r="W26" s="392">
        <f>fx!AB32</f>
        <v>0</v>
      </c>
      <c r="X26" s="392">
        <f>fx!AC32</f>
        <v>0</v>
      </c>
      <c r="Y26" s="392">
        <f>fx!AD32</f>
        <v>0</v>
      </c>
      <c r="Z26" s="392">
        <f>fx!AE32</f>
        <v>0</v>
      </c>
      <c r="AA26" s="392">
        <f>fx!AF32</f>
        <v>0</v>
      </c>
      <c r="AB26" s="436">
        <f>ARBETSBLAD!AJ120</f>
        <v>0</v>
      </c>
      <c r="AC26" s="436">
        <f>IF(fx!$C$57=1,ARBETSBLAD!AL120,0)</f>
        <v>0</v>
      </c>
      <c r="AD26" s="1071"/>
      <c r="AE26" s="1035"/>
      <c r="AF26" s="1035"/>
      <c r="AG26" s="1035"/>
      <c r="AI26" s="641"/>
    </row>
    <row r="27" spans="1:35" ht="12" customHeight="1">
      <c r="B27" s="1698" t="str">
        <f>ARBETSBLAD!B121</f>
        <v>Bokföring. Revision</v>
      </c>
      <c r="C27" s="614"/>
      <c r="D27" s="443">
        <f>fx!I33</f>
        <v>0</v>
      </c>
      <c r="E27" s="443">
        <f>fx!J33</f>
        <v>0</v>
      </c>
      <c r="F27" s="443">
        <f>fx!K33</f>
        <v>0</v>
      </c>
      <c r="G27" s="443">
        <f>fx!L33</f>
        <v>0</v>
      </c>
      <c r="H27" s="443">
        <f>fx!M33</f>
        <v>0</v>
      </c>
      <c r="I27" s="443">
        <f>fx!N33</f>
        <v>0</v>
      </c>
      <c r="J27" s="443">
        <f>fx!O33</f>
        <v>0</v>
      </c>
      <c r="K27" s="443">
        <f>fx!P33</f>
        <v>0</v>
      </c>
      <c r="L27" s="443">
        <f>fx!Q33</f>
        <v>0</v>
      </c>
      <c r="M27" s="443">
        <f>fx!R33</f>
        <v>0</v>
      </c>
      <c r="N27" s="443">
        <f>fx!S33</f>
        <v>0</v>
      </c>
      <c r="O27" s="443">
        <f>fx!T33</f>
        <v>0</v>
      </c>
      <c r="P27" s="392">
        <f>fx!U33</f>
        <v>0</v>
      </c>
      <c r="Q27" s="392">
        <f>fx!V33</f>
        <v>0</v>
      </c>
      <c r="R27" s="392">
        <f>fx!W33</f>
        <v>0</v>
      </c>
      <c r="S27" s="392">
        <f>fx!X33</f>
        <v>0</v>
      </c>
      <c r="T27" s="392">
        <f>fx!Y33</f>
        <v>0</v>
      </c>
      <c r="U27" s="392">
        <f>fx!Z33</f>
        <v>0</v>
      </c>
      <c r="V27" s="392">
        <f>fx!AA33</f>
        <v>0</v>
      </c>
      <c r="W27" s="392">
        <f>fx!AB33</f>
        <v>0</v>
      </c>
      <c r="X27" s="392">
        <f>fx!AC33</f>
        <v>0</v>
      </c>
      <c r="Y27" s="392">
        <f>fx!AD33</f>
        <v>0</v>
      </c>
      <c r="Z27" s="392">
        <f>fx!AE33</f>
        <v>0</v>
      </c>
      <c r="AA27" s="392">
        <f>fx!AF33</f>
        <v>0</v>
      </c>
      <c r="AB27" s="436">
        <f>ARBETSBLAD!AJ121</f>
        <v>0</v>
      </c>
      <c r="AC27" s="436">
        <f>IF(fx!$C$57=1,ARBETSBLAD!AL121,0)</f>
        <v>0</v>
      </c>
      <c r="AD27" s="1071"/>
      <c r="AE27" s="1035"/>
      <c r="AF27" s="1035"/>
      <c r="AG27" s="1035"/>
      <c r="AI27" s="641"/>
    </row>
    <row r="28" spans="1:35" ht="12" customHeight="1">
      <c r="B28" s="1698" t="str">
        <f>ARBETSBLAD!B122</f>
        <v>Företagsutv, utbildning, produktutveckl</v>
      </c>
      <c r="C28" s="614"/>
      <c r="D28" s="443">
        <f>fx!I34</f>
        <v>0</v>
      </c>
      <c r="E28" s="443">
        <f>fx!J34</f>
        <v>0</v>
      </c>
      <c r="F28" s="443">
        <f>fx!K34</f>
        <v>0</v>
      </c>
      <c r="G28" s="443">
        <f>fx!L34</f>
        <v>0</v>
      </c>
      <c r="H28" s="443">
        <f>fx!M34</f>
        <v>0</v>
      </c>
      <c r="I28" s="443">
        <f>fx!N34</f>
        <v>0</v>
      </c>
      <c r="J28" s="443">
        <f>fx!O34</f>
        <v>0</v>
      </c>
      <c r="K28" s="443">
        <f>fx!P34</f>
        <v>0</v>
      </c>
      <c r="L28" s="443">
        <f>fx!Q34</f>
        <v>0</v>
      </c>
      <c r="M28" s="443">
        <f>fx!R34</f>
        <v>0</v>
      </c>
      <c r="N28" s="443">
        <f>fx!S34</f>
        <v>0</v>
      </c>
      <c r="O28" s="443">
        <f>fx!T34</f>
        <v>0</v>
      </c>
      <c r="P28" s="392">
        <f>fx!U34</f>
        <v>0</v>
      </c>
      <c r="Q28" s="392">
        <f>fx!V34</f>
        <v>0</v>
      </c>
      <c r="R28" s="392">
        <f>fx!W34</f>
        <v>0</v>
      </c>
      <c r="S28" s="392">
        <f>fx!X34</f>
        <v>0</v>
      </c>
      <c r="T28" s="392">
        <f>fx!Y34</f>
        <v>0</v>
      </c>
      <c r="U28" s="392">
        <f>fx!Z34</f>
        <v>0</v>
      </c>
      <c r="V28" s="392">
        <f>fx!AA34</f>
        <v>0</v>
      </c>
      <c r="W28" s="392">
        <f>fx!AB34</f>
        <v>0</v>
      </c>
      <c r="X28" s="392">
        <f>fx!AC34</f>
        <v>0</v>
      </c>
      <c r="Y28" s="392">
        <f>fx!AD34</f>
        <v>0</v>
      </c>
      <c r="Z28" s="392">
        <f>fx!AE34</f>
        <v>0</v>
      </c>
      <c r="AA28" s="392">
        <f>fx!AF34</f>
        <v>0</v>
      </c>
      <c r="AB28" s="436">
        <f>ARBETSBLAD!AJ122</f>
        <v>0</v>
      </c>
      <c r="AC28" s="436">
        <f>IF(fx!$C$57=1,ARBETSBLAD!AL122,0)</f>
        <v>0</v>
      </c>
      <c r="AD28" s="1071"/>
      <c r="AE28" s="1035"/>
      <c r="AF28" s="1035"/>
      <c r="AG28" s="1035"/>
      <c r="AI28" s="641"/>
    </row>
    <row r="29" spans="1:35" ht="12" customHeight="1">
      <c r="B29" s="1698" t="str">
        <f>ARBETSBLAD!B123</f>
        <v>Leasing, hyra utrustn. Övr köpta tjänster</v>
      </c>
      <c r="C29" s="614"/>
      <c r="D29" s="443">
        <f>fx!I35</f>
        <v>0</v>
      </c>
      <c r="E29" s="443">
        <f>fx!J35</f>
        <v>0</v>
      </c>
      <c r="F29" s="443">
        <f>fx!K35</f>
        <v>0</v>
      </c>
      <c r="G29" s="443">
        <f>fx!L35</f>
        <v>0</v>
      </c>
      <c r="H29" s="443">
        <f>fx!M35</f>
        <v>0</v>
      </c>
      <c r="I29" s="443">
        <f>fx!N35</f>
        <v>0</v>
      </c>
      <c r="J29" s="443">
        <f>fx!O35</f>
        <v>0</v>
      </c>
      <c r="K29" s="443">
        <f>fx!P35</f>
        <v>0</v>
      </c>
      <c r="L29" s="443">
        <f>fx!Q35</f>
        <v>0</v>
      </c>
      <c r="M29" s="443">
        <f>fx!R35</f>
        <v>0</v>
      </c>
      <c r="N29" s="443">
        <f>fx!S35</f>
        <v>0</v>
      </c>
      <c r="O29" s="443">
        <f>fx!T35</f>
        <v>0</v>
      </c>
      <c r="P29" s="392">
        <f>fx!U35</f>
        <v>0</v>
      </c>
      <c r="Q29" s="392">
        <f>fx!V35</f>
        <v>0</v>
      </c>
      <c r="R29" s="392">
        <f>fx!W35</f>
        <v>0</v>
      </c>
      <c r="S29" s="392">
        <f>fx!X35</f>
        <v>0</v>
      </c>
      <c r="T29" s="392">
        <f>fx!Y35</f>
        <v>0</v>
      </c>
      <c r="U29" s="392">
        <f>fx!Z35</f>
        <v>0</v>
      </c>
      <c r="V29" s="392">
        <f>fx!AA35</f>
        <v>0</v>
      </c>
      <c r="W29" s="392">
        <f>fx!AB35</f>
        <v>0</v>
      </c>
      <c r="X29" s="392">
        <f>fx!AC35</f>
        <v>0</v>
      </c>
      <c r="Y29" s="392">
        <f>fx!AD35</f>
        <v>0</v>
      </c>
      <c r="Z29" s="392">
        <f>fx!AE35</f>
        <v>0</v>
      </c>
      <c r="AA29" s="392">
        <f>fx!AF35</f>
        <v>0</v>
      </c>
      <c r="AB29" s="436">
        <f>ARBETSBLAD!AJ123</f>
        <v>0</v>
      </c>
      <c r="AC29" s="436">
        <f>IF(fx!$C$57=1,ARBETSBLAD!AL123,0)</f>
        <v>0</v>
      </c>
      <c r="AD29" s="1071"/>
      <c r="AE29" s="1035"/>
      <c r="AF29" s="1035"/>
      <c r="AG29" s="1035"/>
      <c r="AI29" s="641"/>
    </row>
    <row r="30" spans="1:35" ht="12" customHeight="1">
      <c r="B30" s="1698" t="str">
        <f>ARBETSBLAD!B124</f>
        <v>Andra övriga kostnader 1</v>
      </c>
      <c r="C30" s="614"/>
      <c r="D30" s="443">
        <f>fx!I36</f>
        <v>0</v>
      </c>
      <c r="E30" s="443">
        <f>fx!J36</f>
        <v>0</v>
      </c>
      <c r="F30" s="443">
        <f>fx!K36</f>
        <v>0</v>
      </c>
      <c r="G30" s="443">
        <f>fx!L36</f>
        <v>0</v>
      </c>
      <c r="H30" s="443">
        <f>fx!M36</f>
        <v>0</v>
      </c>
      <c r="I30" s="443">
        <f>fx!N36</f>
        <v>0</v>
      </c>
      <c r="J30" s="443">
        <f>fx!O36</f>
        <v>0</v>
      </c>
      <c r="K30" s="443">
        <f>fx!P36</f>
        <v>0</v>
      </c>
      <c r="L30" s="443">
        <f>fx!Q36</f>
        <v>0</v>
      </c>
      <c r="M30" s="443">
        <f>fx!R36</f>
        <v>0</v>
      </c>
      <c r="N30" s="443">
        <f>fx!S36</f>
        <v>0</v>
      </c>
      <c r="O30" s="443">
        <f>fx!T36</f>
        <v>0</v>
      </c>
      <c r="P30" s="392">
        <f>fx!U36</f>
        <v>0</v>
      </c>
      <c r="Q30" s="392">
        <f>fx!V36</f>
        <v>0</v>
      </c>
      <c r="R30" s="392">
        <f>fx!W36</f>
        <v>0</v>
      </c>
      <c r="S30" s="392">
        <f>fx!X36</f>
        <v>0</v>
      </c>
      <c r="T30" s="392">
        <f>fx!Y36</f>
        <v>0</v>
      </c>
      <c r="U30" s="392">
        <f>fx!Z36</f>
        <v>0</v>
      </c>
      <c r="V30" s="392">
        <f>fx!AA36</f>
        <v>0</v>
      </c>
      <c r="W30" s="392">
        <f>fx!AB36</f>
        <v>0</v>
      </c>
      <c r="X30" s="392">
        <f>fx!AC36</f>
        <v>0</v>
      </c>
      <c r="Y30" s="392">
        <f>fx!AD36</f>
        <v>0</v>
      </c>
      <c r="Z30" s="392">
        <f>fx!AE36</f>
        <v>0</v>
      </c>
      <c r="AA30" s="392">
        <f>fx!AF36</f>
        <v>0</v>
      </c>
      <c r="AB30" s="436">
        <f>ARBETSBLAD!AJ124</f>
        <v>0</v>
      </c>
      <c r="AC30" s="436">
        <f>IF(fx!$C$57=1,ARBETSBLAD!AL124,0)</f>
        <v>0</v>
      </c>
      <c r="AD30" s="1071"/>
      <c r="AE30" s="1035"/>
      <c r="AF30" s="1035"/>
      <c r="AG30" s="1037"/>
      <c r="AI30" s="641"/>
    </row>
    <row r="31" spans="1:35" ht="12" customHeight="1">
      <c r="A31" s="1252"/>
      <c r="B31" s="1698" t="str">
        <f>ARBETSBLAD!B125</f>
        <v>Andra övriga kostnader 2</v>
      </c>
      <c r="C31" s="614"/>
      <c r="D31" s="443">
        <f>fx!I37</f>
        <v>0</v>
      </c>
      <c r="E31" s="443">
        <f>fx!J37</f>
        <v>0</v>
      </c>
      <c r="F31" s="443">
        <f>fx!K37</f>
        <v>0</v>
      </c>
      <c r="G31" s="443">
        <f>fx!L37</f>
        <v>0</v>
      </c>
      <c r="H31" s="443">
        <f>fx!M37</f>
        <v>0</v>
      </c>
      <c r="I31" s="443">
        <f>fx!N37</f>
        <v>0</v>
      </c>
      <c r="J31" s="443">
        <f>fx!O37</f>
        <v>0</v>
      </c>
      <c r="K31" s="443">
        <f>fx!P37</f>
        <v>0</v>
      </c>
      <c r="L31" s="443">
        <f>fx!Q37</f>
        <v>0</v>
      </c>
      <c r="M31" s="443">
        <f>fx!R37</f>
        <v>0</v>
      </c>
      <c r="N31" s="443">
        <f>fx!S37</f>
        <v>0</v>
      </c>
      <c r="O31" s="443">
        <f>fx!T37</f>
        <v>0</v>
      </c>
      <c r="P31" s="392">
        <f>fx!U37</f>
        <v>0</v>
      </c>
      <c r="Q31" s="392">
        <f>fx!V37</f>
        <v>0</v>
      </c>
      <c r="R31" s="392">
        <f>fx!W37</f>
        <v>0</v>
      </c>
      <c r="S31" s="392">
        <f>fx!X37</f>
        <v>0</v>
      </c>
      <c r="T31" s="392">
        <f>fx!Y37</f>
        <v>0</v>
      </c>
      <c r="U31" s="392">
        <f>fx!Z37</f>
        <v>0</v>
      </c>
      <c r="V31" s="392">
        <f>fx!AA37</f>
        <v>0</v>
      </c>
      <c r="W31" s="392">
        <f>fx!AB37</f>
        <v>0</v>
      </c>
      <c r="X31" s="392">
        <f>fx!AC37</f>
        <v>0</v>
      </c>
      <c r="Y31" s="392">
        <f>fx!AD37</f>
        <v>0</v>
      </c>
      <c r="Z31" s="392">
        <f>fx!AE37</f>
        <v>0</v>
      </c>
      <c r="AA31" s="392">
        <f>fx!AF37</f>
        <v>0</v>
      </c>
      <c r="AB31" s="436">
        <f>ARBETSBLAD!AJ125</f>
        <v>0</v>
      </c>
      <c r="AC31" s="436">
        <f>IF(fx!$C$57=1,ARBETSBLAD!AL125,0)</f>
        <v>0</v>
      </c>
      <c r="AD31" s="1071"/>
      <c r="AE31" s="1035"/>
      <c r="AF31" s="1035"/>
      <c r="AG31" s="1037"/>
      <c r="AI31" s="641"/>
    </row>
    <row r="32" spans="1:35" ht="12" hidden="1" customHeight="1">
      <c r="A32" s="1252"/>
      <c r="B32" s="1698" t="str">
        <f>ARBETSBLAD!B126</f>
        <v>Andra övriga kostnader 3</v>
      </c>
      <c r="C32" s="2472"/>
      <c r="D32" s="443">
        <f>fx!I38</f>
        <v>0</v>
      </c>
      <c r="E32" s="443">
        <f>fx!J38</f>
        <v>0</v>
      </c>
      <c r="F32" s="443">
        <f>fx!K38</f>
        <v>0</v>
      </c>
      <c r="G32" s="443">
        <f>fx!L38</f>
        <v>0</v>
      </c>
      <c r="H32" s="443">
        <f>fx!M38</f>
        <v>0</v>
      </c>
      <c r="I32" s="443">
        <f>fx!N38</f>
        <v>0</v>
      </c>
      <c r="J32" s="443">
        <f>fx!O38</f>
        <v>0</v>
      </c>
      <c r="K32" s="443">
        <f>fx!P38</f>
        <v>0</v>
      </c>
      <c r="L32" s="443">
        <f>fx!Q38</f>
        <v>0</v>
      </c>
      <c r="M32" s="443">
        <f>fx!R38</f>
        <v>0</v>
      </c>
      <c r="N32" s="443">
        <f>fx!S38</f>
        <v>0</v>
      </c>
      <c r="O32" s="443">
        <f>fx!T38</f>
        <v>0</v>
      </c>
      <c r="P32" s="443">
        <f>fx!U38</f>
        <v>0</v>
      </c>
      <c r="Q32" s="443">
        <f>fx!V38</f>
        <v>0</v>
      </c>
      <c r="R32" s="443">
        <f>fx!W38</f>
        <v>0</v>
      </c>
      <c r="S32" s="443">
        <f>fx!X38</f>
        <v>0</v>
      </c>
      <c r="T32" s="443">
        <f>fx!Y38</f>
        <v>0</v>
      </c>
      <c r="U32" s="443">
        <f>fx!Z38</f>
        <v>0</v>
      </c>
      <c r="V32" s="443">
        <f>fx!AA38</f>
        <v>0</v>
      </c>
      <c r="W32" s="443">
        <f>fx!AB38</f>
        <v>0</v>
      </c>
      <c r="X32" s="443">
        <f>fx!AC38</f>
        <v>0</v>
      </c>
      <c r="Y32" s="443">
        <f>fx!AD38</f>
        <v>0</v>
      </c>
      <c r="Z32" s="443">
        <f>fx!AE38</f>
        <v>0</v>
      </c>
      <c r="AA32" s="443">
        <f>fx!AF38</f>
        <v>0</v>
      </c>
      <c r="AB32" s="436">
        <f>ARBETSBLAD!AJ126</f>
        <v>0</v>
      </c>
      <c r="AC32" s="436">
        <f>IF(fx!$C$57=1,ARBETSBLAD!AL126,0)</f>
        <v>0</v>
      </c>
      <c r="AD32" s="2377"/>
      <c r="AE32" s="1035"/>
      <c r="AF32" s="1035"/>
      <c r="AG32" s="1037"/>
      <c r="AI32" s="641"/>
    </row>
    <row r="33" spans="1:35" ht="12" hidden="1" customHeight="1">
      <c r="A33" s="2348"/>
      <c r="B33" s="1698" t="str">
        <f>ARBETSBLAD!B127</f>
        <v>Andra övriga kostnader 4</v>
      </c>
      <c r="C33" s="2472"/>
      <c r="D33" s="443">
        <f>fx!I39</f>
        <v>0</v>
      </c>
      <c r="E33" s="443">
        <f>fx!J39</f>
        <v>0</v>
      </c>
      <c r="F33" s="443">
        <f>fx!K39</f>
        <v>0</v>
      </c>
      <c r="G33" s="443">
        <f>fx!L39</f>
        <v>0</v>
      </c>
      <c r="H33" s="443">
        <f>fx!M39</f>
        <v>0</v>
      </c>
      <c r="I33" s="443">
        <f>fx!N39</f>
        <v>0</v>
      </c>
      <c r="J33" s="443">
        <f>fx!O39</f>
        <v>0</v>
      </c>
      <c r="K33" s="443">
        <f>fx!P39</f>
        <v>0</v>
      </c>
      <c r="L33" s="443">
        <f>fx!Q39</f>
        <v>0</v>
      </c>
      <c r="M33" s="443">
        <f>fx!R39</f>
        <v>0</v>
      </c>
      <c r="N33" s="443">
        <f>fx!S39</f>
        <v>0</v>
      </c>
      <c r="O33" s="443">
        <f>fx!T39</f>
        <v>0</v>
      </c>
      <c r="P33" s="443">
        <f>fx!U39</f>
        <v>0</v>
      </c>
      <c r="Q33" s="443">
        <f>fx!V39</f>
        <v>0</v>
      </c>
      <c r="R33" s="443">
        <f>fx!W39</f>
        <v>0</v>
      </c>
      <c r="S33" s="443">
        <f>fx!X39</f>
        <v>0</v>
      </c>
      <c r="T33" s="443">
        <f>fx!Y39</f>
        <v>0</v>
      </c>
      <c r="U33" s="443">
        <f>fx!Z39</f>
        <v>0</v>
      </c>
      <c r="V33" s="443">
        <f>fx!AA39</f>
        <v>0</v>
      </c>
      <c r="W33" s="443">
        <f>fx!AB39</f>
        <v>0</v>
      </c>
      <c r="X33" s="443">
        <f>fx!AC39</f>
        <v>0</v>
      </c>
      <c r="Y33" s="443">
        <f>fx!AD39</f>
        <v>0</v>
      </c>
      <c r="Z33" s="443">
        <f>fx!AE39</f>
        <v>0</v>
      </c>
      <c r="AA33" s="443">
        <f>fx!AF39</f>
        <v>0</v>
      </c>
      <c r="AB33" s="436">
        <f>ARBETSBLAD!AJ127</f>
        <v>0</v>
      </c>
      <c r="AC33" s="436">
        <f>IF(fx!$C$57=1,ARBETSBLAD!AL127,0)</f>
        <v>0</v>
      </c>
      <c r="AD33" s="2377"/>
      <c r="AE33" s="1035"/>
      <c r="AF33" s="1035"/>
      <c r="AG33" s="1037"/>
      <c r="AI33" s="641"/>
    </row>
    <row r="34" spans="1:35" ht="12" hidden="1" customHeight="1">
      <c r="A34" s="2348"/>
      <c r="B34" s="1698" t="str">
        <f>ARBETSBLAD!B128</f>
        <v>Andra övriga kostnader 5</v>
      </c>
      <c r="C34" s="2472"/>
      <c r="D34" s="443">
        <f>fx!I40</f>
        <v>0</v>
      </c>
      <c r="E34" s="443">
        <f>fx!J40</f>
        <v>0</v>
      </c>
      <c r="F34" s="443">
        <f>fx!K40</f>
        <v>0</v>
      </c>
      <c r="G34" s="443">
        <f>fx!L40</f>
        <v>0</v>
      </c>
      <c r="H34" s="443">
        <f>fx!M40</f>
        <v>0</v>
      </c>
      <c r="I34" s="443">
        <f>fx!N40</f>
        <v>0</v>
      </c>
      <c r="J34" s="443">
        <f>fx!O40</f>
        <v>0</v>
      </c>
      <c r="K34" s="443">
        <f>fx!P40</f>
        <v>0</v>
      </c>
      <c r="L34" s="443">
        <f>fx!Q40</f>
        <v>0</v>
      </c>
      <c r="M34" s="443">
        <f>fx!R40</f>
        <v>0</v>
      </c>
      <c r="N34" s="443">
        <f>fx!S40</f>
        <v>0</v>
      </c>
      <c r="O34" s="443">
        <f>fx!T40</f>
        <v>0</v>
      </c>
      <c r="P34" s="443">
        <f>fx!U40</f>
        <v>0</v>
      </c>
      <c r="Q34" s="443">
        <f>fx!V40</f>
        <v>0</v>
      </c>
      <c r="R34" s="443">
        <f>fx!W40</f>
        <v>0</v>
      </c>
      <c r="S34" s="443">
        <f>fx!X40</f>
        <v>0</v>
      </c>
      <c r="T34" s="443">
        <f>fx!Y40</f>
        <v>0</v>
      </c>
      <c r="U34" s="443">
        <f>fx!Z40</f>
        <v>0</v>
      </c>
      <c r="V34" s="443">
        <f>fx!AA40</f>
        <v>0</v>
      </c>
      <c r="W34" s="443">
        <f>fx!AB40</f>
        <v>0</v>
      </c>
      <c r="X34" s="443">
        <f>fx!AC40</f>
        <v>0</v>
      </c>
      <c r="Y34" s="443">
        <f>fx!AD40</f>
        <v>0</v>
      </c>
      <c r="Z34" s="443">
        <f>fx!AE40</f>
        <v>0</v>
      </c>
      <c r="AA34" s="443">
        <f>fx!AF40</f>
        <v>0</v>
      </c>
      <c r="AB34" s="436">
        <f>ARBETSBLAD!AJ128</f>
        <v>0</v>
      </c>
      <c r="AC34" s="436">
        <f>IF(fx!$C$57=1,ARBETSBLAD!AL128,0)</f>
        <v>0</v>
      </c>
      <c r="AD34" s="2377"/>
      <c r="AE34" s="1035"/>
      <c r="AF34" s="1035"/>
      <c r="AG34" s="1037"/>
      <c r="AI34" s="641"/>
    </row>
    <row r="35" spans="1:35" ht="12" hidden="1" customHeight="1">
      <c r="A35" s="2348"/>
      <c r="B35" s="1698" t="str">
        <f>ARBETSBLAD!B129</f>
        <v>Andra övriga kostnader 6</v>
      </c>
      <c r="C35" s="2472"/>
      <c r="D35" s="443">
        <f>fx!I41</f>
        <v>0</v>
      </c>
      <c r="E35" s="443">
        <f>fx!J41</f>
        <v>0</v>
      </c>
      <c r="F35" s="443">
        <f>fx!K41</f>
        <v>0</v>
      </c>
      <c r="G35" s="443">
        <f>fx!L41</f>
        <v>0</v>
      </c>
      <c r="H35" s="443">
        <f>fx!M41</f>
        <v>0</v>
      </c>
      <c r="I35" s="443">
        <f>fx!N41</f>
        <v>0</v>
      </c>
      <c r="J35" s="443">
        <f>fx!O41</f>
        <v>0</v>
      </c>
      <c r="K35" s="443">
        <f>fx!P41</f>
        <v>0</v>
      </c>
      <c r="L35" s="443">
        <f>fx!Q41</f>
        <v>0</v>
      </c>
      <c r="M35" s="443">
        <f>fx!R41</f>
        <v>0</v>
      </c>
      <c r="N35" s="443">
        <f>fx!S41</f>
        <v>0</v>
      </c>
      <c r="O35" s="443">
        <f>fx!T41</f>
        <v>0</v>
      </c>
      <c r="P35" s="443">
        <f>fx!U41</f>
        <v>0</v>
      </c>
      <c r="Q35" s="443">
        <f>fx!V41</f>
        <v>0</v>
      </c>
      <c r="R35" s="443">
        <f>fx!W41</f>
        <v>0</v>
      </c>
      <c r="S35" s="443">
        <f>fx!X41</f>
        <v>0</v>
      </c>
      <c r="T35" s="443">
        <f>fx!Y41</f>
        <v>0</v>
      </c>
      <c r="U35" s="443">
        <f>fx!Z41</f>
        <v>0</v>
      </c>
      <c r="V35" s="443">
        <f>fx!AA41</f>
        <v>0</v>
      </c>
      <c r="W35" s="443">
        <f>fx!AB41</f>
        <v>0</v>
      </c>
      <c r="X35" s="443">
        <f>fx!AC41</f>
        <v>0</v>
      </c>
      <c r="Y35" s="443">
        <f>fx!AD41</f>
        <v>0</v>
      </c>
      <c r="Z35" s="443">
        <f>fx!AE41</f>
        <v>0</v>
      </c>
      <c r="AA35" s="443">
        <f>fx!AF41</f>
        <v>0</v>
      </c>
      <c r="AB35" s="436">
        <f>ARBETSBLAD!AJ129</f>
        <v>0</v>
      </c>
      <c r="AC35" s="436">
        <f>IF(fx!$C$57=1,ARBETSBLAD!AL129,0)</f>
        <v>0</v>
      </c>
      <c r="AD35" s="2377"/>
      <c r="AE35" s="1035"/>
      <c r="AF35" s="1035"/>
      <c r="AG35" s="1037"/>
      <c r="AI35" s="641"/>
    </row>
    <row r="36" spans="1:35" ht="12" hidden="1" customHeight="1">
      <c r="A36" s="2348"/>
      <c r="B36" s="1698" t="str">
        <f>ARBETSBLAD!B130</f>
        <v>Andra övriga kostnader 7</v>
      </c>
      <c r="C36" s="2472"/>
      <c r="D36" s="443">
        <f>fx!I42</f>
        <v>0</v>
      </c>
      <c r="E36" s="443">
        <f>fx!J42</f>
        <v>0</v>
      </c>
      <c r="F36" s="443">
        <f>fx!K42</f>
        <v>0</v>
      </c>
      <c r="G36" s="443">
        <f>fx!L42</f>
        <v>0</v>
      </c>
      <c r="H36" s="443">
        <f>fx!M42</f>
        <v>0</v>
      </c>
      <c r="I36" s="443">
        <f>fx!N42</f>
        <v>0</v>
      </c>
      <c r="J36" s="443">
        <f>fx!O42</f>
        <v>0</v>
      </c>
      <c r="K36" s="443">
        <f>fx!P42</f>
        <v>0</v>
      </c>
      <c r="L36" s="443">
        <f>fx!Q42</f>
        <v>0</v>
      </c>
      <c r="M36" s="443">
        <f>fx!R42</f>
        <v>0</v>
      </c>
      <c r="N36" s="443">
        <f>fx!S42</f>
        <v>0</v>
      </c>
      <c r="O36" s="443">
        <f>fx!T42</f>
        <v>0</v>
      </c>
      <c r="P36" s="443">
        <f>fx!U42</f>
        <v>0</v>
      </c>
      <c r="Q36" s="443">
        <f>fx!V42</f>
        <v>0</v>
      </c>
      <c r="R36" s="443">
        <f>fx!W42</f>
        <v>0</v>
      </c>
      <c r="S36" s="443">
        <f>fx!X42</f>
        <v>0</v>
      </c>
      <c r="T36" s="443">
        <f>fx!Y42</f>
        <v>0</v>
      </c>
      <c r="U36" s="443">
        <f>fx!Z42</f>
        <v>0</v>
      </c>
      <c r="V36" s="443">
        <f>fx!AA42</f>
        <v>0</v>
      </c>
      <c r="W36" s="443">
        <f>fx!AB42</f>
        <v>0</v>
      </c>
      <c r="X36" s="443">
        <f>fx!AC42</f>
        <v>0</v>
      </c>
      <c r="Y36" s="443">
        <f>fx!AD42</f>
        <v>0</v>
      </c>
      <c r="Z36" s="443">
        <f>fx!AE42</f>
        <v>0</v>
      </c>
      <c r="AA36" s="443">
        <f>fx!AF42</f>
        <v>0</v>
      </c>
      <c r="AB36" s="436">
        <f>ARBETSBLAD!AJ130</f>
        <v>0</v>
      </c>
      <c r="AC36" s="436">
        <f>IF(fx!$C$57=1,ARBETSBLAD!AL130,0)</f>
        <v>0</v>
      </c>
      <c r="AD36" s="2377"/>
      <c r="AE36" s="1035"/>
      <c r="AF36" s="1035"/>
      <c r="AG36" s="1037"/>
      <c r="AI36" s="641"/>
    </row>
    <row r="37" spans="1:35" ht="12" hidden="1" customHeight="1">
      <c r="A37" s="2348"/>
      <c r="B37" s="1698" t="str">
        <f>ARBETSBLAD!B131</f>
        <v>Andra övriga kostnader 8</v>
      </c>
      <c r="C37" s="2472"/>
      <c r="D37" s="443">
        <f>fx!I43</f>
        <v>0</v>
      </c>
      <c r="E37" s="443">
        <f>fx!J43</f>
        <v>0</v>
      </c>
      <c r="F37" s="443">
        <f>fx!K43</f>
        <v>0</v>
      </c>
      <c r="G37" s="443">
        <f>fx!L43</f>
        <v>0</v>
      </c>
      <c r="H37" s="443">
        <f>fx!M43</f>
        <v>0</v>
      </c>
      <c r="I37" s="443">
        <f>fx!N43</f>
        <v>0</v>
      </c>
      <c r="J37" s="443">
        <f>fx!O43</f>
        <v>0</v>
      </c>
      <c r="K37" s="443">
        <f>fx!P43</f>
        <v>0</v>
      </c>
      <c r="L37" s="443">
        <f>fx!Q43</f>
        <v>0</v>
      </c>
      <c r="M37" s="443">
        <f>fx!R43</f>
        <v>0</v>
      </c>
      <c r="N37" s="443">
        <f>fx!S43</f>
        <v>0</v>
      </c>
      <c r="O37" s="443">
        <f>fx!T43</f>
        <v>0</v>
      </c>
      <c r="P37" s="443">
        <f>fx!U43</f>
        <v>0</v>
      </c>
      <c r="Q37" s="443">
        <f>fx!V43</f>
        <v>0</v>
      </c>
      <c r="R37" s="443">
        <f>fx!W43</f>
        <v>0</v>
      </c>
      <c r="S37" s="443">
        <f>fx!X43</f>
        <v>0</v>
      </c>
      <c r="T37" s="443">
        <f>fx!Y43</f>
        <v>0</v>
      </c>
      <c r="U37" s="443">
        <f>fx!Z43</f>
        <v>0</v>
      </c>
      <c r="V37" s="443">
        <f>fx!AA43</f>
        <v>0</v>
      </c>
      <c r="W37" s="443">
        <f>fx!AB43</f>
        <v>0</v>
      </c>
      <c r="X37" s="443">
        <f>fx!AC43</f>
        <v>0</v>
      </c>
      <c r="Y37" s="443">
        <f>fx!AD43</f>
        <v>0</v>
      </c>
      <c r="Z37" s="443">
        <f>fx!AE43</f>
        <v>0</v>
      </c>
      <c r="AA37" s="443">
        <f>fx!AF43</f>
        <v>0</v>
      </c>
      <c r="AB37" s="436">
        <f>ARBETSBLAD!AJ131</f>
        <v>0</v>
      </c>
      <c r="AC37" s="436">
        <f>IF(fx!$C$57=1,ARBETSBLAD!AL131,0)</f>
        <v>0</v>
      </c>
      <c r="AD37" s="2377"/>
      <c r="AE37" s="1035"/>
      <c r="AF37" s="1035"/>
      <c r="AG37" s="1037"/>
      <c r="AI37" s="641"/>
    </row>
    <row r="38" spans="1:35" ht="12" hidden="1" customHeight="1">
      <c r="A38" s="2348"/>
      <c r="B38" s="1698" t="str">
        <f>ARBETSBLAD!B132</f>
        <v>Andra övriga kostnader 9</v>
      </c>
      <c r="C38" s="2472"/>
      <c r="D38" s="443">
        <f>fx!I44</f>
        <v>0</v>
      </c>
      <c r="E38" s="443">
        <f>fx!J44</f>
        <v>0</v>
      </c>
      <c r="F38" s="443">
        <f>fx!K44</f>
        <v>0</v>
      </c>
      <c r="G38" s="443">
        <f>fx!L44</f>
        <v>0</v>
      </c>
      <c r="H38" s="443">
        <f>fx!M44</f>
        <v>0</v>
      </c>
      <c r="I38" s="443">
        <f>fx!N44</f>
        <v>0</v>
      </c>
      <c r="J38" s="443">
        <f>fx!O44</f>
        <v>0</v>
      </c>
      <c r="K38" s="443">
        <f>fx!P44</f>
        <v>0</v>
      </c>
      <c r="L38" s="443">
        <f>fx!Q44</f>
        <v>0</v>
      </c>
      <c r="M38" s="443">
        <f>fx!R44</f>
        <v>0</v>
      </c>
      <c r="N38" s="443">
        <f>fx!S44</f>
        <v>0</v>
      </c>
      <c r="O38" s="443">
        <f>fx!T44</f>
        <v>0</v>
      </c>
      <c r="P38" s="443">
        <f>fx!U44</f>
        <v>0</v>
      </c>
      <c r="Q38" s="443">
        <f>fx!V44</f>
        <v>0</v>
      </c>
      <c r="R38" s="443">
        <f>fx!W44</f>
        <v>0</v>
      </c>
      <c r="S38" s="443">
        <f>fx!X44</f>
        <v>0</v>
      </c>
      <c r="T38" s="443">
        <f>fx!Y44</f>
        <v>0</v>
      </c>
      <c r="U38" s="443">
        <f>fx!Z44</f>
        <v>0</v>
      </c>
      <c r="V38" s="443">
        <f>fx!AA44</f>
        <v>0</v>
      </c>
      <c r="W38" s="443">
        <f>fx!AB44</f>
        <v>0</v>
      </c>
      <c r="X38" s="443">
        <f>fx!AC44</f>
        <v>0</v>
      </c>
      <c r="Y38" s="443">
        <f>fx!AD44</f>
        <v>0</v>
      </c>
      <c r="Z38" s="443">
        <f>fx!AE44</f>
        <v>0</v>
      </c>
      <c r="AA38" s="443">
        <f>fx!AF44</f>
        <v>0</v>
      </c>
      <c r="AB38" s="436">
        <f>ARBETSBLAD!AJ132</f>
        <v>0</v>
      </c>
      <c r="AC38" s="436">
        <f>IF(fx!$C$57=1,ARBETSBLAD!AL132,0)</f>
        <v>0</v>
      </c>
      <c r="AD38" s="2377"/>
      <c r="AE38" s="1035"/>
      <c r="AF38" s="1035"/>
      <c r="AG38" s="1037"/>
      <c r="AI38" s="641"/>
    </row>
    <row r="39" spans="1:35" ht="12" hidden="1" customHeight="1">
      <c r="A39" s="1254"/>
      <c r="B39" s="1698" t="str">
        <f>ARBETSBLAD!B133</f>
        <v>Andra övriga kostnader 10</v>
      </c>
      <c r="C39" s="2472"/>
      <c r="D39" s="444">
        <f>fx!I45</f>
        <v>0</v>
      </c>
      <c r="E39" s="444">
        <f>fx!J45</f>
        <v>0</v>
      </c>
      <c r="F39" s="444">
        <f>fx!K45</f>
        <v>0</v>
      </c>
      <c r="G39" s="444">
        <f>fx!L45</f>
        <v>0</v>
      </c>
      <c r="H39" s="444">
        <f>fx!M45</f>
        <v>0</v>
      </c>
      <c r="I39" s="444">
        <f>fx!N45</f>
        <v>0</v>
      </c>
      <c r="J39" s="444">
        <f>fx!O45</f>
        <v>0</v>
      </c>
      <c r="K39" s="444">
        <f>fx!P45</f>
        <v>0</v>
      </c>
      <c r="L39" s="444">
        <f>fx!Q45</f>
        <v>0</v>
      </c>
      <c r="M39" s="444">
        <f>fx!R45</f>
        <v>0</v>
      </c>
      <c r="N39" s="444">
        <f>fx!S45</f>
        <v>0</v>
      </c>
      <c r="O39" s="444">
        <f>fx!T45</f>
        <v>0</v>
      </c>
      <c r="P39" s="444">
        <f>fx!U45</f>
        <v>0</v>
      </c>
      <c r="Q39" s="444">
        <f>fx!V45</f>
        <v>0</v>
      </c>
      <c r="R39" s="444">
        <f>fx!W45</f>
        <v>0</v>
      </c>
      <c r="S39" s="444">
        <f>fx!X45</f>
        <v>0</v>
      </c>
      <c r="T39" s="444">
        <f>fx!Y45</f>
        <v>0</v>
      </c>
      <c r="U39" s="444">
        <f>fx!Z45</f>
        <v>0</v>
      </c>
      <c r="V39" s="444">
        <f>fx!AA45</f>
        <v>0</v>
      </c>
      <c r="W39" s="444">
        <f>fx!AB45</f>
        <v>0</v>
      </c>
      <c r="X39" s="444">
        <f>fx!AC45</f>
        <v>0</v>
      </c>
      <c r="Y39" s="444">
        <f>fx!AD45</f>
        <v>0</v>
      </c>
      <c r="Z39" s="444">
        <f>fx!AE45</f>
        <v>0</v>
      </c>
      <c r="AA39" s="444">
        <f>fx!AF45</f>
        <v>0</v>
      </c>
      <c r="AB39" s="438">
        <f>ARBETSBLAD!AJ133</f>
        <v>0</v>
      </c>
      <c r="AC39" s="438">
        <f>IF(fx!$C$57=1,ARBETSBLAD!AL133,0)</f>
        <v>0</v>
      </c>
      <c r="AD39" s="2377"/>
      <c r="AE39" s="1035"/>
      <c r="AF39" s="1035"/>
      <c r="AG39" s="1037"/>
      <c r="AI39" s="641"/>
    </row>
    <row r="40" spans="1:35" ht="12.9" customHeight="1">
      <c r="A40" s="1254"/>
      <c r="B40" s="1698" t="s">
        <v>568</v>
      </c>
      <c r="C40" s="2317" t="s">
        <v>116</v>
      </c>
      <c r="D40" s="2601">
        <f>fx!I46</f>
        <v>0</v>
      </c>
      <c r="E40" s="446">
        <f>fx!J46</f>
        <v>0</v>
      </c>
      <c r="F40" s="446">
        <f>fx!K46</f>
        <v>0</v>
      </c>
      <c r="G40" s="446">
        <f>fx!L46</f>
        <v>0</v>
      </c>
      <c r="H40" s="446">
        <f>fx!M46</f>
        <v>0</v>
      </c>
      <c r="I40" s="446">
        <f>fx!N46</f>
        <v>0</v>
      </c>
      <c r="J40" s="446">
        <f>fx!O46</f>
        <v>0</v>
      </c>
      <c r="K40" s="446">
        <f>fx!P46</f>
        <v>0</v>
      </c>
      <c r="L40" s="446">
        <f>fx!Q46</f>
        <v>0</v>
      </c>
      <c r="M40" s="446">
        <f>fx!R46</f>
        <v>0</v>
      </c>
      <c r="N40" s="446">
        <f>fx!S46</f>
        <v>0</v>
      </c>
      <c r="O40" s="446">
        <f>fx!T46</f>
        <v>0</v>
      </c>
      <c r="P40" s="2599">
        <f>fx!U46</f>
        <v>0</v>
      </c>
      <c r="Q40" s="2599">
        <f>fx!V46</f>
        <v>0</v>
      </c>
      <c r="R40" s="2599">
        <f>fx!W46</f>
        <v>0</v>
      </c>
      <c r="S40" s="2599">
        <f>fx!X46</f>
        <v>0</v>
      </c>
      <c r="T40" s="2599">
        <f>fx!Y46</f>
        <v>0</v>
      </c>
      <c r="U40" s="2599">
        <f>fx!Z46</f>
        <v>0</v>
      </c>
      <c r="V40" s="2599">
        <f>fx!AA46</f>
        <v>0</v>
      </c>
      <c r="W40" s="2599">
        <f>fx!AB46</f>
        <v>0</v>
      </c>
      <c r="X40" s="2599">
        <f>fx!AC46</f>
        <v>0</v>
      </c>
      <c r="Y40" s="2599">
        <f>fx!AD46</f>
        <v>0</v>
      </c>
      <c r="Z40" s="2599">
        <f>fx!AE46</f>
        <v>0</v>
      </c>
      <c r="AA40" s="2599">
        <f>fx!AF46</f>
        <v>0</v>
      </c>
      <c r="AB40" s="2600">
        <f>ARBETSBLAD!AJ134+ARBETSBLAD!AJ135</f>
        <v>0</v>
      </c>
      <c r="AC40" s="2600">
        <f>IF(fx!$C$57=1,ARBETSBLAD!AL134+ARBETSBLAD!AL135,0)</f>
        <v>0</v>
      </c>
      <c r="AD40" s="1071"/>
      <c r="AE40" s="1035"/>
      <c r="AF40" s="1035"/>
      <c r="AG40" s="1037"/>
      <c r="AI40" s="641"/>
    </row>
    <row r="41" spans="1:35" ht="15" customHeight="1">
      <c r="B41" s="971" t="s">
        <v>566</v>
      </c>
      <c r="C41" s="2317"/>
      <c r="D41" s="443">
        <f>fx!I47</f>
        <v>0</v>
      </c>
      <c r="E41" s="443">
        <f>fx!J47</f>
        <v>0</v>
      </c>
      <c r="F41" s="443">
        <f>fx!K47</f>
        <v>0</v>
      </c>
      <c r="G41" s="443">
        <f>fx!L47</f>
        <v>0</v>
      </c>
      <c r="H41" s="443">
        <f>fx!M47</f>
        <v>0</v>
      </c>
      <c r="I41" s="443">
        <f>fx!N47</f>
        <v>0</v>
      </c>
      <c r="J41" s="443">
        <f>fx!O47</f>
        <v>0</v>
      </c>
      <c r="K41" s="443">
        <f>fx!P47</f>
        <v>0</v>
      </c>
      <c r="L41" s="443">
        <f>fx!Q47</f>
        <v>0</v>
      </c>
      <c r="M41" s="443">
        <f>fx!R47</f>
        <v>0</v>
      </c>
      <c r="N41" s="443">
        <f>fx!S47</f>
        <v>0</v>
      </c>
      <c r="O41" s="443">
        <f>fx!T47</f>
        <v>0</v>
      </c>
      <c r="P41" s="392">
        <f>fx!U47</f>
        <v>0</v>
      </c>
      <c r="Q41" s="392">
        <f>fx!V47</f>
        <v>0</v>
      </c>
      <c r="R41" s="392">
        <f>fx!W47</f>
        <v>0</v>
      </c>
      <c r="S41" s="392">
        <f>fx!X47</f>
        <v>0</v>
      </c>
      <c r="T41" s="392">
        <f>fx!Y47</f>
        <v>0</v>
      </c>
      <c r="U41" s="392">
        <f>fx!Z47</f>
        <v>0</v>
      </c>
      <c r="V41" s="392">
        <f>fx!AA47</f>
        <v>0</v>
      </c>
      <c r="W41" s="392">
        <f>fx!AB47</f>
        <v>0</v>
      </c>
      <c r="X41" s="392">
        <f>fx!AC47</f>
        <v>0</v>
      </c>
      <c r="Y41" s="392">
        <f>fx!AD47</f>
        <v>0</v>
      </c>
      <c r="Z41" s="392">
        <f>fx!AE47</f>
        <v>0</v>
      </c>
      <c r="AA41" s="392">
        <f>fx!AF47</f>
        <v>0</v>
      </c>
      <c r="AB41" s="436">
        <f>ARBETSBLAD!AJ156</f>
        <v>0</v>
      </c>
      <c r="AC41" s="436">
        <f>IF(fx!$C$57=1,ARBETSBLAD!AL156,0)</f>
        <v>0</v>
      </c>
      <c r="AD41" s="1071"/>
      <c r="AE41" s="1035"/>
      <c r="AF41" s="1035"/>
      <c r="AG41" s="1037"/>
      <c r="AI41" s="641"/>
    </row>
    <row r="42" spans="1:35" ht="12" customHeight="1">
      <c r="B42" s="971" t="s">
        <v>296</v>
      </c>
      <c r="C42" s="2317"/>
      <c r="D42" s="448">
        <f>fx!I48</f>
        <v>0</v>
      </c>
      <c r="E42" s="443">
        <f>fx!J48</f>
        <v>0</v>
      </c>
      <c r="F42" s="443">
        <f ca="1">fx!K48</f>
        <v>0</v>
      </c>
      <c r="G42" s="443">
        <f ca="1">fx!L48</f>
        <v>0</v>
      </c>
      <c r="H42" s="443">
        <f ca="1">fx!M48</f>
        <v>0</v>
      </c>
      <c r="I42" s="443">
        <f ca="1">fx!N48</f>
        <v>0</v>
      </c>
      <c r="J42" s="443">
        <f ca="1">fx!O48</f>
        <v>0</v>
      </c>
      <c r="K42" s="443">
        <f ca="1">fx!P48</f>
        <v>0</v>
      </c>
      <c r="L42" s="443">
        <f ca="1">fx!Q48</f>
        <v>0</v>
      </c>
      <c r="M42" s="443">
        <f ca="1">fx!R48</f>
        <v>0</v>
      </c>
      <c r="N42" s="443">
        <f ca="1">fx!S48</f>
        <v>0</v>
      </c>
      <c r="O42" s="443">
        <f ca="1">fx!T48</f>
        <v>0</v>
      </c>
      <c r="P42" s="437">
        <f ca="1">fx!U48</f>
        <v>0</v>
      </c>
      <c r="Q42" s="437">
        <f ca="1">fx!V48</f>
        <v>0</v>
      </c>
      <c r="R42" s="437">
        <f ca="1">fx!W48</f>
        <v>0</v>
      </c>
      <c r="S42" s="437">
        <f ca="1">fx!X48</f>
        <v>0</v>
      </c>
      <c r="T42" s="437">
        <f ca="1">fx!Y48</f>
        <v>0</v>
      </c>
      <c r="U42" s="437">
        <f ca="1">fx!Z48</f>
        <v>0</v>
      </c>
      <c r="V42" s="437">
        <f ca="1">fx!AA48</f>
        <v>0</v>
      </c>
      <c r="W42" s="437">
        <f ca="1">fx!AB48</f>
        <v>0</v>
      </c>
      <c r="X42" s="437">
        <f ca="1">fx!AC48</f>
        <v>0</v>
      </c>
      <c r="Y42" s="437">
        <f ca="1">fx!AD48</f>
        <v>0</v>
      </c>
      <c r="Z42" s="437">
        <f ca="1">fx!AE48</f>
        <v>0</v>
      </c>
      <c r="AA42" s="437">
        <f ca="1">fx!AF48</f>
        <v>0</v>
      </c>
      <c r="AB42" s="438">
        <f ca="1">fx!AH341</f>
        <v>0</v>
      </c>
      <c r="AC42" s="438">
        <f ca="1">IF(fx!$C$57=1,fx!AJ341,0)</f>
        <v>0</v>
      </c>
      <c r="AD42" s="1071"/>
      <c r="AE42" s="1035"/>
      <c r="AF42" s="1035"/>
      <c r="AG42" s="1037"/>
      <c r="AI42" s="641"/>
    </row>
    <row r="43" spans="1:35" s="1078" customFormat="1" ht="15" customHeight="1">
      <c r="B43" s="1088" t="s">
        <v>1226</v>
      </c>
      <c r="C43" s="2319" t="s">
        <v>116</v>
      </c>
      <c r="D43" s="449">
        <f>fx!I49</f>
        <v>0</v>
      </c>
      <c r="E43" s="450">
        <f>fx!J49</f>
        <v>0</v>
      </c>
      <c r="F43" s="450">
        <f ca="1">fx!K49</f>
        <v>0</v>
      </c>
      <c r="G43" s="450">
        <f ca="1">fx!L49</f>
        <v>0</v>
      </c>
      <c r="H43" s="450">
        <f ca="1">fx!M49</f>
        <v>0</v>
      </c>
      <c r="I43" s="450">
        <f ca="1">fx!N49</f>
        <v>0</v>
      </c>
      <c r="J43" s="450">
        <f ca="1">fx!O49</f>
        <v>0</v>
      </c>
      <c r="K43" s="450">
        <f ca="1">fx!P49</f>
        <v>0</v>
      </c>
      <c r="L43" s="450">
        <f ca="1">fx!Q49</f>
        <v>0</v>
      </c>
      <c r="M43" s="450">
        <f ca="1">fx!R49</f>
        <v>0</v>
      </c>
      <c r="N43" s="450">
        <f ca="1">fx!S49</f>
        <v>0</v>
      </c>
      <c r="O43" s="450">
        <f ca="1">fx!T49</f>
        <v>0</v>
      </c>
      <c r="P43" s="451">
        <f ca="1">fx!U49</f>
        <v>0</v>
      </c>
      <c r="Q43" s="451">
        <f ca="1">fx!V49</f>
        <v>0</v>
      </c>
      <c r="R43" s="451">
        <f ca="1">fx!W49</f>
        <v>0</v>
      </c>
      <c r="S43" s="451">
        <f ca="1">fx!X49</f>
        <v>0</v>
      </c>
      <c r="T43" s="451">
        <f ca="1">fx!Y49</f>
        <v>0</v>
      </c>
      <c r="U43" s="451">
        <f ca="1">fx!Z49</f>
        <v>0</v>
      </c>
      <c r="V43" s="451">
        <f ca="1">fx!AA49</f>
        <v>0</v>
      </c>
      <c r="W43" s="451">
        <f ca="1">fx!AB49</f>
        <v>0</v>
      </c>
      <c r="X43" s="451">
        <f ca="1">fx!AC49</f>
        <v>0</v>
      </c>
      <c r="Y43" s="451">
        <f ca="1">fx!AD49</f>
        <v>0</v>
      </c>
      <c r="Z43" s="451">
        <f ca="1">fx!AE49</f>
        <v>0</v>
      </c>
      <c r="AA43" s="451">
        <f ca="1">fx!AF49</f>
        <v>0</v>
      </c>
      <c r="AB43" s="452">
        <f ca="1">AB41+AB42</f>
        <v>0</v>
      </c>
      <c r="AC43" s="452">
        <f ca="1">AC41+AC42</f>
        <v>0</v>
      </c>
      <c r="AD43" s="1077"/>
      <c r="AE43" s="1035"/>
      <c r="AF43" s="1035"/>
      <c r="AG43" s="1037"/>
      <c r="AH43" s="1007"/>
      <c r="AI43" s="641"/>
    </row>
    <row r="44" spans="1:35" ht="15" customHeight="1">
      <c r="B44" s="1089" t="s">
        <v>569</v>
      </c>
      <c r="C44" s="2319" t="s">
        <v>116</v>
      </c>
      <c r="D44" s="449">
        <f>fx!I50</f>
        <v>0</v>
      </c>
      <c r="E44" s="453">
        <f>fx!J50</f>
        <v>0</v>
      </c>
      <c r="F44" s="453">
        <f ca="1">fx!K50</f>
        <v>0</v>
      </c>
      <c r="G44" s="453">
        <f ca="1">fx!L50</f>
        <v>0</v>
      </c>
      <c r="H44" s="453">
        <f ca="1">fx!M50</f>
        <v>0</v>
      </c>
      <c r="I44" s="453">
        <f ca="1">fx!N50</f>
        <v>0</v>
      </c>
      <c r="J44" s="453">
        <f ca="1">fx!O50</f>
        <v>0</v>
      </c>
      <c r="K44" s="453">
        <f ca="1">fx!P50</f>
        <v>0</v>
      </c>
      <c r="L44" s="453">
        <f ca="1">fx!Q50</f>
        <v>0</v>
      </c>
      <c r="M44" s="453">
        <f ca="1">fx!R50</f>
        <v>0</v>
      </c>
      <c r="N44" s="453">
        <f ca="1">fx!S50</f>
        <v>0</v>
      </c>
      <c r="O44" s="453">
        <f ca="1">fx!T50</f>
        <v>0</v>
      </c>
      <c r="P44" s="451">
        <f ca="1">fx!U50</f>
        <v>0</v>
      </c>
      <c r="Q44" s="451">
        <f ca="1">fx!V50</f>
        <v>0</v>
      </c>
      <c r="R44" s="451">
        <f ca="1">fx!W50</f>
        <v>0</v>
      </c>
      <c r="S44" s="451">
        <f ca="1">fx!X50</f>
        <v>0</v>
      </c>
      <c r="T44" s="451">
        <f ca="1">fx!Y50</f>
        <v>0</v>
      </c>
      <c r="U44" s="451">
        <f ca="1">fx!Z50</f>
        <v>0</v>
      </c>
      <c r="V44" s="451">
        <f ca="1">fx!AA50</f>
        <v>0</v>
      </c>
      <c r="W44" s="451">
        <f ca="1">fx!AB50</f>
        <v>0</v>
      </c>
      <c r="X44" s="451">
        <f ca="1">fx!AC50</f>
        <v>0</v>
      </c>
      <c r="Y44" s="451">
        <f ca="1">fx!AD50</f>
        <v>0</v>
      </c>
      <c r="Z44" s="451">
        <f ca="1">fx!AE50</f>
        <v>0</v>
      </c>
      <c r="AA44" s="451">
        <f ca="1">fx!AF50</f>
        <v>0</v>
      </c>
      <c r="AB44" s="452">
        <f ca="1">AB19+AB40+AB43</f>
        <v>0</v>
      </c>
      <c r="AC44" s="452">
        <f ca="1">AC19+AC40+AC43</f>
        <v>0</v>
      </c>
      <c r="AD44" s="1079"/>
      <c r="AE44" s="1035"/>
      <c r="AF44" s="1035"/>
      <c r="AG44" s="1037"/>
      <c r="AI44" s="641"/>
    </row>
    <row r="45" spans="1:35" s="1081" customFormat="1" ht="15" customHeight="1">
      <c r="B45" s="782" t="s">
        <v>324</v>
      </c>
      <c r="C45" s="1979"/>
      <c r="D45" s="1980">
        <f>fx!I51</f>
        <v>0</v>
      </c>
      <c r="E45" s="1981">
        <f>fx!J51</f>
        <v>0</v>
      </c>
      <c r="F45" s="1981">
        <f ca="1">fx!K51</f>
        <v>0</v>
      </c>
      <c r="G45" s="1981">
        <f ca="1">fx!L51</f>
        <v>0</v>
      </c>
      <c r="H45" s="1981">
        <f ca="1">fx!M51</f>
        <v>0</v>
      </c>
      <c r="I45" s="1981">
        <f ca="1">fx!N51</f>
        <v>0</v>
      </c>
      <c r="J45" s="1981">
        <f ca="1">fx!O51</f>
        <v>0</v>
      </c>
      <c r="K45" s="1981">
        <f ca="1">fx!P51</f>
        <v>0</v>
      </c>
      <c r="L45" s="1981">
        <f ca="1">fx!Q51</f>
        <v>0</v>
      </c>
      <c r="M45" s="1981">
        <f ca="1">fx!R51</f>
        <v>0</v>
      </c>
      <c r="N45" s="1981">
        <f ca="1">fx!S51</f>
        <v>0</v>
      </c>
      <c r="O45" s="1981">
        <f ca="1">fx!T51</f>
        <v>0</v>
      </c>
      <c r="P45" s="1982">
        <f ca="1">fx!U51</f>
        <v>0</v>
      </c>
      <c r="Q45" s="1982">
        <f ca="1">fx!V51</f>
        <v>0</v>
      </c>
      <c r="R45" s="1982">
        <f ca="1">fx!W51</f>
        <v>0</v>
      </c>
      <c r="S45" s="1982">
        <f ca="1">fx!X51</f>
        <v>0</v>
      </c>
      <c r="T45" s="1982">
        <f ca="1">fx!Y51</f>
        <v>0</v>
      </c>
      <c r="U45" s="1982">
        <f ca="1">fx!Z51</f>
        <v>0</v>
      </c>
      <c r="V45" s="1982">
        <f ca="1">fx!AA51</f>
        <v>0</v>
      </c>
      <c r="W45" s="1982">
        <f ca="1">fx!AB51</f>
        <v>0</v>
      </c>
      <c r="X45" s="1982">
        <f ca="1">fx!AC51</f>
        <v>0</v>
      </c>
      <c r="Y45" s="1982">
        <f ca="1">fx!AD51</f>
        <v>0</v>
      </c>
      <c r="Z45" s="1982">
        <f ca="1">fx!AE51</f>
        <v>0</v>
      </c>
      <c r="AA45" s="1982">
        <f ca="1">fx!AF51</f>
        <v>0</v>
      </c>
      <c r="AB45" s="1983">
        <f ca="1">AB11-AB44</f>
        <v>0</v>
      </c>
      <c r="AC45" s="1983">
        <f ca="1">AC11-AC44</f>
        <v>0</v>
      </c>
      <c r="AD45" s="1080"/>
      <c r="AE45" s="1035"/>
      <c r="AF45" s="1035"/>
      <c r="AG45" s="1037"/>
      <c r="AH45" s="1007"/>
      <c r="AI45" s="641"/>
    </row>
    <row r="46" spans="1:35" ht="17.100000000000001" customHeight="1">
      <c r="B46" s="21"/>
      <c r="C46" s="21"/>
      <c r="D46" s="1739"/>
      <c r="E46" s="1739"/>
      <c r="F46" s="1739"/>
      <c r="G46" s="1739"/>
      <c r="H46" s="1739"/>
      <c r="I46" s="1739"/>
      <c r="J46" s="1739"/>
      <c r="K46" s="1492"/>
      <c r="L46" s="1492"/>
      <c r="M46" s="1492"/>
      <c r="N46" s="1492"/>
      <c r="O46" s="1492"/>
      <c r="P46" s="1492"/>
      <c r="Q46" s="1492"/>
      <c r="R46" s="1328"/>
      <c r="S46" s="1328"/>
      <c r="T46" s="1328"/>
      <c r="U46" s="1328"/>
      <c r="V46" s="1328"/>
      <c r="W46" s="1328"/>
      <c r="X46" s="1328"/>
      <c r="Y46" s="1328"/>
      <c r="Z46" s="1328"/>
      <c r="AA46" s="1328"/>
      <c r="AB46" s="1328"/>
      <c r="AC46" s="1328"/>
      <c r="AF46" s="1083"/>
      <c r="AG46" s="1037"/>
      <c r="AI46" s="641"/>
    </row>
    <row r="47" spans="1:35" hidden="1">
      <c r="B47" s="6"/>
      <c r="C47" s="1090"/>
      <c r="D47" s="1091">
        <v>1</v>
      </c>
      <c r="E47" s="1091">
        <v>1</v>
      </c>
      <c r="F47" s="1091">
        <v>1</v>
      </c>
      <c r="G47" s="1091">
        <v>1</v>
      </c>
      <c r="H47" s="1091">
        <v>1</v>
      </c>
      <c r="I47" s="1091">
        <v>1</v>
      </c>
      <c r="J47" s="1091">
        <v>1</v>
      </c>
      <c r="K47" s="1091">
        <v>1</v>
      </c>
      <c r="L47" s="1091">
        <v>1</v>
      </c>
      <c r="M47" s="1091">
        <v>1</v>
      </c>
      <c r="N47" s="1091">
        <v>1</v>
      </c>
      <c r="O47" s="1091">
        <v>1</v>
      </c>
      <c r="P47" s="1091">
        <v>1</v>
      </c>
      <c r="Q47" s="1092">
        <v>1</v>
      </c>
      <c r="R47" s="1092">
        <v>1</v>
      </c>
      <c r="S47" s="1092">
        <v>1</v>
      </c>
      <c r="T47" s="1092">
        <v>1</v>
      </c>
      <c r="U47" s="1092">
        <v>1</v>
      </c>
      <c r="V47" s="1092">
        <v>1</v>
      </c>
      <c r="W47" s="1092">
        <v>1</v>
      </c>
      <c r="X47" s="1092">
        <v>1</v>
      </c>
      <c r="Y47" s="1092">
        <v>1</v>
      </c>
      <c r="Z47" s="1092">
        <v>1</v>
      </c>
      <c r="AA47" s="1092">
        <v>1</v>
      </c>
      <c r="AB47" s="1092">
        <v>1</v>
      </c>
      <c r="AC47" s="1492"/>
    </row>
    <row r="48" spans="1:35" hidden="1">
      <c r="B48" s="2"/>
      <c r="C48" s="1090"/>
      <c r="D48" s="1092">
        <f>IF((25-ARBETSBLAD!$L$4)&gt;=SUM($D$47:D47),1,0)</f>
        <v>1</v>
      </c>
      <c r="E48" s="1092">
        <f>IF((25-ARBETSBLAD!$L$4)&gt;=SUM($D$47:E47),1,0)</f>
        <v>1</v>
      </c>
      <c r="F48" s="1092">
        <f>IF((25-ARBETSBLAD!$L$4)&gt;=SUM($D$47:F47),1,0)</f>
        <v>1</v>
      </c>
      <c r="G48" s="1092">
        <f>IF((25-ARBETSBLAD!$L$4)&gt;=SUM($D$47:G47),1,0)</f>
        <v>1</v>
      </c>
      <c r="H48" s="1092">
        <f>IF((25-ARBETSBLAD!$L$4)&gt;=SUM($D$47:H47),1,0)</f>
        <v>1</v>
      </c>
      <c r="I48" s="1092">
        <f>IF((25-ARBETSBLAD!$L$4)&gt;=SUM($D$47:I47),1,0)</f>
        <v>1</v>
      </c>
      <c r="J48" s="1092">
        <f>IF((25-ARBETSBLAD!$L$4)&gt;=SUM($D$47:J47),1,0)</f>
        <v>1</v>
      </c>
      <c r="K48" s="1092">
        <f>IF((25-ARBETSBLAD!$L$4)&gt;=SUM($D$47:K47),1,0)</f>
        <v>1</v>
      </c>
      <c r="L48" s="1092">
        <f>IF((25-ARBETSBLAD!$L$4)&gt;=SUM($D$47:L47),1,0)</f>
        <v>1</v>
      </c>
      <c r="M48" s="1092">
        <f>IF((25-ARBETSBLAD!$L$4)&gt;=SUM($D$47:M47),1,0)</f>
        <v>1</v>
      </c>
      <c r="N48" s="1092">
        <f>IF((25-ARBETSBLAD!$L$4)&gt;=SUM($D$47:N47),1,0)</f>
        <v>1</v>
      </c>
      <c r="O48" s="1092">
        <f>IF((25-ARBETSBLAD!$L$4)&gt;=SUM($D$47:O47),1,0)</f>
        <v>1</v>
      </c>
      <c r="P48" s="1092">
        <f>IF((25-ARBETSBLAD!$L$4)&gt;=SUM($D$47:P47),1,0)</f>
        <v>1</v>
      </c>
      <c r="Q48" s="1092">
        <f>IF((25-ARBETSBLAD!$L$4)&gt;=SUM($D$47:Q47),1,0)</f>
        <v>1</v>
      </c>
      <c r="R48" s="1092">
        <f>IF((25-ARBETSBLAD!$L$4)&gt;=SUM($D$47:R47),1,0)</f>
        <v>1</v>
      </c>
      <c r="S48" s="1092">
        <f>IF((25-ARBETSBLAD!$L$4)&gt;=SUM($D$47:S47),1,0)</f>
        <v>1</v>
      </c>
      <c r="T48" s="1092">
        <f>IF((25-ARBETSBLAD!$L$4)&gt;=SUM($D$47:T47),1,0)</f>
        <v>1</v>
      </c>
      <c r="U48" s="1092">
        <f>IF((25-ARBETSBLAD!$L$4)&gt;=SUM($D$47:U47),1,0)</f>
        <v>1</v>
      </c>
      <c r="V48" s="1092">
        <f>IF((25-ARBETSBLAD!$L$4)&gt;=SUM($D$47:V47),1,0)</f>
        <v>1</v>
      </c>
      <c r="W48" s="1092">
        <f>IF((25-ARBETSBLAD!$L$4)&gt;=SUM($D$47:W47),1,0)</f>
        <v>1</v>
      </c>
      <c r="X48" s="1092">
        <f>IF((25-ARBETSBLAD!$L$4)&gt;=SUM($D$47:X47),1,0)</f>
        <v>1</v>
      </c>
      <c r="Y48" s="1092">
        <f>IF((25-ARBETSBLAD!$L$4)&gt;=SUM($D$47:Y47),1,0)</f>
        <v>1</v>
      </c>
      <c r="Z48" s="1092">
        <f>IF((25-ARBETSBLAD!$L$4)&gt;=SUM($D$47:Z47),1,0)</f>
        <v>1</v>
      </c>
      <c r="AA48" s="1092">
        <f>IF((25-ARBETSBLAD!$L$4)&gt;=SUM($D$47:AA47),1,0)</f>
        <v>1</v>
      </c>
      <c r="AB48" s="1092">
        <f>IF((25-ARBETSBLAD!$L$4)&gt;=SUM($D$47:AB47),1,0)</f>
        <v>0</v>
      </c>
      <c r="AC48" s="1492"/>
    </row>
    <row r="49" spans="2:29">
      <c r="B49" s="2"/>
      <c r="C49" s="1090"/>
      <c r="D49" s="1739"/>
      <c r="E49" s="1739"/>
      <c r="F49" s="1739"/>
      <c r="G49" s="1739"/>
      <c r="H49" s="1739"/>
      <c r="I49" s="1739"/>
      <c r="J49" s="1739"/>
      <c r="K49" s="1492"/>
      <c r="L49" s="1492"/>
      <c r="M49" s="1492"/>
      <c r="N49" s="1492"/>
      <c r="O49" s="1492"/>
      <c r="P49" s="1492"/>
      <c r="Q49" s="1492"/>
      <c r="R49" s="1328"/>
      <c r="S49" s="1328"/>
      <c r="T49" s="1328"/>
      <c r="U49" s="1328"/>
      <c r="V49" s="1328"/>
      <c r="W49" s="1328"/>
      <c r="X49" s="1328"/>
      <c r="Y49" s="1328"/>
      <c r="Z49" s="1328"/>
      <c r="AA49" s="1328"/>
      <c r="AB49" s="1328"/>
      <c r="AC49" s="1492"/>
    </row>
    <row r="50" spans="2:29">
      <c r="B50" s="2"/>
      <c r="C50" s="1090"/>
      <c r="D50" s="1739"/>
      <c r="E50" s="1739"/>
      <c r="F50" s="1739"/>
      <c r="G50" s="1739"/>
      <c r="H50" s="1739"/>
      <c r="I50" s="1739"/>
      <c r="J50" s="1739"/>
      <c r="K50" s="1492"/>
      <c r="L50" s="1492"/>
      <c r="M50" s="1492"/>
      <c r="N50" s="1492"/>
      <c r="O50" s="1492"/>
      <c r="P50" s="1492"/>
      <c r="Q50" s="1492"/>
      <c r="R50" s="1328"/>
      <c r="S50" s="1328"/>
      <c r="T50" s="1328"/>
      <c r="U50" s="1328"/>
      <c r="V50" s="1328"/>
      <c r="W50" s="1328"/>
      <c r="X50" s="1328"/>
      <c r="Y50" s="1328"/>
      <c r="Z50" s="1328"/>
      <c r="AA50" s="1328"/>
      <c r="AB50" s="1328"/>
      <c r="AC50" s="1492"/>
    </row>
    <row r="51" spans="2:29">
      <c r="B51" s="2"/>
      <c r="C51" s="1090"/>
      <c r="D51" s="1739"/>
      <c r="E51" s="1739"/>
      <c r="F51" s="1739"/>
      <c r="G51" s="1739"/>
      <c r="H51" s="1739"/>
      <c r="I51" s="1739"/>
      <c r="J51" s="1739"/>
      <c r="K51" s="1492"/>
      <c r="L51" s="1492"/>
      <c r="M51" s="1492"/>
      <c r="N51" s="1492"/>
      <c r="O51" s="1492"/>
      <c r="P51" s="1492"/>
      <c r="Q51" s="1492"/>
      <c r="R51" s="1328"/>
      <c r="S51" s="1328"/>
      <c r="T51" s="1328"/>
      <c r="U51" s="1328"/>
      <c r="V51" s="1328"/>
      <c r="W51" s="1328"/>
      <c r="X51" s="1328"/>
      <c r="Y51" s="1328"/>
      <c r="Z51" s="1328"/>
      <c r="AA51" s="1328"/>
      <c r="AB51" s="1328"/>
      <c r="AC51" s="1492"/>
    </row>
  </sheetData>
  <sheetProtection algorithmName="SHA-512" hashValue="Yqw6xk3lc9x9e8ri7t7TzB7mxQ/+ArbaAdQ/X0Pe/1dSo+76KdaJqwvRWl3DXiIrF/jC8wy9mEfRw6lGu4kFjQ==" saltValue="nBgRAtgg3OMkRxETmLpXmQ==" spinCount="100000" sheet="1" scenarios="1" formatCells="0" formatColumns="0" formatRows="0"/>
  <mergeCells count="51">
    <mergeCell ref="Z2:Z3"/>
    <mergeCell ref="AA2:AA3"/>
    <mergeCell ref="U2:U3"/>
    <mergeCell ref="V2:V3"/>
    <mergeCell ref="W2:W3"/>
    <mergeCell ref="X2:X3"/>
    <mergeCell ref="Y2:Y3"/>
    <mergeCell ref="P2:P3"/>
    <mergeCell ref="Q2:Q3"/>
    <mergeCell ref="R2:R3"/>
    <mergeCell ref="S2:S3"/>
    <mergeCell ref="T2:T3"/>
    <mergeCell ref="K2:K3"/>
    <mergeCell ref="L2:L3"/>
    <mergeCell ref="M2:M3"/>
    <mergeCell ref="N2:N3"/>
    <mergeCell ref="O2:O3"/>
    <mergeCell ref="F2:F3"/>
    <mergeCell ref="G2:G3"/>
    <mergeCell ref="H2:H3"/>
    <mergeCell ref="I2:I3"/>
    <mergeCell ref="J2:J3"/>
    <mergeCell ref="B1:C1"/>
    <mergeCell ref="B2:B3"/>
    <mergeCell ref="D4:D5"/>
    <mergeCell ref="E4:E5"/>
    <mergeCell ref="D2:D3"/>
    <mergeCell ref="E2:E3"/>
    <mergeCell ref="B4:B5"/>
    <mergeCell ref="F4:F5"/>
    <mergeCell ref="G4:G5"/>
    <mergeCell ref="H4:H5"/>
    <mergeCell ref="I4:I5"/>
    <mergeCell ref="J4:J5"/>
    <mergeCell ref="K4:K5"/>
    <mergeCell ref="L4:L5"/>
    <mergeCell ref="N4:N5"/>
    <mergeCell ref="M4:M5"/>
    <mergeCell ref="O4:O5"/>
    <mergeCell ref="P4:P5"/>
    <mergeCell ref="Q4:Q5"/>
    <mergeCell ref="R4:R5"/>
    <mergeCell ref="S4:S5"/>
    <mergeCell ref="T4:T5"/>
    <mergeCell ref="Z4:Z5"/>
    <mergeCell ref="AA4:AA5"/>
    <mergeCell ref="U4:U5"/>
    <mergeCell ref="V4:V5"/>
    <mergeCell ref="W4:W5"/>
    <mergeCell ref="X4:X5"/>
    <mergeCell ref="Y4:Y5"/>
  </mergeCells>
  <dataValidations xWindow="1071" yWindow="376" count="1">
    <dataValidation allowBlank="1" showInputMessage="1" showErrorMessage="1" promptTitle="Formelcell" prompt="Budgetera på fliken ARBETSBLAD" sqref="D2:AC45"/>
  </dataValidations>
  <printOptions horizontalCentered="1" verticalCentered="1"/>
  <pageMargins left="0.31496062992125984" right="0.31496062992125984" top="0.27559055118110237" bottom="0.27559055118110237" header="0.11811023622047245" footer="0.35433070866141736"/>
  <pageSetup paperSize="9" orientation="landscape" horizontalDpi="4294967295" verticalDpi="4294967295" r:id="rId1"/>
  <headerFooter alignWithMargins="0">
    <oddFooter>&amp;C&amp;"Arial Narrow,Normal"&amp;8© Almi Företagspartner AB 2016-04-18</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9"/>
  <sheetViews>
    <sheetView showGridLines="0" showZeros="0" zoomScaleNormal="100" workbookViewId="0"/>
  </sheetViews>
  <sheetFormatPr defaultColWidth="9.109375" defaultRowHeight="13.2"/>
  <cols>
    <col min="1" max="1" width="1" style="1094" customWidth="1"/>
    <col min="2" max="2" width="0.6640625" style="1094" customWidth="1"/>
    <col min="3" max="3" width="18.44140625" style="1094" customWidth="1"/>
    <col min="4" max="4" width="23.33203125" style="1094" customWidth="1"/>
    <col min="5" max="5" width="0.6640625" style="1058" customWidth="1"/>
    <col min="6" max="6" width="12" style="1094" hidden="1" customWidth="1"/>
    <col min="7" max="7" width="0.6640625" style="1094" hidden="1" customWidth="1"/>
    <col min="8" max="8" width="12" style="1094" customWidth="1"/>
    <col min="9" max="9" width="0.6640625" style="1094" customWidth="1"/>
    <col min="10" max="10" width="12" style="1094" customWidth="1"/>
    <col min="11" max="11" width="12.5546875" style="1094" customWidth="1"/>
    <col min="12" max="12" width="9.109375" style="1058"/>
    <col min="13" max="16384" width="9.109375" style="1094"/>
  </cols>
  <sheetData>
    <row r="1" spans="1:16" s="2063" customFormat="1" ht="15.6" customHeight="1">
      <c r="B1" s="2134"/>
      <c r="C1" s="2475" t="s">
        <v>1013</v>
      </c>
      <c r="D1" s="2132"/>
      <c r="E1" s="2132"/>
      <c r="F1" s="2132"/>
      <c r="G1" s="2132"/>
      <c r="H1" s="2132"/>
      <c r="I1" s="2132"/>
      <c r="J1" s="2133"/>
      <c r="K1" s="2398"/>
      <c r="L1" s="2399" t="str">
        <f>IF(AND(SUM(ARBETSBLAD!I11:T14)=0,SUM(ARBETSBLAD!I37:T40)=0),"All budgetering görs på fliken ARBETSBLAD!","")</f>
        <v>All budgetering görs på fliken ARBETSBLAD!</v>
      </c>
      <c r="M1" s="2398"/>
      <c r="N1" s="2398"/>
      <c r="O1" s="2398"/>
      <c r="P1" s="2398"/>
    </row>
    <row r="2" spans="1:16" s="1058" customFormat="1" ht="10.5" customHeight="1">
      <c r="A2" s="12"/>
      <c r="B2" s="1145"/>
      <c r="C2" s="3083" t="str">
        <f>ARBETSBLAD!B7</f>
        <v>Företagsnamn</v>
      </c>
      <c r="D2" s="3083"/>
      <c r="E2" s="2064"/>
      <c r="F2" s="2064"/>
      <c r="G2" s="2065"/>
      <c r="H2" s="2117" t="str">
        <f>ARBETSBLAD!AJ2</f>
        <v>Januari</v>
      </c>
      <c r="I2" s="2066"/>
      <c r="J2" s="2117" t="str">
        <f>ARBETSBLAD!AL2</f>
        <v>Januari</v>
      </c>
      <c r="K2" s="12"/>
      <c r="L2" s="2403">
        <f>IF((SUM(H10:H25)+SUM(J10:J25))&gt;0,"Ta fram de dolda raderna 10 till 25 för att vissa investeringar i detalj!",0)</f>
        <v>0</v>
      </c>
      <c r="M2" s="6"/>
      <c r="N2" s="6"/>
      <c r="O2" s="6"/>
      <c r="P2" s="6"/>
    </row>
    <row r="3" spans="1:16" s="1058" customFormat="1" ht="10.5" customHeight="1">
      <c r="A3" s="12"/>
      <c r="B3" s="1145"/>
      <c r="C3" s="3083"/>
      <c r="D3" s="3083"/>
      <c r="E3" s="2067"/>
      <c r="F3" s="2068"/>
      <c r="G3" s="2065"/>
      <c r="H3" s="2118">
        <f>ARBETSBLAD!AJ4</f>
        <v>2016</v>
      </c>
      <c r="I3" s="2065"/>
      <c r="J3" s="2118">
        <f>ARBETSBLAD!AL4</f>
        <v>2017</v>
      </c>
      <c r="K3" s="787"/>
    </row>
    <row r="4" spans="1:16" s="1058" customFormat="1" ht="6" customHeight="1">
      <c r="A4" s="12"/>
      <c r="B4" s="1145"/>
      <c r="C4" s="2069"/>
      <c r="D4" s="2069"/>
      <c r="E4" s="2069"/>
      <c r="F4" s="2068"/>
      <c r="G4" s="2065"/>
      <c r="H4" s="2118" t="s">
        <v>1112</v>
      </c>
      <c r="I4" s="2065"/>
      <c r="J4" s="2118" t="s">
        <v>1112</v>
      </c>
      <c r="K4" s="787"/>
    </row>
    <row r="5" spans="1:16" s="1058" customFormat="1" ht="10.5" customHeight="1">
      <c r="A5" s="12"/>
      <c r="B5" s="1145"/>
      <c r="C5" s="3082" t="s">
        <v>313</v>
      </c>
      <c r="D5" s="3082"/>
      <c r="E5" s="2068"/>
      <c r="F5" s="2068"/>
      <c r="G5" s="2065"/>
      <c r="H5" s="2119" t="str">
        <f>ARBETSBLAD!AJ7</f>
        <v>December</v>
      </c>
      <c r="I5" s="2065"/>
      <c r="J5" s="2119" t="str">
        <f>ARBETSBLAD!AL7</f>
        <v>December</v>
      </c>
      <c r="K5" s="787"/>
    </row>
    <row r="6" spans="1:16" s="1058" customFormat="1" ht="11.25" customHeight="1">
      <c r="A6" s="12"/>
      <c r="B6" s="1145"/>
      <c r="C6" s="3082"/>
      <c r="D6" s="3082"/>
      <c r="E6" s="2070"/>
      <c r="F6" s="2121" t="s">
        <v>737</v>
      </c>
      <c r="G6" s="282"/>
      <c r="H6" s="2120">
        <f>ARBETSBLAD!AJ8</f>
        <v>2016</v>
      </c>
      <c r="I6" s="2071"/>
      <c r="J6" s="2120">
        <f>ARBETSBLAD!AL8</f>
        <v>2017</v>
      </c>
      <c r="K6" s="787"/>
    </row>
    <row r="7" spans="1:16" s="1058" customFormat="1" ht="2.7" customHeight="1">
      <c r="A7" s="12"/>
      <c r="B7" s="2131"/>
      <c r="C7" s="2070"/>
      <c r="D7" s="2070"/>
      <c r="E7" s="2070"/>
      <c r="F7" s="282"/>
      <c r="G7" s="282"/>
      <c r="H7" s="282"/>
      <c r="I7" s="2065"/>
      <c r="J7" s="2137"/>
      <c r="K7" s="787"/>
    </row>
    <row r="8" spans="1:16" s="1058" customFormat="1" ht="12" customHeight="1">
      <c r="A8" s="12"/>
      <c r="B8" s="1097"/>
      <c r="C8" s="1098" t="s">
        <v>118</v>
      </c>
      <c r="D8" s="1099"/>
      <c r="E8" s="1107"/>
      <c r="F8" s="2085"/>
      <c r="G8" s="2086"/>
      <c r="H8" s="2085"/>
      <c r="I8" s="2087"/>
      <c r="J8" s="2085"/>
      <c r="K8" s="787"/>
    </row>
    <row r="9" spans="1:16" s="1058" customFormat="1" ht="12" customHeight="1">
      <c r="A9" s="1252"/>
      <c r="B9" s="613"/>
      <c r="C9" s="1697" t="s">
        <v>319</v>
      </c>
      <c r="D9" s="1100"/>
      <c r="E9" s="1109"/>
      <c r="F9" s="1101">
        <f>fx!C431+fx!C432</f>
        <v>0</v>
      </c>
      <c r="G9" s="2086"/>
      <c r="H9" s="1102">
        <f>F30</f>
        <v>0</v>
      </c>
      <c r="I9" s="2087"/>
      <c r="J9" s="1102">
        <f>IF(fx!C57=2,0,H30)</f>
        <v>0</v>
      </c>
      <c r="K9" s="787"/>
    </row>
    <row r="10" spans="1:16" s="1058" customFormat="1" ht="12" hidden="1" customHeight="1">
      <c r="A10" s="1252"/>
      <c r="B10" s="2382"/>
      <c r="C10" s="1103" t="str">
        <f>ARBETSBLAD!B138</f>
        <v>Balanserade kostnader</v>
      </c>
      <c r="D10" s="2383"/>
      <c r="E10" s="1109"/>
      <c r="F10" s="1101"/>
      <c r="G10" s="2086"/>
      <c r="H10" s="2394">
        <f>ARBETSBLAD!AJ138</f>
        <v>0</v>
      </c>
      <c r="I10" s="2087"/>
      <c r="J10" s="2394">
        <f>ARBETSBLAD!AL138</f>
        <v>0</v>
      </c>
      <c r="K10" s="787"/>
    </row>
    <row r="11" spans="1:16" s="1058" customFormat="1" ht="12" hidden="1" customHeight="1">
      <c r="A11" s="1252"/>
      <c r="B11" s="613"/>
      <c r="C11" s="1103" t="str">
        <f>ARBETSBLAD!B139</f>
        <v>Patent o.dyl. Goodwill</v>
      </c>
      <c r="D11" s="1104"/>
      <c r="E11" s="1103"/>
      <c r="F11" s="244"/>
      <c r="G11" s="2086"/>
      <c r="H11" s="2395">
        <f>ARBETSBLAD!AJ139</f>
        <v>0</v>
      </c>
      <c r="I11" s="2087"/>
      <c r="J11" s="2395">
        <f>ARBETSBLAD!AL139</f>
        <v>0</v>
      </c>
      <c r="K11" s="787"/>
    </row>
    <row r="12" spans="1:16" s="1058" customFormat="1" ht="12" hidden="1" customHeight="1">
      <c r="A12" s="1252"/>
      <c r="B12" s="613"/>
      <c r="C12" s="1103" t="str">
        <f>ARBETSBLAD!B140</f>
        <v>Anskaffn o iordningställande av lokal</v>
      </c>
      <c r="D12" s="1104"/>
      <c r="E12" s="1103"/>
      <c r="F12" s="244"/>
      <c r="G12" s="2086"/>
      <c r="H12" s="2396">
        <f>ARBETSBLAD!AJ140</f>
        <v>0</v>
      </c>
      <c r="I12" s="2087"/>
      <c r="J12" s="2396">
        <f>ARBETSBLAD!AL140</f>
        <v>0</v>
      </c>
      <c r="K12" s="1093"/>
    </row>
    <row r="13" spans="1:16" s="1058" customFormat="1" ht="12" hidden="1" customHeight="1">
      <c r="A13" s="1252"/>
      <c r="B13" s="613"/>
      <c r="C13" s="1103" t="str">
        <f>ARBETSBLAD!B141</f>
        <v>Maskiner, utrustning, installation</v>
      </c>
      <c r="D13" s="1104"/>
      <c r="E13" s="1103"/>
      <c r="F13" s="244"/>
      <c r="G13" s="2086"/>
      <c r="H13" s="2396">
        <f>ARBETSBLAD!AJ141</f>
        <v>0</v>
      </c>
      <c r="I13" s="2087"/>
      <c r="J13" s="2396">
        <f>ARBETSBLAD!AL141</f>
        <v>0</v>
      </c>
      <c r="K13" s="787"/>
    </row>
    <row r="14" spans="1:16" s="1058" customFormat="1" ht="12" hidden="1" customHeight="1">
      <c r="A14" s="1252"/>
      <c r="B14" s="613"/>
      <c r="C14" s="1103" t="str">
        <f>ARBETSBLAD!B142</f>
        <v>Övriga inventarier</v>
      </c>
      <c r="D14" s="1104"/>
      <c r="E14" s="1103"/>
      <c r="F14" s="244"/>
      <c r="G14" s="2086"/>
      <c r="H14" s="2396">
        <f>ARBETSBLAD!AJ142</f>
        <v>0</v>
      </c>
      <c r="I14" s="2087"/>
      <c r="J14" s="2396">
        <f>ARBETSBLAD!AL142</f>
        <v>0</v>
      </c>
      <c r="K14" s="787"/>
    </row>
    <row r="15" spans="1:16" s="1058" customFormat="1" ht="12" hidden="1" customHeight="1">
      <c r="A15" s="1252"/>
      <c r="B15" s="613"/>
      <c r="C15" s="1103" t="str">
        <f>ARBETSBLAD!B143</f>
        <v>Skylt, reklammaterial i starten</v>
      </c>
      <c r="D15" s="1104"/>
      <c r="E15" s="1103"/>
      <c r="F15" s="244"/>
      <c r="G15" s="2086"/>
      <c r="H15" s="2396">
        <f>ARBETSBLAD!AJ143</f>
        <v>0</v>
      </c>
      <c r="I15" s="2087"/>
      <c r="J15" s="2396">
        <f>ARBETSBLAD!AL143</f>
        <v>0</v>
      </c>
      <c r="K15" s="27"/>
    </row>
    <row r="16" spans="1:16" s="1058" customFormat="1" ht="12" hidden="1" customHeight="1">
      <c r="A16" s="1252"/>
      <c r="B16" s="613"/>
      <c r="C16" s="1103" t="str">
        <f>ARBETSBLAD!B144</f>
        <v>Andra anläggningstillgångar 1</v>
      </c>
      <c r="D16" s="1104"/>
      <c r="E16" s="1103"/>
      <c r="F16" s="244"/>
      <c r="G16" s="2086"/>
      <c r="H16" s="2396">
        <f>ARBETSBLAD!AJ144</f>
        <v>0</v>
      </c>
      <c r="I16" s="2087"/>
      <c r="J16" s="2396">
        <f>ARBETSBLAD!AL144</f>
        <v>0</v>
      </c>
      <c r="K16" s="787"/>
    </row>
    <row r="17" spans="1:11" s="1058" customFormat="1" ht="12" hidden="1" customHeight="1">
      <c r="A17" s="1252"/>
      <c r="B17" s="2382"/>
      <c r="C17" s="1103" t="str">
        <f>ARBETSBLAD!B145</f>
        <v>Andra anläggningstillgångar 2</v>
      </c>
      <c r="D17" s="2384"/>
      <c r="E17" s="1103"/>
      <c r="F17" s="244"/>
      <c r="G17" s="2086"/>
      <c r="H17" s="2396">
        <f>ARBETSBLAD!AJ145</f>
        <v>0</v>
      </c>
      <c r="I17" s="2087"/>
      <c r="J17" s="2396">
        <f>ARBETSBLAD!AL145</f>
        <v>0</v>
      </c>
    </row>
    <row r="18" spans="1:11" s="1058" customFormat="1" ht="12" hidden="1" customHeight="1">
      <c r="A18" s="1252"/>
      <c r="B18" s="2382"/>
      <c r="C18" s="1103" t="str">
        <f>ARBETSBLAD!B146</f>
        <v>Andra anläggningstillgångar 3</v>
      </c>
      <c r="D18" s="2384"/>
      <c r="E18" s="1103"/>
      <c r="F18" s="244"/>
      <c r="G18" s="2086"/>
      <c r="H18" s="2396">
        <f>ARBETSBLAD!AJ146</f>
        <v>0</v>
      </c>
      <c r="I18" s="2087"/>
      <c r="J18" s="2396">
        <f>ARBETSBLAD!AL146</f>
        <v>0</v>
      </c>
      <c r="K18" s="787"/>
    </row>
    <row r="19" spans="1:11" s="1058" customFormat="1" ht="12" hidden="1" customHeight="1">
      <c r="A19" s="2348"/>
      <c r="B19" s="2382"/>
      <c r="C19" s="1103" t="str">
        <f>ARBETSBLAD!B147</f>
        <v>Andra anläggningstillgångar 4</v>
      </c>
      <c r="D19" s="2384"/>
      <c r="E19" s="1103"/>
      <c r="F19" s="244"/>
      <c r="G19" s="2086"/>
      <c r="H19" s="2396">
        <f>ARBETSBLAD!AJ147</f>
        <v>0</v>
      </c>
      <c r="I19" s="2087"/>
      <c r="J19" s="2396">
        <f>ARBETSBLAD!AL147</f>
        <v>0</v>
      </c>
      <c r="K19" s="787"/>
    </row>
    <row r="20" spans="1:11" s="1058" customFormat="1" ht="12" hidden="1" customHeight="1">
      <c r="A20" s="2348"/>
      <c r="B20" s="2382"/>
      <c r="C20" s="1103" t="str">
        <f>ARBETSBLAD!B148</f>
        <v>Andra anläggningstillgångar 5</v>
      </c>
      <c r="D20" s="2384"/>
      <c r="E20" s="1103"/>
      <c r="F20" s="244"/>
      <c r="G20" s="2086"/>
      <c r="H20" s="2396">
        <f>ARBETSBLAD!AJ148</f>
        <v>0</v>
      </c>
      <c r="I20" s="2087"/>
      <c r="J20" s="2396">
        <f>ARBETSBLAD!AL148</f>
        <v>0</v>
      </c>
      <c r="K20" s="787"/>
    </row>
    <row r="21" spans="1:11" s="1058" customFormat="1" ht="12" hidden="1" customHeight="1">
      <c r="A21" s="2348"/>
      <c r="B21" s="2382"/>
      <c r="C21" s="1103" t="str">
        <f>ARBETSBLAD!B149</f>
        <v>Andra anläggningstillgångar 6</v>
      </c>
      <c r="D21" s="2384"/>
      <c r="E21" s="1103"/>
      <c r="F21" s="244"/>
      <c r="G21" s="2086"/>
      <c r="H21" s="2396">
        <f>ARBETSBLAD!AJ149</f>
        <v>0</v>
      </c>
      <c r="I21" s="2087"/>
      <c r="J21" s="2396">
        <f>ARBETSBLAD!AL149</f>
        <v>0</v>
      </c>
      <c r="K21" s="787"/>
    </row>
    <row r="22" spans="1:11" s="1058" customFormat="1" ht="12" hidden="1" customHeight="1">
      <c r="A22" s="2348"/>
      <c r="B22" s="2382"/>
      <c r="C22" s="1103" t="str">
        <f>ARBETSBLAD!B150</f>
        <v>Andra anläggningstillgångar 7</v>
      </c>
      <c r="D22" s="2384"/>
      <c r="E22" s="1103"/>
      <c r="F22" s="244"/>
      <c r="G22" s="2086"/>
      <c r="H22" s="2396">
        <f>ARBETSBLAD!AJ150</f>
        <v>0</v>
      </c>
      <c r="I22" s="2087"/>
      <c r="J22" s="2396">
        <f>ARBETSBLAD!AL150</f>
        <v>0</v>
      </c>
      <c r="K22" s="787"/>
    </row>
    <row r="23" spans="1:11" s="1058" customFormat="1" ht="12" hidden="1" customHeight="1">
      <c r="A23" s="2348"/>
      <c r="B23" s="2382"/>
      <c r="C23" s="1103" t="str">
        <f>ARBETSBLAD!B151</f>
        <v>Andra anläggningstillgångar 8</v>
      </c>
      <c r="D23" s="2384"/>
      <c r="E23" s="1103"/>
      <c r="F23" s="244"/>
      <c r="G23" s="2086"/>
      <c r="H23" s="2396">
        <f>ARBETSBLAD!AJ151</f>
        <v>0</v>
      </c>
      <c r="I23" s="2087"/>
      <c r="J23" s="2396">
        <f>ARBETSBLAD!AL151</f>
        <v>0</v>
      </c>
      <c r="K23" s="787"/>
    </row>
    <row r="24" spans="1:11" s="1058" customFormat="1" ht="12" hidden="1" customHeight="1">
      <c r="A24" s="2348"/>
      <c r="B24" s="2382"/>
      <c r="C24" s="1103" t="str">
        <f>ARBETSBLAD!B152</f>
        <v>Andra anläggningstillgångar 9</v>
      </c>
      <c r="D24" s="2384"/>
      <c r="E24" s="1103"/>
      <c r="F24" s="244"/>
      <c r="G24" s="2086"/>
      <c r="H24" s="2396">
        <f>ARBETSBLAD!AJ152</f>
        <v>0</v>
      </c>
      <c r="I24" s="2087"/>
      <c r="J24" s="2396">
        <f>ARBETSBLAD!AL152</f>
        <v>0</v>
      </c>
      <c r="K24" s="787"/>
    </row>
    <row r="25" spans="1:11" s="1058" customFormat="1" ht="12" hidden="1" customHeight="1">
      <c r="A25" s="1254"/>
      <c r="B25" s="613"/>
      <c r="C25" s="1103" t="str">
        <f>ARBETSBLAD!B153</f>
        <v>Andra anläggningstillgångar 10</v>
      </c>
      <c r="D25" s="1104"/>
      <c r="E25" s="1103"/>
      <c r="F25" s="244"/>
      <c r="G25" s="2086"/>
      <c r="H25" s="2402">
        <f>ARBETSBLAD!AJ153</f>
        <v>0</v>
      </c>
      <c r="I25" s="2088"/>
      <c r="J25" s="2402">
        <f>ARBETSBLAD!AL153</f>
        <v>0</v>
      </c>
      <c r="K25" s="1094"/>
    </row>
    <row r="26" spans="1:11" s="1058" customFormat="1" ht="12" customHeight="1">
      <c r="A26" s="1254"/>
      <c r="B26" s="2382"/>
      <c r="C26" s="1103" t="s">
        <v>1306</v>
      </c>
      <c r="D26" s="2384"/>
      <c r="E26" s="1103"/>
      <c r="F26" s="244"/>
      <c r="G26" s="2086"/>
      <c r="H26" s="2401">
        <f>SUM(H10:H25)</f>
        <v>0</v>
      </c>
      <c r="I26" s="177"/>
      <c r="J26" s="2401">
        <f>SUM(J10:J25)</f>
        <v>0</v>
      </c>
      <c r="K26" s="1094"/>
    </row>
    <row r="27" spans="1:11" s="1058" customFormat="1" ht="12" customHeight="1">
      <c r="A27" s="12"/>
      <c r="B27" s="613"/>
      <c r="C27" s="1103" t="s">
        <v>1307</v>
      </c>
      <c r="D27" s="1104"/>
      <c r="E27" s="1103"/>
      <c r="F27" s="244"/>
      <c r="G27" s="2086"/>
      <c r="H27" s="244">
        <f>ARBETSBLAD!AJ155</f>
        <v>0</v>
      </c>
      <c r="I27" s="2087"/>
      <c r="J27" s="2397">
        <f>ARBETSBLAD!AL155</f>
        <v>0</v>
      </c>
      <c r="K27" s="1094"/>
    </row>
    <row r="28" spans="1:11" s="1058" customFormat="1" ht="12" customHeight="1">
      <c r="A28" s="12"/>
      <c r="B28" s="613"/>
      <c r="C28" s="1103" t="s">
        <v>317</v>
      </c>
      <c r="D28" s="1104"/>
      <c r="E28" s="1103"/>
      <c r="F28" s="244"/>
      <c r="G28" s="2086"/>
      <c r="H28" s="1105">
        <f>H9+H26+H27</f>
        <v>0</v>
      </c>
      <c r="I28" s="2087"/>
      <c r="J28" s="1105">
        <f>J9+J26+J27</f>
        <v>0</v>
      </c>
      <c r="K28" s="1094"/>
    </row>
    <row r="29" spans="1:11" s="1058" customFormat="1" ht="12" customHeight="1">
      <c r="A29" s="12"/>
      <c r="B29" s="613"/>
      <c r="C29" s="1103" t="s">
        <v>316</v>
      </c>
      <c r="D29" s="1104"/>
      <c r="E29" s="1103"/>
      <c r="F29" s="174"/>
      <c r="G29" s="2086"/>
      <c r="H29" s="243">
        <f>ARBETSBLAD!AJ156</f>
        <v>0</v>
      </c>
      <c r="I29" s="2087"/>
      <c r="J29" s="243">
        <f>ARBETSBLAD!AL156</f>
        <v>0</v>
      </c>
      <c r="K29" s="1094"/>
    </row>
    <row r="30" spans="1:11" s="1058" customFormat="1" ht="12" customHeight="1">
      <c r="A30" s="12"/>
      <c r="B30" s="613"/>
      <c r="C30" s="1103" t="s">
        <v>318</v>
      </c>
      <c r="D30" s="1104"/>
      <c r="E30" s="1103"/>
      <c r="F30" s="1106">
        <f>F9</f>
        <v>0</v>
      </c>
      <c r="G30" s="2086"/>
      <c r="H30" s="1106">
        <f>H28-H29</f>
        <v>0</v>
      </c>
      <c r="I30" s="177"/>
      <c r="J30" s="1106">
        <f>J28-J29</f>
        <v>0</v>
      </c>
      <c r="K30" s="1094"/>
    </row>
    <row r="31" spans="1:11" s="1058" customFormat="1" ht="12" customHeight="1">
      <c r="A31" s="12"/>
      <c r="B31" s="613"/>
      <c r="C31" s="1107" t="s">
        <v>127</v>
      </c>
      <c r="D31" s="1108"/>
      <c r="E31" s="1107"/>
      <c r="F31" s="2089"/>
      <c r="G31" s="2086"/>
      <c r="H31" s="2089"/>
      <c r="I31" s="177"/>
      <c r="J31" s="2089"/>
      <c r="K31" s="1094"/>
    </row>
    <row r="32" spans="1:11" s="1058" customFormat="1" ht="12" customHeight="1">
      <c r="A32" s="12"/>
      <c r="B32" s="613"/>
      <c r="C32" s="1109" t="s">
        <v>128</v>
      </c>
      <c r="D32" s="1100"/>
      <c r="E32" s="1109"/>
      <c r="F32" s="244">
        <f>fx!C433</f>
        <v>0</v>
      </c>
      <c r="G32" s="2086"/>
      <c r="H32" s="187">
        <f>ARBETSBLAD!AJ85</f>
        <v>0</v>
      </c>
      <c r="I32" s="2087"/>
      <c r="J32" s="187">
        <f>ARBETSBLAD!AL85</f>
        <v>0</v>
      </c>
      <c r="K32" s="1094"/>
    </row>
    <row r="33" spans="1:11" s="1058" customFormat="1" ht="12" customHeight="1">
      <c r="A33" s="12"/>
      <c r="B33" s="613"/>
      <c r="C33" s="202" t="s">
        <v>1147</v>
      </c>
      <c r="D33" s="610"/>
      <c r="E33" s="202"/>
      <c r="F33" s="244">
        <f>fx!C434</f>
        <v>0</v>
      </c>
      <c r="G33" s="2086"/>
      <c r="H33" s="188">
        <f>ARBETSBLAD!AJ204</f>
        <v>0</v>
      </c>
      <c r="I33" s="2087"/>
      <c r="J33" s="188">
        <f>ARBETSBLAD!AL204</f>
        <v>0</v>
      </c>
      <c r="K33" s="1094"/>
    </row>
    <row r="34" spans="1:11" s="1058" customFormat="1" ht="12" customHeight="1">
      <c r="A34" s="12"/>
      <c r="B34" s="613"/>
      <c r="C34" s="1109" t="s">
        <v>226</v>
      </c>
      <c r="D34" s="1100"/>
      <c r="E34" s="1109"/>
      <c r="F34" s="244">
        <f>fx!C436</f>
        <v>0</v>
      </c>
      <c r="G34" s="2086"/>
      <c r="H34" s="188">
        <f ca="1">ARBETSBLAD!AJ205</f>
        <v>0</v>
      </c>
      <c r="I34" s="2087"/>
      <c r="J34" s="188">
        <f ca="1">ARBETSBLAD!AL205</f>
        <v>0</v>
      </c>
      <c r="K34" s="1094"/>
    </row>
    <row r="35" spans="1:11" s="1058" customFormat="1" ht="12" customHeight="1">
      <c r="A35" s="12"/>
      <c r="B35" s="613"/>
      <c r="C35" s="202" t="s">
        <v>181</v>
      </c>
      <c r="D35" s="610"/>
      <c r="E35" s="202"/>
      <c r="F35" s="244">
        <f>fx!C437</f>
        <v>0</v>
      </c>
      <c r="G35" s="2086"/>
      <c r="H35" s="188">
        <f ca="1">ARBETSBLAD!AJ206</f>
        <v>0</v>
      </c>
      <c r="I35" s="2087"/>
      <c r="J35" s="188">
        <f ca="1">ARBETSBLAD!AL206</f>
        <v>0</v>
      </c>
      <c r="K35" s="1094"/>
    </row>
    <row r="36" spans="1:11" s="1058" customFormat="1" ht="12" customHeight="1">
      <c r="A36" s="12"/>
      <c r="B36" s="613"/>
      <c r="C36" s="202" t="s">
        <v>320</v>
      </c>
      <c r="D36" s="610"/>
      <c r="E36" s="202"/>
      <c r="F36" s="174"/>
      <c r="G36" s="2086"/>
      <c r="H36" s="243">
        <f ca="1">IF(fx!AH414&lt;0,-fx!AH414,0)</f>
        <v>0</v>
      </c>
      <c r="I36" s="2087"/>
      <c r="J36" s="243">
        <f ca="1">IF(fx!C57=2,0,IF(fx!AJ414&lt;0,-fx!AJ414,0))</f>
        <v>0</v>
      </c>
      <c r="K36" s="1094"/>
    </row>
    <row r="37" spans="1:11" s="1058" customFormat="1" ht="12" customHeight="1">
      <c r="A37" s="12"/>
      <c r="B37" s="613"/>
      <c r="C37" s="1107" t="s">
        <v>131</v>
      </c>
      <c r="D37" s="1108"/>
      <c r="E37" s="1107"/>
      <c r="F37" s="1110">
        <f>SUM(F32:F36)</f>
        <v>0</v>
      </c>
      <c r="G37" s="2086"/>
      <c r="H37" s="1110">
        <f ca="1">SUM(H32:H36)</f>
        <v>0</v>
      </c>
      <c r="I37" s="2087"/>
      <c r="J37" s="1110">
        <f ca="1">SUM(J32:J36)</f>
        <v>0</v>
      </c>
      <c r="K37" s="1094"/>
    </row>
    <row r="38" spans="1:11" s="1058" customFormat="1" ht="12" customHeight="1" thickBot="1">
      <c r="A38" s="12"/>
      <c r="B38" s="611"/>
      <c r="C38" s="1111" t="s">
        <v>133</v>
      </c>
      <c r="D38" s="1112"/>
      <c r="E38" s="1107"/>
      <c r="F38" s="2072">
        <f>F30+F37</f>
        <v>0</v>
      </c>
      <c r="G38" s="2086"/>
      <c r="H38" s="2072" t="str">
        <f ca="1">IF(H30+H37=0,"0",H30+H37)</f>
        <v>0</v>
      </c>
      <c r="I38" s="2087"/>
      <c r="J38" s="2072" t="str">
        <f ca="1">IF(J30+J37=0,"0",J30+J37)</f>
        <v>0</v>
      </c>
      <c r="K38" s="1094"/>
    </row>
    <row r="39" spans="1:11" s="1058" customFormat="1" ht="16.95" customHeight="1" thickTop="1">
      <c r="A39" s="1113"/>
      <c r="B39" s="2136"/>
      <c r="C39" s="2070" t="s">
        <v>312</v>
      </c>
      <c r="D39" s="2070"/>
      <c r="E39" s="2070"/>
      <c r="F39" s="1123"/>
      <c r="G39" s="2111"/>
      <c r="H39" s="1123"/>
      <c r="I39" s="1123"/>
      <c r="J39" s="2135"/>
      <c r="K39" s="1094"/>
    </row>
    <row r="40" spans="1:11" s="1058" customFormat="1" ht="12" customHeight="1">
      <c r="A40" s="1113"/>
      <c r="B40" s="1097"/>
      <c r="C40" s="2073" t="s">
        <v>119</v>
      </c>
      <c r="D40" s="2074"/>
      <c r="E40" s="2075"/>
      <c r="F40" s="2090"/>
      <c r="G40" s="2091"/>
      <c r="H40" s="2090"/>
      <c r="I40" s="2092"/>
      <c r="J40" s="2090"/>
      <c r="K40" s="1094"/>
    </row>
    <row r="41" spans="1:11" s="1058" customFormat="1" ht="12" customHeight="1">
      <c r="A41" s="1113"/>
      <c r="B41" s="613"/>
      <c r="C41" s="2076" t="s">
        <v>325</v>
      </c>
      <c r="D41" s="2077"/>
      <c r="E41" s="2078"/>
      <c r="F41" s="2093">
        <f>ARBETSBLAD!E208+ARBETSBLAD!E209</f>
        <v>0</v>
      </c>
      <c r="G41" s="2091"/>
      <c r="H41" s="2094">
        <f>F46</f>
        <v>0</v>
      </c>
      <c r="I41" s="2092"/>
      <c r="J41" s="2095">
        <f ca="1">IF(fx!C57=2,"",H46)</f>
        <v>0</v>
      </c>
      <c r="K41" s="1094"/>
    </row>
    <row r="42" spans="1:11" s="1058" customFormat="1" ht="12" customHeight="1">
      <c r="A42" s="1113"/>
      <c r="B42" s="613"/>
      <c r="C42" s="2078" t="s">
        <v>831</v>
      </c>
      <c r="D42" s="2077"/>
      <c r="E42" s="2078"/>
      <c r="F42" s="2096"/>
      <c r="G42" s="2091"/>
      <c r="H42" s="2095">
        <f>ARBETSBLAD!AJ164+ARBETSBLAD!AJ155</f>
        <v>0</v>
      </c>
      <c r="I42" s="2097"/>
      <c r="J42" s="2095">
        <f>ARBETSBLAD!AL164+ARBETSBLAD!AL155</f>
        <v>0</v>
      </c>
      <c r="K42" s="1094"/>
    </row>
    <row r="43" spans="1:11" s="1058" customFormat="1" ht="12" customHeight="1">
      <c r="A43" s="1113"/>
      <c r="B43" s="613"/>
      <c r="C43" s="2078" t="s">
        <v>16</v>
      </c>
      <c r="D43" s="2077"/>
      <c r="E43" s="2078"/>
      <c r="F43" s="2096"/>
      <c r="G43" s="2091"/>
      <c r="H43" s="2098">
        <f>-(ARBETSBLAD!AJ198)</f>
        <v>0</v>
      </c>
      <c r="I43" s="2097"/>
      <c r="J43" s="2098">
        <f>-(ARBETSBLAD!AL198)</f>
        <v>0</v>
      </c>
      <c r="K43" s="1094"/>
    </row>
    <row r="44" spans="1:11" s="1058" customFormat="1" ht="12" customHeight="1">
      <c r="A44" s="1113"/>
      <c r="B44" s="613"/>
      <c r="C44" s="2078" t="s">
        <v>323</v>
      </c>
      <c r="D44" s="2077"/>
      <c r="E44" s="2078"/>
      <c r="F44" s="2096"/>
      <c r="G44" s="2091"/>
      <c r="H44" s="2098">
        <f>-(ARBETSBLAD!AJ111)</f>
        <v>0</v>
      </c>
      <c r="I44" s="2097"/>
      <c r="J44" s="2098">
        <f>-(ARBETSBLAD!AL111)</f>
        <v>0</v>
      </c>
      <c r="K44" s="1094"/>
    </row>
    <row r="45" spans="1:11" s="1058" customFormat="1" ht="12" customHeight="1">
      <c r="A45" s="1113"/>
      <c r="B45" s="613"/>
      <c r="C45" s="2076" t="s">
        <v>324</v>
      </c>
      <c r="D45" s="2079"/>
      <c r="E45" s="2076"/>
      <c r="F45" s="2099"/>
      <c r="G45" s="2091"/>
      <c r="H45" s="2083">
        <f ca="1">ARBETSBLAD!AJ160</f>
        <v>0</v>
      </c>
      <c r="I45" s="2097"/>
      <c r="J45" s="2083">
        <f ca="1">ARBETSBLAD!AL160</f>
        <v>0</v>
      </c>
      <c r="K45" s="1094"/>
    </row>
    <row r="46" spans="1:11" s="1058" customFormat="1" ht="12" customHeight="1">
      <c r="A46" s="12"/>
      <c r="B46" s="613"/>
      <c r="C46" s="2075" t="s">
        <v>125</v>
      </c>
      <c r="D46" s="2080"/>
      <c r="E46" s="2075"/>
      <c r="F46" s="2084">
        <f>SUM(F41:F45)</f>
        <v>0</v>
      </c>
      <c r="G46" s="2091"/>
      <c r="H46" s="2084">
        <f ca="1">SUM(H41:H45)</f>
        <v>0</v>
      </c>
      <c r="I46" s="2100"/>
      <c r="J46" s="2084">
        <f ca="1">SUM(J41:J45)</f>
        <v>0</v>
      </c>
      <c r="K46" s="1094"/>
    </row>
    <row r="47" spans="1:11" s="1058" customFormat="1" ht="12" customHeight="1">
      <c r="A47" s="12"/>
      <c r="B47" s="613"/>
      <c r="C47" s="2075" t="s">
        <v>126</v>
      </c>
      <c r="D47" s="2080"/>
      <c r="E47" s="2075"/>
      <c r="F47" s="2101"/>
      <c r="G47" s="2091"/>
      <c r="H47" s="2101"/>
      <c r="I47" s="2092"/>
      <c r="J47" s="2101"/>
      <c r="K47" s="1094"/>
    </row>
    <row r="48" spans="1:11" s="1058" customFormat="1" ht="12" customHeight="1">
      <c r="A48" s="6"/>
      <c r="B48" s="613"/>
      <c r="C48" s="2076" t="s">
        <v>327</v>
      </c>
      <c r="D48" s="2077"/>
      <c r="E48" s="2078"/>
      <c r="F48" s="2096">
        <f>fx!C439</f>
        <v>0</v>
      </c>
      <c r="G48" s="2102"/>
      <c r="H48" s="2095">
        <f>F53</f>
        <v>0</v>
      </c>
      <c r="I48" s="2092"/>
      <c r="J48" s="2095">
        <f>IF(fx!C57=2,"",H53)</f>
        <v>0</v>
      </c>
    </row>
    <row r="49" spans="1:11" s="1058" customFormat="1" ht="12" customHeight="1">
      <c r="A49" s="6"/>
      <c r="B49" s="613"/>
      <c r="C49" s="2078" t="s">
        <v>754</v>
      </c>
      <c r="D49" s="2077"/>
      <c r="E49" s="2078"/>
      <c r="F49" s="2096"/>
      <c r="G49" s="2102"/>
      <c r="H49" s="2098">
        <f>ARBETSBLAD!AJ170+ARBETSBLAD!AJ173+ARBETSBLAD!AJ176+ARBETSBLAD!AJ179+ARBETSBLAD!AJ182</f>
        <v>0</v>
      </c>
      <c r="I49" s="2092"/>
      <c r="J49" s="2098">
        <f>ARBETSBLAD!AL170+ARBETSBLAD!AL173+ARBETSBLAD!AL176+ARBETSBLAD!AL179+ARBETSBLAD!AL182</f>
        <v>0</v>
      </c>
    </row>
    <row r="50" spans="1:11" s="1058" customFormat="1" ht="12" customHeight="1">
      <c r="A50" s="6"/>
      <c r="B50" s="613"/>
      <c r="C50" s="2076" t="s">
        <v>792</v>
      </c>
      <c r="D50" s="2077"/>
      <c r="E50" s="2078"/>
      <c r="F50" s="2096">
        <f>fx!C440</f>
        <v>0</v>
      </c>
      <c r="G50" s="2102"/>
      <c r="H50" s="2095"/>
      <c r="I50" s="2092"/>
      <c r="J50" s="2095"/>
    </row>
    <row r="51" spans="1:11" s="1058" customFormat="1" ht="12" customHeight="1">
      <c r="A51" s="6"/>
      <c r="B51" s="613"/>
      <c r="C51" s="2076" t="s">
        <v>791</v>
      </c>
      <c r="D51" s="2077"/>
      <c r="E51" s="2078"/>
      <c r="F51" s="2096"/>
      <c r="G51" s="2102"/>
      <c r="H51" s="2095">
        <f>fx!AH333</f>
        <v>0</v>
      </c>
      <c r="I51" s="2092"/>
      <c r="J51" s="2095">
        <f>fx!AJ333</f>
        <v>0</v>
      </c>
    </row>
    <row r="52" spans="1:11" s="1058" customFormat="1" ht="12" customHeight="1">
      <c r="A52" s="6"/>
      <c r="B52" s="613"/>
      <c r="C52" s="2078" t="s">
        <v>328</v>
      </c>
      <c r="D52" s="2077"/>
      <c r="E52" s="2078"/>
      <c r="F52" s="2099"/>
      <c r="G52" s="2102"/>
      <c r="H52" s="2099">
        <f>-(ARBETSBLAD!AJ171+ARBETSBLAD!AJ174+ARBETSBLAD!AJ177+ARBETSBLAD!AJ180+ARBETSBLAD!AJ183+ARBETSBLAD!AJ185)</f>
        <v>0</v>
      </c>
      <c r="I52" s="2092"/>
      <c r="J52" s="2096">
        <f>-(ARBETSBLAD!AL171+ARBETSBLAD!AL174+ARBETSBLAD!AL177+ARBETSBLAD!AL180+ARBETSBLAD!AL183+ARBETSBLAD!AL185)</f>
        <v>0</v>
      </c>
    </row>
    <row r="53" spans="1:11" s="1058" customFormat="1" ht="12" customHeight="1">
      <c r="A53" s="6"/>
      <c r="B53" s="613"/>
      <c r="C53" s="2075" t="s">
        <v>326</v>
      </c>
      <c r="D53" s="2080"/>
      <c r="E53" s="2075"/>
      <c r="F53" s="2103">
        <f>SUM(F48:F52)</f>
        <v>0</v>
      </c>
      <c r="G53" s="2091"/>
      <c r="H53" s="2103">
        <f>SUM(H48:H52)</f>
        <v>0</v>
      </c>
      <c r="I53" s="2097"/>
      <c r="J53" s="2103">
        <f>SUM(J48:J52)</f>
        <v>0</v>
      </c>
    </row>
    <row r="54" spans="1:11" s="1058" customFormat="1" ht="12" customHeight="1">
      <c r="A54" s="6"/>
      <c r="B54" s="613"/>
      <c r="C54" s="2075" t="s">
        <v>129</v>
      </c>
      <c r="D54" s="2080"/>
      <c r="E54" s="2075"/>
      <c r="F54" s="2101"/>
      <c r="G54" s="2091"/>
      <c r="H54" s="2101"/>
      <c r="I54" s="2092"/>
      <c r="J54" s="2101"/>
    </row>
    <row r="55" spans="1:11" s="1058" customFormat="1" ht="12" customHeight="1">
      <c r="A55" s="6"/>
      <c r="B55" s="613"/>
      <c r="C55" s="2078" t="s">
        <v>130</v>
      </c>
      <c r="D55" s="2077"/>
      <c r="E55" s="2078"/>
      <c r="F55" s="2096">
        <f>fx!C442</f>
        <v>0</v>
      </c>
      <c r="G55" s="2091"/>
      <c r="H55" s="2095">
        <f ca="1">ARBETSBLAD!AJ213</f>
        <v>0</v>
      </c>
      <c r="I55" s="2097"/>
      <c r="J55" s="2095">
        <f ca="1">ARBETSBLAD!AL213</f>
        <v>0</v>
      </c>
      <c r="K55" s="1094"/>
    </row>
    <row r="56" spans="1:11" ht="12" customHeight="1">
      <c r="A56" s="1114"/>
      <c r="B56" s="613"/>
      <c r="C56" s="2078" t="s">
        <v>297</v>
      </c>
      <c r="D56" s="2077"/>
      <c r="E56" s="2078"/>
      <c r="F56" s="2096">
        <f>fx!C441</f>
        <v>0</v>
      </c>
      <c r="G56" s="2091"/>
      <c r="H56" s="2098">
        <f ca="1">ARBETSBLAD!AJ212</f>
        <v>0</v>
      </c>
      <c r="I56" s="2097"/>
      <c r="J56" s="2098">
        <f ca="1">ARBETSBLAD!AL212</f>
        <v>0</v>
      </c>
    </row>
    <row r="57" spans="1:11" ht="12" customHeight="1">
      <c r="A57" s="1114"/>
      <c r="B57" s="613"/>
      <c r="C57" s="2078" t="s">
        <v>321</v>
      </c>
      <c r="D57" s="2077"/>
      <c r="E57" s="2078"/>
      <c r="F57" s="2096">
        <f>fx!C443</f>
        <v>0</v>
      </c>
      <c r="G57" s="2091"/>
      <c r="H57" s="2098">
        <f>ARBETSBLAD!AJ214</f>
        <v>0</v>
      </c>
      <c r="I57" s="2097"/>
      <c r="J57" s="2098">
        <f>ARBETSBLAD!AL214</f>
        <v>0</v>
      </c>
    </row>
    <row r="58" spans="1:11" ht="12" customHeight="1">
      <c r="A58" s="1114"/>
      <c r="B58" s="613"/>
      <c r="C58" s="2078" t="s">
        <v>1073</v>
      </c>
      <c r="D58" s="2077"/>
      <c r="E58" s="2078"/>
      <c r="F58" s="2096">
        <f>fx!C444</f>
        <v>0</v>
      </c>
      <c r="G58" s="2091"/>
      <c r="H58" s="2098">
        <f>ARBETSBLAD!AJ215</f>
        <v>0</v>
      </c>
      <c r="I58" s="2097"/>
      <c r="J58" s="2098">
        <f>ARBETSBLAD!AL215</f>
        <v>0</v>
      </c>
    </row>
    <row r="59" spans="1:11" ht="12" customHeight="1">
      <c r="A59" s="1114"/>
      <c r="B59" s="613"/>
      <c r="C59" s="2078" t="s">
        <v>355</v>
      </c>
      <c r="D59" s="2077"/>
      <c r="E59" s="2078"/>
      <c r="F59" s="2096">
        <f>fx!C445</f>
        <v>0</v>
      </c>
      <c r="G59" s="2091"/>
      <c r="H59" s="2098">
        <f>ARBETSBLAD!AJ216</f>
        <v>0</v>
      </c>
      <c r="I59" s="2097"/>
      <c r="J59" s="2098">
        <f>ARBETSBLAD!AL216</f>
        <v>0</v>
      </c>
    </row>
    <row r="60" spans="1:11" ht="12" customHeight="1">
      <c r="A60" s="1114"/>
      <c r="B60" s="613"/>
      <c r="C60" s="2078" t="s">
        <v>1060</v>
      </c>
      <c r="D60" s="2077"/>
      <c r="E60" s="2078"/>
      <c r="F60" s="2096">
        <f>fx!C446</f>
        <v>0</v>
      </c>
      <c r="G60" s="2091"/>
      <c r="H60" s="2104">
        <f>ARBETSBLAD!AJ217</f>
        <v>0</v>
      </c>
      <c r="I60" s="2097"/>
      <c r="J60" s="2104">
        <f>ARBETSBLAD!AL217</f>
        <v>0</v>
      </c>
    </row>
    <row r="61" spans="1:11" ht="12" customHeight="1">
      <c r="A61" s="1114"/>
      <c r="B61" s="613"/>
      <c r="C61" s="2078" t="s">
        <v>225</v>
      </c>
      <c r="D61" s="2077"/>
      <c r="E61" s="2078"/>
      <c r="F61" s="2096">
        <f>fx!C448</f>
        <v>0</v>
      </c>
      <c r="G61" s="2091"/>
      <c r="H61" s="2098">
        <f>ARBETSBLAD!AJ218</f>
        <v>0</v>
      </c>
      <c r="I61" s="2097"/>
      <c r="J61" s="2098">
        <f>ARBETSBLAD!AL218</f>
        <v>0</v>
      </c>
    </row>
    <row r="62" spans="1:11" ht="12" customHeight="1">
      <c r="A62" s="1114"/>
      <c r="B62" s="613"/>
      <c r="C62" s="2078" t="s">
        <v>322</v>
      </c>
      <c r="D62" s="2077"/>
      <c r="E62" s="2078"/>
      <c r="F62" s="2099"/>
      <c r="G62" s="2091"/>
      <c r="H62" s="2083">
        <f ca="1">H36</f>
        <v>0</v>
      </c>
      <c r="I62" s="2097"/>
      <c r="J62" s="2083">
        <f ca="1">J36</f>
        <v>0</v>
      </c>
    </row>
    <row r="63" spans="1:11" ht="12" customHeight="1">
      <c r="A63" s="1114"/>
      <c r="B63" s="613"/>
      <c r="C63" s="2075" t="s">
        <v>132</v>
      </c>
      <c r="D63" s="2080"/>
      <c r="E63" s="2075"/>
      <c r="F63" s="2105">
        <f>SUM(F55:F62)</f>
        <v>0</v>
      </c>
      <c r="G63" s="2091"/>
      <c r="H63" s="2105">
        <f ca="1">SUM(H55:H62)</f>
        <v>0</v>
      </c>
      <c r="I63" s="2097"/>
      <c r="J63" s="2105">
        <f ca="1">SUM(J55:J62)</f>
        <v>0</v>
      </c>
    </row>
    <row r="64" spans="1:11" ht="12" customHeight="1" thickBot="1">
      <c r="A64" s="1113"/>
      <c r="B64" s="1115"/>
      <c r="C64" s="2081" t="s">
        <v>134</v>
      </c>
      <c r="D64" s="2082"/>
      <c r="E64" s="2075"/>
      <c r="F64" s="2106">
        <f>F46+F53+F63</f>
        <v>0</v>
      </c>
      <c r="G64" s="2091"/>
      <c r="H64" s="2106" t="str">
        <f ca="1">IF(H46+H53+H63=0,"0",H46+H53+H63)</f>
        <v>0</v>
      </c>
      <c r="I64" s="2097"/>
      <c r="J64" s="2106" t="str">
        <f ca="1">IF(J46+J53+J63=0,"0",J46+J53+J63)</f>
        <v>0</v>
      </c>
    </row>
    <row r="65" spans="1:10" ht="5.25" customHeight="1" thickTop="1">
      <c r="A65" s="1113"/>
      <c r="B65" s="2107"/>
      <c r="C65" s="2107"/>
      <c r="D65" s="2107"/>
      <c r="E65" s="2107"/>
      <c r="F65" s="2108"/>
      <c r="G65" s="2107" t="s">
        <v>135</v>
      </c>
      <c r="H65" s="2108"/>
      <c r="I65" s="1123"/>
      <c r="J65" s="2108"/>
    </row>
    <row r="66" spans="1:10" ht="12" customHeight="1">
      <c r="A66" s="1113"/>
      <c r="B66" s="202"/>
      <c r="C66" s="2107"/>
      <c r="D66" s="619"/>
      <c r="E66" s="619"/>
      <c r="F66" s="2109">
        <f>F38-F64</f>
        <v>0</v>
      </c>
      <c r="G66" s="2110"/>
      <c r="H66" s="2109">
        <f ca="1">H38-H64</f>
        <v>0</v>
      </c>
      <c r="I66" s="2087"/>
      <c r="J66" s="2109">
        <f ca="1">J38-J64</f>
        <v>0</v>
      </c>
    </row>
    <row r="67" spans="1:10">
      <c r="H67" s="1096"/>
    </row>
    <row r="68" spans="1:10">
      <c r="H68" s="1096"/>
    </row>
    <row r="69" spans="1:10">
      <c r="H69" s="1096"/>
    </row>
  </sheetData>
  <sheetProtection algorithmName="SHA-512" hashValue="ndwXh1Wh9o25g8ctDkIXZgC8wXKzaSiY3DdHOlyAZNTyDm47gx8SfyI2K7utgQnv+YhJxYiFHJN1XsxQpTLCaw==" saltValue="muKLthWUKX89zf5+LFZ/xQ==" spinCount="100000" sheet="1" scenarios="1" formatCells="0" formatColumns="0" formatRows="0"/>
  <mergeCells count="2">
    <mergeCell ref="C5:D6"/>
    <mergeCell ref="C2:D3"/>
  </mergeCells>
  <dataValidations xWindow="486" yWindow="476" count="1">
    <dataValidation allowBlank="1" showInputMessage="1" showErrorMessage="1" promptTitle="Formelcell" prompt="Budgetera på fliken ARBETSBLAD" sqref="H2:J66 F8:F64"/>
  </dataValidations>
  <printOptions horizontalCentered="1" verticalCentered="1"/>
  <pageMargins left="0.78740157480314965" right="0.39370078740157483" top="0" bottom="0.15748031496062992" header="0" footer="7.874015748031496E-2"/>
  <pageSetup paperSize="9" orientation="portrait" horizontalDpi="300" verticalDpi="300" r:id="rId1"/>
  <headerFooter alignWithMargins="0">
    <oddFooter>&amp;C&amp;"Arial Narrow,Normal"&amp;8© Almi Företagspartner AB 2016-04-18</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53"/>
  <sheetViews>
    <sheetView showGridLines="0" showZeros="0" zoomScaleNormal="100" workbookViewId="0">
      <pane xSplit="8" ySplit="5" topLeftCell="I6" activePane="bottomRight" state="frozenSplit"/>
      <selection pane="topRight" activeCell="I1" sqref="I1"/>
      <selection pane="bottomLeft"/>
      <selection pane="bottomRight" activeCell="A2" sqref="A2"/>
    </sheetView>
  </sheetViews>
  <sheetFormatPr defaultColWidth="9.109375" defaultRowHeight="10.199999999999999"/>
  <cols>
    <col min="1" max="1" width="0.88671875" style="1095" customWidth="1"/>
    <col min="2" max="2" width="15.5546875" style="1095" customWidth="1"/>
    <col min="3" max="3" width="1" style="1095" customWidth="1"/>
    <col min="4" max="4" width="14.44140625" style="1095" customWidth="1"/>
    <col min="5" max="5" width="0.6640625" style="1095" customWidth="1"/>
    <col min="6" max="6" width="5.5546875" style="1095" customWidth="1"/>
    <col min="7" max="7" width="0.88671875" style="1095" customWidth="1"/>
    <col min="8" max="8" width="0.6640625" style="1095" customWidth="1"/>
    <col min="9" max="32" width="8.44140625" style="1095" customWidth="1"/>
    <col min="33" max="16384" width="9.109375" style="1095"/>
  </cols>
  <sheetData>
    <row r="1" spans="2:33" s="1984" customFormat="1" ht="15.75" customHeight="1">
      <c r="I1" s="1985" t="str">
        <f>IF(ARBETSBLAD!M4=1,"Välj startmånad på ARBETSBLAD, cell L4 !","")</f>
        <v/>
      </c>
      <c r="O1" s="1985" t="str">
        <f>IF(AND(SUM(ARBETSBLAD!I11:T14)=0,SUM(ARBETSBLAD!I37:T40)=0),"All budgetering görs på fliken ARBETSBLAD!","")</f>
        <v>All budgetering görs på fliken ARBETSBLAD!</v>
      </c>
      <c r="AG1" s="1986"/>
    </row>
    <row r="2" spans="2:33" ht="12" customHeight="1">
      <c r="B2" s="3076" t="s">
        <v>46</v>
      </c>
      <c r="C2" s="3084"/>
      <c r="D2" s="3084"/>
      <c r="E2" s="3084"/>
      <c r="F2" s="3084"/>
      <c r="G2" s="1991"/>
      <c r="H2" s="1992"/>
      <c r="I2" s="1721">
        <f>ARBETSBLAD!I6</f>
        <v>1</v>
      </c>
      <c r="J2" s="1722">
        <f>ARBETSBLAD!J6</f>
        <v>2</v>
      </c>
      <c r="K2" s="1723">
        <f>ARBETSBLAD!K6</f>
        <v>3</v>
      </c>
      <c r="L2" s="1723">
        <f>ARBETSBLAD!L6</f>
        <v>4</v>
      </c>
      <c r="M2" s="1723">
        <f>ARBETSBLAD!M6</f>
        <v>5</v>
      </c>
      <c r="N2" s="1723">
        <f>ARBETSBLAD!N6</f>
        <v>6</v>
      </c>
      <c r="O2" s="1723">
        <f>ARBETSBLAD!O6</f>
        <v>7</v>
      </c>
      <c r="P2" s="1723">
        <f>ARBETSBLAD!P6</f>
        <v>8</v>
      </c>
      <c r="Q2" s="1723">
        <f>ARBETSBLAD!Q6</f>
        <v>9</v>
      </c>
      <c r="R2" s="1723">
        <f>ARBETSBLAD!R6</f>
        <v>10</v>
      </c>
      <c r="S2" s="1723">
        <f>ARBETSBLAD!S6</f>
        <v>11</v>
      </c>
      <c r="T2" s="1723">
        <f>ARBETSBLAD!T6</f>
        <v>12</v>
      </c>
      <c r="U2" s="1723">
        <f>ARBETSBLAD!U6</f>
        <v>13</v>
      </c>
      <c r="V2" s="1723">
        <f>ARBETSBLAD!V6</f>
        <v>14</v>
      </c>
      <c r="W2" s="1723">
        <f>ARBETSBLAD!W6</f>
        <v>15</v>
      </c>
      <c r="X2" s="1723">
        <f>ARBETSBLAD!X6</f>
        <v>16</v>
      </c>
      <c r="Y2" s="1723">
        <f>ARBETSBLAD!Y6</f>
        <v>17</v>
      </c>
      <c r="Z2" s="1723">
        <f>ARBETSBLAD!Z6</f>
        <v>18</v>
      </c>
      <c r="AA2" s="1723">
        <f>ARBETSBLAD!AA6</f>
        <v>19</v>
      </c>
      <c r="AB2" s="1723">
        <f>ARBETSBLAD!AB6</f>
        <v>20</v>
      </c>
      <c r="AC2" s="1723">
        <f>ARBETSBLAD!AC6</f>
        <v>21</v>
      </c>
      <c r="AD2" s="1723">
        <f>ARBETSBLAD!AD6</f>
        <v>22</v>
      </c>
      <c r="AE2" s="1723">
        <f>ARBETSBLAD!AE6</f>
        <v>23</v>
      </c>
      <c r="AF2" s="1723">
        <f>ARBETSBLAD!AF6</f>
        <v>24</v>
      </c>
    </row>
    <row r="3" spans="2:33" ht="12.75" customHeight="1">
      <c r="B3" s="3077"/>
      <c r="C3" s="3085"/>
      <c r="D3" s="3085"/>
      <c r="E3" s="3085"/>
      <c r="F3" s="3085"/>
      <c r="G3" s="948"/>
      <c r="H3" s="1990"/>
      <c r="I3" s="1724" t="str">
        <f>LOOKUP(ARBETSBLAD!$L$4,ARBETSBLAD!$I$6:$AF$6,ARBETSBLAD!$I7:$AF7)</f>
        <v>Januari</v>
      </c>
      <c r="J3" s="1725" t="str">
        <f>LOOKUP(ARBETSBLAD!$L$4+1,ARBETSBLAD!$I$6:$AF$6,ARBETSBLAD!$I7:$AF7)</f>
        <v>Februari</v>
      </c>
      <c r="K3" s="1726" t="str">
        <f>LOOKUP(ARBETSBLAD!$L$4+2,ARBETSBLAD!$I$6:$AF$6,ARBETSBLAD!$I7:$AF7)</f>
        <v>Mars</v>
      </c>
      <c r="L3" s="1726" t="str">
        <f>LOOKUP(ARBETSBLAD!$L$4+3,ARBETSBLAD!$I$6:$AF$6,ARBETSBLAD!$I7:$AF7)</f>
        <v>April</v>
      </c>
      <c r="M3" s="1726" t="str">
        <f>LOOKUP(ARBETSBLAD!$L$4+4,ARBETSBLAD!$I$6:$AF$6,ARBETSBLAD!$I7:$AF7)</f>
        <v>Maj</v>
      </c>
      <c r="N3" s="1726" t="str">
        <f>LOOKUP(ARBETSBLAD!$L$4+5,ARBETSBLAD!$I$6:$AF$6,ARBETSBLAD!$I7:$AF7)</f>
        <v>Juni</v>
      </c>
      <c r="O3" s="1726" t="str">
        <f>LOOKUP(ARBETSBLAD!$L$4+6,ARBETSBLAD!$I$6:$AF$6,ARBETSBLAD!$I7:$AF7)</f>
        <v>Juli</v>
      </c>
      <c r="P3" s="1726" t="str">
        <f>LOOKUP(ARBETSBLAD!$L$4+7,ARBETSBLAD!$I$6:$AF$6,ARBETSBLAD!$I7:$AF7)</f>
        <v>Augusti</v>
      </c>
      <c r="Q3" s="1726" t="str">
        <f>LOOKUP(ARBETSBLAD!$L$4+8,ARBETSBLAD!$I$6:$AF$6,ARBETSBLAD!$I7:$AF7)</f>
        <v>September</v>
      </c>
      <c r="R3" s="1726" t="str">
        <f>LOOKUP(ARBETSBLAD!$L$4+9,ARBETSBLAD!$I$6:$AF$6,ARBETSBLAD!$I7:$AF7)</f>
        <v>Oktober</v>
      </c>
      <c r="S3" s="1726" t="str">
        <f>LOOKUP(ARBETSBLAD!$L$4+10,ARBETSBLAD!$I$6:$AF$6,ARBETSBLAD!$I7:$AF7)</f>
        <v>November</v>
      </c>
      <c r="T3" s="1726" t="str">
        <f>LOOKUP(ARBETSBLAD!$L$4+11,ARBETSBLAD!$I$6:$AF$6,ARBETSBLAD!$I7:$AF7)</f>
        <v>December</v>
      </c>
      <c r="U3" s="1726" t="str">
        <f>LOOKUP(ARBETSBLAD!$L$4+12,ARBETSBLAD!$I$6:$AF$6,ARBETSBLAD!$I7:$AF7)</f>
        <v>Januari</v>
      </c>
      <c r="V3" s="1726" t="str">
        <f>IF(V52=0,"",LOOKUP(ARBETSBLAD!$L$4+SUM($I$53:U53),ARBETSBLAD!$I$6:$AF$6,ARBETSBLAD!$I7:$AF7))</f>
        <v>Februari</v>
      </c>
      <c r="W3" s="1726" t="str">
        <f>IF(W52=0,"",LOOKUP(ARBETSBLAD!$L$4+SUM($I$53:V53),ARBETSBLAD!$I$6:$AF$6,ARBETSBLAD!$I7:$AF7))</f>
        <v>Mars</v>
      </c>
      <c r="X3" s="1726" t="str">
        <f>IF(X52=0,"",LOOKUP(ARBETSBLAD!$L$4+SUM($I$53:W53),ARBETSBLAD!$I$6:$AF$6,ARBETSBLAD!$I7:$AF7))</f>
        <v>April</v>
      </c>
      <c r="Y3" s="1726" t="str">
        <f>IF(Y52=0,"",LOOKUP(ARBETSBLAD!$L$4+SUM($I$53:X53),ARBETSBLAD!$I$6:$AF$6,ARBETSBLAD!$I7:$AF7))</f>
        <v>Maj</v>
      </c>
      <c r="Z3" s="1726" t="str">
        <f>IF(Z52=0,"",LOOKUP(ARBETSBLAD!$L$4+SUM($I$53:Y53),ARBETSBLAD!$I$6:$AF$6,ARBETSBLAD!$I7:$AF7))</f>
        <v>Juni</v>
      </c>
      <c r="AA3" s="1726" t="str">
        <f>IF(AA52=0,"",LOOKUP(ARBETSBLAD!$L$4+SUM($I$53:Z53),ARBETSBLAD!$I$6:$AF$6,ARBETSBLAD!$I7:$AF7))</f>
        <v>Juli</v>
      </c>
      <c r="AB3" s="1726" t="str">
        <f>IF(AB52=0,"",LOOKUP(ARBETSBLAD!$L$4+SUM($I$53:AA53),ARBETSBLAD!$I$6:$AF$6,ARBETSBLAD!$I7:$AF7))</f>
        <v>Augusti</v>
      </c>
      <c r="AC3" s="1726" t="str">
        <f>IF(AC52=0,"",LOOKUP(ARBETSBLAD!$L$4+SUM($I$53:AB53),ARBETSBLAD!$I$6:$AF$6,ARBETSBLAD!$I7:$AF7))</f>
        <v>September</v>
      </c>
      <c r="AD3" s="1726" t="str">
        <f>IF(AD52=0,"",LOOKUP(ARBETSBLAD!$L$4+SUM($I$53:AC53),ARBETSBLAD!$I$6:$AF$6,ARBETSBLAD!$I7:$AF7))</f>
        <v>Oktober</v>
      </c>
      <c r="AE3" s="1726" t="str">
        <f>IF(AE52=0,"",LOOKUP(ARBETSBLAD!$L$4+SUM($I$53:AD53),ARBETSBLAD!$I$6:$AF$6,ARBETSBLAD!$I7:$AF7))</f>
        <v>November</v>
      </c>
      <c r="AF3" s="1726" t="str">
        <f>IF(AF52=0,"",LOOKUP(ARBETSBLAD!$L$4+SUM($I$53:AE53),ARBETSBLAD!$I$6:$AF$6,ARBETSBLAD!$I7:$AF7))</f>
        <v>December</v>
      </c>
    </row>
    <row r="4" spans="2:33" ht="12" customHeight="1">
      <c r="B4" s="3059" t="str">
        <f>ARBETSBLAD!B7</f>
        <v>Företagsnamn</v>
      </c>
      <c r="C4" s="3083"/>
      <c r="D4" s="3083"/>
      <c r="E4" s="3083"/>
      <c r="F4" s="3083"/>
      <c r="G4" s="1987"/>
      <c r="H4" s="1988"/>
      <c r="I4" s="1989">
        <f>LOOKUP(fx!$L$4,fx!$I$6:$AF$6,fx!$I9:$AF9)</f>
        <v>2016</v>
      </c>
      <c r="J4" s="1989">
        <f>LOOKUP(ARBETSBLAD!$L$4+I2,ARBETSBLAD!$I$6:$AF$6,fx!$I9:$AF9)</f>
        <v>2016</v>
      </c>
      <c r="K4" s="1989">
        <f>LOOKUP(ARBETSBLAD!$L$4+J2,ARBETSBLAD!$I$6:$AF$6,fx!$I9:$AF9)</f>
        <v>2016</v>
      </c>
      <c r="L4" s="1989">
        <f>LOOKUP(ARBETSBLAD!$L$4+K2,ARBETSBLAD!$I$6:$AF$6,fx!$I9:$AF9)</f>
        <v>2016</v>
      </c>
      <c r="M4" s="1989">
        <f>LOOKUP(ARBETSBLAD!$L$4+L2,ARBETSBLAD!$I$6:$AF$6,fx!$I9:$AF9)</f>
        <v>2016</v>
      </c>
      <c r="N4" s="1989">
        <f>LOOKUP(ARBETSBLAD!$L$4+M2,ARBETSBLAD!$I$6:$AF$6,fx!$I9:$AF9)</f>
        <v>2016</v>
      </c>
      <c r="O4" s="1989">
        <f>LOOKUP(ARBETSBLAD!$L$4+N2,ARBETSBLAD!$I$6:$AF$6,fx!$I9:$AF9)</f>
        <v>2016</v>
      </c>
      <c r="P4" s="1989">
        <f>LOOKUP(ARBETSBLAD!$L$4+O2,ARBETSBLAD!$I$6:$AF$6,fx!$I9:$AF9)</f>
        <v>2016</v>
      </c>
      <c r="Q4" s="1989">
        <f>LOOKUP(ARBETSBLAD!$L$4+P2,ARBETSBLAD!$I$6:$AF$6,fx!$I9:$AF9)</f>
        <v>2016</v>
      </c>
      <c r="R4" s="1989">
        <f>LOOKUP(ARBETSBLAD!$L$4+Q2,ARBETSBLAD!$I$6:$AF$6,fx!$I9:$AF9)</f>
        <v>2016</v>
      </c>
      <c r="S4" s="1989">
        <f>LOOKUP(ARBETSBLAD!$L$4+R2,ARBETSBLAD!$I$6:$AF$6,fx!$I9:$AF9)</f>
        <v>2016</v>
      </c>
      <c r="T4" s="1989">
        <f>LOOKUP(ARBETSBLAD!$L$4+S2,ARBETSBLAD!$I$6:$AF$6,fx!$I9:$AF9)</f>
        <v>2016</v>
      </c>
      <c r="U4" s="1989">
        <f>LOOKUP(ARBETSBLAD!$L$4+T2,ARBETSBLAD!$I$6:$AF$6,fx!$I9:$AF9)</f>
        <v>2017</v>
      </c>
      <c r="V4" s="1989">
        <f>LOOKUP(ARBETSBLAD!$L$4+U2,ARBETSBLAD!$I$6:$AF$6,fx!$I9:$AF9)*V$52</f>
        <v>2017</v>
      </c>
      <c r="W4" s="1989">
        <f>LOOKUP(ARBETSBLAD!$L$4+V2,ARBETSBLAD!$I$6:$AF$6,fx!$I9:$AF9)*W$52</f>
        <v>2017</v>
      </c>
      <c r="X4" s="1989">
        <f>LOOKUP(ARBETSBLAD!$L$4+W2,ARBETSBLAD!$I$6:$AF$6,fx!$I9:$AF9)*X$52</f>
        <v>2017</v>
      </c>
      <c r="Y4" s="1989">
        <f>LOOKUP(ARBETSBLAD!$L$4+X2,ARBETSBLAD!$I$6:$AF$6,fx!$I9:$AF9)*Y$52</f>
        <v>2017</v>
      </c>
      <c r="Z4" s="1989">
        <f>LOOKUP(ARBETSBLAD!$L$4+Y2,ARBETSBLAD!$I$6:$AF$6,fx!$I9:$AF9)*Z$52</f>
        <v>2017</v>
      </c>
      <c r="AA4" s="1989">
        <f>LOOKUP(ARBETSBLAD!$L$4+Z2,ARBETSBLAD!$I$6:$AF$6,fx!$I9:$AF9)*AA$52</f>
        <v>2017</v>
      </c>
      <c r="AB4" s="1989">
        <f>LOOKUP(ARBETSBLAD!$L$4+AA2,ARBETSBLAD!$I$6:$AF$6,fx!$I9:$AF9)*AB$52</f>
        <v>2017</v>
      </c>
      <c r="AC4" s="1989">
        <f>LOOKUP(ARBETSBLAD!$L$4+AB2,ARBETSBLAD!$I$6:$AF$6,fx!$I9:$AF9)*AC$52</f>
        <v>2017</v>
      </c>
      <c r="AD4" s="1989">
        <f>LOOKUP(ARBETSBLAD!$L$4+AC2,ARBETSBLAD!$I$6:$AF$6,fx!$I9:$AF9)*AD$52</f>
        <v>2017</v>
      </c>
      <c r="AE4" s="1989">
        <f>LOOKUP(ARBETSBLAD!$L$4+AD2,ARBETSBLAD!$I$6:$AF$6,fx!$I9:$AF9)*AE$52</f>
        <v>2017</v>
      </c>
      <c r="AF4" s="1989">
        <f>LOOKUP(ARBETSBLAD!$L$4+AE2,ARBETSBLAD!$I$6:$AF$6,fx!$I9:$AF9)*AF$52</f>
        <v>2017</v>
      </c>
    </row>
    <row r="5" spans="2:33" ht="3" customHeight="1">
      <c r="B5" s="1711"/>
      <c r="C5" s="201"/>
      <c r="D5" s="201"/>
      <c r="E5" s="201"/>
      <c r="F5" s="201"/>
      <c r="G5" s="201"/>
      <c r="H5" s="1968"/>
      <c r="I5" s="2053"/>
      <c r="J5" s="2053"/>
      <c r="K5" s="2053"/>
      <c r="L5" s="2053"/>
      <c r="M5" s="2053"/>
      <c r="N5" s="2053"/>
      <c r="O5" s="2053"/>
      <c r="P5" s="2053"/>
      <c r="Q5" s="2053"/>
      <c r="R5" s="2053"/>
      <c r="S5" s="2053"/>
      <c r="T5" s="2053"/>
      <c r="U5" s="2053"/>
      <c r="V5" s="2053"/>
      <c r="W5" s="2053"/>
      <c r="X5" s="2053"/>
      <c r="Y5" s="2053"/>
      <c r="Z5" s="2053"/>
      <c r="AA5" s="2053"/>
      <c r="AB5" s="2053"/>
      <c r="AC5" s="2053"/>
      <c r="AD5" s="2053"/>
      <c r="AE5" s="2053"/>
      <c r="AF5" s="2053"/>
    </row>
    <row r="6" spans="2:33" ht="12" customHeight="1">
      <c r="B6" s="1703" t="s">
        <v>47</v>
      </c>
      <c r="C6" s="2127"/>
      <c r="D6" s="2127"/>
      <c r="E6" s="2127"/>
      <c r="F6" s="2128"/>
      <c r="G6" s="2127"/>
      <c r="H6" s="2128"/>
      <c r="I6" s="2129"/>
      <c r="J6" s="2129"/>
      <c r="K6" s="2129"/>
      <c r="L6" s="2129"/>
      <c r="M6" s="2129"/>
      <c r="N6" s="2129"/>
      <c r="O6" s="2129"/>
      <c r="P6" s="2129"/>
      <c r="Q6" s="2129"/>
      <c r="R6" s="2129"/>
      <c r="S6" s="2129"/>
      <c r="T6" s="2129"/>
      <c r="U6" s="2129"/>
      <c r="V6" s="2129"/>
      <c r="W6" s="2129"/>
      <c r="X6" s="2129"/>
      <c r="Y6" s="2129"/>
      <c r="Z6" s="2129"/>
      <c r="AA6" s="2129"/>
      <c r="AB6" s="2129"/>
      <c r="AC6" s="2129"/>
      <c r="AD6" s="2129"/>
      <c r="AE6" s="2129"/>
      <c r="AF6" s="2130"/>
      <c r="AG6" s="1116"/>
    </row>
    <row r="7" spans="2:33" ht="12" customHeight="1">
      <c r="B7" s="2279" t="str">
        <f>fx!B383</f>
        <v>Kunders betalningar inklusive förskott från hyresgäster</v>
      </c>
      <c r="C7" s="2280"/>
      <c r="D7" s="2280"/>
      <c r="E7" s="2280"/>
      <c r="F7" s="2280"/>
      <c r="G7" s="1706"/>
      <c r="H7" s="1707"/>
      <c r="I7" s="1727">
        <f>LOOKUP(ARBETSBLAD!$L$4,ARBETSBLAD!$I$6:$AF$6,fx!$I383:$AF383)</f>
        <v>0</v>
      </c>
      <c r="J7" s="1727">
        <f>LOOKUP(ARBETSBLAD!$L$4+SUM($I$53:I$53),ARBETSBLAD!$I$6:$AF$6,fx!$I383:$AF383)</f>
        <v>0</v>
      </c>
      <c r="K7" s="1727">
        <f>LOOKUP(ARBETSBLAD!$L$4+SUM($I$53:J$53),ARBETSBLAD!$I$6:$AF$6,fx!$I383:$AF383)</f>
        <v>0</v>
      </c>
      <c r="L7" s="1727">
        <f>LOOKUP(ARBETSBLAD!$L$4+SUM($I$53:K$53),ARBETSBLAD!$I$6:$AF$6,fx!$I383:$AF383)</f>
        <v>0</v>
      </c>
      <c r="M7" s="1727">
        <f>LOOKUP(ARBETSBLAD!$L$4+SUM($I$53:L$53),ARBETSBLAD!$I$6:$AF$6,fx!$I383:$AF383)</f>
        <v>0</v>
      </c>
      <c r="N7" s="1727">
        <f>LOOKUP(ARBETSBLAD!$L$4+SUM($I$53:M$53),ARBETSBLAD!$I$6:$AF$6,fx!$I383:$AF383)</f>
        <v>0</v>
      </c>
      <c r="O7" s="1727">
        <f>LOOKUP(ARBETSBLAD!$L$4+SUM($I$53:N$53),ARBETSBLAD!$I$6:$AF$6,fx!$I383:$AF383)</f>
        <v>0</v>
      </c>
      <c r="P7" s="1727">
        <f>LOOKUP(ARBETSBLAD!$L$4+SUM($I$53:O$53),ARBETSBLAD!$I$6:$AF$6,fx!$I383:$AF383)</f>
        <v>0</v>
      </c>
      <c r="Q7" s="1727">
        <f>LOOKUP(ARBETSBLAD!$L$4+SUM($I$53:P$53),ARBETSBLAD!$I$6:$AF$6,fx!$I383:$AF383)</f>
        <v>0</v>
      </c>
      <c r="R7" s="1727">
        <f>LOOKUP(ARBETSBLAD!$L$4+SUM($I$53:Q$53),ARBETSBLAD!$I$6:$AF$6,fx!$I383:$AF383)</f>
        <v>0</v>
      </c>
      <c r="S7" s="1727">
        <f>LOOKUP(ARBETSBLAD!$L$4+SUM($I$53:R$53),ARBETSBLAD!$I$6:$AF$6,fx!$I383:$AF383)</f>
        <v>0</v>
      </c>
      <c r="T7" s="1727">
        <f>LOOKUP(ARBETSBLAD!$L$4+SUM($I$53:S$53),ARBETSBLAD!$I$6:$AF$6,fx!$I383:$AF383)</f>
        <v>0</v>
      </c>
      <c r="U7" s="1727">
        <f>LOOKUP(ARBETSBLAD!$L$4+SUM($I$53:T$53),ARBETSBLAD!$I$6:$AF$6,fx!$I383:$AF383)</f>
        <v>0</v>
      </c>
      <c r="V7" s="1727">
        <f>LOOKUP(ARBETSBLAD!$L$4+SUM($I$53:U$53),ARBETSBLAD!$I$6:$AF$6,fx!$I383:$AF383)*V$52</f>
        <v>0</v>
      </c>
      <c r="W7" s="1727">
        <f>LOOKUP(ARBETSBLAD!$L$4+SUM($I$53:V$53),ARBETSBLAD!$I$6:$AF$6,fx!$I383:$AF383)*W$52</f>
        <v>0</v>
      </c>
      <c r="X7" s="1727">
        <f>LOOKUP(ARBETSBLAD!$L$4+SUM($I$53:W$53),ARBETSBLAD!$I$6:$AF$6,fx!$I383:$AF383)*X$52</f>
        <v>0</v>
      </c>
      <c r="Y7" s="1727">
        <f>LOOKUP(ARBETSBLAD!$L$4+SUM($I$53:X$53),ARBETSBLAD!$I$6:$AF$6,fx!$I383:$AF383)*Y$52</f>
        <v>0</v>
      </c>
      <c r="Z7" s="1727">
        <f>LOOKUP(ARBETSBLAD!$L$4+SUM($I$53:Y$53),ARBETSBLAD!$I$6:$AF$6,fx!$I383:$AF383)*Z$52</f>
        <v>0</v>
      </c>
      <c r="AA7" s="1727">
        <f>LOOKUP(ARBETSBLAD!$L$4+SUM($I$53:Z$53),ARBETSBLAD!$I$6:$AF$6,fx!$I383:$AF383)*AA$52</f>
        <v>0</v>
      </c>
      <c r="AB7" s="1727">
        <f>LOOKUP(ARBETSBLAD!$L$4+SUM($I$53:AA$53),ARBETSBLAD!$I$6:$AF$6,fx!$I383:$AF383)*AB$52</f>
        <v>0</v>
      </c>
      <c r="AC7" s="1727">
        <f>LOOKUP(ARBETSBLAD!$L$4+SUM($I$53:AB$53),ARBETSBLAD!$I$6:$AF$6,fx!$I383:$AF383)*AC$52</f>
        <v>0</v>
      </c>
      <c r="AD7" s="1727">
        <f>LOOKUP(ARBETSBLAD!$L$4+SUM($I$53:AC$53),ARBETSBLAD!$I$6:$AF$6,fx!$I383:$AF383)*AD$52</f>
        <v>0</v>
      </c>
      <c r="AE7" s="1727">
        <f>LOOKUP(ARBETSBLAD!$L$4+SUM($I$53:AD$53),ARBETSBLAD!$I$6:$AF$6,fx!$I383:$AF383)*AE$52</f>
        <v>0</v>
      </c>
      <c r="AF7" s="1727">
        <f>LOOKUP(ARBETSBLAD!$L$4+SUM($I$53:AE$53),ARBETSBLAD!$I$6:$AF$6,fx!$I383:$AF383)*AF$52</f>
        <v>0</v>
      </c>
    </row>
    <row r="8" spans="2:33" ht="12" customHeight="1">
      <c r="B8" s="1767" t="s">
        <v>1025</v>
      </c>
      <c r="C8" s="1708"/>
      <c r="D8" s="1708"/>
      <c r="E8" s="1708"/>
      <c r="F8" s="1708"/>
      <c r="G8" s="1709"/>
      <c r="H8" s="1710"/>
      <c r="I8" s="1728">
        <f>LOOKUP(ARBETSBLAD!$L$4,ARBETSBLAD!$I$6:$AF$6,fx!$I384:$AF384)</f>
        <v>0</v>
      </c>
      <c r="J8" s="1728">
        <f>LOOKUP(ARBETSBLAD!$L$4+SUM($I$53:I$53),ARBETSBLAD!$I$6:$AF$6,fx!$I384:$AF384)</f>
        <v>0</v>
      </c>
      <c r="K8" s="1728">
        <f>LOOKUP(ARBETSBLAD!$L$4+SUM($I$53:J$53),ARBETSBLAD!$I$6:$AF$6,fx!$I384:$AF384)</f>
        <v>0</v>
      </c>
      <c r="L8" s="1728">
        <f>LOOKUP(ARBETSBLAD!$L$4+SUM($I$53:K$53),ARBETSBLAD!$I$6:$AF$6,fx!$I384:$AF384)</f>
        <v>0</v>
      </c>
      <c r="M8" s="1728">
        <f>LOOKUP(ARBETSBLAD!$L$4+SUM($I$53:L$53),ARBETSBLAD!$I$6:$AF$6,fx!$I384:$AF384)</f>
        <v>0</v>
      </c>
      <c r="N8" s="1728">
        <f>LOOKUP(ARBETSBLAD!$L$4+SUM($I$53:M$53),ARBETSBLAD!$I$6:$AF$6,fx!$I384:$AF384)</f>
        <v>0</v>
      </c>
      <c r="O8" s="1728">
        <f>LOOKUP(ARBETSBLAD!$L$4+SUM($I$53:N$53),ARBETSBLAD!$I$6:$AF$6,fx!$I384:$AF384)</f>
        <v>0</v>
      </c>
      <c r="P8" s="1728">
        <f>LOOKUP(ARBETSBLAD!$L$4+SUM($I$53:O$53),ARBETSBLAD!$I$6:$AF$6,fx!$I384:$AF384)</f>
        <v>0</v>
      </c>
      <c r="Q8" s="1728">
        <f>LOOKUP(ARBETSBLAD!$L$4+SUM($I$53:P$53),ARBETSBLAD!$I$6:$AF$6,fx!$I384:$AF384)</f>
        <v>0</v>
      </c>
      <c r="R8" s="1728">
        <f>LOOKUP(ARBETSBLAD!$L$4+SUM($I$53:Q$53),ARBETSBLAD!$I$6:$AF$6,fx!$I384:$AF384)</f>
        <v>0</v>
      </c>
      <c r="S8" s="1728">
        <f>LOOKUP(ARBETSBLAD!$L$4+SUM($I$53:R$53),ARBETSBLAD!$I$6:$AF$6,fx!$I384:$AF384)</f>
        <v>0</v>
      </c>
      <c r="T8" s="1728">
        <f>LOOKUP(ARBETSBLAD!$L$4+SUM($I$53:S$53),ARBETSBLAD!$I$6:$AF$6,fx!$I384:$AF384)</f>
        <v>0</v>
      </c>
      <c r="U8" s="1728">
        <f>LOOKUP(ARBETSBLAD!$L$4+SUM($I$53:T$53),ARBETSBLAD!$I$6:$AF$6,fx!$I384:$AF384)</f>
        <v>0</v>
      </c>
      <c r="V8" s="1728">
        <f>LOOKUP(ARBETSBLAD!$L$4+SUM($I$53:U$53),ARBETSBLAD!$I$6:$AF$6,fx!$I384:$AF384)*V$52</f>
        <v>0</v>
      </c>
      <c r="W8" s="1728">
        <f>LOOKUP(ARBETSBLAD!$L$4+SUM($I$53:V$53),ARBETSBLAD!$I$6:$AF$6,fx!$I384:$AF384)*W$52</f>
        <v>0</v>
      </c>
      <c r="X8" s="1728">
        <f>LOOKUP(ARBETSBLAD!$L$4+SUM($I$53:W$53),ARBETSBLAD!$I$6:$AF$6,fx!$I384:$AF384)*X$52</f>
        <v>0</v>
      </c>
      <c r="Y8" s="1728">
        <f>LOOKUP(ARBETSBLAD!$L$4+SUM($I$53:X$53),ARBETSBLAD!$I$6:$AF$6,fx!$I384:$AF384)*Y$52</f>
        <v>0</v>
      </c>
      <c r="Z8" s="1728">
        <f>LOOKUP(ARBETSBLAD!$L$4+SUM($I$53:Y$53),ARBETSBLAD!$I$6:$AF$6,fx!$I384:$AF384)*Z$52</f>
        <v>0</v>
      </c>
      <c r="AA8" s="1728">
        <f>LOOKUP(ARBETSBLAD!$L$4+SUM($I$53:Z$53),ARBETSBLAD!$I$6:$AF$6,fx!$I384:$AF384)*AA$52</f>
        <v>0</v>
      </c>
      <c r="AB8" s="1728">
        <f>LOOKUP(ARBETSBLAD!$L$4+SUM($I$53:AA$53),ARBETSBLAD!$I$6:$AF$6,fx!$I384:$AF384)*AB$52</f>
        <v>0</v>
      </c>
      <c r="AC8" s="1728">
        <f>LOOKUP(ARBETSBLAD!$L$4+SUM($I$53:AB$53),ARBETSBLAD!$I$6:$AF$6,fx!$I384:$AF384)*AC$52</f>
        <v>0</v>
      </c>
      <c r="AD8" s="1728">
        <f>LOOKUP(ARBETSBLAD!$L$4+SUM($I$53:AC$53),ARBETSBLAD!$I$6:$AF$6,fx!$I384:$AF384)*AD$52</f>
        <v>0</v>
      </c>
      <c r="AE8" s="1728">
        <f>LOOKUP(ARBETSBLAD!$L$4+SUM($I$53:AD$53),ARBETSBLAD!$I$6:$AF$6,fx!$I384:$AF384)*AE$52</f>
        <v>0</v>
      </c>
      <c r="AF8" s="1728">
        <f>LOOKUP(ARBETSBLAD!$L$4+SUM($I$53:AE$53),ARBETSBLAD!$I$6:$AF$6,fx!$I384:$AF384)*AF$52</f>
        <v>0</v>
      </c>
    </row>
    <row r="9" spans="2:33" ht="12" customHeight="1">
      <c r="B9" s="3097" t="str">
        <f>fx!B385</f>
        <v>Betalning ing kundfordringar och övr ing fordringar</v>
      </c>
      <c r="C9" s="3098"/>
      <c r="D9" s="3098"/>
      <c r="E9" s="3098"/>
      <c r="F9" s="3098"/>
      <c r="G9" s="1709"/>
      <c r="H9" s="1710"/>
      <c r="I9" s="1729">
        <f>LOOKUP(ARBETSBLAD!$L$4,ARBETSBLAD!$I$6:$AF$6,fx!$I385:$AF385)</f>
        <v>0</v>
      </c>
      <c r="J9" s="1729">
        <f>LOOKUP(ARBETSBLAD!$L$4+SUM($I$53:I$53),ARBETSBLAD!$I$6:$AF$6,fx!$I385:$AF385)</f>
        <v>0</v>
      </c>
      <c r="K9" s="1729">
        <f>LOOKUP(ARBETSBLAD!$L$4+SUM($I$53:J$53),ARBETSBLAD!$I$6:$AF$6,fx!$I385:$AF385)</f>
        <v>0</v>
      </c>
      <c r="L9" s="1729">
        <f>LOOKUP(ARBETSBLAD!$L$4+SUM($I$53:K$53),ARBETSBLAD!$I$6:$AF$6,fx!$I385:$AF385)</f>
        <v>0</v>
      </c>
      <c r="M9" s="1729">
        <f>LOOKUP(ARBETSBLAD!$L$4+SUM($I$53:L$53),ARBETSBLAD!$I$6:$AF$6,fx!$I385:$AF385)</f>
        <v>0</v>
      </c>
      <c r="N9" s="1729">
        <f>LOOKUP(ARBETSBLAD!$L$4+SUM($I$53:M$53),ARBETSBLAD!$I$6:$AF$6,fx!$I385:$AF385)</f>
        <v>0</v>
      </c>
      <c r="O9" s="1729">
        <f>LOOKUP(ARBETSBLAD!$L$4+SUM($I$53:N$53),ARBETSBLAD!$I$6:$AF$6,fx!$I385:$AF385)</f>
        <v>0</v>
      </c>
      <c r="P9" s="1729">
        <f>LOOKUP(ARBETSBLAD!$L$4+SUM($I$53:O$53),ARBETSBLAD!$I$6:$AF$6,fx!$I385:$AF385)</f>
        <v>0</v>
      </c>
      <c r="Q9" s="1729">
        <f>LOOKUP(ARBETSBLAD!$L$4+SUM($I$53:P$53),ARBETSBLAD!$I$6:$AF$6,fx!$I385:$AF385)</f>
        <v>0</v>
      </c>
      <c r="R9" s="1729">
        <f>LOOKUP(ARBETSBLAD!$L$4+SUM($I$53:Q$53),ARBETSBLAD!$I$6:$AF$6,fx!$I385:$AF385)</f>
        <v>0</v>
      </c>
      <c r="S9" s="1729">
        <f>LOOKUP(ARBETSBLAD!$L$4+SUM($I$53:R$53),ARBETSBLAD!$I$6:$AF$6,fx!$I385:$AF385)</f>
        <v>0</v>
      </c>
      <c r="T9" s="1729">
        <f>LOOKUP(ARBETSBLAD!$L$4+SUM($I$53:S$53),ARBETSBLAD!$I$6:$AF$6,fx!$I385:$AF385)</f>
        <v>0</v>
      </c>
      <c r="U9" s="1729">
        <f>LOOKUP(ARBETSBLAD!$L$4+SUM($I$53:T$53),ARBETSBLAD!$I$6:$AF$6,fx!$I385:$AF385)</f>
        <v>0</v>
      </c>
      <c r="V9" s="1729">
        <f>LOOKUP(ARBETSBLAD!$L$4+SUM($I$53:U$53),ARBETSBLAD!$I$6:$AF$6,fx!$I385:$AF385)*V$52</f>
        <v>0</v>
      </c>
      <c r="W9" s="1729">
        <f>LOOKUP(ARBETSBLAD!$L$4+SUM($I$53:V$53),ARBETSBLAD!$I$6:$AF$6,fx!$I385:$AF385)*W$52</f>
        <v>0</v>
      </c>
      <c r="X9" s="1729">
        <f>LOOKUP(ARBETSBLAD!$L$4+SUM($I$53:W$53),ARBETSBLAD!$I$6:$AF$6,fx!$I385:$AF385)*X$52</f>
        <v>0</v>
      </c>
      <c r="Y9" s="1729">
        <f>LOOKUP(ARBETSBLAD!$L$4+SUM($I$53:X$53),ARBETSBLAD!$I$6:$AF$6,fx!$I385:$AF385)*Y$52</f>
        <v>0</v>
      </c>
      <c r="Z9" s="1729">
        <f>LOOKUP(ARBETSBLAD!$L$4+SUM($I$53:Y$53),ARBETSBLAD!$I$6:$AF$6,fx!$I385:$AF385)*Z$52</f>
        <v>0</v>
      </c>
      <c r="AA9" s="1729">
        <f>LOOKUP(ARBETSBLAD!$L$4+SUM($I$53:Z$53),ARBETSBLAD!$I$6:$AF$6,fx!$I385:$AF385)*AA$52</f>
        <v>0</v>
      </c>
      <c r="AB9" s="1729">
        <f>LOOKUP(ARBETSBLAD!$L$4+SUM($I$53:AA$53),ARBETSBLAD!$I$6:$AF$6,fx!$I385:$AF385)*AB$52</f>
        <v>0</v>
      </c>
      <c r="AC9" s="1729">
        <f>LOOKUP(ARBETSBLAD!$L$4+SUM($I$53:AB$53),ARBETSBLAD!$I$6:$AF$6,fx!$I385:$AF385)*AC$52</f>
        <v>0</v>
      </c>
      <c r="AD9" s="1729">
        <f>LOOKUP(ARBETSBLAD!$L$4+SUM($I$53:AC$53),ARBETSBLAD!$I$6:$AF$6,fx!$I385:$AF385)*AD$52</f>
        <v>0</v>
      </c>
      <c r="AE9" s="1729">
        <f>LOOKUP(ARBETSBLAD!$L$4+SUM($I$53:AD$53),ARBETSBLAD!$I$6:$AF$6,fx!$I385:$AF385)*AE$52</f>
        <v>0</v>
      </c>
      <c r="AF9" s="1729">
        <f>LOOKUP(ARBETSBLAD!$L$4+SUM($I$53:AE$53),ARBETSBLAD!$I$6:$AF$6,fx!$I385:$AF385)*AF$52</f>
        <v>0</v>
      </c>
    </row>
    <row r="10" spans="2:33" ht="12" customHeight="1">
      <c r="B10" s="3097" t="str">
        <f>fx!B386</f>
        <v>Tillfälligt lån eller återbetalt utlägg</v>
      </c>
      <c r="C10" s="3098"/>
      <c r="D10" s="3098"/>
      <c r="E10" s="3098"/>
      <c r="F10" s="3098"/>
      <c r="G10" s="1709"/>
      <c r="H10" s="1710"/>
      <c r="I10" s="1729">
        <f>LOOKUP(ARBETSBLAD!$L$4,ARBETSBLAD!$I$6:$AF$6,fx!$I386:$AF386)</f>
        <v>0</v>
      </c>
      <c r="J10" s="1729">
        <f>LOOKUP(ARBETSBLAD!$L$4+SUM($I$53:I$53),ARBETSBLAD!$I$6:$AF$6,fx!$I386:$AF386)</f>
        <v>0</v>
      </c>
      <c r="K10" s="1729">
        <f>LOOKUP(ARBETSBLAD!$L$4+SUM($I$53:J$53),ARBETSBLAD!$I$6:$AF$6,fx!$I386:$AF386)</f>
        <v>0</v>
      </c>
      <c r="L10" s="1729">
        <f>LOOKUP(ARBETSBLAD!$L$4+SUM($I$53:K$53),ARBETSBLAD!$I$6:$AF$6,fx!$I386:$AF386)</f>
        <v>0</v>
      </c>
      <c r="M10" s="1729">
        <f>LOOKUP(ARBETSBLAD!$L$4+SUM($I$53:L$53),ARBETSBLAD!$I$6:$AF$6,fx!$I386:$AF386)</f>
        <v>0</v>
      </c>
      <c r="N10" s="1729">
        <f>LOOKUP(ARBETSBLAD!$L$4+SUM($I$53:M$53),ARBETSBLAD!$I$6:$AF$6,fx!$I386:$AF386)</f>
        <v>0</v>
      </c>
      <c r="O10" s="1729">
        <f>LOOKUP(ARBETSBLAD!$L$4+SUM($I$53:N$53),ARBETSBLAD!$I$6:$AF$6,fx!$I386:$AF386)</f>
        <v>0</v>
      </c>
      <c r="P10" s="1729">
        <f>LOOKUP(ARBETSBLAD!$L$4+SUM($I$53:O$53),ARBETSBLAD!$I$6:$AF$6,fx!$I386:$AF386)</f>
        <v>0</v>
      </c>
      <c r="Q10" s="1729">
        <f>LOOKUP(ARBETSBLAD!$L$4+SUM($I$53:P$53),ARBETSBLAD!$I$6:$AF$6,fx!$I386:$AF386)</f>
        <v>0</v>
      </c>
      <c r="R10" s="1729">
        <f>LOOKUP(ARBETSBLAD!$L$4+SUM($I$53:Q$53),ARBETSBLAD!$I$6:$AF$6,fx!$I386:$AF386)</f>
        <v>0</v>
      </c>
      <c r="S10" s="1729">
        <f>LOOKUP(ARBETSBLAD!$L$4+SUM($I$53:R$53),ARBETSBLAD!$I$6:$AF$6,fx!$I386:$AF386)</f>
        <v>0</v>
      </c>
      <c r="T10" s="1729">
        <f>LOOKUP(ARBETSBLAD!$L$4+SUM($I$53:S$53),ARBETSBLAD!$I$6:$AF$6,fx!$I386:$AF386)</f>
        <v>0</v>
      </c>
      <c r="U10" s="1729">
        <f>LOOKUP(ARBETSBLAD!$L$4+SUM($I$53:T$53),ARBETSBLAD!$I$6:$AF$6,fx!$I386:$AF386)</f>
        <v>0</v>
      </c>
      <c r="V10" s="1729">
        <f>LOOKUP(ARBETSBLAD!$L$4+SUM($I$53:U$53),ARBETSBLAD!$I$6:$AF$6,fx!$I386:$AF386)*V$52</f>
        <v>0</v>
      </c>
      <c r="W10" s="1729">
        <f>LOOKUP(ARBETSBLAD!$L$4+SUM($I$53:V$53),ARBETSBLAD!$I$6:$AF$6,fx!$I386:$AF386)*W$52</f>
        <v>0</v>
      </c>
      <c r="X10" s="1729">
        <f>LOOKUP(ARBETSBLAD!$L$4+SUM($I$53:W$53),ARBETSBLAD!$I$6:$AF$6,fx!$I386:$AF386)*X$52</f>
        <v>0</v>
      </c>
      <c r="Y10" s="1729">
        <f>LOOKUP(ARBETSBLAD!$L$4+SUM($I$53:X$53),ARBETSBLAD!$I$6:$AF$6,fx!$I386:$AF386)*Y$52</f>
        <v>0</v>
      </c>
      <c r="Z10" s="1729">
        <f>LOOKUP(ARBETSBLAD!$L$4+SUM($I$53:Y$53),ARBETSBLAD!$I$6:$AF$6,fx!$I386:$AF386)*Z$52</f>
        <v>0</v>
      </c>
      <c r="AA10" s="1729">
        <f>LOOKUP(ARBETSBLAD!$L$4+SUM($I$53:Z$53),ARBETSBLAD!$I$6:$AF$6,fx!$I386:$AF386)*AA$52</f>
        <v>0</v>
      </c>
      <c r="AB10" s="1729">
        <f>LOOKUP(ARBETSBLAD!$L$4+SUM($I$53:AA$53),ARBETSBLAD!$I$6:$AF$6,fx!$I386:$AF386)*AB$52</f>
        <v>0</v>
      </c>
      <c r="AC10" s="1729">
        <f>LOOKUP(ARBETSBLAD!$L$4+SUM($I$53:AB$53),ARBETSBLAD!$I$6:$AF$6,fx!$I386:$AF386)*AC$52</f>
        <v>0</v>
      </c>
      <c r="AD10" s="1729">
        <f>LOOKUP(ARBETSBLAD!$L$4+SUM($I$53:AC$53),ARBETSBLAD!$I$6:$AF$6,fx!$I386:$AF386)*AD$52</f>
        <v>0</v>
      </c>
      <c r="AE10" s="1729">
        <f>LOOKUP(ARBETSBLAD!$L$4+SUM($I$53:AD$53),ARBETSBLAD!$I$6:$AF$6,fx!$I386:$AF386)*AE$52</f>
        <v>0</v>
      </c>
      <c r="AF10" s="1729">
        <f>LOOKUP(ARBETSBLAD!$L$4+SUM($I$53:AE$53),ARBETSBLAD!$I$6:$AF$6,fx!$I386:$AF386)*AF$52</f>
        <v>0</v>
      </c>
    </row>
    <row r="11" spans="2:33" ht="12" customHeight="1">
      <c r="B11" s="1711" t="str">
        <f>fx!B387</f>
        <v>Egen insättning av pengar</v>
      </c>
      <c r="C11" s="201"/>
      <c r="D11" s="201"/>
      <c r="E11" s="201"/>
      <c r="F11" s="201"/>
      <c r="G11" s="201"/>
      <c r="H11" s="1712"/>
      <c r="I11" s="1730">
        <f>LOOKUP(ARBETSBLAD!$L$4,ARBETSBLAD!$I$6:$AF$6,fx!$I387:$AF387)</f>
        <v>0</v>
      </c>
      <c r="J11" s="1729">
        <f>LOOKUP(ARBETSBLAD!$L$4+SUM($I$53:I$53),ARBETSBLAD!$I$6:$AF$6,fx!$I387:$AF387)</f>
        <v>0</v>
      </c>
      <c r="K11" s="1730">
        <f>LOOKUP(ARBETSBLAD!$L$4+SUM($I$53:J$53),ARBETSBLAD!$I$6:$AF$6,fx!$I387:$AF387)</f>
        <v>0</v>
      </c>
      <c r="L11" s="1730">
        <f>LOOKUP(ARBETSBLAD!$L$4+SUM($I$53:K$53),ARBETSBLAD!$I$6:$AF$6,fx!$I387:$AF387)</f>
        <v>0</v>
      </c>
      <c r="M11" s="1730">
        <f>LOOKUP(ARBETSBLAD!$L$4+SUM($I$53:L$53),ARBETSBLAD!$I$6:$AF$6,fx!$I387:$AF387)</f>
        <v>0</v>
      </c>
      <c r="N11" s="1730">
        <f>LOOKUP(ARBETSBLAD!$L$4+SUM($I$53:M$53),ARBETSBLAD!$I$6:$AF$6,fx!$I387:$AF387)</f>
        <v>0</v>
      </c>
      <c r="O11" s="1730">
        <f>LOOKUP(ARBETSBLAD!$L$4+SUM($I$53:N$53),ARBETSBLAD!$I$6:$AF$6,fx!$I387:$AF387)</f>
        <v>0</v>
      </c>
      <c r="P11" s="1730">
        <f>LOOKUP(ARBETSBLAD!$L$4+SUM($I$53:O$53),ARBETSBLAD!$I$6:$AF$6,fx!$I387:$AF387)</f>
        <v>0</v>
      </c>
      <c r="Q11" s="1730">
        <f>LOOKUP(ARBETSBLAD!$L$4+SUM($I$53:P$53),ARBETSBLAD!$I$6:$AF$6,fx!$I387:$AF387)</f>
        <v>0</v>
      </c>
      <c r="R11" s="1730">
        <f>LOOKUP(ARBETSBLAD!$L$4+SUM($I$53:Q$53),ARBETSBLAD!$I$6:$AF$6,fx!$I387:$AF387)</f>
        <v>0</v>
      </c>
      <c r="S11" s="1730">
        <f>LOOKUP(ARBETSBLAD!$L$4+SUM($I$53:R$53),ARBETSBLAD!$I$6:$AF$6,fx!$I387:$AF387)</f>
        <v>0</v>
      </c>
      <c r="T11" s="1730">
        <f>LOOKUP(ARBETSBLAD!$L$4+SUM($I$53:S$53),ARBETSBLAD!$I$6:$AF$6,fx!$I387:$AF387)</f>
        <v>0</v>
      </c>
      <c r="U11" s="1730">
        <f>LOOKUP(ARBETSBLAD!$L$4+SUM($I$53:T$53),ARBETSBLAD!$I$6:$AF$6,fx!$I387:$AF387)</f>
        <v>0</v>
      </c>
      <c r="V11" s="1730">
        <f>LOOKUP(ARBETSBLAD!$L$4+SUM($I$53:U$53),ARBETSBLAD!$I$6:$AF$6,fx!$I387:$AF387)*V$52</f>
        <v>0</v>
      </c>
      <c r="W11" s="1730">
        <f>LOOKUP(ARBETSBLAD!$L$4+SUM($I$53:V$53),ARBETSBLAD!$I$6:$AF$6,fx!$I387:$AF387)*W$52</f>
        <v>0</v>
      </c>
      <c r="X11" s="1730">
        <f>LOOKUP(ARBETSBLAD!$L$4+SUM($I$53:W$53),ARBETSBLAD!$I$6:$AF$6,fx!$I387:$AF387)*X$52</f>
        <v>0</v>
      </c>
      <c r="Y11" s="1730">
        <f>LOOKUP(ARBETSBLAD!$L$4+SUM($I$53:X$53),ARBETSBLAD!$I$6:$AF$6,fx!$I387:$AF387)*Y$52</f>
        <v>0</v>
      </c>
      <c r="Z11" s="1730">
        <f>LOOKUP(ARBETSBLAD!$L$4+SUM($I$53:Y$53),ARBETSBLAD!$I$6:$AF$6,fx!$I387:$AF387)*Z$52</f>
        <v>0</v>
      </c>
      <c r="AA11" s="1730">
        <f>LOOKUP(ARBETSBLAD!$L$4+SUM($I$53:Z$53),ARBETSBLAD!$I$6:$AF$6,fx!$I387:$AF387)*AA$52</f>
        <v>0</v>
      </c>
      <c r="AB11" s="1730">
        <f>LOOKUP(ARBETSBLAD!$L$4+SUM($I$53:AA$53),ARBETSBLAD!$I$6:$AF$6,fx!$I387:$AF387)*AB$52</f>
        <v>0</v>
      </c>
      <c r="AC11" s="1730">
        <f>LOOKUP(ARBETSBLAD!$L$4+SUM($I$53:AB$53),ARBETSBLAD!$I$6:$AF$6,fx!$I387:$AF387)*AC$52</f>
        <v>0</v>
      </c>
      <c r="AD11" s="1730">
        <f>LOOKUP(ARBETSBLAD!$L$4+SUM($I$53:AC$53),ARBETSBLAD!$I$6:$AF$6,fx!$I387:$AF387)*AD$52</f>
        <v>0</v>
      </c>
      <c r="AE11" s="1730">
        <f>LOOKUP(ARBETSBLAD!$L$4+SUM($I$53:AD$53),ARBETSBLAD!$I$6:$AF$6,fx!$I387:$AF387)*AE$52</f>
        <v>0</v>
      </c>
      <c r="AF11" s="1730">
        <f>LOOKUP(ARBETSBLAD!$L$4+SUM($I$53:AE$53),ARBETSBLAD!$I$6:$AF$6,fx!$I387:$AF387)*AF$52</f>
        <v>0</v>
      </c>
    </row>
    <row r="12" spans="2:33" ht="12" customHeight="1">
      <c r="B12" s="1711" t="str">
        <f>fx!B388</f>
        <v>Lån och ändring av limit för checkkredit</v>
      </c>
      <c r="C12" s="201"/>
      <c r="D12" s="201"/>
      <c r="E12" s="201"/>
      <c r="F12" s="201"/>
      <c r="G12" s="201"/>
      <c r="H12" s="201"/>
      <c r="I12" s="1730">
        <f>LOOKUP(ARBETSBLAD!$L$4,ARBETSBLAD!$I$6:$AF$6,fx!$I388:$AF388)</f>
        <v>0</v>
      </c>
      <c r="J12" s="1730">
        <f>LOOKUP(ARBETSBLAD!$L$4+SUM($I$53:I$53),ARBETSBLAD!$I$6:$AF$6,fx!$I388:$AF388)</f>
        <v>0</v>
      </c>
      <c r="K12" s="1730">
        <f>LOOKUP(ARBETSBLAD!$L$4+SUM($I$53:J$53),ARBETSBLAD!$I$6:$AF$6,fx!$I388:$AF388)</f>
        <v>0</v>
      </c>
      <c r="L12" s="1730">
        <f>LOOKUP(ARBETSBLAD!$L$4+SUM($I$53:K$53),ARBETSBLAD!$I$6:$AF$6,fx!$I388:$AF388)</f>
        <v>0</v>
      </c>
      <c r="M12" s="1730">
        <f>LOOKUP(ARBETSBLAD!$L$4+SUM($I$53:L$53),ARBETSBLAD!$I$6:$AF$6,fx!$I388:$AF388)</f>
        <v>0</v>
      </c>
      <c r="N12" s="1730">
        <f>LOOKUP(ARBETSBLAD!$L$4+SUM($I$53:M$53),ARBETSBLAD!$I$6:$AF$6,fx!$I388:$AF388)</f>
        <v>0</v>
      </c>
      <c r="O12" s="1730">
        <f>LOOKUP(ARBETSBLAD!$L$4+SUM($I$53:N$53),ARBETSBLAD!$I$6:$AF$6,fx!$I388:$AF388)</f>
        <v>0</v>
      </c>
      <c r="P12" s="1730">
        <f>LOOKUP(ARBETSBLAD!$L$4+SUM($I$53:O$53),ARBETSBLAD!$I$6:$AF$6,fx!$I388:$AF388)</f>
        <v>0</v>
      </c>
      <c r="Q12" s="1730">
        <f>LOOKUP(ARBETSBLAD!$L$4+SUM($I$53:P$53),ARBETSBLAD!$I$6:$AF$6,fx!$I388:$AF388)</f>
        <v>0</v>
      </c>
      <c r="R12" s="1730">
        <f>LOOKUP(ARBETSBLAD!$L$4+SUM($I$53:Q$53),ARBETSBLAD!$I$6:$AF$6,fx!$I388:$AF388)</f>
        <v>0</v>
      </c>
      <c r="S12" s="1730">
        <f>LOOKUP(ARBETSBLAD!$L$4+SUM($I$53:R$53),ARBETSBLAD!$I$6:$AF$6,fx!$I388:$AF388)</f>
        <v>0</v>
      </c>
      <c r="T12" s="1730">
        <f>LOOKUP(ARBETSBLAD!$L$4+SUM($I$53:S$53),ARBETSBLAD!$I$6:$AF$6,fx!$I388:$AF388)</f>
        <v>0</v>
      </c>
      <c r="U12" s="1730">
        <f>LOOKUP(ARBETSBLAD!$L$4+SUM($I$53:T$53),ARBETSBLAD!$I$6:$AF$6,fx!$I388:$AF388)</f>
        <v>0</v>
      </c>
      <c r="V12" s="1730">
        <f>LOOKUP(ARBETSBLAD!$L$4+SUM($I$53:U$53),ARBETSBLAD!$I$6:$AF$6,fx!$I388:$AF388)*V$52</f>
        <v>0</v>
      </c>
      <c r="W12" s="1730">
        <f>LOOKUP(ARBETSBLAD!$L$4+SUM($I$53:V$53),ARBETSBLAD!$I$6:$AF$6,fx!$I388:$AF388)*W$52</f>
        <v>0</v>
      </c>
      <c r="X12" s="1730">
        <f>LOOKUP(ARBETSBLAD!$L$4+SUM($I$53:W$53),ARBETSBLAD!$I$6:$AF$6,fx!$I388:$AF388)*X$52</f>
        <v>0</v>
      </c>
      <c r="Y12" s="1730">
        <f>LOOKUP(ARBETSBLAD!$L$4+SUM($I$53:X$53),ARBETSBLAD!$I$6:$AF$6,fx!$I388:$AF388)*Y$52</f>
        <v>0</v>
      </c>
      <c r="Z12" s="1730">
        <f>LOOKUP(ARBETSBLAD!$L$4+SUM($I$53:Y$53),ARBETSBLAD!$I$6:$AF$6,fx!$I388:$AF388)*Z$52</f>
        <v>0</v>
      </c>
      <c r="AA12" s="1730">
        <f>LOOKUP(ARBETSBLAD!$L$4+SUM($I$53:Z$53),ARBETSBLAD!$I$6:$AF$6,fx!$I388:$AF388)*AA$52</f>
        <v>0</v>
      </c>
      <c r="AB12" s="1730">
        <f>LOOKUP(ARBETSBLAD!$L$4+SUM($I$53:AA$53),ARBETSBLAD!$I$6:$AF$6,fx!$I388:$AF388)*AB$52</f>
        <v>0</v>
      </c>
      <c r="AC12" s="1730">
        <f>LOOKUP(ARBETSBLAD!$L$4+SUM($I$53:AB$53),ARBETSBLAD!$I$6:$AF$6,fx!$I388:$AF388)*AC$52</f>
        <v>0</v>
      </c>
      <c r="AD12" s="1730">
        <f>LOOKUP(ARBETSBLAD!$L$4+SUM($I$53:AC$53),ARBETSBLAD!$I$6:$AF$6,fx!$I388:$AF388)*AD$52</f>
        <v>0</v>
      </c>
      <c r="AE12" s="1730">
        <f>LOOKUP(ARBETSBLAD!$L$4+SUM($I$53:AD$53),ARBETSBLAD!$I$6:$AF$6,fx!$I388:$AF388)*AE$52</f>
        <v>0</v>
      </c>
      <c r="AF12" s="1730">
        <f>LOOKUP(ARBETSBLAD!$L$4+SUM($I$53:AE$53),ARBETSBLAD!$I$6:$AF$6,fx!$I388:$AF388)*AF$52</f>
        <v>0</v>
      </c>
    </row>
    <row r="13" spans="2:33" ht="12" customHeight="1">
      <c r="B13" s="1711" t="str">
        <f>fx!B389</f>
        <v>Kundbetald utgående moms</v>
      </c>
      <c r="C13" s="201"/>
      <c r="D13" s="201"/>
      <c r="E13" s="201"/>
      <c r="F13" s="201"/>
      <c r="G13" s="201"/>
      <c r="H13" s="201"/>
      <c r="I13" s="1730">
        <f>LOOKUP(ARBETSBLAD!$L$4,ARBETSBLAD!$I$6:$AF$6,fx!$I389:$AF389)</f>
        <v>0</v>
      </c>
      <c r="J13" s="1730">
        <f>LOOKUP(ARBETSBLAD!$L$4+SUM($I$53:I$53),ARBETSBLAD!$I$6:$AF$6,fx!$I389:$AF389)</f>
        <v>0</v>
      </c>
      <c r="K13" s="1730">
        <f>LOOKUP(ARBETSBLAD!$L$4+SUM($I$53:J$53),ARBETSBLAD!$I$6:$AF$6,fx!$I389:$AF389)</f>
        <v>0</v>
      </c>
      <c r="L13" s="1730">
        <f>LOOKUP(ARBETSBLAD!$L$4+SUM($I$53:K$53),ARBETSBLAD!$I$6:$AF$6,fx!$I389:$AF389)</f>
        <v>0</v>
      </c>
      <c r="M13" s="1730">
        <f>LOOKUP(ARBETSBLAD!$L$4+SUM($I$53:L$53),ARBETSBLAD!$I$6:$AF$6,fx!$I389:$AF389)</f>
        <v>0</v>
      </c>
      <c r="N13" s="1730">
        <f>LOOKUP(ARBETSBLAD!$L$4+SUM($I$53:M$53),ARBETSBLAD!$I$6:$AF$6,fx!$I389:$AF389)</f>
        <v>0</v>
      </c>
      <c r="O13" s="1730">
        <f>LOOKUP(ARBETSBLAD!$L$4+SUM($I$53:N$53),ARBETSBLAD!$I$6:$AF$6,fx!$I389:$AF389)</f>
        <v>0</v>
      </c>
      <c r="P13" s="1730">
        <f>LOOKUP(ARBETSBLAD!$L$4+SUM($I$53:O$53),ARBETSBLAD!$I$6:$AF$6,fx!$I389:$AF389)</f>
        <v>0</v>
      </c>
      <c r="Q13" s="1730">
        <f>LOOKUP(ARBETSBLAD!$L$4+SUM($I$53:P$53),ARBETSBLAD!$I$6:$AF$6,fx!$I389:$AF389)</f>
        <v>0</v>
      </c>
      <c r="R13" s="1730">
        <f>LOOKUP(ARBETSBLAD!$L$4+SUM($I$53:Q$53),ARBETSBLAD!$I$6:$AF$6,fx!$I389:$AF389)</f>
        <v>0</v>
      </c>
      <c r="S13" s="1730">
        <f>LOOKUP(ARBETSBLAD!$L$4+SUM($I$53:R$53),ARBETSBLAD!$I$6:$AF$6,fx!$I389:$AF389)</f>
        <v>0</v>
      </c>
      <c r="T13" s="1730">
        <f>LOOKUP(ARBETSBLAD!$L$4+SUM($I$53:S$53),ARBETSBLAD!$I$6:$AF$6,fx!$I389:$AF389)</f>
        <v>0</v>
      </c>
      <c r="U13" s="1730">
        <f>LOOKUP(ARBETSBLAD!$L$4+SUM($I$53:T$53),ARBETSBLAD!$I$6:$AF$6,fx!$I389:$AF389)</f>
        <v>0</v>
      </c>
      <c r="V13" s="1730">
        <f>LOOKUP(ARBETSBLAD!$L$4+SUM($I$53:U$53),ARBETSBLAD!$I$6:$AF$6,fx!$I389:$AF389)*V$52</f>
        <v>0</v>
      </c>
      <c r="W13" s="1730">
        <f>LOOKUP(ARBETSBLAD!$L$4+SUM($I$53:V$53),ARBETSBLAD!$I$6:$AF$6,fx!$I389:$AF389)*W$52</f>
        <v>0</v>
      </c>
      <c r="X13" s="1730">
        <f>LOOKUP(ARBETSBLAD!$L$4+SUM($I$53:W$53),ARBETSBLAD!$I$6:$AF$6,fx!$I389:$AF389)*X$52</f>
        <v>0</v>
      </c>
      <c r="Y13" s="1730">
        <f>LOOKUP(ARBETSBLAD!$L$4+SUM($I$53:X$53),ARBETSBLAD!$I$6:$AF$6,fx!$I389:$AF389)*Y$52</f>
        <v>0</v>
      </c>
      <c r="Z13" s="1730">
        <f>LOOKUP(ARBETSBLAD!$L$4+SUM($I$53:Y$53),ARBETSBLAD!$I$6:$AF$6,fx!$I389:$AF389)*Z$52</f>
        <v>0</v>
      </c>
      <c r="AA13" s="1730">
        <f>LOOKUP(ARBETSBLAD!$L$4+SUM($I$53:Z$53),ARBETSBLAD!$I$6:$AF$6,fx!$I389:$AF389)*AA$52</f>
        <v>0</v>
      </c>
      <c r="AB13" s="1730">
        <f>LOOKUP(ARBETSBLAD!$L$4+SUM($I$53:AA$53),ARBETSBLAD!$I$6:$AF$6,fx!$I389:$AF389)*AB$52</f>
        <v>0</v>
      </c>
      <c r="AC13" s="1730">
        <f>LOOKUP(ARBETSBLAD!$L$4+SUM($I$53:AB$53),ARBETSBLAD!$I$6:$AF$6,fx!$I389:$AF389)*AC$52</f>
        <v>0</v>
      </c>
      <c r="AD13" s="1730">
        <f>LOOKUP(ARBETSBLAD!$L$4+SUM($I$53:AC$53),ARBETSBLAD!$I$6:$AF$6,fx!$I389:$AF389)*AD$52</f>
        <v>0</v>
      </c>
      <c r="AE13" s="1730">
        <f>LOOKUP(ARBETSBLAD!$L$4+SUM($I$53:AD$53),ARBETSBLAD!$I$6:$AF$6,fx!$I389:$AF389)*AE$52</f>
        <v>0</v>
      </c>
      <c r="AF13" s="1730">
        <f>LOOKUP(ARBETSBLAD!$L$4+SUM($I$53:AE$53),ARBETSBLAD!$I$6:$AF$6,fx!$I389:$AF389)*AF$52</f>
        <v>0</v>
      </c>
    </row>
    <row r="14" spans="2:33" ht="12" customHeight="1">
      <c r="B14" s="1701" t="str">
        <f>fx!B390</f>
        <v>Momsbetalning från Skatteverket</v>
      </c>
      <c r="C14" s="1702"/>
      <c r="D14" s="1702"/>
      <c r="E14" s="1702"/>
      <c r="F14" s="1702"/>
      <c r="G14" s="1702"/>
      <c r="H14" s="1702"/>
      <c r="I14" s="1730">
        <f>LOOKUP(ARBETSBLAD!$L$4,ARBETSBLAD!$I$6:$AF$6,fx!$I390:$AF390)</f>
        <v>0</v>
      </c>
      <c r="J14" s="1730">
        <f>LOOKUP(ARBETSBLAD!$L$4+SUM($I$53:I$53),ARBETSBLAD!$I$6:$AF$6,fx!$I390:$AF390)</f>
        <v>0</v>
      </c>
      <c r="K14" s="1730">
        <f ca="1">LOOKUP(ARBETSBLAD!$L$4+SUM($I$53:J$53),ARBETSBLAD!$I$6:$AF$6,fx!$I390:$AF390)</f>
        <v>0</v>
      </c>
      <c r="L14" s="1730">
        <f ca="1">LOOKUP(ARBETSBLAD!$L$4+SUM($I$53:K$53),ARBETSBLAD!$I$6:$AF$6,fx!$I390:$AF390)</f>
        <v>0</v>
      </c>
      <c r="M14" s="1730">
        <f ca="1">LOOKUP(ARBETSBLAD!$L$4+SUM($I$53:L$53),ARBETSBLAD!$I$6:$AF$6,fx!$I390:$AF390)</f>
        <v>0</v>
      </c>
      <c r="N14" s="1730">
        <f ca="1">LOOKUP(ARBETSBLAD!$L$4+SUM($I$53:M$53),ARBETSBLAD!$I$6:$AF$6,fx!$I390:$AF390)</f>
        <v>0</v>
      </c>
      <c r="O14" s="1730">
        <f ca="1">LOOKUP(ARBETSBLAD!$L$4+SUM($I$53:N$53),ARBETSBLAD!$I$6:$AF$6,fx!$I390:$AF390)</f>
        <v>0</v>
      </c>
      <c r="P14" s="1730">
        <f ca="1">LOOKUP(ARBETSBLAD!$L$4+SUM($I$53:O$53),ARBETSBLAD!$I$6:$AF$6,fx!$I390:$AF390)</f>
        <v>0</v>
      </c>
      <c r="Q14" s="1730">
        <f ca="1">LOOKUP(ARBETSBLAD!$L$4+SUM($I$53:P$53),ARBETSBLAD!$I$6:$AF$6,fx!$I390:$AF390)</f>
        <v>0</v>
      </c>
      <c r="R14" s="1730">
        <f ca="1">LOOKUP(ARBETSBLAD!$L$4+SUM($I$53:Q$53),ARBETSBLAD!$I$6:$AF$6,fx!$I390:$AF390)</f>
        <v>0</v>
      </c>
      <c r="S14" s="1730">
        <f ca="1">LOOKUP(ARBETSBLAD!$L$4+SUM($I$53:R$53),ARBETSBLAD!$I$6:$AF$6,fx!$I390:$AF390)</f>
        <v>0</v>
      </c>
      <c r="T14" s="1730">
        <f ca="1">LOOKUP(ARBETSBLAD!$L$4+SUM($I$53:S$53),ARBETSBLAD!$I$6:$AF$6,fx!$I390:$AF390)</f>
        <v>0</v>
      </c>
      <c r="U14" s="1730">
        <f ca="1">LOOKUP(ARBETSBLAD!$L$4+SUM($I$53:T$53),ARBETSBLAD!$I$6:$AF$6,fx!$I390:$AF390)</f>
        <v>0</v>
      </c>
      <c r="V14" s="1730">
        <f ca="1">LOOKUP(ARBETSBLAD!$L$4+SUM($I$53:U$53),ARBETSBLAD!$I$6:$AF$6,fx!$I390:$AF390)*V$52</f>
        <v>0</v>
      </c>
      <c r="W14" s="1730">
        <f ca="1">LOOKUP(ARBETSBLAD!$L$4+SUM($I$53:V$53),ARBETSBLAD!$I$6:$AF$6,fx!$I390:$AF390)*W$52</f>
        <v>0</v>
      </c>
      <c r="X14" s="1730">
        <f ca="1">LOOKUP(ARBETSBLAD!$L$4+SUM($I$53:W$53),ARBETSBLAD!$I$6:$AF$6,fx!$I390:$AF390)*X$52</f>
        <v>0</v>
      </c>
      <c r="Y14" s="1730">
        <f ca="1">LOOKUP(ARBETSBLAD!$L$4+SUM($I$53:X$53),ARBETSBLAD!$I$6:$AF$6,fx!$I390:$AF390)*Y$52</f>
        <v>0</v>
      </c>
      <c r="Z14" s="1730">
        <f ca="1">LOOKUP(ARBETSBLAD!$L$4+SUM($I$53:Y$53),ARBETSBLAD!$I$6:$AF$6,fx!$I390:$AF390)*Z$52</f>
        <v>0</v>
      </c>
      <c r="AA14" s="1730">
        <f ca="1">LOOKUP(ARBETSBLAD!$L$4+SUM($I$53:Z$53),ARBETSBLAD!$I$6:$AF$6,fx!$I390:$AF390)*AA$52</f>
        <v>0</v>
      </c>
      <c r="AB14" s="1730">
        <f ca="1">LOOKUP(ARBETSBLAD!$L$4+SUM($I$53:AA$53),ARBETSBLAD!$I$6:$AF$6,fx!$I390:$AF390)*AB$52</f>
        <v>0</v>
      </c>
      <c r="AC14" s="1730">
        <f ca="1">LOOKUP(ARBETSBLAD!$L$4+SUM($I$53:AB$53),ARBETSBLAD!$I$6:$AF$6,fx!$I390:$AF390)*AC$52</f>
        <v>0</v>
      </c>
      <c r="AD14" s="1730">
        <f ca="1">LOOKUP(ARBETSBLAD!$L$4+SUM($I$53:AC$53),ARBETSBLAD!$I$6:$AF$6,fx!$I390:$AF390)*AD$52</f>
        <v>0</v>
      </c>
      <c r="AE14" s="1730">
        <f ca="1">LOOKUP(ARBETSBLAD!$L$4+SUM($I$53:AD$53),ARBETSBLAD!$I$6:$AF$6,fx!$I390:$AF390)*AE$52</f>
        <v>0</v>
      </c>
      <c r="AF14" s="1730">
        <f ca="1">LOOKUP(ARBETSBLAD!$L$4+SUM($I$53:AE$53),ARBETSBLAD!$I$6:$AF$6,fx!$I390:$AF390)*AF$52</f>
        <v>0</v>
      </c>
    </row>
    <row r="15" spans="2:33" ht="12" customHeight="1">
      <c r="B15" s="1713" t="s">
        <v>48</v>
      </c>
      <c r="C15" s="1714"/>
      <c r="D15" s="1714"/>
      <c r="E15" s="1714"/>
      <c r="F15" s="1714"/>
      <c r="G15" s="1714"/>
      <c r="H15" s="1714"/>
      <c r="I15" s="1731">
        <f>LOOKUP(ARBETSBLAD!$L$4,ARBETSBLAD!$I$6:$AF$6,fx!$I391:$AF391)</f>
        <v>0</v>
      </c>
      <c r="J15" s="1731">
        <f>LOOKUP(ARBETSBLAD!$L$4+SUM($I$53:I$53),ARBETSBLAD!$I$6:$AF$6,fx!$I391:$AF391)</f>
        <v>0</v>
      </c>
      <c r="K15" s="1731">
        <f ca="1">LOOKUP(ARBETSBLAD!$L$4+SUM($I$53:J$53),ARBETSBLAD!$I$6:$AF$6,fx!$I391:$AF391)</f>
        <v>0</v>
      </c>
      <c r="L15" s="1731">
        <f ca="1">LOOKUP(ARBETSBLAD!$L$4+SUM($I$53:K$53),ARBETSBLAD!$I$6:$AF$6,fx!$I391:$AF391)</f>
        <v>0</v>
      </c>
      <c r="M15" s="1731">
        <f ca="1">LOOKUP(ARBETSBLAD!$L$4+SUM($I$53:L$53),ARBETSBLAD!$I$6:$AF$6,fx!$I391:$AF391)</f>
        <v>0</v>
      </c>
      <c r="N15" s="1731">
        <f ca="1">LOOKUP(ARBETSBLAD!$L$4+SUM($I$53:M$53),ARBETSBLAD!$I$6:$AF$6,fx!$I391:$AF391)</f>
        <v>0</v>
      </c>
      <c r="O15" s="1731">
        <f ca="1">LOOKUP(ARBETSBLAD!$L$4+SUM($I$53:N$53),ARBETSBLAD!$I$6:$AF$6,fx!$I391:$AF391)</f>
        <v>0</v>
      </c>
      <c r="P15" s="1731">
        <f ca="1">LOOKUP(ARBETSBLAD!$L$4+SUM($I$53:O$53),ARBETSBLAD!$I$6:$AF$6,fx!$I391:$AF391)</f>
        <v>0</v>
      </c>
      <c r="Q15" s="1731">
        <f ca="1">LOOKUP(ARBETSBLAD!$L$4+SUM($I$53:P$53),ARBETSBLAD!$I$6:$AF$6,fx!$I391:$AF391)</f>
        <v>0</v>
      </c>
      <c r="R15" s="1731">
        <f ca="1">LOOKUP(ARBETSBLAD!$L$4+SUM($I$53:Q$53),ARBETSBLAD!$I$6:$AF$6,fx!$I391:$AF391)</f>
        <v>0</v>
      </c>
      <c r="S15" s="1731">
        <f ca="1">LOOKUP(ARBETSBLAD!$L$4+SUM($I$53:R$53),ARBETSBLAD!$I$6:$AF$6,fx!$I391:$AF391)</f>
        <v>0</v>
      </c>
      <c r="T15" s="1731">
        <f ca="1">LOOKUP(ARBETSBLAD!$L$4+SUM($I$53:S$53),ARBETSBLAD!$I$6:$AF$6,fx!$I391:$AF391)</f>
        <v>0</v>
      </c>
      <c r="U15" s="1731">
        <f ca="1">LOOKUP(ARBETSBLAD!$L$4+SUM($I$53:T$53),ARBETSBLAD!$I$6:$AF$6,fx!$I391:$AF391)</f>
        <v>0</v>
      </c>
      <c r="V15" s="1731">
        <f ca="1">LOOKUP(ARBETSBLAD!$L$4+SUM($I$53:U$53),ARBETSBLAD!$I$6:$AF$6,fx!$I391:$AF391)*V$52</f>
        <v>0</v>
      </c>
      <c r="W15" s="1731">
        <f ca="1">LOOKUP(ARBETSBLAD!$L$4+SUM($I$53:V$53),ARBETSBLAD!$I$6:$AF$6,fx!$I391:$AF391)*W$52</f>
        <v>0</v>
      </c>
      <c r="X15" s="1731">
        <f ca="1">LOOKUP(ARBETSBLAD!$L$4+SUM($I$53:W$53),ARBETSBLAD!$I$6:$AF$6,fx!$I391:$AF391)*X$52</f>
        <v>0</v>
      </c>
      <c r="Y15" s="1731">
        <f ca="1">LOOKUP(ARBETSBLAD!$L$4+SUM($I$53:X$53),ARBETSBLAD!$I$6:$AF$6,fx!$I391:$AF391)*Y$52</f>
        <v>0</v>
      </c>
      <c r="Z15" s="1731">
        <f ca="1">LOOKUP(ARBETSBLAD!$L$4+SUM($I$53:Y$53),ARBETSBLAD!$I$6:$AF$6,fx!$I391:$AF391)*Z$52</f>
        <v>0</v>
      </c>
      <c r="AA15" s="1731">
        <f ca="1">LOOKUP(ARBETSBLAD!$L$4+SUM($I$53:Z$53),ARBETSBLAD!$I$6:$AF$6,fx!$I391:$AF391)*AA$52</f>
        <v>0</v>
      </c>
      <c r="AB15" s="1731">
        <f ca="1">LOOKUP(ARBETSBLAD!$L$4+SUM($I$53:AA$53),ARBETSBLAD!$I$6:$AF$6,fx!$I391:$AF391)*AB$52</f>
        <v>0</v>
      </c>
      <c r="AC15" s="1731">
        <f ca="1">LOOKUP(ARBETSBLAD!$L$4+SUM($I$53:AB$53),ARBETSBLAD!$I$6:$AF$6,fx!$I391:$AF391)*AC$52</f>
        <v>0</v>
      </c>
      <c r="AD15" s="1731">
        <f ca="1">LOOKUP(ARBETSBLAD!$L$4+SUM($I$53:AC$53),ARBETSBLAD!$I$6:$AF$6,fx!$I391:$AF391)*AD$52</f>
        <v>0</v>
      </c>
      <c r="AE15" s="1731">
        <f ca="1">LOOKUP(ARBETSBLAD!$L$4+SUM($I$53:AD$53),ARBETSBLAD!$I$6:$AF$6,fx!$I391:$AF391)*AE$52</f>
        <v>0</v>
      </c>
      <c r="AF15" s="1731">
        <f ca="1">LOOKUP(ARBETSBLAD!$L$4+SUM($I$53:AE$53),ARBETSBLAD!$I$6:$AF$6,fx!$I391:$AF391)*AF$52</f>
        <v>0</v>
      </c>
    </row>
    <row r="16" spans="2:33" ht="12" customHeight="1">
      <c r="B16" s="1703" t="s">
        <v>49</v>
      </c>
      <c r="C16" s="1704"/>
      <c r="D16" s="1704"/>
      <c r="E16" s="1704"/>
      <c r="F16" s="1705"/>
      <c r="G16" s="1715"/>
      <c r="H16" s="1705"/>
      <c r="I16" s="1732"/>
      <c r="J16" s="1733"/>
      <c r="K16" s="1733"/>
      <c r="L16" s="1732"/>
      <c r="M16" s="1732"/>
      <c r="N16" s="1732"/>
      <c r="O16" s="1733"/>
      <c r="P16" s="1733"/>
      <c r="Q16" s="1732"/>
      <c r="R16" s="1732"/>
      <c r="S16" s="1732"/>
      <c r="T16" s="1732"/>
      <c r="U16" s="1734"/>
      <c r="V16" s="1733">
        <f>LOOKUP(ARBETSBLAD!$L$4+SUM($I$53:U$53),ARBETSBLAD!$I$6:$AF$6,fx!$I392:$AF392)*V$52</f>
        <v>0</v>
      </c>
      <c r="W16" s="1733">
        <f>LOOKUP(ARBETSBLAD!$L$4+SUM($I$53:V$53),ARBETSBLAD!$I$6:$AF$6,fx!$I392:$AF392)*W$52</f>
        <v>0</v>
      </c>
      <c r="X16" s="1732">
        <f>LOOKUP(ARBETSBLAD!$L$4+SUM($I$53:W$53),ARBETSBLAD!$I$6:$AF$6,fx!$I392:$AF392)*X$52</f>
        <v>0</v>
      </c>
      <c r="Y16" s="1732">
        <f>LOOKUP(ARBETSBLAD!$L$4+SUM($I$53:X$53),ARBETSBLAD!$I$6:$AF$6,fx!$I392:$AF392)*Y$52</f>
        <v>0</v>
      </c>
      <c r="Z16" s="1732">
        <f>LOOKUP(ARBETSBLAD!$L$4+SUM($I$53:Y$53),ARBETSBLAD!$I$6:$AF$6,fx!$I392:$AF392)*Z$52</f>
        <v>0</v>
      </c>
      <c r="AA16" s="1733">
        <f>LOOKUP(ARBETSBLAD!$L$4+SUM($I$53:Z$53),ARBETSBLAD!$I$6:$AF$6,fx!$I392:$AF392)*AA$52</f>
        <v>0</v>
      </c>
      <c r="AB16" s="1733">
        <f>LOOKUP(ARBETSBLAD!$L$4+SUM($I$53:AA$53),ARBETSBLAD!$I$6:$AF$6,fx!$I392:$AF392)*AB$52</f>
        <v>0</v>
      </c>
      <c r="AC16" s="1732">
        <f>LOOKUP(ARBETSBLAD!$L$4+SUM($I$53:AB$53),ARBETSBLAD!$I$6:$AF$6,fx!$I392:$AF392)*AC$52</f>
        <v>0</v>
      </c>
      <c r="AD16" s="1732">
        <f>LOOKUP(ARBETSBLAD!$L$4+SUM($I$53:AC$53),ARBETSBLAD!$I$6:$AF$6,fx!$I392:$AF392)*AD$52</f>
        <v>0</v>
      </c>
      <c r="AE16" s="1732">
        <f>LOOKUP(ARBETSBLAD!$L$4+SUM($I$53:AD$53),ARBETSBLAD!$I$6:$AF$6,fx!$I392:$AF392)*AE$52</f>
        <v>0</v>
      </c>
      <c r="AF16" s="1735">
        <f>LOOKUP(ARBETSBLAD!$L$4+SUM($I$53:AE$53),ARBETSBLAD!$I$6:$AF$6,fx!$I392:$AF392)*AF$52</f>
        <v>0</v>
      </c>
      <c r="AG16" s="1116"/>
    </row>
    <row r="17" spans="2:32" ht="12" customHeight="1">
      <c r="B17" s="2279" t="str">
        <f>fx!B393</f>
        <v>Betalning till leverantörer av varor, materiel o fr tjänster</v>
      </c>
      <c r="C17" s="2280"/>
      <c r="D17" s="2280"/>
      <c r="E17" s="2280"/>
      <c r="F17" s="2280"/>
      <c r="G17" s="1716"/>
      <c r="H17" s="1707"/>
      <c r="I17" s="1727">
        <f>LOOKUP(ARBETSBLAD!$L$4,ARBETSBLAD!$I$6:$AF$6,fx!$I393:$AF393)</f>
        <v>0</v>
      </c>
      <c r="J17" s="1727">
        <f>LOOKUP(ARBETSBLAD!$L$4+SUM($I$53:I$53),ARBETSBLAD!$I$6:$AF$6,fx!$I393:$AF393)</f>
        <v>0</v>
      </c>
      <c r="K17" s="1727">
        <f>LOOKUP(ARBETSBLAD!$L$4+SUM($I$53:J$53),ARBETSBLAD!$I$6:$AF$6,fx!$I393:$AF393)</f>
        <v>0</v>
      </c>
      <c r="L17" s="1727">
        <f>LOOKUP(ARBETSBLAD!$L$4+SUM($I$53:K$53),ARBETSBLAD!$I$6:$AF$6,fx!$I393:$AF393)</f>
        <v>0</v>
      </c>
      <c r="M17" s="1727">
        <f>LOOKUP(ARBETSBLAD!$L$4+SUM($I$53:L$53),ARBETSBLAD!$I$6:$AF$6,fx!$I393:$AF393)</f>
        <v>0</v>
      </c>
      <c r="N17" s="1727">
        <f>LOOKUP(ARBETSBLAD!$L$4+SUM($I$53:M$53),ARBETSBLAD!$I$6:$AF$6,fx!$I393:$AF393)</f>
        <v>0</v>
      </c>
      <c r="O17" s="1727">
        <f>LOOKUP(ARBETSBLAD!$L$4+SUM($I$53:N$53),ARBETSBLAD!$I$6:$AF$6,fx!$I393:$AF393)</f>
        <v>0</v>
      </c>
      <c r="P17" s="1727">
        <f>LOOKUP(ARBETSBLAD!$L$4+SUM($I$53:O$53),ARBETSBLAD!$I$6:$AF$6,fx!$I393:$AF393)</f>
        <v>0</v>
      </c>
      <c r="Q17" s="1727">
        <f>LOOKUP(ARBETSBLAD!$L$4+SUM($I$53:P$53),ARBETSBLAD!$I$6:$AF$6,fx!$I393:$AF393)</f>
        <v>0</v>
      </c>
      <c r="R17" s="1727">
        <f>LOOKUP(ARBETSBLAD!$L$4+SUM($I$53:Q$53),ARBETSBLAD!$I$6:$AF$6,fx!$I393:$AF393)</f>
        <v>0</v>
      </c>
      <c r="S17" s="1727">
        <f>LOOKUP(ARBETSBLAD!$L$4+SUM($I$53:R$53),ARBETSBLAD!$I$6:$AF$6,fx!$I393:$AF393)</f>
        <v>0</v>
      </c>
      <c r="T17" s="1727">
        <f>LOOKUP(ARBETSBLAD!$L$4+SUM($I$53:S$53),ARBETSBLAD!$I$6:$AF$6,fx!$I393:$AF393)</f>
        <v>0</v>
      </c>
      <c r="U17" s="1727">
        <f>LOOKUP(ARBETSBLAD!$L$4+SUM($I$53:T$53),ARBETSBLAD!$I$6:$AF$6,fx!$I393:$AF393)</f>
        <v>0</v>
      </c>
      <c r="V17" s="1727">
        <f>LOOKUP(ARBETSBLAD!$L$4+SUM($I$53:U$53),ARBETSBLAD!$I$6:$AF$6,fx!$I393:$AF393)*V$52</f>
        <v>0</v>
      </c>
      <c r="W17" s="1727">
        <f>LOOKUP(ARBETSBLAD!$L$4+SUM($I$53:V$53),ARBETSBLAD!$I$6:$AF$6,fx!$I393:$AF393)*W$52</f>
        <v>0</v>
      </c>
      <c r="X17" s="1727">
        <f>LOOKUP(ARBETSBLAD!$L$4+SUM($I$53:W$53),ARBETSBLAD!$I$6:$AF$6,fx!$I393:$AF393)*X$52</f>
        <v>0</v>
      </c>
      <c r="Y17" s="1727">
        <f>LOOKUP(ARBETSBLAD!$L$4+SUM($I$53:X$53),ARBETSBLAD!$I$6:$AF$6,fx!$I393:$AF393)*Y$52</f>
        <v>0</v>
      </c>
      <c r="Z17" s="1727">
        <f>LOOKUP(ARBETSBLAD!$L$4+SUM($I$53:Y$53),ARBETSBLAD!$I$6:$AF$6,fx!$I393:$AF393)*Z$52</f>
        <v>0</v>
      </c>
      <c r="AA17" s="1727">
        <f>LOOKUP(ARBETSBLAD!$L$4+SUM($I$53:Z$53),ARBETSBLAD!$I$6:$AF$6,fx!$I393:$AF393)*AA$52</f>
        <v>0</v>
      </c>
      <c r="AB17" s="1727">
        <f>LOOKUP(ARBETSBLAD!$L$4+SUM($I$53:AA$53),ARBETSBLAD!$I$6:$AF$6,fx!$I393:$AF393)*AB$52</f>
        <v>0</v>
      </c>
      <c r="AC17" s="1727">
        <f>LOOKUP(ARBETSBLAD!$L$4+SUM($I$53:AB$53),ARBETSBLAD!$I$6:$AF$6,fx!$I393:$AF393)*AC$52</f>
        <v>0</v>
      </c>
      <c r="AD17" s="1727">
        <f>LOOKUP(ARBETSBLAD!$L$4+SUM($I$53:AC$53),ARBETSBLAD!$I$6:$AF$6,fx!$I393:$AF393)*AD$52</f>
        <v>0</v>
      </c>
      <c r="AE17" s="1727">
        <f>LOOKUP(ARBETSBLAD!$L$4+SUM($I$53:AD$53),ARBETSBLAD!$I$6:$AF$6,fx!$I393:$AF393)*AE$52</f>
        <v>0</v>
      </c>
      <c r="AF17" s="1727">
        <f>LOOKUP(ARBETSBLAD!$L$4+SUM($I$53:AE$53),ARBETSBLAD!$I$6:$AF$6,fx!$I393:$AF393)*AF$52</f>
        <v>0</v>
      </c>
    </row>
    <row r="18" spans="2:32" ht="12" customHeight="1">
      <c r="B18" s="2277" t="str">
        <f>fx!B394</f>
        <v>Betalning vid inköp för "övriga kostnader" inkl lokalhyra</v>
      </c>
      <c r="C18" s="2278"/>
      <c r="D18" s="2278"/>
      <c r="E18" s="2278"/>
      <c r="F18" s="2278"/>
      <c r="G18" s="1717"/>
      <c r="H18" s="201"/>
      <c r="I18" s="1730">
        <f>LOOKUP(ARBETSBLAD!$L$4,ARBETSBLAD!$I$6:$AF$6,fx!$I394:$AF394)</f>
        <v>0</v>
      </c>
      <c r="J18" s="1730">
        <f>LOOKUP(ARBETSBLAD!$L$4+SUM($I$53:I$53),ARBETSBLAD!$I$6:$AF$6,fx!$I394:$AF394)</f>
        <v>0</v>
      </c>
      <c r="K18" s="1730">
        <f ca="1">LOOKUP(ARBETSBLAD!$L$4+SUM($I$53:J$53),ARBETSBLAD!$I$6:$AF$6,fx!$I394:$AF394)</f>
        <v>0</v>
      </c>
      <c r="L18" s="1730">
        <f ca="1">LOOKUP(ARBETSBLAD!$L$4+SUM($I$53:K$53),ARBETSBLAD!$I$6:$AF$6,fx!$I394:$AF394)</f>
        <v>0</v>
      </c>
      <c r="M18" s="1730">
        <f ca="1">LOOKUP(ARBETSBLAD!$L$4+SUM($I$53:L$53),ARBETSBLAD!$I$6:$AF$6,fx!$I394:$AF394)</f>
        <v>0</v>
      </c>
      <c r="N18" s="1730">
        <f ca="1">LOOKUP(ARBETSBLAD!$L$4+SUM($I$53:M$53),ARBETSBLAD!$I$6:$AF$6,fx!$I394:$AF394)</f>
        <v>0</v>
      </c>
      <c r="O18" s="1730">
        <f ca="1">LOOKUP(ARBETSBLAD!$L$4+SUM($I$53:N$53),ARBETSBLAD!$I$6:$AF$6,fx!$I394:$AF394)</f>
        <v>0</v>
      </c>
      <c r="P18" s="1730">
        <f ca="1">LOOKUP(ARBETSBLAD!$L$4+SUM($I$53:O$53),ARBETSBLAD!$I$6:$AF$6,fx!$I394:$AF394)</f>
        <v>0</v>
      </c>
      <c r="Q18" s="1730">
        <f ca="1">LOOKUP(ARBETSBLAD!$L$4+SUM($I$53:P$53),ARBETSBLAD!$I$6:$AF$6,fx!$I394:$AF394)</f>
        <v>0</v>
      </c>
      <c r="R18" s="1730">
        <f ca="1">LOOKUP(ARBETSBLAD!$L$4+SUM($I$53:Q$53),ARBETSBLAD!$I$6:$AF$6,fx!$I394:$AF394)</f>
        <v>0</v>
      </c>
      <c r="S18" s="1730">
        <f ca="1">LOOKUP(ARBETSBLAD!$L$4+SUM($I$53:R$53),ARBETSBLAD!$I$6:$AF$6,fx!$I394:$AF394)</f>
        <v>0</v>
      </c>
      <c r="T18" s="1730">
        <f ca="1">LOOKUP(ARBETSBLAD!$L$4+SUM($I$53:S$53),ARBETSBLAD!$I$6:$AF$6,fx!$I394:$AF394)</f>
        <v>0</v>
      </c>
      <c r="U18" s="1730">
        <f ca="1">LOOKUP(ARBETSBLAD!$L$4+SUM($I$53:T$53),ARBETSBLAD!$I$6:$AF$6,fx!$I394:$AF394)</f>
        <v>0</v>
      </c>
      <c r="V18" s="1730">
        <f ca="1">LOOKUP(ARBETSBLAD!$L$4+SUM($I$53:U$53),ARBETSBLAD!$I$6:$AF$6,fx!$I394:$AF394)*V$52</f>
        <v>0</v>
      </c>
      <c r="W18" s="1730">
        <f ca="1">LOOKUP(ARBETSBLAD!$L$4+SUM($I$53:V$53),ARBETSBLAD!$I$6:$AF$6,fx!$I394:$AF394)*W$52</f>
        <v>0</v>
      </c>
      <c r="X18" s="1730">
        <f ca="1">LOOKUP(ARBETSBLAD!$L$4+SUM($I$53:W$53),ARBETSBLAD!$I$6:$AF$6,fx!$I394:$AF394)*X$52</f>
        <v>0</v>
      </c>
      <c r="Y18" s="1730">
        <f ca="1">LOOKUP(ARBETSBLAD!$L$4+SUM($I$53:X$53),ARBETSBLAD!$I$6:$AF$6,fx!$I394:$AF394)*Y$52</f>
        <v>0</v>
      </c>
      <c r="Z18" s="1730">
        <f ca="1">LOOKUP(ARBETSBLAD!$L$4+SUM($I$53:Y$53),ARBETSBLAD!$I$6:$AF$6,fx!$I394:$AF394)*Z$52</f>
        <v>0</v>
      </c>
      <c r="AA18" s="1730">
        <f ca="1">LOOKUP(ARBETSBLAD!$L$4+SUM($I$53:Z$53),ARBETSBLAD!$I$6:$AF$6,fx!$I394:$AF394)*AA$52</f>
        <v>0</v>
      </c>
      <c r="AB18" s="1730">
        <f ca="1">LOOKUP(ARBETSBLAD!$L$4+SUM($I$53:AA$53),ARBETSBLAD!$I$6:$AF$6,fx!$I394:$AF394)*AB$52</f>
        <v>0</v>
      </c>
      <c r="AC18" s="1730">
        <f ca="1">LOOKUP(ARBETSBLAD!$L$4+SUM($I$53:AB$53),ARBETSBLAD!$I$6:$AF$6,fx!$I394:$AF394)*AC$52</f>
        <v>0</v>
      </c>
      <c r="AD18" s="1730">
        <f ca="1">LOOKUP(ARBETSBLAD!$L$4+SUM($I$53:AC$53),ARBETSBLAD!$I$6:$AF$6,fx!$I394:$AF394)*AD$52</f>
        <v>0</v>
      </c>
      <c r="AE18" s="1730">
        <f ca="1">LOOKUP(ARBETSBLAD!$L$4+SUM($I$53:AD$53),ARBETSBLAD!$I$6:$AF$6,fx!$I394:$AF394)*AE$52</f>
        <v>0</v>
      </c>
      <c r="AF18" s="1730">
        <f ca="1">LOOKUP(ARBETSBLAD!$L$4+SUM($I$53:AE$53),ARBETSBLAD!$I$6:$AF$6,fx!$I394:$AF394)*AF$52</f>
        <v>0</v>
      </c>
    </row>
    <row r="19" spans="2:32" ht="12" customHeight="1">
      <c r="B19" s="3092" t="str">
        <f>fx!B395</f>
        <v>Betalning till leverantörer vid inköp av "investeringar"</v>
      </c>
      <c r="C19" s="3093"/>
      <c r="D19" s="3093"/>
      <c r="E19" s="3093"/>
      <c r="F19" s="3093"/>
      <c r="G19" s="1717"/>
      <c r="H19" s="201"/>
      <c r="I19" s="1730">
        <f>LOOKUP(ARBETSBLAD!$L$4,ARBETSBLAD!$I$6:$AF$6,fx!$I395:$AF395)</f>
        <v>0</v>
      </c>
      <c r="J19" s="1730">
        <f>LOOKUP(ARBETSBLAD!$L$4+SUM($I$53:I$53),ARBETSBLAD!$I$6:$AF$6,fx!$I395:$AF395)</f>
        <v>0</v>
      </c>
      <c r="K19" s="1730">
        <f>LOOKUP(ARBETSBLAD!$L$4+SUM($I$53:J$53),ARBETSBLAD!$I$6:$AF$6,fx!$I395:$AF395)</f>
        <v>0</v>
      </c>
      <c r="L19" s="1730">
        <f>LOOKUP(ARBETSBLAD!$L$4+SUM($I$53:K$53),ARBETSBLAD!$I$6:$AF$6,fx!$I395:$AF395)</f>
        <v>0</v>
      </c>
      <c r="M19" s="1730">
        <f>LOOKUP(ARBETSBLAD!$L$4+SUM($I$53:L$53),ARBETSBLAD!$I$6:$AF$6,fx!$I395:$AF395)</f>
        <v>0</v>
      </c>
      <c r="N19" s="1730">
        <f>LOOKUP(ARBETSBLAD!$L$4+SUM($I$53:M$53),ARBETSBLAD!$I$6:$AF$6,fx!$I395:$AF395)</f>
        <v>0</v>
      </c>
      <c r="O19" s="1730">
        <f>LOOKUP(ARBETSBLAD!$L$4+SUM($I$53:N$53),ARBETSBLAD!$I$6:$AF$6,fx!$I395:$AF395)</f>
        <v>0</v>
      </c>
      <c r="P19" s="1730">
        <f>LOOKUP(ARBETSBLAD!$L$4+SUM($I$53:O$53),ARBETSBLAD!$I$6:$AF$6,fx!$I395:$AF395)</f>
        <v>0</v>
      </c>
      <c r="Q19" s="1730">
        <f>LOOKUP(ARBETSBLAD!$L$4+SUM($I$53:P$53),ARBETSBLAD!$I$6:$AF$6,fx!$I395:$AF395)</f>
        <v>0</v>
      </c>
      <c r="R19" s="1730">
        <f>LOOKUP(ARBETSBLAD!$L$4+SUM($I$53:Q$53),ARBETSBLAD!$I$6:$AF$6,fx!$I395:$AF395)</f>
        <v>0</v>
      </c>
      <c r="S19" s="1730">
        <f>LOOKUP(ARBETSBLAD!$L$4+SUM($I$53:R$53),ARBETSBLAD!$I$6:$AF$6,fx!$I395:$AF395)</f>
        <v>0</v>
      </c>
      <c r="T19" s="1730">
        <f>LOOKUP(ARBETSBLAD!$L$4+SUM($I$53:S$53),ARBETSBLAD!$I$6:$AF$6,fx!$I395:$AF395)</f>
        <v>0</v>
      </c>
      <c r="U19" s="1730">
        <f>LOOKUP(ARBETSBLAD!$L$4+SUM($I$53:T$53),ARBETSBLAD!$I$6:$AF$6,fx!$I395:$AF395)</f>
        <v>0</v>
      </c>
      <c r="V19" s="1730">
        <f>LOOKUP(ARBETSBLAD!$L$4+SUM($I$53:U$53),ARBETSBLAD!$I$6:$AF$6,fx!$I395:$AF395)*V$52</f>
        <v>0</v>
      </c>
      <c r="W19" s="1730">
        <f>LOOKUP(ARBETSBLAD!$L$4+SUM($I$53:V$53),ARBETSBLAD!$I$6:$AF$6,fx!$I395:$AF395)*W$52</f>
        <v>0</v>
      </c>
      <c r="X19" s="1730">
        <f>LOOKUP(ARBETSBLAD!$L$4+SUM($I$53:W$53),ARBETSBLAD!$I$6:$AF$6,fx!$I395:$AF395)*X$52</f>
        <v>0</v>
      </c>
      <c r="Y19" s="1730">
        <f>LOOKUP(ARBETSBLAD!$L$4+SUM($I$53:X$53),ARBETSBLAD!$I$6:$AF$6,fx!$I395:$AF395)*Y$52</f>
        <v>0</v>
      </c>
      <c r="Z19" s="1730">
        <f>LOOKUP(ARBETSBLAD!$L$4+SUM($I$53:Y$53),ARBETSBLAD!$I$6:$AF$6,fx!$I395:$AF395)*Z$52</f>
        <v>0</v>
      </c>
      <c r="AA19" s="1730">
        <f>LOOKUP(ARBETSBLAD!$L$4+SUM($I$53:Z$53),ARBETSBLAD!$I$6:$AF$6,fx!$I395:$AF395)*AA$52</f>
        <v>0</v>
      </c>
      <c r="AB19" s="1730">
        <f>LOOKUP(ARBETSBLAD!$L$4+SUM($I$53:AA$53),ARBETSBLAD!$I$6:$AF$6,fx!$I395:$AF395)*AB$52</f>
        <v>0</v>
      </c>
      <c r="AC19" s="1730">
        <f>LOOKUP(ARBETSBLAD!$L$4+SUM($I$53:AB$53),ARBETSBLAD!$I$6:$AF$6,fx!$I395:$AF395)*AC$52</f>
        <v>0</v>
      </c>
      <c r="AD19" s="1730">
        <f>LOOKUP(ARBETSBLAD!$L$4+SUM($I$53:AC$53),ARBETSBLAD!$I$6:$AF$6,fx!$I395:$AF395)*AD$52</f>
        <v>0</v>
      </c>
      <c r="AE19" s="1730">
        <f>LOOKUP(ARBETSBLAD!$L$4+SUM($I$53:AD$53),ARBETSBLAD!$I$6:$AF$6,fx!$I395:$AF395)*AE$52</f>
        <v>0</v>
      </c>
      <c r="AF19" s="1730">
        <f>LOOKUP(ARBETSBLAD!$L$4+SUM($I$53:AE$53),ARBETSBLAD!$I$6:$AF$6,fx!$I395:$AF395)*AF$52</f>
        <v>0</v>
      </c>
    </row>
    <row r="20" spans="2:32" ht="12" customHeight="1">
      <c r="B20" s="3092" t="str">
        <f>fx!B396</f>
        <v>Betalning ing leverantörsskulder o övr ing skulder</v>
      </c>
      <c r="C20" s="3093"/>
      <c r="D20" s="3093"/>
      <c r="E20" s="3093"/>
      <c r="F20" s="3093"/>
      <c r="G20" s="1717"/>
      <c r="H20" s="201"/>
      <c r="I20" s="1730">
        <f>LOOKUP(ARBETSBLAD!$L$4,ARBETSBLAD!$I$6:$AF$6,fx!$I396:$AF396)</f>
        <v>0</v>
      </c>
      <c r="J20" s="1730">
        <f>LOOKUP(ARBETSBLAD!$L$4+SUM($I$53:I$53),ARBETSBLAD!$I$6:$AF$6,fx!$I396:$AF396)</f>
        <v>0</v>
      </c>
      <c r="K20" s="1730">
        <f>LOOKUP(ARBETSBLAD!$L$4+SUM($I$53:J$53),ARBETSBLAD!$I$6:$AF$6,fx!$I396:$AF396)</f>
        <v>0</v>
      </c>
      <c r="L20" s="1730">
        <f>LOOKUP(ARBETSBLAD!$L$4+SUM($I$53:K$53),ARBETSBLAD!$I$6:$AF$6,fx!$I396:$AF396)</f>
        <v>0</v>
      </c>
      <c r="M20" s="1730">
        <f>LOOKUP(ARBETSBLAD!$L$4+SUM($I$53:L$53),ARBETSBLAD!$I$6:$AF$6,fx!$I396:$AF396)</f>
        <v>0</v>
      </c>
      <c r="N20" s="1730">
        <f>LOOKUP(ARBETSBLAD!$L$4+SUM($I$53:M$53),ARBETSBLAD!$I$6:$AF$6,fx!$I396:$AF396)</f>
        <v>0</v>
      </c>
      <c r="O20" s="1730">
        <f>LOOKUP(ARBETSBLAD!$L$4+SUM($I$53:N$53),ARBETSBLAD!$I$6:$AF$6,fx!$I396:$AF396)</f>
        <v>0</v>
      </c>
      <c r="P20" s="1730">
        <f>LOOKUP(ARBETSBLAD!$L$4+SUM($I$53:O$53),ARBETSBLAD!$I$6:$AF$6,fx!$I396:$AF396)</f>
        <v>0</v>
      </c>
      <c r="Q20" s="1730">
        <f>LOOKUP(ARBETSBLAD!$L$4+SUM($I$53:P$53),ARBETSBLAD!$I$6:$AF$6,fx!$I396:$AF396)</f>
        <v>0</v>
      </c>
      <c r="R20" s="1730">
        <f>LOOKUP(ARBETSBLAD!$L$4+SUM($I$53:Q$53),ARBETSBLAD!$I$6:$AF$6,fx!$I396:$AF396)</f>
        <v>0</v>
      </c>
      <c r="S20" s="1730">
        <f>LOOKUP(ARBETSBLAD!$L$4+SUM($I$53:R$53),ARBETSBLAD!$I$6:$AF$6,fx!$I396:$AF396)</f>
        <v>0</v>
      </c>
      <c r="T20" s="1730">
        <f>LOOKUP(ARBETSBLAD!$L$4+SUM($I$53:S$53),ARBETSBLAD!$I$6:$AF$6,fx!$I396:$AF396)</f>
        <v>0</v>
      </c>
      <c r="U20" s="1730">
        <f>LOOKUP(ARBETSBLAD!$L$4+SUM($I$53:T$53),ARBETSBLAD!$I$6:$AF$6,fx!$I396:$AF396)</f>
        <v>0</v>
      </c>
      <c r="V20" s="1730">
        <f>LOOKUP(ARBETSBLAD!$L$4+SUM($I$53:U$53),ARBETSBLAD!$I$6:$AF$6,fx!$I396:$AF396)*V$52</f>
        <v>0</v>
      </c>
      <c r="W20" s="1730">
        <f>LOOKUP(ARBETSBLAD!$L$4+SUM($I$53:V$53),ARBETSBLAD!$I$6:$AF$6,fx!$I396:$AF396)*W$52</f>
        <v>0</v>
      </c>
      <c r="X20" s="1730">
        <f>LOOKUP(ARBETSBLAD!$L$4+SUM($I$53:W$53),ARBETSBLAD!$I$6:$AF$6,fx!$I396:$AF396)*X$52</f>
        <v>0</v>
      </c>
      <c r="Y20" s="1730">
        <f>LOOKUP(ARBETSBLAD!$L$4+SUM($I$53:X$53),ARBETSBLAD!$I$6:$AF$6,fx!$I396:$AF396)*Y$52</f>
        <v>0</v>
      </c>
      <c r="Z20" s="1730">
        <f>LOOKUP(ARBETSBLAD!$L$4+SUM($I$53:Y$53),ARBETSBLAD!$I$6:$AF$6,fx!$I396:$AF396)*Z$52</f>
        <v>0</v>
      </c>
      <c r="AA20" s="1730">
        <f>LOOKUP(ARBETSBLAD!$L$4+SUM($I$53:Z$53),ARBETSBLAD!$I$6:$AF$6,fx!$I396:$AF396)*AA$52</f>
        <v>0</v>
      </c>
      <c r="AB20" s="1730">
        <f>LOOKUP(ARBETSBLAD!$L$4+SUM($I$53:AA$53),ARBETSBLAD!$I$6:$AF$6,fx!$I396:$AF396)*AB$52</f>
        <v>0</v>
      </c>
      <c r="AC20" s="1730">
        <f>LOOKUP(ARBETSBLAD!$L$4+SUM($I$53:AB$53),ARBETSBLAD!$I$6:$AF$6,fx!$I396:$AF396)*AC$52</f>
        <v>0</v>
      </c>
      <c r="AD20" s="1730">
        <f>LOOKUP(ARBETSBLAD!$L$4+SUM($I$53:AC$53),ARBETSBLAD!$I$6:$AF$6,fx!$I396:$AF396)*AD$52</f>
        <v>0</v>
      </c>
      <c r="AE20" s="1730">
        <f>LOOKUP(ARBETSBLAD!$L$4+SUM($I$53:AD$53),ARBETSBLAD!$I$6:$AF$6,fx!$I396:$AF396)*AE$52</f>
        <v>0</v>
      </c>
      <c r="AF20" s="1730">
        <f>LOOKUP(ARBETSBLAD!$L$4+SUM($I$53:AE$53),ARBETSBLAD!$I$6:$AF$6,fx!$I396:$AF396)*AF$52</f>
        <v>0</v>
      </c>
    </row>
    <row r="21" spans="2:32" ht="12" customHeight="1">
      <c r="B21" s="3092" t="str">
        <f>fx!B397</f>
        <v>Tillfälligt utlägg eller återbetalt kort lån</v>
      </c>
      <c r="C21" s="3093"/>
      <c r="D21" s="3093"/>
      <c r="E21" s="3093"/>
      <c r="F21" s="3093"/>
      <c r="G21" s="1717"/>
      <c r="H21" s="201"/>
      <c r="I21" s="1730">
        <f>LOOKUP(ARBETSBLAD!$L$4,ARBETSBLAD!$I$6:$AF$6,fx!$I397:$AF397)</f>
        <v>0</v>
      </c>
      <c r="J21" s="1730">
        <f>LOOKUP(ARBETSBLAD!$L$4+SUM($I$53:I$53),ARBETSBLAD!$I$6:$AF$6,fx!$I397:$AF397)</f>
        <v>0</v>
      </c>
      <c r="K21" s="1730">
        <f>LOOKUP(ARBETSBLAD!$L$4+SUM($I$53:J$53),ARBETSBLAD!$I$6:$AF$6,fx!$I397:$AF397)</f>
        <v>0</v>
      </c>
      <c r="L21" s="1730">
        <f>LOOKUP(ARBETSBLAD!$L$4+SUM($I$53:K$53),ARBETSBLAD!$I$6:$AF$6,fx!$I397:$AF397)</f>
        <v>0</v>
      </c>
      <c r="M21" s="1730">
        <f>LOOKUP(ARBETSBLAD!$L$4+SUM($I$53:L$53),ARBETSBLAD!$I$6:$AF$6,fx!$I397:$AF397)</f>
        <v>0</v>
      </c>
      <c r="N21" s="1730">
        <f>LOOKUP(ARBETSBLAD!$L$4+SUM($I$53:M$53),ARBETSBLAD!$I$6:$AF$6,fx!$I397:$AF397)</f>
        <v>0</v>
      </c>
      <c r="O21" s="1730">
        <f>LOOKUP(ARBETSBLAD!$L$4+SUM($I$53:N$53),ARBETSBLAD!$I$6:$AF$6,fx!$I397:$AF397)</f>
        <v>0</v>
      </c>
      <c r="P21" s="1730">
        <f>LOOKUP(ARBETSBLAD!$L$4+SUM($I$53:O$53),ARBETSBLAD!$I$6:$AF$6,fx!$I397:$AF397)</f>
        <v>0</v>
      </c>
      <c r="Q21" s="1730">
        <f>LOOKUP(ARBETSBLAD!$L$4+SUM($I$53:P$53),ARBETSBLAD!$I$6:$AF$6,fx!$I397:$AF397)</f>
        <v>0</v>
      </c>
      <c r="R21" s="1730">
        <f>LOOKUP(ARBETSBLAD!$L$4+SUM($I$53:Q$53),ARBETSBLAD!$I$6:$AF$6,fx!$I397:$AF397)</f>
        <v>0</v>
      </c>
      <c r="S21" s="1730">
        <f>LOOKUP(ARBETSBLAD!$L$4+SUM($I$53:R$53),ARBETSBLAD!$I$6:$AF$6,fx!$I397:$AF397)</f>
        <v>0</v>
      </c>
      <c r="T21" s="1730">
        <f>LOOKUP(ARBETSBLAD!$L$4+SUM($I$53:S$53),ARBETSBLAD!$I$6:$AF$6,fx!$I397:$AF397)</f>
        <v>0</v>
      </c>
      <c r="U21" s="1730">
        <f>LOOKUP(ARBETSBLAD!$L$4+SUM($I$53:T$53),ARBETSBLAD!$I$6:$AF$6,fx!$I397:$AF397)</f>
        <v>0</v>
      </c>
      <c r="V21" s="1730">
        <f>LOOKUP(ARBETSBLAD!$L$4+SUM($I$53:U$53),ARBETSBLAD!$I$6:$AF$6,fx!$I397:$AF397)*V$52</f>
        <v>0</v>
      </c>
      <c r="W21" s="1730">
        <f>LOOKUP(ARBETSBLAD!$L$4+SUM($I$53:V$53),ARBETSBLAD!$I$6:$AF$6,fx!$I397:$AF397)*W$52</f>
        <v>0</v>
      </c>
      <c r="X21" s="1730">
        <f>LOOKUP(ARBETSBLAD!$L$4+SUM($I$53:W$53),ARBETSBLAD!$I$6:$AF$6,fx!$I397:$AF397)*X$52</f>
        <v>0</v>
      </c>
      <c r="Y21" s="1730">
        <f>LOOKUP(ARBETSBLAD!$L$4+SUM($I$53:X$53),ARBETSBLAD!$I$6:$AF$6,fx!$I397:$AF397)*Y$52</f>
        <v>0</v>
      </c>
      <c r="Z21" s="1730">
        <f>LOOKUP(ARBETSBLAD!$L$4+SUM($I$53:Y$53),ARBETSBLAD!$I$6:$AF$6,fx!$I397:$AF397)*Z$52</f>
        <v>0</v>
      </c>
      <c r="AA21" s="1730">
        <f>LOOKUP(ARBETSBLAD!$L$4+SUM($I$53:Z$53),ARBETSBLAD!$I$6:$AF$6,fx!$I397:$AF397)*AA$52</f>
        <v>0</v>
      </c>
      <c r="AB21" s="1730">
        <f>LOOKUP(ARBETSBLAD!$L$4+SUM($I$53:AA$53),ARBETSBLAD!$I$6:$AF$6,fx!$I397:$AF397)*AB$52</f>
        <v>0</v>
      </c>
      <c r="AC21" s="1730">
        <f>LOOKUP(ARBETSBLAD!$L$4+SUM($I$53:AB$53),ARBETSBLAD!$I$6:$AF$6,fx!$I397:$AF397)*AC$52</f>
        <v>0</v>
      </c>
      <c r="AD21" s="1730">
        <f>LOOKUP(ARBETSBLAD!$L$4+SUM($I$53:AC$53),ARBETSBLAD!$I$6:$AF$6,fx!$I397:$AF397)*AD$52</f>
        <v>0</v>
      </c>
      <c r="AE21" s="1730">
        <f>LOOKUP(ARBETSBLAD!$L$4+SUM($I$53:AD$53),ARBETSBLAD!$I$6:$AF$6,fx!$I397:$AF397)*AE$52</f>
        <v>0</v>
      </c>
      <c r="AF21" s="1730">
        <f>LOOKUP(ARBETSBLAD!$L$4+SUM($I$53:AE$53),ARBETSBLAD!$I$6:$AF$6,fx!$I397:$AF397)*AF$52</f>
        <v>0</v>
      </c>
    </row>
    <row r="22" spans="2:32" ht="12" customHeight="1">
      <c r="B22" s="1711" t="str">
        <f>fx!B398</f>
        <v>Anställdas nettolön</v>
      </c>
      <c r="C22" s="201"/>
      <c r="D22" s="201"/>
      <c r="E22" s="1709"/>
      <c r="F22" s="1718"/>
      <c r="G22" s="1718"/>
      <c r="H22" s="201"/>
      <c r="I22" s="1730">
        <f>LOOKUP(ARBETSBLAD!$L$4,ARBETSBLAD!$I$6:$AF$6,fx!$I398:$AF398)</f>
        <v>0</v>
      </c>
      <c r="J22" s="1730">
        <f>LOOKUP(ARBETSBLAD!$L$4+SUM($I$53:I$53),ARBETSBLAD!$I$6:$AF$6,fx!$I398:$AF398)</f>
        <v>0</v>
      </c>
      <c r="K22" s="1730">
        <f>LOOKUP(ARBETSBLAD!$L$4+SUM($I$53:J$53),ARBETSBLAD!$I$6:$AF$6,fx!$I398:$AF398)</f>
        <v>0</v>
      </c>
      <c r="L22" s="1730">
        <f>LOOKUP(ARBETSBLAD!$L$4+SUM($I$53:K$53),ARBETSBLAD!$I$6:$AF$6,fx!$I398:$AF398)</f>
        <v>0</v>
      </c>
      <c r="M22" s="1730">
        <f>LOOKUP(ARBETSBLAD!$L$4+SUM($I$53:L$53),ARBETSBLAD!$I$6:$AF$6,fx!$I398:$AF398)</f>
        <v>0</v>
      </c>
      <c r="N22" s="1730">
        <f>LOOKUP(ARBETSBLAD!$L$4+SUM($I$53:M$53),ARBETSBLAD!$I$6:$AF$6,fx!$I398:$AF398)</f>
        <v>0</v>
      </c>
      <c r="O22" s="1730">
        <f>LOOKUP(ARBETSBLAD!$L$4+SUM($I$53:N$53),ARBETSBLAD!$I$6:$AF$6,fx!$I398:$AF398)</f>
        <v>0</v>
      </c>
      <c r="P22" s="1730">
        <f>LOOKUP(ARBETSBLAD!$L$4+SUM($I$53:O$53),ARBETSBLAD!$I$6:$AF$6,fx!$I398:$AF398)</f>
        <v>0</v>
      </c>
      <c r="Q22" s="1730">
        <f>LOOKUP(ARBETSBLAD!$L$4+SUM($I$53:P$53),ARBETSBLAD!$I$6:$AF$6,fx!$I398:$AF398)</f>
        <v>0</v>
      </c>
      <c r="R22" s="1730">
        <f>LOOKUP(ARBETSBLAD!$L$4+SUM($I$53:Q$53),ARBETSBLAD!$I$6:$AF$6,fx!$I398:$AF398)</f>
        <v>0</v>
      </c>
      <c r="S22" s="1730">
        <f>LOOKUP(ARBETSBLAD!$L$4+SUM($I$53:R$53),ARBETSBLAD!$I$6:$AF$6,fx!$I398:$AF398)</f>
        <v>0</v>
      </c>
      <c r="T22" s="1730">
        <f>LOOKUP(ARBETSBLAD!$L$4+SUM($I$53:S$53),ARBETSBLAD!$I$6:$AF$6,fx!$I398:$AF398)</f>
        <v>0</v>
      </c>
      <c r="U22" s="1730">
        <f>LOOKUP(ARBETSBLAD!$L$4+SUM($I$53:T$53),ARBETSBLAD!$I$6:$AF$6,fx!$I398:$AF398)</f>
        <v>0</v>
      </c>
      <c r="V22" s="1730">
        <f>LOOKUP(ARBETSBLAD!$L$4+SUM($I$53:U$53),ARBETSBLAD!$I$6:$AF$6,fx!$I398:$AF398)*V$52</f>
        <v>0</v>
      </c>
      <c r="W22" s="1730">
        <f>LOOKUP(ARBETSBLAD!$L$4+SUM($I$53:V$53),ARBETSBLAD!$I$6:$AF$6,fx!$I398:$AF398)*W$52</f>
        <v>0</v>
      </c>
      <c r="X22" s="1730">
        <f>LOOKUP(ARBETSBLAD!$L$4+SUM($I$53:W$53),ARBETSBLAD!$I$6:$AF$6,fx!$I398:$AF398)*X$52</f>
        <v>0</v>
      </c>
      <c r="Y22" s="1730">
        <f>LOOKUP(ARBETSBLAD!$L$4+SUM($I$53:X$53),ARBETSBLAD!$I$6:$AF$6,fx!$I398:$AF398)*Y$52</f>
        <v>0</v>
      </c>
      <c r="Z22" s="1730">
        <f>LOOKUP(ARBETSBLAD!$L$4+SUM($I$53:Y$53),ARBETSBLAD!$I$6:$AF$6,fx!$I398:$AF398)*Z$52</f>
        <v>0</v>
      </c>
      <c r="AA22" s="1730">
        <f>LOOKUP(ARBETSBLAD!$L$4+SUM($I$53:Z$53),ARBETSBLAD!$I$6:$AF$6,fx!$I398:$AF398)*AA$52</f>
        <v>0</v>
      </c>
      <c r="AB22" s="1730">
        <f>LOOKUP(ARBETSBLAD!$L$4+SUM($I$53:AA$53),ARBETSBLAD!$I$6:$AF$6,fx!$I398:$AF398)*AB$52</f>
        <v>0</v>
      </c>
      <c r="AC22" s="1730">
        <f>LOOKUP(ARBETSBLAD!$L$4+SUM($I$53:AB$53),ARBETSBLAD!$I$6:$AF$6,fx!$I398:$AF398)*AC$52</f>
        <v>0</v>
      </c>
      <c r="AD22" s="1730">
        <f>LOOKUP(ARBETSBLAD!$L$4+SUM($I$53:AC$53),ARBETSBLAD!$I$6:$AF$6,fx!$I398:$AF398)*AD$52</f>
        <v>0</v>
      </c>
      <c r="AE22" s="1730">
        <f>LOOKUP(ARBETSBLAD!$L$4+SUM($I$53:AD$53),ARBETSBLAD!$I$6:$AF$6,fx!$I398:$AF398)*AE$52</f>
        <v>0</v>
      </c>
      <c r="AF22" s="1730">
        <f>LOOKUP(ARBETSBLAD!$L$4+SUM($I$53:AE$53),ARBETSBLAD!$I$6:$AF$6,fx!$I398:$AF398)*AF$52</f>
        <v>0</v>
      </c>
    </row>
    <row r="23" spans="2:32" ht="12" customHeight="1">
      <c r="B23" s="1711" t="str">
        <f>fx!B399</f>
        <v>Ägares nettolön (vid AB)</v>
      </c>
      <c r="C23" s="201"/>
      <c r="D23" s="201"/>
      <c r="E23" s="1709"/>
      <c r="F23" s="1718"/>
      <c r="G23" s="201"/>
      <c r="H23" s="201"/>
      <c r="I23" s="1730">
        <f>LOOKUP(ARBETSBLAD!$L$4,ARBETSBLAD!$I$6:$AF$6,fx!$I399:$AF399)</f>
        <v>0</v>
      </c>
      <c r="J23" s="1730">
        <f>LOOKUP(ARBETSBLAD!$L$4+SUM($I$53:I$53),ARBETSBLAD!$I$6:$AF$6,fx!$I399:$AF399)</f>
        <v>0</v>
      </c>
      <c r="K23" s="1730">
        <f>LOOKUP(ARBETSBLAD!$L$4+SUM($I$53:J$53),ARBETSBLAD!$I$6:$AF$6,fx!$I399:$AF399)</f>
        <v>0</v>
      </c>
      <c r="L23" s="1730">
        <f>LOOKUP(ARBETSBLAD!$L$4+SUM($I$53:K$53),ARBETSBLAD!$I$6:$AF$6,fx!$I399:$AF399)</f>
        <v>0</v>
      </c>
      <c r="M23" s="1730">
        <f>LOOKUP(ARBETSBLAD!$L$4+SUM($I$53:L$53),ARBETSBLAD!$I$6:$AF$6,fx!$I399:$AF399)</f>
        <v>0</v>
      </c>
      <c r="N23" s="1730">
        <f>LOOKUP(ARBETSBLAD!$L$4+SUM($I$53:M$53),ARBETSBLAD!$I$6:$AF$6,fx!$I399:$AF399)</f>
        <v>0</v>
      </c>
      <c r="O23" s="1730">
        <f>LOOKUP(ARBETSBLAD!$L$4+SUM($I$53:N$53),ARBETSBLAD!$I$6:$AF$6,fx!$I399:$AF399)</f>
        <v>0</v>
      </c>
      <c r="P23" s="1730">
        <f>LOOKUP(ARBETSBLAD!$L$4+SUM($I$53:O$53),ARBETSBLAD!$I$6:$AF$6,fx!$I399:$AF399)</f>
        <v>0</v>
      </c>
      <c r="Q23" s="1730">
        <f>LOOKUP(ARBETSBLAD!$L$4+SUM($I$53:P$53),ARBETSBLAD!$I$6:$AF$6,fx!$I399:$AF399)</f>
        <v>0</v>
      </c>
      <c r="R23" s="1730">
        <f>LOOKUP(ARBETSBLAD!$L$4+SUM($I$53:Q$53),ARBETSBLAD!$I$6:$AF$6,fx!$I399:$AF399)</f>
        <v>0</v>
      </c>
      <c r="S23" s="1730">
        <f>LOOKUP(ARBETSBLAD!$L$4+SUM($I$53:R$53),ARBETSBLAD!$I$6:$AF$6,fx!$I399:$AF399)</f>
        <v>0</v>
      </c>
      <c r="T23" s="1730">
        <f>LOOKUP(ARBETSBLAD!$L$4+SUM($I$53:S$53),ARBETSBLAD!$I$6:$AF$6,fx!$I399:$AF399)</f>
        <v>0</v>
      </c>
      <c r="U23" s="1730">
        <f>LOOKUP(ARBETSBLAD!$L$4+SUM($I$53:T$53),ARBETSBLAD!$I$6:$AF$6,fx!$I399:$AF399)</f>
        <v>0</v>
      </c>
      <c r="V23" s="1730">
        <f>LOOKUP(ARBETSBLAD!$L$4+SUM($I$53:U$53),ARBETSBLAD!$I$6:$AF$6,fx!$I399:$AF399)*V$52</f>
        <v>0</v>
      </c>
      <c r="W23" s="1730">
        <f>LOOKUP(ARBETSBLAD!$L$4+SUM($I$53:V$53),ARBETSBLAD!$I$6:$AF$6,fx!$I399:$AF399)*W$52</f>
        <v>0</v>
      </c>
      <c r="X23" s="1730">
        <f>LOOKUP(ARBETSBLAD!$L$4+SUM($I$53:W$53),ARBETSBLAD!$I$6:$AF$6,fx!$I399:$AF399)*X$52</f>
        <v>0</v>
      </c>
      <c r="Y23" s="1730">
        <f>LOOKUP(ARBETSBLAD!$L$4+SUM($I$53:X$53),ARBETSBLAD!$I$6:$AF$6,fx!$I399:$AF399)*Y$52</f>
        <v>0</v>
      </c>
      <c r="Z23" s="1730">
        <f>LOOKUP(ARBETSBLAD!$L$4+SUM($I$53:Y$53),ARBETSBLAD!$I$6:$AF$6,fx!$I399:$AF399)*Z$52</f>
        <v>0</v>
      </c>
      <c r="AA23" s="1730">
        <f>LOOKUP(ARBETSBLAD!$L$4+SUM($I$53:Z$53),ARBETSBLAD!$I$6:$AF$6,fx!$I399:$AF399)*AA$52</f>
        <v>0</v>
      </c>
      <c r="AB23" s="1730">
        <f>LOOKUP(ARBETSBLAD!$L$4+SUM($I$53:AA$53),ARBETSBLAD!$I$6:$AF$6,fx!$I399:$AF399)*AB$52</f>
        <v>0</v>
      </c>
      <c r="AC23" s="1730">
        <f>LOOKUP(ARBETSBLAD!$L$4+SUM($I$53:AB$53),ARBETSBLAD!$I$6:$AF$6,fx!$I399:$AF399)*AC$52</f>
        <v>0</v>
      </c>
      <c r="AD23" s="1730">
        <f>LOOKUP(ARBETSBLAD!$L$4+SUM($I$53:AC$53),ARBETSBLAD!$I$6:$AF$6,fx!$I399:$AF399)*AD$52</f>
        <v>0</v>
      </c>
      <c r="AE23" s="1730">
        <f>LOOKUP(ARBETSBLAD!$L$4+SUM($I$53:AD$53),ARBETSBLAD!$I$6:$AF$6,fx!$I399:$AF399)*AE$52</f>
        <v>0</v>
      </c>
      <c r="AF23" s="1730">
        <f>LOOKUP(ARBETSBLAD!$L$4+SUM($I$53:AE$53),ARBETSBLAD!$I$6:$AF$6,fx!$I399:$AF399)*AF$52</f>
        <v>0</v>
      </c>
    </row>
    <row r="24" spans="2:32" ht="12" customHeight="1">
      <c r="B24" s="1711" t="str">
        <f>fx!B400</f>
        <v xml:space="preserve">Preliminärskatt och sociala avgifter på löner </v>
      </c>
      <c r="C24" s="201"/>
      <c r="D24" s="201"/>
      <c r="E24" s="201"/>
      <c r="F24" s="201"/>
      <c r="G24" s="201"/>
      <c r="H24" s="201"/>
      <c r="I24" s="1730">
        <f>LOOKUP(ARBETSBLAD!$L$4,ARBETSBLAD!$I$6:$AF$6,fx!$I400:$AF400)</f>
        <v>0</v>
      </c>
      <c r="J24" s="1730">
        <f>LOOKUP(ARBETSBLAD!$L$4+SUM($I$53:I$53),ARBETSBLAD!$I$6:$AF$6,fx!$I400:$AF400)</f>
        <v>0</v>
      </c>
      <c r="K24" s="1730">
        <f>LOOKUP(ARBETSBLAD!$L$4+SUM($I$53:J$53),ARBETSBLAD!$I$6:$AF$6,fx!$I400:$AF400)</f>
        <v>0</v>
      </c>
      <c r="L24" s="1730">
        <f>LOOKUP(ARBETSBLAD!$L$4+SUM($I$53:K$53),ARBETSBLAD!$I$6:$AF$6,fx!$I400:$AF400)</f>
        <v>0</v>
      </c>
      <c r="M24" s="1730">
        <f>LOOKUP(ARBETSBLAD!$L$4+SUM($I$53:L$53),ARBETSBLAD!$I$6:$AF$6,fx!$I400:$AF400)</f>
        <v>0</v>
      </c>
      <c r="N24" s="1730">
        <f>LOOKUP(ARBETSBLAD!$L$4+SUM($I$53:M$53),ARBETSBLAD!$I$6:$AF$6,fx!$I400:$AF400)</f>
        <v>0</v>
      </c>
      <c r="O24" s="1730">
        <f>LOOKUP(ARBETSBLAD!$L$4+SUM($I$53:N$53),ARBETSBLAD!$I$6:$AF$6,fx!$I400:$AF400)</f>
        <v>0</v>
      </c>
      <c r="P24" s="1730">
        <f>LOOKUP(ARBETSBLAD!$L$4+SUM($I$53:O$53),ARBETSBLAD!$I$6:$AF$6,fx!$I400:$AF400)</f>
        <v>0</v>
      </c>
      <c r="Q24" s="1730">
        <f>LOOKUP(ARBETSBLAD!$L$4+SUM($I$53:P$53),ARBETSBLAD!$I$6:$AF$6,fx!$I400:$AF400)</f>
        <v>0</v>
      </c>
      <c r="R24" s="1730">
        <f>LOOKUP(ARBETSBLAD!$L$4+SUM($I$53:Q$53),ARBETSBLAD!$I$6:$AF$6,fx!$I400:$AF400)</f>
        <v>0</v>
      </c>
      <c r="S24" s="1730">
        <f>LOOKUP(ARBETSBLAD!$L$4+SUM($I$53:R$53),ARBETSBLAD!$I$6:$AF$6,fx!$I400:$AF400)</f>
        <v>0</v>
      </c>
      <c r="T24" s="1730">
        <f>LOOKUP(ARBETSBLAD!$L$4+SUM($I$53:S$53),ARBETSBLAD!$I$6:$AF$6,fx!$I400:$AF400)</f>
        <v>0</v>
      </c>
      <c r="U24" s="1730">
        <f>LOOKUP(ARBETSBLAD!$L$4+SUM($I$53:T$53),ARBETSBLAD!$I$6:$AF$6,fx!$I400:$AF400)</f>
        <v>0</v>
      </c>
      <c r="V24" s="1730">
        <f>LOOKUP(ARBETSBLAD!$L$4+SUM($I$53:U$53),ARBETSBLAD!$I$6:$AF$6,fx!$I400:$AF400)*V$52</f>
        <v>0</v>
      </c>
      <c r="W24" s="1730">
        <f>LOOKUP(ARBETSBLAD!$L$4+SUM($I$53:V$53),ARBETSBLAD!$I$6:$AF$6,fx!$I400:$AF400)*W$52</f>
        <v>0</v>
      </c>
      <c r="X24" s="1730">
        <f>LOOKUP(ARBETSBLAD!$L$4+SUM($I$53:W$53),ARBETSBLAD!$I$6:$AF$6,fx!$I400:$AF400)*X$52</f>
        <v>0</v>
      </c>
      <c r="Y24" s="1730">
        <f>LOOKUP(ARBETSBLAD!$L$4+SUM($I$53:X$53),ARBETSBLAD!$I$6:$AF$6,fx!$I400:$AF400)*Y$52</f>
        <v>0</v>
      </c>
      <c r="Z24" s="1730">
        <f>LOOKUP(ARBETSBLAD!$L$4+SUM($I$53:Y$53),ARBETSBLAD!$I$6:$AF$6,fx!$I400:$AF400)*Z$52</f>
        <v>0</v>
      </c>
      <c r="AA24" s="1730">
        <f>LOOKUP(ARBETSBLAD!$L$4+SUM($I$53:Z$53),ARBETSBLAD!$I$6:$AF$6,fx!$I400:$AF400)*AA$52</f>
        <v>0</v>
      </c>
      <c r="AB24" s="1730">
        <f>LOOKUP(ARBETSBLAD!$L$4+SUM($I$53:AA$53),ARBETSBLAD!$I$6:$AF$6,fx!$I400:$AF400)*AB$52</f>
        <v>0</v>
      </c>
      <c r="AC24" s="1730">
        <f>LOOKUP(ARBETSBLAD!$L$4+SUM($I$53:AB$53),ARBETSBLAD!$I$6:$AF$6,fx!$I400:$AF400)*AC$52</f>
        <v>0</v>
      </c>
      <c r="AD24" s="1730">
        <f>LOOKUP(ARBETSBLAD!$L$4+SUM($I$53:AC$53),ARBETSBLAD!$I$6:$AF$6,fx!$I400:$AF400)*AD$52</f>
        <v>0</v>
      </c>
      <c r="AE24" s="1730">
        <f>LOOKUP(ARBETSBLAD!$L$4+SUM($I$53:AD$53),ARBETSBLAD!$I$6:$AF$6,fx!$I400:$AF400)*AE$52</f>
        <v>0</v>
      </c>
      <c r="AF24" s="1730">
        <f>LOOKUP(ARBETSBLAD!$L$4+SUM($I$53:AE$53),ARBETSBLAD!$I$6:$AF$6,fx!$I400:$AF400)*AF$52</f>
        <v>0</v>
      </c>
    </row>
    <row r="25" spans="2:32" ht="12" customHeight="1">
      <c r="B25" s="1711" t="str">
        <f>fx!B401</f>
        <v>Övrig skatteskuld, ingående balans</v>
      </c>
      <c r="C25" s="201"/>
      <c r="D25" s="201"/>
      <c r="E25" s="201"/>
      <c r="F25" s="201"/>
      <c r="G25" s="201"/>
      <c r="H25" s="201"/>
      <c r="I25" s="1730">
        <f>LOOKUP(ARBETSBLAD!$L$4,ARBETSBLAD!$I$6:$AF$6,fx!$I401:$AF401)</f>
        <v>0</v>
      </c>
      <c r="J25" s="1730">
        <f>LOOKUP(ARBETSBLAD!$L$4+SUM($I$53:I$53),ARBETSBLAD!$I$6:$AF$6,fx!$I401:$AF401)</f>
        <v>0</v>
      </c>
      <c r="K25" s="1730">
        <f>LOOKUP(ARBETSBLAD!$L$4+SUM($I$53:J$53),ARBETSBLAD!$I$6:$AF$6,fx!$I401:$AF401)</f>
        <v>0</v>
      </c>
      <c r="L25" s="1730">
        <f>LOOKUP(ARBETSBLAD!$L$4+SUM($I$53:K$53),ARBETSBLAD!$I$6:$AF$6,fx!$I401:$AF401)</f>
        <v>0</v>
      </c>
      <c r="M25" s="1730">
        <f>LOOKUP(ARBETSBLAD!$L$4+SUM($I$53:L$53),ARBETSBLAD!$I$6:$AF$6,fx!$I401:$AF401)</f>
        <v>0</v>
      </c>
      <c r="N25" s="1730">
        <f>LOOKUP(ARBETSBLAD!$L$4+SUM($I$53:M$53),ARBETSBLAD!$I$6:$AF$6,fx!$I401:$AF401)</f>
        <v>0</v>
      </c>
      <c r="O25" s="1730">
        <f>LOOKUP(ARBETSBLAD!$L$4+SUM($I$53:N$53),ARBETSBLAD!$I$6:$AF$6,fx!$I401:$AF401)</f>
        <v>0</v>
      </c>
      <c r="P25" s="1730">
        <f>LOOKUP(ARBETSBLAD!$L$4+SUM($I$53:O$53),ARBETSBLAD!$I$6:$AF$6,fx!$I401:$AF401)</f>
        <v>0</v>
      </c>
      <c r="Q25" s="1730">
        <f>LOOKUP(ARBETSBLAD!$L$4+SUM($I$53:P$53),ARBETSBLAD!$I$6:$AF$6,fx!$I401:$AF401)</f>
        <v>0</v>
      </c>
      <c r="R25" s="1730">
        <f>LOOKUP(ARBETSBLAD!$L$4+SUM($I$53:Q$53),ARBETSBLAD!$I$6:$AF$6,fx!$I401:$AF401)</f>
        <v>0</v>
      </c>
      <c r="S25" s="1730">
        <f>LOOKUP(ARBETSBLAD!$L$4+SUM($I$53:R$53),ARBETSBLAD!$I$6:$AF$6,fx!$I401:$AF401)</f>
        <v>0</v>
      </c>
      <c r="T25" s="1730">
        <f>LOOKUP(ARBETSBLAD!$L$4+SUM($I$53:S$53),ARBETSBLAD!$I$6:$AF$6,fx!$I401:$AF401)</f>
        <v>0</v>
      </c>
      <c r="U25" s="1730">
        <f>LOOKUP(ARBETSBLAD!$L$4+SUM($I$53:T$53),ARBETSBLAD!$I$6:$AF$6,fx!$I401:$AF401)</f>
        <v>0</v>
      </c>
      <c r="V25" s="1730">
        <f>LOOKUP(ARBETSBLAD!$L$4+SUM($I$53:U$53),ARBETSBLAD!$I$6:$AF$6,fx!$I401:$AF401)*V$52</f>
        <v>0</v>
      </c>
      <c r="W25" s="1730">
        <f>LOOKUP(ARBETSBLAD!$L$4+SUM($I$53:V$53),ARBETSBLAD!$I$6:$AF$6,fx!$I401:$AF401)*W$52</f>
        <v>0</v>
      </c>
      <c r="X25" s="1730">
        <f>LOOKUP(ARBETSBLAD!$L$4+SUM($I$53:W$53),ARBETSBLAD!$I$6:$AF$6,fx!$I401:$AF401)*X$52</f>
        <v>0</v>
      </c>
      <c r="Y25" s="1730">
        <f>LOOKUP(ARBETSBLAD!$L$4+SUM($I$53:X$53),ARBETSBLAD!$I$6:$AF$6,fx!$I401:$AF401)*Y$52</f>
        <v>0</v>
      </c>
      <c r="Z25" s="1730">
        <f>LOOKUP(ARBETSBLAD!$L$4+SUM($I$53:Y$53),ARBETSBLAD!$I$6:$AF$6,fx!$I401:$AF401)*Z$52</f>
        <v>0</v>
      </c>
      <c r="AA25" s="1730">
        <f>LOOKUP(ARBETSBLAD!$L$4+SUM($I$53:Z$53),ARBETSBLAD!$I$6:$AF$6,fx!$I401:$AF401)*AA$52</f>
        <v>0</v>
      </c>
      <c r="AB25" s="1730">
        <f>LOOKUP(ARBETSBLAD!$L$4+SUM($I$53:AA$53),ARBETSBLAD!$I$6:$AF$6,fx!$I401:$AF401)*AB$52</f>
        <v>0</v>
      </c>
      <c r="AC25" s="1730">
        <f>LOOKUP(ARBETSBLAD!$L$4+SUM($I$53:AB$53),ARBETSBLAD!$I$6:$AF$6,fx!$I401:$AF401)*AC$52</f>
        <v>0</v>
      </c>
      <c r="AD25" s="1730">
        <f>LOOKUP(ARBETSBLAD!$L$4+SUM($I$53:AC$53),ARBETSBLAD!$I$6:$AF$6,fx!$I401:$AF401)*AD$52</f>
        <v>0</v>
      </c>
      <c r="AE25" s="1730">
        <f>LOOKUP(ARBETSBLAD!$L$4+SUM($I$53:AD$53),ARBETSBLAD!$I$6:$AF$6,fx!$I401:$AF401)*AE$52</f>
        <v>0</v>
      </c>
      <c r="AF25" s="1730">
        <f>LOOKUP(ARBETSBLAD!$L$4+SUM($I$53:AE$53),ARBETSBLAD!$I$6:$AF$6,fx!$I401:$AF401)*AF$52</f>
        <v>0</v>
      </c>
    </row>
    <row r="26" spans="2:32" ht="12" customHeight="1">
      <c r="B26" s="1711" t="str">
        <f>fx!B402</f>
        <v>Ägaruttag</v>
      </c>
      <c r="C26" s="201"/>
      <c r="D26" s="201"/>
      <c r="E26" s="201"/>
      <c r="F26" s="201"/>
      <c r="G26" s="201"/>
      <c r="H26" s="201"/>
      <c r="I26" s="1730">
        <f>LOOKUP(ARBETSBLAD!$L$4,ARBETSBLAD!$I$6:$AF$6,fx!$I402:$AF402)</f>
        <v>0</v>
      </c>
      <c r="J26" s="1730">
        <f>LOOKUP(ARBETSBLAD!$L$4+SUM($I$53:I$53),ARBETSBLAD!$I$6:$AF$6,fx!$I402:$AF402)</f>
        <v>0</v>
      </c>
      <c r="K26" s="1730">
        <f>LOOKUP(ARBETSBLAD!$L$4+SUM($I$53:J$53),ARBETSBLAD!$I$6:$AF$6,fx!$I402:$AF402)</f>
        <v>0</v>
      </c>
      <c r="L26" s="1730">
        <f>LOOKUP(ARBETSBLAD!$L$4+SUM($I$53:K$53),ARBETSBLAD!$I$6:$AF$6,fx!$I402:$AF402)</f>
        <v>0</v>
      </c>
      <c r="M26" s="1730">
        <f>LOOKUP(ARBETSBLAD!$L$4+SUM($I$53:L$53),ARBETSBLAD!$I$6:$AF$6,fx!$I402:$AF402)</f>
        <v>0</v>
      </c>
      <c r="N26" s="1730">
        <f>LOOKUP(ARBETSBLAD!$L$4+SUM($I$53:M$53),ARBETSBLAD!$I$6:$AF$6,fx!$I402:$AF402)</f>
        <v>0</v>
      </c>
      <c r="O26" s="1730">
        <f>LOOKUP(ARBETSBLAD!$L$4+SUM($I$53:N$53),ARBETSBLAD!$I$6:$AF$6,fx!$I402:$AF402)</f>
        <v>0</v>
      </c>
      <c r="P26" s="1730">
        <f>LOOKUP(ARBETSBLAD!$L$4+SUM($I$53:O$53),ARBETSBLAD!$I$6:$AF$6,fx!$I402:$AF402)</f>
        <v>0</v>
      </c>
      <c r="Q26" s="1730">
        <f>LOOKUP(ARBETSBLAD!$L$4+SUM($I$53:P$53),ARBETSBLAD!$I$6:$AF$6,fx!$I402:$AF402)</f>
        <v>0</v>
      </c>
      <c r="R26" s="1730">
        <f>LOOKUP(ARBETSBLAD!$L$4+SUM($I$53:Q$53),ARBETSBLAD!$I$6:$AF$6,fx!$I402:$AF402)</f>
        <v>0</v>
      </c>
      <c r="S26" s="1730">
        <f>LOOKUP(ARBETSBLAD!$L$4+SUM($I$53:R$53),ARBETSBLAD!$I$6:$AF$6,fx!$I402:$AF402)</f>
        <v>0</v>
      </c>
      <c r="T26" s="1730">
        <f>LOOKUP(ARBETSBLAD!$L$4+SUM($I$53:S$53),ARBETSBLAD!$I$6:$AF$6,fx!$I402:$AF402)</f>
        <v>0</v>
      </c>
      <c r="U26" s="1730">
        <f>LOOKUP(ARBETSBLAD!$L$4+SUM($I$53:T$53),ARBETSBLAD!$I$6:$AF$6,fx!$I402:$AF402)</f>
        <v>0</v>
      </c>
      <c r="V26" s="1730">
        <f>LOOKUP(ARBETSBLAD!$L$4+SUM($I$53:U$53),ARBETSBLAD!$I$6:$AF$6,fx!$I402:$AF402)*V$52</f>
        <v>0</v>
      </c>
      <c r="W26" s="1730">
        <f>LOOKUP(ARBETSBLAD!$L$4+SUM($I$53:V$53),ARBETSBLAD!$I$6:$AF$6,fx!$I402:$AF402)*W$52</f>
        <v>0</v>
      </c>
      <c r="X26" s="1730">
        <f>LOOKUP(ARBETSBLAD!$L$4+SUM($I$53:W$53),ARBETSBLAD!$I$6:$AF$6,fx!$I402:$AF402)*X$52</f>
        <v>0</v>
      </c>
      <c r="Y26" s="1730">
        <f>LOOKUP(ARBETSBLAD!$L$4+SUM($I$53:X$53),ARBETSBLAD!$I$6:$AF$6,fx!$I402:$AF402)*Y$52</f>
        <v>0</v>
      </c>
      <c r="Z26" s="1730">
        <f>LOOKUP(ARBETSBLAD!$L$4+SUM($I$53:Y$53),ARBETSBLAD!$I$6:$AF$6,fx!$I402:$AF402)*Z$52</f>
        <v>0</v>
      </c>
      <c r="AA26" s="1730">
        <f>LOOKUP(ARBETSBLAD!$L$4+SUM($I$53:Z$53),ARBETSBLAD!$I$6:$AF$6,fx!$I402:$AF402)*AA$52</f>
        <v>0</v>
      </c>
      <c r="AB26" s="1730">
        <f>LOOKUP(ARBETSBLAD!$L$4+SUM($I$53:AA$53),ARBETSBLAD!$I$6:$AF$6,fx!$I402:$AF402)*AB$52</f>
        <v>0</v>
      </c>
      <c r="AC26" s="1730">
        <f>LOOKUP(ARBETSBLAD!$L$4+SUM($I$53:AB$53),ARBETSBLAD!$I$6:$AF$6,fx!$I402:$AF402)*AC$52</f>
        <v>0</v>
      </c>
      <c r="AD26" s="1730">
        <f>LOOKUP(ARBETSBLAD!$L$4+SUM($I$53:AC$53),ARBETSBLAD!$I$6:$AF$6,fx!$I402:$AF402)*AD$52</f>
        <v>0</v>
      </c>
      <c r="AE26" s="1730">
        <f>LOOKUP(ARBETSBLAD!$L$4+SUM($I$53:AD$53),ARBETSBLAD!$I$6:$AF$6,fx!$I402:$AF402)*AE$52</f>
        <v>0</v>
      </c>
      <c r="AF26" s="1730">
        <f>LOOKUP(ARBETSBLAD!$L$4+SUM($I$53:AE$53),ARBETSBLAD!$I$6:$AF$6,fx!$I402:$AF402)*AF$52</f>
        <v>0</v>
      </c>
    </row>
    <row r="27" spans="2:32" ht="12" customHeight="1">
      <c r="B27" s="1711" t="str">
        <f>fx!B403</f>
        <v>Preliminär F-skatt</v>
      </c>
      <c r="C27" s="201"/>
      <c r="D27" s="201"/>
      <c r="E27" s="201"/>
      <c r="F27" s="201"/>
      <c r="G27" s="201"/>
      <c r="H27" s="201"/>
      <c r="I27" s="1730">
        <f>LOOKUP(ARBETSBLAD!$L$4,ARBETSBLAD!$I$6:$AF$6,fx!$I403:$AF403)</f>
        <v>0</v>
      </c>
      <c r="J27" s="1730">
        <f>LOOKUP(ARBETSBLAD!$L$4+SUM($I$53:I$53),ARBETSBLAD!$I$6:$AF$6,fx!$I403:$AF403)</f>
        <v>0</v>
      </c>
      <c r="K27" s="1730">
        <f>LOOKUP(ARBETSBLAD!$L$4+SUM($I$53:J$53),ARBETSBLAD!$I$6:$AF$6,fx!$I403:$AF403)</f>
        <v>0</v>
      </c>
      <c r="L27" s="1730">
        <f>LOOKUP(ARBETSBLAD!$L$4+SUM($I$53:K$53),ARBETSBLAD!$I$6:$AF$6,fx!$I403:$AF403)</f>
        <v>0</v>
      </c>
      <c r="M27" s="1730">
        <f>LOOKUP(ARBETSBLAD!$L$4+SUM($I$53:L$53),ARBETSBLAD!$I$6:$AF$6,fx!$I403:$AF403)</f>
        <v>0</v>
      </c>
      <c r="N27" s="1730">
        <f>LOOKUP(ARBETSBLAD!$L$4+SUM($I$53:M$53),ARBETSBLAD!$I$6:$AF$6,fx!$I403:$AF403)</f>
        <v>0</v>
      </c>
      <c r="O27" s="1730">
        <f>LOOKUP(ARBETSBLAD!$L$4+SUM($I$53:N$53),ARBETSBLAD!$I$6:$AF$6,fx!$I403:$AF403)</f>
        <v>0</v>
      </c>
      <c r="P27" s="1730">
        <f>LOOKUP(ARBETSBLAD!$L$4+SUM($I$53:O$53),ARBETSBLAD!$I$6:$AF$6,fx!$I403:$AF403)</f>
        <v>0</v>
      </c>
      <c r="Q27" s="1730">
        <f>LOOKUP(ARBETSBLAD!$L$4+SUM($I$53:P$53),ARBETSBLAD!$I$6:$AF$6,fx!$I403:$AF403)</f>
        <v>0</v>
      </c>
      <c r="R27" s="1730">
        <f>LOOKUP(ARBETSBLAD!$L$4+SUM($I$53:Q$53),ARBETSBLAD!$I$6:$AF$6,fx!$I403:$AF403)</f>
        <v>0</v>
      </c>
      <c r="S27" s="1730">
        <f>LOOKUP(ARBETSBLAD!$L$4+SUM($I$53:R$53),ARBETSBLAD!$I$6:$AF$6,fx!$I403:$AF403)</f>
        <v>0</v>
      </c>
      <c r="T27" s="1730">
        <f>LOOKUP(ARBETSBLAD!$L$4+SUM($I$53:S$53),ARBETSBLAD!$I$6:$AF$6,fx!$I403:$AF403)</f>
        <v>0</v>
      </c>
      <c r="U27" s="1730">
        <f>LOOKUP(ARBETSBLAD!$L$4+SUM($I$53:T$53),ARBETSBLAD!$I$6:$AF$6,fx!$I403:$AF403)</f>
        <v>0</v>
      </c>
      <c r="V27" s="1730">
        <f>LOOKUP(ARBETSBLAD!$L$4+SUM($I$53:U$53),ARBETSBLAD!$I$6:$AF$6,fx!$I403:$AF403)*V$52</f>
        <v>0</v>
      </c>
      <c r="W27" s="1730">
        <f>LOOKUP(ARBETSBLAD!$L$4+SUM($I$53:V$53),ARBETSBLAD!$I$6:$AF$6,fx!$I403:$AF403)*W$52</f>
        <v>0</v>
      </c>
      <c r="X27" s="1730">
        <f>LOOKUP(ARBETSBLAD!$L$4+SUM($I$53:W$53),ARBETSBLAD!$I$6:$AF$6,fx!$I403:$AF403)*X$52</f>
        <v>0</v>
      </c>
      <c r="Y27" s="1730">
        <f>LOOKUP(ARBETSBLAD!$L$4+SUM($I$53:X$53),ARBETSBLAD!$I$6:$AF$6,fx!$I403:$AF403)*Y$52</f>
        <v>0</v>
      </c>
      <c r="Z27" s="1730">
        <f>LOOKUP(ARBETSBLAD!$L$4+SUM($I$53:Y$53),ARBETSBLAD!$I$6:$AF$6,fx!$I403:$AF403)*Z$52</f>
        <v>0</v>
      </c>
      <c r="AA27" s="1730">
        <f>LOOKUP(ARBETSBLAD!$L$4+SUM($I$53:Z$53),ARBETSBLAD!$I$6:$AF$6,fx!$I403:$AF403)*AA$52</f>
        <v>0</v>
      </c>
      <c r="AB27" s="1730">
        <f>LOOKUP(ARBETSBLAD!$L$4+SUM($I$53:AA$53),ARBETSBLAD!$I$6:$AF$6,fx!$I403:$AF403)*AB$52</f>
        <v>0</v>
      </c>
      <c r="AC27" s="1730">
        <f>LOOKUP(ARBETSBLAD!$L$4+SUM($I$53:AB$53),ARBETSBLAD!$I$6:$AF$6,fx!$I403:$AF403)*AC$52</f>
        <v>0</v>
      </c>
      <c r="AD27" s="1730">
        <f>LOOKUP(ARBETSBLAD!$L$4+SUM($I$53:AC$53),ARBETSBLAD!$I$6:$AF$6,fx!$I403:$AF403)*AD$52</f>
        <v>0</v>
      </c>
      <c r="AE27" s="1730">
        <f>LOOKUP(ARBETSBLAD!$L$4+SUM($I$53:AD$53),ARBETSBLAD!$I$6:$AF$6,fx!$I403:$AF403)*AE$52</f>
        <v>0</v>
      </c>
      <c r="AF27" s="1730">
        <f>LOOKUP(ARBETSBLAD!$L$4+SUM($I$53:AE$53),ARBETSBLAD!$I$6:$AF$6,fx!$I403:$AF403)*AF$52</f>
        <v>0</v>
      </c>
    </row>
    <row r="28" spans="2:32" ht="12" customHeight="1">
      <c r="B28" s="1711" t="str">
        <f>fx!B404</f>
        <v xml:space="preserve">Arbetsmarkn.försäkringar. </v>
      </c>
      <c r="C28" s="201"/>
      <c r="D28" s="201"/>
      <c r="E28" s="201"/>
      <c r="F28" s="1709">
        <f>fx!C404</f>
        <v>0</v>
      </c>
      <c r="G28" s="201"/>
      <c r="H28" s="201"/>
      <c r="I28" s="1730">
        <f>LOOKUP(ARBETSBLAD!$L$4,ARBETSBLAD!$I$6:$AF$6,fx!$I404:$AF404)</f>
        <v>0</v>
      </c>
      <c r="J28" s="1730">
        <f>LOOKUP(ARBETSBLAD!$L$4+SUM($I$53:I$53),ARBETSBLAD!$I$6:$AF$6,fx!$I404:$AF404)</f>
        <v>0</v>
      </c>
      <c r="K28" s="1730">
        <f>LOOKUP(ARBETSBLAD!$L$4+SUM($I$53:J$53),ARBETSBLAD!$I$6:$AF$6,fx!$I404:$AF404)</f>
        <v>0</v>
      </c>
      <c r="L28" s="1730">
        <f>LOOKUP(ARBETSBLAD!$L$4+SUM($I$53:K$53),ARBETSBLAD!$I$6:$AF$6,fx!$I404:$AF404)</f>
        <v>0</v>
      </c>
      <c r="M28" s="1730">
        <f>LOOKUP(ARBETSBLAD!$L$4+SUM($I$53:L$53),ARBETSBLAD!$I$6:$AF$6,fx!$I404:$AF404)</f>
        <v>0</v>
      </c>
      <c r="N28" s="1730">
        <f>LOOKUP(ARBETSBLAD!$L$4+SUM($I$53:M$53),ARBETSBLAD!$I$6:$AF$6,fx!$I404:$AF404)</f>
        <v>0</v>
      </c>
      <c r="O28" s="1730">
        <f>LOOKUP(ARBETSBLAD!$L$4+SUM($I$53:N$53),ARBETSBLAD!$I$6:$AF$6,fx!$I404:$AF404)</f>
        <v>0</v>
      </c>
      <c r="P28" s="1730">
        <f>LOOKUP(ARBETSBLAD!$L$4+SUM($I$53:O$53),ARBETSBLAD!$I$6:$AF$6,fx!$I404:$AF404)</f>
        <v>0</v>
      </c>
      <c r="Q28" s="1730">
        <f>LOOKUP(ARBETSBLAD!$L$4+SUM($I$53:P$53),ARBETSBLAD!$I$6:$AF$6,fx!$I404:$AF404)</f>
        <v>0</v>
      </c>
      <c r="R28" s="1730">
        <f>LOOKUP(ARBETSBLAD!$L$4+SUM($I$53:Q$53),ARBETSBLAD!$I$6:$AF$6,fx!$I404:$AF404)</f>
        <v>0</v>
      </c>
      <c r="S28" s="1730">
        <f>LOOKUP(ARBETSBLAD!$L$4+SUM($I$53:R$53),ARBETSBLAD!$I$6:$AF$6,fx!$I404:$AF404)</f>
        <v>0</v>
      </c>
      <c r="T28" s="1730">
        <f>LOOKUP(ARBETSBLAD!$L$4+SUM($I$53:S$53),ARBETSBLAD!$I$6:$AF$6,fx!$I404:$AF404)</f>
        <v>0</v>
      </c>
      <c r="U28" s="1730">
        <f>LOOKUP(ARBETSBLAD!$L$4+SUM($I$53:T$53),ARBETSBLAD!$I$6:$AF$6,fx!$I404:$AF404)</f>
        <v>0</v>
      </c>
      <c r="V28" s="1730">
        <f>LOOKUP(ARBETSBLAD!$L$4+SUM($I$53:U$53),ARBETSBLAD!$I$6:$AF$6,fx!$I404:$AF404)*V$52</f>
        <v>0</v>
      </c>
      <c r="W28" s="1730">
        <f>LOOKUP(ARBETSBLAD!$L$4+SUM($I$53:V$53),ARBETSBLAD!$I$6:$AF$6,fx!$I404:$AF404)*W$52</f>
        <v>0</v>
      </c>
      <c r="X28" s="1730">
        <f>LOOKUP(ARBETSBLAD!$L$4+SUM($I$53:W$53),ARBETSBLAD!$I$6:$AF$6,fx!$I404:$AF404)*X$52</f>
        <v>0</v>
      </c>
      <c r="Y28" s="1730">
        <f>LOOKUP(ARBETSBLAD!$L$4+SUM($I$53:X$53),ARBETSBLAD!$I$6:$AF$6,fx!$I404:$AF404)*Y$52</f>
        <v>0</v>
      </c>
      <c r="Z28" s="1730">
        <f>LOOKUP(ARBETSBLAD!$L$4+SUM($I$53:Y$53),ARBETSBLAD!$I$6:$AF$6,fx!$I404:$AF404)*Z$52</f>
        <v>0</v>
      </c>
      <c r="AA28" s="1730">
        <f>LOOKUP(ARBETSBLAD!$L$4+SUM($I$53:Z$53),ARBETSBLAD!$I$6:$AF$6,fx!$I404:$AF404)*AA$52</f>
        <v>0</v>
      </c>
      <c r="AB28" s="1730">
        <f>LOOKUP(ARBETSBLAD!$L$4+SUM($I$53:AA$53),ARBETSBLAD!$I$6:$AF$6,fx!$I404:$AF404)*AB$52</f>
        <v>0</v>
      </c>
      <c r="AC28" s="1730">
        <f>LOOKUP(ARBETSBLAD!$L$4+SUM($I$53:AB$53),ARBETSBLAD!$I$6:$AF$6,fx!$I404:$AF404)*AC$52</f>
        <v>0</v>
      </c>
      <c r="AD28" s="1730">
        <f>LOOKUP(ARBETSBLAD!$L$4+SUM($I$53:AC$53),ARBETSBLAD!$I$6:$AF$6,fx!$I404:$AF404)*AD$52</f>
        <v>0</v>
      </c>
      <c r="AE28" s="1730">
        <f>LOOKUP(ARBETSBLAD!$L$4+SUM($I$53:AD$53),ARBETSBLAD!$I$6:$AF$6,fx!$I404:$AF404)*AE$52</f>
        <v>0</v>
      </c>
      <c r="AF28" s="1730">
        <f>LOOKUP(ARBETSBLAD!$L$4+SUM($I$53:AE$53),ARBETSBLAD!$I$6:$AF$6,fx!$I404:$AF404)*AF$52</f>
        <v>0</v>
      </c>
    </row>
    <row r="29" spans="2:32" ht="12" customHeight="1">
      <c r="B29" s="1711" t="str">
        <f>fx!B405</f>
        <v>Räntebetalningar</v>
      </c>
      <c r="C29" s="201"/>
      <c r="D29" s="201"/>
      <c r="E29" s="201"/>
      <c r="F29" s="201"/>
      <c r="G29" s="201"/>
      <c r="H29" s="201"/>
      <c r="I29" s="1730">
        <f>LOOKUP(ARBETSBLAD!$L$4,ARBETSBLAD!$I$6:$AF$6,fx!$I405:$AF405)</f>
        <v>0</v>
      </c>
      <c r="J29" s="1730">
        <f>LOOKUP(ARBETSBLAD!$L$4+SUM($I$53:I$53),ARBETSBLAD!$I$6:$AF$6,fx!$I405:$AF405)</f>
        <v>0</v>
      </c>
      <c r="K29" s="1730">
        <f>LOOKUP(ARBETSBLAD!$L$4+SUM($I$53:J$53),ARBETSBLAD!$I$6:$AF$6,fx!$I405:$AF405)</f>
        <v>0</v>
      </c>
      <c r="L29" s="1730">
        <f>LOOKUP(ARBETSBLAD!$L$4+SUM($I$53:K$53),ARBETSBLAD!$I$6:$AF$6,fx!$I405:$AF405)</f>
        <v>0</v>
      </c>
      <c r="M29" s="1730">
        <f>LOOKUP(ARBETSBLAD!$L$4+SUM($I$53:L$53),ARBETSBLAD!$I$6:$AF$6,fx!$I405:$AF405)</f>
        <v>0</v>
      </c>
      <c r="N29" s="1730">
        <f>LOOKUP(ARBETSBLAD!$L$4+SUM($I$53:M$53),ARBETSBLAD!$I$6:$AF$6,fx!$I405:$AF405)</f>
        <v>0</v>
      </c>
      <c r="O29" s="1730">
        <f>LOOKUP(ARBETSBLAD!$L$4+SUM($I$53:N$53),ARBETSBLAD!$I$6:$AF$6,fx!$I405:$AF405)</f>
        <v>0</v>
      </c>
      <c r="P29" s="1730">
        <f>LOOKUP(ARBETSBLAD!$L$4+SUM($I$53:O$53),ARBETSBLAD!$I$6:$AF$6,fx!$I405:$AF405)</f>
        <v>0</v>
      </c>
      <c r="Q29" s="1730">
        <f>LOOKUP(ARBETSBLAD!$L$4+SUM($I$53:P$53),ARBETSBLAD!$I$6:$AF$6,fx!$I405:$AF405)</f>
        <v>0</v>
      </c>
      <c r="R29" s="1730">
        <f>LOOKUP(ARBETSBLAD!$L$4+SUM($I$53:Q$53),ARBETSBLAD!$I$6:$AF$6,fx!$I405:$AF405)</f>
        <v>0</v>
      </c>
      <c r="S29" s="1730">
        <f>LOOKUP(ARBETSBLAD!$L$4+SUM($I$53:R$53),ARBETSBLAD!$I$6:$AF$6,fx!$I405:$AF405)</f>
        <v>0</v>
      </c>
      <c r="T29" s="1730">
        <f>LOOKUP(ARBETSBLAD!$L$4+SUM($I$53:S$53),ARBETSBLAD!$I$6:$AF$6,fx!$I405:$AF405)</f>
        <v>0</v>
      </c>
      <c r="U29" s="1730">
        <f>LOOKUP(ARBETSBLAD!$L$4+SUM($I$53:T$53),ARBETSBLAD!$I$6:$AF$6,fx!$I405:$AF405)</f>
        <v>0</v>
      </c>
      <c r="V29" s="1730">
        <f>LOOKUP(ARBETSBLAD!$L$4+SUM($I$53:U$53),ARBETSBLAD!$I$6:$AF$6,fx!$I405:$AF405)*V$52</f>
        <v>0</v>
      </c>
      <c r="W29" s="1730">
        <f>LOOKUP(ARBETSBLAD!$L$4+SUM($I$53:V$53),ARBETSBLAD!$I$6:$AF$6,fx!$I405:$AF405)*W$52</f>
        <v>0</v>
      </c>
      <c r="X29" s="1730">
        <f>LOOKUP(ARBETSBLAD!$L$4+SUM($I$53:W$53),ARBETSBLAD!$I$6:$AF$6,fx!$I405:$AF405)*X$52</f>
        <v>0</v>
      </c>
      <c r="Y29" s="1730">
        <f>LOOKUP(ARBETSBLAD!$L$4+SUM($I$53:X$53),ARBETSBLAD!$I$6:$AF$6,fx!$I405:$AF405)*Y$52</f>
        <v>0</v>
      </c>
      <c r="Z29" s="1730">
        <f>LOOKUP(ARBETSBLAD!$L$4+SUM($I$53:Y$53),ARBETSBLAD!$I$6:$AF$6,fx!$I405:$AF405)*Z$52</f>
        <v>0</v>
      </c>
      <c r="AA29" s="1730">
        <f>LOOKUP(ARBETSBLAD!$L$4+SUM($I$53:Z$53),ARBETSBLAD!$I$6:$AF$6,fx!$I405:$AF405)*AA$52</f>
        <v>0</v>
      </c>
      <c r="AB29" s="1730">
        <f>LOOKUP(ARBETSBLAD!$L$4+SUM($I$53:AA$53),ARBETSBLAD!$I$6:$AF$6,fx!$I405:$AF405)*AB$52</f>
        <v>0</v>
      </c>
      <c r="AC29" s="1730">
        <f>LOOKUP(ARBETSBLAD!$L$4+SUM($I$53:AB$53),ARBETSBLAD!$I$6:$AF$6,fx!$I405:$AF405)*AC$52</f>
        <v>0</v>
      </c>
      <c r="AD29" s="1730">
        <f>LOOKUP(ARBETSBLAD!$L$4+SUM($I$53:AC$53),ARBETSBLAD!$I$6:$AF$6,fx!$I405:$AF405)*AD$52</f>
        <v>0</v>
      </c>
      <c r="AE29" s="1730">
        <f>LOOKUP(ARBETSBLAD!$L$4+SUM($I$53:AD$53),ARBETSBLAD!$I$6:$AF$6,fx!$I405:$AF405)*AE$52</f>
        <v>0</v>
      </c>
      <c r="AF29" s="1730">
        <f>LOOKUP(ARBETSBLAD!$L$4+SUM($I$53:AE$53),ARBETSBLAD!$I$6:$AF$6,fx!$I405:$AF405)*AF$52</f>
        <v>0</v>
      </c>
    </row>
    <row r="30" spans="2:32" ht="12" customHeight="1">
      <c r="B30" s="1711" t="str">
        <f>fx!B406</f>
        <v>Amortering</v>
      </c>
      <c r="C30" s="201"/>
      <c r="D30" s="201"/>
      <c r="E30" s="201"/>
      <c r="F30" s="201"/>
      <c r="G30" s="201"/>
      <c r="H30" s="201"/>
      <c r="I30" s="1730">
        <f>LOOKUP(ARBETSBLAD!$L$4,ARBETSBLAD!$I$6:$AF$6,fx!$I406:$AF406)</f>
        <v>0</v>
      </c>
      <c r="J30" s="1730">
        <f>LOOKUP(ARBETSBLAD!$L$4+SUM($I$53:I$53),ARBETSBLAD!$I$6:$AF$6,fx!$I406:$AF406)</f>
        <v>0</v>
      </c>
      <c r="K30" s="1730">
        <f>LOOKUP(ARBETSBLAD!$L$4+SUM($I$53:J$53),ARBETSBLAD!$I$6:$AF$6,fx!$I406:$AF406)</f>
        <v>0</v>
      </c>
      <c r="L30" s="1730">
        <f>LOOKUP(ARBETSBLAD!$L$4+SUM($I$53:K$53),ARBETSBLAD!$I$6:$AF$6,fx!$I406:$AF406)</f>
        <v>0</v>
      </c>
      <c r="M30" s="1730">
        <f>LOOKUP(ARBETSBLAD!$L$4+SUM($I$53:L$53),ARBETSBLAD!$I$6:$AF$6,fx!$I406:$AF406)</f>
        <v>0</v>
      </c>
      <c r="N30" s="1730">
        <f>LOOKUP(ARBETSBLAD!$L$4+SUM($I$53:M$53),ARBETSBLAD!$I$6:$AF$6,fx!$I406:$AF406)</f>
        <v>0</v>
      </c>
      <c r="O30" s="1730">
        <f>LOOKUP(ARBETSBLAD!$L$4+SUM($I$53:N$53),ARBETSBLAD!$I$6:$AF$6,fx!$I406:$AF406)</f>
        <v>0</v>
      </c>
      <c r="P30" s="1730">
        <f>LOOKUP(ARBETSBLAD!$L$4+SUM($I$53:O$53),ARBETSBLAD!$I$6:$AF$6,fx!$I406:$AF406)</f>
        <v>0</v>
      </c>
      <c r="Q30" s="1730">
        <f>LOOKUP(ARBETSBLAD!$L$4+SUM($I$53:P$53),ARBETSBLAD!$I$6:$AF$6,fx!$I406:$AF406)</f>
        <v>0</v>
      </c>
      <c r="R30" s="1730">
        <f>LOOKUP(ARBETSBLAD!$L$4+SUM($I$53:Q$53),ARBETSBLAD!$I$6:$AF$6,fx!$I406:$AF406)</f>
        <v>0</v>
      </c>
      <c r="S30" s="1730">
        <f>LOOKUP(ARBETSBLAD!$L$4+SUM($I$53:R$53),ARBETSBLAD!$I$6:$AF$6,fx!$I406:$AF406)</f>
        <v>0</v>
      </c>
      <c r="T30" s="1730">
        <f>LOOKUP(ARBETSBLAD!$L$4+SUM($I$53:S$53),ARBETSBLAD!$I$6:$AF$6,fx!$I406:$AF406)</f>
        <v>0</v>
      </c>
      <c r="U30" s="1730">
        <f>LOOKUP(ARBETSBLAD!$L$4+SUM($I$53:T$53),ARBETSBLAD!$I$6:$AF$6,fx!$I406:$AF406)</f>
        <v>0</v>
      </c>
      <c r="V30" s="1730">
        <f>LOOKUP(ARBETSBLAD!$L$4+SUM($I$53:U$53),ARBETSBLAD!$I$6:$AF$6,fx!$I406:$AF406)*V$52</f>
        <v>0</v>
      </c>
      <c r="W30" s="1730">
        <f>LOOKUP(ARBETSBLAD!$L$4+SUM($I$53:V$53),ARBETSBLAD!$I$6:$AF$6,fx!$I406:$AF406)*W$52</f>
        <v>0</v>
      </c>
      <c r="X30" s="1730">
        <f>LOOKUP(ARBETSBLAD!$L$4+SUM($I$53:W$53),ARBETSBLAD!$I$6:$AF$6,fx!$I406:$AF406)*X$52</f>
        <v>0</v>
      </c>
      <c r="Y30" s="1730">
        <f>LOOKUP(ARBETSBLAD!$L$4+SUM($I$53:X$53),ARBETSBLAD!$I$6:$AF$6,fx!$I406:$AF406)*Y$52</f>
        <v>0</v>
      </c>
      <c r="Z30" s="1730">
        <f>LOOKUP(ARBETSBLAD!$L$4+SUM($I$53:Y$53),ARBETSBLAD!$I$6:$AF$6,fx!$I406:$AF406)*Z$52</f>
        <v>0</v>
      </c>
      <c r="AA30" s="1730">
        <f>LOOKUP(ARBETSBLAD!$L$4+SUM($I$53:Z$53),ARBETSBLAD!$I$6:$AF$6,fx!$I406:$AF406)*AA$52</f>
        <v>0</v>
      </c>
      <c r="AB30" s="1730">
        <f>LOOKUP(ARBETSBLAD!$L$4+SUM($I$53:AA$53),ARBETSBLAD!$I$6:$AF$6,fx!$I406:$AF406)*AB$52</f>
        <v>0</v>
      </c>
      <c r="AC30" s="1730">
        <f>LOOKUP(ARBETSBLAD!$L$4+SUM($I$53:AB$53),ARBETSBLAD!$I$6:$AF$6,fx!$I406:$AF406)*AC$52</f>
        <v>0</v>
      </c>
      <c r="AD30" s="1730">
        <f>LOOKUP(ARBETSBLAD!$L$4+SUM($I$53:AC$53),ARBETSBLAD!$I$6:$AF$6,fx!$I406:$AF406)*AD$52</f>
        <v>0</v>
      </c>
      <c r="AE30" s="1730">
        <f>LOOKUP(ARBETSBLAD!$L$4+SUM($I$53:AD$53),ARBETSBLAD!$I$6:$AF$6,fx!$I406:$AF406)*AE$52</f>
        <v>0</v>
      </c>
      <c r="AF30" s="1730">
        <f>LOOKUP(ARBETSBLAD!$L$4+SUM($I$53:AE$53),ARBETSBLAD!$I$6:$AF$6,fx!$I406:$AF406)*AF$52</f>
        <v>0</v>
      </c>
    </row>
    <row r="31" spans="2:32" ht="12" customHeight="1">
      <c r="B31" s="1711" t="str">
        <f>fx!B407</f>
        <v>Betald ingående moms</v>
      </c>
      <c r="C31" s="201"/>
      <c r="D31" s="201"/>
      <c r="E31" s="201"/>
      <c r="F31" s="201"/>
      <c r="G31" s="201"/>
      <c r="H31" s="201"/>
      <c r="I31" s="1730">
        <f>LOOKUP(ARBETSBLAD!$L$4,ARBETSBLAD!$I$6:$AF$6,fx!$I407:$AF407)</f>
        <v>0</v>
      </c>
      <c r="J31" s="1730">
        <f>LOOKUP(ARBETSBLAD!$L$4+SUM($I$53:I$53),ARBETSBLAD!$I$6:$AF$6,fx!$I407:$AF407)</f>
        <v>0</v>
      </c>
      <c r="K31" s="1730">
        <f ca="1">LOOKUP(ARBETSBLAD!$L$4+SUM($I$53:J$53),ARBETSBLAD!$I$6:$AF$6,fx!$I407:$AF407)</f>
        <v>0</v>
      </c>
      <c r="L31" s="1730">
        <f ca="1">LOOKUP(ARBETSBLAD!$L$4+SUM($I$53:K$53),ARBETSBLAD!$I$6:$AF$6,fx!$I407:$AF407)</f>
        <v>0</v>
      </c>
      <c r="M31" s="1730">
        <f ca="1">LOOKUP(ARBETSBLAD!$L$4+SUM($I$53:L$53),ARBETSBLAD!$I$6:$AF$6,fx!$I407:$AF407)</f>
        <v>0</v>
      </c>
      <c r="N31" s="1730">
        <f ca="1">LOOKUP(ARBETSBLAD!$L$4+SUM($I$53:M$53),ARBETSBLAD!$I$6:$AF$6,fx!$I407:$AF407)</f>
        <v>0</v>
      </c>
      <c r="O31" s="1730">
        <f ca="1">LOOKUP(ARBETSBLAD!$L$4+SUM($I$53:N$53),ARBETSBLAD!$I$6:$AF$6,fx!$I407:$AF407)</f>
        <v>0</v>
      </c>
      <c r="P31" s="1730">
        <f ca="1">LOOKUP(ARBETSBLAD!$L$4+SUM($I$53:O$53),ARBETSBLAD!$I$6:$AF$6,fx!$I407:$AF407)</f>
        <v>0</v>
      </c>
      <c r="Q31" s="1730">
        <f ca="1">LOOKUP(ARBETSBLAD!$L$4+SUM($I$53:P$53),ARBETSBLAD!$I$6:$AF$6,fx!$I407:$AF407)</f>
        <v>0</v>
      </c>
      <c r="R31" s="1730">
        <f ca="1">LOOKUP(ARBETSBLAD!$L$4+SUM($I$53:Q$53),ARBETSBLAD!$I$6:$AF$6,fx!$I407:$AF407)</f>
        <v>0</v>
      </c>
      <c r="S31" s="1730">
        <f ca="1">LOOKUP(ARBETSBLAD!$L$4+SUM($I$53:R$53),ARBETSBLAD!$I$6:$AF$6,fx!$I407:$AF407)</f>
        <v>0</v>
      </c>
      <c r="T31" s="1730">
        <f ca="1">LOOKUP(ARBETSBLAD!$L$4+SUM($I$53:S$53),ARBETSBLAD!$I$6:$AF$6,fx!$I407:$AF407)</f>
        <v>0</v>
      </c>
      <c r="U31" s="1730">
        <f ca="1">LOOKUP(ARBETSBLAD!$L$4+SUM($I$53:T$53),ARBETSBLAD!$I$6:$AF$6,fx!$I407:$AF407)</f>
        <v>0</v>
      </c>
      <c r="V31" s="1730">
        <f ca="1">LOOKUP(ARBETSBLAD!$L$4+SUM($I$53:U$53),ARBETSBLAD!$I$6:$AF$6,fx!$I407:$AF407)*V$52</f>
        <v>0</v>
      </c>
      <c r="W31" s="1730">
        <f ca="1">LOOKUP(ARBETSBLAD!$L$4+SUM($I$53:V$53),ARBETSBLAD!$I$6:$AF$6,fx!$I407:$AF407)*W$52</f>
        <v>0</v>
      </c>
      <c r="X31" s="1730">
        <f ca="1">LOOKUP(ARBETSBLAD!$L$4+SUM($I$53:W$53),ARBETSBLAD!$I$6:$AF$6,fx!$I407:$AF407)*X$52</f>
        <v>0</v>
      </c>
      <c r="Y31" s="1730">
        <f ca="1">LOOKUP(ARBETSBLAD!$L$4+SUM($I$53:X$53),ARBETSBLAD!$I$6:$AF$6,fx!$I407:$AF407)*Y$52</f>
        <v>0</v>
      </c>
      <c r="Z31" s="1730">
        <f ca="1">LOOKUP(ARBETSBLAD!$L$4+SUM($I$53:Y$53),ARBETSBLAD!$I$6:$AF$6,fx!$I407:$AF407)*Z$52</f>
        <v>0</v>
      </c>
      <c r="AA31" s="1730">
        <f ca="1">LOOKUP(ARBETSBLAD!$L$4+SUM($I$53:Z$53),ARBETSBLAD!$I$6:$AF$6,fx!$I407:$AF407)*AA$52</f>
        <v>0</v>
      </c>
      <c r="AB31" s="1730">
        <f ca="1">LOOKUP(ARBETSBLAD!$L$4+SUM($I$53:AA$53),ARBETSBLAD!$I$6:$AF$6,fx!$I407:$AF407)*AB$52</f>
        <v>0</v>
      </c>
      <c r="AC31" s="1730">
        <f ca="1">LOOKUP(ARBETSBLAD!$L$4+SUM($I$53:AB$53),ARBETSBLAD!$I$6:$AF$6,fx!$I407:$AF407)*AC$52</f>
        <v>0</v>
      </c>
      <c r="AD31" s="1730">
        <f ca="1">LOOKUP(ARBETSBLAD!$L$4+SUM($I$53:AC$53),ARBETSBLAD!$I$6:$AF$6,fx!$I407:$AF407)*AD$52</f>
        <v>0</v>
      </c>
      <c r="AE31" s="1730">
        <f ca="1">LOOKUP(ARBETSBLAD!$L$4+SUM($I$53:AD$53),ARBETSBLAD!$I$6:$AF$6,fx!$I407:$AF407)*AE$52</f>
        <v>0</v>
      </c>
      <c r="AF31" s="1730">
        <f ca="1">LOOKUP(ARBETSBLAD!$L$4+SUM($I$53:AE$53),ARBETSBLAD!$I$6:$AF$6,fx!$I407:$AF407)*AF$52</f>
        <v>0</v>
      </c>
    </row>
    <row r="32" spans="2:32" ht="12" customHeight="1">
      <c r="B32" s="1711" t="str">
        <f>fx!B408</f>
        <v>Momsbetalning till Skatteverket</v>
      </c>
      <c r="C32" s="201"/>
      <c r="D32" s="201"/>
      <c r="E32" s="201"/>
      <c r="F32" s="201"/>
      <c r="G32" s="201"/>
      <c r="H32" s="201"/>
      <c r="I32" s="1736">
        <f>LOOKUP(ARBETSBLAD!$L$4,ARBETSBLAD!$I$6:$AF$6,fx!$I408:$AF408)</f>
        <v>0</v>
      </c>
      <c r="J32" s="1736">
        <f>LOOKUP(ARBETSBLAD!$L$4+SUM($I$53:I$53),ARBETSBLAD!$I$6:$AF$6,fx!$I408:$AF408)</f>
        <v>0</v>
      </c>
      <c r="K32" s="1736">
        <f ca="1">LOOKUP(ARBETSBLAD!$L$4+SUM($I$53:J$53),ARBETSBLAD!$I$6:$AF$6,fx!$I408:$AF408)</f>
        <v>0</v>
      </c>
      <c r="L32" s="1736">
        <f ca="1">LOOKUP(ARBETSBLAD!$L$4+SUM($I$53:K$53),ARBETSBLAD!$I$6:$AF$6,fx!$I408:$AF408)</f>
        <v>0</v>
      </c>
      <c r="M32" s="1736">
        <f ca="1">LOOKUP(ARBETSBLAD!$L$4+SUM($I$53:L$53),ARBETSBLAD!$I$6:$AF$6,fx!$I408:$AF408)</f>
        <v>0</v>
      </c>
      <c r="N32" s="1736">
        <f ca="1">LOOKUP(ARBETSBLAD!$L$4+SUM($I$53:M$53),ARBETSBLAD!$I$6:$AF$6,fx!$I408:$AF408)</f>
        <v>0</v>
      </c>
      <c r="O32" s="1736">
        <f ca="1">LOOKUP(ARBETSBLAD!$L$4+SUM($I$53:N$53),ARBETSBLAD!$I$6:$AF$6,fx!$I408:$AF408)</f>
        <v>0</v>
      </c>
      <c r="P32" s="1736">
        <f ca="1">LOOKUP(ARBETSBLAD!$L$4+SUM($I$53:O$53),ARBETSBLAD!$I$6:$AF$6,fx!$I408:$AF408)</f>
        <v>0</v>
      </c>
      <c r="Q32" s="1736">
        <f ca="1">LOOKUP(ARBETSBLAD!$L$4+SUM($I$53:P$53),ARBETSBLAD!$I$6:$AF$6,fx!$I408:$AF408)</f>
        <v>0</v>
      </c>
      <c r="R32" s="1736">
        <f ca="1">LOOKUP(ARBETSBLAD!$L$4+SUM($I$53:Q$53),ARBETSBLAD!$I$6:$AF$6,fx!$I408:$AF408)</f>
        <v>0</v>
      </c>
      <c r="S32" s="1737">
        <f ca="1">LOOKUP(ARBETSBLAD!$L$4+SUM($I$53:R$53),ARBETSBLAD!$I$6:$AF$6,fx!$I408:$AF408)</f>
        <v>0</v>
      </c>
      <c r="T32" s="1737">
        <f ca="1">LOOKUP(ARBETSBLAD!$L$4+SUM($I$53:S$53),ARBETSBLAD!$I$6:$AF$6,fx!$I408:$AF408)</f>
        <v>0</v>
      </c>
      <c r="U32" s="1736">
        <f ca="1">LOOKUP(ARBETSBLAD!$L$4+SUM($I$53:T$53),ARBETSBLAD!$I$6:$AF$6,fx!$I408:$AF408)</f>
        <v>0</v>
      </c>
      <c r="V32" s="1736">
        <f ca="1">LOOKUP(ARBETSBLAD!$L$4+SUM($I$53:U$53),ARBETSBLAD!$I$6:$AF$6,fx!$I408:$AF408)*V$52</f>
        <v>0</v>
      </c>
      <c r="W32" s="1736">
        <f ca="1">LOOKUP(ARBETSBLAD!$L$4+SUM($I$53:V$53),ARBETSBLAD!$I$6:$AF$6,fx!$I408:$AF408)*W$52</f>
        <v>0</v>
      </c>
      <c r="X32" s="1736">
        <f ca="1">LOOKUP(ARBETSBLAD!$L$4+SUM($I$53:W$53),ARBETSBLAD!$I$6:$AF$6,fx!$I408:$AF408)*X$52</f>
        <v>0</v>
      </c>
      <c r="Y32" s="1736">
        <f ca="1">LOOKUP(ARBETSBLAD!$L$4+SUM($I$53:X$53),ARBETSBLAD!$I$6:$AF$6,fx!$I408:$AF408)*Y$52</f>
        <v>0</v>
      </c>
      <c r="Z32" s="1736">
        <f ca="1">LOOKUP(ARBETSBLAD!$L$4+SUM($I$53:Y$53),ARBETSBLAD!$I$6:$AF$6,fx!$I408:$AF408)*Z$52</f>
        <v>0</v>
      </c>
      <c r="AA32" s="1736">
        <f ca="1">LOOKUP(ARBETSBLAD!$L$4+SUM($I$53:Z$53),ARBETSBLAD!$I$6:$AF$6,fx!$I408:$AF408)*AA$52</f>
        <v>0</v>
      </c>
      <c r="AB32" s="1736">
        <f ca="1">LOOKUP(ARBETSBLAD!$L$4+SUM($I$53:AA$53),ARBETSBLAD!$I$6:$AF$6,fx!$I408:$AF408)*AB$52</f>
        <v>0</v>
      </c>
      <c r="AC32" s="1736">
        <f ca="1">LOOKUP(ARBETSBLAD!$L$4+SUM($I$53:AB$53),ARBETSBLAD!$I$6:$AF$6,fx!$I408:$AF408)*AC$52</f>
        <v>0</v>
      </c>
      <c r="AD32" s="1736">
        <f ca="1">LOOKUP(ARBETSBLAD!$L$4+SUM($I$53:AC$53),ARBETSBLAD!$I$6:$AF$6,fx!$I408:$AF408)*AD$52</f>
        <v>0</v>
      </c>
      <c r="AE32" s="1737">
        <f ca="1">LOOKUP(ARBETSBLAD!$L$4+SUM($I$53:AD$53),ARBETSBLAD!$I$6:$AF$6,fx!$I408:$AF408)*AE$52</f>
        <v>0</v>
      </c>
      <c r="AF32" s="1737">
        <f ca="1">LOOKUP(ARBETSBLAD!$L$4+SUM($I$53:AE$53),ARBETSBLAD!$I$6:$AF$6,fx!$I408:$AF408)*AF$52</f>
        <v>0</v>
      </c>
    </row>
    <row r="33" spans="1:33" ht="12" customHeight="1">
      <c r="B33" s="1713" t="s">
        <v>50</v>
      </c>
      <c r="C33" s="1714"/>
      <c r="D33" s="1714"/>
      <c r="E33" s="1714"/>
      <c r="F33" s="1714"/>
      <c r="G33" s="1714"/>
      <c r="H33" s="1714"/>
      <c r="I33" s="1731">
        <f>LOOKUP(ARBETSBLAD!$L$4,ARBETSBLAD!$I$6:$AF$6,fx!$I409:$AF409)</f>
        <v>0</v>
      </c>
      <c r="J33" s="1731">
        <f>LOOKUP(ARBETSBLAD!$L$4+SUM($I$53:I$53),ARBETSBLAD!$I$6:$AF$6,fx!$I409:$AF409)</f>
        <v>0</v>
      </c>
      <c r="K33" s="1731">
        <f ca="1">LOOKUP(ARBETSBLAD!$L$4+SUM($I$53:J$53),ARBETSBLAD!$I$6:$AF$6,fx!$I409:$AF409)</f>
        <v>0</v>
      </c>
      <c r="L33" s="1731">
        <f ca="1">LOOKUP(ARBETSBLAD!$L$4+SUM($I$53:K$53),ARBETSBLAD!$I$6:$AF$6,fx!$I409:$AF409)</f>
        <v>0</v>
      </c>
      <c r="M33" s="1731">
        <f ca="1">LOOKUP(ARBETSBLAD!$L$4+SUM($I$53:L$53),ARBETSBLAD!$I$6:$AF$6,fx!$I409:$AF409)</f>
        <v>0</v>
      </c>
      <c r="N33" s="1731">
        <f ca="1">LOOKUP(ARBETSBLAD!$L$4+SUM($I$53:M$53),ARBETSBLAD!$I$6:$AF$6,fx!$I409:$AF409)</f>
        <v>0</v>
      </c>
      <c r="O33" s="1731">
        <f ca="1">LOOKUP(ARBETSBLAD!$L$4+SUM($I$53:N$53),ARBETSBLAD!$I$6:$AF$6,fx!$I409:$AF409)</f>
        <v>0</v>
      </c>
      <c r="P33" s="1731">
        <f ca="1">LOOKUP(ARBETSBLAD!$L$4+SUM($I$53:O$53),ARBETSBLAD!$I$6:$AF$6,fx!$I409:$AF409)</f>
        <v>0</v>
      </c>
      <c r="Q33" s="1731">
        <f ca="1">LOOKUP(ARBETSBLAD!$L$4+SUM($I$53:P$53),ARBETSBLAD!$I$6:$AF$6,fx!$I409:$AF409)</f>
        <v>0</v>
      </c>
      <c r="R33" s="1731">
        <f ca="1">LOOKUP(ARBETSBLAD!$L$4+SUM($I$53:Q$53),ARBETSBLAD!$I$6:$AF$6,fx!$I409:$AF409)</f>
        <v>0</v>
      </c>
      <c r="S33" s="1731">
        <f ca="1">LOOKUP(ARBETSBLAD!$L$4+SUM($I$53:R$53),ARBETSBLAD!$I$6:$AF$6,fx!$I409:$AF409)</f>
        <v>0</v>
      </c>
      <c r="T33" s="1731">
        <f ca="1">LOOKUP(ARBETSBLAD!$L$4+SUM($I$53:S$53),ARBETSBLAD!$I$6:$AF$6,fx!$I409:$AF409)</f>
        <v>0</v>
      </c>
      <c r="U33" s="1731">
        <f ca="1">LOOKUP(ARBETSBLAD!$L$4+SUM($I$53:T$53),ARBETSBLAD!$I$6:$AF$6,fx!$I409:$AF409)</f>
        <v>0</v>
      </c>
      <c r="V33" s="1731">
        <f ca="1">LOOKUP(ARBETSBLAD!$L$4+SUM($I$53:U$53),ARBETSBLAD!$I$6:$AF$6,fx!$I409:$AF409)*V$52</f>
        <v>0</v>
      </c>
      <c r="W33" s="1731">
        <f ca="1">LOOKUP(ARBETSBLAD!$L$4+SUM($I$53:V$53),ARBETSBLAD!$I$6:$AF$6,fx!$I409:$AF409)*W$52</f>
        <v>0</v>
      </c>
      <c r="X33" s="1731">
        <f ca="1">LOOKUP(ARBETSBLAD!$L$4+SUM($I$53:W$53),ARBETSBLAD!$I$6:$AF$6,fx!$I409:$AF409)*X$52</f>
        <v>0</v>
      </c>
      <c r="Y33" s="1731">
        <f ca="1">LOOKUP(ARBETSBLAD!$L$4+SUM($I$53:X$53),ARBETSBLAD!$I$6:$AF$6,fx!$I409:$AF409)*Y$52</f>
        <v>0</v>
      </c>
      <c r="Z33" s="1731">
        <f ca="1">LOOKUP(ARBETSBLAD!$L$4+SUM($I$53:Y$53),ARBETSBLAD!$I$6:$AF$6,fx!$I409:$AF409)*Z$52</f>
        <v>0</v>
      </c>
      <c r="AA33" s="1731">
        <f ca="1">LOOKUP(ARBETSBLAD!$L$4+SUM($I$53:Z$53),ARBETSBLAD!$I$6:$AF$6,fx!$I409:$AF409)*AA$52</f>
        <v>0</v>
      </c>
      <c r="AB33" s="1731">
        <f ca="1">LOOKUP(ARBETSBLAD!$L$4+SUM($I$53:AA$53),ARBETSBLAD!$I$6:$AF$6,fx!$I409:$AF409)*AB$52</f>
        <v>0</v>
      </c>
      <c r="AC33" s="1731">
        <f ca="1">LOOKUP(ARBETSBLAD!$L$4+SUM($I$53:AB$53),ARBETSBLAD!$I$6:$AF$6,fx!$I409:$AF409)*AC$52</f>
        <v>0</v>
      </c>
      <c r="AD33" s="1731">
        <f ca="1">LOOKUP(ARBETSBLAD!$L$4+SUM($I$53:AC$53),ARBETSBLAD!$I$6:$AF$6,fx!$I409:$AF409)*AD$52</f>
        <v>0</v>
      </c>
      <c r="AE33" s="1731">
        <f ca="1">LOOKUP(ARBETSBLAD!$L$4+SUM($I$53:AD$53),ARBETSBLAD!$I$6:$AF$6,fx!$I409:$AF409)*AE$52</f>
        <v>0</v>
      </c>
      <c r="AF33" s="1731">
        <f ca="1">LOOKUP(ARBETSBLAD!$L$4+SUM($I$53:AE$53),ARBETSBLAD!$I$6:$AF$6,fx!$I409:$AF409)*AF$52</f>
        <v>0</v>
      </c>
    </row>
    <row r="34" spans="1:33" ht="12" customHeight="1">
      <c r="B34" s="1703" t="s">
        <v>21</v>
      </c>
      <c r="C34" s="1704"/>
      <c r="D34" s="1704"/>
      <c r="E34" s="1704"/>
      <c r="F34" s="1704"/>
      <c r="G34" s="1704"/>
      <c r="H34" s="1704"/>
      <c r="I34" s="434"/>
      <c r="J34" s="1733"/>
      <c r="K34" s="1733"/>
      <c r="L34" s="434"/>
      <c r="M34" s="434"/>
      <c r="N34" s="434"/>
      <c r="O34" s="1733"/>
      <c r="P34" s="1733"/>
      <c r="Q34" s="434"/>
      <c r="R34" s="434"/>
      <c r="S34" s="434"/>
      <c r="T34" s="434"/>
      <c r="U34" s="1734"/>
      <c r="V34" s="1733">
        <f>LOOKUP(ARBETSBLAD!$L$4+SUM($I$53:U$53),ARBETSBLAD!$I$6:$AF$6,fx!$I410:$AF410)*V$52</f>
        <v>0</v>
      </c>
      <c r="W34" s="1733">
        <f>LOOKUP(ARBETSBLAD!$L$4+SUM($I$53:V$53),ARBETSBLAD!$I$6:$AF$6,fx!$I410:$AF410)*W$52</f>
        <v>0</v>
      </c>
      <c r="X34" s="434">
        <f>LOOKUP(ARBETSBLAD!$L$4+SUM($I$53:W$53),ARBETSBLAD!$I$6:$AF$6,fx!$I410:$AF410)*X$52</f>
        <v>0</v>
      </c>
      <c r="Y34" s="434">
        <f>LOOKUP(ARBETSBLAD!$L$4+SUM($I$53:X$53),ARBETSBLAD!$I$6:$AF$6,fx!$I410:$AF410)*Y$52</f>
        <v>0</v>
      </c>
      <c r="Z34" s="434">
        <f>LOOKUP(ARBETSBLAD!$L$4+SUM($I$53:Y$53),ARBETSBLAD!$I$6:$AF$6,fx!$I410:$AF410)*Z$52</f>
        <v>0</v>
      </c>
      <c r="AA34" s="1733">
        <f>LOOKUP(ARBETSBLAD!$L$4+SUM($I$53:Z$53),ARBETSBLAD!$I$6:$AF$6,fx!$I410:$AF410)*AA$52</f>
        <v>0</v>
      </c>
      <c r="AB34" s="1733">
        <f>LOOKUP(ARBETSBLAD!$L$4+SUM($I$53:AA$53),ARBETSBLAD!$I$6:$AF$6,fx!$I410:$AF410)*AB$52</f>
        <v>0</v>
      </c>
      <c r="AC34" s="434">
        <f>LOOKUP(ARBETSBLAD!$L$4+SUM($I$53:AB$53),ARBETSBLAD!$I$6:$AF$6,fx!$I410:$AF410)*AC$52</f>
        <v>0</v>
      </c>
      <c r="AD34" s="434">
        <f>LOOKUP(ARBETSBLAD!$L$4+SUM($I$53:AC$53),ARBETSBLAD!$I$6:$AF$6,fx!$I410:$AF410)*AD$52</f>
        <v>0</v>
      </c>
      <c r="AE34" s="434">
        <f>LOOKUP(ARBETSBLAD!$L$4+SUM($I$53:AD$53),ARBETSBLAD!$I$6:$AF$6,fx!$I410:$AF410)*AE$52</f>
        <v>0</v>
      </c>
      <c r="AF34" s="1738">
        <f>LOOKUP(ARBETSBLAD!$L$4+SUM($I$53:AE$53),ARBETSBLAD!$I$6:$AF$6,fx!$I410:$AF410)*AF$52</f>
        <v>0</v>
      </c>
      <c r="AG34" s="1116"/>
    </row>
    <row r="35" spans="1:33" ht="12" customHeight="1">
      <c r="B35" s="1719" t="s">
        <v>51</v>
      </c>
      <c r="C35" s="1720"/>
      <c r="D35" s="1720"/>
      <c r="E35" s="1720"/>
      <c r="F35" s="1720"/>
      <c r="G35" s="1720"/>
      <c r="H35" s="1720"/>
      <c r="I35" s="1727">
        <f>LOOKUP(ARBETSBLAD!$L$4,ARBETSBLAD!$I$6:$AF$6,fx!$I411:$AF411)</f>
        <v>0</v>
      </c>
      <c r="J35" s="1727">
        <f>LOOKUP(ARBETSBLAD!$L$4+SUM($I$53:I$53),ARBETSBLAD!$I$6:$AF$6,fx!$I411:$AF411)</f>
        <v>0</v>
      </c>
      <c r="K35" s="1727">
        <f>LOOKUP(ARBETSBLAD!$L$4+SUM($I$53:J$53),ARBETSBLAD!$I$6:$AF$6,fx!$I411:$AF411)</f>
        <v>0</v>
      </c>
      <c r="L35" s="1727">
        <f ca="1">LOOKUP(ARBETSBLAD!$L$4+SUM($I$53:K$53),ARBETSBLAD!$I$6:$AF$6,fx!$I411:$AF411)</f>
        <v>0</v>
      </c>
      <c r="M35" s="1727">
        <f ca="1">LOOKUP(ARBETSBLAD!$L$4+SUM($I$53:L$53),ARBETSBLAD!$I$6:$AF$6,fx!$I411:$AF411)</f>
        <v>0</v>
      </c>
      <c r="N35" s="1727">
        <f ca="1">LOOKUP(ARBETSBLAD!$L$4+SUM($I$53:M$53),ARBETSBLAD!$I$6:$AF$6,fx!$I411:$AF411)</f>
        <v>0</v>
      </c>
      <c r="O35" s="1727">
        <f ca="1">LOOKUP(ARBETSBLAD!$L$4+SUM($I$53:N$53),ARBETSBLAD!$I$6:$AF$6,fx!$I411:$AF411)</f>
        <v>0</v>
      </c>
      <c r="P35" s="1727">
        <f ca="1">LOOKUP(ARBETSBLAD!$L$4+SUM($I$53:O$53),ARBETSBLAD!$I$6:$AF$6,fx!$I411:$AF411)</f>
        <v>0</v>
      </c>
      <c r="Q35" s="1727">
        <f ca="1">LOOKUP(ARBETSBLAD!$L$4+SUM($I$53:P$53),ARBETSBLAD!$I$6:$AF$6,fx!$I411:$AF411)</f>
        <v>0</v>
      </c>
      <c r="R35" s="1727">
        <f ca="1">LOOKUP(ARBETSBLAD!$L$4+SUM($I$53:Q$53),ARBETSBLAD!$I$6:$AF$6,fx!$I411:$AF411)</f>
        <v>0</v>
      </c>
      <c r="S35" s="1727">
        <f ca="1">LOOKUP(ARBETSBLAD!$L$4+SUM($I$53:R$53),ARBETSBLAD!$I$6:$AF$6,fx!$I411:$AF411)</f>
        <v>0</v>
      </c>
      <c r="T35" s="1727">
        <f ca="1">LOOKUP(ARBETSBLAD!$L$4+SUM($I$53:S$53),ARBETSBLAD!$I$6:$AF$6,fx!$I411:$AF411)</f>
        <v>0</v>
      </c>
      <c r="U35" s="1727">
        <f ca="1">LOOKUP(ARBETSBLAD!$L$4+SUM($I$53:T$53),ARBETSBLAD!$I$6:$AF$6,fx!$I411:$AF411)</f>
        <v>0</v>
      </c>
      <c r="V35" s="1727">
        <f ca="1">LOOKUP(ARBETSBLAD!$L$4+SUM($I$53:U$53),ARBETSBLAD!$I$6:$AF$6,fx!$I411:$AF411)*V$52</f>
        <v>0</v>
      </c>
      <c r="W35" s="1727">
        <f ca="1">LOOKUP(ARBETSBLAD!$L$4+SUM($I$53:V$53),ARBETSBLAD!$I$6:$AF$6,fx!$I411:$AF411)*W$52</f>
        <v>0</v>
      </c>
      <c r="X35" s="1727">
        <f ca="1">LOOKUP(ARBETSBLAD!$L$4+SUM($I$53:W$53),ARBETSBLAD!$I$6:$AF$6,fx!$I411:$AF411)*X$52</f>
        <v>0</v>
      </c>
      <c r="Y35" s="1727">
        <f ca="1">LOOKUP(ARBETSBLAD!$L$4+SUM($I$53:X$53),ARBETSBLAD!$I$6:$AF$6,fx!$I411:$AF411)*Y$52</f>
        <v>0</v>
      </c>
      <c r="Z35" s="1727">
        <f ca="1">LOOKUP(ARBETSBLAD!$L$4+SUM($I$53:Y$53),ARBETSBLAD!$I$6:$AF$6,fx!$I411:$AF411)*Z$52</f>
        <v>0</v>
      </c>
      <c r="AA35" s="1727">
        <f ca="1">LOOKUP(ARBETSBLAD!$L$4+SUM($I$53:Z$53),ARBETSBLAD!$I$6:$AF$6,fx!$I411:$AF411)*AA$52</f>
        <v>0</v>
      </c>
      <c r="AB35" s="1727">
        <f ca="1">LOOKUP(ARBETSBLAD!$L$4+SUM($I$53:AA$53),ARBETSBLAD!$I$6:$AF$6,fx!$I411:$AF411)*AB$52</f>
        <v>0</v>
      </c>
      <c r="AC35" s="1727">
        <f ca="1">LOOKUP(ARBETSBLAD!$L$4+SUM($I$53:AB$53),ARBETSBLAD!$I$6:$AF$6,fx!$I411:$AF411)*AC$52</f>
        <v>0</v>
      </c>
      <c r="AD35" s="1727">
        <f ca="1">LOOKUP(ARBETSBLAD!$L$4+SUM($I$53:AC$53),ARBETSBLAD!$I$6:$AF$6,fx!$I411:$AF411)*AD$52</f>
        <v>0</v>
      </c>
      <c r="AE35" s="1727">
        <f ca="1">LOOKUP(ARBETSBLAD!$L$4+SUM($I$53:AD$53),ARBETSBLAD!$I$6:$AF$6,fx!$I411:$AF411)*AE$52</f>
        <v>0</v>
      </c>
      <c r="AF35" s="1727">
        <f ca="1">LOOKUP(ARBETSBLAD!$L$4+SUM($I$53:AE$53),ARBETSBLAD!$I$6:$AF$6,fx!$I411:$AF411)*AF$52</f>
        <v>0</v>
      </c>
    </row>
    <row r="36" spans="1:33" ht="12" customHeight="1">
      <c r="B36" s="1711" t="s">
        <v>48</v>
      </c>
      <c r="C36" s="201"/>
      <c r="D36" s="201"/>
      <c r="E36" s="201"/>
      <c r="F36" s="201"/>
      <c r="G36" s="201"/>
      <c r="H36" s="201"/>
      <c r="I36" s="1730">
        <f>LOOKUP(ARBETSBLAD!$L$4,ARBETSBLAD!$I$6:$AF$6,fx!$I412:$AF412)</f>
        <v>0</v>
      </c>
      <c r="J36" s="1730">
        <f>LOOKUP(ARBETSBLAD!$L$4+SUM($I$53:I$53),ARBETSBLAD!$I$6:$AF$6,fx!$I412:$AF412)</f>
        <v>0</v>
      </c>
      <c r="K36" s="1730">
        <f ca="1">LOOKUP(ARBETSBLAD!$L$4+SUM($I$53:J$53),ARBETSBLAD!$I$6:$AF$6,fx!$I412:$AF412)</f>
        <v>0</v>
      </c>
      <c r="L36" s="1730">
        <f ca="1">LOOKUP(ARBETSBLAD!$L$4+SUM($I$53:K$53),ARBETSBLAD!$I$6:$AF$6,fx!$I412:$AF412)</f>
        <v>0</v>
      </c>
      <c r="M36" s="1730">
        <f ca="1">LOOKUP(ARBETSBLAD!$L$4+SUM($I$53:L$53),ARBETSBLAD!$I$6:$AF$6,fx!$I412:$AF412)</f>
        <v>0</v>
      </c>
      <c r="N36" s="1730">
        <f ca="1">LOOKUP(ARBETSBLAD!$L$4+SUM($I$53:M$53),ARBETSBLAD!$I$6:$AF$6,fx!$I412:$AF412)</f>
        <v>0</v>
      </c>
      <c r="O36" s="1730">
        <f ca="1">LOOKUP(ARBETSBLAD!$L$4+SUM($I$53:N$53),ARBETSBLAD!$I$6:$AF$6,fx!$I412:$AF412)</f>
        <v>0</v>
      </c>
      <c r="P36" s="1730">
        <f ca="1">LOOKUP(ARBETSBLAD!$L$4+SUM($I$53:O$53),ARBETSBLAD!$I$6:$AF$6,fx!$I412:$AF412)</f>
        <v>0</v>
      </c>
      <c r="Q36" s="1730">
        <f ca="1">LOOKUP(ARBETSBLAD!$L$4+SUM($I$53:P$53),ARBETSBLAD!$I$6:$AF$6,fx!$I412:$AF412)</f>
        <v>0</v>
      </c>
      <c r="R36" s="1730">
        <f ca="1">LOOKUP(ARBETSBLAD!$L$4+SUM($I$53:Q$53),ARBETSBLAD!$I$6:$AF$6,fx!$I412:$AF412)</f>
        <v>0</v>
      </c>
      <c r="S36" s="1730">
        <f ca="1">LOOKUP(ARBETSBLAD!$L$4+SUM($I$53:R$53),ARBETSBLAD!$I$6:$AF$6,fx!$I412:$AF412)</f>
        <v>0</v>
      </c>
      <c r="T36" s="1730">
        <f ca="1">LOOKUP(ARBETSBLAD!$L$4+SUM($I$53:S$53),ARBETSBLAD!$I$6:$AF$6,fx!$I412:$AF412)</f>
        <v>0</v>
      </c>
      <c r="U36" s="1730">
        <f ca="1">LOOKUP(ARBETSBLAD!$L$4+SUM($I$53:T$53),ARBETSBLAD!$I$6:$AF$6,fx!$I412:$AF412)</f>
        <v>0</v>
      </c>
      <c r="V36" s="1730">
        <f ca="1">LOOKUP(ARBETSBLAD!$L$4+SUM($I$53:U$53),ARBETSBLAD!$I$6:$AF$6,fx!$I412:$AF412)*V$52</f>
        <v>0</v>
      </c>
      <c r="W36" s="1730">
        <f ca="1">LOOKUP(ARBETSBLAD!$L$4+SUM($I$53:V$53),ARBETSBLAD!$I$6:$AF$6,fx!$I412:$AF412)*W$52</f>
        <v>0</v>
      </c>
      <c r="X36" s="1730">
        <f ca="1">LOOKUP(ARBETSBLAD!$L$4+SUM($I$53:W$53),ARBETSBLAD!$I$6:$AF$6,fx!$I412:$AF412)*X$52</f>
        <v>0</v>
      </c>
      <c r="Y36" s="1730">
        <f ca="1">LOOKUP(ARBETSBLAD!$L$4+SUM($I$53:X$53),ARBETSBLAD!$I$6:$AF$6,fx!$I412:$AF412)*Y$52</f>
        <v>0</v>
      </c>
      <c r="Z36" s="1730">
        <f ca="1">LOOKUP(ARBETSBLAD!$L$4+SUM($I$53:Y$53),ARBETSBLAD!$I$6:$AF$6,fx!$I412:$AF412)*Z$52</f>
        <v>0</v>
      </c>
      <c r="AA36" s="1730">
        <f ca="1">LOOKUP(ARBETSBLAD!$L$4+SUM($I$53:Z$53),ARBETSBLAD!$I$6:$AF$6,fx!$I412:$AF412)*AA$52</f>
        <v>0</v>
      </c>
      <c r="AB36" s="1730">
        <f ca="1">LOOKUP(ARBETSBLAD!$L$4+SUM($I$53:AA$53),ARBETSBLAD!$I$6:$AF$6,fx!$I412:$AF412)*AB$52</f>
        <v>0</v>
      </c>
      <c r="AC36" s="1730">
        <f ca="1">LOOKUP(ARBETSBLAD!$L$4+SUM($I$53:AB$53),ARBETSBLAD!$I$6:$AF$6,fx!$I412:$AF412)*AC$52</f>
        <v>0</v>
      </c>
      <c r="AD36" s="1730">
        <f ca="1">LOOKUP(ARBETSBLAD!$L$4+SUM($I$53:AC$53),ARBETSBLAD!$I$6:$AF$6,fx!$I412:$AF412)*AD$52</f>
        <v>0</v>
      </c>
      <c r="AE36" s="1730">
        <f ca="1">LOOKUP(ARBETSBLAD!$L$4+SUM($I$53:AD$53),ARBETSBLAD!$I$6:$AF$6,fx!$I412:$AF412)*AE$52</f>
        <v>0</v>
      </c>
      <c r="AF36" s="1730">
        <f ca="1">LOOKUP(ARBETSBLAD!$L$4+SUM($I$53:AE$53),ARBETSBLAD!$I$6:$AF$6,fx!$I412:$AF412)*AF$52</f>
        <v>0</v>
      </c>
    </row>
    <row r="37" spans="1:33" ht="12" customHeight="1">
      <c r="B37" s="1711" t="s">
        <v>50</v>
      </c>
      <c r="C37" s="201"/>
      <c r="D37" s="201"/>
      <c r="E37" s="201"/>
      <c r="F37" s="201"/>
      <c r="G37" s="201"/>
      <c r="H37" s="201"/>
      <c r="I37" s="1736">
        <f>LOOKUP(ARBETSBLAD!$L$4,ARBETSBLAD!$I$6:$AF$6,fx!$I413:$AF413)</f>
        <v>0</v>
      </c>
      <c r="J37" s="1736">
        <f>LOOKUP(ARBETSBLAD!$L$4+SUM($I$53:I$53),ARBETSBLAD!$I$6:$AF$6,fx!$I413:$AF413)</f>
        <v>0</v>
      </c>
      <c r="K37" s="1736">
        <f ca="1">LOOKUP(ARBETSBLAD!$L$4+SUM($I$53:J$53),ARBETSBLAD!$I$6:$AF$6,fx!$I413:$AF413)</f>
        <v>0</v>
      </c>
      <c r="L37" s="1736">
        <f ca="1">LOOKUP(ARBETSBLAD!$L$4+SUM($I$53:K$53),ARBETSBLAD!$I$6:$AF$6,fx!$I413:$AF413)</f>
        <v>0</v>
      </c>
      <c r="M37" s="1736">
        <f ca="1">LOOKUP(ARBETSBLAD!$L$4+SUM($I$53:L$53),ARBETSBLAD!$I$6:$AF$6,fx!$I413:$AF413)</f>
        <v>0</v>
      </c>
      <c r="N37" s="1736">
        <f ca="1">LOOKUP(ARBETSBLAD!$L$4+SUM($I$53:M$53),ARBETSBLAD!$I$6:$AF$6,fx!$I413:$AF413)</f>
        <v>0</v>
      </c>
      <c r="O37" s="1736">
        <f ca="1">LOOKUP(ARBETSBLAD!$L$4+SUM($I$53:N$53),ARBETSBLAD!$I$6:$AF$6,fx!$I413:$AF413)</f>
        <v>0</v>
      </c>
      <c r="P37" s="1736">
        <f ca="1">LOOKUP(ARBETSBLAD!$L$4+SUM($I$53:O$53),ARBETSBLAD!$I$6:$AF$6,fx!$I413:$AF413)</f>
        <v>0</v>
      </c>
      <c r="Q37" s="1736">
        <f ca="1">LOOKUP(ARBETSBLAD!$L$4+SUM($I$53:P$53),ARBETSBLAD!$I$6:$AF$6,fx!$I413:$AF413)</f>
        <v>0</v>
      </c>
      <c r="R37" s="1736">
        <f ca="1">LOOKUP(ARBETSBLAD!$L$4+SUM($I$53:Q$53),ARBETSBLAD!$I$6:$AF$6,fx!$I413:$AF413)</f>
        <v>0</v>
      </c>
      <c r="S37" s="1736">
        <f ca="1">LOOKUP(ARBETSBLAD!$L$4+SUM($I$53:R$53),ARBETSBLAD!$I$6:$AF$6,fx!$I413:$AF413)</f>
        <v>0</v>
      </c>
      <c r="T37" s="1736">
        <f ca="1">LOOKUP(ARBETSBLAD!$L$4+SUM($I$53:S$53),ARBETSBLAD!$I$6:$AF$6,fx!$I413:$AF413)</f>
        <v>0</v>
      </c>
      <c r="U37" s="1736">
        <f ca="1">LOOKUP(ARBETSBLAD!$L$4+SUM($I$53:T$53),ARBETSBLAD!$I$6:$AF$6,fx!$I413:$AF413)</f>
        <v>0</v>
      </c>
      <c r="V37" s="1736">
        <f ca="1">LOOKUP(ARBETSBLAD!$L$4+SUM($I$53:U$53),ARBETSBLAD!$I$6:$AF$6,fx!$I413:$AF413)*V$52</f>
        <v>0</v>
      </c>
      <c r="W37" s="1736">
        <f ca="1">LOOKUP(ARBETSBLAD!$L$4+SUM($I$53:V$53),ARBETSBLAD!$I$6:$AF$6,fx!$I413:$AF413)*W$52</f>
        <v>0</v>
      </c>
      <c r="X37" s="1736">
        <f ca="1">LOOKUP(ARBETSBLAD!$L$4+SUM($I$53:W$53),ARBETSBLAD!$I$6:$AF$6,fx!$I413:$AF413)*X$52</f>
        <v>0</v>
      </c>
      <c r="Y37" s="1736">
        <f ca="1">LOOKUP(ARBETSBLAD!$L$4+SUM($I$53:X$53),ARBETSBLAD!$I$6:$AF$6,fx!$I413:$AF413)*Y$52</f>
        <v>0</v>
      </c>
      <c r="Z37" s="1736">
        <f ca="1">LOOKUP(ARBETSBLAD!$L$4+SUM($I$53:Y$53),ARBETSBLAD!$I$6:$AF$6,fx!$I413:$AF413)*Z$52</f>
        <v>0</v>
      </c>
      <c r="AA37" s="1736">
        <f ca="1">LOOKUP(ARBETSBLAD!$L$4+SUM($I$53:Z$53),ARBETSBLAD!$I$6:$AF$6,fx!$I413:$AF413)*AA$52</f>
        <v>0</v>
      </c>
      <c r="AB37" s="1736">
        <f ca="1">LOOKUP(ARBETSBLAD!$L$4+SUM($I$53:AA$53),ARBETSBLAD!$I$6:$AF$6,fx!$I413:$AF413)*AB$52</f>
        <v>0</v>
      </c>
      <c r="AC37" s="1736">
        <f ca="1">LOOKUP(ARBETSBLAD!$L$4+SUM($I$53:AB$53),ARBETSBLAD!$I$6:$AF$6,fx!$I413:$AF413)*AC$52</f>
        <v>0</v>
      </c>
      <c r="AD37" s="1736">
        <f ca="1">LOOKUP(ARBETSBLAD!$L$4+SUM($I$53:AC$53),ARBETSBLAD!$I$6:$AF$6,fx!$I413:$AF413)*AD$52</f>
        <v>0</v>
      </c>
      <c r="AE37" s="1736">
        <f ca="1">LOOKUP(ARBETSBLAD!$L$4+SUM($I$53:AD$53),ARBETSBLAD!$I$6:$AF$6,fx!$I413:$AF413)*AE$52</f>
        <v>0</v>
      </c>
      <c r="AF37" s="1736">
        <f ca="1">LOOKUP(ARBETSBLAD!$L$4+SUM($I$53:AE$53),ARBETSBLAD!$I$6:$AF$6,fx!$I413:$AF413)*AF$52</f>
        <v>0</v>
      </c>
    </row>
    <row r="38" spans="1:33" ht="12" customHeight="1">
      <c r="B38" s="1713" t="s">
        <v>52</v>
      </c>
      <c r="C38" s="1714"/>
      <c r="D38" s="1714"/>
      <c r="E38" s="1714"/>
      <c r="F38" s="1714"/>
      <c r="G38" s="1714"/>
      <c r="H38" s="1714"/>
      <c r="I38" s="1731">
        <f>LOOKUP(ARBETSBLAD!$L$4,ARBETSBLAD!$I$6:$AF$6,fx!$I414:$AF414)</f>
        <v>0</v>
      </c>
      <c r="J38" s="1731">
        <f>LOOKUP(ARBETSBLAD!$L$4+SUM($I$53:I$53),ARBETSBLAD!$I$6:$AF$6,fx!$I414:$AF414)</f>
        <v>0</v>
      </c>
      <c r="K38" s="1731">
        <f ca="1">LOOKUP(ARBETSBLAD!$L$4+SUM($I$53:J$53),ARBETSBLAD!$I$6:$AF$6,fx!$I414:$AF414)</f>
        <v>0</v>
      </c>
      <c r="L38" s="1731">
        <f ca="1">LOOKUP(ARBETSBLAD!$L$4+SUM($I$53:K$53),ARBETSBLAD!$I$6:$AF$6,fx!$I414:$AF414)</f>
        <v>0</v>
      </c>
      <c r="M38" s="1731">
        <f ca="1">LOOKUP(ARBETSBLAD!$L$4+SUM($I$53:L$53),ARBETSBLAD!$I$6:$AF$6,fx!$I414:$AF414)</f>
        <v>0</v>
      </c>
      <c r="N38" s="1731">
        <f ca="1">LOOKUP(ARBETSBLAD!$L$4+SUM($I$53:M$53),ARBETSBLAD!$I$6:$AF$6,fx!$I414:$AF414)</f>
        <v>0</v>
      </c>
      <c r="O38" s="1731">
        <f ca="1">LOOKUP(ARBETSBLAD!$L$4+SUM($I$53:N$53),ARBETSBLAD!$I$6:$AF$6,fx!$I414:$AF414)</f>
        <v>0</v>
      </c>
      <c r="P38" s="1731">
        <f ca="1">LOOKUP(ARBETSBLAD!$L$4+SUM($I$53:O$53),ARBETSBLAD!$I$6:$AF$6,fx!$I414:$AF414)</f>
        <v>0</v>
      </c>
      <c r="Q38" s="1731">
        <f ca="1">LOOKUP(ARBETSBLAD!$L$4+SUM($I$53:P$53),ARBETSBLAD!$I$6:$AF$6,fx!$I414:$AF414)</f>
        <v>0</v>
      </c>
      <c r="R38" s="1731">
        <f ca="1">LOOKUP(ARBETSBLAD!$L$4+SUM($I$53:Q$53),ARBETSBLAD!$I$6:$AF$6,fx!$I414:$AF414)</f>
        <v>0</v>
      </c>
      <c r="S38" s="1731">
        <f ca="1">LOOKUP(ARBETSBLAD!$L$4+SUM($I$53:R$53),ARBETSBLAD!$I$6:$AF$6,fx!$I414:$AF414)</f>
        <v>0</v>
      </c>
      <c r="T38" s="1731">
        <f ca="1">LOOKUP(ARBETSBLAD!$L$4+SUM($I$53:S$53),ARBETSBLAD!$I$6:$AF$6,fx!$I414:$AF414)</f>
        <v>0</v>
      </c>
      <c r="U38" s="1731">
        <f ca="1">LOOKUP(ARBETSBLAD!$L$4+SUM($I$53:T$53),ARBETSBLAD!$I$6:$AF$6,fx!$I414:$AF414)</f>
        <v>0</v>
      </c>
      <c r="V38" s="1731">
        <f ca="1">LOOKUP(ARBETSBLAD!$L$4+SUM($I$53:U$53),ARBETSBLAD!$I$6:$AF$6,fx!$I414:$AF414)*V$52</f>
        <v>0</v>
      </c>
      <c r="W38" s="1731">
        <f ca="1">LOOKUP(ARBETSBLAD!$L$4+SUM($I$53:V$53),ARBETSBLAD!$I$6:$AF$6,fx!$I414:$AF414)*W$52</f>
        <v>0</v>
      </c>
      <c r="X38" s="1731">
        <f ca="1">LOOKUP(ARBETSBLAD!$L$4+SUM($I$53:W$53),ARBETSBLAD!$I$6:$AF$6,fx!$I414:$AF414)*X$52</f>
        <v>0</v>
      </c>
      <c r="Y38" s="1731">
        <f ca="1">LOOKUP(ARBETSBLAD!$L$4+SUM($I$53:X$53),ARBETSBLAD!$I$6:$AF$6,fx!$I414:$AF414)*Y$52</f>
        <v>0</v>
      </c>
      <c r="Z38" s="1731">
        <f ca="1">LOOKUP(ARBETSBLAD!$L$4+SUM($I$53:Y$53),ARBETSBLAD!$I$6:$AF$6,fx!$I414:$AF414)*Z$52</f>
        <v>0</v>
      </c>
      <c r="AA38" s="1731">
        <f ca="1">LOOKUP(ARBETSBLAD!$L$4+SUM($I$53:Z$53),ARBETSBLAD!$I$6:$AF$6,fx!$I414:$AF414)*AA$52</f>
        <v>0</v>
      </c>
      <c r="AB38" s="1731">
        <f ca="1">LOOKUP(ARBETSBLAD!$L$4+SUM($I$53:AA$53),ARBETSBLAD!$I$6:$AF$6,fx!$I414:$AF414)*AB$52</f>
        <v>0</v>
      </c>
      <c r="AC38" s="1731">
        <f ca="1">LOOKUP(ARBETSBLAD!$L$4+SUM($I$53:AB$53),ARBETSBLAD!$I$6:$AF$6,fx!$I414:$AF414)*AC$52</f>
        <v>0</v>
      </c>
      <c r="AD38" s="1731">
        <f ca="1">LOOKUP(ARBETSBLAD!$L$4+SUM($I$53:AC$53),ARBETSBLAD!$I$6:$AF$6,fx!$I414:$AF414)*AD$52</f>
        <v>0</v>
      </c>
      <c r="AE38" s="1731">
        <f ca="1">LOOKUP(ARBETSBLAD!$L$4+SUM($I$53:AD$53),ARBETSBLAD!$I$6:$AF$6,fx!$I414:$AF414)*AE$52</f>
        <v>0</v>
      </c>
      <c r="AF38" s="1731">
        <f ca="1">LOOKUP(ARBETSBLAD!$L$4+SUM($I$53:AE$53),ARBETSBLAD!$I$6:$AF$6,fx!$I414:$AF414)*AF$52</f>
        <v>0</v>
      </c>
    </row>
    <row r="39" spans="1:33" ht="12" customHeight="1">
      <c r="B39" s="2432"/>
      <c r="C39" s="2432"/>
      <c r="D39" s="2432"/>
      <c r="E39" s="2432"/>
      <c r="F39" s="2432"/>
      <c r="G39" s="2432"/>
      <c r="H39" s="2432"/>
      <c r="I39" s="2433"/>
      <c r="J39" s="2433"/>
      <c r="K39" s="2433"/>
      <c r="L39" s="2433"/>
      <c r="M39" s="2433"/>
      <c r="N39" s="2433"/>
      <c r="O39" s="2433"/>
      <c r="P39" s="2433"/>
      <c r="Q39" s="2433"/>
      <c r="R39" s="2433"/>
      <c r="S39" s="2433"/>
      <c r="T39" s="2433"/>
      <c r="U39" s="2434"/>
      <c r="V39" s="2433"/>
      <c r="W39" s="2433"/>
      <c r="X39" s="2433"/>
      <c r="Y39" s="2433"/>
      <c r="Z39" s="2433"/>
      <c r="AA39" s="2433"/>
      <c r="AB39" s="2433"/>
      <c r="AC39" s="2433"/>
      <c r="AD39" s="2433"/>
      <c r="AE39" s="2433"/>
      <c r="AF39" s="2433"/>
    </row>
    <row r="40" spans="1:33" ht="12" customHeight="1">
      <c r="A40" s="2435"/>
      <c r="B40" s="2436" t="s">
        <v>1328</v>
      </c>
      <c r="C40" s="2437"/>
      <c r="D40" s="2437"/>
      <c r="E40" s="2437"/>
      <c r="F40" s="2437"/>
      <c r="G40" s="2437"/>
      <c r="H40" s="2440"/>
      <c r="I40" s="2438"/>
      <c r="J40" s="2438"/>
      <c r="K40" s="2438"/>
      <c r="L40" s="2438"/>
      <c r="M40" s="2438"/>
      <c r="N40" s="2438"/>
      <c r="O40" s="2438"/>
      <c r="P40" s="2438"/>
      <c r="Q40" s="2438"/>
      <c r="R40" s="2438"/>
      <c r="S40" s="2438"/>
      <c r="T40" s="2438"/>
      <c r="U40" s="2438"/>
      <c r="V40" s="2438"/>
      <c r="W40" s="2438"/>
      <c r="X40" s="2438"/>
      <c r="Y40" s="2438"/>
      <c r="Z40" s="2438"/>
      <c r="AA40" s="2438"/>
      <c r="AB40" s="2438"/>
      <c r="AC40" s="2438"/>
      <c r="AD40" s="2438"/>
      <c r="AE40" s="2438"/>
      <c r="AF40" s="2439"/>
    </row>
    <row r="41" spans="1:33" ht="12" customHeight="1">
      <c r="A41" s="2435"/>
      <c r="B41" s="2443" t="s">
        <v>1326</v>
      </c>
      <c r="C41" s="2444"/>
      <c r="D41" s="2445"/>
      <c r="E41" s="2446"/>
      <c r="F41" s="2446"/>
      <c r="G41" s="2446"/>
      <c r="H41" s="2447"/>
      <c r="I41" s="2442">
        <f>LOOKUP(ARBETSBLAD!$L$4,ARBETSBLAD!$I$6:$AF$6,fx!$I414:$AF414)-LOOKUP(ARBETSBLAD!$L$4,ARBETSBLAD!$I$6:$AF$6,ARBETSBLAD!$I168:$AF168)</f>
        <v>0</v>
      </c>
      <c r="J41" s="2442">
        <f>LOOKUP(ARBETSBLAD!$L$4+SUM($I$53:I$53),ARBETSBLAD!$I$6:$AF$6,fx!$I414:$AF414)-LOOKUP(ARBETSBLAD!$L$4+SUM($I$53:I$53),ARBETSBLAD!$I$6:$AF$6,ARBETSBLAD!$I168:$AF168)</f>
        <v>0</v>
      </c>
      <c r="K41" s="2442">
        <f ca="1">LOOKUP(ARBETSBLAD!$L$4+SUM($I$53:J$53),ARBETSBLAD!$I$6:$AF$6,fx!$I414:$AF414)-LOOKUP(ARBETSBLAD!$L$4+SUM($I$53:J$53),ARBETSBLAD!$I$6:$AF$6,ARBETSBLAD!$I168:$AF168)</f>
        <v>0</v>
      </c>
      <c r="L41" s="2442">
        <f ca="1">LOOKUP(ARBETSBLAD!$L$4+SUM($I$53:K$53),ARBETSBLAD!$I$6:$AF$6,fx!$I414:$AF414)-LOOKUP(ARBETSBLAD!$L$4+SUM($I$53:K$53),ARBETSBLAD!$I$6:$AF$6,ARBETSBLAD!$I168:$AF168)</f>
        <v>0</v>
      </c>
      <c r="M41" s="2442">
        <f ca="1">LOOKUP(ARBETSBLAD!$L$4+SUM($I$53:L$53),ARBETSBLAD!$I$6:$AF$6,fx!$I414:$AF414)-LOOKUP(ARBETSBLAD!$L$4+SUM($I$53:L$53),ARBETSBLAD!$I$6:$AF$6,ARBETSBLAD!$I168:$AF168)</f>
        <v>0</v>
      </c>
      <c r="N41" s="2442">
        <f ca="1">LOOKUP(ARBETSBLAD!$L$4+SUM($I$53:M$53),ARBETSBLAD!$I$6:$AF$6,fx!$I414:$AF414)-LOOKUP(ARBETSBLAD!$L$4+SUM($I$53:M$53),ARBETSBLAD!$I$6:$AF$6,ARBETSBLAD!$I168:$AF168)</f>
        <v>0</v>
      </c>
      <c r="O41" s="2442">
        <f ca="1">LOOKUP(ARBETSBLAD!$L$4+SUM($I$53:N$53),ARBETSBLAD!$I$6:$AF$6,fx!$I414:$AF414)-LOOKUP(ARBETSBLAD!$L$4+SUM($I$53:N$53),ARBETSBLAD!$I$6:$AF$6,ARBETSBLAD!$I168:$AF168)</f>
        <v>0</v>
      </c>
      <c r="P41" s="2442">
        <f ca="1">LOOKUP(ARBETSBLAD!$L$4+SUM($I$53:O$53),ARBETSBLAD!$I$6:$AF$6,fx!$I414:$AF414)-LOOKUP(ARBETSBLAD!$L$4+SUM($I$53:O$53),ARBETSBLAD!$I$6:$AF$6,ARBETSBLAD!$I168:$AF168)</f>
        <v>0</v>
      </c>
      <c r="Q41" s="2442">
        <f ca="1">LOOKUP(ARBETSBLAD!$L$4+SUM($I$53:P$53),ARBETSBLAD!$I$6:$AF$6,fx!$I414:$AF414)-LOOKUP(ARBETSBLAD!$L$4+SUM($I$53:P$53),ARBETSBLAD!$I$6:$AF$6,ARBETSBLAD!$I168:$AF168)</f>
        <v>0</v>
      </c>
      <c r="R41" s="2442">
        <f ca="1">LOOKUP(ARBETSBLAD!$L$4+SUM($I$53:Q$53),ARBETSBLAD!$I$6:$AF$6,fx!$I414:$AF414)-LOOKUP(ARBETSBLAD!$L$4+SUM($I$53:Q$53),ARBETSBLAD!$I$6:$AF$6,ARBETSBLAD!$I168:$AF168)</f>
        <v>0</v>
      </c>
      <c r="S41" s="2442">
        <f ca="1">LOOKUP(ARBETSBLAD!$L$4+SUM($I$53:R$53),ARBETSBLAD!$I$6:$AF$6,fx!$I414:$AF414)-LOOKUP(ARBETSBLAD!$L$4+SUM($I$53:R$53),ARBETSBLAD!$I$6:$AF$6,ARBETSBLAD!$I168:$AF168)</f>
        <v>0</v>
      </c>
      <c r="T41" s="2442">
        <f ca="1">LOOKUP(ARBETSBLAD!$L$4+SUM($I$53:S$53),ARBETSBLAD!$I$6:$AF$6,fx!$I414:$AF414)-LOOKUP(ARBETSBLAD!$L$4+SUM($I$53:S$53),ARBETSBLAD!$I$6:$AF$6,ARBETSBLAD!$I168:$AF168)</f>
        <v>0</v>
      </c>
      <c r="U41" s="2442">
        <f ca="1">LOOKUP(ARBETSBLAD!$L$4+SUM($I$53:T$53),ARBETSBLAD!$I$6:$AF$6,fx!$I414:$AF414)-LOOKUP(ARBETSBLAD!$L$4+SUM($I$53:T$53),ARBETSBLAD!$I$6:$AF$6,ARBETSBLAD!$I168:$AF168)</f>
        <v>0</v>
      </c>
      <c r="V41" s="2442">
        <f ca="1">(LOOKUP(ARBETSBLAD!$L$4+SUM($I$53:U$53),ARBETSBLAD!$I$6:$AF$6,fx!$I414:$AF414)-LOOKUP(ARBETSBLAD!$L$4+SUM($I$53:U$53),ARBETSBLAD!$I$6:$AF$6,ARBETSBLAD!$I168:$AF168))*V52</f>
        <v>0</v>
      </c>
      <c r="W41" s="2442">
        <f ca="1">(LOOKUP(ARBETSBLAD!$L$4+SUM($I$53:V$53),ARBETSBLAD!$I$6:$AF$6,fx!$I414:$AF414)-LOOKUP(ARBETSBLAD!$L$4+SUM($I$53:V$53),ARBETSBLAD!$I$6:$AF$6,ARBETSBLAD!$I168:$AF168))*W52</f>
        <v>0</v>
      </c>
      <c r="X41" s="2442">
        <f ca="1">(LOOKUP(ARBETSBLAD!$L$4+SUM($I$53:W$53),ARBETSBLAD!$I$6:$AF$6,fx!$I414:$AF414)-LOOKUP(ARBETSBLAD!$L$4+SUM($I$53:W$53),ARBETSBLAD!$I$6:$AF$6,ARBETSBLAD!$I168:$AF168))*X52</f>
        <v>0</v>
      </c>
      <c r="Y41" s="2442">
        <f ca="1">(LOOKUP(ARBETSBLAD!$L$4+SUM($I$53:X$53),ARBETSBLAD!$I$6:$AF$6,fx!$I414:$AF414)-LOOKUP(ARBETSBLAD!$L$4+SUM($I$53:X$53),ARBETSBLAD!$I$6:$AF$6,ARBETSBLAD!$I168:$AF168))*Y52</f>
        <v>0</v>
      </c>
      <c r="Z41" s="2442">
        <f ca="1">(LOOKUP(ARBETSBLAD!$L$4+SUM($I$53:Y$53),ARBETSBLAD!$I$6:$AF$6,fx!$I414:$AF414)-LOOKUP(ARBETSBLAD!$L$4+SUM($I$53:Y$53),ARBETSBLAD!$I$6:$AF$6,ARBETSBLAD!$I168:$AF168))*Z52</f>
        <v>0</v>
      </c>
      <c r="AA41" s="2442">
        <f ca="1">(LOOKUP(ARBETSBLAD!$L$4+SUM($I$53:Z$53),ARBETSBLAD!$I$6:$AF$6,fx!$I414:$AF414)-LOOKUP(ARBETSBLAD!$L$4+SUM($I$53:Z$53),ARBETSBLAD!$I$6:$AF$6,ARBETSBLAD!$I168:$AF168))*AA52</f>
        <v>0</v>
      </c>
      <c r="AB41" s="2442">
        <f ca="1">(LOOKUP(ARBETSBLAD!$L$4+SUM($I$53:AA$53),ARBETSBLAD!$I$6:$AF$6,fx!$I414:$AF414)-LOOKUP(ARBETSBLAD!$L$4+SUM($I$53:AA$53),ARBETSBLAD!$I$6:$AF$6,ARBETSBLAD!$I168:$AF168))*AB52</f>
        <v>0</v>
      </c>
      <c r="AC41" s="2442">
        <f ca="1">(LOOKUP(ARBETSBLAD!$L$4+SUM($I$53:AB$53),ARBETSBLAD!$I$6:$AF$6,fx!$I414:$AF414)-LOOKUP(ARBETSBLAD!$L$4+SUM($I$53:AB$53),ARBETSBLAD!$I$6:$AF$6,ARBETSBLAD!$I168:$AF168))*AC52</f>
        <v>0</v>
      </c>
      <c r="AD41" s="2442">
        <f ca="1">(LOOKUP(ARBETSBLAD!$L$4+SUM($I$53:AC$53),ARBETSBLAD!$I$6:$AF$6,fx!$I414:$AF414)-LOOKUP(ARBETSBLAD!$L$4+SUM($I$53:AC$53),ARBETSBLAD!$I$6:$AF$6,ARBETSBLAD!$I168:$AF168))*AD52</f>
        <v>0</v>
      </c>
      <c r="AE41" s="2442">
        <f ca="1">(LOOKUP(ARBETSBLAD!$L$4+SUM($I$53:AD$53),ARBETSBLAD!$I$6:$AF$6,fx!$I414:$AF414)-LOOKUP(ARBETSBLAD!$L$4+SUM($I$53:AD$53),ARBETSBLAD!$I$6:$AF$6,ARBETSBLAD!$I168:$AF168))*AE52</f>
        <v>0</v>
      </c>
      <c r="AF41" s="2442">
        <f ca="1">(LOOKUP(ARBETSBLAD!$L$4+SUM($I$53:AE$53),ARBETSBLAD!$I$6:$AF$6,fx!$I414:$AF414)-LOOKUP(ARBETSBLAD!$L$4+SUM($I$53:AE$53),ARBETSBLAD!$I$6:$AF$6,ARBETSBLAD!$I168:$AF168))*AF52</f>
        <v>0</v>
      </c>
    </row>
    <row r="42" spans="1:33" ht="12" customHeight="1">
      <c r="A42" s="2435"/>
      <c r="B42" s="2443" t="s">
        <v>1166</v>
      </c>
      <c r="C42" s="2448"/>
      <c r="D42" s="2449"/>
      <c r="E42" s="2450"/>
      <c r="F42" s="2450"/>
      <c r="G42" s="2450"/>
      <c r="H42" s="2451"/>
      <c r="I42" s="2442">
        <f>LOOKUP(ARBETSBLAD!$L$4,ARBETSBLAD!$I$6:$AF$6,ARBETSBLAD!$I$168:$AF$168)</f>
        <v>0</v>
      </c>
      <c r="J42" s="2442">
        <f>LOOKUP(ARBETSBLAD!$L$4+SUM($I$53:I$53),ARBETSBLAD!$I$6:$AF$6,ARBETSBLAD!$I$168:$AF$168)</f>
        <v>0</v>
      </c>
      <c r="K42" s="2442">
        <f>LOOKUP(ARBETSBLAD!$L$4+SUM($I$53:J$53),ARBETSBLAD!$I$6:$AF$6,ARBETSBLAD!$I$168:$AF$168)</f>
        <v>0</v>
      </c>
      <c r="L42" s="2442">
        <f>LOOKUP(ARBETSBLAD!$L$4+SUM($I$53:K$53),ARBETSBLAD!$I$6:$AF$6,ARBETSBLAD!$I$168:$AF$168)</f>
        <v>0</v>
      </c>
      <c r="M42" s="2442">
        <f>LOOKUP(ARBETSBLAD!$L$4+SUM($I$53:L$53),ARBETSBLAD!$I$6:$AF$6,ARBETSBLAD!$I$168:$AF$168)</f>
        <v>0</v>
      </c>
      <c r="N42" s="2442">
        <f>LOOKUP(ARBETSBLAD!$L$4+SUM($I$53:M$53),ARBETSBLAD!$I$6:$AF$6,ARBETSBLAD!$I$168:$AF$168)</f>
        <v>0</v>
      </c>
      <c r="O42" s="2442">
        <f>LOOKUP(ARBETSBLAD!$L$4+SUM($I$53:N$53),ARBETSBLAD!$I$6:$AF$6,ARBETSBLAD!$I$168:$AF$168)</f>
        <v>0</v>
      </c>
      <c r="P42" s="2442">
        <f>LOOKUP(ARBETSBLAD!$L$4+SUM($I$53:O$53),ARBETSBLAD!$I$6:$AF$6,ARBETSBLAD!$I$168:$AF$168)</f>
        <v>0</v>
      </c>
      <c r="Q42" s="2442">
        <f>LOOKUP(ARBETSBLAD!$L$4+SUM($I$53:P$53),ARBETSBLAD!$I$6:$AF$6,ARBETSBLAD!$I$168:$AF$168)</f>
        <v>0</v>
      </c>
      <c r="R42" s="2442">
        <f>LOOKUP(ARBETSBLAD!$L$4+SUM($I$53:Q$53),ARBETSBLAD!$I$6:$AF$6,ARBETSBLAD!$I$168:$AF$168)</f>
        <v>0</v>
      </c>
      <c r="S42" s="2442">
        <f>LOOKUP(ARBETSBLAD!$L$4+SUM($I$53:R$53),ARBETSBLAD!$I$6:$AF$6,ARBETSBLAD!$I$168:$AF$168)</f>
        <v>0</v>
      </c>
      <c r="T42" s="2442">
        <f>LOOKUP(ARBETSBLAD!$L$4+SUM($I$53:S$53),ARBETSBLAD!$I$6:$AF$6,ARBETSBLAD!$I$168:$AF$168)</f>
        <v>0</v>
      </c>
      <c r="U42" s="2442">
        <f>LOOKUP(ARBETSBLAD!$L$4+SUM($I$53:T$53),ARBETSBLAD!$I$6:$AF$6,ARBETSBLAD!$I$168:$AF$168)</f>
        <v>0</v>
      </c>
      <c r="V42" s="2442">
        <f>LOOKUP(ARBETSBLAD!$L$4+SUM($I$53:U$53),ARBETSBLAD!$I$6:$AF$6,ARBETSBLAD!$I$168:$AF$168)*V52</f>
        <v>0</v>
      </c>
      <c r="W42" s="2442">
        <f>LOOKUP(ARBETSBLAD!$L$4+SUM($I$53:V$53),ARBETSBLAD!$I$6:$AF$6,ARBETSBLAD!$I$168:$AF$168)*W52</f>
        <v>0</v>
      </c>
      <c r="X42" s="2442">
        <f>LOOKUP(ARBETSBLAD!$L$4+SUM($I$53:W$53),ARBETSBLAD!$I$6:$AF$6,ARBETSBLAD!$I$168:$AF$168)*X52</f>
        <v>0</v>
      </c>
      <c r="Y42" s="2442">
        <f>LOOKUP(ARBETSBLAD!$L$4+SUM($I$53:X$53),ARBETSBLAD!$I$6:$AF$6,ARBETSBLAD!$I$168:$AF$168)*Y52</f>
        <v>0</v>
      </c>
      <c r="Z42" s="2442">
        <f>LOOKUP(ARBETSBLAD!$L$4+SUM($I$53:Y$53),ARBETSBLAD!$I$6:$AF$6,ARBETSBLAD!$I$168:$AF$168)*Z52</f>
        <v>0</v>
      </c>
      <c r="AA42" s="2442">
        <f>LOOKUP(ARBETSBLAD!$L$4+SUM($I$53:Z$53),ARBETSBLAD!$I$6:$AF$6,ARBETSBLAD!$I$168:$AF$168)*AA52</f>
        <v>0</v>
      </c>
      <c r="AB42" s="2442">
        <f>LOOKUP(ARBETSBLAD!$L$4+SUM($I$53:AA$53),ARBETSBLAD!$I$6:$AF$6,ARBETSBLAD!$I$168:$AF$168)*AB52</f>
        <v>0</v>
      </c>
      <c r="AC42" s="2442">
        <f>LOOKUP(ARBETSBLAD!$L$4+SUM($I$53:AB$53),ARBETSBLAD!$I$6:$AF$6,ARBETSBLAD!$I$168:$AF$168)*AC52</f>
        <v>0</v>
      </c>
      <c r="AD42" s="2442">
        <f>LOOKUP(ARBETSBLAD!$L$4+SUM($I$53:AC$53),ARBETSBLAD!$I$6:$AF$6,ARBETSBLAD!$I$168:$AF$168)*AD52</f>
        <v>0</v>
      </c>
      <c r="AE42" s="2442">
        <f>LOOKUP(ARBETSBLAD!$L$4+SUM($I$53:AD$53),ARBETSBLAD!$I$6:$AF$6,ARBETSBLAD!$I$168:$AF$168)*AE52</f>
        <v>0</v>
      </c>
      <c r="AF42" s="2442">
        <f>LOOKUP(ARBETSBLAD!$L$4+SUM($I$53:AE$53),ARBETSBLAD!$I$6:$AF$6,ARBETSBLAD!$I$168:$AF$168)*AF52</f>
        <v>0</v>
      </c>
    </row>
    <row r="43" spans="1:33" ht="12" customHeight="1">
      <c r="A43" s="2435"/>
      <c r="B43" s="2443" t="s">
        <v>1325</v>
      </c>
      <c r="C43" s="2444"/>
      <c r="D43" s="2445"/>
      <c r="E43" s="2446"/>
      <c r="F43" s="2446"/>
      <c r="G43" s="2446"/>
      <c r="H43" s="2447"/>
      <c r="I43" s="2442">
        <f>LOOKUP(ARBETSBLAD!$L$4,ARBETSBLAD!$I$6:$AF$6,fx!$I414:$AF414)</f>
        <v>0</v>
      </c>
      <c r="J43" s="2442">
        <f>LOOKUP(ARBETSBLAD!$L$4+SUM($I$53:I$53),ARBETSBLAD!$I$6:$AF$6,fx!$I414:$AF414)</f>
        <v>0</v>
      </c>
      <c r="K43" s="2442">
        <f ca="1">LOOKUP(ARBETSBLAD!$L$4+SUM($I$53:J$53),ARBETSBLAD!$I$6:$AF$6,fx!$I414:$AF414)</f>
        <v>0</v>
      </c>
      <c r="L43" s="2442">
        <f ca="1">LOOKUP(ARBETSBLAD!$L$4+SUM($I$53:K$53),ARBETSBLAD!$I$6:$AF$6,fx!$I414:$AF414)</f>
        <v>0</v>
      </c>
      <c r="M43" s="2442">
        <f ca="1">LOOKUP(ARBETSBLAD!$L$4+SUM($I$53:L$53),ARBETSBLAD!$I$6:$AF$6,fx!$I414:$AF414)</f>
        <v>0</v>
      </c>
      <c r="N43" s="2442">
        <f ca="1">LOOKUP(ARBETSBLAD!$L$4+SUM($I$53:M$53),ARBETSBLAD!$I$6:$AF$6,fx!$I414:$AF414)</f>
        <v>0</v>
      </c>
      <c r="O43" s="2442">
        <f ca="1">LOOKUP(ARBETSBLAD!$L$4+SUM($I$53:N$53),ARBETSBLAD!$I$6:$AF$6,fx!$I414:$AF414)</f>
        <v>0</v>
      </c>
      <c r="P43" s="2442">
        <f ca="1">LOOKUP(ARBETSBLAD!$L$4+SUM($I$53:O$53),ARBETSBLAD!$I$6:$AF$6,fx!$I414:$AF414)</f>
        <v>0</v>
      </c>
      <c r="Q43" s="2442">
        <f ca="1">LOOKUP(ARBETSBLAD!$L$4+SUM($I$53:P$53),ARBETSBLAD!$I$6:$AF$6,fx!$I414:$AF414)</f>
        <v>0</v>
      </c>
      <c r="R43" s="2442">
        <f ca="1">LOOKUP(ARBETSBLAD!$L$4+SUM($I$53:Q$53),ARBETSBLAD!$I$6:$AF$6,fx!$I414:$AF414)</f>
        <v>0</v>
      </c>
      <c r="S43" s="2442">
        <f ca="1">LOOKUP(ARBETSBLAD!$L$4+SUM($I$53:R$53),ARBETSBLAD!$I$6:$AF$6,fx!$I414:$AF414)</f>
        <v>0</v>
      </c>
      <c r="T43" s="2442">
        <f ca="1">LOOKUP(ARBETSBLAD!$L$4+SUM($I$53:S$53),ARBETSBLAD!$I$6:$AF$6,fx!$I414:$AF414)</f>
        <v>0</v>
      </c>
      <c r="U43" s="2442">
        <f ca="1">LOOKUP(ARBETSBLAD!$L$4+SUM($I$53:T$53),ARBETSBLAD!$I$6:$AF$6,fx!$I414:$AF414)</f>
        <v>0</v>
      </c>
      <c r="V43" s="2442">
        <f ca="1">LOOKUP(ARBETSBLAD!$L$4+SUM($I$53:U$53),ARBETSBLAD!$I$6:$AF$6,fx!$I414:$AF414)*V52</f>
        <v>0</v>
      </c>
      <c r="W43" s="2442">
        <f ca="1">LOOKUP(ARBETSBLAD!$L$4+SUM($I$53:V$53),ARBETSBLAD!$I$6:$AF$6,fx!$I414:$AF414)*W52</f>
        <v>0</v>
      </c>
      <c r="X43" s="2442">
        <f ca="1">LOOKUP(ARBETSBLAD!$L$4+SUM($I$53:W$53),ARBETSBLAD!$I$6:$AF$6,fx!$I414:$AF414)*X52</f>
        <v>0</v>
      </c>
      <c r="Y43" s="2442">
        <f ca="1">LOOKUP(ARBETSBLAD!$L$4+SUM($I$53:X$53),ARBETSBLAD!$I$6:$AF$6,fx!$I414:$AF414)*Y52</f>
        <v>0</v>
      </c>
      <c r="Z43" s="2442">
        <f ca="1">LOOKUP(ARBETSBLAD!$L$4+SUM($I$53:Y$53),ARBETSBLAD!$I$6:$AF$6,fx!$I414:$AF414)*Z52</f>
        <v>0</v>
      </c>
      <c r="AA43" s="2442">
        <f ca="1">LOOKUP(ARBETSBLAD!$L$4+SUM($I$53:Z$53),ARBETSBLAD!$I$6:$AF$6,fx!$I414:$AF414)*AA52</f>
        <v>0</v>
      </c>
      <c r="AB43" s="2442">
        <f ca="1">LOOKUP(ARBETSBLAD!$L$4+SUM($I$53:AA$53),ARBETSBLAD!$I$6:$AF$6,fx!$I414:$AF414)*AB52</f>
        <v>0</v>
      </c>
      <c r="AC43" s="2442">
        <f ca="1">LOOKUP(ARBETSBLAD!$L$4+SUM($I$53:AB$53),ARBETSBLAD!$I$6:$AF$6,fx!$I414:$AF414)*AC52</f>
        <v>0</v>
      </c>
      <c r="AD43" s="2442">
        <f ca="1">LOOKUP(ARBETSBLAD!$L$4+SUM($I$53:AC$53),ARBETSBLAD!$I$6:$AF$6,fx!$I414:$AF414)*AD52</f>
        <v>0</v>
      </c>
      <c r="AE43" s="2442">
        <f ca="1">LOOKUP(ARBETSBLAD!$L$4+SUM($I$53:AD$53),ARBETSBLAD!$I$6:$AF$6,fx!$I414:$AF414)*AE52</f>
        <v>0</v>
      </c>
      <c r="AF43" s="2442">
        <f ca="1">LOOKUP(ARBETSBLAD!$L$4+SUM($I$53:AE$53),ARBETSBLAD!$I$6:$AF$6,fx!$I414:$AF414)*AF52</f>
        <v>0</v>
      </c>
    </row>
    <row r="44" spans="1:33" ht="12" customHeight="1">
      <c r="A44" s="2435"/>
      <c r="B44" s="2443" t="s">
        <v>834</v>
      </c>
      <c r="C44" s="2448"/>
      <c r="D44" s="2449"/>
      <c r="E44" s="2450"/>
      <c r="F44" s="2450"/>
      <c r="G44" s="2450"/>
      <c r="H44" s="2451"/>
      <c r="I44" s="2442">
        <f>LOOKUP(ARBETSBLAD!$L$4,ARBETSBLAD!$I$6:$AF$6,fx!$I337:$AF337)</f>
        <v>0</v>
      </c>
      <c r="J44" s="2442">
        <f>LOOKUP(ARBETSBLAD!$L$4+SUM($I$53:I$53),ARBETSBLAD!$I$6:$AF$6,fx!$I337:$AF337)</f>
        <v>0</v>
      </c>
      <c r="K44" s="2442">
        <f ca="1">LOOKUP(ARBETSBLAD!$L$4+SUM($I$53:J$53),ARBETSBLAD!$I$6:$AF$6,fx!$I337:$AF337)</f>
        <v>0</v>
      </c>
      <c r="L44" s="2442">
        <f ca="1">LOOKUP(ARBETSBLAD!$L$4+SUM($I$53:K$53),ARBETSBLAD!$I$6:$AF$6,fx!$I337:$AF337)</f>
        <v>0</v>
      </c>
      <c r="M44" s="2442">
        <f ca="1">LOOKUP(ARBETSBLAD!$L$4+SUM($I$53:L$53),ARBETSBLAD!$I$6:$AF$6,fx!$I337:$AF337)</f>
        <v>0</v>
      </c>
      <c r="N44" s="2442">
        <f ca="1">LOOKUP(ARBETSBLAD!$L$4+SUM($I$53:M$53),ARBETSBLAD!$I$6:$AF$6,fx!$I337:$AF337)</f>
        <v>0</v>
      </c>
      <c r="O44" s="2442">
        <f ca="1">LOOKUP(ARBETSBLAD!$L$4+SUM($I$53:N$53),ARBETSBLAD!$I$6:$AF$6,fx!$I337:$AF337)</f>
        <v>0</v>
      </c>
      <c r="P44" s="2442">
        <f ca="1">LOOKUP(ARBETSBLAD!$L$4+SUM($I$53:O$53),ARBETSBLAD!$I$6:$AF$6,fx!$I337:$AF337)</f>
        <v>0</v>
      </c>
      <c r="Q44" s="2442">
        <f ca="1">LOOKUP(ARBETSBLAD!$L$4+SUM($I$53:P$53),ARBETSBLAD!$I$6:$AF$6,fx!$I337:$AF337)</f>
        <v>0</v>
      </c>
      <c r="R44" s="2442">
        <f ca="1">LOOKUP(ARBETSBLAD!$L$4+SUM($I$53:Q$53),ARBETSBLAD!$I$6:$AF$6,fx!$I337:$AF337)</f>
        <v>0</v>
      </c>
      <c r="S44" s="2442">
        <f ca="1">LOOKUP(ARBETSBLAD!$L$4+SUM($I$53:R$53),ARBETSBLAD!$I$6:$AF$6,fx!$I337:$AF337)</f>
        <v>0</v>
      </c>
      <c r="T44" s="2442">
        <f ca="1">LOOKUP(ARBETSBLAD!$L$4+SUM($I$53:S$53),ARBETSBLAD!$I$6:$AF$6,fx!$I337:$AF337)</f>
        <v>0</v>
      </c>
      <c r="U44" s="2442">
        <f ca="1">LOOKUP(ARBETSBLAD!$L$4+SUM($I$53:T$53),ARBETSBLAD!$I$6:$AF$6,fx!$I337:$AF337)</f>
        <v>0</v>
      </c>
      <c r="V44" s="2442">
        <f ca="1">LOOKUP(ARBETSBLAD!$L$4+SUM($I$53:U$53),ARBETSBLAD!$I$6:$AF$6,fx!$I337:$AF337)*V52</f>
        <v>0</v>
      </c>
      <c r="W44" s="2442">
        <f ca="1">LOOKUP(ARBETSBLAD!$L$4+SUM($I$53:V$53),ARBETSBLAD!$I$6:$AF$6,fx!$I337:$AF337)*W52</f>
        <v>0</v>
      </c>
      <c r="X44" s="2442">
        <f ca="1">LOOKUP(ARBETSBLAD!$L$4+SUM($I$53:W$53),ARBETSBLAD!$I$6:$AF$6,fx!$I337:$AF337)*X52</f>
        <v>0</v>
      </c>
      <c r="Y44" s="2442">
        <f ca="1">LOOKUP(ARBETSBLAD!$L$4+SUM($I$53:X$53),ARBETSBLAD!$I$6:$AF$6,fx!$I337:$AF337)*Y52</f>
        <v>0</v>
      </c>
      <c r="Z44" s="2442">
        <f ca="1">LOOKUP(ARBETSBLAD!$L$4+SUM($I$53:Y$53),ARBETSBLAD!$I$6:$AF$6,fx!$I337:$AF337)*Z52</f>
        <v>0</v>
      </c>
      <c r="AA44" s="2442">
        <f ca="1">LOOKUP(ARBETSBLAD!$L$4+SUM($I$53:Z$53),ARBETSBLAD!$I$6:$AF$6,fx!$I337:$AF337)*AA52</f>
        <v>0</v>
      </c>
      <c r="AB44" s="2442">
        <f ca="1">LOOKUP(ARBETSBLAD!$L$4+SUM($I$53:AA$53),ARBETSBLAD!$I$6:$AF$6,fx!$I337:$AF337)*AB52</f>
        <v>0</v>
      </c>
      <c r="AC44" s="2442">
        <f ca="1">LOOKUP(ARBETSBLAD!$L$4+SUM($I$53:AB$53),ARBETSBLAD!$I$6:$AF$6,fx!$I337:$AF337)*AC52</f>
        <v>0</v>
      </c>
      <c r="AD44" s="2442">
        <f ca="1">LOOKUP(ARBETSBLAD!$L$4+SUM($I$53:AC$53),ARBETSBLAD!$I$6:$AF$6,fx!$I337:$AF337)*AD52</f>
        <v>0</v>
      </c>
      <c r="AE44" s="2442">
        <f ca="1">LOOKUP(ARBETSBLAD!$L$4+SUM($I$53:AD$53),ARBETSBLAD!$I$6:$AF$6,fx!$I337:$AF337)*AE52</f>
        <v>0</v>
      </c>
      <c r="AF44" s="2442">
        <f ca="1">LOOKUP(ARBETSBLAD!$L$4+SUM($I$53:AE$53),ARBETSBLAD!$I$6:$AF$6,fx!$I337:$AF337)*AF52</f>
        <v>0</v>
      </c>
    </row>
    <row r="45" spans="1:33" ht="12" customHeight="1">
      <c r="A45" s="2435"/>
      <c r="B45" s="2452" t="s">
        <v>1324</v>
      </c>
      <c r="C45" s="2453"/>
      <c r="D45" s="2454"/>
      <c r="E45" s="2455"/>
      <c r="F45" s="2455"/>
      <c r="G45" s="2455"/>
      <c r="H45" s="2456"/>
      <c r="I45" s="2442">
        <f>I42-I44</f>
        <v>0</v>
      </c>
      <c r="J45" s="2442">
        <f t="shared" ref="J45:AF45" si="0">J42-J44</f>
        <v>0</v>
      </c>
      <c r="K45" s="2442">
        <f t="shared" ca="1" si="0"/>
        <v>0</v>
      </c>
      <c r="L45" s="2442">
        <f t="shared" ca="1" si="0"/>
        <v>0</v>
      </c>
      <c r="M45" s="2442">
        <f t="shared" ca="1" si="0"/>
        <v>0</v>
      </c>
      <c r="N45" s="2442">
        <f t="shared" ca="1" si="0"/>
        <v>0</v>
      </c>
      <c r="O45" s="2442">
        <f t="shared" ca="1" si="0"/>
        <v>0</v>
      </c>
      <c r="P45" s="2442">
        <f t="shared" ca="1" si="0"/>
        <v>0</v>
      </c>
      <c r="Q45" s="2442">
        <f t="shared" ca="1" si="0"/>
        <v>0</v>
      </c>
      <c r="R45" s="2442">
        <f t="shared" ca="1" si="0"/>
        <v>0</v>
      </c>
      <c r="S45" s="2442">
        <f t="shared" ca="1" si="0"/>
        <v>0</v>
      </c>
      <c r="T45" s="2442">
        <f t="shared" ca="1" si="0"/>
        <v>0</v>
      </c>
      <c r="U45" s="2442">
        <f t="shared" ca="1" si="0"/>
        <v>0</v>
      </c>
      <c r="V45" s="2442">
        <f t="shared" ca="1" si="0"/>
        <v>0</v>
      </c>
      <c r="W45" s="2442">
        <f t="shared" ca="1" si="0"/>
        <v>0</v>
      </c>
      <c r="X45" s="2442">
        <f t="shared" ca="1" si="0"/>
        <v>0</v>
      </c>
      <c r="Y45" s="2442">
        <f t="shared" ca="1" si="0"/>
        <v>0</v>
      </c>
      <c r="Z45" s="2442">
        <f t="shared" ca="1" si="0"/>
        <v>0</v>
      </c>
      <c r="AA45" s="2442">
        <f t="shared" ca="1" si="0"/>
        <v>0</v>
      </c>
      <c r="AB45" s="2442">
        <f t="shared" ca="1" si="0"/>
        <v>0</v>
      </c>
      <c r="AC45" s="2442">
        <f t="shared" ca="1" si="0"/>
        <v>0</v>
      </c>
      <c r="AD45" s="2442">
        <f t="shared" ca="1" si="0"/>
        <v>0</v>
      </c>
      <c r="AE45" s="2442">
        <f t="shared" ca="1" si="0"/>
        <v>0</v>
      </c>
      <c r="AF45" s="2442">
        <f t="shared" ca="1" si="0"/>
        <v>0</v>
      </c>
    </row>
    <row r="46" spans="1:33" ht="12" customHeight="1">
      <c r="A46" s="2435"/>
      <c r="B46" s="2441"/>
      <c r="C46" s="1279"/>
      <c r="D46" s="1315"/>
      <c r="E46" s="1528"/>
      <c r="F46" s="1528"/>
      <c r="G46" s="1528"/>
      <c r="H46" s="1528"/>
      <c r="I46" s="773"/>
      <c r="J46" s="773"/>
      <c r="K46" s="773"/>
      <c r="L46" s="773"/>
      <c r="M46" s="773"/>
      <c r="N46" s="773"/>
      <c r="O46" s="773"/>
      <c r="P46" s="773"/>
      <c r="Q46" s="773"/>
      <c r="R46" s="773"/>
      <c r="S46" s="773"/>
      <c r="T46" s="773"/>
      <c r="U46" s="773"/>
      <c r="V46" s="773"/>
      <c r="W46" s="773"/>
      <c r="X46" s="773"/>
      <c r="Y46" s="773"/>
      <c r="Z46" s="773"/>
      <c r="AA46" s="773"/>
      <c r="AB46" s="773"/>
      <c r="AC46" s="773"/>
      <c r="AD46" s="773"/>
      <c r="AE46" s="773"/>
      <c r="AF46" s="773"/>
    </row>
    <row r="47" spans="1:33" ht="12" customHeight="1">
      <c r="A47" s="1037"/>
      <c r="B47" s="2457" t="s">
        <v>1327</v>
      </c>
      <c r="C47" s="2458"/>
      <c r="D47" s="2458"/>
      <c r="E47" s="2458"/>
      <c r="F47" s="2458"/>
      <c r="G47" s="2458"/>
      <c r="H47" s="2461"/>
      <c r="I47" s="2459"/>
      <c r="J47" s="2459"/>
      <c r="K47" s="2459"/>
      <c r="L47" s="2459"/>
      <c r="M47" s="2459"/>
      <c r="N47" s="2459"/>
      <c r="O47" s="2459"/>
      <c r="P47" s="2459"/>
      <c r="Q47" s="2459"/>
      <c r="R47" s="2459"/>
      <c r="S47" s="2459"/>
      <c r="T47" s="2459"/>
      <c r="U47" s="2459"/>
      <c r="V47" s="2459"/>
      <c r="W47" s="2459"/>
      <c r="X47" s="2459"/>
      <c r="Y47" s="2459"/>
      <c r="Z47" s="2459"/>
      <c r="AA47" s="2459"/>
      <c r="AB47" s="2459"/>
      <c r="AC47" s="2459"/>
      <c r="AD47" s="2459"/>
      <c r="AE47" s="2459"/>
      <c r="AF47" s="2460"/>
    </row>
    <row r="48" spans="1:33" ht="12" customHeight="1">
      <c r="B48" s="3094"/>
      <c r="C48" s="3095"/>
      <c r="D48" s="3095"/>
      <c r="E48" s="3095"/>
      <c r="F48" s="3095"/>
      <c r="G48" s="3095"/>
      <c r="H48" s="3096"/>
      <c r="I48" s="1140"/>
      <c r="J48" s="1140"/>
      <c r="K48" s="1140"/>
      <c r="L48" s="1140"/>
      <c r="M48" s="1140"/>
      <c r="N48" s="1140"/>
      <c r="O48" s="1140"/>
      <c r="P48" s="1140"/>
      <c r="Q48" s="1140"/>
      <c r="R48" s="1140"/>
      <c r="S48" s="1140"/>
      <c r="T48" s="1140"/>
      <c r="U48" s="1140"/>
      <c r="V48" s="1140"/>
      <c r="W48" s="1140"/>
      <c r="X48" s="1140"/>
      <c r="Y48" s="1140"/>
      <c r="Z48" s="1140"/>
      <c r="AA48" s="1140"/>
      <c r="AB48" s="1140"/>
      <c r="AC48" s="1140"/>
      <c r="AD48" s="1140"/>
      <c r="AE48" s="1140"/>
      <c r="AF48" s="1140"/>
    </row>
    <row r="49" spans="2:32" ht="12" customHeight="1">
      <c r="B49" s="3086"/>
      <c r="C49" s="3087"/>
      <c r="D49" s="3087"/>
      <c r="E49" s="3087"/>
      <c r="F49" s="3087"/>
      <c r="G49" s="3087"/>
      <c r="H49" s="3088"/>
      <c r="I49" s="1141"/>
      <c r="J49" s="1141"/>
      <c r="K49" s="1141"/>
      <c r="L49" s="1141"/>
      <c r="M49" s="1141"/>
      <c r="N49" s="1141"/>
      <c r="O49" s="1141"/>
      <c r="P49" s="1141"/>
      <c r="Q49" s="1141"/>
      <c r="R49" s="1141"/>
      <c r="S49" s="1141"/>
      <c r="T49" s="1141"/>
      <c r="U49" s="1141"/>
      <c r="V49" s="1141"/>
      <c r="W49" s="1141"/>
      <c r="X49" s="1141"/>
      <c r="Y49" s="1141"/>
      <c r="Z49" s="1141"/>
      <c r="AA49" s="1141"/>
      <c r="AB49" s="1141"/>
      <c r="AC49" s="1141"/>
      <c r="AD49" s="1141"/>
      <c r="AE49" s="1141"/>
      <c r="AF49" s="1141"/>
    </row>
    <row r="50" spans="2:32" ht="12" customHeight="1">
      <c r="B50" s="3086"/>
      <c r="C50" s="3087"/>
      <c r="D50" s="3087"/>
      <c r="E50" s="3087"/>
      <c r="F50" s="3087"/>
      <c r="G50" s="3087"/>
      <c r="H50" s="3088"/>
      <c r="I50" s="1141"/>
      <c r="J50" s="1141"/>
      <c r="K50" s="1141"/>
      <c r="L50" s="1141"/>
      <c r="M50" s="1141"/>
      <c r="N50" s="1141"/>
      <c r="O50" s="1141"/>
      <c r="P50" s="1141"/>
      <c r="Q50" s="1141"/>
      <c r="R50" s="1141"/>
      <c r="S50" s="1141"/>
      <c r="T50" s="1141"/>
      <c r="U50" s="1141"/>
      <c r="V50" s="1141"/>
      <c r="W50" s="1141"/>
      <c r="X50" s="1141"/>
      <c r="Y50" s="1141"/>
      <c r="Z50" s="1141"/>
      <c r="AA50" s="1141"/>
      <c r="AB50" s="1141"/>
      <c r="AC50" s="1141"/>
      <c r="AD50" s="1141"/>
      <c r="AE50" s="1141"/>
      <c r="AF50" s="1141"/>
    </row>
    <row r="51" spans="2:32" ht="12" customHeight="1">
      <c r="B51" s="3089"/>
      <c r="C51" s="3090"/>
      <c r="D51" s="3090"/>
      <c r="E51" s="3090"/>
      <c r="F51" s="3090"/>
      <c r="G51" s="3090"/>
      <c r="H51" s="3091"/>
      <c r="I51" s="1141"/>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row>
    <row r="52" spans="2:32" s="19" customFormat="1" hidden="1">
      <c r="I52" s="114"/>
      <c r="J52" s="114"/>
      <c r="K52" s="114"/>
      <c r="L52" s="114"/>
      <c r="M52" s="114"/>
      <c r="N52" s="114"/>
      <c r="O52" s="114"/>
      <c r="P52" s="114"/>
      <c r="Q52" s="114"/>
      <c r="R52" s="114"/>
      <c r="S52" s="114"/>
      <c r="T52" s="114"/>
      <c r="U52" s="114">
        <f>IF((25-ARBETSBLAD!$L$4)&gt;=13,1,0)</f>
        <v>1</v>
      </c>
      <c r="V52" s="114">
        <f>IF((25-ARBETSBLAD!$L$4)&gt;=14,1,0)</f>
        <v>1</v>
      </c>
      <c r="W52" s="114">
        <f>IF((25-ARBETSBLAD!$L$4)&gt;=15,1,0)</f>
        <v>1</v>
      </c>
      <c r="X52" s="114">
        <f>IF((25-ARBETSBLAD!$L$4)&gt;=16,1,0)</f>
        <v>1</v>
      </c>
      <c r="Y52" s="114">
        <f>IF((25-ARBETSBLAD!$L$4)&gt;=17,1,0)</f>
        <v>1</v>
      </c>
      <c r="Z52" s="114">
        <f>IF((25-ARBETSBLAD!$L$4)&gt;=18,1,0)</f>
        <v>1</v>
      </c>
      <c r="AA52" s="114">
        <f>IF((25-ARBETSBLAD!$L$4)&gt;=19,1,0)</f>
        <v>1</v>
      </c>
      <c r="AB52" s="114">
        <f>IF((25-ARBETSBLAD!$L$4)&gt;=20,1,0)</f>
        <v>1</v>
      </c>
      <c r="AC52" s="114">
        <f>IF((25-ARBETSBLAD!$L$4)&gt;=21,1,0)</f>
        <v>1</v>
      </c>
      <c r="AD52" s="114">
        <f>IF((25-ARBETSBLAD!$L$4)&gt;=22,1,0)</f>
        <v>1</v>
      </c>
      <c r="AE52" s="114">
        <f>IF((25-ARBETSBLAD!$L$4)&gt;=23,1,0)</f>
        <v>1</v>
      </c>
      <c r="AF52" s="114">
        <f>IF((25-ARBETSBLAD!$L$4)=24,1,0)</f>
        <v>1</v>
      </c>
    </row>
    <row r="53" spans="2:32" s="19" customFormat="1" hidden="1">
      <c r="I53" s="1117">
        <v>1</v>
      </c>
      <c r="J53" s="1117">
        <v>1</v>
      </c>
      <c r="K53" s="1117">
        <v>1</v>
      </c>
      <c r="L53" s="1117">
        <v>1</v>
      </c>
      <c r="M53" s="1117">
        <v>1</v>
      </c>
      <c r="N53" s="1117">
        <v>1</v>
      </c>
      <c r="O53" s="1117">
        <v>1</v>
      </c>
      <c r="P53" s="1117">
        <v>1</v>
      </c>
      <c r="Q53" s="1117">
        <v>1</v>
      </c>
      <c r="R53" s="1117">
        <v>1</v>
      </c>
      <c r="S53" s="1117">
        <v>1</v>
      </c>
      <c r="T53" s="1117">
        <v>1</v>
      </c>
      <c r="U53" s="1117">
        <v>1</v>
      </c>
      <c r="V53" s="1117">
        <v>1</v>
      </c>
      <c r="W53" s="1117">
        <v>1</v>
      </c>
      <c r="X53" s="1117">
        <v>1</v>
      </c>
      <c r="Y53" s="1117">
        <v>1</v>
      </c>
      <c r="Z53" s="1117">
        <v>1</v>
      </c>
      <c r="AA53" s="1117">
        <v>1</v>
      </c>
      <c r="AB53" s="1117">
        <v>1</v>
      </c>
      <c r="AC53" s="1117">
        <v>1</v>
      </c>
      <c r="AD53" s="1117">
        <v>1</v>
      </c>
      <c r="AE53" s="1117">
        <v>1</v>
      </c>
      <c r="AF53" s="1117">
        <v>1</v>
      </c>
    </row>
  </sheetData>
  <sheetProtection algorithmName="SHA-512" hashValue="qCBQmx96fWuUkEttZLojq/de/EkPDSmq/fUqyNwqV11LnX+pdQfPP7Ufraj4Ndne8WionvWpBfsykhrGCkseHA==" saltValue="ZMctZ6e2JBPTRcSf0yKinQ==" spinCount="100000" sheet="1" objects="1" scenarios="1" formatCells="0" formatColumns="0" formatRows="0"/>
  <mergeCells count="13">
    <mergeCell ref="B51:H51"/>
    <mergeCell ref="B19:F19"/>
    <mergeCell ref="B48:H48"/>
    <mergeCell ref="B20:F20"/>
    <mergeCell ref="B9:F9"/>
    <mergeCell ref="B10:F10"/>
    <mergeCell ref="B21:F21"/>
    <mergeCell ref="E2:E3"/>
    <mergeCell ref="F2:F3"/>
    <mergeCell ref="B2:D3"/>
    <mergeCell ref="B49:H49"/>
    <mergeCell ref="B50:H50"/>
    <mergeCell ref="B4:F4"/>
  </mergeCells>
  <dataValidations xWindow="990" yWindow="539" count="1">
    <dataValidation allowBlank="1" showInputMessage="1" showErrorMessage="1" promptTitle="Formelcell" prompt="Budgetera på fliken ARBETSBLAD" sqref="I7:AF15 I2:AF5 I35:AF39 I17:AF33"/>
  </dataValidations>
  <printOptions horizontalCentered="1" verticalCentered="1"/>
  <pageMargins left="0.19685039370078741" right="0.19685039370078741" top="0.23622047244094491" bottom="0.31496062992125984" header="0.15748031496062992" footer="0.11811023622047245"/>
  <pageSetup paperSize="9" orientation="landscape" r:id="rId1"/>
  <headerFooter alignWithMargins="0">
    <oddFooter>&amp;C&amp;"Arial Narrow,Normal"&amp;8© Almi Företagspartner AB 2016-04-18</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Frågor &amp; Svar</vt:lpstr>
      <vt:lpstr>Instruktion</vt:lpstr>
      <vt:lpstr>fx</vt:lpstr>
      <vt:lpstr>ARBETSBLAD</vt:lpstr>
      <vt:lpstr>Resultatbudget_Helår</vt:lpstr>
      <vt:lpstr>Resultatbudget_Månad</vt:lpstr>
      <vt:lpstr>Kapitalbehov_Finansiering</vt:lpstr>
      <vt:lpstr>Likviditetsbudget</vt:lpstr>
      <vt:lpstr>ARBETSBLAD!Print_Area</vt:lpstr>
      <vt:lpstr>'Frågor &amp; Svar'!Print_Area</vt:lpstr>
      <vt:lpstr>Kapitalbehov_Finansiering!Print_Area</vt:lpstr>
      <vt:lpstr>Likviditetsbudget!Print_Area</vt:lpstr>
      <vt:lpstr>Resultatbudget_Helår!Print_Area</vt:lpstr>
      <vt:lpstr>Resultatbudget_Månad!Print_Area</vt:lpstr>
      <vt:lpstr>ARBETSBLAD!Print_Titles</vt:lpstr>
      <vt:lpstr>Likviditetsbudget!Print_Titles</vt:lpstr>
      <vt:lpstr>Resultatbudget_Helår!Print_Titles</vt:lpstr>
      <vt:lpstr>Resultatbudget_Månad!Print_Titles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ÅkeO</dc:creator>
  <cp:lastModifiedBy>Lövdinger Per</cp:lastModifiedBy>
  <cp:lastPrinted>2016-03-24T14:42:57Z</cp:lastPrinted>
  <dcterms:created xsi:type="dcterms:W3CDTF">2012-05-31T10:44:29Z</dcterms:created>
  <dcterms:modified xsi:type="dcterms:W3CDTF">2017-09-07T16:45:14Z</dcterms:modified>
</cp:coreProperties>
</file>